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UCHOIS\Downloads\"/>
    </mc:Choice>
  </mc:AlternateContent>
  <xr:revisionPtr revIDLastSave="0" documentId="13_ncr:1_{52AF2590-CDCA-47BA-8550-CE9E4942A631}" xr6:coauthVersionLast="47" xr6:coauthVersionMax="47" xr10:uidLastSave="{00000000-0000-0000-0000-000000000000}"/>
  <bookViews>
    <workbookView xWindow="-110" yWindow="-110" windowWidth="19420" windowHeight="11500" tabRatio="866" firstSheet="1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6" l="1"/>
  <c r="I22" i="6"/>
  <c r="I20" i="6"/>
  <c r="B613" i="6"/>
  <c r="D613" i="6" s="1"/>
  <c r="B614" i="6"/>
  <c r="B615" i="6"/>
  <c r="B616" i="6"/>
  <c r="B617" i="6"/>
  <c r="D617" i="6" s="1"/>
  <c r="B618" i="6"/>
  <c r="B619" i="6"/>
  <c r="B620" i="6"/>
  <c r="B621" i="6"/>
  <c r="D621" i="6" s="1"/>
  <c r="B622" i="6"/>
  <c r="B623" i="6"/>
  <c r="D623" i="6" s="1"/>
  <c r="B624" i="6"/>
  <c r="D624" i="6" s="1"/>
  <c r="B625" i="6"/>
  <c r="D625" i="6" s="1"/>
  <c r="B626" i="6"/>
  <c r="B627" i="6"/>
  <c r="B628" i="6"/>
  <c r="B629" i="6"/>
  <c r="D629" i="6" s="1"/>
  <c r="B630" i="6"/>
  <c r="B631" i="6"/>
  <c r="A613" i="6"/>
  <c r="A614" i="6"/>
  <c r="A615" i="6"/>
  <c r="A616" i="6"/>
  <c r="A617" i="6"/>
  <c r="A618" i="6"/>
  <c r="A619" i="6"/>
  <c r="A620" i="6"/>
  <c r="A621" i="6"/>
  <c r="A622" i="6"/>
  <c r="A623" i="6"/>
  <c r="A624" i="6"/>
  <c r="A625" i="6"/>
  <c r="A626" i="6"/>
  <c r="A627" i="6"/>
  <c r="A628" i="6"/>
  <c r="A629" i="6"/>
  <c r="A630" i="6"/>
  <c r="A631" i="6"/>
  <c r="B612" i="6"/>
  <c r="D612" i="6" s="1"/>
  <c r="A612" i="6"/>
  <c r="B582" i="6"/>
  <c r="B583" i="6"/>
  <c r="B584" i="6"/>
  <c r="B585" i="6"/>
  <c r="B586" i="6"/>
  <c r="D586" i="6" s="1"/>
  <c r="B587" i="6"/>
  <c r="D587" i="6" s="1"/>
  <c r="B588" i="6"/>
  <c r="B589" i="6"/>
  <c r="D589" i="6" s="1"/>
  <c r="B590" i="6"/>
  <c r="D590" i="6" s="1"/>
  <c r="B591" i="6"/>
  <c r="B592" i="6"/>
  <c r="B593" i="6"/>
  <c r="D593" i="6" s="1"/>
  <c r="B594" i="6"/>
  <c r="B595" i="6"/>
  <c r="B596" i="6"/>
  <c r="B597" i="6"/>
  <c r="D597" i="6" s="1"/>
  <c r="B598" i="6"/>
  <c r="B599" i="6"/>
  <c r="B600" i="6"/>
  <c r="D600" i="6" s="1"/>
  <c r="A582" i="6"/>
  <c r="A583" i="6"/>
  <c r="A584" i="6"/>
  <c r="A585" i="6"/>
  <c r="A586" i="6"/>
  <c r="A587" i="6"/>
  <c r="A588" i="6"/>
  <c r="A589" i="6"/>
  <c r="A590" i="6"/>
  <c r="A591" i="6"/>
  <c r="A592" i="6"/>
  <c r="A593" i="6"/>
  <c r="A594" i="6"/>
  <c r="A595" i="6"/>
  <c r="A596" i="6"/>
  <c r="A597" i="6"/>
  <c r="A598" i="6"/>
  <c r="A599" i="6"/>
  <c r="A600" i="6"/>
  <c r="B581" i="6"/>
  <c r="D581" i="6" s="1"/>
  <c r="A581" i="6"/>
  <c r="B551" i="6"/>
  <c r="D551" i="6" s="1"/>
  <c r="B552" i="6"/>
  <c r="D552" i="6" s="1"/>
  <c r="B553" i="6"/>
  <c r="B554" i="6"/>
  <c r="D554" i="6" s="1"/>
  <c r="B555" i="6"/>
  <c r="B556" i="6"/>
  <c r="B557" i="6"/>
  <c r="B558" i="6"/>
  <c r="B559" i="6"/>
  <c r="B560" i="6"/>
  <c r="B561" i="6"/>
  <c r="B562" i="6"/>
  <c r="B563" i="6"/>
  <c r="D563" i="6" s="1"/>
  <c r="B564" i="6"/>
  <c r="D564" i="6" s="1"/>
  <c r="B565" i="6"/>
  <c r="B566" i="6"/>
  <c r="D566" i="6" s="1"/>
  <c r="B567" i="6"/>
  <c r="D567" i="6" s="1"/>
  <c r="B568" i="6"/>
  <c r="B569" i="6"/>
  <c r="A551" i="6"/>
  <c r="A552" i="6"/>
  <c r="A553" i="6"/>
  <c r="A554" i="6"/>
  <c r="A555" i="6"/>
  <c r="A556" i="6"/>
  <c r="A557" i="6"/>
  <c r="A558" i="6"/>
  <c r="A559" i="6"/>
  <c r="A560" i="6"/>
  <c r="A561" i="6"/>
  <c r="A562" i="6"/>
  <c r="A563" i="6"/>
  <c r="A564" i="6"/>
  <c r="A565" i="6"/>
  <c r="A566" i="6"/>
  <c r="A567" i="6"/>
  <c r="A568" i="6"/>
  <c r="A569" i="6"/>
  <c r="B550" i="6"/>
  <c r="D550" i="6" s="1"/>
  <c r="A550" i="6"/>
  <c r="B520" i="6"/>
  <c r="B521" i="6"/>
  <c r="B522" i="6"/>
  <c r="B523" i="6"/>
  <c r="D523" i="6" s="1"/>
  <c r="B524" i="6"/>
  <c r="D524" i="6" s="1"/>
  <c r="B525" i="6"/>
  <c r="B526" i="6"/>
  <c r="B527" i="6"/>
  <c r="D527" i="6" s="1"/>
  <c r="B528" i="6"/>
  <c r="D528" i="6" s="1"/>
  <c r="B529" i="6"/>
  <c r="D529" i="6" s="1"/>
  <c r="B530" i="6"/>
  <c r="B531" i="6"/>
  <c r="D531" i="6" s="1"/>
  <c r="B532" i="6"/>
  <c r="B533" i="6"/>
  <c r="B534" i="6"/>
  <c r="B535" i="6"/>
  <c r="D535" i="6" s="1"/>
  <c r="B536" i="6"/>
  <c r="B537" i="6"/>
  <c r="B538" i="6"/>
  <c r="A520" i="6"/>
  <c r="A521" i="6"/>
  <c r="A522" i="6"/>
  <c r="A523" i="6"/>
  <c r="A524" i="6"/>
  <c r="A525" i="6"/>
  <c r="A526" i="6"/>
  <c r="A527" i="6"/>
  <c r="A528" i="6"/>
  <c r="A529" i="6"/>
  <c r="A530" i="6"/>
  <c r="A531" i="6"/>
  <c r="A532" i="6"/>
  <c r="A533" i="6"/>
  <c r="A534" i="6"/>
  <c r="A535" i="6"/>
  <c r="A536" i="6"/>
  <c r="A537" i="6"/>
  <c r="A538" i="6"/>
  <c r="B519" i="6"/>
  <c r="A519" i="6"/>
  <c r="B489" i="6"/>
  <c r="D489" i="6" s="1"/>
  <c r="B490" i="6"/>
  <c r="D490" i="6" s="1"/>
  <c r="B491" i="6"/>
  <c r="D491" i="6" s="1"/>
  <c r="B492" i="6"/>
  <c r="D492" i="6" s="1"/>
  <c r="B493" i="6"/>
  <c r="D493" i="6" s="1"/>
  <c r="B494" i="6"/>
  <c r="D494" i="6" s="1"/>
  <c r="B495" i="6"/>
  <c r="D495" i="6" s="1"/>
  <c r="B496" i="6"/>
  <c r="D496" i="6" s="1"/>
  <c r="B497" i="6"/>
  <c r="D497" i="6" s="1"/>
  <c r="B498" i="6"/>
  <c r="B499" i="6"/>
  <c r="B500" i="6"/>
  <c r="D500" i="6" s="1"/>
  <c r="B501" i="6"/>
  <c r="B502" i="6"/>
  <c r="D502" i="6" s="1"/>
  <c r="B503" i="6"/>
  <c r="D503" i="6" s="1"/>
  <c r="B504" i="6"/>
  <c r="D504" i="6" s="1"/>
  <c r="B505" i="6"/>
  <c r="B506" i="6"/>
  <c r="B507" i="6"/>
  <c r="D507" i="6" s="1"/>
  <c r="B488" i="6"/>
  <c r="D488" i="6" s="1"/>
  <c r="A489" i="6"/>
  <c r="A490" i="6"/>
  <c r="A491" i="6"/>
  <c r="A492" i="6"/>
  <c r="A493" i="6"/>
  <c r="A494" i="6"/>
  <c r="A495" i="6"/>
  <c r="A496" i="6"/>
  <c r="A497" i="6"/>
  <c r="A498" i="6"/>
  <c r="A499" i="6"/>
  <c r="A500" i="6"/>
  <c r="A501" i="6"/>
  <c r="A502" i="6"/>
  <c r="A503" i="6"/>
  <c r="A504" i="6"/>
  <c r="A505" i="6"/>
  <c r="A506" i="6"/>
  <c r="A507" i="6"/>
  <c r="A488" i="6"/>
  <c r="B458" i="6"/>
  <c r="D458" i="6" s="1"/>
  <c r="B459" i="6"/>
  <c r="D459" i="6" s="1"/>
  <c r="B460" i="6"/>
  <c r="D460" i="6" s="1"/>
  <c r="B461" i="6"/>
  <c r="D461" i="6" s="1"/>
  <c r="B462" i="6"/>
  <c r="B463" i="6"/>
  <c r="B464" i="6"/>
  <c r="B465" i="6"/>
  <c r="D465" i="6" s="1"/>
  <c r="B466" i="6"/>
  <c r="D466" i="6" s="1"/>
  <c r="B467" i="6"/>
  <c r="D467" i="6" s="1"/>
  <c r="B468" i="6"/>
  <c r="D468" i="6" s="1"/>
  <c r="B469" i="6"/>
  <c r="D469" i="6" s="1"/>
  <c r="B470" i="6"/>
  <c r="D470" i="6" s="1"/>
  <c r="B471" i="6"/>
  <c r="D471" i="6" s="1"/>
  <c r="B472" i="6"/>
  <c r="D472" i="6" s="1"/>
  <c r="B473" i="6"/>
  <c r="D473" i="6" s="1"/>
  <c r="B474" i="6"/>
  <c r="B475" i="6"/>
  <c r="B476" i="6"/>
  <c r="B457" i="6"/>
  <c r="D457" i="6" s="1"/>
  <c r="A458" i="6"/>
  <c r="A459" i="6"/>
  <c r="A460" i="6"/>
  <c r="A461" i="6"/>
  <c r="A462" i="6"/>
  <c r="A463" i="6"/>
  <c r="A464" i="6"/>
  <c r="A465" i="6"/>
  <c r="A466" i="6"/>
  <c r="A467" i="6"/>
  <c r="A468" i="6"/>
  <c r="A469" i="6"/>
  <c r="A470" i="6"/>
  <c r="A471" i="6"/>
  <c r="A472" i="6"/>
  <c r="A473" i="6"/>
  <c r="A474" i="6"/>
  <c r="A475" i="6"/>
  <c r="A476" i="6"/>
  <c r="A457" i="6"/>
  <c r="B427" i="6"/>
  <c r="D427" i="6" s="1"/>
  <c r="B428" i="6"/>
  <c r="D428" i="6" s="1"/>
  <c r="B429" i="6"/>
  <c r="D429" i="6" s="1"/>
  <c r="B430" i="6"/>
  <c r="D430" i="6" s="1"/>
  <c r="B431" i="6"/>
  <c r="D431" i="6" s="1"/>
  <c r="B432" i="6"/>
  <c r="B433" i="6"/>
  <c r="B434" i="6"/>
  <c r="D434" i="6" s="1"/>
  <c r="B435" i="6"/>
  <c r="D435" i="6" s="1"/>
  <c r="B436" i="6"/>
  <c r="D436" i="6" s="1"/>
  <c r="B437" i="6"/>
  <c r="D437" i="6" s="1"/>
  <c r="B438" i="6"/>
  <c r="D438" i="6" s="1"/>
  <c r="B439" i="6"/>
  <c r="D439" i="6" s="1"/>
  <c r="B440" i="6"/>
  <c r="B441" i="6"/>
  <c r="B442" i="6"/>
  <c r="D442" i="6" s="1"/>
  <c r="B443" i="6"/>
  <c r="B444" i="6"/>
  <c r="B445" i="6"/>
  <c r="B426" i="6"/>
  <c r="A427" i="6"/>
  <c r="A428" i="6"/>
  <c r="A429" i="6"/>
  <c r="A430" i="6"/>
  <c r="A431" i="6"/>
  <c r="A432" i="6"/>
  <c r="A433" i="6"/>
  <c r="A434" i="6"/>
  <c r="A435" i="6"/>
  <c r="A436" i="6"/>
  <c r="A437" i="6"/>
  <c r="A438" i="6"/>
  <c r="A439" i="6"/>
  <c r="A440" i="6"/>
  <c r="A441" i="6"/>
  <c r="A442" i="6"/>
  <c r="A443" i="6"/>
  <c r="A444" i="6"/>
  <c r="A445" i="6"/>
  <c r="A426" i="6"/>
  <c r="B396" i="6"/>
  <c r="D396" i="6" s="1"/>
  <c r="B397" i="6"/>
  <c r="D397" i="6" s="1"/>
  <c r="B398" i="6"/>
  <c r="D398" i="6" s="1"/>
  <c r="B399" i="6"/>
  <c r="D399" i="6" s="1"/>
  <c r="B400" i="6"/>
  <c r="D400" i="6" s="1"/>
  <c r="B401" i="6"/>
  <c r="D401" i="6" s="1"/>
  <c r="B402" i="6"/>
  <c r="D402" i="6" s="1"/>
  <c r="B403" i="6"/>
  <c r="D403" i="6" s="1"/>
  <c r="B404" i="6"/>
  <c r="D404" i="6" s="1"/>
  <c r="B405" i="6"/>
  <c r="D405" i="6" s="1"/>
  <c r="B406" i="6"/>
  <c r="D406" i="6" s="1"/>
  <c r="B407" i="6"/>
  <c r="D407" i="6" s="1"/>
  <c r="B408" i="6"/>
  <c r="D408" i="6" s="1"/>
  <c r="B409" i="6"/>
  <c r="D409" i="6" s="1"/>
  <c r="B410" i="6"/>
  <c r="D410" i="6" s="1"/>
  <c r="B411" i="6"/>
  <c r="D411" i="6" s="1"/>
  <c r="B412" i="6"/>
  <c r="D412" i="6" s="1"/>
  <c r="B413" i="6"/>
  <c r="D413" i="6" s="1"/>
  <c r="B414" i="6"/>
  <c r="B395" i="6"/>
  <c r="D395" i="6" s="1"/>
  <c r="A396" i="6"/>
  <c r="A397" i="6"/>
  <c r="A398" i="6"/>
  <c r="A399" i="6"/>
  <c r="A400" i="6"/>
  <c r="A401" i="6"/>
  <c r="A402" i="6"/>
  <c r="A403" i="6"/>
  <c r="A404" i="6"/>
  <c r="A405" i="6"/>
  <c r="A406" i="6"/>
  <c r="A407" i="6"/>
  <c r="A408" i="6"/>
  <c r="A409" i="6"/>
  <c r="A410" i="6"/>
  <c r="A411" i="6"/>
  <c r="A412" i="6"/>
  <c r="A413" i="6"/>
  <c r="A414" i="6"/>
  <c r="A395" i="6"/>
  <c r="B603" i="6"/>
  <c r="T29" i="6" s="1"/>
  <c r="B572" i="6"/>
  <c r="T28" i="6" s="1"/>
  <c r="B541" i="6"/>
  <c r="T27" i="6" s="1"/>
  <c r="B510" i="6"/>
  <c r="T26" i="6" s="1"/>
  <c r="B479" i="6"/>
  <c r="B448" i="6"/>
  <c r="S24" i="6" s="1"/>
  <c r="B417" i="6"/>
  <c r="S23" i="6" s="1"/>
  <c r="B386" i="6"/>
  <c r="B355" i="6"/>
  <c r="S21" i="6" s="1"/>
  <c r="D631" i="6"/>
  <c r="D630" i="6"/>
  <c r="D628" i="6"/>
  <c r="D627" i="6"/>
  <c r="D626" i="6"/>
  <c r="D622" i="6"/>
  <c r="D620" i="6"/>
  <c r="D619" i="6"/>
  <c r="D618" i="6"/>
  <c r="D616" i="6"/>
  <c r="D615" i="6"/>
  <c r="D614" i="6"/>
  <c r="D599" i="6"/>
  <c r="D598" i="6"/>
  <c r="D596" i="6"/>
  <c r="D595" i="6"/>
  <c r="D594" i="6"/>
  <c r="D592" i="6"/>
  <c r="D591" i="6"/>
  <c r="D588" i="6"/>
  <c r="D585" i="6"/>
  <c r="D584" i="6"/>
  <c r="D583" i="6"/>
  <c r="D582" i="6"/>
  <c r="D569" i="6"/>
  <c r="D568" i="6"/>
  <c r="D565" i="6"/>
  <c r="D562" i="6"/>
  <c r="D561" i="6"/>
  <c r="D560" i="6"/>
  <c r="D559" i="6"/>
  <c r="D558" i="6"/>
  <c r="D557" i="6"/>
  <c r="D556" i="6"/>
  <c r="D555" i="6"/>
  <c r="D553" i="6"/>
  <c r="D538" i="6"/>
  <c r="D537" i="6"/>
  <c r="D536" i="6"/>
  <c r="D534" i="6"/>
  <c r="D533" i="6"/>
  <c r="D532" i="6"/>
  <c r="D530" i="6"/>
  <c r="D526" i="6"/>
  <c r="D525" i="6"/>
  <c r="D522" i="6"/>
  <c r="D521" i="6"/>
  <c r="D520" i="6"/>
  <c r="D519" i="6"/>
  <c r="D506" i="6"/>
  <c r="D505" i="6"/>
  <c r="D501" i="6"/>
  <c r="D499" i="6"/>
  <c r="D498" i="6"/>
  <c r="D476" i="6"/>
  <c r="D475" i="6"/>
  <c r="D474" i="6"/>
  <c r="D464" i="6"/>
  <c r="D463" i="6"/>
  <c r="D462" i="6"/>
  <c r="D445" i="6"/>
  <c r="D444" i="6"/>
  <c r="D443" i="6"/>
  <c r="D441" i="6"/>
  <c r="D440" i="6"/>
  <c r="D433" i="6"/>
  <c r="D432" i="6"/>
  <c r="D426" i="6"/>
  <c r="D414" i="6"/>
  <c r="B365" i="6"/>
  <c r="B366" i="6"/>
  <c r="D366" i="6" s="1"/>
  <c r="B367" i="6"/>
  <c r="D367" i="6" s="1"/>
  <c r="B368" i="6"/>
  <c r="D368" i="6" s="1"/>
  <c r="B369" i="6"/>
  <c r="B370" i="6"/>
  <c r="D370" i="6" s="1"/>
  <c r="B371" i="6"/>
  <c r="D371" i="6" s="1"/>
  <c r="B372" i="6"/>
  <c r="D372" i="6" s="1"/>
  <c r="B373" i="6"/>
  <c r="B374" i="6"/>
  <c r="B375" i="6"/>
  <c r="D375" i="6" s="1"/>
  <c r="B376" i="6"/>
  <c r="D376" i="6" s="1"/>
  <c r="B377" i="6"/>
  <c r="D377" i="6" s="1"/>
  <c r="B378" i="6"/>
  <c r="D378" i="6" s="1"/>
  <c r="B379" i="6"/>
  <c r="D379" i="6" s="1"/>
  <c r="B380" i="6"/>
  <c r="D380" i="6" s="1"/>
  <c r="B381" i="6"/>
  <c r="B382" i="6"/>
  <c r="D382" i="6" s="1"/>
  <c r="B383" i="6"/>
  <c r="D383" i="6" s="1"/>
  <c r="B364" i="6"/>
  <c r="D364" i="6" s="1"/>
  <c r="B334" i="6"/>
  <c r="D334" i="6" s="1"/>
  <c r="B335" i="6"/>
  <c r="D335" i="6" s="1"/>
  <c r="B336" i="6"/>
  <c r="D336" i="6" s="1"/>
  <c r="B337" i="6"/>
  <c r="D337" i="6" s="1"/>
  <c r="B338" i="6"/>
  <c r="D338" i="6" s="1"/>
  <c r="B339" i="6"/>
  <c r="B340" i="6"/>
  <c r="D340" i="6" s="1"/>
  <c r="B341" i="6"/>
  <c r="D341" i="6" s="1"/>
  <c r="B342" i="6"/>
  <c r="D342" i="6" s="1"/>
  <c r="B343" i="6"/>
  <c r="D343" i="6" s="1"/>
  <c r="B344" i="6"/>
  <c r="D344" i="6" s="1"/>
  <c r="B345" i="6"/>
  <c r="D345" i="6" s="1"/>
  <c r="B346" i="6"/>
  <c r="D346" i="6" s="1"/>
  <c r="B347" i="6"/>
  <c r="D347" i="6" s="1"/>
  <c r="B348" i="6"/>
  <c r="D348" i="6" s="1"/>
  <c r="B349" i="6"/>
  <c r="D349" i="6" s="1"/>
  <c r="B350" i="6"/>
  <c r="B351" i="6"/>
  <c r="D351" i="6" s="1"/>
  <c r="B352" i="6"/>
  <c r="D352" i="6" s="1"/>
  <c r="B333" i="6"/>
  <c r="D333" i="6" s="1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365" i="6"/>
  <c r="A366" i="6"/>
  <c r="A367" i="6"/>
  <c r="A368" i="6"/>
  <c r="A369" i="6"/>
  <c r="A370" i="6"/>
  <c r="A371" i="6"/>
  <c r="A372" i="6"/>
  <c r="A373" i="6"/>
  <c r="A374" i="6"/>
  <c r="A375" i="6"/>
  <c r="A376" i="6"/>
  <c r="A377" i="6"/>
  <c r="A378" i="6"/>
  <c r="A379" i="6"/>
  <c r="A380" i="6"/>
  <c r="A381" i="6"/>
  <c r="A382" i="6"/>
  <c r="A383" i="6"/>
  <c r="A364" i="6"/>
  <c r="A334" i="6"/>
  <c r="A335" i="6"/>
  <c r="A336" i="6"/>
  <c r="A337" i="6"/>
  <c r="A338" i="6"/>
  <c r="A339" i="6"/>
  <c r="A340" i="6"/>
  <c r="A341" i="6"/>
  <c r="A342" i="6"/>
  <c r="A343" i="6"/>
  <c r="A344" i="6"/>
  <c r="A345" i="6"/>
  <c r="A346" i="6"/>
  <c r="A347" i="6"/>
  <c r="A348" i="6"/>
  <c r="A349" i="6"/>
  <c r="A350" i="6"/>
  <c r="A351" i="6"/>
  <c r="A352" i="6"/>
  <c r="A333" i="6"/>
  <c r="B324" i="6"/>
  <c r="S20" i="6" s="1"/>
  <c r="D381" i="6"/>
  <c r="D374" i="6"/>
  <c r="D373" i="6"/>
  <c r="D369" i="6"/>
  <c r="D365" i="6"/>
  <c r="B293" i="6"/>
  <c r="B262" i="6"/>
  <c r="D350" i="6"/>
  <c r="D339" i="6"/>
  <c r="S26" i="6" l="1"/>
  <c r="S27" i="6"/>
  <c r="S28" i="6"/>
  <c r="S29" i="6"/>
  <c r="T25" i="6"/>
  <c r="T24" i="6"/>
  <c r="S25" i="6"/>
  <c r="T23" i="6"/>
  <c r="S22" i="6"/>
  <c r="T21" i="6"/>
  <c r="T20" i="6"/>
  <c r="F28" i="1" a="1"/>
  <c r="F28" i="1" s="1"/>
  <c r="OT204" i="2"/>
  <c r="OT205" i="2"/>
  <c r="OU3" i="2"/>
  <c r="PD3" i="2"/>
  <c r="PE3" i="2"/>
  <c r="PF3" i="2"/>
  <c r="PG3" i="2"/>
  <c r="PH3" i="2"/>
  <c r="MI204" i="2"/>
  <c r="MI205" i="2"/>
  <c r="MJ3" i="2"/>
  <c r="F27" i="1" a="1"/>
  <c r="F27" i="1" s="1"/>
  <c r="F26" i="1" a="1"/>
  <c r="F26" i="1" s="1"/>
  <c r="F25" i="1" a="1"/>
  <c r="F25" i="1" s="1"/>
  <c r="F24" i="1" a="1"/>
  <c r="F24" i="1" s="1"/>
  <c r="F23" i="1" a="1"/>
  <c r="F23" i="1" s="1"/>
  <c r="F22" i="1" a="1"/>
  <c r="F22" i="1" s="1"/>
  <c r="F21" i="1" a="1"/>
  <c r="F21" i="1" s="1"/>
  <c r="F20" i="1" a="1"/>
  <c r="F20" i="1" s="1"/>
  <c r="F19" i="1" a="1"/>
  <c r="F19" i="1" s="1"/>
  <c r="F18" i="1" a="1"/>
  <c r="F18" i="1" s="1"/>
  <c r="F17" i="1" a="1"/>
  <c r="F17" i="1" s="1"/>
  <c r="J25" i="4" l="1"/>
  <c r="OX3" i="2" l="1"/>
  <c r="OZ3" i="2" s="1"/>
  <c r="PL3" i="2"/>
  <c r="OS3" i="2"/>
  <c r="OR3" i="2"/>
  <c r="OM3" i="2"/>
  <c r="OL3" i="2"/>
  <c r="OK3" i="2"/>
  <c r="OJ3" i="2"/>
  <c r="J24" i="4" s="1"/>
  <c r="OI3" i="2"/>
  <c r="OC3" i="2"/>
  <c r="OE3" i="2" s="1"/>
  <c r="NZ3" i="2"/>
  <c r="NY204" i="2"/>
  <c r="NY205" i="2"/>
  <c r="OQ3" i="2"/>
  <c r="NX3" i="2"/>
  <c r="NW3" i="2"/>
  <c r="NR3" i="2"/>
  <c r="NQ3" i="2"/>
  <c r="NP3" i="2"/>
  <c r="NO3" i="2"/>
  <c r="NN3" i="2"/>
  <c r="NH3" i="2"/>
  <c r="NJ3" i="2" s="1"/>
  <c r="NE3" i="2"/>
  <c r="ND204" i="2"/>
  <c r="ND205" i="2"/>
  <c r="NV3" i="2"/>
  <c r="NC3" i="2"/>
  <c r="NB3" i="2"/>
  <c r="MW3" i="2"/>
  <c r="MV3" i="2"/>
  <c r="MU3" i="2"/>
  <c r="MT3" i="2"/>
  <c r="MS3" i="2"/>
  <c r="MM3" i="2"/>
  <c r="MG3" i="2"/>
  <c r="NA3" i="2"/>
  <c r="MO3" i="2"/>
  <c r="MH3" i="2"/>
  <c r="MB3" i="2"/>
  <c r="MA3" i="2"/>
  <c r="LZ3" i="2"/>
  <c r="LY3" i="2"/>
  <c r="LX3" i="2"/>
  <c r="LR3" i="2"/>
  <c r="LT3" i="2" s="1"/>
  <c r="LO3" i="2"/>
  <c r="LN204" i="2"/>
  <c r="LN205" i="2"/>
  <c r="MF3" i="2"/>
  <c r="LM3" i="2"/>
  <c r="LL3" i="2"/>
  <c r="LG3" i="2"/>
  <c r="LF3" i="2"/>
  <c r="LE3" i="2"/>
  <c r="LD3" i="2"/>
  <c r="LC3" i="2"/>
  <c r="KW3" i="2"/>
  <c r="KY3" i="2" s="1"/>
  <c r="KT3" i="2"/>
  <c r="KS204" i="2"/>
  <c r="KS205" i="2"/>
  <c r="LK3" i="2"/>
  <c r="KR3" i="2"/>
  <c r="KQ3" i="2"/>
  <c r="KL3" i="2"/>
  <c r="KK3" i="2"/>
  <c r="JY3" i="2"/>
  <c r="JX204" i="2"/>
  <c r="JX205" i="2"/>
  <c r="JO3" i="2"/>
  <c r="JN3" i="2"/>
  <c r="JM3" i="2"/>
  <c r="KP3" i="2"/>
  <c r="KJ3" i="2"/>
  <c r="KI3" i="2"/>
  <c r="KH3" i="2"/>
  <c r="KB3" i="2"/>
  <c r="KD3" i="2" s="1"/>
  <c r="JW3" i="2"/>
  <c r="JV3" i="2"/>
  <c r="JD3" i="2"/>
  <c r="JG3" i="2"/>
  <c r="JI3" i="2" s="1"/>
  <c r="JQ3" i="2"/>
  <c r="JP3" i="2"/>
  <c r="JC204" i="2"/>
  <c r="JC205" i="2"/>
  <c r="JU3" i="2"/>
  <c r="JB3" i="2"/>
  <c r="JA3" i="2"/>
  <c r="IV3" i="2"/>
  <c r="IU3" i="2"/>
  <c r="IT3" i="2"/>
  <c r="IS3" i="2"/>
  <c r="IR3" i="2"/>
  <c r="IL3" i="2"/>
  <c r="IN3" i="2" s="1"/>
  <c r="II3" i="2"/>
  <c r="IH204" i="2"/>
  <c r="IH205" i="2"/>
  <c r="IZ3" i="2"/>
  <c r="IG3" i="2"/>
  <c r="IF3" i="2"/>
  <c r="GV3" i="2"/>
  <c r="HD3" i="2"/>
  <c r="HE3" i="2"/>
  <c r="HF3" i="2"/>
  <c r="HQ3" i="2"/>
  <c r="HS3" i="2" s="1"/>
  <c r="HN3" i="2"/>
  <c r="HM204" i="2"/>
  <c r="HM205" i="2"/>
  <c r="HL3" i="2"/>
  <c r="HK3" i="2"/>
  <c r="IE3" i="2"/>
  <c r="IA3" i="2"/>
  <c r="HZ3" i="2"/>
  <c r="HY3" i="2"/>
  <c r="HX3" i="2"/>
  <c r="HW3" i="2"/>
  <c r="GP1" i="2"/>
  <c r="HK1" i="2"/>
  <c r="IF1" i="2"/>
  <c r="JA1" i="2"/>
  <c r="JV1" i="2"/>
  <c r="KQ1" i="2"/>
  <c r="LL1" i="2"/>
  <c r="MG1" i="2"/>
  <c r="NB1" i="2"/>
  <c r="NW1" i="2"/>
  <c r="OR1" i="2"/>
  <c r="A25" i="4"/>
  <c r="A24" i="4"/>
  <c r="A23" i="4"/>
  <c r="A22" i="4"/>
  <c r="A21" i="4"/>
  <c r="A20" i="4"/>
  <c r="A19" i="4"/>
  <c r="A18" i="4"/>
  <c r="A17" i="4"/>
  <c r="A16" i="4"/>
  <c r="A15" i="4"/>
  <c r="A14" i="4"/>
  <c r="B535" i="1"/>
  <c r="B509" i="1"/>
  <c r="B483" i="1"/>
  <c r="B457" i="1"/>
  <c r="B431" i="1"/>
  <c r="B405" i="1"/>
  <c r="B379" i="1"/>
  <c r="B353" i="1"/>
  <c r="B327" i="1"/>
  <c r="B301" i="1"/>
  <c r="B276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D18" i="1"/>
  <c r="B15" i="4" s="1"/>
  <c r="D19" i="1"/>
  <c r="D20" i="1"/>
  <c r="D21" i="1"/>
  <c r="D22" i="1"/>
  <c r="D23" i="1"/>
  <c r="D24" i="1"/>
  <c r="D25" i="1"/>
  <c r="D26" i="1"/>
  <c r="D27" i="1"/>
  <c r="D28" i="1"/>
  <c r="U29" i="6" s="1"/>
  <c r="V29" i="6" s="1"/>
  <c r="B18" i="4" l="1"/>
  <c r="U22" i="6"/>
  <c r="B21" i="4"/>
  <c r="J21" i="4" s="1"/>
  <c r="K21" i="4" s="1"/>
  <c r="U25" i="6"/>
  <c r="V25" i="6" s="1"/>
  <c r="B22" i="4"/>
  <c r="U26" i="6"/>
  <c r="V26" i="6" s="1"/>
  <c r="B17" i="4"/>
  <c r="J17" i="4" s="1"/>
  <c r="U21" i="6"/>
  <c r="V21" i="6" s="1"/>
  <c r="B24" i="4"/>
  <c r="U28" i="6"/>
  <c r="V28" i="6" s="1"/>
  <c r="B20" i="4"/>
  <c r="U24" i="6"/>
  <c r="V24" i="6" s="1"/>
  <c r="B16" i="4"/>
  <c r="J16" i="4" s="1"/>
  <c r="U20" i="6"/>
  <c r="V20" i="6" s="1"/>
  <c r="B23" i="4"/>
  <c r="U27" i="6"/>
  <c r="V27" i="6" s="1"/>
  <c r="B19" i="4"/>
  <c r="U23" i="6"/>
  <c r="V23" i="6" s="1"/>
  <c r="HT3" i="2"/>
  <c r="J23" i="4"/>
  <c r="K23" i="4" s="1"/>
  <c r="MP3" i="2"/>
  <c r="KE3" i="2"/>
  <c r="KZ3" i="2"/>
  <c r="OF3" i="2"/>
  <c r="PA3" i="2"/>
  <c r="NK3" i="2"/>
  <c r="LU3" i="2"/>
  <c r="IO3" i="2"/>
  <c r="JJ3" i="2"/>
  <c r="J22" i="4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G204" i="2" l="1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5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256" i="1"/>
  <c r="I255" i="1"/>
  <c r="I281" i="1"/>
  <c r="I280" i="1"/>
  <c r="I25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50" i="1"/>
  <c r="B224" i="1"/>
  <c r="B198" i="1"/>
  <c r="B172" i="1"/>
  <c r="B146" i="1"/>
  <c r="B120" i="1"/>
  <c r="B94" i="1"/>
  <c r="B68" i="1"/>
  <c r="B42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52" i="1"/>
  <c r="I153" i="1"/>
  <c r="I154" i="1"/>
  <c r="I155" i="1"/>
  <c r="I156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28" i="1"/>
  <c r="I202" i="1"/>
  <c r="I176" i="1"/>
  <c r="I150" i="1"/>
  <c r="I124" i="1"/>
  <c r="I98" i="1"/>
  <c r="I72" i="1"/>
  <c r="A49" i="4" l="1"/>
  <c r="A31" i="4"/>
  <c r="D9" i="1" l="1"/>
  <c r="D10" i="1"/>
  <c r="D11" i="1"/>
  <c r="I47" i="1" l="1"/>
  <c r="I4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T22" i="6" s="1"/>
  <c r="V22" i="6" s="1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76" i="4"/>
  <c r="A158" i="4"/>
  <c r="A140" i="4"/>
  <c r="A122" i="4"/>
  <c r="A104" i="4"/>
  <c r="A86" i="4"/>
  <c r="A67" i="4"/>
  <c r="A19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51" i="1"/>
  <c r="I177" i="1"/>
  <c r="P63" i="6" l="1"/>
  <c r="H15" i="2"/>
  <c r="D16" i="2"/>
  <c r="G16" i="2" s="1"/>
  <c r="P36" i="6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HC3" i="2"/>
  <c r="HB3" i="2"/>
  <c r="GX3" i="2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29" i="1"/>
  <c r="I203" i="1"/>
  <c r="CR3" i="2"/>
  <c r="I125" i="1"/>
  <c r="I99" i="1"/>
  <c r="BB3" i="2"/>
  <c r="AX3" i="2"/>
  <c r="I7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l="1"/>
  <c r="V18" i="6" s="1"/>
  <c r="B14" i="4"/>
  <c r="P66" i="6"/>
  <c r="H18" i="2"/>
  <c r="D19" i="2"/>
  <c r="G19" i="2" s="1"/>
  <c r="P39" i="6"/>
  <c r="B13" i="4"/>
  <c r="B2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29" i="1"/>
  <c r="T37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OG183" i="2" l="1"/>
  <c r="PB9" i="2"/>
  <c r="NL35" i="2"/>
  <c r="OG160" i="2"/>
  <c r="MQ142" i="2"/>
  <c r="PB125" i="2"/>
  <c r="NL165" i="2"/>
  <c r="OG122" i="2"/>
  <c r="OG199" i="2"/>
  <c r="MQ77" i="2"/>
  <c r="OG111" i="2"/>
  <c r="PB34" i="2"/>
  <c r="OG41" i="2"/>
  <c r="OG30" i="2"/>
  <c r="NL130" i="2"/>
  <c r="PB66" i="2"/>
  <c r="PB201" i="2"/>
  <c r="NL199" i="2"/>
  <c r="MQ32" i="2"/>
  <c r="NL92" i="2"/>
  <c r="PB196" i="2"/>
  <c r="MQ49" i="2"/>
  <c r="OG89" i="2"/>
  <c r="MQ65" i="2"/>
  <c r="OG85" i="2"/>
  <c r="OG7" i="2"/>
  <c r="OG171" i="2"/>
  <c r="NL200" i="2"/>
  <c r="PB6" i="2"/>
  <c r="NL176" i="2"/>
  <c r="OG125" i="2"/>
  <c r="OG47" i="2"/>
  <c r="OG173" i="2"/>
  <c r="PB198" i="2"/>
  <c r="NL71" i="2"/>
  <c r="MQ106" i="2"/>
  <c r="NL31" i="2"/>
  <c r="PB145" i="2"/>
  <c r="MQ26" i="2"/>
  <c r="MQ199" i="2"/>
  <c r="NL156" i="2"/>
  <c r="PB184" i="2"/>
  <c r="PB180" i="2"/>
  <c r="PB160" i="2"/>
  <c r="PB112" i="2"/>
  <c r="NL181" i="2"/>
  <c r="PB33" i="2"/>
  <c r="NL44" i="2"/>
  <c r="PB56" i="2"/>
  <c r="MQ172" i="2"/>
  <c r="OG115" i="2"/>
  <c r="OG69" i="2"/>
  <c r="PB28" i="2"/>
  <c r="MQ82" i="2"/>
  <c r="OG96" i="2"/>
  <c r="MQ96" i="2"/>
  <c r="PB114" i="2"/>
  <c r="NL76" i="2"/>
  <c r="PB10" i="2"/>
  <c r="PB135" i="2"/>
  <c r="MQ80" i="2"/>
  <c r="MQ83" i="2"/>
  <c r="PB200" i="2"/>
  <c r="OG42" i="2"/>
  <c r="OG79" i="2"/>
  <c r="NL113" i="2"/>
  <c r="NL152" i="2"/>
  <c r="MQ66" i="2"/>
  <c r="MQ62" i="2"/>
  <c r="MQ130" i="2"/>
  <c r="PB189" i="2"/>
  <c r="PB169" i="2"/>
  <c r="OG18" i="2"/>
  <c r="OG144" i="2"/>
  <c r="OG68" i="2"/>
  <c r="PB186" i="2"/>
  <c r="OG136" i="2"/>
  <c r="NL41" i="2"/>
  <c r="PB151" i="2"/>
  <c r="NL70" i="2"/>
  <c r="NL57" i="2"/>
  <c r="PB130" i="2"/>
  <c r="PB47" i="2"/>
  <c r="MQ59" i="2"/>
  <c r="MQ13" i="2"/>
  <c r="NL123" i="2"/>
  <c r="OG44" i="2"/>
  <c r="NL5" i="2"/>
  <c r="MQ92" i="2"/>
  <c r="NL185" i="2"/>
  <c r="MQ188" i="2"/>
  <c r="PB32" i="2"/>
  <c r="MQ76" i="2"/>
  <c r="MQ68" i="2"/>
  <c r="OG180" i="2"/>
  <c r="OG25" i="2"/>
  <c r="PB89" i="2"/>
  <c r="PB173" i="2"/>
  <c r="MQ5" i="2"/>
  <c r="PB8" i="2"/>
  <c r="PB26" i="2"/>
  <c r="MQ50" i="2"/>
  <c r="NL202" i="2"/>
  <c r="OG8" i="2"/>
  <c r="MQ37" i="2"/>
  <c r="OG202" i="2"/>
  <c r="PB129" i="2"/>
  <c r="OG49" i="2"/>
  <c r="OG174" i="2"/>
  <c r="MQ126" i="2"/>
  <c r="PB111" i="2"/>
  <c r="NL91" i="2"/>
  <c r="OG147" i="2"/>
  <c r="OG40" i="2"/>
  <c r="NL119" i="2"/>
  <c r="PB11" i="2"/>
  <c r="NL193" i="2"/>
  <c r="PB71" i="2"/>
  <c r="PB138" i="2"/>
  <c r="MQ39" i="2"/>
  <c r="OG14" i="2"/>
  <c r="NL151" i="2"/>
  <c r="PB148" i="2"/>
  <c r="OG187" i="2"/>
  <c r="MQ165" i="2"/>
  <c r="PB98" i="2"/>
  <c r="OG168" i="2"/>
  <c r="MQ6" i="2"/>
  <c r="PB117" i="2"/>
  <c r="PB86" i="2"/>
  <c r="NL4" i="2"/>
  <c r="PB132" i="2"/>
  <c r="NL155" i="2"/>
  <c r="PB13" i="2"/>
  <c r="OG139" i="2"/>
  <c r="MQ101" i="2"/>
  <c r="NL54" i="2"/>
  <c r="OG159" i="2"/>
  <c r="NL110" i="2"/>
  <c r="OG128" i="2"/>
  <c r="MQ124" i="2"/>
  <c r="MQ184" i="2"/>
  <c r="OG94" i="2"/>
  <c r="NL43" i="2"/>
  <c r="PB62" i="2"/>
  <c r="PB48" i="2"/>
  <c r="OG92" i="2"/>
  <c r="OG200" i="2"/>
  <c r="PB45" i="2"/>
  <c r="NL19" i="2"/>
  <c r="PB17" i="2"/>
  <c r="NL34" i="2"/>
  <c r="PB38" i="2"/>
  <c r="MQ196" i="2"/>
  <c r="PB175" i="2"/>
  <c r="PB25" i="2"/>
  <c r="PB167" i="2"/>
  <c r="MQ182" i="2"/>
  <c r="MQ69" i="2"/>
  <c r="MQ11" i="2"/>
  <c r="NL18" i="2"/>
  <c r="PB113" i="2"/>
  <c r="MQ201" i="2"/>
  <c r="MQ179" i="2"/>
  <c r="NL124" i="2"/>
  <c r="NL128" i="2"/>
  <c r="OG12" i="2"/>
  <c r="OG137" i="2"/>
  <c r="NL58" i="2"/>
  <c r="NL196" i="2"/>
  <c r="MQ45" i="2"/>
  <c r="OG28" i="2"/>
  <c r="MQ151" i="2"/>
  <c r="MQ148" i="2"/>
  <c r="NL66" i="2"/>
  <c r="PB174" i="2"/>
  <c r="PB171" i="2"/>
  <c r="OG84" i="2"/>
  <c r="OG141" i="2"/>
  <c r="PB31" i="2"/>
  <c r="PB119" i="2"/>
  <c r="NL148" i="2"/>
  <c r="PB107" i="2"/>
  <c r="OG15" i="2"/>
  <c r="NL122" i="2"/>
  <c r="NL7" i="2"/>
  <c r="PB197" i="2"/>
  <c r="MQ119" i="2"/>
  <c r="MQ185" i="2"/>
  <c r="OG65" i="2"/>
  <c r="MQ111" i="2"/>
  <c r="NL59" i="2"/>
  <c r="MQ129" i="2"/>
  <c r="OG57" i="2"/>
  <c r="MQ121" i="2"/>
  <c r="OG195" i="2"/>
  <c r="PB118" i="2"/>
  <c r="OG87" i="2"/>
  <c r="MQ52" i="2"/>
  <c r="NL99" i="2"/>
  <c r="PB40" i="2"/>
  <c r="NL140" i="2"/>
  <c r="PB133" i="2"/>
  <c r="MQ3" i="2"/>
  <c r="NL198" i="2"/>
  <c r="OG64" i="2"/>
  <c r="MQ56" i="2"/>
  <c r="OG33" i="2"/>
  <c r="PB60" i="2"/>
  <c r="OG63" i="2"/>
  <c r="PB76" i="2"/>
  <c r="MQ157" i="2"/>
  <c r="NL53" i="2"/>
  <c r="OG182" i="2"/>
  <c r="OG50" i="2"/>
  <c r="NL10" i="2"/>
  <c r="NL166" i="2"/>
  <c r="PB176" i="2"/>
  <c r="NL160" i="2"/>
  <c r="PB63" i="2"/>
  <c r="NL167" i="2"/>
  <c r="OG26" i="2"/>
  <c r="MQ44" i="2"/>
  <c r="NL87" i="2"/>
  <c r="NL27" i="2"/>
  <c r="PB123" i="2"/>
  <c r="PB43" i="2"/>
  <c r="MQ109" i="2"/>
  <c r="OG90" i="2"/>
  <c r="OG13" i="2"/>
  <c r="OG164" i="2"/>
  <c r="MQ9" i="2"/>
  <c r="PB94" i="2"/>
  <c r="PB19" i="2"/>
  <c r="NL50" i="2"/>
  <c r="PB7" i="2"/>
  <c r="MQ71" i="2"/>
  <c r="OG102" i="2"/>
  <c r="OG135" i="2"/>
  <c r="OG88" i="2"/>
  <c r="OG82" i="2"/>
  <c r="NL38" i="2"/>
  <c r="MQ55" i="2"/>
  <c r="OG29" i="2"/>
  <c r="MQ107" i="2"/>
  <c r="MQ73" i="2"/>
  <c r="NL51" i="2"/>
  <c r="OG72" i="2"/>
  <c r="PB143" i="2"/>
  <c r="OG104" i="2"/>
  <c r="OG193" i="2"/>
  <c r="NL60" i="2"/>
  <c r="NL177" i="2"/>
  <c r="PB115" i="2"/>
  <c r="NL78" i="2"/>
  <c r="PB79" i="2"/>
  <c r="MQ40" i="2"/>
  <c r="PB161" i="2"/>
  <c r="PB64" i="2"/>
  <c r="MQ163" i="2"/>
  <c r="MQ81" i="2"/>
  <c r="NL189" i="2"/>
  <c r="MQ171" i="2"/>
  <c r="OG184" i="2"/>
  <c r="MQ53" i="2"/>
  <c r="MQ99" i="2"/>
  <c r="NL187" i="2"/>
  <c r="PB159" i="2"/>
  <c r="OG123" i="2"/>
  <c r="MQ89" i="2"/>
  <c r="OG17" i="2"/>
  <c r="NL49" i="2"/>
  <c r="OG107" i="2"/>
  <c r="OG190" i="2"/>
  <c r="NL131" i="2"/>
  <c r="PB192" i="2"/>
  <c r="NL62" i="2"/>
  <c r="NL142" i="2"/>
  <c r="MQ139" i="2"/>
  <c r="MQ115" i="2"/>
  <c r="NL127" i="2"/>
  <c r="OG51" i="2"/>
  <c r="PB126" i="2"/>
  <c r="PB153" i="2"/>
  <c r="PB122" i="2"/>
  <c r="NL188" i="2"/>
  <c r="OG118" i="2"/>
  <c r="PB69" i="2"/>
  <c r="PB54" i="2"/>
  <c r="NL12" i="2"/>
  <c r="PB77" i="2"/>
  <c r="NL149" i="2"/>
  <c r="PB110" i="2"/>
  <c r="MQ174" i="2"/>
  <c r="MQ117" i="2"/>
  <c r="OG165" i="2"/>
  <c r="MQ168" i="2"/>
  <c r="MQ123" i="2"/>
  <c r="NL61" i="2"/>
  <c r="MQ176" i="2"/>
  <c r="MQ84" i="2"/>
  <c r="PB157" i="2"/>
  <c r="MQ60" i="2"/>
  <c r="NL105" i="2"/>
  <c r="PB144" i="2"/>
  <c r="NL184" i="2"/>
  <c r="PB156" i="2"/>
  <c r="MQ74" i="2"/>
  <c r="NL114" i="2"/>
  <c r="OG203" i="2"/>
  <c r="MQ193" i="2"/>
  <c r="NL13" i="2"/>
  <c r="OG192" i="2"/>
  <c r="PB15" i="2"/>
  <c r="NL190" i="2"/>
  <c r="PB58" i="2"/>
  <c r="OG163" i="2"/>
  <c r="OG177" i="2"/>
  <c r="MQ155" i="2"/>
  <c r="NL33" i="2"/>
  <c r="NL17" i="2"/>
  <c r="PB178" i="2"/>
  <c r="NL180" i="2"/>
  <c r="OG185" i="2"/>
  <c r="NL85" i="2"/>
  <c r="OG154" i="2"/>
  <c r="MQ133" i="2"/>
  <c r="OG35" i="2"/>
  <c r="NL30" i="2"/>
  <c r="OG4" i="2"/>
  <c r="PB202" i="2"/>
  <c r="MQ187" i="2"/>
  <c r="OG46" i="2"/>
  <c r="OG166" i="2"/>
  <c r="NL46" i="2"/>
  <c r="MQ170" i="2"/>
  <c r="PB39" i="2"/>
  <c r="PB42" i="2"/>
  <c r="OG151" i="2"/>
  <c r="OG55" i="2"/>
  <c r="PB5" i="2"/>
  <c r="MQ159" i="2"/>
  <c r="NL84" i="2"/>
  <c r="OG130" i="2"/>
  <c r="OG54" i="2"/>
  <c r="NL170" i="2"/>
  <c r="NL154" i="2"/>
  <c r="MQ132" i="2"/>
  <c r="OG39" i="2"/>
  <c r="MQ42" i="2"/>
  <c r="PB97" i="2"/>
  <c r="OG24" i="2"/>
  <c r="NL45" i="2"/>
  <c r="OG175" i="2"/>
  <c r="PB3" i="2"/>
  <c r="OG70" i="2"/>
  <c r="OG106" i="2"/>
  <c r="PB16" i="2"/>
  <c r="OG101" i="2"/>
  <c r="NL23" i="2"/>
  <c r="PB96" i="2"/>
  <c r="MQ29" i="2"/>
  <c r="NL96" i="2"/>
  <c r="PB61" i="2"/>
  <c r="PB195" i="2"/>
  <c r="MQ21" i="2"/>
  <c r="MQ100" i="2"/>
  <c r="NL183" i="2"/>
  <c r="MQ164" i="2"/>
  <c r="OG140" i="2"/>
  <c r="MQ38" i="2"/>
  <c r="OG36" i="2"/>
  <c r="MQ146" i="2"/>
  <c r="NL141" i="2"/>
  <c r="PB194" i="2"/>
  <c r="OG112" i="2"/>
  <c r="NL25" i="2"/>
  <c r="NL67" i="2"/>
  <c r="MQ41" i="2"/>
  <c r="OG53" i="2"/>
  <c r="NL159" i="2"/>
  <c r="PB128" i="2"/>
  <c r="NL145" i="2"/>
  <c r="NL179" i="2"/>
  <c r="MQ136" i="2"/>
  <c r="OG98" i="2"/>
  <c r="OG27" i="2"/>
  <c r="NL56" i="2"/>
  <c r="PB137" i="2"/>
  <c r="PB104" i="2"/>
  <c r="PB136" i="2"/>
  <c r="NL101" i="2"/>
  <c r="OG110" i="2"/>
  <c r="PB163" i="2"/>
  <c r="PB93" i="2"/>
  <c r="NL121" i="2"/>
  <c r="NL55" i="2"/>
  <c r="PB182" i="2"/>
  <c r="MQ20" i="2"/>
  <c r="MQ177" i="2"/>
  <c r="OG196" i="2"/>
  <c r="OG153" i="2"/>
  <c r="MQ198" i="2"/>
  <c r="OG60" i="2"/>
  <c r="NL186" i="2"/>
  <c r="MQ48" i="2"/>
  <c r="MQ67" i="2"/>
  <c r="MQ87" i="2"/>
  <c r="MQ10" i="2"/>
  <c r="OG16" i="2"/>
  <c r="PB191" i="2"/>
  <c r="OG11" i="2"/>
  <c r="PB87" i="2"/>
  <c r="OG23" i="2"/>
  <c r="NL79" i="2"/>
  <c r="OG198" i="2"/>
  <c r="MQ95" i="2"/>
  <c r="OG155" i="2"/>
  <c r="PB120" i="2"/>
  <c r="NL100" i="2"/>
  <c r="PB190" i="2"/>
  <c r="OG170" i="2"/>
  <c r="OG61" i="2"/>
  <c r="NL147" i="2"/>
  <c r="OG48" i="2"/>
  <c r="OG31" i="2"/>
  <c r="NL201" i="2"/>
  <c r="NL83" i="2"/>
  <c r="MQ91" i="2"/>
  <c r="NL11" i="2"/>
  <c r="OG19" i="2"/>
  <c r="PB146" i="2"/>
  <c r="MQ122" i="2"/>
  <c r="OG134" i="2"/>
  <c r="NL69" i="2"/>
  <c r="MQ147" i="2"/>
  <c r="PB65" i="2"/>
  <c r="PB162" i="2"/>
  <c r="PB121" i="2"/>
  <c r="PB203" i="2"/>
  <c r="MQ150" i="2"/>
  <c r="MQ169" i="2"/>
  <c r="NL197" i="2"/>
  <c r="OG78" i="2"/>
  <c r="NL137" i="2"/>
  <c r="NL136" i="2"/>
  <c r="MQ86" i="2"/>
  <c r="MQ36" i="2"/>
  <c r="PB85" i="2"/>
  <c r="NL48" i="2"/>
  <c r="PB21" i="2"/>
  <c r="OG22" i="2"/>
  <c r="MQ110" i="2"/>
  <c r="PB99" i="2"/>
  <c r="PB59" i="2"/>
  <c r="NL112" i="2"/>
  <c r="MQ197" i="2"/>
  <c r="OG162" i="2"/>
  <c r="NL21" i="2"/>
  <c r="PB199" i="2"/>
  <c r="MQ112" i="2"/>
  <c r="MQ149" i="2"/>
  <c r="OG71" i="2"/>
  <c r="OG103" i="2"/>
  <c r="MQ102" i="2"/>
  <c r="MQ22" i="2"/>
  <c r="MQ180" i="2"/>
  <c r="NL108" i="2"/>
  <c r="MQ12" i="2"/>
  <c r="OG74" i="2"/>
  <c r="NL15" i="2"/>
  <c r="MQ98" i="2"/>
  <c r="NL115" i="2"/>
  <c r="OG131" i="2"/>
  <c r="NL109" i="2"/>
  <c r="PB72" i="2"/>
  <c r="PB187" i="2"/>
  <c r="NL86" i="2"/>
  <c r="MQ19" i="2"/>
  <c r="NL191" i="2"/>
  <c r="NL103" i="2"/>
  <c r="PB108" i="2"/>
  <c r="PB116" i="2"/>
  <c r="OG186" i="2"/>
  <c r="NL129" i="2"/>
  <c r="OG191" i="2"/>
  <c r="MQ51" i="2"/>
  <c r="PB81" i="2"/>
  <c r="PB92" i="2"/>
  <c r="PB84" i="2"/>
  <c r="PB147" i="2"/>
  <c r="MQ43" i="2"/>
  <c r="NL158" i="2"/>
  <c r="OG179" i="2"/>
  <c r="MQ97" i="2"/>
  <c r="MQ183" i="2"/>
  <c r="NL133" i="2"/>
  <c r="MQ114" i="2"/>
  <c r="MQ156" i="2"/>
  <c r="NL164" i="2"/>
  <c r="NL32" i="2"/>
  <c r="PB102" i="2"/>
  <c r="OG145" i="2"/>
  <c r="MQ75" i="2"/>
  <c r="PB41" i="2"/>
  <c r="PB18" i="2"/>
  <c r="MQ118" i="2"/>
  <c r="NL135" i="2"/>
  <c r="PB103" i="2"/>
  <c r="PB155" i="2"/>
  <c r="PB82" i="2"/>
  <c r="OG99" i="2"/>
  <c r="MQ35" i="2"/>
  <c r="OG113" i="2"/>
  <c r="OG156" i="2"/>
  <c r="MQ200" i="2"/>
  <c r="NL168" i="2"/>
  <c r="PB80" i="2"/>
  <c r="NL16" i="2"/>
  <c r="OG157" i="2"/>
  <c r="NL182" i="2"/>
  <c r="OG52" i="2"/>
  <c r="OG116" i="2"/>
  <c r="MQ88" i="2"/>
  <c r="NL14" i="2"/>
  <c r="NL163" i="2"/>
  <c r="PB139" i="2"/>
  <c r="MQ72" i="2"/>
  <c r="MQ104" i="2"/>
  <c r="NL9" i="2"/>
  <c r="OG32" i="2"/>
  <c r="MQ113" i="2"/>
  <c r="MQ94" i="2"/>
  <c r="PB188" i="2"/>
  <c r="NL8" i="2"/>
  <c r="PB177" i="2"/>
  <c r="PB179" i="2"/>
  <c r="OG80" i="2"/>
  <c r="MQ195" i="2"/>
  <c r="NL40" i="2"/>
  <c r="OG152" i="2"/>
  <c r="NL175" i="2"/>
  <c r="OG20" i="2"/>
  <c r="NL37" i="2"/>
  <c r="MQ54" i="2"/>
  <c r="MQ64" i="2"/>
  <c r="OG133" i="2"/>
  <c r="PB53" i="2"/>
  <c r="MQ134" i="2"/>
  <c r="NL72" i="2"/>
  <c r="PB88" i="2"/>
  <c r="OG178" i="2"/>
  <c r="MQ33" i="2"/>
  <c r="PB149" i="2"/>
  <c r="MQ138" i="2"/>
  <c r="PB30" i="2"/>
  <c r="OG91" i="2"/>
  <c r="NL75" i="2"/>
  <c r="NL162" i="2"/>
  <c r="NL146" i="2"/>
  <c r="NL77" i="2"/>
  <c r="MQ125" i="2"/>
  <c r="MQ116" i="2"/>
  <c r="OG188" i="2"/>
  <c r="OG169" i="2"/>
  <c r="NL173" i="2"/>
  <c r="MQ70" i="2"/>
  <c r="MQ191" i="2"/>
  <c r="OG132" i="2"/>
  <c r="MQ202" i="2"/>
  <c r="PB57" i="2"/>
  <c r="OG66" i="2"/>
  <c r="MQ166" i="2"/>
  <c r="NL74" i="2"/>
  <c r="OG201" i="2"/>
  <c r="NL157" i="2"/>
  <c r="OG97" i="2"/>
  <c r="OG9" i="2"/>
  <c r="OG108" i="2"/>
  <c r="NL24" i="2"/>
  <c r="PB68" i="2"/>
  <c r="NL39" i="2"/>
  <c r="NL150" i="2"/>
  <c r="NL93" i="2"/>
  <c r="PB83" i="2"/>
  <c r="MQ16" i="2"/>
  <c r="OG21" i="2"/>
  <c r="NL120" i="2"/>
  <c r="PB158" i="2"/>
  <c r="MQ144" i="2"/>
  <c r="PB166" i="2"/>
  <c r="PB181" i="2"/>
  <c r="OG158" i="2"/>
  <c r="PB44" i="2"/>
  <c r="OG34" i="2"/>
  <c r="OG93" i="2"/>
  <c r="NL132" i="2"/>
  <c r="OG38" i="2"/>
  <c r="MQ143" i="2"/>
  <c r="OG73" i="2"/>
  <c r="MQ186" i="2"/>
  <c r="PB49" i="2"/>
  <c r="MQ8" i="2"/>
  <c r="NL106" i="2"/>
  <c r="NL82" i="2"/>
  <c r="PB51" i="2"/>
  <c r="MQ30" i="2"/>
  <c r="PB170" i="2"/>
  <c r="PB193" i="2"/>
  <c r="MQ158" i="2"/>
  <c r="NL20" i="2"/>
  <c r="NL171" i="2"/>
  <c r="MQ135" i="2"/>
  <c r="MQ25" i="2"/>
  <c r="PB106" i="2"/>
  <c r="OG109" i="2"/>
  <c r="MQ190" i="2"/>
  <c r="NL73" i="2"/>
  <c r="PB36" i="2"/>
  <c r="MQ14" i="2"/>
  <c r="OG10" i="2"/>
  <c r="NL117" i="2"/>
  <c r="PB4" i="2"/>
  <c r="OG121" i="2"/>
  <c r="OG197" i="2"/>
  <c r="NL88" i="2"/>
  <c r="MQ140" i="2"/>
  <c r="NL116" i="2"/>
  <c r="PB105" i="2"/>
  <c r="MQ160" i="2"/>
  <c r="OG86" i="2"/>
  <c r="NL65" i="2"/>
  <c r="PB172" i="2"/>
  <c r="MQ7" i="2"/>
  <c r="OG58" i="2"/>
  <c r="MQ18" i="2"/>
  <c r="PB70" i="2"/>
  <c r="MQ203" i="2"/>
  <c r="NL98" i="2"/>
  <c r="PB95" i="2"/>
  <c r="MQ167" i="2"/>
  <c r="NL26" i="2"/>
  <c r="OG181" i="2"/>
  <c r="NL97" i="2"/>
  <c r="OG83" i="2"/>
  <c r="NL63" i="2"/>
  <c r="NL153" i="2"/>
  <c r="MQ162" i="2"/>
  <c r="PB75" i="2"/>
  <c r="MQ63" i="2"/>
  <c r="NL194" i="2"/>
  <c r="PB154" i="2"/>
  <c r="NL174" i="2"/>
  <c r="OG142" i="2"/>
  <c r="PB142" i="2"/>
  <c r="NL138" i="2"/>
  <c r="PB91" i="2"/>
  <c r="OG189" i="2"/>
  <c r="OG77" i="2"/>
  <c r="NL29" i="2"/>
  <c r="NL6" i="2"/>
  <c r="PB73" i="2"/>
  <c r="OG146" i="2"/>
  <c r="MQ120" i="2"/>
  <c r="OG194" i="2"/>
  <c r="OG127" i="2"/>
  <c r="MQ78" i="2"/>
  <c r="MQ152" i="2"/>
  <c r="PB101" i="2"/>
  <c r="MQ127" i="2"/>
  <c r="PB150" i="2"/>
  <c r="PB12" i="2"/>
  <c r="MQ153" i="2"/>
  <c r="OG6" i="2"/>
  <c r="OG45" i="2"/>
  <c r="NL94" i="2"/>
  <c r="NL178" i="2"/>
  <c r="OG124" i="2"/>
  <c r="NL90" i="2"/>
  <c r="OG172" i="2"/>
  <c r="NL143" i="2"/>
  <c r="MQ178" i="2"/>
  <c r="NL95" i="2"/>
  <c r="OG143" i="2"/>
  <c r="NL169" i="2"/>
  <c r="MQ108" i="2"/>
  <c r="OG167" i="2"/>
  <c r="PB127" i="2"/>
  <c r="MQ141" i="2"/>
  <c r="PB134" i="2"/>
  <c r="MQ23" i="2"/>
  <c r="PB168" i="2"/>
  <c r="MQ181" i="2"/>
  <c r="NL52" i="2"/>
  <c r="OG129" i="2"/>
  <c r="PB185" i="2"/>
  <c r="OG37" i="2"/>
  <c r="MQ161" i="2"/>
  <c r="OG119" i="2"/>
  <c r="OG126" i="2"/>
  <c r="OG120" i="2"/>
  <c r="MQ46" i="2"/>
  <c r="MQ131" i="2"/>
  <c r="MQ137" i="2"/>
  <c r="PB141" i="2"/>
  <c r="MQ24" i="2"/>
  <c r="NL134" i="2"/>
  <c r="OG150" i="2"/>
  <c r="PB46" i="2"/>
  <c r="PB165" i="2"/>
  <c r="NL126" i="2"/>
  <c r="NL203" i="2"/>
  <c r="MQ192" i="2"/>
  <c r="OG100" i="2"/>
  <c r="PB23" i="2"/>
  <c r="NL42" i="2"/>
  <c r="OG67" i="2"/>
  <c r="MQ17" i="2"/>
  <c r="NL192" i="2"/>
  <c r="OG117" i="2"/>
  <c r="MQ103" i="2"/>
  <c r="NL64" i="2"/>
  <c r="OG105" i="2"/>
  <c r="PB131" i="2"/>
  <c r="NL81" i="2"/>
  <c r="NL89" i="2"/>
  <c r="MQ90" i="2"/>
  <c r="OG75" i="2"/>
  <c r="OG176" i="2"/>
  <c r="PB24" i="2"/>
  <c r="OG5" i="2"/>
  <c r="PB27" i="2"/>
  <c r="MQ61" i="2"/>
  <c r="MQ15" i="2"/>
  <c r="OG148" i="2"/>
  <c r="NL111" i="2"/>
  <c r="MQ128" i="2"/>
  <c r="NL107" i="2"/>
  <c r="OG3" i="2"/>
  <c r="MQ173" i="2"/>
  <c r="NL139" i="2"/>
  <c r="NL125" i="2"/>
  <c r="MQ93" i="2"/>
  <c r="PB100" i="2"/>
  <c r="MQ28" i="2"/>
  <c r="OG59" i="2"/>
  <c r="OG56" i="2"/>
  <c r="OG76" i="2"/>
  <c r="PB140" i="2"/>
  <c r="OG62" i="2"/>
  <c r="PB37" i="2"/>
  <c r="NL28" i="2"/>
  <c r="PB52" i="2"/>
  <c r="PB55" i="2"/>
  <c r="MQ194" i="2"/>
  <c r="NL80" i="2"/>
  <c r="NL36" i="2"/>
  <c r="PB183" i="2"/>
  <c r="MQ85" i="2"/>
  <c r="NL47" i="2"/>
  <c r="OG95" i="2"/>
  <c r="MQ175" i="2"/>
  <c r="PB67" i="2"/>
  <c r="NL118" i="2"/>
  <c r="PB50" i="2"/>
  <c r="PB35" i="2"/>
  <c r="MQ31" i="2"/>
  <c r="MQ34" i="2"/>
  <c r="PB20" i="2"/>
  <c r="PB152" i="2"/>
  <c r="NL195" i="2"/>
  <c r="NL144" i="2"/>
  <c r="OG114" i="2"/>
  <c r="NL22" i="2"/>
  <c r="MQ58" i="2"/>
  <c r="PB78" i="2"/>
  <c r="MQ79" i="2"/>
  <c r="OG138" i="2"/>
  <c r="PB22" i="2"/>
  <c r="MQ154" i="2"/>
  <c r="OG149" i="2"/>
  <c r="PB14" i="2"/>
  <c r="OG161" i="2"/>
  <c r="PB109" i="2"/>
  <c r="MQ4" i="2"/>
  <c r="PB164" i="2"/>
  <c r="NL172" i="2"/>
  <c r="NL3" i="2"/>
  <c r="PB29" i="2"/>
  <c r="PB74" i="2"/>
  <c r="MQ145" i="2"/>
  <c r="MQ189" i="2"/>
  <c r="OG43" i="2"/>
  <c r="NL104" i="2"/>
  <c r="OG81" i="2"/>
  <c r="NL68" i="2"/>
  <c r="MQ57" i="2"/>
  <c r="MQ47" i="2"/>
  <c r="PB124" i="2"/>
  <c r="MQ27" i="2"/>
  <c r="NL161" i="2"/>
  <c r="NL102" i="2"/>
  <c r="PB90" i="2"/>
  <c r="MQ105" i="2"/>
  <c r="C24" i="4"/>
  <c r="C23" i="4"/>
  <c r="C25" i="4"/>
  <c r="C22" i="4"/>
  <c r="P82" i="6"/>
  <c r="H34" i="2"/>
  <c r="D35" i="2"/>
  <c r="G35" i="2" s="1"/>
  <c r="P55" i="6"/>
  <c r="D24" i="4" l="1"/>
  <c r="D23" i="4"/>
  <c r="E23" i="4" s="1"/>
  <c r="F23" i="4" s="1"/>
  <c r="G23" i="4" s="1"/>
  <c r="D22" i="4"/>
  <c r="D25" i="4"/>
  <c r="P83" i="6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49" i="1"/>
  <c r="I4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29" i="1"/>
  <c r="C30" i="1" s="1"/>
  <c r="KH4" i="2" l="1"/>
  <c r="KI4" i="2"/>
  <c r="OU4" i="2"/>
  <c r="PG4" i="2"/>
  <c r="PD4" i="2"/>
  <c r="PH4" i="2"/>
  <c r="MI4" i="2"/>
  <c r="OT4" i="2"/>
  <c r="PE4" i="2"/>
  <c r="PF4" i="2"/>
  <c r="MJ4" i="2"/>
  <c r="OR4" i="2"/>
  <c r="OM4" i="2"/>
  <c r="OS4" i="2"/>
  <c r="OL4" i="2"/>
  <c r="OK4" i="2"/>
  <c r="OJ4" i="2"/>
  <c r="OI4" i="2"/>
  <c r="NY4" i="2"/>
  <c r="NZ4" i="2"/>
  <c r="NQ4" i="2"/>
  <c r="NX4" i="2"/>
  <c r="NO4" i="2"/>
  <c r="NW4" i="2"/>
  <c r="NR4" i="2"/>
  <c r="NE4" i="2"/>
  <c r="ND4" i="2"/>
  <c r="NN4" i="2"/>
  <c r="NP4" i="2"/>
  <c r="NC4" i="2"/>
  <c r="MT4" i="2"/>
  <c r="NB4" i="2"/>
  <c r="MW4" i="2"/>
  <c r="MS4" i="2"/>
  <c r="MV4" i="2"/>
  <c r="MU4" i="2"/>
  <c r="LZ4" i="2"/>
  <c r="LO4" i="2"/>
  <c r="MH4" i="2"/>
  <c r="LY4" i="2"/>
  <c r="MG4" i="2"/>
  <c r="MB4" i="2"/>
  <c r="LX4" i="2"/>
  <c r="MA4" i="2"/>
  <c r="LF4" i="2"/>
  <c r="LM4" i="2"/>
  <c r="LE4" i="2"/>
  <c r="KT4" i="2"/>
  <c r="LN4" i="2"/>
  <c r="LL4" i="2"/>
  <c r="LD4" i="2"/>
  <c r="KS4" i="2"/>
  <c r="LG4" i="2"/>
  <c r="LC4" i="2"/>
  <c r="KK4" i="2"/>
  <c r="JM4" i="2"/>
  <c r="JP4" i="2"/>
  <c r="KR4" i="2"/>
  <c r="JY4" i="2"/>
  <c r="JX4" i="2"/>
  <c r="KJ4" i="2"/>
  <c r="KQ4" i="2"/>
  <c r="JO4" i="2"/>
  <c r="JW4" i="2"/>
  <c r="JC4" i="2"/>
  <c r="KL4" i="2"/>
  <c r="JN4" i="2"/>
  <c r="JV4" i="2"/>
  <c r="JD4" i="2"/>
  <c r="JQ4" i="2"/>
  <c r="IU4" i="2"/>
  <c r="IH4" i="2"/>
  <c r="HE4" i="2"/>
  <c r="IT4" i="2"/>
  <c r="IG4" i="2"/>
  <c r="HF4" i="2"/>
  <c r="JB4" i="2"/>
  <c r="IS4" i="2"/>
  <c r="IF4" i="2"/>
  <c r="JA4" i="2"/>
  <c r="IV4" i="2"/>
  <c r="IR4" i="2"/>
  <c r="II4" i="2"/>
  <c r="HD4" i="2"/>
  <c r="HN4" i="2"/>
  <c r="HL4" i="2"/>
  <c r="HM4" i="2"/>
  <c r="IA4" i="2"/>
  <c r="HW4" i="2"/>
  <c r="HZ4" i="2"/>
  <c r="HK4" i="2"/>
  <c r="HY4" i="2"/>
  <c r="HX4" i="2"/>
  <c r="GQ4" i="2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JR4" i="2" l="1"/>
  <c r="BR4" i="2"/>
  <c r="ME4" i="2"/>
  <c r="MC4" i="2"/>
  <c r="MD4" i="2"/>
  <c r="LI4" i="2"/>
  <c r="LH4" i="2"/>
  <c r="LJ4" i="2"/>
  <c r="MZ4" i="2"/>
  <c r="MY4" i="2"/>
  <c r="MX4" i="2"/>
  <c r="NU4" i="2"/>
  <c r="NT4" i="2"/>
  <c r="NS4" i="2"/>
  <c r="KJ5" i="2"/>
  <c r="KI5" i="2"/>
  <c r="KH5" i="2"/>
  <c r="PF5" i="2"/>
  <c r="PE5" i="2"/>
  <c r="MJ5" i="2"/>
  <c r="OU5" i="2"/>
  <c r="PD5" i="2"/>
  <c r="PG5" i="2"/>
  <c r="PH5" i="2"/>
  <c r="MI5" i="2"/>
  <c r="OT5" i="2"/>
  <c r="OS5" i="2"/>
  <c r="OR5" i="2"/>
  <c r="OM5" i="2"/>
  <c r="OL5" i="2"/>
  <c r="OK5" i="2"/>
  <c r="NZ5" i="2"/>
  <c r="OJ5" i="2"/>
  <c r="OI5" i="2"/>
  <c r="NX5" i="2"/>
  <c r="NR5" i="2"/>
  <c r="NY5" i="2"/>
  <c r="NQ5" i="2"/>
  <c r="NP5" i="2"/>
  <c r="NW5" i="2"/>
  <c r="NO5" i="2"/>
  <c r="ND5" i="2"/>
  <c r="NE5" i="2"/>
  <c r="NB5" i="2"/>
  <c r="NC5" i="2"/>
  <c r="MW5" i="2"/>
  <c r="NN5" i="2"/>
  <c r="MU5" i="2"/>
  <c r="MT5" i="2"/>
  <c r="MS5" i="2"/>
  <c r="MV5" i="2"/>
  <c r="MA5" i="2"/>
  <c r="LZ5" i="2"/>
  <c r="LO5" i="2"/>
  <c r="MH5" i="2"/>
  <c r="LY5" i="2"/>
  <c r="MG5" i="2"/>
  <c r="MB5" i="2"/>
  <c r="LX5" i="2"/>
  <c r="LG5" i="2"/>
  <c r="LC5" i="2"/>
  <c r="KQ5" i="2"/>
  <c r="LN5" i="2"/>
  <c r="LF5" i="2"/>
  <c r="KS5" i="2"/>
  <c r="JA5" i="2"/>
  <c r="LL5" i="2"/>
  <c r="LE5" i="2"/>
  <c r="KT5" i="2"/>
  <c r="JB5" i="2"/>
  <c r="LM5" i="2"/>
  <c r="LD5" i="2"/>
  <c r="KR5" i="2"/>
  <c r="KL5" i="2"/>
  <c r="JX5" i="2"/>
  <c r="JN5" i="2"/>
  <c r="JD5" i="2"/>
  <c r="JW5" i="2"/>
  <c r="JQ5" i="2"/>
  <c r="KK5" i="2"/>
  <c r="JM5" i="2"/>
  <c r="JP5" i="2"/>
  <c r="JY5" i="2"/>
  <c r="JO5" i="2"/>
  <c r="JV5" i="2"/>
  <c r="IV5" i="2"/>
  <c r="IR5" i="2"/>
  <c r="HD5" i="2"/>
  <c r="HN5" i="2"/>
  <c r="JC5" i="2"/>
  <c r="IU5" i="2"/>
  <c r="II5" i="2"/>
  <c r="IH5" i="2"/>
  <c r="IF5" i="2"/>
  <c r="HE5" i="2"/>
  <c r="IT5" i="2"/>
  <c r="IG5" i="2"/>
  <c r="HF5" i="2"/>
  <c r="IS5" i="2"/>
  <c r="HX5" i="2"/>
  <c r="HL5" i="2"/>
  <c r="IA5" i="2"/>
  <c r="HW5" i="2"/>
  <c r="HZ5" i="2"/>
  <c r="HM5" i="2"/>
  <c r="HK5" i="2"/>
  <c r="HY5" i="2"/>
  <c r="IY4" i="2"/>
  <c r="IY5" i="2" s="1"/>
  <c r="IW4" i="2"/>
  <c r="IX4" i="2"/>
  <c r="JT4" i="2"/>
  <c r="KN4" i="2"/>
  <c r="KO4" i="2"/>
  <c r="KM4" i="2"/>
  <c r="IB4" i="2"/>
  <c r="ID4" i="2"/>
  <c r="ID5" i="2" s="1"/>
  <c r="IC4" i="2"/>
  <c r="JS4" i="2"/>
  <c r="ON4" i="2"/>
  <c r="OP4" i="2"/>
  <c r="OO4" i="2"/>
  <c r="PK4" i="2"/>
  <c r="PK5" i="2" s="1"/>
  <c r="PJ4" i="2"/>
  <c r="PJ5" i="2" s="1"/>
  <c r="PI4" i="2"/>
  <c r="HG4" i="2"/>
  <c r="HI4" i="2"/>
  <c r="HI5" i="2" s="1"/>
  <c r="HH4" i="2"/>
  <c r="EC4" i="2"/>
  <c r="GL4" i="2"/>
  <c r="BQ4" i="2"/>
  <c r="EA4" i="2"/>
  <c r="FR4" i="2"/>
  <c r="FQ4" i="2"/>
  <c r="EX4" i="2"/>
  <c r="CM4" i="2"/>
  <c r="FS4" i="2"/>
  <c r="EV4" i="2"/>
  <c r="DG4" i="2"/>
  <c r="GN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GJ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G5" i="2" l="1"/>
  <c r="MD5" i="2"/>
  <c r="LJ5" i="2"/>
  <c r="KP4" i="2"/>
  <c r="IX5" i="2"/>
  <c r="JS5" i="2"/>
  <c r="JR5" i="2"/>
  <c r="JU4" i="2"/>
  <c r="IB5" i="2"/>
  <c r="IE4" i="2"/>
  <c r="MX5" i="2"/>
  <c r="NA4" i="2"/>
  <c r="LH5" i="2"/>
  <c r="LK4" i="2"/>
  <c r="MC5" i="2"/>
  <c r="MF4" i="2"/>
  <c r="KJ6" i="2"/>
  <c r="KI6" i="2"/>
  <c r="KH6" i="2"/>
  <c r="OT6" i="2"/>
  <c r="PE6" i="2"/>
  <c r="MJ6" i="2"/>
  <c r="OU6" i="2"/>
  <c r="PD6" i="2"/>
  <c r="PF6" i="2"/>
  <c r="PG6" i="2"/>
  <c r="PJ6" i="2" s="1"/>
  <c r="PH6" i="2"/>
  <c r="MI6" i="2"/>
  <c r="OR6" i="2"/>
  <c r="OS6" i="2"/>
  <c r="OM6" i="2"/>
  <c r="OL6" i="2"/>
  <c r="OJ6" i="2"/>
  <c r="OK6" i="2"/>
  <c r="NZ6" i="2"/>
  <c r="OI6" i="2"/>
  <c r="NY6" i="2"/>
  <c r="NW6" i="2"/>
  <c r="NR6" i="2"/>
  <c r="NX6" i="2"/>
  <c r="NQ6" i="2"/>
  <c r="NP6" i="2"/>
  <c r="NO6" i="2"/>
  <c r="NN6" i="2"/>
  <c r="ND6" i="2"/>
  <c r="NE6" i="2"/>
  <c r="NB6" i="2"/>
  <c r="NC6" i="2"/>
  <c r="MW6" i="2"/>
  <c r="MV6" i="2"/>
  <c r="MH6" i="2"/>
  <c r="MU6" i="2"/>
  <c r="MT6" i="2"/>
  <c r="MS6" i="2"/>
  <c r="MG6" i="2"/>
  <c r="MB6" i="2"/>
  <c r="LX6" i="2"/>
  <c r="MA6" i="2"/>
  <c r="LZ6" i="2"/>
  <c r="LO6" i="2"/>
  <c r="LY6" i="2"/>
  <c r="LM6" i="2"/>
  <c r="LD6" i="2"/>
  <c r="KR6" i="2"/>
  <c r="LG6" i="2"/>
  <c r="LC6" i="2"/>
  <c r="KQ6" i="2"/>
  <c r="LN6" i="2"/>
  <c r="LF6" i="2"/>
  <c r="KS6" i="2"/>
  <c r="JA6" i="2"/>
  <c r="LL6" i="2"/>
  <c r="LE6" i="2"/>
  <c r="KT6" i="2"/>
  <c r="JB6" i="2"/>
  <c r="JO6" i="2"/>
  <c r="JV6" i="2"/>
  <c r="KL6" i="2"/>
  <c r="JX6" i="2"/>
  <c r="JN6" i="2"/>
  <c r="JD6" i="2"/>
  <c r="JW6" i="2"/>
  <c r="JQ6" i="2"/>
  <c r="KK6" i="2"/>
  <c r="JM6" i="2"/>
  <c r="JP6" i="2"/>
  <c r="JC6" i="2"/>
  <c r="JY6" i="2"/>
  <c r="IS6" i="2"/>
  <c r="IV6" i="2"/>
  <c r="IY6" i="2" s="1"/>
  <c r="IR6" i="2"/>
  <c r="HD6" i="2"/>
  <c r="HN6" i="2"/>
  <c r="IU6" i="2"/>
  <c r="IX6" i="2" s="1"/>
  <c r="II6" i="2"/>
  <c r="IH6" i="2"/>
  <c r="IF6" i="2"/>
  <c r="HE6" i="2"/>
  <c r="IT6" i="2"/>
  <c r="IG6" i="2"/>
  <c r="HF6" i="2"/>
  <c r="HM6" i="2"/>
  <c r="HK6" i="2"/>
  <c r="HY6" i="2"/>
  <c r="HX6" i="2"/>
  <c r="ID6" i="2" s="1"/>
  <c r="HL6" i="2"/>
  <c r="IA6" i="2"/>
  <c r="HW6" i="2"/>
  <c r="HZ6" i="2"/>
  <c r="PK6" i="2"/>
  <c r="IW5" i="2"/>
  <c r="IZ4" i="2"/>
  <c r="NU5" i="2"/>
  <c r="NU6" i="2" s="1"/>
  <c r="OO5" i="2"/>
  <c r="OO6" i="2" s="1"/>
  <c r="PI5" i="2"/>
  <c r="PL4" i="2"/>
  <c r="OP5" i="2"/>
  <c r="OP6" i="2" s="1"/>
  <c r="JT5" i="2"/>
  <c r="NV4" i="2"/>
  <c r="NS5" i="2"/>
  <c r="MY5" i="2"/>
  <c r="LI5" i="2"/>
  <c r="ME5" i="2"/>
  <c r="HH5" i="2"/>
  <c r="ON5" i="2"/>
  <c r="OQ4" i="2"/>
  <c r="IC5" i="2"/>
  <c r="NT5" i="2"/>
  <c r="NT6" i="2" s="1"/>
  <c r="MZ5" i="2"/>
  <c r="MZ6" i="2" s="1"/>
  <c r="EC5" i="2"/>
  <c r="EX5" i="2"/>
  <c r="EA5" i="2"/>
  <c r="FR5" i="2"/>
  <c r="EB5" i="2"/>
  <c r="FS5" i="2"/>
  <c r="GN5" i="2"/>
  <c r="GL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LJ6" i="2" l="1"/>
  <c r="JT6" i="2"/>
  <c r="ME6" i="2"/>
  <c r="MD6" i="2"/>
  <c r="LI6" i="2"/>
  <c r="JU5" i="2"/>
  <c r="IC6" i="2"/>
  <c r="JS6" i="2"/>
  <c r="NU7" i="2"/>
  <c r="LH6" i="2"/>
  <c r="LK5" i="2"/>
  <c r="JR6" i="2"/>
  <c r="HH6" i="2"/>
  <c r="ON6" i="2"/>
  <c r="OQ5" i="2"/>
  <c r="MY6" i="2"/>
  <c r="PI6" i="2"/>
  <c r="PL5" i="2"/>
  <c r="IB6" i="2"/>
  <c r="IE5" i="2"/>
  <c r="KJ7" i="2"/>
  <c r="KI7" i="2"/>
  <c r="KH7" i="2"/>
  <c r="PD7" i="2"/>
  <c r="PH7" i="2"/>
  <c r="PK7" i="2" s="1"/>
  <c r="PF7" i="2"/>
  <c r="PE7" i="2"/>
  <c r="PJ7" i="2" s="1"/>
  <c r="OT7" i="2"/>
  <c r="MJ7" i="2"/>
  <c r="OU7" i="2"/>
  <c r="PG7" i="2"/>
  <c r="MI7" i="2"/>
  <c r="OR7" i="2"/>
  <c r="OS7" i="2"/>
  <c r="OL7" i="2"/>
  <c r="OM7" i="2"/>
  <c r="OK7" i="2"/>
  <c r="OJ7" i="2"/>
  <c r="OO7" i="2" s="1"/>
  <c r="OI7" i="2"/>
  <c r="NZ7" i="2"/>
  <c r="NY7" i="2"/>
  <c r="NW7" i="2"/>
  <c r="NR7" i="2"/>
  <c r="NX7" i="2"/>
  <c r="NQ7" i="2"/>
  <c r="NP7" i="2"/>
  <c r="NC7" i="2"/>
  <c r="NO7" i="2"/>
  <c r="NT7" i="2" s="1"/>
  <c r="NN7" i="2"/>
  <c r="ND7" i="2"/>
  <c r="NE7" i="2"/>
  <c r="NB7" i="2"/>
  <c r="MS7" i="2"/>
  <c r="MV7" i="2"/>
  <c r="MH7" i="2"/>
  <c r="MG7" i="2"/>
  <c r="MW7" i="2"/>
  <c r="MZ7" i="2" s="1"/>
  <c r="MU7" i="2"/>
  <c r="MT7" i="2"/>
  <c r="LY7" i="2"/>
  <c r="MB7" i="2"/>
  <c r="ME7" i="2" s="1"/>
  <c r="LX7" i="2"/>
  <c r="MA7" i="2"/>
  <c r="LZ7" i="2"/>
  <c r="LO7" i="2"/>
  <c r="LL7" i="2"/>
  <c r="LE7" i="2"/>
  <c r="KT7" i="2"/>
  <c r="JB7" i="2"/>
  <c r="LM7" i="2"/>
  <c r="LD7" i="2"/>
  <c r="KR7" i="2"/>
  <c r="LG7" i="2"/>
  <c r="LC7" i="2"/>
  <c r="KQ7" i="2"/>
  <c r="LN7" i="2"/>
  <c r="LF7" i="2"/>
  <c r="KS7" i="2"/>
  <c r="JA7" i="2"/>
  <c r="JY7" i="2"/>
  <c r="JO7" i="2"/>
  <c r="JV7" i="2"/>
  <c r="KL7" i="2"/>
  <c r="JX7" i="2"/>
  <c r="JN7" i="2"/>
  <c r="JD7" i="2"/>
  <c r="JW7" i="2"/>
  <c r="JQ7" i="2"/>
  <c r="KK7" i="2"/>
  <c r="JM7" i="2"/>
  <c r="JP7" i="2"/>
  <c r="JC7" i="2"/>
  <c r="IT7" i="2"/>
  <c r="IG7" i="2"/>
  <c r="HF7" i="2"/>
  <c r="IS7" i="2"/>
  <c r="IV7" i="2"/>
  <c r="IR7" i="2"/>
  <c r="HD7" i="2"/>
  <c r="HN7" i="2"/>
  <c r="IU7" i="2"/>
  <c r="II7" i="2"/>
  <c r="IH7" i="2"/>
  <c r="IF7" i="2"/>
  <c r="HE7" i="2"/>
  <c r="HZ7" i="2"/>
  <c r="K7" i="2"/>
  <c r="HM7" i="2"/>
  <c r="HK7" i="2"/>
  <c r="HY7" i="2"/>
  <c r="HX7" i="2"/>
  <c r="HL7" i="2"/>
  <c r="IA7" i="2"/>
  <c r="ID7" i="2" s="1"/>
  <c r="HW7" i="2"/>
  <c r="NS6" i="2"/>
  <c r="NV5" i="2"/>
  <c r="IW6" i="2"/>
  <c r="IZ5" i="2"/>
  <c r="MF5" i="2"/>
  <c r="MC6" i="2"/>
  <c r="MX6" i="2"/>
  <c r="NA5" i="2"/>
  <c r="KN5" i="2"/>
  <c r="KM5" i="2"/>
  <c r="KO5" i="2"/>
  <c r="HG6" i="2"/>
  <c r="HI6" i="2"/>
  <c r="FR6" i="2"/>
  <c r="EA6" i="2"/>
  <c r="EV6" i="2"/>
  <c r="EC6" i="2"/>
  <c r="EX6" i="2"/>
  <c r="EB6" i="2"/>
  <c r="FS6" i="2"/>
  <c r="GN6" i="2"/>
  <c r="GL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I7" i="2"/>
  <c r="J7" i="2"/>
  <c r="H44" i="2"/>
  <c r="L7" i="2"/>
  <c r="D45" i="2"/>
  <c r="G45" i="2" s="1"/>
  <c r="HJ5" i="2"/>
  <c r="ED5" i="2"/>
  <c r="FT5" i="2"/>
  <c r="EY5" i="2"/>
  <c r="DI5" i="2"/>
  <c r="GJ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MD7" i="2" l="1"/>
  <c r="LJ7" i="2"/>
  <c r="JS7" i="2"/>
  <c r="IX7" i="2"/>
  <c r="IC7" i="2"/>
  <c r="HG7" i="2"/>
  <c r="ON7" i="2"/>
  <c r="OQ6" i="2"/>
  <c r="HH7" i="2"/>
  <c r="MX7" i="2"/>
  <c r="NA6" i="2"/>
  <c r="IW7" i="2"/>
  <c r="IZ6" i="2"/>
  <c r="NS7" i="2"/>
  <c r="NV6" i="2"/>
  <c r="PI7" i="2"/>
  <c r="PL6" i="2"/>
  <c r="LI7" i="2"/>
  <c r="OP7" i="2"/>
  <c r="IY7" i="2"/>
  <c r="JR7" i="2"/>
  <c r="JU6" i="2"/>
  <c r="MC7" i="2"/>
  <c r="MF6" i="2"/>
  <c r="MY7" i="2"/>
  <c r="LH7" i="2"/>
  <c r="LK6" i="2"/>
  <c r="KH8" i="2"/>
  <c r="KJ8" i="2"/>
  <c r="KI8" i="2"/>
  <c r="OU8" i="2"/>
  <c r="PG8" i="2"/>
  <c r="OT8" i="2"/>
  <c r="MI8" i="2"/>
  <c r="PF8" i="2"/>
  <c r="PE8" i="2"/>
  <c r="PK8" i="2" s="1"/>
  <c r="PD8" i="2"/>
  <c r="PH8" i="2"/>
  <c r="MJ8" i="2"/>
  <c r="OR8" i="2"/>
  <c r="OS8" i="2"/>
  <c r="OM8" i="2"/>
  <c r="OK8" i="2"/>
  <c r="OL8" i="2"/>
  <c r="OJ8" i="2"/>
  <c r="OO8" i="2" s="1"/>
  <c r="OI8" i="2"/>
  <c r="NZ8" i="2"/>
  <c r="NX8" i="2"/>
  <c r="NQ8" i="2"/>
  <c r="NY8" i="2"/>
  <c r="NW8" i="2"/>
  <c r="NO8" i="2"/>
  <c r="NT8" i="2" s="1"/>
  <c r="NR8" i="2"/>
  <c r="NE8" i="2"/>
  <c r="NB8" i="2"/>
  <c r="NP8" i="2"/>
  <c r="NC8" i="2"/>
  <c r="NN8" i="2"/>
  <c r="ND8" i="2"/>
  <c r="MT8" i="2"/>
  <c r="MZ8" i="2" s="1"/>
  <c r="MS8" i="2"/>
  <c r="MV8" i="2"/>
  <c r="MH8" i="2"/>
  <c r="MG8" i="2"/>
  <c r="MW8" i="2"/>
  <c r="MU8" i="2"/>
  <c r="LZ8" i="2"/>
  <c r="LO8" i="2"/>
  <c r="LY8" i="2"/>
  <c r="MB8" i="2"/>
  <c r="LX8" i="2"/>
  <c r="MA8" i="2"/>
  <c r="LN8" i="2"/>
  <c r="LF8" i="2"/>
  <c r="KS8" i="2"/>
  <c r="JA8" i="2"/>
  <c r="LL8" i="2"/>
  <c r="LE8" i="2"/>
  <c r="KT8" i="2"/>
  <c r="JB8" i="2"/>
  <c r="LM8" i="2"/>
  <c r="LD8" i="2"/>
  <c r="KR8" i="2"/>
  <c r="LG8" i="2"/>
  <c r="LC8" i="2"/>
  <c r="KQ8" i="2"/>
  <c r="KK8" i="2"/>
  <c r="JM8" i="2"/>
  <c r="JP8" i="2"/>
  <c r="JY8" i="2"/>
  <c r="JO8" i="2"/>
  <c r="JV8" i="2"/>
  <c r="KL8" i="2"/>
  <c r="JX8" i="2"/>
  <c r="JN8" i="2"/>
  <c r="JD8" i="2"/>
  <c r="JW8" i="2"/>
  <c r="JQ8" i="2"/>
  <c r="IU8" i="2"/>
  <c r="II8" i="2"/>
  <c r="IH8" i="2"/>
  <c r="IF8" i="2"/>
  <c r="HE8" i="2"/>
  <c r="IT8" i="2"/>
  <c r="IG8" i="2"/>
  <c r="HF8" i="2"/>
  <c r="JC8" i="2"/>
  <c r="IS8" i="2"/>
  <c r="IV8" i="2"/>
  <c r="IR8" i="2"/>
  <c r="HD8" i="2"/>
  <c r="HN8" i="2"/>
  <c r="HL8" i="2"/>
  <c r="IA8" i="2"/>
  <c r="HW8" i="2"/>
  <c r="HZ8" i="2"/>
  <c r="HM8" i="2"/>
  <c r="HK8" i="2"/>
  <c r="HY8" i="2"/>
  <c r="HX8" i="2"/>
  <c r="JT7" i="2"/>
  <c r="IB7" i="2"/>
  <c r="IE6" i="2"/>
  <c r="KO6" i="2"/>
  <c r="KN6" i="2"/>
  <c r="KN7" i="2" s="1"/>
  <c r="EX7" i="2"/>
  <c r="KM6" i="2"/>
  <c r="KP5" i="2"/>
  <c r="HI7" i="2"/>
  <c r="EA7" i="2"/>
  <c r="EW7" i="2"/>
  <c r="EV7" i="2"/>
  <c r="EB7" i="2"/>
  <c r="FS7" i="2"/>
  <c r="EC7" i="2"/>
  <c r="FQ7" i="2"/>
  <c r="FR7" i="2"/>
  <c r="GN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GJ8" i="2"/>
  <c r="FO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LJ8" i="2" l="1"/>
  <c r="MD8" i="2"/>
  <c r="JS8" i="2"/>
  <c r="IX8" i="2"/>
  <c r="IC8" i="2"/>
  <c r="EX8" i="2"/>
  <c r="KJ9" i="2"/>
  <c r="KI9" i="2"/>
  <c r="KH9" i="2"/>
  <c r="PF9" i="2"/>
  <c r="OU9" i="2"/>
  <c r="PD9" i="2"/>
  <c r="PG9" i="2"/>
  <c r="PH9" i="2"/>
  <c r="MJ9" i="2"/>
  <c r="OT9" i="2"/>
  <c r="MI9" i="2"/>
  <c r="PE9" i="2"/>
  <c r="PK9" i="2" s="1"/>
  <c r="OS9" i="2"/>
  <c r="OR9" i="2"/>
  <c r="OM9" i="2"/>
  <c r="OL9" i="2"/>
  <c r="NZ9" i="2"/>
  <c r="OK9" i="2"/>
  <c r="OJ9" i="2"/>
  <c r="OO9" i="2" s="1"/>
  <c r="OI9" i="2"/>
  <c r="NX9" i="2"/>
  <c r="NR9" i="2"/>
  <c r="NQ9" i="2"/>
  <c r="NP9" i="2"/>
  <c r="NY9" i="2"/>
  <c r="NW9" i="2"/>
  <c r="NO9" i="2"/>
  <c r="NT9" i="2" s="1"/>
  <c r="ND9" i="2"/>
  <c r="NE9" i="2"/>
  <c r="NB9" i="2"/>
  <c r="NC9" i="2"/>
  <c r="MW9" i="2"/>
  <c r="NN9" i="2"/>
  <c r="MU9" i="2"/>
  <c r="MT9" i="2"/>
  <c r="MZ9" i="2" s="1"/>
  <c r="MS9" i="2"/>
  <c r="MV9" i="2"/>
  <c r="MA9" i="2"/>
  <c r="MG9" i="2"/>
  <c r="LZ9" i="2"/>
  <c r="LO9" i="2"/>
  <c r="LY9" i="2"/>
  <c r="MH9" i="2"/>
  <c r="MB9" i="2"/>
  <c r="LX9" i="2"/>
  <c r="LG9" i="2"/>
  <c r="LC9" i="2"/>
  <c r="KQ9" i="2"/>
  <c r="LN9" i="2"/>
  <c r="LF9" i="2"/>
  <c r="KS9" i="2"/>
  <c r="JA9" i="2"/>
  <c r="LL9" i="2"/>
  <c r="LE9" i="2"/>
  <c r="KT9" i="2"/>
  <c r="JB9" i="2"/>
  <c r="LM9" i="2"/>
  <c r="LD9" i="2"/>
  <c r="KR9" i="2"/>
  <c r="KL9" i="2"/>
  <c r="JX9" i="2"/>
  <c r="JN9" i="2"/>
  <c r="JD9" i="2"/>
  <c r="JW9" i="2"/>
  <c r="JQ9" i="2"/>
  <c r="KK9" i="2"/>
  <c r="JM9" i="2"/>
  <c r="JP9" i="2"/>
  <c r="JY9" i="2"/>
  <c r="JO9" i="2"/>
  <c r="JV9" i="2"/>
  <c r="IV9" i="2"/>
  <c r="IR9" i="2"/>
  <c r="HD9" i="2"/>
  <c r="HN9" i="2"/>
  <c r="IU9" i="2"/>
  <c r="II9" i="2"/>
  <c r="IH9" i="2"/>
  <c r="IF9" i="2"/>
  <c r="HE9" i="2"/>
  <c r="IT9" i="2"/>
  <c r="IG9" i="2"/>
  <c r="HF9" i="2"/>
  <c r="JC9" i="2"/>
  <c r="IS9" i="2"/>
  <c r="HX9" i="2"/>
  <c r="HL9" i="2"/>
  <c r="IA9" i="2"/>
  <c r="HW9" i="2"/>
  <c r="HZ9" i="2"/>
  <c r="HM9" i="2"/>
  <c r="HK9" i="2"/>
  <c r="HY9" i="2"/>
  <c r="LH8" i="2"/>
  <c r="LK7" i="2"/>
  <c r="MC8" i="2"/>
  <c r="MF7" i="2"/>
  <c r="NS8" i="2"/>
  <c r="NV7" i="2"/>
  <c r="MX8" i="2"/>
  <c r="NA7" i="2"/>
  <c r="ME8" i="2"/>
  <c r="PJ8" i="2"/>
  <c r="PJ9" i="2" s="1"/>
  <c r="IY8" i="2"/>
  <c r="IY9" i="2" s="1"/>
  <c r="PI8" i="2"/>
  <c r="PL7" i="2"/>
  <c r="ON8" i="2"/>
  <c r="OQ7" i="2"/>
  <c r="MY8" i="2"/>
  <c r="MY9" i="2" s="1"/>
  <c r="OP8" i="2"/>
  <c r="OP9" i="2" s="1"/>
  <c r="IW8" i="2"/>
  <c r="IZ7" i="2"/>
  <c r="ID8" i="2"/>
  <c r="ID9" i="2" s="1"/>
  <c r="HH8" i="2"/>
  <c r="IB8" i="2"/>
  <c r="IE7" i="2"/>
  <c r="JT8" i="2"/>
  <c r="JR8" i="2"/>
  <c r="JU7" i="2"/>
  <c r="LI8" i="2"/>
  <c r="NU8" i="2"/>
  <c r="NU9" i="2" s="1"/>
  <c r="KM7" i="2"/>
  <c r="KP6" i="2"/>
  <c r="KO7" i="2"/>
  <c r="KO8" i="2" s="1"/>
  <c r="KN8" i="2"/>
  <c r="HG8" i="2"/>
  <c r="HI8" i="2"/>
  <c r="EC8" i="2"/>
  <c r="FS8" i="2"/>
  <c r="EV8" i="2"/>
  <c r="EA8" i="2"/>
  <c r="GN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GJ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LJ9" i="2" l="1"/>
  <c r="JT9" i="2"/>
  <c r="ME9" i="2"/>
  <c r="MD9" i="2"/>
  <c r="LI9" i="2"/>
  <c r="JS9" i="2"/>
  <c r="IX9" i="2"/>
  <c r="IC9" i="2"/>
  <c r="HH9" i="2"/>
  <c r="JR9" i="2"/>
  <c r="JU8" i="2"/>
  <c r="NS9" i="2"/>
  <c r="NV8" i="2"/>
  <c r="KJ10" i="2"/>
  <c r="KI10" i="2"/>
  <c r="KH10" i="2"/>
  <c r="OT10" i="2"/>
  <c r="PE10" i="2"/>
  <c r="PK10" i="2" s="1"/>
  <c r="OU10" i="2"/>
  <c r="PD10" i="2"/>
  <c r="PG10" i="2"/>
  <c r="PH10" i="2"/>
  <c r="MJ10" i="2"/>
  <c r="MI10" i="2"/>
  <c r="PF10" i="2"/>
  <c r="OR10" i="2"/>
  <c r="OS10" i="2"/>
  <c r="OM10" i="2"/>
  <c r="OL10" i="2"/>
  <c r="OK10" i="2"/>
  <c r="OJ10" i="2"/>
  <c r="OO10" i="2" s="1"/>
  <c r="NZ10" i="2"/>
  <c r="OI10" i="2"/>
  <c r="NY10" i="2"/>
  <c r="NX10" i="2"/>
  <c r="NW10" i="2"/>
  <c r="NR10" i="2"/>
  <c r="NQ10" i="2"/>
  <c r="NP10" i="2"/>
  <c r="NN10" i="2"/>
  <c r="ND10" i="2"/>
  <c r="NO10" i="2"/>
  <c r="NT10" i="2" s="1"/>
  <c r="NE10" i="2"/>
  <c r="NB10" i="2"/>
  <c r="NC10" i="2"/>
  <c r="MW10" i="2"/>
  <c r="MV10" i="2"/>
  <c r="MH10" i="2"/>
  <c r="MU10" i="2"/>
  <c r="MT10" i="2"/>
  <c r="MZ10" i="2" s="1"/>
  <c r="MS10" i="2"/>
  <c r="MB10" i="2"/>
  <c r="LX10" i="2"/>
  <c r="MA10" i="2"/>
  <c r="MG10" i="2"/>
  <c r="LZ10" i="2"/>
  <c r="LO10" i="2"/>
  <c r="LY10" i="2"/>
  <c r="MD10" i="2" s="1"/>
  <c r="LM10" i="2"/>
  <c r="LD10" i="2"/>
  <c r="KR10" i="2"/>
  <c r="LG10" i="2"/>
  <c r="LC10" i="2"/>
  <c r="KQ10" i="2"/>
  <c r="LN10" i="2"/>
  <c r="LF10" i="2"/>
  <c r="KS10" i="2"/>
  <c r="JA10" i="2"/>
  <c r="LL10" i="2"/>
  <c r="LE10" i="2"/>
  <c r="KT10" i="2"/>
  <c r="JB10" i="2"/>
  <c r="JO10" i="2"/>
  <c r="JV10" i="2"/>
  <c r="KL10" i="2"/>
  <c r="JX10" i="2"/>
  <c r="JN10" i="2"/>
  <c r="JD10" i="2"/>
  <c r="JW10" i="2"/>
  <c r="JQ10" i="2"/>
  <c r="KK10" i="2"/>
  <c r="JM10" i="2"/>
  <c r="JP10" i="2"/>
  <c r="JC10" i="2"/>
  <c r="JY10" i="2"/>
  <c r="IS10" i="2"/>
  <c r="IX10" i="2" s="1"/>
  <c r="IV10" i="2"/>
  <c r="IR10" i="2"/>
  <c r="HD10" i="2"/>
  <c r="HN10" i="2"/>
  <c r="IU10" i="2"/>
  <c r="II10" i="2"/>
  <c r="IH10" i="2"/>
  <c r="IF10" i="2"/>
  <c r="HE10" i="2"/>
  <c r="IT10" i="2"/>
  <c r="IG10" i="2"/>
  <c r="HF10" i="2"/>
  <c r="HM10" i="2"/>
  <c r="HK10" i="2"/>
  <c r="HY10" i="2"/>
  <c r="HX10" i="2"/>
  <c r="HL10" i="2"/>
  <c r="IA10" i="2"/>
  <c r="HW10" i="2"/>
  <c r="HZ10" i="2"/>
  <c r="IB9" i="2"/>
  <c r="IE8" i="2"/>
  <c r="LH9" i="2"/>
  <c r="LK8" i="2"/>
  <c r="ON9" i="2"/>
  <c r="OQ8" i="2"/>
  <c r="PI9" i="2"/>
  <c r="PL8" i="2"/>
  <c r="MX9" i="2"/>
  <c r="NA8" i="2"/>
  <c r="MC9" i="2"/>
  <c r="MF8" i="2"/>
  <c r="NU10" i="2"/>
  <c r="IW9" i="2"/>
  <c r="IZ8" i="2"/>
  <c r="OP10" i="2"/>
  <c r="IY10" i="2"/>
  <c r="PJ10" i="2"/>
  <c r="KN9" i="2"/>
  <c r="KO9" i="2"/>
  <c r="KM8" i="2"/>
  <c r="KP7" i="2"/>
  <c r="HI9" i="2"/>
  <c r="HG9" i="2"/>
  <c r="FS9" i="2"/>
  <c r="EV9" i="2"/>
  <c r="EX9" i="2"/>
  <c r="EC9" i="2"/>
  <c r="GN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LI10" i="2" l="1"/>
  <c r="LJ10" i="2"/>
  <c r="JT10" i="2"/>
  <c r="ID10" i="2"/>
  <c r="JS10" i="2"/>
  <c r="HH10" i="2"/>
  <c r="PJ11" i="2"/>
  <c r="KJ11" i="2"/>
  <c r="KH11" i="2"/>
  <c r="KI11" i="2"/>
  <c r="PD11" i="2"/>
  <c r="PH11" i="2"/>
  <c r="PE11" i="2"/>
  <c r="PK11" i="2" s="1"/>
  <c r="OU11" i="2"/>
  <c r="PF11" i="2"/>
  <c r="PG11" i="2"/>
  <c r="MJ11" i="2"/>
  <c r="MI11" i="2"/>
  <c r="OT11" i="2"/>
  <c r="OR11" i="2"/>
  <c r="OS11" i="2"/>
  <c r="OL11" i="2"/>
  <c r="OM11" i="2"/>
  <c r="OK11" i="2"/>
  <c r="OJ11" i="2"/>
  <c r="OO11" i="2" s="1"/>
  <c r="OI11" i="2"/>
  <c r="NZ11" i="2"/>
  <c r="NY11" i="2"/>
  <c r="NX11" i="2"/>
  <c r="NW11" i="2"/>
  <c r="NR11" i="2"/>
  <c r="NQ11" i="2"/>
  <c r="NC11" i="2"/>
  <c r="NN11" i="2"/>
  <c r="NP11" i="2"/>
  <c r="ND11" i="2"/>
  <c r="NO11" i="2"/>
  <c r="NU11" i="2" s="1"/>
  <c r="NE11" i="2"/>
  <c r="NB11" i="2"/>
  <c r="MW11" i="2"/>
  <c r="MS11" i="2"/>
  <c r="MV11" i="2"/>
  <c r="MH11" i="2"/>
  <c r="MG11" i="2"/>
  <c r="MU11" i="2"/>
  <c r="MT11" i="2"/>
  <c r="MZ11" i="2" s="1"/>
  <c r="LY11" i="2"/>
  <c r="MB11" i="2"/>
  <c r="LX11" i="2"/>
  <c r="MA11" i="2"/>
  <c r="LZ11" i="2"/>
  <c r="LO11" i="2"/>
  <c r="LL11" i="2"/>
  <c r="LE11" i="2"/>
  <c r="KT11" i="2"/>
  <c r="JB11" i="2"/>
  <c r="LM11" i="2"/>
  <c r="LD11" i="2"/>
  <c r="KR11" i="2"/>
  <c r="LG11" i="2"/>
  <c r="LC11" i="2"/>
  <c r="KQ11" i="2"/>
  <c r="LN11" i="2"/>
  <c r="LF11" i="2"/>
  <c r="KS11" i="2"/>
  <c r="JA11" i="2"/>
  <c r="JY11" i="2"/>
  <c r="JO11" i="2"/>
  <c r="JV11" i="2"/>
  <c r="KL11" i="2"/>
  <c r="JX11" i="2"/>
  <c r="JN11" i="2"/>
  <c r="JD11" i="2"/>
  <c r="JW11" i="2"/>
  <c r="JQ11" i="2"/>
  <c r="KK11" i="2"/>
  <c r="JM11" i="2"/>
  <c r="JP11" i="2"/>
  <c r="JC11" i="2"/>
  <c r="IT11" i="2"/>
  <c r="IG11" i="2"/>
  <c r="HF11" i="2"/>
  <c r="IS11" i="2"/>
  <c r="IY11" i="2" s="1"/>
  <c r="IV11" i="2"/>
  <c r="IR11" i="2"/>
  <c r="HD11" i="2"/>
  <c r="HN11" i="2"/>
  <c r="IU11" i="2"/>
  <c r="II11" i="2"/>
  <c r="IH11" i="2"/>
  <c r="IF11" i="2"/>
  <c r="HE11" i="2"/>
  <c r="HZ11" i="2"/>
  <c r="HM11" i="2"/>
  <c r="HK11" i="2"/>
  <c r="HY11" i="2"/>
  <c r="HX11" i="2"/>
  <c r="HL11" i="2"/>
  <c r="IA11" i="2"/>
  <c r="HW11" i="2"/>
  <c r="MY10" i="2"/>
  <c r="MY11" i="2" s="1"/>
  <c r="NS10" i="2"/>
  <c r="NV9" i="2"/>
  <c r="JU9" i="2"/>
  <c r="JR10" i="2"/>
  <c r="OP11" i="2"/>
  <c r="MC10" i="2"/>
  <c r="MF9" i="2"/>
  <c r="PI10" i="2"/>
  <c r="PL9" i="2"/>
  <c r="ME10" i="2"/>
  <c r="ME11" i="2" s="1"/>
  <c r="IC10" i="2"/>
  <c r="IC11" i="2" s="1"/>
  <c r="IB10" i="2"/>
  <c r="IE9" i="2"/>
  <c r="IW10" i="2"/>
  <c r="IZ9" i="2"/>
  <c r="MX10" i="2"/>
  <c r="NA9" i="2"/>
  <c r="ON10" i="2"/>
  <c r="OQ9" i="2"/>
  <c r="LH10" i="2"/>
  <c r="LK9" i="2"/>
  <c r="KN10" i="2"/>
  <c r="KM9" i="2"/>
  <c r="KP8" i="2"/>
  <c r="HG10" i="2"/>
  <c r="HI10" i="2"/>
  <c r="FS10" i="2"/>
  <c r="EA10" i="2"/>
  <c r="EB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LJ11" i="2" l="1"/>
  <c r="LI11" i="2"/>
  <c r="MD11" i="2"/>
  <c r="JT11" i="2"/>
  <c r="ID11" i="2"/>
  <c r="IX11" i="2"/>
  <c r="HH11" i="2"/>
  <c r="IW11" i="2"/>
  <c r="IZ10" i="2"/>
  <c r="NT11" i="2"/>
  <c r="KH12" i="2"/>
  <c r="KJ12" i="2"/>
  <c r="KI12" i="2"/>
  <c r="OU12" i="2"/>
  <c r="PG12" i="2"/>
  <c r="PF12" i="2"/>
  <c r="MI12" i="2"/>
  <c r="PE12" i="2"/>
  <c r="PK12" i="2" s="1"/>
  <c r="OT12" i="2"/>
  <c r="PD12" i="2"/>
  <c r="PH12" i="2"/>
  <c r="MJ12" i="2"/>
  <c r="OR12" i="2"/>
  <c r="OS12" i="2"/>
  <c r="OM12" i="2"/>
  <c r="OL12" i="2"/>
  <c r="OK12" i="2"/>
  <c r="OJ12" i="2"/>
  <c r="OO12" i="2" s="1"/>
  <c r="OI12" i="2"/>
  <c r="NX12" i="2"/>
  <c r="NZ12" i="2"/>
  <c r="NY12" i="2"/>
  <c r="NQ12" i="2"/>
  <c r="NW12" i="2"/>
  <c r="NO12" i="2"/>
  <c r="NU12" i="2" s="1"/>
  <c r="NR12" i="2"/>
  <c r="NE12" i="2"/>
  <c r="NB12" i="2"/>
  <c r="NC12" i="2"/>
  <c r="NN12" i="2"/>
  <c r="NP12" i="2"/>
  <c r="ND12" i="2"/>
  <c r="MT12" i="2"/>
  <c r="MZ12" i="2" s="1"/>
  <c r="MW12" i="2"/>
  <c r="MS12" i="2"/>
  <c r="MV12" i="2"/>
  <c r="MH12" i="2"/>
  <c r="MG12" i="2"/>
  <c r="MU12" i="2"/>
  <c r="LZ12" i="2"/>
  <c r="LO12" i="2"/>
  <c r="LY12" i="2"/>
  <c r="ME12" i="2" s="1"/>
  <c r="MB12" i="2"/>
  <c r="LX12" i="2"/>
  <c r="MA12" i="2"/>
  <c r="LN12" i="2"/>
  <c r="LF12" i="2"/>
  <c r="KS12" i="2"/>
  <c r="JA12" i="2"/>
  <c r="LL12" i="2"/>
  <c r="LE12" i="2"/>
  <c r="KT12" i="2"/>
  <c r="JB12" i="2"/>
  <c r="LM12" i="2"/>
  <c r="LD12" i="2"/>
  <c r="KR12" i="2"/>
  <c r="LG12" i="2"/>
  <c r="LC12" i="2"/>
  <c r="KQ12" i="2"/>
  <c r="KK12" i="2"/>
  <c r="JM12" i="2"/>
  <c r="JP12" i="2"/>
  <c r="JY12" i="2"/>
  <c r="JO12" i="2"/>
  <c r="JV12" i="2"/>
  <c r="KL12" i="2"/>
  <c r="JX12" i="2"/>
  <c r="JN12" i="2"/>
  <c r="JD12" i="2"/>
  <c r="JW12" i="2"/>
  <c r="JQ12" i="2"/>
  <c r="JC12" i="2"/>
  <c r="IU12" i="2"/>
  <c r="II12" i="2"/>
  <c r="IH12" i="2"/>
  <c r="IF12" i="2"/>
  <c r="HE12" i="2"/>
  <c r="IT12" i="2"/>
  <c r="IG12" i="2"/>
  <c r="HF12" i="2"/>
  <c r="IS12" i="2"/>
  <c r="IV12" i="2"/>
  <c r="IR12" i="2"/>
  <c r="HD12" i="2"/>
  <c r="HN12" i="2"/>
  <c r="HL12" i="2"/>
  <c r="IA12" i="2"/>
  <c r="ID12" i="2" s="1"/>
  <c r="HW12" i="2"/>
  <c r="HZ12" i="2"/>
  <c r="IC12" i="2" s="1"/>
  <c r="HM12" i="2"/>
  <c r="HK12" i="2"/>
  <c r="HY12" i="2"/>
  <c r="HX12" i="2"/>
  <c r="LH11" i="2"/>
  <c r="LK10" i="2"/>
  <c r="MX11" i="2"/>
  <c r="NA10" i="2"/>
  <c r="IB11" i="2"/>
  <c r="IE10" i="2"/>
  <c r="MC11" i="2"/>
  <c r="MF10" i="2"/>
  <c r="MY12" i="2"/>
  <c r="PJ12" i="2"/>
  <c r="OP12" i="2"/>
  <c r="NS11" i="2"/>
  <c r="NV10" i="2"/>
  <c r="JS11" i="2"/>
  <c r="ON11" i="2"/>
  <c r="OQ10" i="2"/>
  <c r="PI11" i="2"/>
  <c r="PL10" i="2"/>
  <c r="JR11" i="2"/>
  <c r="JU10" i="2"/>
  <c r="KN11" i="2"/>
  <c r="KO10" i="2"/>
  <c r="KO11" i="2" s="1"/>
  <c r="KM10" i="2"/>
  <c r="KP9" i="2"/>
  <c r="HI11" i="2"/>
  <c r="HG11" i="2"/>
  <c r="EC11" i="2"/>
  <c r="EW11" i="2"/>
  <c r="EX11" i="2"/>
  <c r="FS11" i="2"/>
  <c r="AU11" i="2"/>
  <c r="EA11" i="2"/>
  <c r="EB11" i="2"/>
  <c r="GN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JS12" i="2" l="1"/>
  <c r="LJ12" i="2"/>
  <c r="MD12" i="2"/>
  <c r="JT12" i="2"/>
  <c r="IX12" i="2"/>
  <c r="IY12" i="2"/>
  <c r="HH12" i="2"/>
  <c r="ON12" i="2"/>
  <c r="OQ11" i="2"/>
  <c r="LI12" i="2"/>
  <c r="IW12" i="2"/>
  <c r="IZ11" i="2"/>
  <c r="KJ13" i="2"/>
  <c r="KI13" i="2"/>
  <c r="KH13" i="2"/>
  <c r="PF13" i="2"/>
  <c r="OT13" i="2"/>
  <c r="MJ13" i="2"/>
  <c r="MI13" i="2"/>
  <c r="PE13" i="2"/>
  <c r="PK13" i="2" s="1"/>
  <c r="OU13" i="2"/>
  <c r="PD13" i="2"/>
  <c r="PG13" i="2"/>
  <c r="PH13" i="2"/>
  <c r="OS13" i="2"/>
  <c r="OR13" i="2"/>
  <c r="OM13" i="2"/>
  <c r="OL13" i="2"/>
  <c r="OK13" i="2"/>
  <c r="NZ13" i="2"/>
  <c r="OJ13" i="2"/>
  <c r="OP13" i="2" s="1"/>
  <c r="OI13" i="2"/>
  <c r="NX13" i="2"/>
  <c r="NR13" i="2"/>
  <c r="NY13" i="2"/>
  <c r="NQ13" i="2"/>
  <c r="NP13" i="2"/>
  <c r="NW13" i="2"/>
  <c r="NO13" i="2"/>
  <c r="NU13" i="2" s="1"/>
  <c r="ND13" i="2"/>
  <c r="NE13" i="2"/>
  <c r="NB13" i="2"/>
  <c r="NC13" i="2"/>
  <c r="MW13" i="2"/>
  <c r="NN13" i="2"/>
  <c r="MU13" i="2"/>
  <c r="MT13" i="2"/>
  <c r="MZ13" i="2" s="1"/>
  <c r="MS13" i="2"/>
  <c r="MV13" i="2"/>
  <c r="MH13" i="2"/>
  <c r="MA13" i="2"/>
  <c r="LZ13" i="2"/>
  <c r="LO13" i="2"/>
  <c r="LY13" i="2"/>
  <c r="MG13" i="2"/>
  <c r="MB13" i="2"/>
  <c r="LX13" i="2"/>
  <c r="LG13" i="2"/>
  <c r="LC13" i="2"/>
  <c r="KQ13" i="2"/>
  <c r="LN13" i="2"/>
  <c r="LF13" i="2"/>
  <c r="KS13" i="2"/>
  <c r="JA13" i="2"/>
  <c r="LL13" i="2"/>
  <c r="LE13" i="2"/>
  <c r="KT13" i="2"/>
  <c r="JB13" i="2"/>
  <c r="LM13" i="2"/>
  <c r="LD13" i="2"/>
  <c r="KR13" i="2"/>
  <c r="KL13" i="2"/>
  <c r="JX13" i="2"/>
  <c r="JN13" i="2"/>
  <c r="JD13" i="2"/>
  <c r="JW13" i="2"/>
  <c r="JQ13" i="2"/>
  <c r="KK13" i="2"/>
  <c r="JM13" i="2"/>
  <c r="JP13" i="2"/>
  <c r="JY13" i="2"/>
  <c r="JO13" i="2"/>
  <c r="JV13" i="2"/>
  <c r="IV13" i="2"/>
  <c r="IR13" i="2"/>
  <c r="HD13" i="2"/>
  <c r="HN13" i="2"/>
  <c r="JC13" i="2"/>
  <c r="IU13" i="2"/>
  <c r="II13" i="2"/>
  <c r="IH13" i="2"/>
  <c r="IF13" i="2"/>
  <c r="HE13" i="2"/>
  <c r="IT13" i="2"/>
  <c r="IG13" i="2"/>
  <c r="HF13" i="2"/>
  <c r="IS13" i="2"/>
  <c r="IY13" i="2" s="1"/>
  <c r="HX13" i="2"/>
  <c r="ID13" i="2" s="1"/>
  <c r="HL13" i="2"/>
  <c r="IA13" i="2"/>
  <c r="HW13" i="2"/>
  <c r="HZ13" i="2"/>
  <c r="IC13" i="2" s="1"/>
  <c r="HM13" i="2"/>
  <c r="HK13" i="2"/>
  <c r="HY13" i="2"/>
  <c r="PI12" i="2"/>
  <c r="PL11" i="2"/>
  <c r="MY13" i="2"/>
  <c r="MX12" i="2"/>
  <c r="NA11" i="2"/>
  <c r="NT12" i="2"/>
  <c r="NT13" i="2" s="1"/>
  <c r="JR12" i="2"/>
  <c r="JU11" i="2"/>
  <c r="NS12" i="2"/>
  <c r="NV11" i="2"/>
  <c r="PJ13" i="2"/>
  <c r="MC12" i="2"/>
  <c r="MF11" i="2"/>
  <c r="IB12" i="2"/>
  <c r="IE11" i="2"/>
  <c r="LH12" i="2"/>
  <c r="LK11" i="2"/>
  <c r="KN12" i="2"/>
  <c r="KM11" i="2"/>
  <c r="KP10" i="2"/>
  <c r="KO12" i="2"/>
  <c r="HG12" i="2"/>
  <c r="HI12" i="2"/>
  <c r="EV12" i="2"/>
  <c r="EW12" i="2"/>
  <c r="FS12" i="2"/>
  <c r="EX12" i="2"/>
  <c r="EC12" i="2"/>
  <c r="EA12" i="2"/>
  <c r="GN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GJ13" i="2"/>
  <c r="GI13" i="2"/>
  <c r="FO13" i="2"/>
  <c r="FN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LJ13" i="2" l="1"/>
  <c r="JT13" i="2"/>
  <c r="MD13" i="2"/>
  <c r="IX13" i="2"/>
  <c r="HH13" i="2"/>
  <c r="HI13" i="2"/>
  <c r="JU12" i="2"/>
  <c r="JR13" i="2"/>
  <c r="JS13" i="2"/>
  <c r="ON13" i="2"/>
  <c r="OQ12" i="2"/>
  <c r="IB13" i="2"/>
  <c r="IE12" i="2"/>
  <c r="MX13" i="2"/>
  <c r="NA12" i="2"/>
  <c r="LI13" i="2"/>
  <c r="OO13" i="2"/>
  <c r="NS13" i="2"/>
  <c r="NV12" i="2"/>
  <c r="ME13" i="2"/>
  <c r="PI13" i="2"/>
  <c r="PL12" i="2"/>
  <c r="IW13" i="2"/>
  <c r="IZ12" i="2"/>
  <c r="KJ14" i="2"/>
  <c r="KI14" i="2"/>
  <c r="KH14" i="2"/>
  <c r="OT14" i="2"/>
  <c r="PE14" i="2"/>
  <c r="PK14" i="2" s="1"/>
  <c r="OU14" i="2"/>
  <c r="PD14" i="2"/>
  <c r="PG14" i="2"/>
  <c r="PH14" i="2"/>
  <c r="PF14" i="2"/>
  <c r="MI14" i="2"/>
  <c r="MJ14" i="2"/>
  <c r="OR14" i="2"/>
  <c r="OS14" i="2"/>
  <c r="OM14" i="2"/>
  <c r="OL14" i="2"/>
  <c r="OJ14" i="2"/>
  <c r="OP14" i="2" s="1"/>
  <c r="OK14" i="2"/>
  <c r="NZ14" i="2"/>
  <c r="OI14" i="2"/>
  <c r="NY14" i="2"/>
  <c r="NW14" i="2"/>
  <c r="NR14" i="2"/>
  <c r="NX14" i="2"/>
  <c r="NQ14" i="2"/>
  <c r="NP14" i="2"/>
  <c r="NO14" i="2"/>
  <c r="NT14" i="2" s="1"/>
  <c r="NN14" i="2"/>
  <c r="ND14" i="2"/>
  <c r="NE14" i="2"/>
  <c r="NB14" i="2"/>
  <c r="NC14" i="2"/>
  <c r="MW14" i="2"/>
  <c r="MV14" i="2"/>
  <c r="MH14" i="2"/>
  <c r="MU14" i="2"/>
  <c r="MT14" i="2"/>
  <c r="MZ14" i="2" s="1"/>
  <c r="MS14" i="2"/>
  <c r="MG14" i="2"/>
  <c r="MB14" i="2"/>
  <c r="LX14" i="2"/>
  <c r="MA14" i="2"/>
  <c r="LZ14" i="2"/>
  <c r="LO14" i="2"/>
  <c r="LY14" i="2"/>
  <c r="LM14" i="2"/>
  <c r="LD14" i="2"/>
  <c r="KR14" i="2"/>
  <c r="LG14" i="2"/>
  <c r="LC14" i="2"/>
  <c r="KQ14" i="2"/>
  <c r="LN14" i="2"/>
  <c r="LF14" i="2"/>
  <c r="KS14" i="2"/>
  <c r="JA14" i="2"/>
  <c r="LL14" i="2"/>
  <c r="LE14" i="2"/>
  <c r="KT14" i="2"/>
  <c r="JB14" i="2"/>
  <c r="JO14" i="2"/>
  <c r="JV14" i="2"/>
  <c r="KL14" i="2"/>
  <c r="JX14" i="2"/>
  <c r="JN14" i="2"/>
  <c r="JD14" i="2"/>
  <c r="JW14" i="2"/>
  <c r="JQ14" i="2"/>
  <c r="KK14" i="2"/>
  <c r="JM14" i="2"/>
  <c r="JP14" i="2"/>
  <c r="JC14" i="2"/>
  <c r="JY14" i="2"/>
  <c r="IS14" i="2"/>
  <c r="IV14" i="2"/>
  <c r="IR14" i="2"/>
  <c r="HD14" i="2"/>
  <c r="HN14" i="2"/>
  <c r="IU14" i="2"/>
  <c r="II14" i="2"/>
  <c r="IH14" i="2"/>
  <c r="IF14" i="2"/>
  <c r="HE14" i="2"/>
  <c r="IT14" i="2"/>
  <c r="IG14" i="2"/>
  <c r="HF14" i="2"/>
  <c r="HM14" i="2"/>
  <c r="HK14" i="2"/>
  <c r="HY14" i="2"/>
  <c r="HX14" i="2"/>
  <c r="HL14" i="2"/>
  <c r="IA14" i="2"/>
  <c r="HW14" i="2"/>
  <c r="HZ14" i="2"/>
  <c r="LH13" i="2"/>
  <c r="LK12" i="2"/>
  <c r="MC13" i="2"/>
  <c r="MF12" i="2"/>
  <c r="KN13" i="2"/>
  <c r="KO13" i="2"/>
  <c r="KM12" i="2"/>
  <c r="KP11" i="2"/>
  <c r="HG13" i="2"/>
  <c r="EC13" i="2"/>
  <c r="FS13" i="2"/>
  <c r="EX13" i="2"/>
  <c r="GN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LJ14" i="2" l="1"/>
  <c r="MD14" i="2"/>
  <c r="JT14" i="2"/>
  <c r="ID14" i="2"/>
  <c r="IX14" i="2"/>
  <c r="HH14" i="2"/>
  <c r="IY14" i="2"/>
  <c r="MF13" i="2"/>
  <c r="MC14" i="2"/>
  <c r="NS14" i="2"/>
  <c r="NV13" i="2"/>
  <c r="MX14" i="2"/>
  <c r="NA13" i="2"/>
  <c r="NU14" i="2"/>
  <c r="MY14" i="2"/>
  <c r="PI14" i="2"/>
  <c r="PL13" i="2"/>
  <c r="OO14" i="2"/>
  <c r="ON14" i="2"/>
  <c r="OQ13" i="2"/>
  <c r="PJ14" i="2"/>
  <c r="KJ15" i="2"/>
  <c r="KI15" i="2"/>
  <c r="KH15" i="2"/>
  <c r="PD15" i="2"/>
  <c r="PH15" i="2"/>
  <c r="OT15" i="2"/>
  <c r="OU15" i="2"/>
  <c r="PG15" i="2"/>
  <c r="PE15" i="2"/>
  <c r="PK15" i="2" s="1"/>
  <c r="PF15" i="2"/>
  <c r="MI15" i="2"/>
  <c r="MJ15" i="2"/>
  <c r="OR15" i="2"/>
  <c r="OS15" i="2"/>
  <c r="OL15" i="2"/>
  <c r="OM15" i="2"/>
  <c r="OK15" i="2"/>
  <c r="OJ15" i="2"/>
  <c r="OP15" i="2" s="1"/>
  <c r="OI15" i="2"/>
  <c r="NZ15" i="2"/>
  <c r="NY15" i="2"/>
  <c r="NW15" i="2"/>
  <c r="NR15" i="2"/>
  <c r="NX15" i="2"/>
  <c r="NQ15" i="2"/>
  <c r="NP15" i="2"/>
  <c r="NC15" i="2"/>
  <c r="NO15" i="2"/>
  <c r="NT15" i="2" s="1"/>
  <c r="NN15" i="2"/>
  <c r="ND15" i="2"/>
  <c r="NE15" i="2"/>
  <c r="NB15" i="2"/>
  <c r="MS15" i="2"/>
  <c r="MV15" i="2"/>
  <c r="MH15" i="2"/>
  <c r="MG15" i="2"/>
  <c r="MW15" i="2"/>
  <c r="MU15" i="2"/>
  <c r="MT15" i="2"/>
  <c r="MZ15" i="2" s="1"/>
  <c r="LY15" i="2"/>
  <c r="MB15" i="2"/>
  <c r="LX15" i="2"/>
  <c r="MA15" i="2"/>
  <c r="LZ15" i="2"/>
  <c r="LO15" i="2"/>
  <c r="LL15" i="2"/>
  <c r="LE15" i="2"/>
  <c r="KT15" i="2"/>
  <c r="JB15" i="2"/>
  <c r="LM15" i="2"/>
  <c r="LD15" i="2"/>
  <c r="KR15" i="2"/>
  <c r="LG15" i="2"/>
  <c r="LC15" i="2"/>
  <c r="KQ15" i="2"/>
  <c r="LN15" i="2"/>
  <c r="LF15" i="2"/>
  <c r="KS15" i="2"/>
  <c r="JA15" i="2"/>
  <c r="JY15" i="2"/>
  <c r="JO15" i="2"/>
  <c r="JV15" i="2"/>
  <c r="KL15" i="2"/>
  <c r="JX15" i="2"/>
  <c r="JN15" i="2"/>
  <c r="JD15" i="2"/>
  <c r="JW15" i="2"/>
  <c r="JQ15" i="2"/>
  <c r="KK15" i="2"/>
  <c r="JM15" i="2"/>
  <c r="JP15" i="2"/>
  <c r="JC15" i="2"/>
  <c r="IT15" i="2"/>
  <c r="IG15" i="2"/>
  <c r="HF15" i="2"/>
  <c r="IS15" i="2"/>
  <c r="IX15" i="2" s="1"/>
  <c r="IV15" i="2"/>
  <c r="IR15" i="2"/>
  <c r="HD15" i="2"/>
  <c r="HN15" i="2"/>
  <c r="IU15" i="2"/>
  <c r="II15" i="2"/>
  <c r="IH15" i="2"/>
  <c r="IF15" i="2"/>
  <c r="HE15" i="2"/>
  <c r="HZ15" i="2"/>
  <c r="HM15" i="2"/>
  <c r="HK15" i="2"/>
  <c r="HY15" i="2"/>
  <c r="HX15" i="2"/>
  <c r="ID15" i="2" s="1"/>
  <c r="HL15" i="2"/>
  <c r="IA15" i="2"/>
  <c r="HW15" i="2"/>
  <c r="IC14" i="2"/>
  <c r="IC15" i="2" s="1"/>
  <c r="LH14" i="2"/>
  <c r="LK13" i="2"/>
  <c r="IW14" i="2"/>
  <c r="IZ13" i="2"/>
  <c r="ME14" i="2"/>
  <c r="ME15" i="2" s="1"/>
  <c r="LI14" i="2"/>
  <c r="JS14" i="2"/>
  <c r="HG14" i="2"/>
  <c r="IB14" i="2"/>
  <c r="IE13" i="2"/>
  <c r="JR14" i="2"/>
  <c r="JU13" i="2"/>
  <c r="EC14" i="2"/>
  <c r="KN14" i="2"/>
  <c r="KM13" i="2"/>
  <c r="KP12" i="2"/>
  <c r="KO14" i="2"/>
  <c r="HI14" i="2"/>
  <c r="EX14" i="2"/>
  <c r="EB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LI15" i="2" l="1"/>
  <c r="JS15" i="2"/>
  <c r="JT15" i="2"/>
  <c r="MD15" i="2"/>
  <c r="LJ15" i="2"/>
  <c r="HH15" i="2"/>
  <c r="JR15" i="2"/>
  <c r="JU14" i="2"/>
  <c r="IB15" i="2"/>
  <c r="IE14" i="2"/>
  <c r="LH15" i="2"/>
  <c r="LK14" i="2"/>
  <c r="PJ15" i="2"/>
  <c r="OO15" i="2"/>
  <c r="IY15" i="2"/>
  <c r="KH16" i="2"/>
  <c r="KJ16" i="2"/>
  <c r="KI16" i="2"/>
  <c r="OU16" i="2"/>
  <c r="PG16" i="2"/>
  <c r="PE16" i="2"/>
  <c r="PK16" i="2" s="1"/>
  <c r="MI16" i="2"/>
  <c r="PD16" i="2"/>
  <c r="PH16" i="2"/>
  <c r="MJ16" i="2"/>
  <c r="OT16" i="2"/>
  <c r="PF16" i="2"/>
  <c r="OR16" i="2"/>
  <c r="OS16" i="2"/>
  <c r="OM16" i="2"/>
  <c r="OK16" i="2"/>
  <c r="OL16" i="2"/>
  <c r="OJ16" i="2"/>
  <c r="OP16" i="2" s="1"/>
  <c r="OI16" i="2"/>
  <c r="NZ16" i="2"/>
  <c r="NX16" i="2"/>
  <c r="NQ16" i="2"/>
  <c r="NY16" i="2"/>
  <c r="NW16" i="2"/>
  <c r="NO16" i="2"/>
  <c r="NT16" i="2" s="1"/>
  <c r="NR16" i="2"/>
  <c r="NE16" i="2"/>
  <c r="NB16" i="2"/>
  <c r="NP16" i="2"/>
  <c r="NC16" i="2"/>
  <c r="NN16" i="2"/>
  <c r="ND16" i="2"/>
  <c r="MT16" i="2"/>
  <c r="MZ16" i="2" s="1"/>
  <c r="MS16" i="2"/>
  <c r="MV16" i="2"/>
  <c r="MH16" i="2"/>
  <c r="MG16" i="2"/>
  <c r="MW16" i="2"/>
  <c r="MU16" i="2"/>
  <c r="LZ16" i="2"/>
  <c r="LO16" i="2"/>
  <c r="LY16" i="2"/>
  <c r="MB16" i="2"/>
  <c r="ME16" i="2" s="1"/>
  <c r="LX16" i="2"/>
  <c r="MA16" i="2"/>
  <c r="LN16" i="2"/>
  <c r="LF16" i="2"/>
  <c r="KS16" i="2"/>
  <c r="JA16" i="2"/>
  <c r="LL16" i="2"/>
  <c r="LE16" i="2"/>
  <c r="KT16" i="2"/>
  <c r="JB16" i="2"/>
  <c r="LM16" i="2"/>
  <c r="LD16" i="2"/>
  <c r="KR16" i="2"/>
  <c r="LG16" i="2"/>
  <c r="LC16" i="2"/>
  <c r="KQ16" i="2"/>
  <c r="KK16" i="2"/>
  <c r="JM16" i="2"/>
  <c r="JP16" i="2"/>
  <c r="JY16" i="2"/>
  <c r="JO16" i="2"/>
  <c r="JV16" i="2"/>
  <c r="KL16" i="2"/>
  <c r="JX16" i="2"/>
  <c r="JN16" i="2"/>
  <c r="JD16" i="2"/>
  <c r="JW16" i="2"/>
  <c r="JQ16" i="2"/>
  <c r="IU16" i="2"/>
  <c r="II16" i="2"/>
  <c r="IH16" i="2"/>
  <c r="IF16" i="2"/>
  <c r="HE16" i="2"/>
  <c r="IT16" i="2"/>
  <c r="IG16" i="2"/>
  <c r="HF16" i="2"/>
  <c r="JC16" i="2"/>
  <c r="IS16" i="2"/>
  <c r="IV16" i="2"/>
  <c r="IR16" i="2"/>
  <c r="HD16" i="2"/>
  <c r="HN16" i="2"/>
  <c r="HL16" i="2"/>
  <c r="IA16" i="2"/>
  <c r="HW16" i="2"/>
  <c r="HZ16" i="2"/>
  <c r="IC16" i="2" s="1"/>
  <c r="HM16" i="2"/>
  <c r="HK16" i="2"/>
  <c r="HY16" i="2"/>
  <c r="HX16" i="2"/>
  <c r="ID16" i="2" s="1"/>
  <c r="IW15" i="2"/>
  <c r="IZ14" i="2"/>
  <c r="MY15" i="2"/>
  <c r="MY16" i="2" s="1"/>
  <c r="NS15" i="2"/>
  <c r="NV14" i="2"/>
  <c r="HI15" i="2"/>
  <c r="ON15" i="2"/>
  <c r="OQ14" i="2"/>
  <c r="PI15" i="2"/>
  <c r="PL14" i="2"/>
  <c r="NU15" i="2"/>
  <c r="NU16" i="2" s="1"/>
  <c r="MX15" i="2"/>
  <c r="NA14" i="2"/>
  <c r="MC15" i="2"/>
  <c r="MF14" i="2"/>
  <c r="KM14" i="2"/>
  <c r="KP13" i="2"/>
  <c r="KN15" i="2"/>
  <c r="HG15" i="2"/>
  <c r="FS15" i="2"/>
  <c r="EV15" i="2"/>
  <c r="EX15" i="2"/>
  <c r="EC15" i="2"/>
  <c r="GN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GJ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LI16" i="2" l="1"/>
  <c r="JS16" i="2"/>
  <c r="LJ16" i="2"/>
  <c r="MD16" i="2"/>
  <c r="JT16" i="2"/>
  <c r="IX16" i="2"/>
  <c r="HH16" i="2"/>
  <c r="KJ17" i="2"/>
  <c r="KI17" i="2"/>
  <c r="KH17" i="2"/>
  <c r="PF17" i="2"/>
  <c r="MJ17" i="2"/>
  <c r="PE17" i="2"/>
  <c r="PK17" i="2" s="1"/>
  <c r="MI17" i="2"/>
  <c r="OT17" i="2"/>
  <c r="OU17" i="2"/>
  <c r="PD17" i="2"/>
  <c r="PG17" i="2"/>
  <c r="PH17" i="2"/>
  <c r="OS17" i="2"/>
  <c r="OR17" i="2"/>
  <c r="OM17" i="2"/>
  <c r="OL17" i="2"/>
  <c r="NZ17" i="2"/>
  <c r="OK17" i="2"/>
  <c r="OJ17" i="2"/>
  <c r="OP17" i="2" s="1"/>
  <c r="OI17" i="2"/>
  <c r="NX17" i="2"/>
  <c r="NR17" i="2"/>
  <c r="NQ17" i="2"/>
  <c r="NP17" i="2"/>
  <c r="NY17" i="2"/>
  <c r="NW17" i="2"/>
  <c r="NO17" i="2"/>
  <c r="NT17" i="2" s="1"/>
  <c r="ND17" i="2"/>
  <c r="NE17" i="2"/>
  <c r="NB17" i="2"/>
  <c r="NC17" i="2"/>
  <c r="MW17" i="2"/>
  <c r="NN17" i="2"/>
  <c r="MU17" i="2"/>
  <c r="MT17" i="2"/>
  <c r="MZ17" i="2" s="1"/>
  <c r="MS17" i="2"/>
  <c r="MV17" i="2"/>
  <c r="MA17" i="2"/>
  <c r="MH17" i="2"/>
  <c r="MG17" i="2"/>
  <c r="LZ17" i="2"/>
  <c r="LO17" i="2"/>
  <c r="LY17" i="2"/>
  <c r="MD17" i="2" s="1"/>
  <c r="MB17" i="2"/>
  <c r="LX17" i="2"/>
  <c r="LG17" i="2"/>
  <c r="LC17" i="2"/>
  <c r="KQ17" i="2"/>
  <c r="LN17" i="2"/>
  <c r="LF17" i="2"/>
  <c r="KS17" i="2"/>
  <c r="JA17" i="2"/>
  <c r="LL17" i="2"/>
  <c r="LE17" i="2"/>
  <c r="KT17" i="2"/>
  <c r="JB17" i="2"/>
  <c r="LM17" i="2"/>
  <c r="LD17" i="2"/>
  <c r="KR17" i="2"/>
  <c r="KL17" i="2"/>
  <c r="JX17" i="2"/>
  <c r="JN17" i="2"/>
  <c r="JD17" i="2"/>
  <c r="JW17" i="2"/>
  <c r="JQ17" i="2"/>
  <c r="KK17" i="2"/>
  <c r="JM17" i="2"/>
  <c r="JP17" i="2"/>
  <c r="JY17" i="2"/>
  <c r="JO17" i="2"/>
  <c r="JV17" i="2"/>
  <c r="IV17" i="2"/>
  <c r="IR17" i="2"/>
  <c r="HD17" i="2"/>
  <c r="HN17" i="2"/>
  <c r="IU17" i="2"/>
  <c r="II17" i="2"/>
  <c r="IH17" i="2"/>
  <c r="IF17" i="2"/>
  <c r="HE17" i="2"/>
  <c r="IT17" i="2"/>
  <c r="IG17" i="2"/>
  <c r="HF17" i="2"/>
  <c r="JC17" i="2"/>
  <c r="IS17" i="2"/>
  <c r="HX17" i="2"/>
  <c r="HL17" i="2"/>
  <c r="IA17" i="2"/>
  <c r="HW17" i="2"/>
  <c r="HZ17" i="2"/>
  <c r="HM17" i="2"/>
  <c r="HK17" i="2"/>
  <c r="HY17" i="2"/>
  <c r="HG16" i="2"/>
  <c r="MX16" i="2"/>
  <c r="NA15" i="2"/>
  <c r="ON16" i="2"/>
  <c r="OQ15" i="2"/>
  <c r="NS16" i="2"/>
  <c r="NV15" i="2"/>
  <c r="OO16" i="2"/>
  <c r="OO17" i="2" s="1"/>
  <c r="IB16" i="2"/>
  <c r="IE15" i="2"/>
  <c r="IW16" i="2"/>
  <c r="IZ15" i="2"/>
  <c r="PJ16" i="2"/>
  <c r="PJ17" i="2" s="1"/>
  <c r="MC16" i="2"/>
  <c r="MF15" i="2"/>
  <c r="NU17" i="2"/>
  <c r="PI16" i="2"/>
  <c r="PL15" i="2"/>
  <c r="MY17" i="2"/>
  <c r="IY16" i="2"/>
  <c r="IY17" i="2" s="1"/>
  <c r="LH16" i="2"/>
  <c r="LK15" i="2"/>
  <c r="JR16" i="2"/>
  <c r="JU15" i="2"/>
  <c r="KN16" i="2"/>
  <c r="KM15" i="2"/>
  <c r="KP14" i="2"/>
  <c r="KO15" i="2"/>
  <c r="KO16" i="2" s="1"/>
  <c r="HI16" i="2"/>
  <c r="EA16" i="2"/>
  <c r="EC16" i="2"/>
  <c r="FS16" i="2"/>
  <c r="EX16" i="2"/>
  <c r="EW16" i="2"/>
  <c r="GN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GJ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LI17" i="2" l="1"/>
  <c r="LJ17" i="2"/>
  <c r="ME17" i="2"/>
  <c r="JS17" i="2"/>
  <c r="IX17" i="2"/>
  <c r="IC17" i="2"/>
  <c r="HH17" i="2"/>
  <c r="IB17" i="2"/>
  <c r="IE16" i="2"/>
  <c r="ID17" i="2"/>
  <c r="KJ18" i="2"/>
  <c r="KI18" i="2"/>
  <c r="KH18" i="2"/>
  <c r="OT18" i="2"/>
  <c r="PE18" i="2"/>
  <c r="PK18" i="2" s="1"/>
  <c r="PF18" i="2"/>
  <c r="MI18" i="2"/>
  <c r="MJ18" i="2"/>
  <c r="OU18" i="2"/>
  <c r="PD18" i="2"/>
  <c r="PG18" i="2"/>
  <c r="PH18" i="2"/>
  <c r="OR18" i="2"/>
  <c r="OS18" i="2"/>
  <c r="OM18" i="2"/>
  <c r="OK18" i="2"/>
  <c r="OJ18" i="2"/>
  <c r="OP18" i="2" s="1"/>
  <c r="OL18" i="2"/>
  <c r="NZ18" i="2"/>
  <c r="OI18" i="2"/>
  <c r="NY18" i="2"/>
  <c r="NX18" i="2"/>
  <c r="NW18" i="2"/>
  <c r="NR18" i="2"/>
  <c r="NQ18" i="2"/>
  <c r="NP18" i="2"/>
  <c r="NN18" i="2"/>
  <c r="ND18" i="2"/>
  <c r="NO18" i="2"/>
  <c r="NT18" i="2" s="1"/>
  <c r="NE18" i="2"/>
  <c r="NB18" i="2"/>
  <c r="NC18" i="2"/>
  <c r="MW18" i="2"/>
  <c r="MV18" i="2"/>
  <c r="MH18" i="2"/>
  <c r="MU18" i="2"/>
  <c r="MT18" i="2"/>
  <c r="MZ18" i="2" s="1"/>
  <c r="MS18" i="2"/>
  <c r="MB18" i="2"/>
  <c r="LX18" i="2"/>
  <c r="MA18" i="2"/>
  <c r="MG18" i="2"/>
  <c r="LZ18" i="2"/>
  <c r="LO18" i="2"/>
  <c r="LY18" i="2"/>
  <c r="LM18" i="2"/>
  <c r="LD18" i="2"/>
  <c r="KR18" i="2"/>
  <c r="LG18" i="2"/>
  <c r="LC18" i="2"/>
  <c r="KQ18" i="2"/>
  <c r="LN18" i="2"/>
  <c r="LF18" i="2"/>
  <c r="KS18" i="2"/>
  <c r="JA18" i="2"/>
  <c r="LL18" i="2"/>
  <c r="LE18" i="2"/>
  <c r="KT18" i="2"/>
  <c r="JB18" i="2"/>
  <c r="JO18" i="2"/>
  <c r="JV18" i="2"/>
  <c r="KL18" i="2"/>
  <c r="JX18" i="2"/>
  <c r="JN18" i="2"/>
  <c r="JD18" i="2"/>
  <c r="JW18" i="2"/>
  <c r="JQ18" i="2"/>
  <c r="KK18" i="2"/>
  <c r="JM18" i="2"/>
  <c r="JP18" i="2"/>
  <c r="JC18" i="2"/>
  <c r="JY18" i="2"/>
  <c r="IS18" i="2"/>
  <c r="IV18" i="2"/>
  <c r="IR18" i="2"/>
  <c r="HD18" i="2"/>
  <c r="HN18" i="2"/>
  <c r="IU18" i="2"/>
  <c r="II18" i="2"/>
  <c r="IH18" i="2"/>
  <c r="IF18" i="2"/>
  <c r="HE18" i="2"/>
  <c r="IT18" i="2"/>
  <c r="IG18" i="2"/>
  <c r="HF18" i="2"/>
  <c r="HM18" i="2"/>
  <c r="HK18" i="2"/>
  <c r="HY18" i="2"/>
  <c r="HX18" i="2"/>
  <c r="IC18" i="2" s="1"/>
  <c r="HL18" i="2"/>
  <c r="IA18" i="2"/>
  <c r="HW18" i="2"/>
  <c r="HZ18" i="2"/>
  <c r="LH17" i="2"/>
  <c r="LK16" i="2"/>
  <c r="MF16" i="2"/>
  <c r="MC17" i="2"/>
  <c r="PJ18" i="2"/>
  <c r="OO18" i="2"/>
  <c r="NS17" i="2"/>
  <c r="NV16" i="2"/>
  <c r="MX17" i="2"/>
  <c r="NA16" i="2"/>
  <c r="PI17" i="2"/>
  <c r="PL16" i="2"/>
  <c r="IW17" i="2"/>
  <c r="IZ16" i="2"/>
  <c r="JT17" i="2"/>
  <c r="HI17" i="2"/>
  <c r="JR17" i="2"/>
  <c r="JU16" i="2"/>
  <c r="MY18" i="2"/>
  <c r="NU18" i="2"/>
  <c r="ON17" i="2"/>
  <c r="OQ16" i="2"/>
  <c r="KN17" i="2"/>
  <c r="KM16" i="2"/>
  <c r="KP15" i="2"/>
  <c r="HG17" i="2"/>
  <c r="EC17" i="2"/>
  <c r="EX17" i="2"/>
  <c r="FS17" i="2"/>
  <c r="EW17" i="2"/>
  <c r="EV17" i="2"/>
  <c r="EB17" i="2"/>
  <c r="GN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LI18" i="2" l="1"/>
  <c r="JS18" i="2"/>
  <c r="LJ18" i="2"/>
  <c r="MD18" i="2"/>
  <c r="JT18" i="2"/>
  <c r="IY18" i="2"/>
  <c r="HH18" i="2"/>
  <c r="HG18" i="2"/>
  <c r="MX18" i="2"/>
  <c r="NA17" i="2"/>
  <c r="LH18" i="2"/>
  <c r="LK17" i="2"/>
  <c r="IB18" i="2"/>
  <c r="IE17" i="2"/>
  <c r="IX18" i="2"/>
  <c r="PI18" i="2"/>
  <c r="PL17" i="2"/>
  <c r="MF17" i="2"/>
  <c r="MC18" i="2"/>
  <c r="ME18" i="2"/>
  <c r="KI19" i="2"/>
  <c r="KJ19" i="2"/>
  <c r="KH19" i="2"/>
  <c r="PD19" i="2"/>
  <c r="PH19" i="2"/>
  <c r="OT19" i="2"/>
  <c r="OU19" i="2"/>
  <c r="PG19" i="2"/>
  <c r="PF19" i="2"/>
  <c r="MI19" i="2"/>
  <c r="PE19" i="2"/>
  <c r="PK19" i="2" s="1"/>
  <c r="MJ19" i="2"/>
  <c r="OR19" i="2"/>
  <c r="OS19" i="2"/>
  <c r="OL19" i="2"/>
  <c r="OM19" i="2"/>
  <c r="OK19" i="2"/>
  <c r="OJ19" i="2"/>
  <c r="OP19" i="2" s="1"/>
  <c r="OI19" i="2"/>
  <c r="NZ19" i="2"/>
  <c r="NY19" i="2"/>
  <c r="NX19" i="2"/>
  <c r="NW19" i="2"/>
  <c r="NR19" i="2"/>
  <c r="NQ19" i="2"/>
  <c r="NC19" i="2"/>
  <c r="NN19" i="2"/>
  <c r="NP19" i="2"/>
  <c r="ND19" i="2"/>
  <c r="NO19" i="2"/>
  <c r="NU19" i="2" s="1"/>
  <c r="NE19" i="2"/>
  <c r="NB19" i="2"/>
  <c r="MW19" i="2"/>
  <c r="MS19" i="2"/>
  <c r="MV19" i="2"/>
  <c r="MH19" i="2"/>
  <c r="MG19" i="2"/>
  <c r="MU19" i="2"/>
  <c r="MT19" i="2"/>
  <c r="MZ19" i="2" s="1"/>
  <c r="LY19" i="2"/>
  <c r="MB19" i="2"/>
  <c r="LX19" i="2"/>
  <c r="MA19" i="2"/>
  <c r="LZ19" i="2"/>
  <c r="LO19" i="2"/>
  <c r="LL19" i="2"/>
  <c r="LE19" i="2"/>
  <c r="KT19" i="2"/>
  <c r="JB19" i="2"/>
  <c r="LM19" i="2"/>
  <c r="LD19" i="2"/>
  <c r="KR19" i="2"/>
  <c r="LG19" i="2"/>
  <c r="LC19" i="2"/>
  <c r="KQ19" i="2"/>
  <c r="LN19" i="2"/>
  <c r="LF19" i="2"/>
  <c r="KS19" i="2"/>
  <c r="JA19" i="2"/>
  <c r="JY19" i="2"/>
  <c r="JO19" i="2"/>
  <c r="JV19" i="2"/>
  <c r="KL19" i="2"/>
  <c r="JX19" i="2"/>
  <c r="JN19" i="2"/>
  <c r="JD19" i="2"/>
  <c r="JW19" i="2"/>
  <c r="JQ19" i="2"/>
  <c r="KK19" i="2"/>
  <c r="JM19" i="2"/>
  <c r="JP19" i="2"/>
  <c r="JC19" i="2"/>
  <c r="IT19" i="2"/>
  <c r="IG19" i="2"/>
  <c r="HF19" i="2"/>
  <c r="IS19" i="2"/>
  <c r="IV19" i="2"/>
  <c r="IR19" i="2"/>
  <c r="HD19" i="2"/>
  <c r="HN19" i="2"/>
  <c r="IU19" i="2"/>
  <c r="II19" i="2"/>
  <c r="IH19" i="2"/>
  <c r="IF19" i="2"/>
  <c r="HE19" i="2"/>
  <c r="HZ19" i="2"/>
  <c r="HM19" i="2"/>
  <c r="HK19" i="2"/>
  <c r="HY19" i="2"/>
  <c r="HX19" i="2"/>
  <c r="HL19" i="2"/>
  <c r="IA19" i="2"/>
  <c r="HW19" i="2"/>
  <c r="NS18" i="2"/>
  <c r="NV17" i="2"/>
  <c r="ID18" i="2"/>
  <c r="ON18" i="2"/>
  <c r="OQ17" i="2"/>
  <c r="JU17" i="2"/>
  <c r="JR18" i="2"/>
  <c r="IW18" i="2"/>
  <c r="IZ17" i="2"/>
  <c r="OO19" i="2"/>
  <c r="KN18" i="2"/>
  <c r="KM17" i="2"/>
  <c r="KP16" i="2"/>
  <c r="KO17" i="2"/>
  <c r="KO18" i="2" s="1"/>
  <c r="HI18" i="2"/>
  <c r="FS18" i="2"/>
  <c r="EA18" i="2"/>
  <c r="EV18" i="2"/>
  <c r="EW18" i="2"/>
  <c r="EX18" i="2"/>
  <c r="EC18" i="2"/>
  <c r="EB18" i="2"/>
  <c r="GN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JS19" i="2" l="1"/>
  <c r="ME19" i="2"/>
  <c r="LJ19" i="2"/>
  <c r="MD19" i="2"/>
  <c r="IY19" i="2"/>
  <c r="ID19" i="2"/>
  <c r="IC19" i="2"/>
  <c r="HH19" i="2"/>
  <c r="IW19" i="2"/>
  <c r="IZ18" i="2"/>
  <c r="ON19" i="2"/>
  <c r="OQ18" i="2"/>
  <c r="LI19" i="2"/>
  <c r="PI19" i="2"/>
  <c r="PL18" i="2"/>
  <c r="IX19" i="2"/>
  <c r="PJ19" i="2"/>
  <c r="JR19" i="2"/>
  <c r="JU18" i="2"/>
  <c r="MC19" i="2"/>
  <c r="MF18" i="2"/>
  <c r="JT19" i="2"/>
  <c r="NS19" i="2"/>
  <c r="NV18" i="2"/>
  <c r="MY19" i="2"/>
  <c r="IB19" i="2"/>
  <c r="IE18" i="2"/>
  <c r="MX19" i="2"/>
  <c r="NA18" i="2"/>
  <c r="NT19" i="2"/>
  <c r="NT20" i="2" s="1"/>
  <c r="KH20" i="2"/>
  <c r="KI20" i="2"/>
  <c r="KJ20" i="2"/>
  <c r="OU20" i="2"/>
  <c r="PG20" i="2"/>
  <c r="PD20" i="2"/>
  <c r="PH20" i="2"/>
  <c r="MI20" i="2"/>
  <c r="OT20" i="2"/>
  <c r="PE20" i="2"/>
  <c r="PK20" i="2" s="1"/>
  <c r="PF20" i="2"/>
  <c r="MJ20" i="2"/>
  <c r="OR20" i="2"/>
  <c r="OS20" i="2"/>
  <c r="OM20" i="2"/>
  <c r="OL20" i="2"/>
  <c r="OK20" i="2"/>
  <c r="OJ20" i="2"/>
  <c r="OO20" i="2" s="1"/>
  <c r="OI20" i="2"/>
  <c r="NX20" i="2"/>
  <c r="NZ20" i="2"/>
  <c r="NY20" i="2"/>
  <c r="NQ20" i="2"/>
  <c r="NW20" i="2"/>
  <c r="NO20" i="2"/>
  <c r="NU20" i="2" s="1"/>
  <c r="NR20" i="2"/>
  <c r="NE20" i="2"/>
  <c r="NB20" i="2"/>
  <c r="NC20" i="2"/>
  <c r="NN20" i="2"/>
  <c r="NP20" i="2"/>
  <c r="ND20" i="2"/>
  <c r="MT20" i="2"/>
  <c r="MW20" i="2"/>
  <c r="MZ20" i="2" s="1"/>
  <c r="MS20" i="2"/>
  <c r="MV20" i="2"/>
  <c r="MH20" i="2"/>
  <c r="MG20" i="2"/>
  <c r="MU20" i="2"/>
  <c r="LZ20" i="2"/>
  <c r="LO20" i="2"/>
  <c r="LY20" i="2"/>
  <c r="MB20" i="2"/>
  <c r="LX20" i="2"/>
  <c r="MA20" i="2"/>
  <c r="LN20" i="2"/>
  <c r="LF20" i="2"/>
  <c r="KS20" i="2"/>
  <c r="JA20" i="2"/>
  <c r="LL20" i="2"/>
  <c r="LE20" i="2"/>
  <c r="KT20" i="2"/>
  <c r="JB20" i="2"/>
  <c r="LM20" i="2"/>
  <c r="LD20" i="2"/>
  <c r="KR20" i="2"/>
  <c r="LG20" i="2"/>
  <c r="LC20" i="2"/>
  <c r="KQ20" i="2"/>
  <c r="KK20" i="2"/>
  <c r="JM20" i="2"/>
  <c r="JP20" i="2"/>
  <c r="JY20" i="2"/>
  <c r="JO20" i="2"/>
  <c r="JV20" i="2"/>
  <c r="KL20" i="2"/>
  <c r="JX20" i="2"/>
  <c r="JN20" i="2"/>
  <c r="JD20" i="2"/>
  <c r="JW20" i="2"/>
  <c r="JQ20" i="2"/>
  <c r="JC20" i="2"/>
  <c r="IU20" i="2"/>
  <c r="II20" i="2"/>
  <c r="IH20" i="2"/>
  <c r="IF20" i="2"/>
  <c r="HE20" i="2"/>
  <c r="IT20" i="2"/>
  <c r="IG20" i="2"/>
  <c r="HF20" i="2"/>
  <c r="IS20" i="2"/>
  <c r="IY20" i="2" s="1"/>
  <c r="IV20" i="2"/>
  <c r="IR20" i="2"/>
  <c r="HD20" i="2"/>
  <c r="HN20" i="2"/>
  <c r="HL20" i="2"/>
  <c r="IA20" i="2"/>
  <c r="HW20" i="2"/>
  <c r="HZ20" i="2"/>
  <c r="HM20" i="2"/>
  <c r="HK20" i="2"/>
  <c r="HY20" i="2"/>
  <c r="HX20" i="2"/>
  <c r="ID20" i="2" s="1"/>
  <c r="LH19" i="2"/>
  <c r="LK18" i="2"/>
  <c r="KM18" i="2"/>
  <c r="KP17" i="2"/>
  <c r="KN19" i="2"/>
  <c r="HI19" i="2"/>
  <c r="HG19" i="2"/>
  <c r="HG20" i="2" s="1"/>
  <c r="FS19" i="2"/>
  <c r="EC19" i="2"/>
  <c r="EB19" i="2"/>
  <c r="EX19" i="2"/>
  <c r="EV19" i="2"/>
  <c r="GN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DD20" i="2"/>
  <c r="X20" i="2"/>
  <c r="W20" i="2"/>
  <c r="HB20" i="2"/>
  <c r="HC20" i="2"/>
  <c r="GR20" i="2"/>
  <c r="GH20" i="2"/>
  <c r="GK20" i="2"/>
  <c r="GS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LJ20" i="2" l="1"/>
  <c r="JS20" i="2"/>
  <c r="MD20" i="2"/>
  <c r="IC20" i="2"/>
  <c r="HH20" i="2"/>
  <c r="MX20" i="2"/>
  <c r="NA19" i="2"/>
  <c r="HI20" i="2"/>
  <c r="IB20" i="2"/>
  <c r="IE19" i="2"/>
  <c r="MF19" i="2"/>
  <c r="MC20" i="2"/>
  <c r="LI20" i="2"/>
  <c r="IW20" i="2"/>
  <c r="IZ19" i="2"/>
  <c r="KJ21" i="2"/>
  <c r="KI21" i="2"/>
  <c r="KH21" i="2"/>
  <c r="PF21" i="2"/>
  <c r="PE21" i="2"/>
  <c r="PK21" i="2" s="1"/>
  <c r="MJ21" i="2"/>
  <c r="OU21" i="2"/>
  <c r="PD21" i="2"/>
  <c r="PG21" i="2"/>
  <c r="PH21" i="2"/>
  <c r="MI21" i="2"/>
  <c r="OT21" i="2"/>
  <c r="OS21" i="2"/>
  <c r="OR21" i="2"/>
  <c r="OM21" i="2"/>
  <c r="OL21" i="2"/>
  <c r="OK21" i="2"/>
  <c r="NZ21" i="2"/>
  <c r="OJ21" i="2"/>
  <c r="OO21" i="2" s="1"/>
  <c r="OI21" i="2"/>
  <c r="NX21" i="2"/>
  <c r="NR21" i="2"/>
  <c r="NY21" i="2"/>
  <c r="NQ21" i="2"/>
  <c r="NP21" i="2"/>
  <c r="NW21" i="2"/>
  <c r="NO21" i="2"/>
  <c r="NU21" i="2" s="1"/>
  <c r="ND21" i="2"/>
  <c r="NE21" i="2"/>
  <c r="NB21" i="2"/>
  <c r="NC21" i="2"/>
  <c r="MW21" i="2"/>
  <c r="NN21" i="2"/>
  <c r="MU21" i="2"/>
  <c r="MT21" i="2"/>
  <c r="MZ21" i="2" s="1"/>
  <c r="MS21" i="2"/>
  <c r="MV21" i="2"/>
  <c r="MA21" i="2"/>
  <c r="LZ21" i="2"/>
  <c r="LO21" i="2"/>
  <c r="MH21" i="2"/>
  <c r="LY21" i="2"/>
  <c r="MG21" i="2"/>
  <c r="MB21" i="2"/>
  <c r="LX21" i="2"/>
  <c r="LG21" i="2"/>
  <c r="LC21" i="2"/>
  <c r="KQ21" i="2"/>
  <c r="LN21" i="2"/>
  <c r="LF21" i="2"/>
  <c r="KS21" i="2"/>
  <c r="JA21" i="2"/>
  <c r="LL21" i="2"/>
  <c r="LE21" i="2"/>
  <c r="KT21" i="2"/>
  <c r="JB21" i="2"/>
  <c r="LM21" i="2"/>
  <c r="LD21" i="2"/>
  <c r="KR21" i="2"/>
  <c r="KL21" i="2"/>
  <c r="JX21" i="2"/>
  <c r="JN21" i="2"/>
  <c r="JD21" i="2"/>
  <c r="JW21" i="2"/>
  <c r="JQ21" i="2"/>
  <c r="KK21" i="2"/>
  <c r="JM21" i="2"/>
  <c r="JP21" i="2"/>
  <c r="JY21" i="2"/>
  <c r="JO21" i="2"/>
  <c r="JV21" i="2"/>
  <c r="IV21" i="2"/>
  <c r="IR21" i="2"/>
  <c r="HD21" i="2"/>
  <c r="HN21" i="2"/>
  <c r="JC21" i="2"/>
  <c r="IU21" i="2"/>
  <c r="II21" i="2"/>
  <c r="IH21" i="2"/>
  <c r="IF21" i="2"/>
  <c r="HE21" i="2"/>
  <c r="IT21" i="2"/>
  <c r="IG21" i="2"/>
  <c r="HF21" i="2"/>
  <c r="IS21" i="2"/>
  <c r="IY21" i="2" s="1"/>
  <c r="HX21" i="2"/>
  <c r="HL21" i="2"/>
  <c r="IA21" i="2"/>
  <c r="HW21" i="2"/>
  <c r="HZ21" i="2"/>
  <c r="IC21" i="2" s="1"/>
  <c r="HM21" i="2"/>
  <c r="HK21" i="2"/>
  <c r="HY21" i="2"/>
  <c r="PJ20" i="2"/>
  <c r="PJ21" i="2" s="1"/>
  <c r="ME20" i="2"/>
  <c r="ME21" i="2" s="1"/>
  <c r="MY20" i="2"/>
  <c r="MY21" i="2" s="1"/>
  <c r="NS20" i="2"/>
  <c r="NV19" i="2"/>
  <c r="IX20" i="2"/>
  <c r="OP20" i="2"/>
  <c r="OP21" i="2" s="1"/>
  <c r="PI20" i="2"/>
  <c r="PL19" i="2"/>
  <c r="LH20" i="2"/>
  <c r="LK19" i="2"/>
  <c r="JT20" i="2"/>
  <c r="JT21" i="2" s="1"/>
  <c r="JR20" i="2"/>
  <c r="JU19" i="2"/>
  <c r="ON20" i="2"/>
  <c r="OQ19" i="2"/>
  <c r="KN20" i="2"/>
  <c r="KM19" i="2"/>
  <c r="KP18" i="2"/>
  <c r="KO19" i="2"/>
  <c r="KO20" i="2" s="1"/>
  <c r="EC20" i="2"/>
  <c r="FS20" i="2"/>
  <c r="EV20" i="2"/>
  <c r="EW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GJ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LJ21" i="2" l="1"/>
  <c r="JS21" i="2"/>
  <c r="MD21" i="2"/>
  <c r="IX21" i="2"/>
  <c r="ID21" i="2"/>
  <c r="HH21" i="2"/>
  <c r="OO22" i="2"/>
  <c r="PK22" i="2"/>
  <c r="ON21" i="2"/>
  <c r="OQ20" i="2"/>
  <c r="MY22" i="2"/>
  <c r="MX21" i="2"/>
  <c r="NA20" i="2"/>
  <c r="IX22" i="2"/>
  <c r="IW21" i="2"/>
  <c r="IZ20" i="2"/>
  <c r="JR21" i="2"/>
  <c r="JU20" i="2"/>
  <c r="NS21" i="2"/>
  <c r="NV20" i="2"/>
  <c r="NT21" i="2"/>
  <c r="LI21" i="2"/>
  <c r="MC21" i="2"/>
  <c r="MF20" i="2"/>
  <c r="LH21" i="2"/>
  <c r="LK20" i="2"/>
  <c r="KJ22" i="2"/>
  <c r="KI22" i="2"/>
  <c r="KH22" i="2"/>
  <c r="OT22" i="2"/>
  <c r="PE22" i="2"/>
  <c r="PJ22" i="2" s="1"/>
  <c r="OU22" i="2"/>
  <c r="PD22" i="2"/>
  <c r="PF22" i="2"/>
  <c r="PG22" i="2"/>
  <c r="PH22" i="2"/>
  <c r="MJ22" i="2"/>
  <c r="MI22" i="2"/>
  <c r="OR22" i="2"/>
  <c r="OS22" i="2"/>
  <c r="OM22" i="2"/>
  <c r="OL22" i="2"/>
  <c r="OJ22" i="2"/>
  <c r="OP22" i="2" s="1"/>
  <c r="OK22" i="2"/>
  <c r="NZ22" i="2"/>
  <c r="OI22" i="2"/>
  <c r="NY22" i="2"/>
  <c r="NW22" i="2"/>
  <c r="NR22" i="2"/>
  <c r="NX22" i="2"/>
  <c r="NQ22" i="2"/>
  <c r="NP22" i="2"/>
  <c r="NO22" i="2"/>
  <c r="NU22" i="2" s="1"/>
  <c r="NN22" i="2"/>
  <c r="ND22" i="2"/>
  <c r="NE22" i="2"/>
  <c r="NB22" i="2"/>
  <c r="NC22" i="2"/>
  <c r="MW22" i="2"/>
  <c r="MV22" i="2"/>
  <c r="MH22" i="2"/>
  <c r="MU22" i="2"/>
  <c r="MT22" i="2"/>
  <c r="MZ22" i="2" s="1"/>
  <c r="MS22" i="2"/>
  <c r="MG22" i="2"/>
  <c r="MB22" i="2"/>
  <c r="LX22" i="2"/>
  <c r="MA22" i="2"/>
  <c r="LZ22" i="2"/>
  <c r="LO22" i="2"/>
  <c r="LY22" i="2"/>
  <c r="ME22" i="2" s="1"/>
  <c r="LM22" i="2"/>
  <c r="LD22" i="2"/>
  <c r="LJ22" i="2" s="1"/>
  <c r="KR22" i="2"/>
  <c r="LG22" i="2"/>
  <c r="LC22" i="2"/>
  <c r="KQ22" i="2"/>
  <c r="LN22" i="2"/>
  <c r="LF22" i="2"/>
  <c r="KS22" i="2"/>
  <c r="JA22" i="2"/>
  <c r="LL22" i="2"/>
  <c r="LE22" i="2"/>
  <c r="KT22" i="2"/>
  <c r="JB22" i="2"/>
  <c r="JO22" i="2"/>
  <c r="JV22" i="2"/>
  <c r="KL22" i="2"/>
  <c r="JX22" i="2"/>
  <c r="JN22" i="2"/>
  <c r="JD22" i="2"/>
  <c r="JW22" i="2"/>
  <c r="JQ22" i="2"/>
  <c r="KK22" i="2"/>
  <c r="JM22" i="2"/>
  <c r="JP22" i="2"/>
  <c r="JC22" i="2"/>
  <c r="JY22" i="2"/>
  <c r="IS22" i="2"/>
  <c r="IV22" i="2"/>
  <c r="IR22" i="2"/>
  <c r="HD22" i="2"/>
  <c r="HN22" i="2"/>
  <c r="IU22" i="2"/>
  <c r="II22" i="2"/>
  <c r="IH22" i="2"/>
  <c r="IF22" i="2"/>
  <c r="HE22" i="2"/>
  <c r="IT22" i="2"/>
  <c r="IG22" i="2"/>
  <c r="HF22" i="2"/>
  <c r="HM22" i="2"/>
  <c r="HK22" i="2"/>
  <c r="HY22" i="2"/>
  <c r="HX22" i="2"/>
  <c r="HL22" i="2"/>
  <c r="IA22" i="2"/>
  <c r="HW22" i="2"/>
  <c r="HZ22" i="2"/>
  <c r="PI21" i="2"/>
  <c r="PL20" i="2"/>
  <c r="IB21" i="2"/>
  <c r="IE20" i="2"/>
  <c r="KN21" i="2"/>
  <c r="KM20" i="2"/>
  <c r="KP19" i="2"/>
  <c r="HI21" i="2"/>
  <c r="HG21" i="2"/>
  <c r="EV21" i="2"/>
  <c r="EW21" i="2"/>
  <c r="EB21" i="2"/>
  <c r="EX21" i="2"/>
  <c r="FS21" i="2"/>
  <c r="EC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JT22" i="2" l="1"/>
  <c r="IY22" i="2"/>
  <c r="ID22" i="2"/>
  <c r="JS22" i="2"/>
  <c r="IC22" i="2"/>
  <c r="HH22" i="2"/>
  <c r="OP23" i="2"/>
  <c r="IW22" i="2"/>
  <c r="IZ21" i="2"/>
  <c r="LI22" i="2"/>
  <c r="NT22" i="2"/>
  <c r="NS22" i="2"/>
  <c r="NV21" i="2"/>
  <c r="MX22" i="2"/>
  <c r="NA21" i="2"/>
  <c r="PI22" i="2"/>
  <c r="PL21" i="2"/>
  <c r="MC22" i="2"/>
  <c r="MF21" i="2"/>
  <c r="JR22" i="2"/>
  <c r="JU21" i="2"/>
  <c r="MD22" i="2"/>
  <c r="LH22" i="2"/>
  <c r="LK21" i="2"/>
  <c r="KJ23" i="2"/>
  <c r="KI23" i="2"/>
  <c r="KH23" i="2"/>
  <c r="PD23" i="2"/>
  <c r="PH23" i="2"/>
  <c r="PF23" i="2"/>
  <c r="PE23" i="2"/>
  <c r="PJ23" i="2" s="1"/>
  <c r="OT23" i="2"/>
  <c r="OU23" i="2"/>
  <c r="PG23" i="2"/>
  <c r="MJ23" i="2"/>
  <c r="MI23" i="2"/>
  <c r="OR23" i="2"/>
  <c r="OS23" i="2"/>
  <c r="OL23" i="2"/>
  <c r="OM23" i="2"/>
  <c r="OK23" i="2"/>
  <c r="OJ23" i="2"/>
  <c r="OO23" i="2" s="1"/>
  <c r="OI23" i="2"/>
  <c r="NZ23" i="2"/>
  <c r="NY23" i="2"/>
  <c r="NW23" i="2"/>
  <c r="NR23" i="2"/>
  <c r="NU23" i="2" s="1"/>
  <c r="NX23" i="2"/>
  <c r="NQ23" i="2"/>
  <c r="NP23" i="2"/>
  <c r="NC23" i="2"/>
  <c r="NO23" i="2"/>
  <c r="NN23" i="2"/>
  <c r="ND23" i="2"/>
  <c r="NE23" i="2"/>
  <c r="NB23" i="2"/>
  <c r="MS23" i="2"/>
  <c r="MV23" i="2"/>
  <c r="MH23" i="2"/>
  <c r="MG23" i="2"/>
  <c r="MW23" i="2"/>
  <c r="MU23" i="2"/>
  <c r="MT23" i="2"/>
  <c r="MZ23" i="2" s="1"/>
  <c r="LY23" i="2"/>
  <c r="ME23" i="2" s="1"/>
  <c r="MB23" i="2"/>
  <c r="LX23" i="2"/>
  <c r="MA23" i="2"/>
  <c r="LZ23" i="2"/>
  <c r="LO23" i="2"/>
  <c r="LL23" i="2"/>
  <c r="LE23" i="2"/>
  <c r="KT23" i="2"/>
  <c r="JB23" i="2"/>
  <c r="LM23" i="2"/>
  <c r="LD23" i="2"/>
  <c r="KR23" i="2"/>
  <c r="LG23" i="2"/>
  <c r="LC23" i="2"/>
  <c r="KQ23" i="2"/>
  <c r="LN23" i="2"/>
  <c r="LF23" i="2"/>
  <c r="KS23" i="2"/>
  <c r="JA23" i="2"/>
  <c r="JY23" i="2"/>
  <c r="JO23" i="2"/>
  <c r="JV23" i="2"/>
  <c r="KL23" i="2"/>
  <c r="JX23" i="2"/>
  <c r="JN23" i="2"/>
  <c r="JD23" i="2"/>
  <c r="JW23" i="2"/>
  <c r="JQ23" i="2"/>
  <c r="KK23" i="2"/>
  <c r="JM23" i="2"/>
  <c r="JP23" i="2"/>
  <c r="JC23" i="2"/>
  <c r="IT23" i="2"/>
  <c r="IG23" i="2"/>
  <c r="HF23" i="2"/>
  <c r="IS23" i="2"/>
  <c r="IV23" i="2"/>
  <c r="IR23" i="2"/>
  <c r="HD23" i="2"/>
  <c r="HN23" i="2"/>
  <c r="IU23" i="2"/>
  <c r="II23" i="2"/>
  <c r="IH23" i="2"/>
  <c r="IF23" i="2"/>
  <c r="HE23" i="2"/>
  <c r="HZ23" i="2"/>
  <c r="HM23" i="2"/>
  <c r="HK23" i="2"/>
  <c r="HY23" i="2"/>
  <c r="HX23" i="2"/>
  <c r="HL23" i="2"/>
  <c r="IA23" i="2"/>
  <c r="HW23" i="2"/>
  <c r="IB22" i="2"/>
  <c r="IE21" i="2"/>
  <c r="ON22" i="2"/>
  <c r="OQ21" i="2"/>
  <c r="KM21" i="2"/>
  <c r="KP20" i="2"/>
  <c r="KO21" i="2"/>
  <c r="KO22" i="2" s="1"/>
  <c r="KN22" i="2"/>
  <c r="HG22" i="2"/>
  <c r="HI22" i="2"/>
  <c r="EC22" i="2"/>
  <c r="EB22" i="2"/>
  <c r="EA22" i="2"/>
  <c r="EW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JS23" i="2" l="1"/>
  <c r="LJ23" i="2"/>
  <c r="JT23" i="2"/>
  <c r="IY23" i="2"/>
  <c r="IC23" i="2"/>
  <c r="HH23" i="2"/>
  <c r="IB23" i="2"/>
  <c r="IE22" i="2"/>
  <c r="PK23" i="2"/>
  <c r="JR23" i="2"/>
  <c r="JU22" i="2"/>
  <c r="MF22" i="2"/>
  <c r="MC23" i="2"/>
  <c r="NS23" i="2"/>
  <c r="NV22" i="2"/>
  <c r="LI23" i="2"/>
  <c r="MY23" i="2"/>
  <c r="ID23" i="2"/>
  <c r="KH24" i="2"/>
  <c r="KJ24" i="2"/>
  <c r="KI24" i="2"/>
  <c r="OU24" i="2"/>
  <c r="PG24" i="2"/>
  <c r="OT24" i="2"/>
  <c r="MI24" i="2"/>
  <c r="PF24" i="2"/>
  <c r="PE24" i="2"/>
  <c r="PJ24" i="2" s="1"/>
  <c r="PD24" i="2"/>
  <c r="PH24" i="2"/>
  <c r="MJ24" i="2"/>
  <c r="OR24" i="2"/>
  <c r="OS24" i="2"/>
  <c r="OM24" i="2"/>
  <c r="OK24" i="2"/>
  <c r="OL24" i="2"/>
  <c r="OJ24" i="2"/>
  <c r="OO24" i="2" s="1"/>
  <c r="OI24" i="2"/>
  <c r="NZ24" i="2"/>
  <c r="NX24" i="2"/>
  <c r="NQ24" i="2"/>
  <c r="NY24" i="2"/>
  <c r="NW24" i="2"/>
  <c r="NO24" i="2"/>
  <c r="NU24" i="2" s="1"/>
  <c r="NR24" i="2"/>
  <c r="NE24" i="2"/>
  <c r="NB24" i="2"/>
  <c r="NP24" i="2"/>
  <c r="NC24" i="2"/>
  <c r="NN24" i="2"/>
  <c r="ND24" i="2"/>
  <c r="MT24" i="2"/>
  <c r="MZ24" i="2" s="1"/>
  <c r="MS24" i="2"/>
  <c r="MV24" i="2"/>
  <c r="MH24" i="2"/>
  <c r="MG24" i="2"/>
  <c r="MW24" i="2"/>
  <c r="MU24" i="2"/>
  <c r="LZ24" i="2"/>
  <c r="LO24" i="2"/>
  <c r="LY24" i="2"/>
  <c r="MB24" i="2"/>
  <c r="LX24" i="2"/>
  <c r="MA24" i="2"/>
  <c r="LN24" i="2"/>
  <c r="LF24" i="2"/>
  <c r="KS24" i="2"/>
  <c r="JA24" i="2"/>
  <c r="LL24" i="2"/>
  <c r="LE24" i="2"/>
  <c r="KT24" i="2"/>
  <c r="JB24" i="2"/>
  <c r="LM24" i="2"/>
  <c r="LD24" i="2"/>
  <c r="KR24" i="2"/>
  <c r="LG24" i="2"/>
  <c r="LC24" i="2"/>
  <c r="KQ24" i="2"/>
  <c r="KK24" i="2"/>
  <c r="JM24" i="2"/>
  <c r="JP24" i="2"/>
  <c r="JY24" i="2"/>
  <c r="JO24" i="2"/>
  <c r="JV24" i="2"/>
  <c r="KL24" i="2"/>
  <c r="JX24" i="2"/>
  <c r="JN24" i="2"/>
  <c r="JD24" i="2"/>
  <c r="JW24" i="2"/>
  <c r="JQ24" i="2"/>
  <c r="IU24" i="2"/>
  <c r="II24" i="2"/>
  <c r="IH24" i="2"/>
  <c r="IF24" i="2"/>
  <c r="HE24" i="2"/>
  <c r="IT24" i="2"/>
  <c r="IG24" i="2"/>
  <c r="HF24" i="2"/>
  <c r="JC24" i="2"/>
  <c r="IS24" i="2"/>
  <c r="IV24" i="2"/>
  <c r="IR24" i="2"/>
  <c r="HD24" i="2"/>
  <c r="HN24" i="2"/>
  <c r="HL24" i="2"/>
  <c r="IA24" i="2"/>
  <c r="HW24" i="2"/>
  <c r="HZ24" i="2"/>
  <c r="HM24" i="2"/>
  <c r="HK24" i="2"/>
  <c r="HY24" i="2"/>
  <c r="HX24" i="2"/>
  <c r="IC24" i="2" s="1"/>
  <c r="MD23" i="2"/>
  <c r="HI23" i="2"/>
  <c r="LH23" i="2"/>
  <c r="LK22" i="2"/>
  <c r="PI23" i="2"/>
  <c r="PL22" i="2"/>
  <c r="MX23" i="2"/>
  <c r="NA22" i="2"/>
  <c r="NT23" i="2"/>
  <c r="NT24" i="2" s="1"/>
  <c r="IX23" i="2"/>
  <c r="IW23" i="2"/>
  <c r="IZ22" i="2"/>
  <c r="ON23" i="2"/>
  <c r="OQ22" i="2"/>
  <c r="KM22" i="2"/>
  <c r="KP21" i="2"/>
  <c r="KN23" i="2"/>
  <c r="HG23" i="2"/>
  <c r="EX23" i="2"/>
  <c r="EC23" i="2"/>
  <c r="FS23" i="2"/>
  <c r="FQ23" i="2"/>
  <c r="FR23" i="2"/>
  <c r="EV23" i="2"/>
  <c r="GN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B24" i="2"/>
  <c r="HC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LJ24" i="2" l="1"/>
  <c r="JT24" i="2"/>
  <c r="ME24" i="2"/>
  <c r="MD24" i="2"/>
  <c r="IY24" i="2"/>
  <c r="IX24" i="2"/>
  <c r="HH24" i="2"/>
  <c r="HG24" i="2"/>
  <c r="LH24" i="2"/>
  <c r="LK23" i="2"/>
  <c r="PK24" i="2"/>
  <c r="MX24" i="2"/>
  <c r="NA23" i="2"/>
  <c r="NS24" i="2"/>
  <c r="NV23" i="2"/>
  <c r="OP24" i="2"/>
  <c r="OP25" i="2" s="1"/>
  <c r="JS24" i="2"/>
  <c r="KJ25" i="2"/>
  <c r="KI25" i="2"/>
  <c r="KH25" i="2"/>
  <c r="PF25" i="2"/>
  <c r="OU25" i="2"/>
  <c r="PD25" i="2"/>
  <c r="PG25" i="2"/>
  <c r="PH25" i="2"/>
  <c r="MJ25" i="2"/>
  <c r="OT25" i="2"/>
  <c r="MI25" i="2"/>
  <c r="PE25" i="2"/>
  <c r="PJ25" i="2" s="1"/>
  <c r="OS25" i="2"/>
  <c r="OR25" i="2"/>
  <c r="OM25" i="2"/>
  <c r="OL25" i="2"/>
  <c r="NZ25" i="2"/>
  <c r="OK25" i="2"/>
  <c r="OJ25" i="2"/>
  <c r="OO25" i="2" s="1"/>
  <c r="OI25" i="2"/>
  <c r="NX25" i="2"/>
  <c r="NR25" i="2"/>
  <c r="NQ25" i="2"/>
  <c r="NP25" i="2"/>
  <c r="NY25" i="2"/>
  <c r="NW25" i="2"/>
  <c r="NO25" i="2"/>
  <c r="NU25" i="2" s="1"/>
  <c r="ND25" i="2"/>
  <c r="NE25" i="2"/>
  <c r="NB25" i="2"/>
  <c r="NC25" i="2"/>
  <c r="MW25" i="2"/>
  <c r="NN25" i="2"/>
  <c r="MU25" i="2"/>
  <c r="MT25" i="2"/>
  <c r="MZ25" i="2" s="1"/>
  <c r="MS25" i="2"/>
  <c r="MV25" i="2"/>
  <c r="MA25" i="2"/>
  <c r="MG25" i="2"/>
  <c r="LZ25" i="2"/>
  <c r="LO25" i="2"/>
  <c r="LY25" i="2"/>
  <c r="MH25" i="2"/>
  <c r="MB25" i="2"/>
  <c r="LX25" i="2"/>
  <c r="LG25" i="2"/>
  <c r="LC25" i="2"/>
  <c r="KQ25" i="2"/>
  <c r="LN25" i="2"/>
  <c r="LF25" i="2"/>
  <c r="KS25" i="2"/>
  <c r="JA25" i="2"/>
  <c r="LL25" i="2"/>
  <c r="LE25" i="2"/>
  <c r="KT25" i="2"/>
  <c r="JB25" i="2"/>
  <c r="LM25" i="2"/>
  <c r="LD25" i="2"/>
  <c r="KR25" i="2"/>
  <c r="KL25" i="2"/>
  <c r="JX25" i="2"/>
  <c r="JN25" i="2"/>
  <c r="JD25" i="2"/>
  <c r="JW25" i="2"/>
  <c r="JQ25" i="2"/>
  <c r="KK25" i="2"/>
  <c r="JM25" i="2"/>
  <c r="JP25" i="2"/>
  <c r="JY25" i="2"/>
  <c r="JO25" i="2"/>
  <c r="JV25" i="2"/>
  <c r="IV25" i="2"/>
  <c r="IR25" i="2"/>
  <c r="HD25" i="2"/>
  <c r="HN25" i="2"/>
  <c r="IU25" i="2"/>
  <c r="II25" i="2"/>
  <c r="IH25" i="2"/>
  <c r="IF25" i="2"/>
  <c r="HE25" i="2"/>
  <c r="IT25" i="2"/>
  <c r="IG25" i="2"/>
  <c r="HF25" i="2"/>
  <c r="JC25" i="2"/>
  <c r="IS25" i="2"/>
  <c r="IY25" i="2" s="1"/>
  <c r="HX25" i="2"/>
  <c r="HL25" i="2"/>
  <c r="IA25" i="2"/>
  <c r="HW25" i="2"/>
  <c r="HZ25" i="2"/>
  <c r="HM25" i="2"/>
  <c r="HK25" i="2"/>
  <c r="HY25" i="2"/>
  <c r="IW24" i="2"/>
  <c r="IZ23" i="2"/>
  <c r="NT25" i="2"/>
  <c r="ID24" i="2"/>
  <c r="LI24" i="2"/>
  <c r="MC24" i="2"/>
  <c r="MF23" i="2"/>
  <c r="JR24" i="2"/>
  <c r="JU23" i="2"/>
  <c r="IB24" i="2"/>
  <c r="IE23" i="2"/>
  <c r="ON24" i="2"/>
  <c r="OQ23" i="2"/>
  <c r="PI24" i="2"/>
  <c r="PL23" i="2"/>
  <c r="MY24" i="2"/>
  <c r="MY25" i="2" s="1"/>
  <c r="KM23" i="2"/>
  <c r="KP22" i="2"/>
  <c r="KO23" i="2"/>
  <c r="KO24" i="2" s="1"/>
  <c r="KN24" i="2"/>
  <c r="HI24" i="2"/>
  <c r="FR24" i="2"/>
  <c r="EW24" i="2"/>
  <c r="EC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GJ25" i="2"/>
  <c r="FO25" i="2"/>
  <c r="FN25" i="2"/>
  <c r="DY25" i="2"/>
  <c r="GI25" i="2"/>
  <c r="D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LJ25" i="2" l="1"/>
  <c r="ME25" i="2"/>
  <c r="LI25" i="2"/>
  <c r="JT25" i="2"/>
  <c r="IX25" i="2"/>
  <c r="IC25" i="2"/>
  <c r="HI25" i="2"/>
  <c r="HH25" i="2"/>
  <c r="IW25" i="2"/>
  <c r="IZ24" i="2"/>
  <c r="PK25" i="2"/>
  <c r="KJ26" i="2"/>
  <c r="KI26" i="2"/>
  <c r="KH26" i="2"/>
  <c r="OT26" i="2"/>
  <c r="PE26" i="2"/>
  <c r="PJ26" i="2" s="1"/>
  <c r="OU26" i="2"/>
  <c r="PD26" i="2"/>
  <c r="PG26" i="2"/>
  <c r="PH26" i="2"/>
  <c r="MI26" i="2"/>
  <c r="PF26" i="2"/>
  <c r="MJ26" i="2"/>
  <c r="OR26" i="2"/>
  <c r="OS26" i="2"/>
  <c r="OM26" i="2"/>
  <c r="OK26" i="2"/>
  <c r="OJ26" i="2"/>
  <c r="OP26" i="2" s="1"/>
  <c r="OL26" i="2"/>
  <c r="NZ26" i="2"/>
  <c r="OI26" i="2"/>
  <c r="NY26" i="2"/>
  <c r="NX26" i="2"/>
  <c r="NW26" i="2"/>
  <c r="NR26" i="2"/>
  <c r="NQ26" i="2"/>
  <c r="NP26" i="2"/>
  <c r="NN26" i="2"/>
  <c r="ND26" i="2"/>
  <c r="NO26" i="2"/>
  <c r="NU26" i="2" s="1"/>
  <c r="NE26" i="2"/>
  <c r="NB26" i="2"/>
  <c r="NC26" i="2"/>
  <c r="MW26" i="2"/>
  <c r="MV26" i="2"/>
  <c r="MY26" i="2" s="1"/>
  <c r="MH26" i="2"/>
  <c r="MU26" i="2"/>
  <c r="MT26" i="2"/>
  <c r="MZ26" i="2" s="1"/>
  <c r="MS26" i="2"/>
  <c r="MB26" i="2"/>
  <c r="LX26" i="2"/>
  <c r="MA26" i="2"/>
  <c r="MG26" i="2"/>
  <c r="LZ26" i="2"/>
  <c r="LO26" i="2"/>
  <c r="LY26" i="2"/>
  <c r="ME26" i="2" s="1"/>
  <c r="LM26" i="2"/>
  <c r="LD26" i="2"/>
  <c r="KR26" i="2"/>
  <c r="LG26" i="2"/>
  <c r="LC26" i="2"/>
  <c r="KQ26" i="2"/>
  <c r="LN26" i="2"/>
  <c r="LF26" i="2"/>
  <c r="KS26" i="2"/>
  <c r="JA26" i="2"/>
  <c r="LL26" i="2"/>
  <c r="LE26" i="2"/>
  <c r="KT26" i="2"/>
  <c r="JB26" i="2"/>
  <c r="JO26" i="2"/>
  <c r="JV26" i="2"/>
  <c r="KL26" i="2"/>
  <c r="JX26" i="2"/>
  <c r="JN26" i="2"/>
  <c r="JD26" i="2"/>
  <c r="JW26" i="2"/>
  <c r="JQ26" i="2"/>
  <c r="KK26" i="2"/>
  <c r="JM26" i="2"/>
  <c r="JP26" i="2"/>
  <c r="JC26" i="2"/>
  <c r="JY26" i="2"/>
  <c r="IS26" i="2"/>
  <c r="IV26" i="2"/>
  <c r="IR26" i="2"/>
  <c r="HD26" i="2"/>
  <c r="HN26" i="2"/>
  <c r="IU26" i="2"/>
  <c r="II26" i="2"/>
  <c r="IH26" i="2"/>
  <c r="IF26" i="2"/>
  <c r="HE26" i="2"/>
  <c r="IT26" i="2"/>
  <c r="IG26" i="2"/>
  <c r="HF26" i="2"/>
  <c r="HM26" i="2"/>
  <c r="HK26" i="2"/>
  <c r="HY26" i="2"/>
  <c r="HX26" i="2"/>
  <c r="IC26" i="2" s="1"/>
  <c r="HL26" i="2"/>
  <c r="IA26" i="2"/>
  <c r="HW26" i="2"/>
  <c r="HZ26" i="2"/>
  <c r="MC25" i="2"/>
  <c r="MF24" i="2"/>
  <c r="ID25" i="2"/>
  <c r="MD25" i="2"/>
  <c r="MX25" i="2"/>
  <c r="NA24" i="2"/>
  <c r="LH25" i="2"/>
  <c r="LK24" i="2"/>
  <c r="NT26" i="2"/>
  <c r="ON25" i="2"/>
  <c r="OQ24" i="2"/>
  <c r="IB25" i="2"/>
  <c r="IE24" i="2"/>
  <c r="PI25" i="2"/>
  <c r="PL24" i="2"/>
  <c r="JR25" i="2"/>
  <c r="JU24" i="2"/>
  <c r="JS25" i="2"/>
  <c r="NS25" i="2"/>
  <c r="NV24" i="2"/>
  <c r="KM24" i="2"/>
  <c r="KP23" i="2"/>
  <c r="KN25" i="2"/>
  <c r="HG25" i="2"/>
  <c r="EC25" i="2"/>
  <c r="FS25" i="2"/>
  <c r="EV25" i="2"/>
  <c r="EW25" i="2"/>
  <c r="EB25" i="2"/>
  <c r="EX25" i="2"/>
  <c r="GN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LI26" i="2" l="1"/>
  <c r="JT26" i="2"/>
  <c r="JS26" i="2"/>
  <c r="MD26" i="2"/>
  <c r="IY26" i="2"/>
  <c r="IX26" i="2"/>
  <c r="ID26" i="2"/>
  <c r="HH26" i="2"/>
  <c r="JR26" i="2"/>
  <c r="JU25" i="2"/>
  <c r="PI26" i="2"/>
  <c r="PL25" i="2"/>
  <c r="IB26" i="2"/>
  <c r="IE25" i="2"/>
  <c r="OO26" i="2"/>
  <c r="LH26" i="2"/>
  <c r="LK25" i="2"/>
  <c r="MX26" i="2"/>
  <c r="NA25" i="2"/>
  <c r="IW26" i="2"/>
  <c r="IZ25" i="2"/>
  <c r="LJ26" i="2"/>
  <c r="NS26" i="2"/>
  <c r="NV25" i="2"/>
  <c r="ON26" i="2"/>
  <c r="OQ25" i="2"/>
  <c r="MC26" i="2"/>
  <c r="MF25" i="2"/>
  <c r="KJ27" i="2"/>
  <c r="KH27" i="2"/>
  <c r="KI27" i="2"/>
  <c r="PD27" i="2"/>
  <c r="PH27" i="2"/>
  <c r="PE27" i="2"/>
  <c r="PJ27" i="2" s="1"/>
  <c r="MJ27" i="2"/>
  <c r="OT27" i="2"/>
  <c r="MI27" i="2"/>
  <c r="OU27" i="2"/>
  <c r="PF27" i="2"/>
  <c r="PG27" i="2"/>
  <c r="OR27" i="2"/>
  <c r="OS27" i="2"/>
  <c r="OL27" i="2"/>
  <c r="OM27" i="2"/>
  <c r="OK27" i="2"/>
  <c r="OJ27" i="2"/>
  <c r="OP27" i="2" s="1"/>
  <c r="OI27" i="2"/>
  <c r="NZ27" i="2"/>
  <c r="NY27" i="2"/>
  <c r="NX27" i="2"/>
  <c r="NW27" i="2"/>
  <c r="NR27" i="2"/>
  <c r="NQ27" i="2"/>
  <c r="NC27" i="2"/>
  <c r="NN27" i="2"/>
  <c r="NP27" i="2"/>
  <c r="ND27" i="2"/>
  <c r="NO27" i="2"/>
  <c r="NU27" i="2" s="1"/>
  <c r="NE27" i="2"/>
  <c r="NB27" i="2"/>
  <c r="MW27" i="2"/>
  <c r="MS27" i="2"/>
  <c r="MV27" i="2"/>
  <c r="MH27" i="2"/>
  <c r="MG27" i="2"/>
  <c r="MU27" i="2"/>
  <c r="MT27" i="2"/>
  <c r="MZ27" i="2" s="1"/>
  <c r="LY27" i="2"/>
  <c r="MB27" i="2"/>
  <c r="LX27" i="2"/>
  <c r="MA27" i="2"/>
  <c r="LZ27" i="2"/>
  <c r="LO27" i="2"/>
  <c r="LL27" i="2"/>
  <c r="LE27" i="2"/>
  <c r="KT27" i="2"/>
  <c r="JB27" i="2"/>
  <c r="LM27" i="2"/>
  <c r="LD27" i="2"/>
  <c r="KR27" i="2"/>
  <c r="LG27" i="2"/>
  <c r="LC27" i="2"/>
  <c r="KQ27" i="2"/>
  <c r="LN27" i="2"/>
  <c r="LF27" i="2"/>
  <c r="KS27" i="2"/>
  <c r="JA27" i="2"/>
  <c r="JY27" i="2"/>
  <c r="JO27" i="2"/>
  <c r="JV27" i="2"/>
  <c r="KL27" i="2"/>
  <c r="JX27" i="2"/>
  <c r="JN27" i="2"/>
  <c r="JD27" i="2"/>
  <c r="JW27" i="2"/>
  <c r="JQ27" i="2"/>
  <c r="KK27" i="2"/>
  <c r="JM27" i="2"/>
  <c r="JP27" i="2"/>
  <c r="JC27" i="2"/>
  <c r="IT27" i="2"/>
  <c r="IG27" i="2"/>
  <c r="HF27" i="2"/>
  <c r="IS27" i="2"/>
  <c r="IV27" i="2"/>
  <c r="IR27" i="2"/>
  <c r="HD27" i="2"/>
  <c r="HN27" i="2"/>
  <c r="IU27" i="2"/>
  <c r="II27" i="2"/>
  <c r="IH27" i="2"/>
  <c r="IF27" i="2"/>
  <c r="HE27" i="2"/>
  <c r="HZ27" i="2"/>
  <c r="HM27" i="2"/>
  <c r="HK27" i="2"/>
  <c r="HY27" i="2"/>
  <c r="HX27" i="2"/>
  <c r="HL27" i="2"/>
  <c r="IA27" i="2"/>
  <c r="HW27" i="2"/>
  <c r="PK26" i="2"/>
  <c r="EC26" i="2"/>
  <c r="KM25" i="2"/>
  <c r="KP24" i="2"/>
  <c r="KO25" i="2"/>
  <c r="KO26" i="2" s="1"/>
  <c r="KN26" i="2"/>
  <c r="HG26" i="2"/>
  <c r="HI26" i="2"/>
  <c r="FS26" i="2"/>
  <c r="EB26" i="2"/>
  <c r="EW26" i="2"/>
  <c r="EX26" i="2"/>
  <c r="EA26" i="2"/>
  <c r="GN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ME27" i="2" l="1"/>
  <c r="LI27" i="2"/>
  <c r="JT27" i="2"/>
  <c r="IY27" i="2"/>
  <c r="IC27" i="2"/>
  <c r="HH27" i="2"/>
  <c r="MD27" i="2"/>
  <c r="MC27" i="2"/>
  <c r="MF26" i="2"/>
  <c r="KH28" i="2"/>
  <c r="KJ28" i="2"/>
  <c r="KI28" i="2"/>
  <c r="OU28" i="2"/>
  <c r="PG28" i="2"/>
  <c r="PF28" i="2"/>
  <c r="MI28" i="2"/>
  <c r="PE28" i="2"/>
  <c r="PJ28" i="2" s="1"/>
  <c r="MJ28" i="2"/>
  <c r="OT28" i="2"/>
  <c r="PD28" i="2"/>
  <c r="PH28" i="2"/>
  <c r="OR28" i="2"/>
  <c r="OS28" i="2"/>
  <c r="OM28" i="2"/>
  <c r="OL28" i="2"/>
  <c r="OK28" i="2"/>
  <c r="OJ28" i="2"/>
  <c r="OP28" i="2" s="1"/>
  <c r="OI28" i="2"/>
  <c r="NX28" i="2"/>
  <c r="NZ28" i="2"/>
  <c r="NY28" i="2"/>
  <c r="NQ28" i="2"/>
  <c r="NW28" i="2"/>
  <c r="NO28" i="2"/>
  <c r="NU28" i="2" s="1"/>
  <c r="NR28" i="2"/>
  <c r="NE28" i="2"/>
  <c r="NB28" i="2"/>
  <c r="NC28" i="2"/>
  <c r="NN28" i="2"/>
  <c r="NP28" i="2"/>
  <c r="ND28" i="2"/>
  <c r="MT28" i="2"/>
  <c r="MZ28" i="2" s="1"/>
  <c r="MW28" i="2"/>
  <c r="MS28" i="2"/>
  <c r="MV28" i="2"/>
  <c r="MH28" i="2"/>
  <c r="MG28" i="2"/>
  <c r="MU28" i="2"/>
  <c r="LZ28" i="2"/>
  <c r="LO28" i="2"/>
  <c r="LY28" i="2"/>
  <c r="MB28" i="2"/>
  <c r="LX28" i="2"/>
  <c r="MA28" i="2"/>
  <c r="LN28" i="2"/>
  <c r="LF28" i="2"/>
  <c r="KS28" i="2"/>
  <c r="JA28" i="2"/>
  <c r="LL28" i="2"/>
  <c r="LE28" i="2"/>
  <c r="KT28" i="2"/>
  <c r="JB28" i="2"/>
  <c r="LM28" i="2"/>
  <c r="LD28" i="2"/>
  <c r="KR28" i="2"/>
  <c r="LG28" i="2"/>
  <c r="LC28" i="2"/>
  <c r="KQ28" i="2"/>
  <c r="KK28" i="2"/>
  <c r="JM28" i="2"/>
  <c r="JP28" i="2"/>
  <c r="JO28" i="2"/>
  <c r="JV28" i="2"/>
  <c r="KL28" i="2"/>
  <c r="JX28" i="2"/>
  <c r="JN28" i="2"/>
  <c r="JD28" i="2"/>
  <c r="JW28" i="2"/>
  <c r="JQ28" i="2"/>
  <c r="JC28" i="2"/>
  <c r="IU28" i="2"/>
  <c r="II28" i="2"/>
  <c r="IH28" i="2"/>
  <c r="IF28" i="2"/>
  <c r="HE28" i="2"/>
  <c r="IT28" i="2"/>
  <c r="IG28" i="2"/>
  <c r="HF28" i="2"/>
  <c r="IS28" i="2"/>
  <c r="IV28" i="2"/>
  <c r="IR28" i="2"/>
  <c r="HD28" i="2"/>
  <c r="HN28" i="2"/>
  <c r="HL28" i="2"/>
  <c r="IA28" i="2"/>
  <c r="HW28" i="2"/>
  <c r="HZ28" i="2"/>
  <c r="HM28" i="2"/>
  <c r="HK28" i="2"/>
  <c r="HY28" i="2"/>
  <c r="HX28" i="2"/>
  <c r="JY28" i="2"/>
  <c r="PK27" i="2"/>
  <c r="NT27" i="2"/>
  <c r="NT28" i="2" s="1"/>
  <c r="NS27" i="2"/>
  <c r="NV26" i="2"/>
  <c r="IW27" i="2"/>
  <c r="IZ26" i="2"/>
  <c r="OO27" i="2"/>
  <c r="OO28" i="2" s="1"/>
  <c r="IX27" i="2"/>
  <c r="IX28" i="2" s="1"/>
  <c r="JS27" i="2"/>
  <c r="LJ27" i="2"/>
  <c r="MX27" i="2"/>
  <c r="NA26" i="2"/>
  <c r="ID27" i="2"/>
  <c r="ID28" i="2" s="1"/>
  <c r="PI27" i="2"/>
  <c r="PL26" i="2"/>
  <c r="MY27" i="2"/>
  <c r="MY28" i="2" s="1"/>
  <c r="ON27" i="2"/>
  <c r="OQ26" i="2"/>
  <c r="LH27" i="2"/>
  <c r="LK26" i="2"/>
  <c r="IB27" i="2"/>
  <c r="IE26" i="2"/>
  <c r="JR27" i="2"/>
  <c r="JU26" i="2"/>
  <c r="KN27" i="2"/>
  <c r="KO27" i="2"/>
  <c r="KM26" i="2"/>
  <c r="KP25" i="2"/>
  <c r="HI27" i="2"/>
  <c r="HG27" i="2"/>
  <c r="EX27" i="2"/>
  <c r="FS27" i="2"/>
  <c r="EC27" i="2"/>
  <c r="AV27" i="2"/>
  <c r="AW27" i="2"/>
  <c r="EA27" i="2"/>
  <c r="EW27" i="2"/>
  <c r="EB27" i="2"/>
  <c r="GN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LJ28" i="2" l="1"/>
  <c r="JT28" i="2"/>
  <c r="ME28" i="2"/>
  <c r="LI28" i="2"/>
  <c r="JS28" i="2"/>
  <c r="IY28" i="2"/>
  <c r="IC28" i="2"/>
  <c r="HH28" i="2"/>
  <c r="KJ29" i="2"/>
  <c r="KI29" i="2"/>
  <c r="KH29" i="2"/>
  <c r="PF29" i="2"/>
  <c r="OT29" i="2"/>
  <c r="MJ29" i="2"/>
  <c r="MI29" i="2"/>
  <c r="PE29" i="2"/>
  <c r="PJ29" i="2" s="1"/>
  <c r="OU29" i="2"/>
  <c r="PD29" i="2"/>
  <c r="PG29" i="2"/>
  <c r="PH29" i="2"/>
  <c r="OS29" i="2"/>
  <c r="OR29" i="2"/>
  <c r="OM29" i="2"/>
  <c r="OL29" i="2"/>
  <c r="OK29" i="2"/>
  <c r="NZ29" i="2"/>
  <c r="OJ29" i="2"/>
  <c r="OP29" i="2" s="1"/>
  <c r="OI29" i="2"/>
  <c r="NX29" i="2"/>
  <c r="NR29" i="2"/>
  <c r="NY29" i="2"/>
  <c r="NQ29" i="2"/>
  <c r="NP29" i="2"/>
  <c r="NW29" i="2"/>
  <c r="NO29" i="2"/>
  <c r="NU29" i="2" s="1"/>
  <c r="ND29" i="2"/>
  <c r="NE29" i="2"/>
  <c r="NB29" i="2"/>
  <c r="NC29" i="2"/>
  <c r="MW29" i="2"/>
  <c r="NN29" i="2"/>
  <c r="MU29" i="2"/>
  <c r="MT29" i="2"/>
  <c r="MZ29" i="2" s="1"/>
  <c r="MS29" i="2"/>
  <c r="MV29" i="2"/>
  <c r="MH29" i="2"/>
  <c r="MA29" i="2"/>
  <c r="LZ29" i="2"/>
  <c r="LO29" i="2"/>
  <c r="LY29" i="2"/>
  <c r="ME29" i="2" s="1"/>
  <c r="MG29" i="2"/>
  <c r="MB29" i="2"/>
  <c r="LX29" i="2"/>
  <c r="LG29" i="2"/>
  <c r="LC29" i="2"/>
  <c r="KQ29" i="2"/>
  <c r="LN29" i="2"/>
  <c r="LF29" i="2"/>
  <c r="KS29" i="2"/>
  <c r="JA29" i="2"/>
  <c r="LL29" i="2"/>
  <c r="LE29" i="2"/>
  <c r="KT29" i="2"/>
  <c r="JB29" i="2"/>
  <c r="LM29" i="2"/>
  <c r="LD29" i="2"/>
  <c r="KR29" i="2"/>
  <c r="KL29" i="2"/>
  <c r="JX29" i="2"/>
  <c r="JN29" i="2"/>
  <c r="JD29" i="2"/>
  <c r="JW29" i="2"/>
  <c r="JQ29" i="2"/>
  <c r="KK29" i="2"/>
  <c r="JY29" i="2"/>
  <c r="JM29" i="2"/>
  <c r="JP29" i="2"/>
  <c r="JO29" i="2"/>
  <c r="JV29" i="2"/>
  <c r="IV29" i="2"/>
  <c r="IR29" i="2"/>
  <c r="HD29" i="2"/>
  <c r="HN29" i="2"/>
  <c r="JC29" i="2"/>
  <c r="IU29" i="2"/>
  <c r="II29" i="2"/>
  <c r="IH29" i="2"/>
  <c r="IF29" i="2"/>
  <c r="HE29" i="2"/>
  <c r="IT29" i="2"/>
  <c r="IG29" i="2"/>
  <c r="HF29" i="2"/>
  <c r="IS29" i="2"/>
  <c r="IY29" i="2" s="1"/>
  <c r="HX29" i="2"/>
  <c r="HL29" i="2"/>
  <c r="IA29" i="2"/>
  <c r="HW29" i="2"/>
  <c r="HZ29" i="2"/>
  <c r="HM29" i="2"/>
  <c r="HK29" i="2"/>
  <c r="HY29" i="2"/>
  <c r="JR28" i="2"/>
  <c r="JU27" i="2"/>
  <c r="LH28" i="2"/>
  <c r="LK27" i="2"/>
  <c r="PI28" i="2"/>
  <c r="PL27" i="2"/>
  <c r="OO29" i="2"/>
  <c r="IW28" i="2"/>
  <c r="IZ27" i="2"/>
  <c r="ID29" i="2"/>
  <c r="PK28" i="2"/>
  <c r="PK29" i="2" s="1"/>
  <c r="IB28" i="2"/>
  <c r="IE27" i="2"/>
  <c r="MY29" i="2"/>
  <c r="MX28" i="2"/>
  <c r="NA27" i="2"/>
  <c r="NS28" i="2"/>
  <c r="NV27" i="2"/>
  <c r="MC28" i="2"/>
  <c r="MF27" i="2"/>
  <c r="ON28" i="2"/>
  <c r="OQ27" i="2"/>
  <c r="NT29" i="2"/>
  <c r="MD28" i="2"/>
  <c r="KM27" i="2"/>
  <c r="KP26" i="2"/>
  <c r="KN28" i="2"/>
  <c r="HG28" i="2"/>
  <c r="HI28" i="2"/>
  <c r="FS28" i="2"/>
  <c r="EC28" i="2"/>
  <c r="EV28" i="2"/>
  <c r="EB28" i="2"/>
  <c r="EX28" i="2"/>
  <c r="FR28" i="2"/>
  <c r="EW28" i="2"/>
  <c r="EA28" i="2"/>
  <c r="FQ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GJ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LJ29" i="2" l="1"/>
  <c r="MD29" i="2"/>
  <c r="LI29" i="2"/>
  <c r="JT29" i="2"/>
  <c r="JS29" i="2"/>
  <c r="IX29" i="2"/>
  <c r="IC29" i="2"/>
  <c r="HH29" i="2"/>
  <c r="KJ30" i="2"/>
  <c r="KI30" i="2"/>
  <c r="KH30" i="2"/>
  <c r="OT30" i="2"/>
  <c r="PE30" i="2"/>
  <c r="PJ30" i="2" s="1"/>
  <c r="OU30" i="2"/>
  <c r="PD30" i="2"/>
  <c r="PG30" i="2"/>
  <c r="PH30" i="2"/>
  <c r="PF30" i="2"/>
  <c r="MI30" i="2"/>
  <c r="MJ30" i="2"/>
  <c r="OR30" i="2"/>
  <c r="OS30" i="2"/>
  <c r="OM30" i="2"/>
  <c r="OL30" i="2"/>
  <c r="OJ30" i="2"/>
  <c r="OP30" i="2" s="1"/>
  <c r="OK30" i="2"/>
  <c r="NZ30" i="2"/>
  <c r="OI30" i="2"/>
  <c r="NY30" i="2"/>
  <c r="NW30" i="2"/>
  <c r="NR30" i="2"/>
  <c r="NX30" i="2"/>
  <c r="NQ30" i="2"/>
  <c r="NP30" i="2"/>
  <c r="NO30" i="2"/>
  <c r="NU30" i="2" s="1"/>
  <c r="NN30" i="2"/>
  <c r="ND30" i="2"/>
  <c r="NE30" i="2"/>
  <c r="NB30" i="2"/>
  <c r="NC30" i="2"/>
  <c r="MW30" i="2"/>
  <c r="MV30" i="2"/>
  <c r="MH30" i="2"/>
  <c r="MU30" i="2"/>
  <c r="MT30" i="2"/>
  <c r="MZ30" i="2" s="1"/>
  <c r="MS30" i="2"/>
  <c r="MG30" i="2"/>
  <c r="MB30" i="2"/>
  <c r="LX30" i="2"/>
  <c r="MA30" i="2"/>
  <c r="LZ30" i="2"/>
  <c r="LO30" i="2"/>
  <c r="LY30" i="2"/>
  <c r="LM30" i="2"/>
  <c r="LD30" i="2"/>
  <c r="KR30" i="2"/>
  <c r="LG30" i="2"/>
  <c r="LC30" i="2"/>
  <c r="KQ30" i="2"/>
  <c r="LN30" i="2"/>
  <c r="LF30" i="2"/>
  <c r="KS30" i="2"/>
  <c r="JA30" i="2"/>
  <c r="LL30" i="2"/>
  <c r="LE30" i="2"/>
  <c r="KT30" i="2"/>
  <c r="JB30" i="2"/>
  <c r="JO30" i="2"/>
  <c r="JV30" i="2"/>
  <c r="KL30" i="2"/>
  <c r="JX30" i="2"/>
  <c r="JN30" i="2"/>
  <c r="JD30" i="2"/>
  <c r="JW30" i="2"/>
  <c r="JQ30" i="2"/>
  <c r="KK30" i="2"/>
  <c r="JY30" i="2"/>
  <c r="JM30" i="2"/>
  <c r="JP30" i="2"/>
  <c r="JC30" i="2"/>
  <c r="IS30" i="2"/>
  <c r="IV30" i="2"/>
  <c r="IR30" i="2"/>
  <c r="HD30" i="2"/>
  <c r="HN30" i="2"/>
  <c r="IU30" i="2"/>
  <c r="IX30" i="2" s="1"/>
  <c r="II30" i="2"/>
  <c r="IH30" i="2"/>
  <c r="IF30" i="2"/>
  <c r="HE30" i="2"/>
  <c r="IT30" i="2"/>
  <c r="IG30" i="2"/>
  <c r="HF30" i="2"/>
  <c r="HM30" i="2"/>
  <c r="HK30" i="2"/>
  <c r="HY30" i="2"/>
  <c r="HX30" i="2"/>
  <c r="HL30" i="2"/>
  <c r="IA30" i="2"/>
  <c r="ID30" i="2" s="1"/>
  <c r="HW30" i="2"/>
  <c r="HZ30" i="2"/>
  <c r="HI29" i="2"/>
  <c r="NT30" i="2"/>
  <c r="MC29" i="2"/>
  <c r="MF28" i="2"/>
  <c r="IB29" i="2"/>
  <c r="IE28" i="2"/>
  <c r="LH29" i="2"/>
  <c r="LK28" i="2"/>
  <c r="MX29" i="2"/>
  <c r="NA28" i="2"/>
  <c r="HG29" i="2"/>
  <c r="MY30" i="2"/>
  <c r="IW29" i="2"/>
  <c r="IZ28" i="2"/>
  <c r="PI29" i="2"/>
  <c r="PL28" i="2"/>
  <c r="JR29" i="2"/>
  <c r="JU28" i="2"/>
  <c r="ON29" i="2"/>
  <c r="OQ28" i="2"/>
  <c r="NS29" i="2"/>
  <c r="NV28" i="2"/>
  <c r="PK30" i="2"/>
  <c r="OO30" i="2"/>
  <c r="KO28" i="2"/>
  <c r="KO29" i="2" s="1"/>
  <c r="KN29" i="2"/>
  <c r="KM28" i="2"/>
  <c r="KP27" i="2"/>
  <c r="EX29" i="2"/>
  <c r="FS29" i="2"/>
  <c r="EC29" i="2"/>
  <c r="GN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JS30" i="2" l="1"/>
  <c r="ME30" i="2"/>
  <c r="MD30" i="2"/>
  <c r="LJ30" i="2"/>
  <c r="JT30" i="2"/>
  <c r="IY30" i="2"/>
  <c r="IC30" i="2"/>
  <c r="HH30" i="2"/>
  <c r="ME31" i="2"/>
  <c r="PJ31" i="2"/>
  <c r="NT31" i="2"/>
  <c r="LI30" i="2"/>
  <c r="NS30" i="2"/>
  <c r="NV29" i="2"/>
  <c r="JR30" i="2"/>
  <c r="JU29" i="2"/>
  <c r="IW30" i="2"/>
  <c r="IZ29" i="2"/>
  <c r="MX30" i="2"/>
  <c r="NA29" i="2"/>
  <c r="LH30" i="2"/>
  <c r="LK29" i="2"/>
  <c r="IB30" i="2"/>
  <c r="IE29" i="2"/>
  <c r="PK31" i="2"/>
  <c r="ON30" i="2"/>
  <c r="OQ29" i="2"/>
  <c r="KJ31" i="2"/>
  <c r="KI31" i="2"/>
  <c r="KH31" i="2"/>
  <c r="PD31" i="2"/>
  <c r="PH31" i="2"/>
  <c r="OT31" i="2"/>
  <c r="OU31" i="2"/>
  <c r="PG31" i="2"/>
  <c r="PE31" i="2"/>
  <c r="PF31" i="2"/>
  <c r="MI31" i="2"/>
  <c r="MJ31" i="2"/>
  <c r="OR31" i="2"/>
  <c r="OS31" i="2"/>
  <c r="OL31" i="2"/>
  <c r="OO31" i="2" s="1"/>
  <c r="OM31" i="2"/>
  <c r="OK31" i="2"/>
  <c r="OJ31" i="2"/>
  <c r="OP31" i="2" s="1"/>
  <c r="OI31" i="2"/>
  <c r="NZ31" i="2"/>
  <c r="NY31" i="2"/>
  <c r="NW31" i="2"/>
  <c r="NR31" i="2"/>
  <c r="NU31" i="2" s="1"/>
  <c r="NX31" i="2"/>
  <c r="NQ31" i="2"/>
  <c r="NP31" i="2"/>
  <c r="NC31" i="2"/>
  <c r="NO31" i="2"/>
  <c r="NN31" i="2"/>
  <c r="ND31" i="2"/>
  <c r="NE31" i="2"/>
  <c r="NB31" i="2"/>
  <c r="MS31" i="2"/>
  <c r="MV31" i="2"/>
  <c r="MH31" i="2"/>
  <c r="MG31" i="2"/>
  <c r="MW31" i="2"/>
  <c r="MU31" i="2"/>
  <c r="MT31" i="2"/>
  <c r="MZ31" i="2" s="1"/>
  <c r="LY31" i="2"/>
  <c r="MB31" i="2"/>
  <c r="LX31" i="2"/>
  <c r="MA31" i="2"/>
  <c r="MD31" i="2" s="1"/>
  <c r="LZ31" i="2"/>
  <c r="LO31" i="2"/>
  <c r="LL31" i="2"/>
  <c r="LE31" i="2"/>
  <c r="KT31" i="2"/>
  <c r="JB31" i="2"/>
  <c r="LM31" i="2"/>
  <c r="LD31" i="2"/>
  <c r="KR31" i="2"/>
  <c r="LG31" i="2"/>
  <c r="LC31" i="2"/>
  <c r="KQ31" i="2"/>
  <c r="LN31" i="2"/>
  <c r="LF31" i="2"/>
  <c r="KS31" i="2"/>
  <c r="JA31" i="2"/>
  <c r="JO31" i="2"/>
  <c r="JV31" i="2"/>
  <c r="KL31" i="2"/>
  <c r="JX31" i="2"/>
  <c r="JN31" i="2"/>
  <c r="JD31" i="2"/>
  <c r="JW31" i="2"/>
  <c r="JQ31" i="2"/>
  <c r="KK31" i="2"/>
  <c r="JY31" i="2"/>
  <c r="JM31" i="2"/>
  <c r="JP31" i="2"/>
  <c r="JC31" i="2"/>
  <c r="IT31" i="2"/>
  <c r="IG31" i="2"/>
  <c r="HF31" i="2"/>
  <c r="IS31" i="2"/>
  <c r="IV31" i="2"/>
  <c r="IR31" i="2"/>
  <c r="HD31" i="2"/>
  <c r="HN31" i="2"/>
  <c r="IU31" i="2"/>
  <c r="II31" i="2"/>
  <c r="IH31" i="2"/>
  <c r="IF31" i="2"/>
  <c r="HE31" i="2"/>
  <c r="HZ31" i="2"/>
  <c r="HM31" i="2"/>
  <c r="HK31" i="2"/>
  <c r="HY31" i="2"/>
  <c r="HX31" i="2"/>
  <c r="HL31" i="2"/>
  <c r="IA31" i="2"/>
  <c r="HW31" i="2"/>
  <c r="PI30" i="2"/>
  <c r="PL29" i="2"/>
  <c r="MY31" i="2"/>
  <c r="MC30" i="2"/>
  <c r="MF29" i="2"/>
  <c r="EC30" i="2"/>
  <c r="KM29" i="2"/>
  <c r="KP28" i="2"/>
  <c r="KN30" i="2"/>
  <c r="HG30" i="2"/>
  <c r="HI30" i="2"/>
  <c r="EV30" i="2"/>
  <c r="EB30" i="2"/>
  <c r="EX30" i="2"/>
  <c r="FS30" i="2"/>
  <c r="EW30" i="2"/>
  <c r="EA30" i="2"/>
  <c r="GN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LJ31" i="2" l="1"/>
  <c r="JS31" i="2"/>
  <c r="JT31" i="2"/>
  <c r="IY31" i="2"/>
  <c r="IC31" i="2"/>
  <c r="HH31" i="2"/>
  <c r="ON31" i="2"/>
  <c r="OQ30" i="2"/>
  <c r="IB31" i="2"/>
  <c r="IE30" i="2"/>
  <c r="LI31" i="2"/>
  <c r="KH32" i="2"/>
  <c r="KJ32" i="2"/>
  <c r="KI32" i="2"/>
  <c r="OU32" i="2"/>
  <c r="PG32" i="2"/>
  <c r="PE32" i="2"/>
  <c r="PJ32" i="2" s="1"/>
  <c r="MI32" i="2"/>
  <c r="PD32" i="2"/>
  <c r="PH32" i="2"/>
  <c r="PK32" i="2" s="1"/>
  <c r="PF32" i="2"/>
  <c r="MJ32" i="2"/>
  <c r="OT32" i="2"/>
  <c r="OR32" i="2"/>
  <c r="OS32" i="2"/>
  <c r="OM32" i="2"/>
  <c r="OK32" i="2"/>
  <c r="OL32" i="2"/>
  <c r="OJ32" i="2"/>
  <c r="OO32" i="2" s="1"/>
  <c r="OI32" i="2"/>
  <c r="NZ32" i="2"/>
  <c r="NX32" i="2"/>
  <c r="NQ32" i="2"/>
  <c r="NY32" i="2"/>
  <c r="NW32" i="2"/>
  <c r="NO32" i="2"/>
  <c r="NU32" i="2" s="1"/>
  <c r="NR32" i="2"/>
  <c r="NE32" i="2"/>
  <c r="NB32" i="2"/>
  <c r="NP32" i="2"/>
  <c r="NC32" i="2"/>
  <c r="NN32" i="2"/>
  <c r="ND32" i="2"/>
  <c r="MT32" i="2"/>
  <c r="MZ32" i="2" s="1"/>
  <c r="MS32" i="2"/>
  <c r="MV32" i="2"/>
  <c r="MH32" i="2"/>
  <c r="MG32" i="2"/>
  <c r="MW32" i="2"/>
  <c r="MU32" i="2"/>
  <c r="LZ32" i="2"/>
  <c r="LO32" i="2"/>
  <c r="LY32" i="2"/>
  <c r="MB32" i="2"/>
  <c r="LX32" i="2"/>
  <c r="MA32" i="2"/>
  <c r="LN32" i="2"/>
  <c r="LF32" i="2"/>
  <c r="KS32" i="2"/>
  <c r="JA32" i="2"/>
  <c r="LL32" i="2"/>
  <c r="LE32" i="2"/>
  <c r="KT32" i="2"/>
  <c r="JB32" i="2"/>
  <c r="LM32" i="2"/>
  <c r="LD32" i="2"/>
  <c r="KR32" i="2"/>
  <c r="LG32" i="2"/>
  <c r="LC32" i="2"/>
  <c r="KQ32" i="2"/>
  <c r="KK32" i="2"/>
  <c r="JY32" i="2"/>
  <c r="JM32" i="2"/>
  <c r="JP32" i="2"/>
  <c r="JO32" i="2"/>
  <c r="JV32" i="2"/>
  <c r="KL32" i="2"/>
  <c r="JX32" i="2"/>
  <c r="JN32" i="2"/>
  <c r="JD32" i="2"/>
  <c r="JW32" i="2"/>
  <c r="JQ32" i="2"/>
  <c r="IU32" i="2"/>
  <c r="II32" i="2"/>
  <c r="IH32" i="2"/>
  <c r="IF32" i="2"/>
  <c r="HE32" i="2"/>
  <c r="IT32" i="2"/>
  <c r="IG32" i="2"/>
  <c r="HF32" i="2"/>
  <c r="JC32" i="2"/>
  <c r="IS32" i="2"/>
  <c r="IV32" i="2"/>
  <c r="IR32" i="2"/>
  <c r="HD32" i="2"/>
  <c r="HN32" i="2"/>
  <c r="HL32" i="2"/>
  <c r="IA32" i="2"/>
  <c r="HW32" i="2"/>
  <c r="HZ32" i="2"/>
  <c r="HM32" i="2"/>
  <c r="HK32" i="2"/>
  <c r="HY32" i="2"/>
  <c r="HX32" i="2"/>
  <c r="IX31" i="2"/>
  <c r="PI31" i="2"/>
  <c r="PL30" i="2"/>
  <c r="ID31" i="2"/>
  <c r="MY32" i="2"/>
  <c r="ME32" i="2"/>
  <c r="MC31" i="2"/>
  <c r="MF30" i="2"/>
  <c r="MX31" i="2"/>
  <c r="NA30" i="2"/>
  <c r="JR31" i="2"/>
  <c r="JU30" i="2"/>
  <c r="LH31" i="2"/>
  <c r="LK30" i="2"/>
  <c r="IW31" i="2"/>
  <c r="IZ30" i="2"/>
  <c r="NS31" i="2"/>
  <c r="NV30" i="2"/>
  <c r="KN31" i="2"/>
  <c r="KO30" i="2"/>
  <c r="KO31" i="2" s="1"/>
  <c r="KM30" i="2"/>
  <c r="KP29" i="2"/>
  <c r="HI31" i="2"/>
  <c r="HG31" i="2"/>
  <c r="DG31" i="2"/>
  <c r="EC31" i="2"/>
  <c r="FR31" i="2"/>
  <c r="EX31" i="2"/>
  <c r="FQ31" i="2"/>
  <c r="EW31" i="2"/>
  <c r="FS31" i="2"/>
  <c r="EV31" i="2"/>
  <c r="GN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GJ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LJ32" i="2" l="1"/>
  <c r="JT32" i="2"/>
  <c r="MD32" i="2"/>
  <c r="IY32" i="2"/>
  <c r="JS32" i="2"/>
  <c r="IC32" i="2"/>
  <c r="HH32" i="2"/>
  <c r="MX32" i="2"/>
  <c r="NA31" i="2"/>
  <c r="ON32" i="2"/>
  <c r="OQ31" i="2"/>
  <c r="LH32" i="2"/>
  <c r="LK31" i="2"/>
  <c r="ID32" i="2"/>
  <c r="NT32" i="2"/>
  <c r="OP32" i="2"/>
  <c r="JU31" i="2"/>
  <c r="JR32" i="2"/>
  <c r="PI32" i="2"/>
  <c r="PL31" i="2"/>
  <c r="IB32" i="2"/>
  <c r="IE31" i="2"/>
  <c r="MC32" i="2"/>
  <c r="MF31" i="2"/>
  <c r="KJ33" i="2"/>
  <c r="KI33" i="2"/>
  <c r="KH33" i="2"/>
  <c r="PF33" i="2"/>
  <c r="MJ33" i="2"/>
  <c r="PE33" i="2"/>
  <c r="PK33" i="2" s="1"/>
  <c r="MI33" i="2"/>
  <c r="OT33" i="2"/>
  <c r="PD33" i="2"/>
  <c r="PG33" i="2"/>
  <c r="PH33" i="2"/>
  <c r="OS33" i="2"/>
  <c r="OR33" i="2"/>
  <c r="OM33" i="2"/>
  <c r="OL33" i="2"/>
  <c r="OK33" i="2"/>
  <c r="OJ33" i="2"/>
  <c r="OO33" i="2" s="1"/>
  <c r="OI33" i="2"/>
  <c r="NX33" i="2"/>
  <c r="NR33" i="2"/>
  <c r="NQ33" i="2"/>
  <c r="NP33" i="2"/>
  <c r="NY33" i="2"/>
  <c r="NW33" i="2"/>
  <c r="NO33" i="2"/>
  <c r="NU33" i="2" s="1"/>
  <c r="ND33" i="2"/>
  <c r="NB33" i="2"/>
  <c r="NC33" i="2"/>
  <c r="MW33" i="2"/>
  <c r="NN33" i="2"/>
  <c r="MU33" i="2"/>
  <c r="MT33" i="2"/>
  <c r="MZ33" i="2" s="1"/>
  <c r="MS33" i="2"/>
  <c r="MV33" i="2"/>
  <c r="MA33" i="2"/>
  <c r="MH33" i="2"/>
  <c r="MG33" i="2"/>
  <c r="LZ33" i="2"/>
  <c r="LY33" i="2"/>
  <c r="ME33" i="2" s="1"/>
  <c r="MB33" i="2"/>
  <c r="LX33" i="2"/>
  <c r="LG33" i="2"/>
  <c r="LC33" i="2"/>
  <c r="KQ33" i="2"/>
  <c r="LN33" i="2"/>
  <c r="LF33" i="2"/>
  <c r="KS33" i="2"/>
  <c r="JA33" i="2"/>
  <c r="LL33" i="2"/>
  <c r="LE33" i="2"/>
  <c r="JB33" i="2"/>
  <c r="LM33" i="2"/>
  <c r="LD33" i="2"/>
  <c r="J20" i="4" s="1"/>
  <c r="K20" i="4" s="1"/>
  <c r="KR33" i="2"/>
  <c r="KL33" i="2"/>
  <c r="JX33" i="2"/>
  <c r="JN33" i="2"/>
  <c r="J18" i="4" s="1"/>
  <c r="K18" i="4" s="1"/>
  <c r="JW33" i="2"/>
  <c r="JQ33" i="2"/>
  <c r="KK33" i="2"/>
  <c r="JM33" i="2"/>
  <c r="JP33" i="2"/>
  <c r="JO33" i="2"/>
  <c r="JV33" i="2"/>
  <c r="IV33" i="2"/>
  <c r="IR33" i="2"/>
  <c r="HD33" i="2"/>
  <c r="IU33" i="2"/>
  <c r="IH33" i="2"/>
  <c r="IF33" i="2"/>
  <c r="HE33" i="2"/>
  <c r="IT33" i="2"/>
  <c r="IG33" i="2"/>
  <c r="HF33" i="2"/>
  <c r="JC33" i="2"/>
  <c r="IS33" i="2"/>
  <c r="HX33" i="2"/>
  <c r="HL33" i="2"/>
  <c r="IA33" i="2"/>
  <c r="HW33" i="2"/>
  <c r="HZ33" i="2"/>
  <c r="HM33" i="2"/>
  <c r="HK33" i="2"/>
  <c r="HY33" i="2"/>
  <c r="HN33" i="2"/>
  <c r="OU33" i="2"/>
  <c r="II33" i="2"/>
  <c r="KT33" i="2"/>
  <c r="LO33" i="2"/>
  <c r="JD33" i="2"/>
  <c r="NE33" i="2"/>
  <c r="JY33" i="2"/>
  <c r="NZ33" i="2"/>
  <c r="NS32" i="2"/>
  <c r="NV31" i="2"/>
  <c r="IW32" i="2"/>
  <c r="IZ31" i="2"/>
  <c r="IX32" i="2"/>
  <c r="LI32" i="2"/>
  <c r="KM31" i="2"/>
  <c r="KP30" i="2"/>
  <c r="KN32" i="2"/>
  <c r="HG32" i="2"/>
  <c r="HI32" i="2"/>
  <c r="EX32" i="2"/>
  <c r="EC32" i="2"/>
  <c r="FS32" i="2"/>
  <c r="DG32" i="2"/>
  <c r="EW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GJ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B33" i="2"/>
  <c r="HC33" i="2"/>
  <c r="GR33" i="2"/>
  <c r="GK33" i="2"/>
  <c r="FW33" i="2"/>
  <c r="FM33" i="2"/>
  <c r="J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LJ33" i="2" l="1"/>
  <c r="LI33" i="2"/>
  <c r="IY33" i="2"/>
  <c r="IX33" i="2"/>
  <c r="IC33" i="2"/>
  <c r="JS33" i="2"/>
  <c r="NS33" i="2"/>
  <c r="NV32" i="2"/>
  <c r="IB33" i="2"/>
  <c r="IE32" i="2"/>
  <c r="JR33" i="2"/>
  <c r="JU32" i="2"/>
  <c r="NT33" i="2"/>
  <c r="JT33" i="2"/>
  <c r="MX33" i="2"/>
  <c r="NA32" i="2"/>
  <c r="PJ33" i="2"/>
  <c r="MY33" i="2"/>
  <c r="KJ34" i="2"/>
  <c r="KI34" i="2"/>
  <c r="KH34" i="2"/>
  <c r="OT34" i="2"/>
  <c r="PE34" i="2"/>
  <c r="PK34" i="2" s="1"/>
  <c r="PF34" i="2"/>
  <c r="OU34" i="2"/>
  <c r="MI34" i="2"/>
  <c r="PD34" i="2"/>
  <c r="PG34" i="2"/>
  <c r="PH34" i="2"/>
  <c r="MJ34" i="2"/>
  <c r="OR34" i="2"/>
  <c r="OS34" i="2"/>
  <c r="OM34" i="2"/>
  <c r="OK34" i="2"/>
  <c r="OJ34" i="2"/>
  <c r="OO34" i="2" s="1"/>
  <c r="NZ34" i="2"/>
  <c r="OL34" i="2"/>
  <c r="OI34" i="2"/>
  <c r="NY34" i="2"/>
  <c r="NX34" i="2"/>
  <c r="NW34" i="2"/>
  <c r="NR34" i="2"/>
  <c r="NQ34" i="2"/>
  <c r="NP34" i="2"/>
  <c r="NN34" i="2"/>
  <c r="NE34" i="2"/>
  <c r="ND34" i="2"/>
  <c r="NO34" i="2"/>
  <c r="NU34" i="2" s="1"/>
  <c r="NB34" i="2"/>
  <c r="NC34" i="2"/>
  <c r="MW34" i="2"/>
  <c r="MV34" i="2"/>
  <c r="MH34" i="2"/>
  <c r="MU34" i="2"/>
  <c r="MT34" i="2"/>
  <c r="MZ34" i="2" s="1"/>
  <c r="MS34" i="2"/>
  <c r="MB34" i="2"/>
  <c r="LX34" i="2"/>
  <c r="MA34" i="2"/>
  <c r="LO34" i="2"/>
  <c r="MG34" i="2"/>
  <c r="LZ34" i="2"/>
  <c r="LY34" i="2"/>
  <c r="LM34" i="2"/>
  <c r="LD34" i="2"/>
  <c r="KR34" i="2"/>
  <c r="LG34" i="2"/>
  <c r="LC34" i="2"/>
  <c r="KQ34" i="2"/>
  <c r="LN34" i="2"/>
  <c r="LF34" i="2"/>
  <c r="KT34" i="2"/>
  <c r="KS34" i="2"/>
  <c r="JA34" i="2"/>
  <c r="LL34" i="2"/>
  <c r="LE34" i="2"/>
  <c r="JB34" i="2"/>
  <c r="JO34" i="2"/>
  <c r="JD34" i="2"/>
  <c r="JV34" i="2"/>
  <c r="KL34" i="2"/>
  <c r="JY34" i="2"/>
  <c r="JX34" i="2"/>
  <c r="JN34" i="2"/>
  <c r="JW34" i="2"/>
  <c r="JQ34" i="2"/>
  <c r="KK34" i="2"/>
  <c r="JM34" i="2"/>
  <c r="JP34" i="2"/>
  <c r="JC34" i="2"/>
  <c r="IS34" i="2"/>
  <c r="HN34" i="2"/>
  <c r="IV34" i="2"/>
  <c r="IR34" i="2"/>
  <c r="II34" i="2"/>
  <c r="HD34" i="2"/>
  <c r="IU34" i="2"/>
  <c r="IH34" i="2"/>
  <c r="IF34" i="2"/>
  <c r="HE34" i="2"/>
  <c r="IT34" i="2"/>
  <c r="IG34" i="2"/>
  <c r="HF34" i="2"/>
  <c r="HM34" i="2"/>
  <c r="HK34" i="2"/>
  <c r="HY34" i="2"/>
  <c r="HX34" i="2"/>
  <c r="HL34" i="2"/>
  <c r="IA34" i="2"/>
  <c r="HW34" i="2"/>
  <c r="HZ34" i="2"/>
  <c r="IW33" i="2"/>
  <c r="IZ32" i="2"/>
  <c r="ID33" i="2"/>
  <c r="ID34" i="2" s="1"/>
  <c r="ON33" i="2"/>
  <c r="OQ32" i="2"/>
  <c r="MD33" i="2"/>
  <c r="MC33" i="2"/>
  <c r="MF32" i="2"/>
  <c r="PI33" i="2"/>
  <c r="PL32" i="2"/>
  <c r="OP33" i="2"/>
  <c r="OP34" i="2" s="1"/>
  <c r="LH33" i="2"/>
  <c r="LK32" i="2"/>
  <c r="K24" i="4"/>
  <c r="J19" i="4"/>
  <c r="K19" i="4" s="1"/>
  <c r="J14" i="4"/>
  <c r="K14" i="4" s="1"/>
  <c r="KO32" i="2"/>
  <c r="KO33" i="2" s="1"/>
  <c r="KM32" i="2"/>
  <c r="KP31" i="2"/>
  <c r="HI33" i="2"/>
  <c r="HG33" i="2"/>
  <c r="K25" i="4"/>
  <c r="J15" i="4"/>
  <c r="K15" i="4" s="1"/>
  <c r="HH33" i="2"/>
  <c r="K13" i="4"/>
  <c r="K17" i="4"/>
  <c r="K22" i="4"/>
  <c r="K16" i="4"/>
  <c r="EW33" i="2"/>
  <c r="EA33" i="2"/>
  <c r="EV33" i="2"/>
  <c r="EB33" i="2"/>
  <c r="GM33" i="2"/>
  <c r="GL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LI34" i="2" l="1"/>
  <c r="MD34" i="2"/>
  <c r="ME34" i="2"/>
  <c r="LJ34" i="2"/>
  <c r="IY34" i="2"/>
  <c r="JS34" i="2"/>
  <c r="IC34" i="2"/>
  <c r="PI34" i="2"/>
  <c r="PL33" i="2"/>
  <c r="H25" i="4" s="1"/>
  <c r="ON34" i="2"/>
  <c r="OQ33" i="2"/>
  <c r="H24" i="4" s="1"/>
  <c r="IX34" i="2"/>
  <c r="IB34" i="2"/>
  <c r="IE33" i="2"/>
  <c r="H16" i="4" s="1"/>
  <c r="NS34" i="2"/>
  <c r="NV33" i="2"/>
  <c r="H23" i="4" s="1"/>
  <c r="I23" i="4" s="1"/>
  <c r="L23" i="4" s="1"/>
  <c r="MY34" i="2"/>
  <c r="PJ34" i="2"/>
  <c r="JT34" i="2"/>
  <c r="NT34" i="2"/>
  <c r="JR34" i="2"/>
  <c r="JU33" i="2"/>
  <c r="H18" i="4" s="1"/>
  <c r="I18" i="4" s="1"/>
  <c r="LH34" i="2"/>
  <c r="LK33" i="2"/>
  <c r="H20" i="4" s="1"/>
  <c r="I20" i="4" s="1"/>
  <c r="KI35" i="2"/>
  <c r="KJ35" i="2"/>
  <c r="KH35" i="2"/>
  <c r="PD35" i="2"/>
  <c r="PH35" i="2"/>
  <c r="OT35" i="2"/>
  <c r="PG35" i="2"/>
  <c r="PF35" i="2"/>
  <c r="PE35" i="2"/>
  <c r="PK35" i="2" s="1"/>
  <c r="OU35" i="2"/>
  <c r="MI35" i="2"/>
  <c r="MJ35" i="2"/>
  <c r="OR35" i="2"/>
  <c r="OS35" i="2"/>
  <c r="OM35" i="2"/>
  <c r="OL35" i="2"/>
  <c r="OK35" i="2"/>
  <c r="OJ35" i="2"/>
  <c r="OO35" i="2" s="1"/>
  <c r="OI35" i="2"/>
  <c r="NZ35" i="2"/>
  <c r="NY35" i="2"/>
  <c r="NX35" i="2"/>
  <c r="NW35" i="2"/>
  <c r="NR35" i="2"/>
  <c r="NQ35" i="2"/>
  <c r="NC35" i="2"/>
  <c r="NN35" i="2"/>
  <c r="NP35" i="2"/>
  <c r="NE35" i="2"/>
  <c r="ND35" i="2"/>
  <c r="NO35" i="2"/>
  <c r="NU35" i="2" s="1"/>
  <c r="NB35" i="2"/>
  <c r="MW35" i="2"/>
  <c r="MS35" i="2"/>
  <c r="MV35" i="2"/>
  <c r="MH35" i="2"/>
  <c r="MG35" i="2"/>
  <c r="MU35" i="2"/>
  <c r="MT35" i="2"/>
  <c r="MZ35" i="2" s="1"/>
  <c r="LY35" i="2"/>
  <c r="MB35" i="2"/>
  <c r="LX35" i="2"/>
  <c r="MA35" i="2"/>
  <c r="LO35" i="2"/>
  <c r="LZ35" i="2"/>
  <c r="LL35" i="2"/>
  <c r="LE35" i="2"/>
  <c r="JB35" i="2"/>
  <c r="LM35" i="2"/>
  <c r="LD35" i="2"/>
  <c r="KR35" i="2"/>
  <c r="LG35" i="2"/>
  <c r="LC35" i="2"/>
  <c r="KQ35" i="2"/>
  <c r="LN35" i="2"/>
  <c r="LF35" i="2"/>
  <c r="KT35" i="2"/>
  <c r="KS35" i="2"/>
  <c r="JA35" i="2"/>
  <c r="JO35" i="2"/>
  <c r="JD35" i="2"/>
  <c r="JV35" i="2"/>
  <c r="KL35" i="2"/>
  <c r="JY35" i="2"/>
  <c r="JX35" i="2"/>
  <c r="JN35" i="2"/>
  <c r="JW35" i="2"/>
  <c r="JQ35" i="2"/>
  <c r="KK35" i="2"/>
  <c r="JM35" i="2"/>
  <c r="JP35" i="2"/>
  <c r="JC35" i="2"/>
  <c r="IT35" i="2"/>
  <c r="IG35" i="2"/>
  <c r="HF35" i="2"/>
  <c r="IS35" i="2"/>
  <c r="HN35" i="2"/>
  <c r="IV35" i="2"/>
  <c r="IR35" i="2"/>
  <c r="II35" i="2"/>
  <c r="HD35" i="2"/>
  <c r="IU35" i="2"/>
  <c r="IH35" i="2"/>
  <c r="IF35" i="2"/>
  <c r="HE35" i="2"/>
  <c r="HZ35" i="2"/>
  <c r="HM35" i="2"/>
  <c r="HK35" i="2"/>
  <c r="HY35" i="2"/>
  <c r="HX35" i="2"/>
  <c r="HL35" i="2"/>
  <c r="IA35" i="2"/>
  <c r="HW35" i="2"/>
  <c r="OP35" i="2"/>
  <c r="MC34" i="2"/>
  <c r="MF33" i="2"/>
  <c r="H21" i="4" s="1"/>
  <c r="I21" i="4" s="1"/>
  <c r="IW34" i="2"/>
  <c r="IZ33" i="2"/>
  <c r="H17" i="4" s="1"/>
  <c r="MX34" i="2"/>
  <c r="NA33" i="2"/>
  <c r="H22" i="4" s="1"/>
  <c r="KM33" i="2"/>
  <c r="KP32" i="2"/>
  <c r="KO34" i="2"/>
  <c r="KN33" i="2"/>
  <c r="KN34" i="2" s="1"/>
  <c r="HH34" i="2"/>
  <c r="HG34" i="2"/>
  <c r="HI34" i="2"/>
  <c r="EW34" i="2"/>
  <c r="CM34" i="2"/>
  <c r="GN34" i="2"/>
  <c r="EA34" i="2"/>
  <c r="EV34" i="2"/>
  <c r="FS34" i="2"/>
  <c r="GL34" i="2"/>
  <c r="GM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GO33" i="2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LJ35" i="2" l="1"/>
  <c r="MD35" i="2"/>
  <c r="IY35" i="2"/>
  <c r="ID35" i="2"/>
  <c r="JS35" i="2"/>
  <c r="NT35" i="2"/>
  <c r="ME35" i="2"/>
  <c r="MX35" i="2"/>
  <c r="NA34" i="2"/>
  <c r="IW35" i="2"/>
  <c r="IZ34" i="2"/>
  <c r="LH35" i="2"/>
  <c r="LK34" i="2"/>
  <c r="PJ35" i="2"/>
  <c r="PI35" i="2"/>
  <c r="PL34" i="2"/>
  <c r="LI35" i="2"/>
  <c r="KH36" i="2"/>
  <c r="KI36" i="2"/>
  <c r="KJ36" i="2"/>
  <c r="PG36" i="2"/>
  <c r="OU36" i="2"/>
  <c r="PD36" i="2"/>
  <c r="PH36" i="2"/>
  <c r="MI36" i="2"/>
  <c r="OT36" i="2"/>
  <c r="PE36" i="2"/>
  <c r="PK36" i="2" s="1"/>
  <c r="PF36" i="2"/>
  <c r="MJ36" i="2"/>
  <c r="OR36" i="2"/>
  <c r="OS36" i="2"/>
  <c r="OM36" i="2"/>
  <c r="OL36" i="2"/>
  <c r="OK36" i="2"/>
  <c r="OJ36" i="2"/>
  <c r="OP36" i="2" s="1"/>
  <c r="OI36" i="2"/>
  <c r="NZ36" i="2"/>
  <c r="NX36" i="2"/>
  <c r="NY36" i="2"/>
  <c r="NQ36" i="2"/>
  <c r="NW36" i="2"/>
  <c r="NO36" i="2"/>
  <c r="NU36" i="2" s="1"/>
  <c r="NR36" i="2"/>
  <c r="NB36" i="2"/>
  <c r="NC36" i="2"/>
  <c r="NN36" i="2"/>
  <c r="NP36" i="2"/>
  <c r="NE36" i="2"/>
  <c r="ND36" i="2"/>
  <c r="MT36" i="2"/>
  <c r="MZ36" i="2" s="1"/>
  <c r="MW36" i="2"/>
  <c r="MS36" i="2"/>
  <c r="MV36" i="2"/>
  <c r="MH36" i="2"/>
  <c r="MG36" i="2"/>
  <c r="MU36" i="2"/>
  <c r="LZ36" i="2"/>
  <c r="LY36" i="2"/>
  <c r="MB36" i="2"/>
  <c r="LX36" i="2"/>
  <c r="MA36" i="2"/>
  <c r="LO36" i="2"/>
  <c r="LN36" i="2"/>
  <c r="LF36" i="2"/>
  <c r="KT36" i="2"/>
  <c r="KS36" i="2"/>
  <c r="JA36" i="2"/>
  <c r="LL36" i="2"/>
  <c r="LE36" i="2"/>
  <c r="JB36" i="2"/>
  <c r="LM36" i="2"/>
  <c r="LD36" i="2"/>
  <c r="LJ36" i="2" s="1"/>
  <c r="KR36" i="2"/>
  <c r="LG36" i="2"/>
  <c r="LC36" i="2"/>
  <c r="KQ36" i="2"/>
  <c r="KK36" i="2"/>
  <c r="JM36" i="2"/>
  <c r="JP36" i="2"/>
  <c r="JO36" i="2"/>
  <c r="JD36" i="2"/>
  <c r="JV36" i="2"/>
  <c r="KL36" i="2"/>
  <c r="JY36" i="2"/>
  <c r="JX36" i="2"/>
  <c r="JN36" i="2"/>
  <c r="JW36" i="2"/>
  <c r="JQ36" i="2"/>
  <c r="JC36" i="2"/>
  <c r="IU36" i="2"/>
  <c r="IH36" i="2"/>
  <c r="IF36" i="2"/>
  <c r="HE36" i="2"/>
  <c r="IT36" i="2"/>
  <c r="IG36" i="2"/>
  <c r="HF36" i="2"/>
  <c r="IS36" i="2"/>
  <c r="IY36" i="2" s="1"/>
  <c r="HN36" i="2"/>
  <c r="IV36" i="2"/>
  <c r="IR36" i="2"/>
  <c r="II36" i="2"/>
  <c r="HD36" i="2"/>
  <c r="HL36" i="2"/>
  <c r="IA36" i="2"/>
  <c r="HW36" i="2"/>
  <c r="HZ36" i="2"/>
  <c r="HM36" i="2"/>
  <c r="HK36" i="2"/>
  <c r="HY36" i="2"/>
  <c r="HX36" i="2"/>
  <c r="ID36" i="2" s="1"/>
  <c r="IX35" i="2"/>
  <c r="IC35" i="2"/>
  <c r="MC35" i="2"/>
  <c r="MF34" i="2"/>
  <c r="JR35" i="2"/>
  <c r="JU34" i="2"/>
  <c r="JT35" i="2"/>
  <c r="MY35" i="2"/>
  <c r="MY36" i="2" s="1"/>
  <c r="NS35" i="2"/>
  <c r="NV34" i="2"/>
  <c r="IB35" i="2"/>
  <c r="IE34" i="2"/>
  <c r="ON35" i="2"/>
  <c r="OQ34" i="2"/>
  <c r="CM35" i="2"/>
  <c r="EB35" i="2"/>
  <c r="I24" i="4"/>
  <c r="H14" i="4"/>
  <c r="I14" i="4" s="1"/>
  <c r="KO35" i="2"/>
  <c r="KM34" i="2"/>
  <c r="KP33" i="2"/>
  <c r="H19" i="4" s="1"/>
  <c r="I19" i="4" s="1"/>
  <c r="I25" i="4"/>
  <c r="H15" i="4"/>
  <c r="I15" i="4" s="1"/>
  <c r="HI35" i="2"/>
  <c r="HG35" i="2"/>
  <c r="HH35" i="2"/>
  <c r="I22" i="4"/>
  <c r="I17" i="4"/>
  <c r="I16" i="4"/>
  <c r="EA35" i="2"/>
  <c r="FQ35" i="2"/>
  <c r="FS35" i="2"/>
  <c r="EW35" i="2"/>
  <c r="GN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JS36" i="2" l="1"/>
  <c r="MD36" i="2"/>
  <c r="JT36" i="2"/>
  <c r="IX36" i="2"/>
  <c r="IC36" i="2"/>
  <c r="LI36" i="2"/>
  <c r="PI36" i="2"/>
  <c r="PL35" i="2"/>
  <c r="NT36" i="2"/>
  <c r="OO36" i="2"/>
  <c r="ON36" i="2"/>
  <c r="OQ35" i="2"/>
  <c r="JR36" i="2"/>
  <c r="JU35" i="2"/>
  <c r="MC36" i="2"/>
  <c r="MF35" i="2"/>
  <c r="LH36" i="2"/>
  <c r="LK35" i="2"/>
  <c r="MX36" i="2"/>
  <c r="NA35" i="2"/>
  <c r="NS36" i="2"/>
  <c r="NV35" i="2"/>
  <c r="KJ37" i="2"/>
  <c r="KI37" i="2"/>
  <c r="KH37" i="2"/>
  <c r="OU37" i="2"/>
  <c r="PF37" i="2"/>
  <c r="PE37" i="2"/>
  <c r="PK37" i="2" s="1"/>
  <c r="MJ37" i="2"/>
  <c r="PD37" i="2"/>
  <c r="PG37" i="2"/>
  <c r="PH37" i="2"/>
  <c r="MI37" i="2"/>
  <c r="OT37" i="2"/>
  <c r="OS37" i="2"/>
  <c r="OR37" i="2"/>
  <c r="OM37" i="2"/>
  <c r="OL37" i="2"/>
  <c r="OK37" i="2"/>
  <c r="OJ37" i="2"/>
  <c r="OP37" i="2" s="1"/>
  <c r="OI37" i="2"/>
  <c r="NZ37" i="2"/>
  <c r="NX37" i="2"/>
  <c r="NR37" i="2"/>
  <c r="NY37" i="2"/>
  <c r="NQ37" i="2"/>
  <c r="NP37" i="2"/>
  <c r="NW37" i="2"/>
  <c r="NO37" i="2"/>
  <c r="NU37" i="2" s="1"/>
  <c r="NE37" i="2"/>
  <c r="ND37" i="2"/>
  <c r="NB37" i="2"/>
  <c r="NC37" i="2"/>
  <c r="MW37" i="2"/>
  <c r="NN37" i="2"/>
  <c r="MU37" i="2"/>
  <c r="MT37" i="2"/>
  <c r="MZ37" i="2" s="1"/>
  <c r="MS37" i="2"/>
  <c r="MV37" i="2"/>
  <c r="MA37" i="2"/>
  <c r="LO37" i="2"/>
  <c r="LZ37" i="2"/>
  <c r="MH37" i="2"/>
  <c r="LY37" i="2"/>
  <c r="MG37" i="2"/>
  <c r="MB37" i="2"/>
  <c r="LX37" i="2"/>
  <c r="LG37" i="2"/>
  <c r="LC37" i="2"/>
  <c r="KQ37" i="2"/>
  <c r="LN37" i="2"/>
  <c r="LF37" i="2"/>
  <c r="KT37" i="2"/>
  <c r="KS37" i="2"/>
  <c r="JA37" i="2"/>
  <c r="LL37" i="2"/>
  <c r="LE37" i="2"/>
  <c r="JB37" i="2"/>
  <c r="LM37" i="2"/>
  <c r="LD37" i="2"/>
  <c r="LJ37" i="2" s="1"/>
  <c r="KR37" i="2"/>
  <c r="KL37" i="2"/>
  <c r="JY37" i="2"/>
  <c r="JX37" i="2"/>
  <c r="JN37" i="2"/>
  <c r="JW37" i="2"/>
  <c r="JQ37" i="2"/>
  <c r="KK37" i="2"/>
  <c r="JM37" i="2"/>
  <c r="JP37" i="2"/>
  <c r="JO37" i="2"/>
  <c r="JD37" i="2"/>
  <c r="JV37" i="2"/>
  <c r="IV37" i="2"/>
  <c r="IR37" i="2"/>
  <c r="II37" i="2"/>
  <c r="HD37" i="2"/>
  <c r="JC37" i="2"/>
  <c r="IU37" i="2"/>
  <c r="IH37" i="2"/>
  <c r="IF37" i="2"/>
  <c r="HE37" i="2"/>
  <c r="IT37" i="2"/>
  <c r="IG37" i="2"/>
  <c r="HF37" i="2"/>
  <c r="IS37" i="2"/>
  <c r="HN37" i="2"/>
  <c r="HX37" i="2"/>
  <c r="HL37" i="2"/>
  <c r="IA37" i="2"/>
  <c r="HW37" i="2"/>
  <c r="HZ37" i="2"/>
  <c r="HM37" i="2"/>
  <c r="HK37" i="2"/>
  <c r="HY37" i="2"/>
  <c r="IB36" i="2"/>
  <c r="IE35" i="2"/>
  <c r="MY37" i="2"/>
  <c r="PJ36" i="2"/>
  <c r="PJ37" i="2" s="1"/>
  <c r="IW36" i="2"/>
  <c r="IZ35" i="2"/>
  <c r="ME36" i="2"/>
  <c r="HH36" i="2"/>
  <c r="KN35" i="2"/>
  <c r="KM35" i="2"/>
  <c r="KP34" i="2"/>
  <c r="KO36" i="2"/>
  <c r="HG36" i="2"/>
  <c r="HI36" i="2"/>
  <c r="FQ36" i="2"/>
  <c r="FS36" i="2"/>
  <c r="GN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GJ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JT37" i="2" l="1"/>
  <c r="ME37" i="2"/>
  <c r="MD37" i="2"/>
  <c r="ID37" i="2"/>
  <c r="IX37" i="2"/>
  <c r="HH37" i="2"/>
  <c r="IC37" i="2"/>
  <c r="NT37" i="2"/>
  <c r="LI37" i="2"/>
  <c r="JS37" i="2"/>
  <c r="IY37" i="2"/>
  <c r="IB37" i="2"/>
  <c r="IE36" i="2"/>
  <c r="JU36" i="2"/>
  <c r="JR37" i="2"/>
  <c r="OO37" i="2"/>
  <c r="KJ38" i="2"/>
  <c r="KI38" i="2"/>
  <c r="KH38" i="2"/>
  <c r="OT38" i="2"/>
  <c r="PE38" i="2"/>
  <c r="PK38" i="2" s="1"/>
  <c r="OU38" i="2"/>
  <c r="MJ38" i="2"/>
  <c r="PD38" i="2"/>
  <c r="PF38" i="2"/>
  <c r="PG38" i="2"/>
  <c r="PH38" i="2"/>
  <c r="MI38" i="2"/>
  <c r="OR38" i="2"/>
  <c r="OS38" i="2"/>
  <c r="OM38" i="2"/>
  <c r="OL38" i="2"/>
  <c r="OJ38" i="2"/>
  <c r="OP38" i="2" s="1"/>
  <c r="OK38" i="2"/>
  <c r="NZ38" i="2"/>
  <c r="OI38" i="2"/>
  <c r="NY38" i="2"/>
  <c r="NW38" i="2"/>
  <c r="NR38" i="2"/>
  <c r="NX38" i="2"/>
  <c r="NQ38" i="2"/>
  <c r="NP38" i="2"/>
  <c r="NO38" i="2"/>
  <c r="NU38" i="2" s="1"/>
  <c r="NN38" i="2"/>
  <c r="NE38" i="2"/>
  <c r="ND38" i="2"/>
  <c r="NB38" i="2"/>
  <c r="NC38" i="2"/>
  <c r="MW38" i="2"/>
  <c r="MV38" i="2"/>
  <c r="MH38" i="2"/>
  <c r="MU38" i="2"/>
  <c r="MT38" i="2"/>
  <c r="MZ38" i="2" s="1"/>
  <c r="MS38" i="2"/>
  <c r="MG38" i="2"/>
  <c r="MB38" i="2"/>
  <c r="LX38" i="2"/>
  <c r="MA38" i="2"/>
  <c r="LO38" i="2"/>
  <c r="LZ38" i="2"/>
  <c r="LY38" i="2"/>
  <c r="LM38" i="2"/>
  <c r="LD38" i="2"/>
  <c r="KR38" i="2"/>
  <c r="LG38" i="2"/>
  <c r="LC38" i="2"/>
  <c r="KQ38" i="2"/>
  <c r="LN38" i="2"/>
  <c r="LF38" i="2"/>
  <c r="KT38" i="2"/>
  <c r="KS38" i="2"/>
  <c r="JA38" i="2"/>
  <c r="LL38" i="2"/>
  <c r="LE38" i="2"/>
  <c r="JB38" i="2"/>
  <c r="JO38" i="2"/>
  <c r="JD38" i="2"/>
  <c r="JV38" i="2"/>
  <c r="KL38" i="2"/>
  <c r="JY38" i="2"/>
  <c r="JX38" i="2"/>
  <c r="JN38" i="2"/>
  <c r="JW38" i="2"/>
  <c r="JQ38" i="2"/>
  <c r="KK38" i="2"/>
  <c r="JM38" i="2"/>
  <c r="JP38" i="2"/>
  <c r="JC38" i="2"/>
  <c r="IS38" i="2"/>
  <c r="HN38" i="2"/>
  <c r="IV38" i="2"/>
  <c r="IR38" i="2"/>
  <c r="II38" i="2"/>
  <c r="HD38" i="2"/>
  <c r="IU38" i="2"/>
  <c r="IH38" i="2"/>
  <c r="IF38" i="2"/>
  <c r="HE38" i="2"/>
  <c r="IT38" i="2"/>
  <c r="IG38" i="2"/>
  <c r="HF38" i="2"/>
  <c r="HM38" i="2"/>
  <c r="HK38" i="2"/>
  <c r="HY38" i="2"/>
  <c r="HX38" i="2"/>
  <c r="HL38" i="2"/>
  <c r="IA38" i="2"/>
  <c r="HW38" i="2"/>
  <c r="HZ38" i="2"/>
  <c r="IW37" i="2"/>
  <c r="IZ36" i="2"/>
  <c r="NS37" i="2"/>
  <c r="NV36" i="2"/>
  <c r="MX37" i="2"/>
  <c r="NA36" i="2"/>
  <c r="PJ38" i="2"/>
  <c r="MY38" i="2"/>
  <c r="LH37" i="2"/>
  <c r="LK36" i="2"/>
  <c r="MC37" i="2"/>
  <c r="MF36" i="2"/>
  <c r="ON37" i="2"/>
  <c r="OQ36" i="2"/>
  <c r="PI37" i="2"/>
  <c r="PL36" i="2"/>
  <c r="KM36" i="2"/>
  <c r="KP35" i="2"/>
  <c r="KO37" i="2"/>
  <c r="KN36" i="2"/>
  <c r="KN37" i="2" s="1"/>
  <c r="HI37" i="2"/>
  <c r="HG37" i="2"/>
  <c r="EA37" i="2"/>
  <c r="EB37" i="2"/>
  <c r="AV37" i="2"/>
  <c r="EX37" i="2"/>
  <c r="FS37" i="2"/>
  <c r="GN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JT38" i="2" l="1"/>
  <c r="ME38" i="2"/>
  <c r="LJ38" i="2"/>
  <c r="ID38" i="2"/>
  <c r="IX38" i="2"/>
  <c r="HH38" i="2"/>
  <c r="OO38" i="2"/>
  <c r="IB38" i="2"/>
  <c r="IE37" i="2"/>
  <c r="IC38" i="2"/>
  <c r="MD38" i="2"/>
  <c r="ON38" i="2"/>
  <c r="OQ37" i="2"/>
  <c r="LH38" i="2"/>
  <c r="LK37" i="2"/>
  <c r="JR38" i="2"/>
  <c r="JU37" i="2"/>
  <c r="IY38" i="2"/>
  <c r="PI38" i="2"/>
  <c r="PL37" i="2"/>
  <c r="MC38" i="2"/>
  <c r="MF37" i="2"/>
  <c r="KJ39" i="2"/>
  <c r="KI39" i="2"/>
  <c r="KH39" i="2"/>
  <c r="PD39" i="2"/>
  <c r="PH39" i="2"/>
  <c r="PF39" i="2"/>
  <c r="PE39" i="2"/>
  <c r="PK39" i="2" s="1"/>
  <c r="MJ39" i="2"/>
  <c r="OT39" i="2"/>
  <c r="OU39" i="2"/>
  <c r="PG39" i="2"/>
  <c r="MI39" i="2"/>
  <c r="OR39" i="2"/>
  <c r="OS39" i="2"/>
  <c r="OM39" i="2"/>
  <c r="OK39" i="2"/>
  <c r="OL39" i="2"/>
  <c r="OJ39" i="2"/>
  <c r="OP39" i="2" s="1"/>
  <c r="OI39" i="2"/>
  <c r="NZ39" i="2"/>
  <c r="NY39" i="2"/>
  <c r="NW39" i="2"/>
  <c r="NR39" i="2"/>
  <c r="NX39" i="2"/>
  <c r="NQ39" i="2"/>
  <c r="NP39" i="2"/>
  <c r="NC39" i="2"/>
  <c r="NO39" i="2"/>
  <c r="NU39" i="2" s="1"/>
  <c r="NN39" i="2"/>
  <c r="NE39" i="2"/>
  <c r="ND39" i="2"/>
  <c r="NB39" i="2"/>
  <c r="MS39" i="2"/>
  <c r="MV39" i="2"/>
  <c r="MH39" i="2"/>
  <c r="MG39" i="2"/>
  <c r="MW39" i="2"/>
  <c r="MU39" i="2"/>
  <c r="MT39" i="2"/>
  <c r="MZ39" i="2" s="1"/>
  <c r="LY39" i="2"/>
  <c r="MB39" i="2"/>
  <c r="LX39" i="2"/>
  <c r="MA39" i="2"/>
  <c r="LO39" i="2"/>
  <c r="LZ39" i="2"/>
  <c r="LL39" i="2"/>
  <c r="LE39" i="2"/>
  <c r="JB39" i="2"/>
  <c r="LM39" i="2"/>
  <c r="LD39" i="2"/>
  <c r="KR39" i="2"/>
  <c r="LG39" i="2"/>
  <c r="LC39" i="2"/>
  <c r="KQ39" i="2"/>
  <c r="LN39" i="2"/>
  <c r="LF39" i="2"/>
  <c r="KT39" i="2"/>
  <c r="KS39" i="2"/>
  <c r="JA39" i="2"/>
  <c r="JO39" i="2"/>
  <c r="JD39" i="2"/>
  <c r="JV39" i="2"/>
  <c r="KL39" i="2"/>
  <c r="JY39" i="2"/>
  <c r="JX39" i="2"/>
  <c r="JN39" i="2"/>
  <c r="JW39" i="2"/>
  <c r="JQ39" i="2"/>
  <c r="KK39" i="2"/>
  <c r="JM39" i="2"/>
  <c r="JP39" i="2"/>
  <c r="JC39" i="2"/>
  <c r="IT39" i="2"/>
  <c r="IG39" i="2"/>
  <c r="HF39" i="2"/>
  <c r="IS39" i="2"/>
  <c r="IX39" i="2" s="1"/>
  <c r="HN39" i="2"/>
  <c r="IV39" i="2"/>
  <c r="IR39" i="2"/>
  <c r="II39" i="2"/>
  <c r="HD39" i="2"/>
  <c r="IU39" i="2"/>
  <c r="IH39" i="2"/>
  <c r="IF39" i="2"/>
  <c r="HE39" i="2"/>
  <c r="HZ39" i="2"/>
  <c r="HM39" i="2"/>
  <c r="HK39" i="2"/>
  <c r="HY39" i="2"/>
  <c r="HX39" i="2"/>
  <c r="HL39" i="2"/>
  <c r="IA39" i="2"/>
  <c r="HW39" i="2"/>
  <c r="MY39" i="2"/>
  <c r="MX38" i="2"/>
  <c r="NA37" i="2"/>
  <c r="NS38" i="2"/>
  <c r="NV37" i="2"/>
  <c r="NT38" i="2"/>
  <c r="NT39" i="2" s="1"/>
  <c r="PJ39" i="2"/>
  <c r="IW38" i="2"/>
  <c r="IZ37" i="2"/>
  <c r="JS38" i="2"/>
  <c r="LI38" i="2"/>
  <c r="KO38" i="2"/>
  <c r="KM37" i="2"/>
  <c r="KP36" i="2"/>
  <c r="HG38" i="2"/>
  <c r="HI38" i="2"/>
  <c r="FS38" i="2"/>
  <c r="EX38" i="2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ME39" i="2" l="1"/>
  <c r="LJ39" i="2"/>
  <c r="JT39" i="2"/>
  <c r="ID39" i="2"/>
  <c r="HI39" i="2"/>
  <c r="HG39" i="2"/>
  <c r="HH39" i="2"/>
  <c r="PK40" i="2"/>
  <c r="KH40" i="2"/>
  <c r="KJ40" i="2"/>
  <c r="KI40" i="2"/>
  <c r="PG40" i="2"/>
  <c r="OT40" i="2"/>
  <c r="MI40" i="2"/>
  <c r="PF40" i="2"/>
  <c r="PE40" i="2"/>
  <c r="MJ40" i="2"/>
  <c r="OU40" i="2"/>
  <c r="PD40" i="2"/>
  <c r="PH40" i="2"/>
  <c r="OR40" i="2"/>
  <c r="OS40" i="2"/>
  <c r="OM40" i="2"/>
  <c r="OL40" i="2"/>
  <c r="OK40" i="2"/>
  <c r="OJ40" i="2"/>
  <c r="OP40" i="2" s="1"/>
  <c r="OI40" i="2"/>
  <c r="NZ40" i="2"/>
  <c r="NX40" i="2"/>
  <c r="NQ40" i="2"/>
  <c r="NY40" i="2"/>
  <c r="NW40" i="2"/>
  <c r="NO40" i="2"/>
  <c r="NU40" i="2" s="1"/>
  <c r="NR40" i="2"/>
  <c r="NB40" i="2"/>
  <c r="NP40" i="2"/>
  <c r="NC40" i="2"/>
  <c r="NN40" i="2"/>
  <c r="NE40" i="2"/>
  <c r="ND40" i="2"/>
  <c r="MT40" i="2"/>
  <c r="MZ40" i="2" s="1"/>
  <c r="MS40" i="2"/>
  <c r="MV40" i="2"/>
  <c r="MH40" i="2"/>
  <c r="MG40" i="2"/>
  <c r="MW40" i="2"/>
  <c r="MU40" i="2"/>
  <c r="LZ40" i="2"/>
  <c r="LY40" i="2"/>
  <c r="MB40" i="2"/>
  <c r="LX40" i="2"/>
  <c r="MA40" i="2"/>
  <c r="LO40" i="2"/>
  <c r="LN40" i="2"/>
  <c r="LF40" i="2"/>
  <c r="KT40" i="2"/>
  <c r="KS40" i="2"/>
  <c r="JA40" i="2"/>
  <c r="LL40" i="2"/>
  <c r="LE40" i="2"/>
  <c r="JB40" i="2"/>
  <c r="LM40" i="2"/>
  <c r="LD40" i="2"/>
  <c r="KR40" i="2"/>
  <c r="LG40" i="2"/>
  <c r="LC40" i="2"/>
  <c r="KQ40" i="2"/>
  <c r="KK40" i="2"/>
  <c r="JM40" i="2"/>
  <c r="JP40" i="2"/>
  <c r="JO40" i="2"/>
  <c r="JD40" i="2"/>
  <c r="JV40" i="2"/>
  <c r="KL40" i="2"/>
  <c r="JY40" i="2"/>
  <c r="JX40" i="2"/>
  <c r="JN40" i="2"/>
  <c r="JW40" i="2"/>
  <c r="JQ40" i="2"/>
  <c r="IU40" i="2"/>
  <c r="IH40" i="2"/>
  <c r="IF40" i="2"/>
  <c r="HE40" i="2"/>
  <c r="IT40" i="2"/>
  <c r="IG40" i="2"/>
  <c r="HF40" i="2"/>
  <c r="JC40" i="2"/>
  <c r="IS40" i="2"/>
  <c r="IX40" i="2" s="1"/>
  <c r="HN40" i="2"/>
  <c r="IV40" i="2"/>
  <c r="IR40" i="2"/>
  <c r="II40" i="2"/>
  <c r="HD40" i="2"/>
  <c r="HL40" i="2"/>
  <c r="IA40" i="2"/>
  <c r="HW40" i="2"/>
  <c r="HZ40" i="2"/>
  <c r="HM40" i="2"/>
  <c r="HK40" i="2"/>
  <c r="HY40" i="2"/>
  <c r="HX40" i="2"/>
  <c r="LI39" i="2"/>
  <c r="PJ40" i="2"/>
  <c r="NT40" i="2"/>
  <c r="NS39" i="2"/>
  <c r="NV38" i="2"/>
  <c r="PI39" i="2"/>
  <c r="PL38" i="2"/>
  <c r="JR39" i="2"/>
  <c r="JU38" i="2"/>
  <c r="ON39" i="2"/>
  <c r="OQ38" i="2"/>
  <c r="IC39" i="2"/>
  <c r="IW39" i="2"/>
  <c r="IZ38" i="2"/>
  <c r="MY40" i="2"/>
  <c r="JS39" i="2"/>
  <c r="IY39" i="2"/>
  <c r="MD39" i="2"/>
  <c r="IB39" i="2"/>
  <c r="IE38" i="2"/>
  <c r="MX39" i="2"/>
  <c r="NA38" i="2"/>
  <c r="MC39" i="2"/>
  <c r="MF38" i="2"/>
  <c r="LH39" i="2"/>
  <c r="LK38" i="2"/>
  <c r="OO39" i="2"/>
  <c r="OO40" i="2" s="1"/>
  <c r="KM38" i="2"/>
  <c r="KP37" i="2"/>
  <c r="KO39" i="2"/>
  <c r="KN38" i="2"/>
  <c r="EX39" i="2"/>
  <c r="FS39" i="2"/>
  <c r="AW39" i="2"/>
  <c r="EW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GJ40" i="2"/>
  <c r="FO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JS40" i="2" l="1"/>
  <c r="ME40" i="2"/>
  <c r="LI40" i="2"/>
  <c r="LJ40" i="2"/>
  <c r="MD40" i="2"/>
  <c r="JT40" i="2"/>
  <c r="IY40" i="2"/>
  <c r="ID40" i="2"/>
  <c r="IC40" i="2"/>
  <c r="HH40" i="2"/>
  <c r="MX40" i="2"/>
  <c r="NA39" i="2"/>
  <c r="JR40" i="2"/>
  <c r="JU39" i="2"/>
  <c r="KJ41" i="2"/>
  <c r="KI41" i="2"/>
  <c r="KH41" i="2"/>
  <c r="OU41" i="2"/>
  <c r="PF41" i="2"/>
  <c r="PD41" i="2"/>
  <c r="PG41" i="2"/>
  <c r="PH41" i="2"/>
  <c r="MJ41" i="2"/>
  <c r="OT41" i="2"/>
  <c r="MI41" i="2"/>
  <c r="PE41" i="2"/>
  <c r="PK41" i="2" s="1"/>
  <c r="OS41" i="2"/>
  <c r="OR41" i="2"/>
  <c r="OM41" i="2"/>
  <c r="OL41" i="2"/>
  <c r="OK41" i="2"/>
  <c r="OJ41" i="2"/>
  <c r="OP41" i="2" s="1"/>
  <c r="NZ41" i="2"/>
  <c r="OI41" i="2"/>
  <c r="NX41" i="2"/>
  <c r="NR41" i="2"/>
  <c r="NP41" i="2"/>
  <c r="NY41" i="2"/>
  <c r="NW41" i="2"/>
  <c r="NO41" i="2"/>
  <c r="NT41" i="2" s="1"/>
  <c r="NE41" i="2"/>
  <c r="ND41" i="2"/>
  <c r="NQ41" i="2"/>
  <c r="NB41" i="2"/>
  <c r="NC41" i="2"/>
  <c r="MW41" i="2"/>
  <c r="NN41" i="2"/>
  <c r="MU41" i="2"/>
  <c r="MT41" i="2"/>
  <c r="MZ41" i="2" s="1"/>
  <c r="MS41" i="2"/>
  <c r="MV41" i="2"/>
  <c r="MA41" i="2"/>
  <c r="LO41" i="2"/>
  <c r="MG41" i="2"/>
  <c r="LZ41" i="2"/>
  <c r="LY41" i="2"/>
  <c r="MH41" i="2"/>
  <c r="MB41" i="2"/>
  <c r="LX41" i="2"/>
  <c r="LG41" i="2"/>
  <c r="LC41" i="2"/>
  <c r="KQ41" i="2"/>
  <c r="LN41" i="2"/>
  <c r="LF41" i="2"/>
  <c r="KT41" i="2"/>
  <c r="KS41" i="2"/>
  <c r="JA41" i="2"/>
  <c r="LL41" i="2"/>
  <c r="LE41" i="2"/>
  <c r="JB41" i="2"/>
  <c r="LM41" i="2"/>
  <c r="LD41" i="2"/>
  <c r="KR41" i="2"/>
  <c r="KL41" i="2"/>
  <c r="JY41" i="2"/>
  <c r="JX41" i="2"/>
  <c r="JN41" i="2"/>
  <c r="JW41" i="2"/>
  <c r="JQ41" i="2"/>
  <c r="KK41" i="2"/>
  <c r="JM41" i="2"/>
  <c r="JP41" i="2"/>
  <c r="JO41" i="2"/>
  <c r="JD41" i="2"/>
  <c r="JV41" i="2"/>
  <c r="IV41" i="2"/>
  <c r="IR41" i="2"/>
  <c r="II41" i="2"/>
  <c r="HD41" i="2"/>
  <c r="IU41" i="2"/>
  <c r="IH41" i="2"/>
  <c r="IF41" i="2"/>
  <c r="HE41" i="2"/>
  <c r="IT41" i="2"/>
  <c r="IG41" i="2"/>
  <c r="HF41" i="2"/>
  <c r="JC41" i="2"/>
  <c r="IS41" i="2"/>
  <c r="HN41" i="2"/>
  <c r="HX41" i="2"/>
  <c r="HL41" i="2"/>
  <c r="IA41" i="2"/>
  <c r="HW41" i="2"/>
  <c r="HZ41" i="2"/>
  <c r="HM41" i="2"/>
  <c r="HK41" i="2"/>
  <c r="HY41" i="2"/>
  <c r="LH40" i="2"/>
  <c r="LK39" i="2"/>
  <c r="MC40" i="2"/>
  <c r="MF39" i="2"/>
  <c r="IY41" i="2"/>
  <c r="NS40" i="2"/>
  <c r="NV39" i="2"/>
  <c r="OO41" i="2"/>
  <c r="IB40" i="2"/>
  <c r="IE39" i="2"/>
  <c r="IW40" i="2"/>
  <c r="IZ39" i="2"/>
  <c r="ON40" i="2"/>
  <c r="OQ39" i="2"/>
  <c r="PI40" i="2"/>
  <c r="PL39" i="2"/>
  <c r="PJ41" i="2"/>
  <c r="KO40" i="2"/>
  <c r="KM39" i="2"/>
  <c r="KP38" i="2"/>
  <c r="KN39" i="2"/>
  <c r="KN40" i="2" s="1"/>
  <c r="HG40" i="2"/>
  <c r="HI40" i="2"/>
  <c r="EX40" i="2"/>
  <c r="FS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GJ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JT41" i="2" l="1"/>
  <c r="ME41" i="2"/>
  <c r="LI41" i="2"/>
  <c r="IX41" i="2"/>
  <c r="IC41" i="2"/>
  <c r="HH41" i="2"/>
  <c r="JR41" i="2"/>
  <c r="JU40" i="2"/>
  <c r="JS41" i="2"/>
  <c r="NU41" i="2"/>
  <c r="KJ42" i="2"/>
  <c r="KI42" i="2"/>
  <c r="KH42" i="2"/>
  <c r="OT42" i="2"/>
  <c r="PE42" i="2"/>
  <c r="PK42" i="2" s="1"/>
  <c r="OU42" i="2"/>
  <c r="PD42" i="2"/>
  <c r="PG42" i="2"/>
  <c r="PH42" i="2"/>
  <c r="MI42" i="2"/>
  <c r="PF42" i="2"/>
  <c r="MJ42" i="2"/>
  <c r="OR42" i="2"/>
  <c r="OS42" i="2"/>
  <c r="OM42" i="2"/>
  <c r="OL42" i="2"/>
  <c r="OK42" i="2"/>
  <c r="OJ42" i="2"/>
  <c r="OP42" i="2" s="1"/>
  <c r="NZ42" i="2"/>
  <c r="OI42" i="2"/>
  <c r="NY42" i="2"/>
  <c r="NX42" i="2"/>
  <c r="NW42" i="2"/>
  <c r="NR42" i="2"/>
  <c r="NQ42" i="2"/>
  <c r="NP42" i="2"/>
  <c r="NN42" i="2"/>
  <c r="NE42" i="2"/>
  <c r="ND42" i="2"/>
  <c r="NO42" i="2"/>
  <c r="NT42" i="2" s="1"/>
  <c r="NB42" i="2"/>
  <c r="NC42" i="2"/>
  <c r="MW42" i="2"/>
  <c r="MV42" i="2"/>
  <c r="MH42" i="2"/>
  <c r="MU42" i="2"/>
  <c r="MT42" i="2"/>
  <c r="MZ42" i="2" s="1"/>
  <c r="MS42" i="2"/>
  <c r="MB42" i="2"/>
  <c r="LX42" i="2"/>
  <c r="MA42" i="2"/>
  <c r="LO42" i="2"/>
  <c r="MG42" i="2"/>
  <c r="LZ42" i="2"/>
  <c r="LY42" i="2"/>
  <c r="LM42" i="2"/>
  <c r="LD42" i="2"/>
  <c r="KR42" i="2"/>
  <c r="LG42" i="2"/>
  <c r="LC42" i="2"/>
  <c r="KQ42" i="2"/>
  <c r="LN42" i="2"/>
  <c r="LF42" i="2"/>
  <c r="KT42" i="2"/>
  <c r="KS42" i="2"/>
  <c r="JA42" i="2"/>
  <c r="LL42" i="2"/>
  <c r="LE42" i="2"/>
  <c r="JB42" i="2"/>
  <c r="JO42" i="2"/>
  <c r="JD42" i="2"/>
  <c r="JV42" i="2"/>
  <c r="KL42" i="2"/>
  <c r="JY42" i="2"/>
  <c r="JX42" i="2"/>
  <c r="JN42" i="2"/>
  <c r="JW42" i="2"/>
  <c r="JQ42" i="2"/>
  <c r="KK42" i="2"/>
  <c r="JM42" i="2"/>
  <c r="JP42" i="2"/>
  <c r="JC42" i="2"/>
  <c r="IS42" i="2"/>
  <c r="HN42" i="2"/>
  <c r="IV42" i="2"/>
  <c r="IR42" i="2"/>
  <c r="II42" i="2"/>
  <c r="HD42" i="2"/>
  <c r="IU42" i="2"/>
  <c r="IH42" i="2"/>
  <c r="IF42" i="2"/>
  <c r="HE42" i="2"/>
  <c r="IT42" i="2"/>
  <c r="IG42" i="2"/>
  <c r="HF42" i="2"/>
  <c r="HM42" i="2"/>
  <c r="HK42" i="2"/>
  <c r="HY42" i="2"/>
  <c r="HX42" i="2"/>
  <c r="HL42" i="2"/>
  <c r="IA42" i="2"/>
  <c r="HW42" i="2"/>
  <c r="HZ42" i="2"/>
  <c r="PI41" i="2"/>
  <c r="PL40" i="2"/>
  <c r="IW41" i="2"/>
  <c r="IZ40" i="2"/>
  <c r="MC41" i="2"/>
  <c r="MF40" i="2"/>
  <c r="MY41" i="2"/>
  <c r="MY42" i="2" s="1"/>
  <c r="LJ41" i="2"/>
  <c r="NS41" i="2"/>
  <c r="NV40" i="2"/>
  <c r="MD41" i="2"/>
  <c r="MX41" i="2"/>
  <c r="NA40" i="2"/>
  <c r="ID41" i="2"/>
  <c r="PJ42" i="2"/>
  <c r="ON41" i="2"/>
  <c r="OQ40" i="2"/>
  <c r="IB41" i="2"/>
  <c r="IE40" i="2"/>
  <c r="IY42" i="2"/>
  <c r="LH41" i="2"/>
  <c r="LK40" i="2"/>
  <c r="KM40" i="2"/>
  <c r="KP39" i="2"/>
  <c r="KO41" i="2"/>
  <c r="HI41" i="2"/>
  <c r="HG41" i="2"/>
  <c r="AW41" i="2"/>
  <c r="EV41" i="2"/>
  <c r="EX41" i="2"/>
  <c r="EW41" i="2"/>
  <c r="FS41" i="2"/>
  <c r="GN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JT42" i="2" l="1"/>
  <c r="HH42" i="2"/>
  <c r="ME42" i="2"/>
  <c r="LJ42" i="2"/>
  <c r="MD42" i="2"/>
  <c r="MD43" i="2" s="1"/>
  <c r="LI42" i="2"/>
  <c r="ID42" i="2"/>
  <c r="IX42" i="2"/>
  <c r="IC42" i="2"/>
  <c r="JR42" i="2"/>
  <c r="JU41" i="2"/>
  <c r="OO42" i="2"/>
  <c r="KJ43" i="2"/>
  <c r="KH43" i="2"/>
  <c r="KI43" i="2"/>
  <c r="PD43" i="2"/>
  <c r="PH43" i="2"/>
  <c r="PE43" i="2"/>
  <c r="PK43" i="2" s="1"/>
  <c r="OU43" i="2"/>
  <c r="PF43" i="2"/>
  <c r="PG43" i="2"/>
  <c r="MJ43" i="2"/>
  <c r="MI43" i="2"/>
  <c r="OT43" i="2"/>
  <c r="OR43" i="2"/>
  <c r="OS43" i="2"/>
  <c r="OM43" i="2"/>
  <c r="OK43" i="2"/>
  <c r="OJ43" i="2"/>
  <c r="OP43" i="2" s="1"/>
  <c r="OL43" i="2"/>
  <c r="OI43" i="2"/>
  <c r="NZ43" i="2"/>
  <c r="NY43" i="2"/>
  <c r="NX43" i="2"/>
  <c r="NW43" i="2"/>
  <c r="NR43" i="2"/>
  <c r="NQ43" i="2"/>
  <c r="NC43" i="2"/>
  <c r="NN43" i="2"/>
  <c r="NP43" i="2"/>
  <c r="NE43" i="2"/>
  <c r="ND43" i="2"/>
  <c r="NO43" i="2"/>
  <c r="NT43" i="2" s="1"/>
  <c r="NB43" i="2"/>
  <c r="MW43" i="2"/>
  <c r="MS43" i="2"/>
  <c r="MV43" i="2"/>
  <c r="MH43" i="2"/>
  <c r="MG43" i="2"/>
  <c r="MU43" i="2"/>
  <c r="MT43" i="2"/>
  <c r="MZ43" i="2" s="1"/>
  <c r="LY43" i="2"/>
  <c r="MB43" i="2"/>
  <c r="LX43" i="2"/>
  <c r="MA43" i="2"/>
  <c r="LO43" i="2"/>
  <c r="LZ43" i="2"/>
  <c r="LL43" i="2"/>
  <c r="LE43" i="2"/>
  <c r="JB43" i="2"/>
  <c r="LM43" i="2"/>
  <c r="LD43" i="2"/>
  <c r="KR43" i="2"/>
  <c r="LG43" i="2"/>
  <c r="LC43" i="2"/>
  <c r="KQ43" i="2"/>
  <c r="LN43" i="2"/>
  <c r="LF43" i="2"/>
  <c r="KT43" i="2"/>
  <c r="KS43" i="2"/>
  <c r="JA43" i="2"/>
  <c r="JO43" i="2"/>
  <c r="JD43" i="2"/>
  <c r="JV43" i="2"/>
  <c r="KL43" i="2"/>
  <c r="JY43" i="2"/>
  <c r="JX43" i="2"/>
  <c r="JN43" i="2"/>
  <c r="JW43" i="2"/>
  <c r="JQ43" i="2"/>
  <c r="KK43" i="2"/>
  <c r="JM43" i="2"/>
  <c r="JP43" i="2"/>
  <c r="JC43" i="2"/>
  <c r="IT43" i="2"/>
  <c r="IG43" i="2"/>
  <c r="HF43" i="2"/>
  <c r="IS43" i="2"/>
  <c r="IY43" i="2" s="1"/>
  <c r="HN43" i="2"/>
  <c r="IV43" i="2"/>
  <c r="IR43" i="2"/>
  <c r="II43" i="2"/>
  <c r="HD43" i="2"/>
  <c r="IU43" i="2"/>
  <c r="IH43" i="2"/>
  <c r="IF43" i="2"/>
  <c r="HE43" i="2"/>
  <c r="HZ43" i="2"/>
  <c r="HM43" i="2"/>
  <c r="HK43" i="2"/>
  <c r="HY43" i="2"/>
  <c r="HX43" i="2"/>
  <c r="IC43" i="2" s="1"/>
  <c r="HL43" i="2"/>
  <c r="IA43" i="2"/>
  <c r="HW43" i="2"/>
  <c r="IW42" i="2"/>
  <c r="IZ41" i="2"/>
  <c r="NU42" i="2"/>
  <c r="NU43" i="2" s="1"/>
  <c r="IB42" i="2"/>
  <c r="IE41" i="2"/>
  <c r="LH42" i="2"/>
  <c r="LK41" i="2"/>
  <c r="JS42" i="2"/>
  <c r="ON42" i="2"/>
  <c r="OQ41" i="2"/>
  <c r="MX42" i="2"/>
  <c r="NA41" i="2"/>
  <c r="NS42" i="2"/>
  <c r="NV41" i="2"/>
  <c r="MC42" i="2"/>
  <c r="MF41" i="2"/>
  <c r="PI42" i="2"/>
  <c r="PL41" i="2"/>
  <c r="KO42" i="2"/>
  <c r="KM41" i="2"/>
  <c r="KP40" i="2"/>
  <c r="KN41" i="2"/>
  <c r="KN42" i="2" s="1"/>
  <c r="HG42" i="2"/>
  <c r="HI42" i="2"/>
  <c r="EA42" i="2"/>
  <c r="EV42" i="2"/>
  <c r="EC42" i="2"/>
  <c r="EB42" i="2"/>
  <c r="FS42" i="2"/>
  <c r="EX42" i="2"/>
  <c r="GN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LJ43" i="2" l="1"/>
  <c r="JT43" i="2"/>
  <c r="JS43" i="2"/>
  <c r="ME43" i="2"/>
  <c r="IX43" i="2"/>
  <c r="ID43" i="2"/>
  <c r="HH43" i="2"/>
  <c r="ON43" i="2"/>
  <c r="OQ42" i="2"/>
  <c r="IB43" i="2"/>
  <c r="IE42" i="2"/>
  <c r="OO43" i="2"/>
  <c r="JR43" i="2"/>
  <c r="JU42" i="2"/>
  <c r="MY43" i="2"/>
  <c r="LI43" i="2"/>
  <c r="MC43" i="2"/>
  <c r="MF42" i="2"/>
  <c r="LH43" i="2"/>
  <c r="LK42" i="2"/>
  <c r="IW43" i="2"/>
  <c r="IZ42" i="2"/>
  <c r="MX43" i="2"/>
  <c r="NA42" i="2"/>
  <c r="PJ43" i="2"/>
  <c r="KH44" i="2"/>
  <c r="KJ44" i="2"/>
  <c r="KI44" i="2"/>
  <c r="PG44" i="2"/>
  <c r="PF44" i="2"/>
  <c r="MI44" i="2"/>
  <c r="PE44" i="2"/>
  <c r="PK44" i="2" s="1"/>
  <c r="OT44" i="2"/>
  <c r="OU44" i="2"/>
  <c r="PD44" i="2"/>
  <c r="PH44" i="2"/>
  <c r="MJ44" i="2"/>
  <c r="OR44" i="2"/>
  <c r="OS44" i="2"/>
  <c r="OM44" i="2"/>
  <c r="OK44" i="2"/>
  <c r="OJ44" i="2"/>
  <c r="OP44" i="2" s="1"/>
  <c r="OL44" i="2"/>
  <c r="OI44" i="2"/>
  <c r="NZ44" i="2"/>
  <c r="NX44" i="2"/>
  <c r="NY44" i="2"/>
  <c r="NW44" i="2"/>
  <c r="NO44" i="2"/>
  <c r="NT44" i="2" s="1"/>
  <c r="NR44" i="2"/>
  <c r="NB44" i="2"/>
  <c r="NC44" i="2"/>
  <c r="NQ44" i="2"/>
  <c r="NN44" i="2"/>
  <c r="NP44" i="2"/>
  <c r="NE44" i="2"/>
  <c r="ND44" i="2"/>
  <c r="MT44" i="2"/>
  <c r="MZ44" i="2" s="1"/>
  <c r="MW44" i="2"/>
  <c r="MS44" i="2"/>
  <c r="MV44" i="2"/>
  <c r="MH44" i="2"/>
  <c r="MG44" i="2"/>
  <c r="MU44" i="2"/>
  <c r="LZ44" i="2"/>
  <c r="LY44" i="2"/>
  <c r="ME44" i="2" s="1"/>
  <c r="MB44" i="2"/>
  <c r="LX44" i="2"/>
  <c r="MA44" i="2"/>
  <c r="LO44" i="2"/>
  <c r="LN44" i="2"/>
  <c r="LF44" i="2"/>
  <c r="KT44" i="2"/>
  <c r="KS44" i="2"/>
  <c r="JA44" i="2"/>
  <c r="LL44" i="2"/>
  <c r="LE44" i="2"/>
  <c r="JB44" i="2"/>
  <c r="LM44" i="2"/>
  <c r="LD44" i="2"/>
  <c r="KR44" i="2"/>
  <c r="LG44" i="2"/>
  <c r="LC44" i="2"/>
  <c r="KQ44" i="2"/>
  <c r="KK44" i="2"/>
  <c r="JM44" i="2"/>
  <c r="JP44" i="2"/>
  <c r="JO44" i="2"/>
  <c r="JD44" i="2"/>
  <c r="JV44" i="2"/>
  <c r="KL44" i="2"/>
  <c r="JY44" i="2"/>
  <c r="JX44" i="2"/>
  <c r="JN44" i="2"/>
  <c r="JW44" i="2"/>
  <c r="JQ44" i="2"/>
  <c r="JC44" i="2"/>
  <c r="IU44" i="2"/>
  <c r="IH44" i="2"/>
  <c r="IF44" i="2"/>
  <c r="HE44" i="2"/>
  <c r="IT44" i="2"/>
  <c r="IG44" i="2"/>
  <c r="HF44" i="2"/>
  <c r="IS44" i="2"/>
  <c r="HN44" i="2"/>
  <c r="IV44" i="2"/>
  <c r="IR44" i="2"/>
  <c r="II44" i="2"/>
  <c r="HD44" i="2"/>
  <c r="HL44" i="2"/>
  <c r="IA44" i="2"/>
  <c r="HW44" i="2"/>
  <c r="HZ44" i="2"/>
  <c r="HM44" i="2"/>
  <c r="HK44" i="2"/>
  <c r="HY44" i="2"/>
  <c r="HX44" i="2"/>
  <c r="PI43" i="2"/>
  <c r="PL42" i="2"/>
  <c r="NS43" i="2"/>
  <c r="NV42" i="2"/>
  <c r="KM42" i="2"/>
  <c r="KP41" i="2"/>
  <c r="KO43" i="2"/>
  <c r="HI43" i="2"/>
  <c r="HG43" i="2"/>
  <c r="EX43" i="2"/>
  <c r="DG43" i="2"/>
  <c r="EA43" i="2"/>
  <c r="FS43" i="2"/>
  <c r="EW43" i="2"/>
  <c r="EV43" i="2"/>
  <c r="EC43" i="2"/>
  <c r="EB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LJ44" i="2" l="1"/>
  <c r="IY44" i="2"/>
  <c r="ID44" i="2"/>
  <c r="JS44" i="2"/>
  <c r="HH44" i="2"/>
  <c r="MX44" i="2"/>
  <c r="NA43" i="2"/>
  <c r="IW44" i="2"/>
  <c r="IZ43" i="2"/>
  <c r="MD44" i="2"/>
  <c r="JT44" i="2"/>
  <c r="HG44" i="2"/>
  <c r="PI44" i="2"/>
  <c r="PL43" i="2"/>
  <c r="PJ44" i="2"/>
  <c r="MC44" i="2"/>
  <c r="MF43" i="2"/>
  <c r="OO44" i="2"/>
  <c r="IB44" i="2"/>
  <c r="IE43" i="2"/>
  <c r="IC44" i="2"/>
  <c r="IX44" i="2"/>
  <c r="KJ45" i="2"/>
  <c r="KI45" i="2"/>
  <c r="KH45" i="2"/>
  <c r="OU45" i="2"/>
  <c r="PF45" i="2"/>
  <c r="OT45" i="2"/>
  <c r="MJ45" i="2"/>
  <c r="MI45" i="2"/>
  <c r="PE45" i="2"/>
  <c r="PK45" i="2" s="1"/>
  <c r="PD45" i="2"/>
  <c r="PG45" i="2"/>
  <c r="PH45" i="2"/>
  <c r="OS45" i="2"/>
  <c r="OR45" i="2"/>
  <c r="OM45" i="2"/>
  <c r="OL45" i="2"/>
  <c r="OK45" i="2"/>
  <c r="OJ45" i="2"/>
  <c r="OP45" i="2" s="1"/>
  <c r="OI45" i="2"/>
  <c r="NZ45" i="2"/>
  <c r="NX45" i="2"/>
  <c r="NR45" i="2"/>
  <c r="NY45" i="2"/>
  <c r="NP45" i="2"/>
  <c r="NW45" i="2"/>
  <c r="NO45" i="2"/>
  <c r="NT45" i="2" s="1"/>
  <c r="NE45" i="2"/>
  <c r="ND45" i="2"/>
  <c r="NB45" i="2"/>
  <c r="NC45" i="2"/>
  <c r="MW45" i="2"/>
  <c r="NQ45" i="2"/>
  <c r="NN45" i="2"/>
  <c r="MU45" i="2"/>
  <c r="MT45" i="2"/>
  <c r="MZ45" i="2" s="1"/>
  <c r="MS45" i="2"/>
  <c r="MV45" i="2"/>
  <c r="MH45" i="2"/>
  <c r="MA45" i="2"/>
  <c r="LO45" i="2"/>
  <c r="LZ45" i="2"/>
  <c r="LY45" i="2"/>
  <c r="ME45" i="2" s="1"/>
  <c r="MG45" i="2"/>
  <c r="MB45" i="2"/>
  <c r="LX45" i="2"/>
  <c r="LG45" i="2"/>
  <c r="LC45" i="2"/>
  <c r="KQ45" i="2"/>
  <c r="LN45" i="2"/>
  <c r="LF45" i="2"/>
  <c r="KT45" i="2"/>
  <c r="KS45" i="2"/>
  <c r="JA45" i="2"/>
  <c r="LL45" i="2"/>
  <c r="LE45" i="2"/>
  <c r="JB45" i="2"/>
  <c r="LM45" i="2"/>
  <c r="LD45" i="2"/>
  <c r="KR45" i="2"/>
  <c r="KL45" i="2"/>
  <c r="JY45" i="2"/>
  <c r="JX45" i="2"/>
  <c r="JN45" i="2"/>
  <c r="JW45" i="2"/>
  <c r="JQ45" i="2"/>
  <c r="KK45" i="2"/>
  <c r="JM45" i="2"/>
  <c r="JP45" i="2"/>
  <c r="JO45" i="2"/>
  <c r="JD45" i="2"/>
  <c r="JV45" i="2"/>
  <c r="IV45" i="2"/>
  <c r="IR45" i="2"/>
  <c r="II45" i="2"/>
  <c r="HD45" i="2"/>
  <c r="JC45" i="2"/>
  <c r="IU45" i="2"/>
  <c r="IH45" i="2"/>
  <c r="IF45" i="2"/>
  <c r="HE45" i="2"/>
  <c r="IT45" i="2"/>
  <c r="IG45" i="2"/>
  <c r="HF45" i="2"/>
  <c r="IS45" i="2"/>
  <c r="IY45" i="2" s="1"/>
  <c r="HN45" i="2"/>
  <c r="HX45" i="2"/>
  <c r="HL45" i="2"/>
  <c r="IA45" i="2"/>
  <c r="HW45" i="2"/>
  <c r="HZ45" i="2"/>
  <c r="HM45" i="2"/>
  <c r="HK45" i="2"/>
  <c r="HY45" i="2"/>
  <c r="LH44" i="2"/>
  <c r="LK43" i="2"/>
  <c r="LI44" i="2"/>
  <c r="JR44" i="2"/>
  <c r="JU43" i="2"/>
  <c r="NS44" i="2"/>
  <c r="NV43" i="2"/>
  <c r="MY44" i="2"/>
  <c r="MY45" i="2" s="1"/>
  <c r="NU44" i="2"/>
  <c r="NU45" i="2" s="1"/>
  <c r="ON44" i="2"/>
  <c r="OQ43" i="2"/>
  <c r="KO44" i="2"/>
  <c r="KM43" i="2"/>
  <c r="KP42" i="2"/>
  <c r="KN43" i="2"/>
  <c r="KN44" i="2" s="1"/>
  <c r="HI44" i="2"/>
  <c r="FS44" i="2"/>
  <c r="EC44" i="2"/>
  <c r="EW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DC45" i="2"/>
  <c r="BN45" i="2"/>
  <c r="AR45" i="2"/>
  <c r="DX45" i="2"/>
  <c r="W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LI45" i="2" l="1"/>
  <c r="LJ45" i="2"/>
  <c r="JS45" i="2"/>
  <c r="ID45" i="2"/>
  <c r="HH45" i="2"/>
  <c r="ON45" i="2"/>
  <c r="OQ44" i="2"/>
  <c r="IC45" i="2"/>
  <c r="OO45" i="2"/>
  <c r="MF44" i="2"/>
  <c r="MC45" i="2"/>
  <c r="MX45" i="2"/>
  <c r="NA44" i="2"/>
  <c r="NS45" i="2"/>
  <c r="NV44" i="2"/>
  <c r="PI45" i="2"/>
  <c r="PL44" i="2"/>
  <c r="JR45" i="2"/>
  <c r="JU44" i="2"/>
  <c r="IB45" i="2"/>
  <c r="IE44" i="2"/>
  <c r="JT45" i="2"/>
  <c r="HI45" i="2"/>
  <c r="KJ46" i="2"/>
  <c r="KI46" i="2"/>
  <c r="KH46" i="2"/>
  <c r="OT46" i="2"/>
  <c r="PE46" i="2"/>
  <c r="PK46" i="2" s="1"/>
  <c r="PD46" i="2"/>
  <c r="PG46" i="2"/>
  <c r="PH46" i="2"/>
  <c r="PF46" i="2"/>
  <c r="OU46" i="2"/>
  <c r="MI46" i="2"/>
  <c r="MJ46" i="2"/>
  <c r="OR46" i="2"/>
  <c r="OS46" i="2"/>
  <c r="OM46" i="2"/>
  <c r="OL46" i="2"/>
  <c r="OJ46" i="2"/>
  <c r="OP46" i="2" s="1"/>
  <c r="OK46" i="2"/>
  <c r="NZ46" i="2"/>
  <c r="OI46" i="2"/>
  <c r="NY46" i="2"/>
  <c r="NW46" i="2"/>
  <c r="NR46" i="2"/>
  <c r="NX46" i="2"/>
  <c r="NQ46" i="2"/>
  <c r="NP46" i="2"/>
  <c r="NO46" i="2"/>
  <c r="NU46" i="2" s="1"/>
  <c r="NN46" i="2"/>
  <c r="NE46" i="2"/>
  <c r="ND46" i="2"/>
  <c r="NB46" i="2"/>
  <c r="NC46" i="2"/>
  <c r="MW46" i="2"/>
  <c r="MV46" i="2"/>
  <c r="MH46" i="2"/>
  <c r="MU46" i="2"/>
  <c r="MT46" i="2"/>
  <c r="MZ46" i="2" s="1"/>
  <c r="MS46" i="2"/>
  <c r="MG46" i="2"/>
  <c r="MB46" i="2"/>
  <c r="LX46" i="2"/>
  <c r="MA46" i="2"/>
  <c r="LO46" i="2"/>
  <c r="LZ46" i="2"/>
  <c r="LY46" i="2"/>
  <c r="LM46" i="2"/>
  <c r="LD46" i="2"/>
  <c r="KR46" i="2"/>
  <c r="LG46" i="2"/>
  <c r="LC46" i="2"/>
  <c r="KQ46" i="2"/>
  <c r="LN46" i="2"/>
  <c r="LF46" i="2"/>
  <c r="KT46" i="2"/>
  <c r="KS46" i="2"/>
  <c r="JA46" i="2"/>
  <c r="LL46" i="2"/>
  <c r="LE46" i="2"/>
  <c r="JB46" i="2"/>
  <c r="JO46" i="2"/>
  <c r="JD46" i="2"/>
  <c r="JV46" i="2"/>
  <c r="KL46" i="2"/>
  <c r="JY46" i="2"/>
  <c r="JX46" i="2"/>
  <c r="JN46" i="2"/>
  <c r="JW46" i="2"/>
  <c r="JQ46" i="2"/>
  <c r="KK46" i="2"/>
  <c r="JM46" i="2"/>
  <c r="JP46" i="2"/>
  <c r="JC46" i="2"/>
  <c r="IS46" i="2"/>
  <c r="HN46" i="2"/>
  <c r="IV46" i="2"/>
  <c r="IR46" i="2"/>
  <c r="II46" i="2"/>
  <c r="HD46" i="2"/>
  <c r="IU46" i="2"/>
  <c r="IH46" i="2"/>
  <c r="IF46" i="2"/>
  <c r="HE46" i="2"/>
  <c r="IT46" i="2"/>
  <c r="IG46" i="2"/>
  <c r="HF46" i="2"/>
  <c r="HM46" i="2"/>
  <c r="HK46" i="2"/>
  <c r="HY46" i="2"/>
  <c r="HX46" i="2"/>
  <c r="HL46" i="2"/>
  <c r="IA46" i="2"/>
  <c r="HW46" i="2"/>
  <c r="HZ46" i="2"/>
  <c r="LH45" i="2"/>
  <c r="LK44" i="2"/>
  <c r="IX45" i="2"/>
  <c r="PJ45" i="2"/>
  <c r="MD45" i="2"/>
  <c r="IW45" i="2"/>
  <c r="IZ44" i="2"/>
  <c r="KO45" i="2"/>
  <c r="KM44" i="2"/>
  <c r="KP43" i="2"/>
  <c r="HG45" i="2"/>
  <c r="EX45" i="2"/>
  <c r="EB45" i="2"/>
  <c r="EC45" i="2"/>
  <c r="EW45" i="2"/>
  <c r="FS45" i="2"/>
  <c r="GN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ME46" i="2" l="1"/>
  <c r="LJ46" i="2"/>
  <c r="MD46" i="2"/>
  <c r="IY46" i="2"/>
  <c r="ID46" i="2"/>
  <c r="JS46" i="2"/>
  <c r="HH46" i="2"/>
  <c r="PK47" i="2"/>
  <c r="JT46" i="2"/>
  <c r="OO46" i="2"/>
  <c r="ON46" i="2"/>
  <c r="OQ45" i="2"/>
  <c r="KJ47" i="2"/>
  <c r="KI47" i="2"/>
  <c r="KH47" i="2"/>
  <c r="PD47" i="2"/>
  <c r="PH47" i="2"/>
  <c r="OU47" i="2"/>
  <c r="OT47" i="2"/>
  <c r="PG47" i="2"/>
  <c r="PE47" i="2"/>
  <c r="PF47" i="2"/>
  <c r="MI47" i="2"/>
  <c r="MJ47" i="2"/>
  <c r="OR47" i="2"/>
  <c r="OS47" i="2"/>
  <c r="OM47" i="2"/>
  <c r="OK47" i="2"/>
  <c r="OL47" i="2"/>
  <c r="OJ47" i="2"/>
  <c r="OP47" i="2" s="1"/>
  <c r="OI47" i="2"/>
  <c r="NZ47" i="2"/>
  <c r="NY47" i="2"/>
  <c r="NW47" i="2"/>
  <c r="NR47" i="2"/>
  <c r="NX47" i="2"/>
  <c r="NQ47" i="2"/>
  <c r="NP47" i="2"/>
  <c r="NC47" i="2"/>
  <c r="NO47" i="2"/>
  <c r="NU47" i="2" s="1"/>
  <c r="NN47" i="2"/>
  <c r="NE47" i="2"/>
  <c r="ND47" i="2"/>
  <c r="NB47" i="2"/>
  <c r="MS47" i="2"/>
  <c r="MV47" i="2"/>
  <c r="MH47" i="2"/>
  <c r="MG47" i="2"/>
  <c r="MW47" i="2"/>
  <c r="MU47" i="2"/>
  <c r="MT47" i="2"/>
  <c r="MZ47" i="2" s="1"/>
  <c r="LY47" i="2"/>
  <c r="MB47" i="2"/>
  <c r="LX47" i="2"/>
  <c r="MA47" i="2"/>
  <c r="LO47" i="2"/>
  <c r="LZ47" i="2"/>
  <c r="LL47" i="2"/>
  <c r="LE47" i="2"/>
  <c r="JB47" i="2"/>
  <c r="LM47" i="2"/>
  <c r="LD47" i="2"/>
  <c r="KR47" i="2"/>
  <c r="LG47" i="2"/>
  <c r="LC47" i="2"/>
  <c r="KQ47" i="2"/>
  <c r="LN47" i="2"/>
  <c r="LF47" i="2"/>
  <c r="KT47" i="2"/>
  <c r="KS47" i="2"/>
  <c r="JA47" i="2"/>
  <c r="JO47" i="2"/>
  <c r="JD47" i="2"/>
  <c r="JV47" i="2"/>
  <c r="KL47" i="2"/>
  <c r="JY47" i="2"/>
  <c r="JX47" i="2"/>
  <c r="JN47" i="2"/>
  <c r="JW47" i="2"/>
  <c r="JQ47" i="2"/>
  <c r="KK47" i="2"/>
  <c r="JM47" i="2"/>
  <c r="JP47" i="2"/>
  <c r="JC47" i="2"/>
  <c r="IT47" i="2"/>
  <c r="IG47" i="2"/>
  <c r="HF47" i="2"/>
  <c r="IS47" i="2"/>
  <c r="HN47" i="2"/>
  <c r="IV47" i="2"/>
  <c r="IR47" i="2"/>
  <c r="II47" i="2"/>
  <c r="HD47" i="2"/>
  <c r="IU47" i="2"/>
  <c r="IH47" i="2"/>
  <c r="IF47" i="2"/>
  <c r="HE47" i="2"/>
  <c r="HZ47" i="2"/>
  <c r="HM47" i="2"/>
  <c r="HK47" i="2"/>
  <c r="HY47" i="2"/>
  <c r="HX47" i="2"/>
  <c r="HL47" i="2"/>
  <c r="IA47" i="2"/>
  <c r="HW47" i="2"/>
  <c r="IW46" i="2"/>
  <c r="IZ45" i="2"/>
  <c r="NS46" i="2"/>
  <c r="NV45" i="2"/>
  <c r="MX46" i="2"/>
  <c r="NA45" i="2"/>
  <c r="NT46" i="2"/>
  <c r="IB46" i="2"/>
  <c r="IE45" i="2"/>
  <c r="PJ46" i="2"/>
  <c r="MY46" i="2"/>
  <c r="MY47" i="2" s="1"/>
  <c r="PI46" i="2"/>
  <c r="PL45" i="2"/>
  <c r="MC46" i="2"/>
  <c r="MF45" i="2"/>
  <c r="IC46" i="2"/>
  <c r="IC47" i="2" s="1"/>
  <c r="LH46" i="2"/>
  <c r="LK45" i="2"/>
  <c r="IX46" i="2"/>
  <c r="JR46" i="2"/>
  <c r="JU45" i="2"/>
  <c r="LI46" i="2"/>
  <c r="KO46" i="2"/>
  <c r="KM45" i="2"/>
  <c r="KP44" i="2"/>
  <c r="KN45" i="2"/>
  <c r="KN46" i="2" s="1"/>
  <c r="HG46" i="2"/>
  <c r="HI46" i="2"/>
  <c r="EC46" i="2"/>
  <c r="EW46" i="2"/>
  <c r="FS46" i="2"/>
  <c r="EX46" i="2"/>
  <c r="EV46" i="2"/>
  <c r="EB46" i="2"/>
  <c r="GN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I47" i="2" l="1"/>
  <c r="ME47" i="2"/>
  <c r="LJ47" i="2"/>
  <c r="IY47" i="2"/>
  <c r="ID47" i="2"/>
  <c r="JS47" i="2"/>
  <c r="HH47" i="2"/>
  <c r="MX47" i="2"/>
  <c r="NA46" i="2"/>
  <c r="NS47" i="2"/>
  <c r="NV46" i="2"/>
  <c r="LI47" i="2"/>
  <c r="IX47" i="2"/>
  <c r="MC47" i="2"/>
  <c r="MF46" i="2"/>
  <c r="PI47" i="2"/>
  <c r="PL46" i="2"/>
  <c r="ON47" i="2"/>
  <c r="OQ46" i="2"/>
  <c r="JR47" i="2"/>
  <c r="JU46" i="2"/>
  <c r="IB47" i="2"/>
  <c r="IE46" i="2"/>
  <c r="MD47" i="2"/>
  <c r="NT47" i="2"/>
  <c r="IW47" i="2"/>
  <c r="IZ46" i="2"/>
  <c r="JT47" i="2"/>
  <c r="KH48" i="2"/>
  <c r="KJ48" i="2"/>
  <c r="KI48" i="2"/>
  <c r="PG48" i="2"/>
  <c r="PE48" i="2"/>
  <c r="PK48" i="2" s="1"/>
  <c r="MI48" i="2"/>
  <c r="OU48" i="2"/>
  <c r="PD48" i="2"/>
  <c r="PH48" i="2"/>
  <c r="MJ48" i="2"/>
  <c r="OT48" i="2"/>
  <c r="PF48" i="2"/>
  <c r="OR48" i="2"/>
  <c r="OS48" i="2"/>
  <c r="OM48" i="2"/>
  <c r="OK48" i="2"/>
  <c r="OL48" i="2"/>
  <c r="OJ48" i="2"/>
  <c r="OP48" i="2" s="1"/>
  <c r="OI48" i="2"/>
  <c r="NZ48" i="2"/>
  <c r="NX48" i="2"/>
  <c r="NY48" i="2"/>
  <c r="NW48" i="2"/>
  <c r="NO48" i="2"/>
  <c r="NU48" i="2" s="1"/>
  <c r="NR48" i="2"/>
  <c r="NQ48" i="2"/>
  <c r="NB48" i="2"/>
  <c r="NP48" i="2"/>
  <c r="NC48" i="2"/>
  <c r="NN48" i="2"/>
  <c r="NE48" i="2"/>
  <c r="ND48" i="2"/>
  <c r="MT48" i="2"/>
  <c r="MY48" i="2" s="1"/>
  <c r="MS48" i="2"/>
  <c r="MV48" i="2"/>
  <c r="MH48" i="2"/>
  <c r="MG48" i="2"/>
  <c r="MW48" i="2"/>
  <c r="MU48" i="2"/>
  <c r="LZ48" i="2"/>
  <c r="LY48" i="2"/>
  <c r="MB48" i="2"/>
  <c r="LX48" i="2"/>
  <c r="MA48" i="2"/>
  <c r="LO48" i="2"/>
  <c r="LN48" i="2"/>
  <c r="LF48" i="2"/>
  <c r="KT48" i="2"/>
  <c r="KS48" i="2"/>
  <c r="JA48" i="2"/>
  <c r="LL48" i="2"/>
  <c r="LE48" i="2"/>
  <c r="JB48" i="2"/>
  <c r="LM48" i="2"/>
  <c r="LD48" i="2"/>
  <c r="KR48" i="2"/>
  <c r="LG48" i="2"/>
  <c r="LC48" i="2"/>
  <c r="KQ48" i="2"/>
  <c r="KK48" i="2"/>
  <c r="JM48" i="2"/>
  <c r="JP48" i="2"/>
  <c r="JO48" i="2"/>
  <c r="JD48" i="2"/>
  <c r="JV48" i="2"/>
  <c r="KL48" i="2"/>
  <c r="JY48" i="2"/>
  <c r="JX48" i="2"/>
  <c r="JN48" i="2"/>
  <c r="JW48" i="2"/>
  <c r="JQ48" i="2"/>
  <c r="IU48" i="2"/>
  <c r="IH48" i="2"/>
  <c r="IF48" i="2"/>
  <c r="HE48" i="2"/>
  <c r="IT48" i="2"/>
  <c r="IG48" i="2"/>
  <c r="HF48" i="2"/>
  <c r="JC48" i="2"/>
  <c r="IS48" i="2"/>
  <c r="HN48" i="2"/>
  <c r="IV48" i="2"/>
  <c r="IR48" i="2"/>
  <c r="II48" i="2"/>
  <c r="HD48" i="2"/>
  <c r="HL48" i="2"/>
  <c r="IA48" i="2"/>
  <c r="HW48" i="2"/>
  <c r="HZ48" i="2"/>
  <c r="HM48" i="2"/>
  <c r="HK48" i="2"/>
  <c r="HY48" i="2"/>
  <c r="HX48" i="2"/>
  <c r="ID48" i="2" s="1"/>
  <c r="LH47" i="2"/>
  <c r="LK46" i="2"/>
  <c r="IC48" i="2"/>
  <c r="PJ47" i="2"/>
  <c r="PJ48" i="2" s="1"/>
  <c r="OO47" i="2"/>
  <c r="OO48" i="2" s="1"/>
  <c r="KM46" i="2"/>
  <c r="KP45" i="2"/>
  <c r="KO47" i="2"/>
  <c r="HG47" i="2"/>
  <c r="EA47" i="2"/>
  <c r="FS47" i="2"/>
  <c r="EC47" i="2"/>
  <c r="EX47" i="2"/>
  <c r="EB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JS48" i="2" l="1"/>
  <c r="ME48" i="2"/>
  <c r="LJ48" i="2"/>
  <c r="IY48" i="2"/>
  <c r="HH48" i="2"/>
  <c r="HG48" i="2"/>
  <c r="IW48" i="2"/>
  <c r="IZ47" i="2"/>
  <c r="IB48" i="2"/>
  <c r="IE47" i="2"/>
  <c r="MC48" i="2"/>
  <c r="MF47" i="2"/>
  <c r="MX48" i="2"/>
  <c r="NA47" i="2"/>
  <c r="MZ48" i="2"/>
  <c r="LH48" i="2"/>
  <c r="LK47" i="2"/>
  <c r="PI48" i="2"/>
  <c r="PL47" i="2"/>
  <c r="IX48" i="2"/>
  <c r="NT48" i="2"/>
  <c r="ON48" i="2"/>
  <c r="OQ47" i="2"/>
  <c r="NS48" i="2"/>
  <c r="NV47" i="2"/>
  <c r="KJ49" i="2"/>
  <c r="KI49" i="2"/>
  <c r="KH49" i="2"/>
  <c r="OU49" i="2"/>
  <c r="PF49" i="2"/>
  <c r="MJ49" i="2"/>
  <c r="PE49" i="2"/>
  <c r="PK49" i="2" s="1"/>
  <c r="MI49" i="2"/>
  <c r="OT49" i="2"/>
  <c r="PD49" i="2"/>
  <c r="PG49" i="2"/>
  <c r="PH49" i="2"/>
  <c r="OS49" i="2"/>
  <c r="OR49" i="2"/>
  <c r="OM49" i="2"/>
  <c r="OL49" i="2"/>
  <c r="OK49" i="2"/>
  <c r="OJ49" i="2"/>
  <c r="OO49" i="2" s="1"/>
  <c r="NZ49" i="2"/>
  <c r="OI49" i="2"/>
  <c r="NX49" i="2"/>
  <c r="NR49" i="2"/>
  <c r="NP49" i="2"/>
  <c r="NY49" i="2"/>
  <c r="NW49" i="2"/>
  <c r="NO49" i="2"/>
  <c r="NU49" i="2" s="1"/>
  <c r="NE49" i="2"/>
  <c r="ND49" i="2"/>
  <c r="NQ49" i="2"/>
  <c r="NB49" i="2"/>
  <c r="NC49" i="2"/>
  <c r="MW49" i="2"/>
  <c r="NN49" i="2"/>
  <c r="MU49" i="2"/>
  <c r="MT49" i="2"/>
  <c r="MY49" i="2" s="1"/>
  <c r="MS49" i="2"/>
  <c r="MV49" i="2"/>
  <c r="MA49" i="2"/>
  <c r="LO49" i="2"/>
  <c r="MH49" i="2"/>
  <c r="MG49" i="2"/>
  <c r="LZ49" i="2"/>
  <c r="LY49" i="2"/>
  <c r="ME49" i="2" s="1"/>
  <c r="MB49" i="2"/>
  <c r="LX49" i="2"/>
  <c r="LG49" i="2"/>
  <c r="LC49" i="2"/>
  <c r="KQ49" i="2"/>
  <c r="LN49" i="2"/>
  <c r="LF49" i="2"/>
  <c r="KT49" i="2"/>
  <c r="KS49" i="2"/>
  <c r="JA49" i="2"/>
  <c r="LL49" i="2"/>
  <c r="LE49" i="2"/>
  <c r="JB49" i="2"/>
  <c r="LM49" i="2"/>
  <c r="LD49" i="2"/>
  <c r="LJ49" i="2" s="1"/>
  <c r="KR49" i="2"/>
  <c r="KL49" i="2"/>
  <c r="JY49" i="2"/>
  <c r="JX49" i="2"/>
  <c r="JN49" i="2"/>
  <c r="JW49" i="2"/>
  <c r="JQ49" i="2"/>
  <c r="KK49" i="2"/>
  <c r="JM49" i="2"/>
  <c r="JP49" i="2"/>
  <c r="JO49" i="2"/>
  <c r="JD49" i="2"/>
  <c r="JV49" i="2"/>
  <c r="IV49" i="2"/>
  <c r="IR49" i="2"/>
  <c r="II49" i="2"/>
  <c r="HD49" i="2"/>
  <c r="IU49" i="2"/>
  <c r="IH49" i="2"/>
  <c r="IF49" i="2"/>
  <c r="HE49" i="2"/>
  <c r="IT49" i="2"/>
  <c r="IG49" i="2"/>
  <c r="HF49" i="2"/>
  <c r="JC49" i="2"/>
  <c r="IS49" i="2"/>
  <c r="IY49" i="2" s="1"/>
  <c r="HN49" i="2"/>
  <c r="HX49" i="2"/>
  <c r="ID49" i="2" s="1"/>
  <c r="HL49" i="2"/>
  <c r="IA49" i="2"/>
  <c r="HW49" i="2"/>
  <c r="HZ49" i="2"/>
  <c r="HM49" i="2"/>
  <c r="HK49" i="2"/>
  <c r="HY49" i="2"/>
  <c r="JT48" i="2"/>
  <c r="MD48" i="2"/>
  <c r="JR48" i="2"/>
  <c r="JU47" i="2"/>
  <c r="LI48" i="2"/>
  <c r="KM47" i="2"/>
  <c r="KP46" i="2"/>
  <c r="KO48" i="2"/>
  <c r="KN47" i="2"/>
  <c r="HI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JT49" i="2" l="1"/>
  <c r="LI49" i="2"/>
  <c r="MD49" i="2"/>
  <c r="JS49" i="2"/>
  <c r="IC49" i="2"/>
  <c r="HH49" i="2"/>
  <c r="JR49" i="2"/>
  <c r="JU48" i="2"/>
  <c r="ON49" i="2"/>
  <c r="OQ48" i="2"/>
  <c r="NT49" i="2"/>
  <c r="LH49" i="2"/>
  <c r="LK48" i="2"/>
  <c r="MX49" i="2"/>
  <c r="NA48" i="2"/>
  <c r="IB49" i="2"/>
  <c r="IE48" i="2"/>
  <c r="OP49" i="2"/>
  <c r="HI49" i="2"/>
  <c r="IX49" i="2"/>
  <c r="PJ49" i="2"/>
  <c r="IW49" i="2"/>
  <c r="IZ48" i="2"/>
  <c r="PI49" i="2"/>
  <c r="PL48" i="2"/>
  <c r="MZ49" i="2"/>
  <c r="KJ50" i="2"/>
  <c r="KI50" i="2"/>
  <c r="KH50" i="2"/>
  <c r="OT50" i="2"/>
  <c r="PE50" i="2"/>
  <c r="PK50" i="2" s="1"/>
  <c r="PF50" i="2"/>
  <c r="MI50" i="2"/>
  <c r="MJ50" i="2"/>
  <c r="OU50" i="2"/>
  <c r="PD50" i="2"/>
  <c r="PG50" i="2"/>
  <c r="PH50" i="2"/>
  <c r="OR50" i="2"/>
  <c r="OS50" i="2"/>
  <c r="OM50" i="2"/>
  <c r="OK50" i="2"/>
  <c r="OJ50" i="2"/>
  <c r="OO50" i="2" s="1"/>
  <c r="OL50" i="2"/>
  <c r="NZ50" i="2"/>
  <c r="OI50" i="2"/>
  <c r="NY50" i="2"/>
  <c r="NX50" i="2"/>
  <c r="NW50" i="2"/>
  <c r="NR50" i="2"/>
  <c r="NQ50" i="2"/>
  <c r="NP50" i="2"/>
  <c r="NN50" i="2"/>
  <c r="NE50" i="2"/>
  <c r="ND50" i="2"/>
  <c r="NO50" i="2"/>
  <c r="NU50" i="2" s="1"/>
  <c r="NB50" i="2"/>
  <c r="NC50" i="2"/>
  <c r="MW50" i="2"/>
  <c r="MV50" i="2"/>
  <c r="MH50" i="2"/>
  <c r="MU50" i="2"/>
  <c r="MT50" i="2"/>
  <c r="MY50" i="2" s="1"/>
  <c r="MS50" i="2"/>
  <c r="MB50" i="2"/>
  <c r="LX50" i="2"/>
  <c r="MA50" i="2"/>
  <c r="LO50" i="2"/>
  <c r="MG50" i="2"/>
  <c r="LZ50" i="2"/>
  <c r="LY50" i="2"/>
  <c r="LM50" i="2"/>
  <c r="LD50" i="2"/>
  <c r="KR50" i="2"/>
  <c r="LG50" i="2"/>
  <c r="LC50" i="2"/>
  <c r="KQ50" i="2"/>
  <c r="LN50" i="2"/>
  <c r="LF50" i="2"/>
  <c r="KT50" i="2"/>
  <c r="KS50" i="2"/>
  <c r="JA50" i="2"/>
  <c r="LL50" i="2"/>
  <c r="LE50" i="2"/>
  <c r="JB50" i="2"/>
  <c r="JO50" i="2"/>
  <c r="JD50" i="2"/>
  <c r="JV50" i="2"/>
  <c r="KL50" i="2"/>
  <c r="JY50" i="2"/>
  <c r="JX50" i="2"/>
  <c r="JN50" i="2"/>
  <c r="JW50" i="2"/>
  <c r="JQ50" i="2"/>
  <c r="KK50" i="2"/>
  <c r="JM50" i="2"/>
  <c r="JP50" i="2"/>
  <c r="JC50" i="2"/>
  <c r="IS50" i="2"/>
  <c r="IY50" i="2" s="1"/>
  <c r="HN50" i="2"/>
  <c r="IV50" i="2"/>
  <c r="IR50" i="2"/>
  <c r="II50" i="2"/>
  <c r="HD50" i="2"/>
  <c r="IU50" i="2"/>
  <c r="IH50" i="2"/>
  <c r="IF50" i="2"/>
  <c r="HE50" i="2"/>
  <c r="IT50" i="2"/>
  <c r="IG50" i="2"/>
  <c r="HF50" i="2"/>
  <c r="HM50" i="2"/>
  <c r="HK50" i="2"/>
  <c r="HY50" i="2"/>
  <c r="HX50" i="2"/>
  <c r="ID50" i="2" s="1"/>
  <c r="HL50" i="2"/>
  <c r="IA50" i="2"/>
  <c r="HW50" i="2"/>
  <c r="HZ50" i="2"/>
  <c r="NS49" i="2"/>
  <c r="NV48" i="2"/>
  <c r="MC49" i="2"/>
  <c r="MF48" i="2"/>
  <c r="KM48" i="2"/>
  <c r="KP47" i="2"/>
  <c r="KO49" i="2"/>
  <c r="KN48" i="2"/>
  <c r="HG49" i="2"/>
  <c r="EC49" i="2"/>
  <c r="EX49" i="2"/>
  <c r="FS49" i="2"/>
  <c r="GM49" i="2"/>
  <c r="GN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LI50" i="2" l="1"/>
  <c r="ME50" i="2"/>
  <c r="JS50" i="2"/>
  <c r="HH50" i="2"/>
  <c r="MC50" i="2"/>
  <c r="MF49" i="2"/>
  <c r="JT50" i="2"/>
  <c r="JR50" i="2"/>
  <c r="JU49" i="2"/>
  <c r="LJ50" i="2"/>
  <c r="NS50" i="2"/>
  <c r="NV49" i="2"/>
  <c r="PI50" i="2"/>
  <c r="PL49" i="2"/>
  <c r="MD50" i="2"/>
  <c r="PJ50" i="2"/>
  <c r="MX50" i="2"/>
  <c r="NA49" i="2"/>
  <c r="KI51" i="2"/>
  <c r="KJ51" i="2"/>
  <c r="KH51" i="2"/>
  <c r="PD51" i="2"/>
  <c r="PH51" i="2"/>
  <c r="OT51" i="2"/>
  <c r="PG51" i="2"/>
  <c r="PF51" i="2"/>
  <c r="MI51" i="2"/>
  <c r="PE51" i="2"/>
  <c r="PK51" i="2" s="1"/>
  <c r="MJ51" i="2"/>
  <c r="OU51" i="2"/>
  <c r="OR51" i="2"/>
  <c r="OS51" i="2"/>
  <c r="OM51" i="2"/>
  <c r="OL51" i="2"/>
  <c r="OK51" i="2"/>
  <c r="OJ51" i="2"/>
  <c r="OO51" i="2" s="1"/>
  <c r="OI51" i="2"/>
  <c r="NZ51" i="2"/>
  <c r="NY51" i="2"/>
  <c r="NX51" i="2"/>
  <c r="NW51" i="2"/>
  <c r="NR51" i="2"/>
  <c r="NQ51" i="2"/>
  <c r="NC51" i="2"/>
  <c r="NN51" i="2"/>
  <c r="NP51" i="2"/>
  <c r="NE51" i="2"/>
  <c r="ND51" i="2"/>
  <c r="NO51" i="2"/>
  <c r="NU51" i="2" s="1"/>
  <c r="NB51" i="2"/>
  <c r="MW51" i="2"/>
  <c r="MS51" i="2"/>
  <c r="MV51" i="2"/>
  <c r="MH51" i="2"/>
  <c r="MG51" i="2"/>
  <c r="MU51" i="2"/>
  <c r="MT51" i="2"/>
  <c r="MY51" i="2" s="1"/>
  <c r="LY51" i="2"/>
  <c r="ME51" i="2" s="1"/>
  <c r="MB51" i="2"/>
  <c r="LX51" i="2"/>
  <c r="MA51" i="2"/>
  <c r="LO51" i="2"/>
  <c r="LZ51" i="2"/>
  <c r="LL51" i="2"/>
  <c r="LE51" i="2"/>
  <c r="JB51" i="2"/>
  <c r="LM51" i="2"/>
  <c r="LD51" i="2"/>
  <c r="KR51" i="2"/>
  <c r="LG51" i="2"/>
  <c r="LC51" i="2"/>
  <c r="KQ51" i="2"/>
  <c r="LN51" i="2"/>
  <c r="LF51" i="2"/>
  <c r="KT51" i="2"/>
  <c r="KS51" i="2"/>
  <c r="JA51" i="2"/>
  <c r="JO51" i="2"/>
  <c r="JD51" i="2"/>
  <c r="JV51" i="2"/>
  <c r="KL51" i="2"/>
  <c r="JY51" i="2"/>
  <c r="JX51" i="2"/>
  <c r="JN51" i="2"/>
  <c r="JW51" i="2"/>
  <c r="JQ51" i="2"/>
  <c r="KK51" i="2"/>
  <c r="JM51" i="2"/>
  <c r="JP51" i="2"/>
  <c r="JC51" i="2"/>
  <c r="IT51" i="2"/>
  <c r="IG51" i="2"/>
  <c r="HF51" i="2"/>
  <c r="IS51" i="2"/>
  <c r="HN51" i="2"/>
  <c r="IV51" i="2"/>
  <c r="IR51" i="2"/>
  <c r="II51" i="2"/>
  <c r="HD51" i="2"/>
  <c r="IU51" i="2"/>
  <c r="IH51" i="2"/>
  <c r="IF51" i="2"/>
  <c r="HE51" i="2"/>
  <c r="HZ51" i="2"/>
  <c r="HM51" i="2"/>
  <c r="HK51" i="2"/>
  <c r="HY51" i="2"/>
  <c r="HX51" i="2"/>
  <c r="HL51" i="2"/>
  <c r="IA51" i="2"/>
  <c r="HW51" i="2"/>
  <c r="MZ50" i="2"/>
  <c r="MZ51" i="2" s="1"/>
  <c r="OP50" i="2"/>
  <c r="OP51" i="2" s="1"/>
  <c r="NT50" i="2"/>
  <c r="NT51" i="2" s="1"/>
  <c r="ON50" i="2"/>
  <c r="OQ49" i="2"/>
  <c r="IC50" i="2"/>
  <c r="IW50" i="2"/>
  <c r="IZ49" i="2"/>
  <c r="IX50" i="2"/>
  <c r="IX51" i="2" s="1"/>
  <c r="IB50" i="2"/>
  <c r="IE49" i="2"/>
  <c r="LH50" i="2"/>
  <c r="LK49" i="2"/>
  <c r="KO50" i="2"/>
  <c r="KM49" i="2"/>
  <c r="KP48" i="2"/>
  <c r="KN49" i="2"/>
  <c r="KN50" i="2" s="1"/>
  <c r="HG50" i="2"/>
  <c r="HI50" i="2"/>
  <c r="EC50" i="2"/>
  <c r="FS50" i="2"/>
  <c r="EW50" i="2"/>
  <c r="EB50" i="2"/>
  <c r="EA50" i="2"/>
  <c r="EX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JS51" i="2" l="1"/>
  <c r="LI51" i="2"/>
  <c r="IY51" i="2"/>
  <c r="ID51" i="2"/>
  <c r="IC51" i="2"/>
  <c r="HH51" i="2"/>
  <c r="LH51" i="2"/>
  <c r="LK50" i="2"/>
  <c r="IW51" i="2"/>
  <c r="IZ50" i="2"/>
  <c r="PJ51" i="2"/>
  <c r="JT51" i="2"/>
  <c r="MX51" i="2"/>
  <c r="NA50" i="2"/>
  <c r="MD51" i="2"/>
  <c r="ON51" i="2"/>
  <c r="OQ50" i="2"/>
  <c r="NS51" i="2"/>
  <c r="NV50" i="2"/>
  <c r="JU50" i="2"/>
  <c r="JR51" i="2"/>
  <c r="KH52" i="2"/>
  <c r="KI52" i="2"/>
  <c r="KJ52" i="2"/>
  <c r="PG52" i="2"/>
  <c r="OU52" i="2"/>
  <c r="PD52" i="2"/>
  <c r="PH52" i="2"/>
  <c r="MI52" i="2"/>
  <c r="OT52" i="2"/>
  <c r="PE52" i="2"/>
  <c r="PK52" i="2" s="1"/>
  <c r="PF52" i="2"/>
  <c r="MJ52" i="2"/>
  <c r="OR52" i="2"/>
  <c r="OS52" i="2"/>
  <c r="OM52" i="2"/>
  <c r="OL52" i="2"/>
  <c r="OK52" i="2"/>
  <c r="OJ52" i="2"/>
  <c r="OO52" i="2" s="1"/>
  <c r="OI52" i="2"/>
  <c r="NZ52" i="2"/>
  <c r="NX52" i="2"/>
  <c r="NY52" i="2"/>
  <c r="NW52" i="2"/>
  <c r="NO52" i="2"/>
  <c r="NU52" i="2" s="1"/>
  <c r="NR52" i="2"/>
  <c r="NB52" i="2"/>
  <c r="NC52" i="2"/>
  <c r="NQ52" i="2"/>
  <c r="NN52" i="2"/>
  <c r="NP52" i="2"/>
  <c r="NE52" i="2"/>
  <c r="ND52" i="2"/>
  <c r="MT52" i="2"/>
  <c r="MY52" i="2" s="1"/>
  <c r="MW52" i="2"/>
  <c r="MZ52" i="2" s="1"/>
  <c r="MS52" i="2"/>
  <c r="MV52" i="2"/>
  <c r="MH52" i="2"/>
  <c r="MG52" i="2"/>
  <c r="MU52" i="2"/>
  <c r="LZ52" i="2"/>
  <c r="LY52" i="2"/>
  <c r="MB52" i="2"/>
  <c r="LX52" i="2"/>
  <c r="MA52" i="2"/>
  <c r="LO52" i="2"/>
  <c r="LN52" i="2"/>
  <c r="LF52" i="2"/>
  <c r="KT52" i="2"/>
  <c r="KS52" i="2"/>
  <c r="JA52" i="2"/>
  <c r="LL52" i="2"/>
  <c r="LE52" i="2"/>
  <c r="JB52" i="2"/>
  <c r="LM52" i="2"/>
  <c r="LD52" i="2"/>
  <c r="KR52" i="2"/>
  <c r="LG52" i="2"/>
  <c r="LC52" i="2"/>
  <c r="KQ52" i="2"/>
  <c r="KK52" i="2"/>
  <c r="JM52" i="2"/>
  <c r="JP52" i="2"/>
  <c r="JO52" i="2"/>
  <c r="JD52" i="2"/>
  <c r="JV52" i="2"/>
  <c r="KL52" i="2"/>
  <c r="JY52" i="2"/>
  <c r="JX52" i="2"/>
  <c r="JN52" i="2"/>
  <c r="JW52" i="2"/>
  <c r="JQ52" i="2"/>
  <c r="JC52" i="2"/>
  <c r="IU52" i="2"/>
  <c r="IH52" i="2"/>
  <c r="IF52" i="2"/>
  <c r="HE52" i="2"/>
  <c r="IT52" i="2"/>
  <c r="IG52" i="2"/>
  <c r="HF52" i="2"/>
  <c r="IS52" i="2"/>
  <c r="HN52" i="2"/>
  <c r="IV52" i="2"/>
  <c r="IR52" i="2"/>
  <c r="II52" i="2"/>
  <c r="HD52" i="2"/>
  <c r="HL52" i="2"/>
  <c r="IA52" i="2"/>
  <c r="HW52" i="2"/>
  <c r="HZ52" i="2"/>
  <c r="HM52" i="2"/>
  <c r="HK52" i="2"/>
  <c r="HY52" i="2"/>
  <c r="HX52" i="2"/>
  <c r="ID52" i="2" s="1"/>
  <c r="IB51" i="2"/>
  <c r="IE50" i="2"/>
  <c r="NT52" i="2"/>
  <c r="PI51" i="2"/>
  <c r="PL50" i="2"/>
  <c r="LJ51" i="2"/>
  <c r="LJ52" i="2" s="1"/>
  <c r="MC51" i="2"/>
  <c r="MF50" i="2"/>
  <c r="KM50" i="2"/>
  <c r="KP49" i="2"/>
  <c r="KO51" i="2"/>
  <c r="HI51" i="2"/>
  <c r="HG51" i="2"/>
  <c r="EX51" i="2"/>
  <c r="EA51" i="2"/>
  <c r="EB51" i="2"/>
  <c r="FS51" i="2"/>
  <c r="AW51" i="2"/>
  <c r="EV51" i="2"/>
  <c r="EC51" i="2"/>
  <c r="GM51" i="2"/>
  <c r="GN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FO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ME52" i="2" l="1"/>
  <c r="LI52" i="2"/>
  <c r="IX52" i="2"/>
  <c r="JS52" i="2"/>
  <c r="HH52" i="2"/>
  <c r="ON52" i="2"/>
  <c r="OQ51" i="2"/>
  <c r="IC52" i="2"/>
  <c r="PJ52" i="2"/>
  <c r="LH52" i="2"/>
  <c r="LK51" i="2"/>
  <c r="IY52" i="2"/>
  <c r="MC52" i="2"/>
  <c r="MF51" i="2"/>
  <c r="IB52" i="2"/>
  <c r="IE51" i="2"/>
  <c r="KJ53" i="2"/>
  <c r="KI53" i="2"/>
  <c r="KH53" i="2"/>
  <c r="OU53" i="2"/>
  <c r="PF53" i="2"/>
  <c r="PE53" i="2"/>
  <c r="PK53" i="2" s="1"/>
  <c r="MJ53" i="2"/>
  <c r="PD53" i="2"/>
  <c r="PG53" i="2"/>
  <c r="PH53" i="2"/>
  <c r="MI53" i="2"/>
  <c r="OT53" i="2"/>
  <c r="OS53" i="2"/>
  <c r="OR53" i="2"/>
  <c r="OM53" i="2"/>
  <c r="OL53" i="2"/>
  <c r="OK53" i="2"/>
  <c r="OJ53" i="2"/>
  <c r="OO53" i="2" s="1"/>
  <c r="OI53" i="2"/>
  <c r="NZ53" i="2"/>
  <c r="NX53" i="2"/>
  <c r="NR53" i="2"/>
  <c r="NY53" i="2"/>
  <c r="NP53" i="2"/>
  <c r="NW53" i="2"/>
  <c r="NO53" i="2"/>
  <c r="NU53" i="2" s="1"/>
  <c r="NE53" i="2"/>
  <c r="ND53" i="2"/>
  <c r="NB53" i="2"/>
  <c r="NC53" i="2"/>
  <c r="MW53" i="2"/>
  <c r="NQ53" i="2"/>
  <c r="NN53" i="2"/>
  <c r="MU53" i="2"/>
  <c r="MT53" i="2"/>
  <c r="MY53" i="2" s="1"/>
  <c r="MS53" i="2"/>
  <c r="MV53" i="2"/>
  <c r="MA53" i="2"/>
  <c r="LO53" i="2"/>
  <c r="LZ53" i="2"/>
  <c r="MH53" i="2"/>
  <c r="LY53" i="2"/>
  <c r="MG53" i="2"/>
  <c r="MB53" i="2"/>
  <c r="LX53" i="2"/>
  <c r="LG53" i="2"/>
  <c r="LJ53" i="2" s="1"/>
  <c r="LC53" i="2"/>
  <c r="KQ53" i="2"/>
  <c r="LN53" i="2"/>
  <c r="LF53" i="2"/>
  <c r="KT53" i="2"/>
  <c r="KS53" i="2"/>
  <c r="JA53" i="2"/>
  <c r="LL53" i="2"/>
  <c r="LE53" i="2"/>
  <c r="JB53" i="2"/>
  <c r="LM53" i="2"/>
  <c r="LD53" i="2"/>
  <c r="KR53" i="2"/>
  <c r="KL53" i="2"/>
  <c r="JY53" i="2"/>
  <c r="JX53" i="2"/>
  <c r="JN53" i="2"/>
  <c r="JW53" i="2"/>
  <c r="JQ53" i="2"/>
  <c r="KK53" i="2"/>
  <c r="JM53" i="2"/>
  <c r="JP53" i="2"/>
  <c r="JO53" i="2"/>
  <c r="JD53" i="2"/>
  <c r="JV53" i="2"/>
  <c r="IV53" i="2"/>
  <c r="IR53" i="2"/>
  <c r="II53" i="2"/>
  <c r="HD53" i="2"/>
  <c r="JC53" i="2"/>
  <c r="IU53" i="2"/>
  <c r="IH53" i="2"/>
  <c r="IF53" i="2"/>
  <c r="HE53" i="2"/>
  <c r="IT53" i="2"/>
  <c r="IG53" i="2"/>
  <c r="HF53" i="2"/>
  <c r="IS53" i="2"/>
  <c r="IX53" i="2" s="1"/>
  <c r="HN53" i="2"/>
  <c r="HX53" i="2"/>
  <c r="HL53" i="2"/>
  <c r="IA53" i="2"/>
  <c r="HW53" i="2"/>
  <c r="HZ53" i="2"/>
  <c r="HM53" i="2"/>
  <c r="HK53" i="2"/>
  <c r="HY53" i="2"/>
  <c r="HG52" i="2"/>
  <c r="NT53" i="2"/>
  <c r="OP52" i="2"/>
  <c r="OP53" i="2" s="1"/>
  <c r="MD52" i="2"/>
  <c r="MX52" i="2"/>
  <c r="NA51" i="2"/>
  <c r="JT52" i="2"/>
  <c r="JR52" i="2"/>
  <c r="JU51" i="2"/>
  <c r="PI52" i="2"/>
  <c r="PL51" i="2"/>
  <c r="NS52" i="2"/>
  <c r="NV51" i="2"/>
  <c r="IW52" i="2"/>
  <c r="IZ51" i="2"/>
  <c r="KO52" i="2"/>
  <c r="KM51" i="2"/>
  <c r="KP50" i="2"/>
  <c r="KN51" i="2"/>
  <c r="KN52" i="2" s="1"/>
  <c r="HI52" i="2"/>
  <c r="EV52" i="2"/>
  <c r="EB52" i="2"/>
  <c r="EX52" i="2"/>
  <c r="EC52" i="2"/>
  <c r="AU52" i="2"/>
  <c r="FS52" i="2"/>
  <c r="EA52" i="2"/>
  <c r="GN52" i="2"/>
  <c r="GM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GJ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LI53" i="2" l="1"/>
  <c r="ME53" i="2"/>
  <c r="MD53" i="2"/>
  <c r="JT53" i="2"/>
  <c r="ID53" i="2"/>
  <c r="JS53" i="2"/>
  <c r="HH53" i="2"/>
  <c r="IW53" i="2"/>
  <c r="IZ52" i="2"/>
  <c r="NS53" i="2"/>
  <c r="NV52" i="2"/>
  <c r="MF52" i="2"/>
  <c r="MC53" i="2"/>
  <c r="JU52" i="2"/>
  <c r="JR53" i="2"/>
  <c r="IY53" i="2"/>
  <c r="PJ53" i="2"/>
  <c r="IC53" i="2"/>
  <c r="MX53" i="2"/>
  <c r="NA52" i="2"/>
  <c r="IB53" i="2"/>
  <c r="IE52" i="2"/>
  <c r="MZ53" i="2"/>
  <c r="KJ54" i="2"/>
  <c r="KI54" i="2"/>
  <c r="KH54" i="2"/>
  <c r="OT54" i="2"/>
  <c r="PE54" i="2"/>
  <c r="PK54" i="2" s="1"/>
  <c r="OU54" i="2"/>
  <c r="PD54" i="2"/>
  <c r="PF54" i="2"/>
  <c r="PG54" i="2"/>
  <c r="PH54" i="2"/>
  <c r="MJ54" i="2"/>
  <c r="MI54" i="2"/>
  <c r="OR54" i="2"/>
  <c r="OS54" i="2"/>
  <c r="OM54" i="2"/>
  <c r="OJ54" i="2"/>
  <c r="OO54" i="2" s="1"/>
  <c r="OL54" i="2"/>
  <c r="OK54" i="2"/>
  <c r="NZ54" i="2"/>
  <c r="OI54" i="2"/>
  <c r="NY54" i="2"/>
  <c r="NW54" i="2"/>
  <c r="NR54" i="2"/>
  <c r="NX54" i="2"/>
  <c r="NQ54" i="2"/>
  <c r="NP54" i="2"/>
  <c r="NO54" i="2"/>
  <c r="NU54" i="2" s="1"/>
  <c r="NN54" i="2"/>
  <c r="NE54" i="2"/>
  <c r="ND54" i="2"/>
  <c r="NB54" i="2"/>
  <c r="NC54" i="2"/>
  <c r="MW54" i="2"/>
  <c r="MV54" i="2"/>
  <c r="MH54" i="2"/>
  <c r="MU54" i="2"/>
  <c r="MT54" i="2"/>
  <c r="MY54" i="2" s="1"/>
  <c r="MS54" i="2"/>
  <c r="MG54" i="2"/>
  <c r="MB54" i="2"/>
  <c r="LX54" i="2"/>
  <c r="MA54" i="2"/>
  <c r="LO54" i="2"/>
  <c r="LZ54" i="2"/>
  <c r="LY54" i="2"/>
  <c r="ME54" i="2" s="1"/>
  <c r="LM54" i="2"/>
  <c r="LD54" i="2"/>
  <c r="KR54" i="2"/>
  <c r="LG54" i="2"/>
  <c r="LC54" i="2"/>
  <c r="KQ54" i="2"/>
  <c r="LN54" i="2"/>
  <c r="LF54" i="2"/>
  <c r="KT54" i="2"/>
  <c r="KS54" i="2"/>
  <c r="JA54" i="2"/>
  <c r="LL54" i="2"/>
  <c r="LE54" i="2"/>
  <c r="JB54" i="2"/>
  <c r="JO54" i="2"/>
  <c r="JD54" i="2"/>
  <c r="JV54" i="2"/>
  <c r="KL54" i="2"/>
  <c r="JY54" i="2"/>
  <c r="JX54" i="2"/>
  <c r="JN54" i="2"/>
  <c r="JW54" i="2"/>
  <c r="JQ54" i="2"/>
  <c r="KK54" i="2"/>
  <c r="JM54" i="2"/>
  <c r="JP54" i="2"/>
  <c r="JC54" i="2"/>
  <c r="IS54" i="2"/>
  <c r="HN54" i="2"/>
  <c r="IV54" i="2"/>
  <c r="IR54" i="2"/>
  <c r="II54" i="2"/>
  <c r="HD54" i="2"/>
  <c r="IU54" i="2"/>
  <c r="IH54" i="2"/>
  <c r="IF54" i="2"/>
  <c r="HE54" i="2"/>
  <c r="IT54" i="2"/>
  <c r="IG54" i="2"/>
  <c r="HF54" i="2"/>
  <c r="HM54" i="2"/>
  <c r="HK54" i="2"/>
  <c r="HY54" i="2"/>
  <c r="HX54" i="2"/>
  <c r="ID54" i="2" s="1"/>
  <c r="HL54" i="2"/>
  <c r="IA54" i="2"/>
  <c r="HW54" i="2"/>
  <c r="HZ54" i="2"/>
  <c r="PI53" i="2"/>
  <c r="PL52" i="2"/>
  <c r="OP54" i="2"/>
  <c r="NT54" i="2"/>
  <c r="LH53" i="2"/>
  <c r="LK52" i="2"/>
  <c r="ON53" i="2"/>
  <c r="OQ52" i="2"/>
  <c r="HI53" i="2"/>
  <c r="KO53" i="2"/>
  <c r="KM52" i="2"/>
  <c r="KP51" i="2"/>
  <c r="HG53" i="2"/>
  <c r="EA53" i="2"/>
  <c r="EC53" i="2"/>
  <c r="EX53" i="2"/>
  <c r="FS53" i="2"/>
  <c r="DG53" i="2"/>
  <c r="DF53" i="2"/>
  <c r="EV53" i="2"/>
  <c r="EW53" i="2"/>
  <c r="EB53" i="2"/>
  <c r="GL53" i="2"/>
  <c r="GM53" i="2"/>
  <c r="GN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LJ54" i="2" l="1"/>
  <c r="JT54" i="2"/>
  <c r="IX54" i="2"/>
  <c r="HH54" i="2"/>
  <c r="PJ54" i="2"/>
  <c r="JU53" i="2"/>
  <c r="JR54" i="2"/>
  <c r="MD54" i="2"/>
  <c r="IW54" i="2"/>
  <c r="IZ53" i="2"/>
  <c r="JS54" i="2"/>
  <c r="LH54" i="2"/>
  <c r="LK53" i="2"/>
  <c r="PI54" i="2"/>
  <c r="PL53" i="2"/>
  <c r="MZ54" i="2"/>
  <c r="MX54" i="2"/>
  <c r="NA53" i="2"/>
  <c r="LI54" i="2"/>
  <c r="IB54" i="2"/>
  <c r="IE53" i="2"/>
  <c r="IC54" i="2"/>
  <c r="NS54" i="2"/>
  <c r="NV53" i="2"/>
  <c r="KJ55" i="2"/>
  <c r="KI55" i="2"/>
  <c r="KH55" i="2"/>
  <c r="PD55" i="2"/>
  <c r="PH55" i="2"/>
  <c r="PF55" i="2"/>
  <c r="PE55" i="2"/>
  <c r="PK55" i="2" s="1"/>
  <c r="OT55" i="2"/>
  <c r="OU55" i="2"/>
  <c r="PG55" i="2"/>
  <c r="MJ55" i="2"/>
  <c r="MI55" i="2"/>
  <c r="OR55" i="2"/>
  <c r="OS55" i="2"/>
  <c r="OM55" i="2"/>
  <c r="OK55" i="2"/>
  <c r="OJ55" i="2"/>
  <c r="OP55" i="2" s="1"/>
  <c r="OI55" i="2"/>
  <c r="OL55" i="2"/>
  <c r="NZ55" i="2"/>
  <c r="NY55" i="2"/>
  <c r="NW55" i="2"/>
  <c r="NR55" i="2"/>
  <c r="NX55" i="2"/>
  <c r="NQ55" i="2"/>
  <c r="NP55" i="2"/>
  <c r="NC55" i="2"/>
  <c r="NO55" i="2"/>
  <c r="NU55" i="2" s="1"/>
  <c r="NN55" i="2"/>
  <c r="NE55" i="2"/>
  <c r="ND55" i="2"/>
  <c r="NB55" i="2"/>
  <c r="MS55" i="2"/>
  <c r="MV55" i="2"/>
  <c r="MH55" i="2"/>
  <c r="MG55" i="2"/>
  <c r="MW55" i="2"/>
  <c r="MU55" i="2"/>
  <c r="MT55" i="2"/>
  <c r="MY55" i="2" s="1"/>
  <c r="LY55" i="2"/>
  <c r="ME55" i="2" s="1"/>
  <c r="MB55" i="2"/>
  <c r="LX55" i="2"/>
  <c r="MA55" i="2"/>
  <c r="LO55" i="2"/>
  <c r="LZ55" i="2"/>
  <c r="LL55" i="2"/>
  <c r="LE55" i="2"/>
  <c r="JB55" i="2"/>
  <c r="LM55" i="2"/>
  <c r="LD55" i="2"/>
  <c r="KR55" i="2"/>
  <c r="LG55" i="2"/>
  <c r="LC55" i="2"/>
  <c r="KQ55" i="2"/>
  <c r="LN55" i="2"/>
  <c r="LF55" i="2"/>
  <c r="KT55" i="2"/>
  <c r="KS55" i="2"/>
  <c r="JA55" i="2"/>
  <c r="JO55" i="2"/>
  <c r="JD55" i="2"/>
  <c r="JV55" i="2"/>
  <c r="KL55" i="2"/>
  <c r="JY55" i="2"/>
  <c r="JX55" i="2"/>
  <c r="JN55" i="2"/>
  <c r="JW55" i="2"/>
  <c r="JQ55" i="2"/>
  <c r="KK55" i="2"/>
  <c r="JM55" i="2"/>
  <c r="JP55" i="2"/>
  <c r="JC55" i="2"/>
  <c r="IT55" i="2"/>
  <c r="IG55" i="2"/>
  <c r="HF55" i="2"/>
  <c r="IS55" i="2"/>
  <c r="HN55" i="2"/>
  <c r="IV55" i="2"/>
  <c r="IR55" i="2"/>
  <c r="II55" i="2"/>
  <c r="HD55" i="2"/>
  <c r="IU55" i="2"/>
  <c r="IH55" i="2"/>
  <c r="IF55" i="2"/>
  <c r="HE55" i="2"/>
  <c r="HZ55" i="2"/>
  <c r="HM55" i="2"/>
  <c r="HK55" i="2"/>
  <c r="HY55" i="2"/>
  <c r="HX55" i="2"/>
  <c r="HL55" i="2"/>
  <c r="IA55" i="2"/>
  <c r="HW55" i="2"/>
  <c r="ON54" i="2"/>
  <c r="OQ53" i="2"/>
  <c r="IY54" i="2"/>
  <c r="IY55" i="2" s="1"/>
  <c r="MC54" i="2"/>
  <c r="MF53" i="2"/>
  <c r="EC54" i="2"/>
  <c r="KM53" i="2"/>
  <c r="KP52" i="2"/>
  <c r="KO54" i="2"/>
  <c r="KN53" i="2"/>
  <c r="HG54" i="2"/>
  <c r="HI54" i="2"/>
  <c r="EX54" i="2"/>
  <c r="EV54" i="2"/>
  <c r="FS54" i="2"/>
  <c r="GM54" i="2"/>
  <c r="GL54" i="2"/>
  <c r="GN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JT55" i="2" l="1"/>
  <c r="LJ55" i="2"/>
  <c r="ID55" i="2"/>
  <c r="IX55" i="2"/>
  <c r="HH55" i="2"/>
  <c r="KH56" i="2"/>
  <c r="KJ56" i="2"/>
  <c r="KI56" i="2"/>
  <c r="PG56" i="2"/>
  <c r="OT56" i="2"/>
  <c r="MI56" i="2"/>
  <c r="PF56" i="2"/>
  <c r="PE56" i="2"/>
  <c r="PK56" i="2" s="1"/>
  <c r="OU56" i="2"/>
  <c r="PD56" i="2"/>
  <c r="PH56" i="2"/>
  <c r="MJ56" i="2"/>
  <c r="OR56" i="2"/>
  <c r="OS56" i="2"/>
  <c r="OM56" i="2"/>
  <c r="OP56" i="2" s="1"/>
  <c r="OL56" i="2"/>
  <c r="OK56" i="2"/>
  <c r="OJ56" i="2"/>
  <c r="OI56" i="2"/>
  <c r="NZ56" i="2"/>
  <c r="NX56" i="2"/>
  <c r="NY56" i="2"/>
  <c r="NW56" i="2"/>
  <c r="NO56" i="2"/>
  <c r="NU56" i="2" s="1"/>
  <c r="NR56" i="2"/>
  <c r="NQ56" i="2"/>
  <c r="NB56" i="2"/>
  <c r="NP56" i="2"/>
  <c r="NC56" i="2"/>
  <c r="NN56" i="2"/>
  <c r="NE56" i="2"/>
  <c r="ND56" i="2"/>
  <c r="MT56" i="2"/>
  <c r="MY56" i="2" s="1"/>
  <c r="MS56" i="2"/>
  <c r="MV56" i="2"/>
  <c r="MH56" i="2"/>
  <c r="MG56" i="2"/>
  <c r="MW56" i="2"/>
  <c r="MU56" i="2"/>
  <c r="LZ56" i="2"/>
  <c r="LY56" i="2"/>
  <c r="MB56" i="2"/>
  <c r="LX56" i="2"/>
  <c r="MA56" i="2"/>
  <c r="LO56" i="2"/>
  <c r="LN56" i="2"/>
  <c r="LF56" i="2"/>
  <c r="KT56" i="2"/>
  <c r="KS56" i="2"/>
  <c r="JA56" i="2"/>
  <c r="LL56" i="2"/>
  <c r="LE56" i="2"/>
  <c r="JB56" i="2"/>
  <c r="LM56" i="2"/>
  <c r="LD56" i="2"/>
  <c r="LJ56" i="2" s="1"/>
  <c r="KR56" i="2"/>
  <c r="LG56" i="2"/>
  <c r="LC56" i="2"/>
  <c r="KQ56" i="2"/>
  <c r="KK56" i="2"/>
  <c r="JM56" i="2"/>
  <c r="JP56" i="2"/>
  <c r="JO56" i="2"/>
  <c r="JD56" i="2"/>
  <c r="JV56" i="2"/>
  <c r="KL56" i="2"/>
  <c r="JY56" i="2"/>
  <c r="JX56" i="2"/>
  <c r="JN56" i="2"/>
  <c r="JW56" i="2"/>
  <c r="JQ56" i="2"/>
  <c r="IU56" i="2"/>
  <c r="IH56" i="2"/>
  <c r="IF56" i="2"/>
  <c r="HE56" i="2"/>
  <c r="IT56" i="2"/>
  <c r="IG56" i="2"/>
  <c r="HF56" i="2"/>
  <c r="JC56" i="2"/>
  <c r="IS56" i="2"/>
  <c r="IX56" i="2" s="1"/>
  <c r="HN56" i="2"/>
  <c r="IV56" i="2"/>
  <c r="IR56" i="2"/>
  <c r="II56" i="2"/>
  <c r="HD56" i="2"/>
  <c r="HL56" i="2"/>
  <c r="IA56" i="2"/>
  <c r="HW56" i="2"/>
  <c r="HZ56" i="2"/>
  <c r="HM56" i="2"/>
  <c r="HK56" i="2"/>
  <c r="HY56" i="2"/>
  <c r="HX56" i="2"/>
  <c r="ON55" i="2"/>
  <c r="OQ54" i="2"/>
  <c r="NS55" i="2"/>
  <c r="NV54" i="2"/>
  <c r="NT55" i="2"/>
  <c r="NT56" i="2" s="1"/>
  <c r="MX55" i="2"/>
  <c r="NA54" i="2"/>
  <c r="IW55" i="2"/>
  <c r="IZ54" i="2"/>
  <c r="LH55" i="2"/>
  <c r="LK54" i="2"/>
  <c r="MD55" i="2"/>
  <c r="OO55" i="2"/>
  <c r="OO56" i="2" s="1"/>
  <c r="MC55" i="2"/>
  <c r="MF54" i="2"/>
  <c r="IC55" i="2"/>
  <c r="LI55" i="2"/>
  <c r="JS55" i="2"/>
  <c r="JR55" i="2"/>
  <c r="JU54" i="2"/>
  <c r="IB55" i="2"/>
  <c r="IE54" i="2"/>
  <c r="MZ55" i="2"/>
  <c r="MZ56" i="2" s="1"/>
  <c r="PI55" i="2"/>
  <c r="PL54" i="2"/>
  <c r="PJ55" i="2"/>
  <c r="PJ56" i="2" s="1"/>
  <c r="KO55" i="2"/>
  <c r="KM54" i="2"/>
  <c r="KP53" i="2"/>
  <c r="KN54" i="2"/>
  <c r="KN55" i="2" s="1"/>
  <c r="HI55" i="2"/>
  <c r="HG55" i="2"/>
  <c r="EX55" i="2"/>
  <c r="FS55" i="2"/>
  <c r="EA55" i="2"/>
  <c r="EV55" i="2"/>
  <c r="EC55" i="2"/>
  <c r="EW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FO56" i="2"/>
  <c r="GJ56" i="2"/>
  <c r="GI56" i="2"/>
  <c r="DY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ME56" i="2" l="1"/>
  <c r="MD56" i="2"/>
  <c r="LI56" i="2"/>
  <c r="JS56" i="2"/>
  <c r="JT56" i="2"/>
  <c r="ID56" i="2"/>
  <c r="IC56" i="2"/>
  <c r="HG56" i="2"/>
  <c r="HH56" i="2"/>
  <c r="IB56" i="2"/>
  <c r="IE55" i="2"/>
  <c r="JU55" i="2"/>
  <c r="JR56" i="2"/>
  <c r="IY56" i="2"/>
  <c r="KJ57" i="2"/>
  <c r="KI57" i="2"/>
  <c r="KH57" i="2"/>
  <c r="OU57" i="2"/>
  <c r="PF57" i="2"/>
  <c r="PD57" i="2"/>
  <c r="PG57" i="2"/>
  <c r="PH57" i="2"/>
  <c r="MJ57" i="2"/>
  <c r="OT57" i="2"/>
  <c r="MI57" i="2"/>
  <c r="PE57" i="2"/>
  <c r="PK57" i="2" s="1"/>
  <c r="OS57" i="2"/>
  <c r="OR57" i="2"/>
  <c r="OM57" i="2"/>
  <c r="OL57" i="2"/>
  <c r="OK57" i="2"/>
  <c r="OJ57" i="2"/>
  <c r="OO57" i="2" s="1"/>
  <c r="NZ57" i="2"/>
  <c r="OI57" i="2"/>
  <c r="NX57" i="2"/>
  <c r="NR57" i="2"/>
  <c r="NP57" i="2"/>
  <c r="NY57" i="2"/>
  <c r="NW57" i="2"/>
  <c r="NO57" i="2"/>
  <c r="NU57" i="2" s="1"/>
  <c r="NE57" i="2"/>
  <c r="ND57" i="2"/>
  <c r="NQ57" i="2"/>
  <c r="NB57" i="2"/>
  <c r="NC57" i="2"/>
  <c r="MW57" i="2"/>
  <c r="NN57" i="2"/>
  <c r="MU57" i="2"/>
  <c r="MT57" i="2"/>
  <c r="MY57" i="2" s="1"/>
  <c r="MS57" i="2"/>
  <c r="MV57" i="2"/>
  <c r="MA57" i="2"/>
  <c r="MD57" i="2" s="1"/>
  <c r="LO57" i="2"/>
  <c r="MG57" i="2"/>
  <c r="LZ57" i="2"/>
  <c r="LY57" i="2"/>
  <c r="MH57" i="2"/>
  <c r="MB57" i="2"/>
  <c r="LX57" i="2"/>
  <c r="LG57" i="2"/>
  <c r="LC57" i="2"/>
  <c r="KQ57" i="2"/>
  <c r="LN57" i="2"/>
  <c r="LF57" i="2"/>
  <c r="KT57" i="2"/>
  <c r="KS57" i="2"/>
  <c r="JA57" i="2"/>
  <c r="LL57" i="2"/>
  <c r="LE57" i="2"/>
  <c r="JB57" i="2"/>
  <c r="LM57" i="2"/>
  <c r="LD57" i="2"/>
  <c r="LJ57" i="2" s="1"/>
  <c r="KR57" i="2"/>
  <c r="KL57" i="2"/>
  <c r="JY57" i="2"/>
  <c r="JX57" i="2"/>
  <c r="JN57" i="2"/>
  <c r="JW57" i="2"/>
  <c r="JQ57" i="2"/>
  <c r="KK57" i="2"/>
  <c r="JM57" i="2"/>
  <c r="JP57" i="2"/>
  <c r="JO57" i="2"/>
  <c r="JD57" i="2"/>
  <c r="JV57" i="2"/>
  <c r="IV57" i="2"/>
  <c r="IR57" i="2"/>
  <c r="II57" i="2"/>
  <c r="HD57" i="2"/>
  <c r="IU57" i="2"/>
  <c r="IH57" i="2"/>
  <c r="IF57" i="2"/>
  <c r="HE57" i="2"/>
  <c r="IT57" i="2"/>
  <c r="IG57" i="2"/>
  <c r="HF57" i="2"/>
  <c r="JC57" i="2"/>
  <c r="IS57" i="2"/>
  <c r="HN57" i="2"/>
  <c r="HX57" i="2"/>
  <c r="ID57" i="2" s="1"/>
  <c r="HL57" i="2"/>
  <c r="IA57" i="2"/>
  <c r="HW57" i="2"/>
  <c r="HZ57" i="2"/>
  <c r="HM57" i="2"/>
  <c r="HK57" i="2"/>
  <c r="HY57" i="2"/>
  <c r="PJ57" i="2"/>
  <c r="MZ57" i="2"/>
  <c r="LH56" i="2"/>
  <c r="LK55" i="2"/>
  <c r="MX56" i="2"/>
  <c r="NA55" i="2"/>
  <c r="PI56" i="2"/>
  <c r="PL55" i="2"/>
  <c r="IW56" i="2"/>
  <c r="IZ55" i="2"/>
  <c r="NS56" i="2"/>
  <c r="NV55" i="2"/>
  <c r="ON56" i="2"/>
  <c r="OQ55" i="2"/>
  <c r="MC56" i="2"/>
  <c r="MF55" i="2"/>
  <c r="NT57" i="2"/>
  <c r="KM55" i="2"/>
  <c r="KP54" i="2"/>
  <c r="KO56" i="2"/>
  <c r="HI56" i="2"/>
  <c r="FS56" i="2"/>
  <c r="EC56" i="2"/>
  <c r="FQ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GJ57" i="2"/>
  <c r="FO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JS57" i="2"/>
  <c r="JT57" i="2"/>
  <c r="ME57" i="2"/>
  <c r="IX57" i="2"/>
  <c r="IC57" i="2"/>
  <c r="JU56" i="2"/>
  <c r="JR57" i="2"/>
  <c r="OP57" i="2"/>
  <c r="NS57" i="2"/>
  <c r="NV56" i="2"/>
  <c r="MX57" i="2"/>
  <c r="NA56" i="2"/>
  <c r="LI57" i="2"/>
  <c r="IY57" i="2"/>
  <c r="KJ58" i="2"/>
  <c r="KI58" i="2"/>
  <c r="KH58" i="2"/>
  <c r="OT58" i="2"/>
  <c r="PE58" i="2"/>
  <c r="PK58" i="2" s="1"/>
  <c r="OU58" i="2"/>
  <c r="PD58" i="2"/>
  <c r="PG58" i="2"/>
  <c r="PH58" i="2"/>
  <c r="MI58" i="2"/>
  <c r="PF58" i="2"/>
  <c r="MJ58" i="2"/>
  <c r="OR58" i="2"/>
  <c r="OS58" i="2"/>
  <c r="OM58" i="2"/>
  <c r="OL58" i="2"/>
  <c r="OK58" i="2"/>
  <c r="OJ58" i="2"/>
  <c r="OO58" i="2" s="1"/>
  <c r="NZ58" i="2"/>
  <c r="OI58" i="2"/>
  <c r="NY58" i="2"/>
  <c r="NX58" i="2"/>
  <c r="NW58" i="2"/>
  <c r="NR58" i="2"/>
  <c r="NQ58" i="2"/>
  <c r="NP58" i="2"/>
  <c r="NN58" i="2"/>
  <c r="NE58" i="2"/>
  <c r="ND58" i="2"/>
  <c r="NO58" i="2"/>
  <c r="NU58" i="2" s="1"/>
  <c r="NB58" i="2"/>
  <c r="NC58" i="2"/>
  <c r="MW58" i="2"/>
  <c r="MV58" i="2"/>
  <c r="MH58" i="2"/>
  <c r="MU58" i="2"/>
  <c r="MT58" i="2"/>
  <c r="MY58" i="2" s="1"/>
  <c r="MS58" i="2"/>
  <c r="MB58" i="2"/>
  <c r="LX58" i="2"/>
  <c r="MA58" i="2"/>
  <c r="LO58" i="2"/>
  <c r="MG58" i="2"/>
  <c r="LZ58" i="2"/>
  <c r="LY58" i="2"/>
  <c r="MD58" i="2" s="1"/>
  <c r="LM58" i="2"/>
  <c r="LD58" i="2"/>
  <c r="KR58" i="2"/>
  <c r="LG58" i="2"/>
  <c r="LC58" i="2"/>
  <c r="KQ58" i="2"/>
  <c r="LN58" i="2"/>
  <c r="LF58" i="2"/>
  <c r="KT58" i="2"/>
  <c r="KS58" i="2"/>
  <c r="JA58" i="2"/>
  <c r="LL58" i="2"/>
  <c r="LE58" i="2"/>
  <c r="JB58" i="2"/>
  <c r="JO58" i="2"/>
  <c r="JD58" i="2"/>
  <c r="JV58" i="2"/>
  <c r="KL58" i="2"/>
  <c r="JY58" i="2"/>
  <c r="JX58" i="2"/>
  <c r="JN58" i="2"/>
  <c r="JW58" i="2"/>
  <c r="JQ58" i="2"/>
  <c r="KK58" i="2"/>
  <c r="JM58" i="2"/>
  <c r="JP58" i="2"/>
  <c r="JC58" i="2"/>
  <c r="IS58" i="2"/>
  <c r="HN58" i="2"/>
  <c r="IV58" i="2"/>
  <c r="IR58" i="2"/>
  <c r="II58" i="2"/>
  <c r="HD58" i="2"/>
  <c r="IU58" i="2"/>
  <c r="IH58" i="2"/>
  <c r="IF58" i="2"/>
  <c r="HE58" i="2"/>
  <c r="IT58" i="2"/>
  <c r="IG58" i="2"/>
  <c r="HF58" i="2"/>
  <c r="HM58" i="2"/>
  <c r="HK58" i="2"/>
  <c r="HY58" i="2"/>
  <c r="HX58" i="2"/>
  <c r="ID58" i="2" s="1"/>
  <c r="HL58" i="2"/>
  <c r="IA58" i="2"/>
  <c r="HW58" i="2"/>
  <c r="HZ58" i="2"/>
  <c r="MC57" i="2"/>
  <c r="MF56" i="2"/>
  <c r="PI57" i="2"/>
  <c r="PL56" i="2"/>
  <c r="MZ58" i="2"/>
  <c r="NT58" i="2"/>
  <c r="ON57" i="2"/>
  <c r="OQ56" i="2"/>
  <c r="IW57" i="2"/>
  <c r="IZ56" i="2"/>
  <c r="LH57" i="2"/>
  <c r="LK56" i="2"/>
  <c r="PJ58" i="2"/>
  <c r="IB57" i="2"/>
  <c r="IE56" i="2"/>
  <c r="KO57" i="2"/>
  <c r="KM56" i="2"/>
  <c r="KP55" i="2"/>
  <c r="KN56" i="2"/>
  <c r="KN57" i="2" s="1"/>
  <c r="HI57" i="2"/>
  <c r="HG57" i="2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LJ58" i="2" l="1"/>
  <c r="JS58" i="2"/>
  <c r="IX58" i="2"/>
  <c r="HG58" i="2"/>
  <c r="HH58" i="2"/>
  <c r="KJ59" i="2"/>
  <c r="KH59" i="2"/>
  <c r="KI59" i="2"/>
  <c r="PD59" i="2"/>
  <c r="PH59" i="2"/>
  <c r="PE59" i="2"/>
  <c r="PK59" i="2" s="1"/>
  <c r="OU59" i="2"/>
  <c r="MJ59" i="2"/>
  <c r="OT59" i="2"/>
  <c r="MI59" i="2"/>
  <c r="PF59" i="2"/>
  <c r="PG59" i="2"/>
  <c r="OR59" i="2"/>
  <c r="OS59" i="2"/>
  <c r="OM59" i="2"/>
  <c r="OK59" i="2"/>
  <c r="OL59" i="2"/>
  <c r="OJ59" i="2"/>
  <c r="OO59" i="2" s="1"/>
  <c r="OI59" i="2"/>
  <c r="NZ59" i="2"/>
  <c r="NY59" i="2"/>
  <c r="NX59" i="2"/>
  <c r="NW59" i="2"/>
  <c r="NR59" i="2"/>
  <c r="NQ59" i="2"/>
  <c r="NC59" i="2"/>
  <c r="NN59" i="2"/>
  <c r="NP59" i="2"/>
  <c r="NE59" i="2"/>
  <c r="ND59" i="2"/>
  <c r="NO59" i="2"/>
  <c r="NU59" i="2" s="1"/>
  <c r="NB59" i="2"/>
  <c r="MW59" i="2"/>
  <c r="MS59" i="2"/>
  <c r="MV59" i="2"/>
  <c r="MH59" i="2"/>
  <c r="MG59" i="2"/>
  <c r="MU59" i="2"/>
  <c r="MT59" i="2"/>
  <c r="MY59" i="2" s="1"/>
  <c r="LY59" i="2"/>
  <c r="MB59" i="2"/>
  <c r="LX59" i="2"/>
  <c r="MA59" i="2"/>
  <c r="LO59" i="2"/>
  <c r="LZ59" i="2"/>
  <c r="LL59" i="2"/>
  <c r="LE59" i="2"/>
  <c r="JB59" i="2"/>
  <c r="LM59" i="2"/>
  <c r="LD59" i="2"/>
  <c r="KR59" i="2"/>
  <c r="LG59" i="2"/>
  <c r="LC59" i="2"/>
  <c r="KQ59" i="2"/>
  <c r="LN59" i="2"/>
  <c r="LF59" i="2"/>
  <c r="KT59" i="2"/>
  <c r="KS59" i="2"/>
  <c r="JA59" i="2"/>
  <c r="JO59" i="2"/>
  <c r="JD59" i="2"/>
  <c r="JV59" i="2"/>
  <c r="KL59" i="2"/>
  <c r="JY59" i="2"/>
  <c r="JX59" i="2"/>
  <c r="JN59" i="2"/>
  <c r="JW59" i="2"/>
  <c r="JQ59" i="2"/>
  <c r="KK59" i="2"/>
  <c r="JM59" i="2"/>
  <c r="JP59" i="2"/>
  <c r="JC59" i="2"/>
  <c r="IT59" i="2"/>
  <c r="IG59" i="2"/>
  <c r="HF59" i="2"/>
  <c r="IS59" i="2"/>
  <c r="HN59" i="2"/>
  <c r="IV59" i="2"/>
  <c r="IR59" i="2"/>
  <c r="II59" i="2"/>
  <c r="HD59" i="2"/>
  <c r="IU59" i="2"/>
  <c r="IH59" i="2"/>
  <c r="IF59" i="2"/>
  <c r="HE59" i="2"/>
  <c r="HZ59" i="2"/>
  <c r="HM59" i="2"/>
  <c r="HK59" i="2"/>
  <c r="HY59" i="2"/>
  <c r="HX59" i="2"/>
  <c r="HL59" i="2"/>
  <c r="IA59" i="2"/>
  <c r="HW59" i="2"/>
  <c r="MZ59" i="2"/>
  <c r="MC58" i="2"/>
  <c r="MF57" i="2"/>
  <c r="MX58" i="2"/>
  <c r="NA57" i="2"/>
  <c r="OP58" i="2"/>
  <c r="OP59" i="2" s="1"/>
  <c r="JT58" i="2"/>
  <c r="PJ59" i="2"/>
  <c r="IW58" i="2"/>
  <c r="IZ57" i="2"/>
  <c r="JU57" i="2"/>
  <c r="JR58" i="2"/>
  <c r="IC58" i="2"/>
  <c r="ME58" i="2"/>
  <c r="NT59" i="2"/>
  <c r="PI58" i="2"/>
  <c r="PL57" i="2"/>
  <c r="IY58" i="2"/>
  <c r="LI58" i="2"/>
  <c r="IB58" i="2"/>
  <c r="IE57" i="2"/>
  <c r="LH58" i="2"/>
  <c r="LK57" i="2"/>
  <c r="ON58" i="2"/>
  <c r="OQ57" i="2"/>
  <c r="NS58" i="2"/>
  <c r="NV57" i="2"/>
  <c r="EC58" i="2"/>
  <c r="KM57" i="2"/>
  <c r="KP56" i="2"/>
  <c r="KO58" i="2"/>
  <c r="HI58" i="2"/>
  <c r="EA58" i="2"/>
  <c r="EX58" i="2"/>
  <c r="FS58" i="2"/>
  <c r="EB58" i="2"/>
  <c r="GM58" i="2"/>
  <c r="GL58" i="2"/>
  <c r="GN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LI59" i="2" l="1"/>
  <c r="JS59" i="2"/>
  <c r="JT59" i="2"/>
  <c r="ME59" i="2"/>
  <c r="LJ59" i="2"/>
  <c r="MD59" i="2"/>
  <c r="IY59" i="2"/>
  <c r="IC59" i="2"/>
  <c r="ID59" i="2"/>
  <c r="IX59" i="2"/>
  <c r="HH59" i="2"/>
  <c r="ON59" i="2"/>
  <c r="OQ58" i="2"/>
  <c r="IB59" i="2"/>
  <c r="IE58" i="2"/>
  <c r="IW59" i="2"/>
  <c r="IZ58" i="2"/>
  <c r="KH60" i="2"/>
  <c r="KJ60" i="2"/>
  <c r="KI60" i="2"/>
  <c r="PG60" i="2"/>
  <c r="PF60" i="2"/>
  <c r="MI60" i="2"/>
  <c r="PE60" i="2"/>
  <c r="PK60" i="2" s="1"/>
  <c r="MJ60" i="2"/>
  <c r="OT60" i="2"/>
  <c r="OU60" i="2"/>
  <c r="PD60" i="2"/>
  <c r="PH60" i="2"/>
  <c r="OR60" i="2"/>
  <c r="OS60" i="2"/>
  <c r="OM60" i="2"/>
  <c r="OK60" i="2"/>
  <c r="OL60" i="2"/>
  <c r="OJ60" i="2"/>
  <c r="OO60" i="2" s="1"/>
  <c r="OI60" i="2"/>
  <c r="NZ60" i="2"/>
  <c r="NX60" i="2"/>
  <c r="NY60" i="2"/>
  <c r="NW60" i="2"/>
  <c r="NO60" i="2"/>
  <c r="NT60" i="2" s="1"/>
  <c r="NR60" i="2"/>
  <c r="NB60" i="2"/>
  <c r="NC60" i="2"/>
  <c r="NQ60" i="2"/>
  <c r="NN60" i="2"/>
  <c r="NP60" i="2"/>
  <c r="NE60" i="2"/>
  <c r="ND60" i="2"/>
  <c r="MT60" i="2"/>
  <c r="MY60" i="2" s="1"/>
  <c r="MW60" i="2"/>
  <c r="MS60" i="2"/>
  <c r="MV60" i="2"/>
  <c r="MH60" i="2"/>
  <c r="MG60" i="2"/>
  <c r="MU60" i="2"/>
  <c r="LZ60" i="2"/>
  <c r="LY60" i="2"/>
  <c r="ME60" i="2" s="1"/>
  <c r="MB60" i="2"/>
  <c r="LX60" i="2"/>
  <c r="MA60" i="2"/>
  <c r="LO60" i="2"/>
  <c r="LN60" i="2"/>
  <c r="LF60" i="2"/>
  <c r="KT60" i="2"/>
  <c r="KS60" i="2"/>
  <c r="JA60" i="2"/>
  <c r="LL60" i="2"/>
  <c r="LE60" i="2"/>
  <c r="JB60" i="2"/>
  <c r="LM60" i="2"/>
  <c r="LD60" i="2"/>
  <c r="KR60" i="2"/>
  <c r="LG60" i="2"/>
  <c r="LC60" i="2"/>
  <c r="KQ60" i="2"/>
  <c r="KK60" i="2"/>
  <c r="JM60" i="2"/>
  <c r="JP60" i="2"/>
  <c r="JO60" i="2"/>
  <c r="JD60" i="2"/>
  <c r="JV60" i="2"/>
  <c r="KL60" i="2"/>
  <c r="JY60" i="2"/>
  <c r="JX60" i="2"/>
  <c r="JN60" i="2"/>
  <c r="JW60" i="2"/>
  <c r="JQ60" i="2"/>
  <c r="JC60" i="2"/>
  <c r="IU60" i="2"/>
  <c r="IH60" i="2"/>
  <c r="IF60" i="2"/>
  <c r="HE60" i="2"/>
  <c r="IT60" i="2"/>
  <c r="IG60" i="2"/>
  <c r="HF60" i="2"/>
  <c r="IS60" i="2"/>
  <c r="HN60" i="2"/>
  <c r="IV60" i="2"/>
  <c r="IR60" i="2"/>
  <c r="II60" i="2"/>
  <c r="HD60" i="2"/>
  <c r="HL60" i="2"/>
  <c r="IA60" i="2"/>
  <c r="HW60" i="2"/>
  <c r="HZ60" i="2"/>
  <c r="IC60" i="2" s="1"/>
  <c r="HM60" i="2"/>
  <c r="HK60" i="2"/>
  <c r="HY60" i="2"/>
  <c r="HX60" i="2"/>
  <c r="NS59" i="2"/>
  <c r="NV58" i="2"/>
  <c r="PI59" i="2"/>
  <c r="PL58" i="2"/>
  <c r="JU58" i="2"/>
  <c r="JR59" i="2"/>
  <c r="MF58" i="2"/>
  <c r="MC59" i="2"/>
  <c r="HI59" i="2"/>
  <c r="LH59" i="2"/>
  <c r="LK58" i="2"/>
  <c r="IY60" i="2"/>
  <c r="MX59" i="2"/>
  <c r="NA58" i="2"/>
  <c r="MZ60" i="2"/>
  <c r="KO59" i="2"/>
  <c r="KM58" i="2"/>
  <c r="KP57" i="2"/>
  <c r="KN58" i="2"/>
  <c r="KN59" i="2" s="1"/>
  <c r="HG59" i="2"/>
  <c r="EC59" i="2"/>
  <c r="EA59" i="2"/>
  <c r="EB59" i="2"/>
  <c r="FS59" i="2"/>
  <c r="EX59" i="2"/>
  <c r="EW59" i="2"/>
  <c r="GM59" i="2"/>
  <c r="GN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JT60" i="2" l="1"/>
  <c r="LJ60" i="2"/>
  <c r="MD60" i="2"/>
  <c r="ID60" i="2"/>
  <c r="JS60" i="2"/>
  <c r="IX60" i="2"/>
  <c r="HH60" i="2"/>
  <c r="MX60" i="2"/>
  <c r="NA59" i="2"/>
  <c r="LI60" i="2"/>
  <c r="NS60" i="2"/>
  <c r="NV59" i="2"/>
  <c r="IW60" i="2"/>
  <c r="IZ59" i="2"/>
  <c r="NU60" i="2"/>
  <c r="KJ61" i="2"/>
  <c r="KI61" i="2"/>
  <c r="KH61" i="2"/>
  <c r="OU61" i="2"/>
  <c r="PF61" i="2"/>
  <c r="OT61" i="2"/>
  <c r="MJ61" i="2"/>
  <c r="MI61" i="2"/>
  <c r="PE61" i="2"/>
  <c r="PK61" i="2" s="1"/>
  <c r="PD61" i="2"/>
  <c r="PG61" i="2"/>
  <c r="PH61" i="2"/>
  <c r="OS61" i="2"/>
  <c r="OR61" i="2"/>
  <c r="OM61" i="2"/>
  <c r="OL61" i="2"/>
  <c r="OK61" i="2"/>
  <c r="OJ61" i="2"/>
  <c r="OO61" i="2" s="1"/>
  <c r="OI61" i="2"/>
  <c r="NZ61" i="2"/>
  <c r="NX61" i="2"/>
  <c r="NR61" i="2"/>
  <c r="NY61" i="2"/>
  <c r="NP61" i="2"/>
  <c r="NW61" i="2"/>
  <c r="NO61" i="2"/>
  <c r="NT61" i="2" s="1"/>
  <c r="NE61" i="2"/>
  <c r="ND61" i="2"/>
  <c r="NB61" i="2"/>
  <c r="NC61" i="2"/>
  <c r="MW61" i="2"/>
  <c r="NQ61" i="2"/>
  <c r="NN61" i="2"/>
  <c r="MU61" i="2"/>
  <c r="MT61" i="2"/>
  <c r="MZ61" i="2" s="1"/>
  <c r="MS61" i="2"/>
  <c r="MV61" i="2"/>
  <c r="MH61" i="2"/>
  <c r="MA61" i="2"/>
  <c r="LO61" i="2"/>
  <c r="LZ61" i="2"/>
  <c r="LY61" i="2"/>
  <c r="MD61" i="2" s="1"/>
  <c r="MG61" i="2"/>
  <c r="MB61" i="2"/>
  <c r="LX61" i="2"/>
  <c r="LG61" i="2"/>
  <c r="LC61" i="2"/>
  <c r="KQ61" i="2"/>
  <c r="LN61" i="2"/>
  <c r="LF61" i="2"/>
  <c r="KT61" i="2"/>
  <c r="KS61" i="2"/>
  <c r="JA61" i="2"/>
  <c r="LL61" i="2"/>
  <c r="LE61" i="2"/>
  <c r="JB61" i="2"/>
  <c r="LM61" i="2"/>
  <c r="LD61" i="2"/>
  <c r="KR61" i="2"/>
  <c r="KL61" i="2"/>
  <c r="JY61" i="2"/>
  <c r="JX61" i="2"/>
  <c r="JN61" i="2"/>
  <c r="JW61" i="2"/>
  <c r="JQ61" i="2"/>
  <c r="KK61" i="2"/>
  <c r="JM61" i="2"/>
  <c r="JP61" i="2"/>
  <c r="JO61" i="2"/>
  <c r="JD61" i="2"/>
  <c r="JV61" i="2"/>
  <c r="IV61" i="2"/>
  <c r="IR61" i="2"/>
  <c r="II61" i="2"/>
  <c r="HD61" i="2"/>
  <c r="JC61" i="2"/>
  <c r="IU61" i="2"/>
  <c r="IH61" i="2"/>
  <c r="IF61" i="2"/>
  <c r="HE61" i="2"/>
  <c r="IT61" i="2"/>
  <c r="IG61" i="2"/>
  <c r="HF61" i="2"/>
  <c r="IS61" i="2"/>
  <c r="IX61" i="2" s="1"/>
  <c r="HN61" i="2"/>
  <c r="HX61" i="2"/>
  <c r="HL61" i="2"/>
  <c r="IA61" i="2"/>
  <c r="HW61" i="2"/>
  <c r="HZ61" i="2"/>
  <c r="HM61" i="2"/>
  <c r="HK61" i="2"/>
  <c r="HY61" i="2"/>
  <c r="IC61" i="2"/>
  <c r="PJ60" i="2"/>
  <c r="PJ61" i="2" s="1"/>
  <c r="ON60" i="2"/>
  <c r="OQ59" i="2"/>
  <c r="LH60" i="2"/>
  <c r="LK59" i="2"/>
  <c r="JR60" i="2"/>
  <c r="JU59" i="2"/>
  <c r="PI60" i="2"/>
  <c r="PL59" i="2"/>
  <c r="OP60" i="2"/>
  <c r="OP61" i="2" s="1"/>
  <c r="MF59" i="2"/>
  <c r="MC60" i="2"/>
  <c r="IB60" i="2"/>
  <c r="IE59" i="2"/>
  <c r="KM59" i="2"/>
  <c r="KP58" i="2"/>
  <c r="KO60" i="2"/>
  <c r="HG60" i="2"/>
  <c r="HI60" i="2"/>
  <c r="EW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GJ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LJ61" i="2" l="1"/>
  <c r="HH61" i="2"/>
  <c r="IY61" i="2"/>
  <c r="ID61" i="2"/>
  <c r="JS61" i="2"/>
  <c r="JR61" i="2"/>
  <c r="JU60" i="2"/>
  <c r="IW61" i="2"/>
  <c r="IZ60" i="2"/>
  <c r="ME61" i="2"/>
  <c r="MX61" i="2"/>
  <c r="NA60" i="2"/>
  <c r="JT61" i="2"/>
  <c r="MY61" i="2"/>
  <c r="ON61" i="2"/>
  <c r="OQ60" i="2"/>
  <c r="KJ62" i="2"/>
  <c r="KI62" i="2"/>
  <c r="KH62" i="2"/>
  <c r="OT62" i="2"/>
  <c r="PE62" i="2"/>
  <c r="PJ62" i="2" s="1"/>
  <c r="PD62" i="2"/>
  <c r="PG62" i="2"/>
  <c r="PH62" i="2"/>
  <c r="PF62" i="2"/>
  <c r="MI62" i="2"/>
  <c r="MJ62" i="2"/>
  <c r="OU62" i="2"/>
  <c r="OR62" i="2"/>
  <c r="OS62" i="2"/>
  <c r="OM62" i="2"/>
  <c r="OL62" i="2"/>
  <c r="OJ62" i="2"/>
  <c r="OO62" i="2" s="1"/>
  <c r="OK62" i="2"/>
  <c r="NZ62" i="2"/>
  <c r="OI62" i="2"/>
  <c r="NY62" i="2"/>
  <c r="NW62" i="2"/>
  <c r="NR62" i="2"/>
  <c r="NX62" i="2"/>
  <c r="NQ62" i="2"/>
  <c r="NP62" i="2"/>
  <c r="NO62" i="2"/>
  <c r="NT62" i="2" s="1"/>
  <c r="NN62" i="2"/>
  <c r="NE62" i="2"/>
  <c r="ND62" i="2"/>
  <c r="NB62" i="2"/>
  <c r="NC62" i="2"/>
  <c r="MW62" i="2"/>
  <c r="MV62" i="2"/>
  <c r="MH62" i="2"/>
  <c r="MU62" i="2"/>
  <c r="MT62" i="2"/>
  <c r="MZ62" i="2" s="1"/>
  <c r="MS62" i="2"/>
  <c r="MG62" i="2"/>
  <c r="MB62" i="2"/>
  <c r="LX62" i="2"/>
  <c r="MA62" i="2"/>
  <c r="LO62" i="2"/>
  <c r="LZ62" i="2"/>
  <c r="LY62" i="2"/>
  <c r="MD62" i="2" s="1"/>
  <c r="LM62" i="2"/>
  <c r="LD62" i="2"/>
  <c r="KR62" i="2"/>
  <c r="LG62" i="2"/>
  <c r="LC62" i="2"/>
  <c r="KQ62" i="2"/>
  <c r="LN62" i="2"/>
  <c r="LF62" i="2"/>
  <c r="KT62" i="2"/>
  <c r="KS62" i="2"/>
  <c r="JA62" i="2"/>
  <c r="LL62" i="2"/>
  <c r="LE62" i="2"/>
  <c r="JB62" i="2"/>
  <c r="JO62" i="2"/>
  <c r="JD62" i="2"/>
  <c r="JV62" i="2"/>
  <c r="KL62" i="2"/>
  <c r="JY62" i="2"/>
  <c r="JX62" i="2"/>
  <c r="JN62" i="2"/>
  <c r="JW62" i="2"/>
  <c r="JQ62" i="2"/>
  <c r="KK62" i="2"/>
  <c r="JM62" i="2"/>
  <c r="JP62" i="2"/>
  <c r="JC62" i="2"/>
  <c r="IS62" i="2"/>
  <c r="HN62" i="2"/>
  <c r="IV62" i="2"/>
  <c r="IR62" i="2"/>
  <c r="II62" i="2"/>
  <c r="HD62" i="2"/>
  <c r="IU62" i="2"/>
  <c r="IH62" i="2"/>
  <c r="IF62" i="2"/>
  <c r="HE62" i="2"/>
  <c r="IT62" i="2"/>
  <c r="IG62" i="2"/>
  <c r="HF62" i="2"/>
  <c r="HM62" i="2"/>
  <c r="HK62" i="2"/>
  <c r="HY62" i="2"/>
  <c r="HX62" i="2"/>
  <c r="HL62" i="2"/>
  <c r="IA62" i="2"/>
  <c r="HW62" i="2"/>
  <c r="HZ62" i="2"/>
  <c r="PI61" i="2"/>
  <c r="PL60" i="2"/>
  <c r="LH61" i="2"/>
  <c r="LK60" i="2"/>
  <c r="LI61" i="2"/>
  <c r="IB61" i="2"/>
  <c r="IE60" i="2"/>
  <c r="MF60" i="2"/>
  <c r="MC61" i="2"/>
  <c r="NU61" i="2"/>
  <c r="NU62" i="2" s="1"/>
  <c r="NS61" i="2"/>
  <c r="NV60" i="2"/>
  <c r="KO61" i="2"/>
  <c r="KM60" i="2"/>
  <c r="KP59" i="2"/>
  <c r="KN60" i="2"/>
  <c r="KN61" i="2" s="1"/>
  <c r="HI61" i="2"/>
  <c r="HG61" i="2"/>
  <c r="EV61" i="2"/>
  <c r="EW61" i="2"/>
  <c r="EX61" i="2"/>
  <c r="EA61" i="2"/>
  <c r="FS61" i="2"/>
  <c r="EB61" i="2"/>
  <c r="EC61" i="2"/>
  <c r="GM61" i="2"/>
  <c r="GN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H62" i="2" s="1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LI62" i="2" l="1"/>
  <c r="LJ62" i="2"/>
  <c r="IX62" i="2"/>
  <c r="ID62" i="2"/>
  <c r="JS62" i="2"/>
  <c r="MC62" i="2"/>
  <c r="MF61" i="2"/>
  <c r="LH62" i="2"/>
  <c r="LK61" i="2"/>
  <c r="OP62" i="2"/>
  <c r="JR62" i="2"/>
  <c r="JU61" i="2"/>
  <c r="IC62" i="2"/>
  <c r="IY62" i="2"/>
  <c r="MX62" i="2"/>
  <c r="NA61" i="2"/>
  <c r="PK62" i="2"/>
  <c r="PK63" i="2" s="1"/>
  <c r="KJ63" i="2"/>
  <c r="KI63" i="2"/>
  <c r="KH63" i="2"/>
  <c r="PD63" i="2"/>
  <c r="PH63" i="2"/>
  <c r="OU63" i="2"/>
  <c r="OT63" i="2"/>
  <c r="PG63" i="2"/>
  <c r="PE63" i="2"/>
  <c r="PJ63" i="2" s="1"/>
  <c r="PF63" i="2"/>
  <c r="MI63" i="2"/>
  <c r="MJ63" i="2"/>
  <c r="OR63" i="2"/>
  <c r="OS63" i="2"/>
  <c r="OM63" i="2"/>
  <c r="OK63" i="2"/>
  <c r="OL63" i="2"/>
  <c r="OJ63" i="2"/>
  <c r="OO63" i="2" s="1"/>
  <c r="OI63" i="2"/>
  <c r="NZ63" i="2"/>
  <c r="NY63" i="2"/>
  <c r="NW63" i="2"/>
  <c r="NR63" i="2"/>
  <c r="NX63" i="2"/>
  <c r="NQ63" i="2"/>
  <c r="NP63" i="2"/>
  <c r="NC63" i="2"/>
  <c r="NO63" i="2"/>
  <c r="NT63" i="2" s="1"/>
  <c r="NN63" i="2"/>
  <c r="NE63" i="2"/>
  <c r="ND63" i="2"/>
  <c r="NB63" i="2"/>
  <c r="MS63" i="2"/>
  <c r="MV63" i="2"/>
  <c r="MH63" i="2"/>
  <c r="MG63" i="2"/>
  <c r="MW63" i="2"/>
  <c r="MU63" i="2"/>
  <c r="MT63" i="2"/>
  <c r="MZ63" i="2" s="1"/>
  <c r="LY63" i="2"/>
  <c r="MB63" i="2"/>
  <c r="LX63" i="2"/>
  <c r="MA63" i="2"/>
  <c r="LO63" i="2"/>
  <c r="LZ63" i="2"/>
  <c r="LL63" i="2"/>
  <c r="LE63" i="2"/>
  <c r="JB63" i="2"/>
  <c r="LM63" i="2"/>
  <c r="LD63" i="2"/>
  <c r="KR63" i="2"/>
  <c r="LG63" i="2"/>
  <c r="LC63" i="2"/>
  <c r="KQ63" i="2"/>
  <c r="LN63" i="2"/>
  <c r="LF63" i="2"/>
  <c r="KT63" i="2"/>
  <c r="KS63" i="2"/>
  <c r="JA63" i="2"/>
  <c r="JO63" i="2"/>
  <c r="JD63" i="2"/>
  <c r="JV63" i="2"/>
  <c r="KL63" i="2"/>
  <c r="JY63" i="2"/>
  <c r="JX63" i="2"/>
  <c r="JN63" i="2"/>
  <c r="JW63" i="2"/>
  <c r="JQ63" i="2"/>
  <c r="KK63" i="2"/>
  <c r="JM63" i="2"/>
  <c r="JP63" i="2"/>
  <c r="JC63" i="2"/>
  <c r="IT63" i="2"/>
  <c r="IG63" i="2"/>
  <c r="HF63" i="2"/>
  <c r="IS63" i="2"/>
  <c r="HN63" i="2"/>
  <c r="IV63" i="2"/>
  <c r="IR63" i="2"/>
  <c r="II63" i="2"/>
  <c r="HD63" i="2"/>
  <c r="IU63" i="2"/>
  <c r="IH63" i="2"/>
  <c r="IF63" i="2"/>
  <c r="HE63" i="2"/>
  <c r="HZ63" i="2"/>
  <c r="HM63" i="2"/>
  <c r="HK63" i="2"/>
  <c r="HY63" i="2"/>
  <c r="HX63" i="2"/>
  <c r="HL63" i="2"/>
  <c r="IA63" i="2"/>
  <c r="HW63" i="2"/>
  <c r="HG62" i="2"/>
  <c r="NS62" i="2"/>
  <c r="NV61" i="2"/>
  <c r="PI62" i="2"/>
  <c r="PL61" i="2"/>
  <c r="MY62" i="2"/>
  <c r="MY63" i="2" s="1"/>
  <c r="ME62" i="2"/>
  <c r="ME63" i="2" s="1"/>
  <c r="IW62" i="2"/>
  <c r="IZ61" i="2"/>
  <c r="IB62" i="2"/>
  <c r="IE61" i="2"/>
  <c r="ON62" i="2"/>
  <c r="OQ61" i="2"/>
  <c r="JT62" i="2"/>
  <c r="KM61" i="2"/>
  <c r="KP60" i="2"/>
  <c r="KO62" i="2"/>
  <c r="HI62" i="2"/>
  <c r="EA62" i="2"/>
  <c r="EB62" i="2"/>
  <c r="EC62" i="2"/>
  <c r="FS62" i="2"/>
  <c r="EX62" i="2"/>
  <c r="EV62" i="2"/>
  <c r="GN62" i="2"/>
  <c r="GM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LI63" i="2" l="1"/>
  <c r="JT63" i="2"/>
  <c r="LJ63" i="2"/>
  <c r="MD63" i="2"/>
  <c r="ID63" i="2"/>
  <c r="JS63" i="2"/>
  <c r="IX63" i="2"/>
  <c r="HH63" i="2"/>
  <c r="IW63" i="2"/>
  <c r="IZ62" i="2"/>
  <c r="NU63" i="2"/>
  <c r="IC63" i="2"/>
  <c r="MC63" i="2"/>
  <c r="MF62" i="2"/>
  <c r="ON63" i="2"/>
  <c r="OQ62" i="2"/>
  <c r="PI63" i="2"/>
  <c r="PL62" i="2"/>
  <c r="JU62" i="2"/>
  <c r="JR63" i="2"/>
  <c r="KH64" i="2"/>
  <c r="KJ64" i="2"/>
  <c r="KI64" i="2"/>
  <c r="PG64" i="2"/>
  <c r="PE64" i="2"/>
  <c r="PK64" i="2" s="1"/>
  <c r="MI64" i="2"/>
  <c r="OU64" i="2"/>
  <c r="PD64" i="2"/>
  <c r="PH64" i="2"/>
  <c r="PF64" i="2"/>
  <c r="MJ64" i="2"/>
  <c r="OT64" i="2"/>
  <c r="OR64" i="2"/>
  <c r="OS64" i="2"/>
  <c r="OM64" i="2"/>
  <c r="OK64" i="2"/>
  <c r="OL64" i="2"/>
  <c r="OJ64" i="2"/>
  <c r="OO64" i="2" s="1"/>
  <c r="OI64" i="2"/>
  <c r="NZ64" i="2"/>
  <c r="NX64" i="2"/>
  <c r="NY64" i="2"/>
  <c r="NW64" i="2"/>
  <c r="NO64" i="2"/>
  <c r="NT64" i="2" s="1"/>
  <c r="NR64" i="2"/>
  <c r="NQ64" i="2"/>
  <c r="NB64" i="2"/>
  <c r="NP64" i="2"/>
  <c r="NC64" i="2"/>
  <c r="NN64" i="2"/>
  <c r="NE64" i="2"/>
  <c r="ND64" i="2"/>
  <c r="MT64" i="2"/>
  <c r="MZ64" i="2" s="1"/>
  <c r="MS64" i="2"/>
  <c r="MV64" i="2"/>
  <c r="MH64" i="2"/>
  <c r="MG64" i="2"/>
  <c r="MW64" i="2"/>
  <c r="MU64" i="2"/>
  <c r="LZ64" i="2"/>
  <c r="LY64" i="2"/>
  <c r="MD64" i="2" s="1"/>
  <c r="MB64" i="2"/>
  <c r="LX64" i="2"/>
  <c r="MA64" i="2"/>
  <c r="LO64" i="2"/>
  <c r="LN64" i="2"/>
  <c r="LF64" i="2"/>
  <c r="KT64" i="2"/>
  <c r="KS64" i="2"/>
  <c r="JA64" i="2"/>
  <c r="LL64" i="2"/>
  <c r="LE64" i="2"/>
  <c r="JB64" i="2"/>
  <c r="LM64" i="2"/>
  <c r="LD64" i="2"/>
  <c r="KR64" i="2"/>
  <c r="LG64" i="2"/>
  <c r="LC64" i="2"/>
  <c r="KQ64" i="2"/>
  <c r="KK64" i="2"/>
  <c r="JM64" i="2"/>
  <c r="JP64" i="2"/>
  <c r="JO64" i="2"/>
  <c r="JD64" i="2"/>
  <c r="JV64" i="2"/>
  <c r="KL64" i="2"/>
  <c r="JY64" i="2"/>
  <c r="JX64" i="2"/>
  <c r="JN64" i="2"/>
  <c r="JW64" i="2"/>
  <c r="JQ64" i="2"/>
  <c r="IU64" i="2"/>
  <c r="IH64" i="2"/>
  <c r="IF64" i="2"/>
  <c r="HE64" i="2"/>
  <c r="IT64" i="2"/>
  <c r="IG64" i="2"/>
  <c r="HF64" i="2"/>
  <c r="JC64" i="2"/>
  <c r="IS64" i="2"/>
  <c r="HN64" i="2"/>
  <c r="IV64" i="2"/>
  <c r="IR64" i="2"/>
  <c r="II64" i="2"/>
  <c r="HD64" i="2"/>
  <c r="HL64" i="2"/>
  <c r="IA64" i="2"/>
  <c r="ID64" i="2" s="1"/>
  <c r="HW64" i="2"/>
  <c r="HZ64" i="2"/>
  <c r="HM64" i="2"/>
  <c r="HK64" i="2"/>
  <c r="HY64" i="2"/>
  <c r="HX64" i="2"/>
  <c r="NS63" i="2"/>
  <c r="NV62" i="2"/>
  <c r="MX63" i="2"/>
  <c r="NA62" i="2"/>
  <c r="OP63" i="2"/>
  <c r="LH63" i="2"/>
  <c r="LK62" i="2"/>
  <c r="IB63" i="2"/>
  <c r="IE62" i="2"/>
  <c r="MY64" i="2"/>
  <c r="IY63" i="2"/>
  <c r="EC63" i="2"/>
  <c r="KO63" i="2"/>
  <c r="KM62" i="2"/>
  <c r="KP61" i="2"/>
  <c r="KN62" i="2"/>
  <c r="KN63" i="2" s="1"/>
  <c r="HI63" i="2"/>
  <c r="HG63" i="2"/>
  <c r="EX63" i="2"/>
  <c r="EB63" i="2"/>
  <c r="EV63" i="2"/>
  <c r="EA63" i="2"/>
  <c r="FS63" i="2"/>
  <c r="EW63" i="2"/>
  <c r="GM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LJ64" i="2" l="1"/>
  <c r="LI64" i="2"/>
  <c r="JT64" i="2"/>
  <c r="ME64" i="2"/>
  <c r="JS64" i="2"/>
  <c r="IY64" i="2"/>
  <c r="IX64" i="2"/>
  <c r="HH64" i="2"/>
  <c r="PI64" i="2"/>
  <c r="PL63" i="2"/>
  <c r="MC64" i="2"/>
  <c r="MF63" i="2"/>
  <c r="IW64" i="2"/>
  <c r="IZ63" i="2"/>
  <c r="IB64" i="2"/>
  <c r="IE63" i="2"/>
  <c r="JR64" i="2"/>
  <c r="JU63" i="2"/>
  <c r="MX64" i="2"/>
  <c r="NA63" i="2"/>
  <c r="NS64" i="2"/>
  <c r="NV63" i="2"/>
  <c r="PJ64" i="2"/>
  <c r="ON64" i="2"/>
  <c r="OQ63" i="2"/>
  <c r="NU64" i="2"/>
  <c r="KJ65" i="2"/>
  <c r="KI65" i="2"/>
  <c r="KH65" i="2"/>
  <c r="OU65" i="2"/>
  <c r="PF65" i="2"/>
  <c r="MJ65" i="2"/>
  <c r="PE65" i="2"/>
  <c r="PK65" i="2" s="1"/>
  <c r="MI65" i="2"/>
  <c r="OT65" i="2"/>
  <c r="PD65" i="2"/>
  <c r="PG65" i="2"/>
  <c r="PH65" i="2"/>
  <c r="OS65" i="2"/>
  <c r="OR65" i="2"/>
  <c r="OM65" i="2"/>
  <c r="OL65" i="2"/>
  <c r="OK65" i="2"/>
  <c r="OJ65" i="2"/>
  <c r="OO65" i="2" s="1"/>
  <c r="NZ65" i="2"/>
  <c r="OI65" i="2"/>
  <c r="NX65" i="2"/>
  <c r="NR65" i="2"/>
  <c r="NP65" i="2"/>
  <c r="NY65" i="2"/>
  <c r="NW65" i="2"/>
  <c r="NO65" i="2"/>
  <c r="NT65" i="2" s="1"/>
  <c r="NE65" i="2"/>
  <c r="ND65" i="2"/>
  <c r="NQ65" i="2"/>
  <c r="NB65" i="2"/>
  <c r="NC65" i="2"/>
  <c r="MW65" i="2"/>
  <c r="NN65" i="2"/>
  <c r="MU65" i="2"/>
  <c r="MT65" i="2"/>
  <c r="MZ65" i="2" s="1"/>
  <c r="MS65" i="2"/>
  <c r="MV65" i="2"/>
  <c r="MA65" i="2"/>
  <c r="LO65" i="2"/>
  <c r="MH65" i="2"/>
  <c r="MG65" i="2"/>
  <c r="LZ65" i="2"/>
  <c r="LY65" i="2"/>
  <c r="MB65" i="2"/>
  <c r="LX65" i="2"/>
  <c r="LG65" i="2"/>
  <c r="LC65" i="2"/>
  <c r="KQ65" i="2"/>
  <c r="LN65" i="2"/>
  <c r="LF65" i="2"/>
  <c r="KT65" i="2"/>
  <c r="KS65" i="2"/>
  <c r="JA65" i="2"/>
  <c r="LL65" i="2"/>
  <c r="LE65" i="2"/>
  <c r="JB65" i="2"/>
  <c r="LM65" i="2"/>
  <c r="LD65" i="2"/>
  <c r="LJ65" i="2" s="1"/>
  <c r="KR65" i="2"/>
  <c r="KL65" i="2"/>
  <c r="JY65" i="2"/>
  <c r="JX65" i="2"/>
  <c r="JN65" i="2"/>
  <c r="JW65" i="2"/>
  <c r="JQ65" i="2"/>
  <c r="KK65" i="2"/>
  <c r="JM65" i="2"/>
  <c r="JP65" i="2"/>
  <c r="JO65" i="2"/>
  <c r="JD65" i="2"/>
  <c r="JV65" i="2"/>
  <c r="IV65" i="2"/>
  <c r="IR65" i="2"/>
  <c r="II65" i="2"/>
  <c r="HD65" i="2"/>
  <c r="IU65" i="2"/>
  <c r="IH65" i="2"/>
  <c r="IF65" i="2"/>
  <c r="HE65" i="2"/>
  <c r="IT65" i="2"/>
  <c r="IG65" i="2"/>
  <c r="HF65" i="2"/>
  <c r="JC65" i="2"/>
  <c r="IS65" i="2"/>
  <c r="HN65" i="2"/>
  <c r="HX65" i="2"/>
  <c r="HL65" i="2"/>
  <c r="IA65" i="2"/>
  <c r="HW65" i="2"/>
  <c r="HZ65" i="2"/>
  <c r="HM65" i="2"/>
  <c r="HK65" i="2"/>
  <c r="HY65" i="2"/>
  <c r="LH64" i="2"/>
  <c r="LK63" i="2"/>
  <c r="OP64" i="2"/>
  <c r="OP65" i="2" s="1"/>
  <c r="IC64" i="2"/>
  <c r="IC65" i="2" s="1"/>
  <c r="KM63" i="2"/>
  <c r="KP62" i="2"/>
  <c r="KO64" i="2"/>
  <c r="HG64" i="2"/>
  <c r="HI64" i="2"/>
  <c r="EC64" i="2"/>
  <c r="EA64" i="2"/>
  <c r="EV64" i="2"/>
  <c r="EX64" i="2"/>
  <c r="FS64" i="2"/>
  <c r="EB64" i="2"/>
  <c r="GN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JT65" i="2" l="1"/>
  <c r="MD65" i="2"/>
  <c r="ID65" i="2"/>
  <c r="IX65" i="2"/>
  <c r="HH65" i="2"/>
  <c r="LH65" i="2"/>
  <c r="LK64" i="2"/>
  <c r="ME65" i="2"/>
  <c r="PJ65" i="2"/>
  <c r="JS65" i="2"/>
  <c r="ON65" i="2"/>
  <c r="OQ64" i="2"/>
  <c r="MX65" i="2"/>
  <c r="NA64" i="2"/>
  <c r="IB65" i="2"/>
  <c r="IE64" i="2"/>
  <c r="PI65" i="2"/>
  <c r="PL64" i="2"/>
  <c r="KJ66" i="2"/>
  <c r="KI66" i="2"/>
  <c r="KH66" i="2"/>
  <c r="OT66" i="2"/>
  <c r="PE66" i="2"/>
  <c r="PK66" i="2" s="1"/>
  <c r="PF66" i="2"/>
  <c r="OU66" i="2"/>
  <c r="MI66" i="2"/>
  <c r="PD66" i="2"/>
  <c r="PG66" i="2"/>
  <c r="PH66" i="2"/>
  <c r="MJ66" i="2"/>
  <c r="OR66" i="2"/>
  <c r="OS66" i="2"/>
  <c r="OM66" i="2"/>
  <c r="OK66" i="2"/>
  <c r="OJ66" i="2"/>
  <c r="OO66" i="2" s="1"/>
  <c r="NZ66" i="2"/>
  <c r="OL66" i="2"/>
  <c r="OI66" i="2"/>
  <c r="NY66" i="2"/>
  <c r="NX66" i="2"/>
  <c r="NW66" i="2"/>
  <c r="NR66" i="2"/>
  <c r="NQ66" i="2"/>
  <c r="NP66" i="2"/>
  <c r="NN66" i="2"/>
  <c r="NE66" i="2"/>
  <c r="ND66" i="2"/>
  <c r="NO66" i="2"/>
  <c r="NT66" i="2" s="1"/>
  <c r="NB66" i="2"/>
  <c r="NC66" i="2"/>
  <c r="MW66" i="2"/>
  <c r="MV66" i="2"/>
  <c r="MH66" i="2"/>
  <c r="MU66" i="2"/>
  <c r="MT66" i="2"/>
  <c r="MZ66" i="2" s="1"/>
  <c r="MS66" i="2"/>
  <c r="MB66" i="2"/>
  <c r="LX66" i="2"/>
  <c r="MA66" i="2"/>
  <c r="LO66" i="2"/>
  <c r="MG66" i="2"/>
  <c r="LZ66" i="2"/>
  <c r="LY66" i="2"/>
  <c r="LM66" i="2"/>
  <c r="LD66" i="2"/>
  <c r="KR66" i="2"/>
  <c r="LG66" i="2"/>
  <c r="LC66" i="2"/>
  <c r="KQ66" i="2"/>
  <c r="LN66" i="2"/>
  <c r="LF66" i="2"/>
  <c r="KT66" i="2"/>
  <c r="KS66" i="2"/>
  <c r="JA66" i="2"/>
  <c r="LL66" i="2"/>
  <c r="LE66" i="2"/>
  <c r="JB66" i="2"/>
  <c r="JO66" i="2"/>
  <c r="JD66" i="2"/>
  <c r="JV66" i="2"/>
  <c r="KL66" i="2"/>
  <c r="JY66" i="2"/>
  <c r="JX66" i="2"/>
  <c r="JN66" i="2"/>
  <c r="JW66" i="2"/>
  <c r="JQ66" i="2"/>
  <c r="KK66" i="2"/>
  <c r="JM66" i="2"/>
  <c r="JP66" i="2"/>
  <c r="JC66" i="2"/>
  <c r="IS66" i="2"/>
  <c r="HN66" i="2"/>
  <c r="IV66" i="2"/>
  <c r="IR66" i="2"/>
  <c r="II66" i="2"/>
  <c r="HD66" i="2"/>
  <c r="IU66" i="2"/>
  <c r="IH66" i="2"/>
  <c r="IF66" i="2"/>
  <c r="HE66" i="2"/>
  <c r="IT66" i="2"/>
  <c r="IG66" i="2"/>
  <c r="HF66" i="2"/>
  <c r="HM66" i="2"/>
  <c r="HK66" i="2"/>
  <c r="HY66" i="2"/>
  <c r="HX66" i="2"/>
  <c r="ID66" i="2" s="1"/>
  <c r="HL66" i="2"/>
  <c r="IA66" i="2"/>
  <c r="HW66" i="2"/>
  <c r="HZ66" i="2"/>
  <c r="NU65" i="2"/>
  <c r="NU66" i="2" s="1"/>
  <c r="IY65" i="2"/>
  <c r="IY66" i="2" s="1"/>
  <c r="LI65" i="2"/>
  <c r="MY65" i="2"/>
  <c r="MY66" i="2" s="1"/>
  <c r="NS65" i="2"/>
  <c r="NV64" i="2"/>
  <c r="JU64" i="2"/>
  <c r="JR65" i="2"/>
  <c r="IW65" i="2"/>
  <c r="IZ64" i="2"/>
  <c r="MF64" i="2"/>
  <c r="MC65" i="2"/>
  <c r="KO65" i="2"/>
  <c r="KM64" i="2"/>
  <c r="KP63" i="2"/>
  <c r="KN64" i="2"/>
  <c r="KN65" i="2" s="1"/>
  <c r="HI65" i="2"/>
  <c r="HG65" i="2"/>
  <c r="EX65" i="2"/>
  <c r="FS65" i="2"/>
  <c r="EV65" i="2"/>
  <c r="EC65" i="2"/>
  <c r="GN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LJ66" i="2" l="1"/>
  <c r="MD66" i="2"/>
  <c r="LI66" i="2"/>
  <c r="JT66" i="2"/>
  <c r="IX66" i="2"/>
  <c r="HH66" i="2"/>
  <c r="KI67" i="2"/>
  <c r="KJ67" i="2"/>
  <c r="KH67" i="2"/>
  <c r="PD67" i="2"/>
  <c r="PH67" i="2"/>
  <c r="OT67" i="2"/>
  <c r="PG67" i="2"/>
  <c r="PF67" i="2"/>
  <c r="PE67" i="2"/>
  <c r="PK67" i="2" s="1"/>
  <c r="OU67" i="2"/>
  <c r="MI67" i="2"/>
  <c r="MJ67" i="2"/>
  <c r="OR67" i="2"/>
  <c r="OS67" i="2"/>
  <c r="OM67" i="2"/>
  <c r="OL67" i="2"/>
  <c r="OK67" i="2"/>
  <c r="OJ67" i="2"/>
  <c r="OO67" i="2" s="1"/>
  <c r="OI67" i="2"/>
  <c r="NZ67" i="2"/>
  <c r="NY67" i="2"/>
  <c r="NX67" i="2"/>
  <c r="NW67" i="2"/>
  <c r="NR67" i="2"/>
  <c r="NQ67" i="2"/>
  <c r="NC67" i="2"/>
  <c r="NN67" i="2"/>
  <c r="NP67" i="2"/>
  <c r="NE67" i="2"/>
  <c r="ND67" i="2"/>
  <c r="NO67" i="2"/>
  <c r="NT67" i="2" s="1"/>
  <c r="NB67" i="2"/>
  <c r="MW67" i="2"/>
  <c r="MS67" i="2"/>
  <c r="MV67" i="2"/>
  <c r="MH67" i="2"/>
  <c r="MG67" i="2"/>
  <c r="MU67" i="2"/>
  <c r="MT67" i="2"/>
  <c r="MZ67" i="2" s="1"/>
  <c r="LY67" i="2"/>
  <c r="MB67" i="2"/>
  <c r="LX67" i="2"/>
  <c r="MA67" i="2"/>
  <c r="LO67" i="2"/>
  <c r="LZ67" i="2"/>
  <c r="LL67" i="2"/>
  <c r="LE67" i="2"/>
  <c r="JB67" i="2"/>
  <c r="LM67" i="2"/>
  <c r="LD67" i="2"/>
  <c r="KR67" i="2"/>
  <c r="LG67" i="2"/>
  <c r="LC67" i="2"/>
  <c r="LN67" i="2"/>
  <c r="LF67" i="2"/>
  <c r="KT67" i="2"/>
  <c r="KS67" i="2"/>
  <c r="JA67" i="2"/>
  <c r="KQ67" i="2"/>
  <c r="JO67" i="2"/>
  <c r="JD67" i="2"/>
  <c r="JV67" i="2"/>
  <c r="KL67" i="2"/>
  <c r="JY67" i="2"/>
  <c r="JX67" i="2"/>
  <c r="JN67" i="2"/>
  <c r="JW67" i="2"/>
  <c r="JQ67" i="2"/>
  <c r="KK67" i="2"/>
  <c r="JM67" i="2"/>
  <c r="JP67" i="2"/>
  <c r="JC67" i="2"/>
  <c r="IT67" i="2"/>
  <c r="IG67" i="2"/>
  <c r="HF67" i="2"/>
  <c r="IS67" i="2"/>
  <c r="HN67" i="2"/>
  <c r="IV67" i="2"/>
  <c r="IR67" i="2"/>
  <c r="II67" i="2"/>
  <c r="HD67" i="2"/>
  <c r="IU67" i="2"/>
  <c r="IH67" i="2"/>
  <c r="IF67" i="2"/>
  <c r="HE67" i="2"/>
  <c r="HZ67" i="2"/>
  <c r="HM67" i="2"/>
  <c r="HK67" i="2"/>
  <c r="HY67" i="2"/>
  <c r="HX67" i="2"/>
  <c r="HL67" i="2"/>
  <c r="IA67" i="2"/>
  <c r="HW67" i="2"/>
  <c r="HG66" i="2"/>
  <c r="NS66" i="2"/>
  <c r="NV65" i="2"/>
  <c r="OP66" i="2"/>
  <c r="OP67" i="2" s="1"/>
  <c r="PJ66" i="2"/>
  <c r="PJ67" i="2" s="1"/>
  <c r="MC66" i="2"/>
  <c r="MF65" i="2"/>
  <c r="IY67" i="2"/>
  <c r="NU67" i="2"/>
  <c r="IC66" i="2"/>
  <c r="IC67" i="2" s="1"/>
  <c r="ON66" i="2"/>
  <c r="OQ65" i="2"/>
  <c r="JS66" i="2"/>
  <c r="LH66" i="2"/>
  <c r="LK65" i="2"/>
  <c r="IW66" i="2"/>
  <c r="IZ65" i="2"/>
  <c r="MY67" i="2"/>
  <c r="PI66" i="2"/>
  <c r="PL65" i="2"/>
  <c r="MX66" i="2"/>
  <c r="NA65" i="2"/>
  <c r="ME66" i="2"/>
  <c r="JU65" i="2"/>
  <c r="JR66" i="2"/>
  <c r="IB66" i="2"/>
  <c r="IE65" i="2"/>
  <c r="KM65" i="2"/>
  <c r="KP64" i="2"/>
  <c r="KO66" i="2"/>
  <c r="HI66" i="2"/>
  <c r="EX66" i="2"/>
  <c r="FS66" i="2"/>
  <c r="EW66" i="2"/>
  <c r="EB66" i="2"/>
  <c r="EC66" i="2"/>
  <c r="GN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JS67" i="2" l="1"/>
  <c r="ME67" i="2"/>
  <c r="LJ67" i="2"/>
  <c r="LI67" i="2"/>
  <c r="MD67" i="2"/>
  <c r="JT67" i="2"/>
  <c r="ID67" i="2"/>
  <c r="IX67" i="2"/>
  <c r="HH67" i="2"/>
  <c r="NT68" i="2"/>
  <c r="NS67" i="2"/>
  <c r="NV66" i="2"/>
  <c r="KH68" i="2"/>
  <c r="KI68" i="2"/>
  <c r="KJ68" i="2"/>
  <c r="PG68" i="2"/>
  <c r="OU68" i="2"/>
  <c r="PD68" i="2"/>
  <c r="PH68" i="2"/>
  <c r="MI68" i="2"/>
  <c r="OT68" i="2"/>
  <c r="PE68" i="2"/>
  <c r="PK68" i="2" s="1"/>
  <c r="PF68" i="2"/>
  <c r="MJ68" i="2"/>
  <c r="OR68" i="2"/>
  <c r="OS68" i="2"/>
  <c r="OM68" i="2"/>
  <c r="OL68" i="2"/>
  <c r="OK68" i="2"/>
  <c r="OJ68" i="2"/>
  <c r="OP68" i="2" s="1"/>
  <c r="OI68" i="2"/>
  <c r="NZ68" i="2"/>
  <c r="NX68" i="2"/>
  <c r="NY68" i="2"/>
  <c r="NW68" i="2"/>
  <c r="NO68" i="2"/>
  <c r="NR68" i="2"/>
  <c r="NB68" i="2"/>
  <c r="NC68" i="2"/>
  <c r="NQ68" i="2"/>
  <c r="NN68" i="2"/>
  <c r="NP68" i="2"/>
  <c r="NE68" i="2"/>
  <c r="ND68" i="2"/>
  <c r="MT68" i="2"/>
  <c r="MZ68" i="2" s="1"/>
  <c r="MW68" i="2"/>
  <c r="MS68" i="2"/>
  <c r="MV68" i="2"/>
  <c r="MH68" i="2"/>
  <c r="MG68" i="2"/>
  <c r="MU68" i="2"/>
  <c r="LZ68" i="2"/>
  <c r="LY68" i="2"/>
  <c r="ME68" i="2" s="1"/>
  <c r="MB68" i="2"/>
  <c r="LX68" i="2"/>
  <c r="MA68" i="2"/>
  <c r="LO68" i="2"/>
  <c r="LN68" i="2"/>
  <c r="LF68" i="2"/>
  <c r="KT68" i="2"/>
  <c r="KS68" i="2"/>
  <c r="JA68" i="2"/>
  <c r="LL68" i="2"/>
  <c r="LE68" i="2"/>
  <c r="JB68" i="2"/>
  <c r="LM68" i="2"/>
  <c r="LD68" i="2"/>
  <c r="KR68" i="2"/>
  <c r="LG68" i="2"/>
  <c r="LC68" i="2"/>
  <c r="KK68" i="2"/>
  <c r="JM68" i="2"/>
  <c r="JP68" i="2"/>
  <c r="KQ68" i="2"/>
  <c r="JO68" i="2"/>
  <c r="JD68" i="2"/>
  <c r="JV68" i="2"/>
  <c r="KL68" i="2"/>
  <c r="JY68" i="2"/>
  <c r="JX68" i="2"/>
  <c r="JN68" i="2"/>
  <c r="JW68" i="2"/>
  <c r="JQ68" i="2"/>
  <c r="JC68" i="2"/>
  <c r="IU68" i="2"/>
  <c r="IH68" i="2"/>
  <c r="IF68" i="2"/>
  <c r="HE68" i="2"/>
  <c r="IT68" i="2"/>
  <c r="IG68" i="2"/>
  <c r="HF68" i="2"/>
  <c r="IS68" i="2"/>
  <c r="IY68" i="2" s="1"/>
  <c r="HN68" i="2"/>
  <c r="IV68" i="2"/>
  <c r="IR68" i="2"/>
  <c r="II68" i="2"/>
  <c r="HD68" i="2"/>
  <c r="HL68" i="2"/>
  <c r="IA68" i="2"/>
  <c r="HW68" i="2"/>
  <c r="HZ68" i="2"/>
  <c r="HM68" i="2"/>
  <c r="HK68" i="2"/>
  <c r="HY68" i="2"/>
  <c r="HX68" i="2"/>
  <c r="PI67" i="2"/>
  <c r="PL66" i="2"/>
  <c r="IW67" i="2"/>
  <c r="IZ66" i="2"/>
  <c r="LH67" i="2"/>
  <c r="LK66" i="2"/>
  <c r="ON67" i="2"/>
  <c r="OQ66" i="2"/>
  <c r="NU68" i="2"/>
  <c r="MC67" i="2"/>
  <c r="MF66" i="2"/>
  <c r="PJ68" i="2"/>
  <c r="HI67" i="2"/>
  <c r="IB67" i="2"/>
  <c r="IE66" i="2"/>
  <c r="JR67" i="2"/>
  <c r="JU66" i="2"/>
  <c r="MX67" i="2"/>
  <c r="NA66" i="2"/>
  <c r="MY68" i="2"/>
  <c r="KO67" i="2"/>
  <c r="KM66" i="2"/>
  <c r="KP65" i="2"/>
  <c r="KN66" i="2"/>
  <c r="KN67" i="2" s="1"/>
  <c r="HG67" i="2"/>
  <c r="EV67" i="2"/>
  <c r="FS67" i="2"/>
  <c r="EC67" i="2"/>
  <c r="EX67" i="2"/>
  <c r="GN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LI68" i="2" l="1"/>
  <c r="JS68" i="2"/>
  <c r="LJ68" i="2"/>
  <c r="JT68" i="2"/>
  <c r="IX68" i="2"/>
  <c r="IC68" i="2"/>
  <c r="HH68" i="2"/>
  <c r="NS68" i="2"/>
  <c r="NV67" i="2"/>
  <c r="ID68" i="2"/>
  <c r="MD68" i="2"/>
  <c r="JU67" i="2"/>
  <c r="JR68" i="2"/>
  <c r="LH68" i="2"/>
  <c r="LK67" i="2"/>
  <c r="PI68" i="2"/>
  <c r="PL67" i="2"/>
  <c r="OO68" i="2"/>
  <c r="ON68" i="2"/>
  <c r="OQ67" i="2"/>
  <c r="KJ69" i="2"/>
  <c r="KI69" i="2"/>
  <c r="KH69" i="2"/>
  <c r="OU69" i="2"/>
  <c r="PF69" i="2"/>
  <c r="PE69" i="2"/>
  <c r="PK69" i="2" s="1"/>
  <c r="MJ69" i="2"/>
  <c r="PD69" i="2"/>
  <c r="PG69" i="2"/>
  <c r="PH69" i="2"/>
  <c r="MI69" i="2"/>
  <c r="OT69" i="2"/>
  <c r="OS69" i="2"/>
  <c r="OR69" i="2"/>
  <c r="OM69" i="2"/>
  <c r="OL69" i="2"/>
  <c r="OK69" i="2"/>
  <c r="OJ69" i="2"/>
  <c r="OP69" i="2" s="1"/>
  <c r="OI69" i="2"/>
  <c r="NZ69" i="2"/>
  <c r="NX69" i="2"/>
  <c r="NR69" i="2"/>
  <c r="NY69" i="2"/>
  <c r="NP69" i="2"/>
  <c r="NW69" i="2"/>
  <c r="NO69" i="2"/>
  <c r="NU69" i="2" s="1"/>
  <c r="NE69" i="2"/>
  <c r="ND69" i="2"/>
  <c r="NC69" i="2"/>
  <c r="MW69" i="2"/>
  <c r="NQ69" i="2"/>
  <c r="NT69" i="2" s="1"/>
  <c r="NN69" i="2"/>
  <c r="MU69" i="2"/>
  <c r="NB69" i="2"/>
  <c r="MT69" i="2"/>
  <c r="MZ69" i="2" s="1"/>
  <c r="MS69" i="2"/>
  <c r="MV69" i="2"/>
  <c r="MA69" i="2"/>
  <c r="LO69" i="2"/>
  <c r="LZ69" i="2"/>
  <c r="MH69" i="2"/>
  <c r="LY69" i="2"/>
  <c r="ME69" i="2" s="1"/>
  <c r="MG69" i="2"/>
  <c r="MB69" i="2"/>
  <c r="LX69" i="2"/>
  <c r="LG69" i="2"/>
  <c r="LC69" i="2"/>
  <c r="LN69" i="2"/>
  <c r="LF69" i="2"/>
  <c r="KT69" i="2"/>
  <c r="KS69" i="2"/>
  <c r="JA69" i="2"/>
  <c r="LL69" i="2"/>
  <c r="LE69" i="2"/>
  <c r="JB69" i="2"/>
  <c r="LM69" i="2"/>
  <c r="LD69" i="2"/>
  <c r="KR69" i="2"/>
  <c r="KL69" i="2"/>
  <c r="JY69" i="2"/>
  <c r="JX69" i="2"/>
  <c r="JN69" i="2"/>
  <c r="JW69" i="2"/>
  <c r="JQ69" i="2"/>
  <c r="KK69" i="2"/>
  <c r="JM69" i="2"/>
  <c r="JP69" i="2"/>
  <c r="KQ69" i="2"/>
  <c r="JO69" i="2"/>
  <c r="JD69" i="2"/>
  <c r="JV69" i="2"/>
  <c r="IV69" i="2"/>
  <c r="IR69" i="2"/>
  <c r="II69" i="2"/>
  <c r="HD69" i="2"/>
  <c r="JC69" i="2"/>
  <c r="IU69" i="2"/>
  <c r="IH69" i="2"/>
  <c r="IF69" i="2"/>
  <c r="HE69" i="2"/>
  <c r="IT69" i="2"/>
  <c r="IG69" i="2"/>
  <c r="HF69" i="2"/>
  <c r="IS69" i="2"/>
  <c r="IY69" i="2" s="1"/>
  <c r="HN69" i="2"/>
  <c r="HX69" i="2"/>
  <c r="HL69" i="2"/>
  <c r="IA69" i="2"/>
  <c r="HW69" i="2"/>
  <c r="HZ69" i="2"/>
  <c r="HM69" i="2"/>
  <c r="HK69" i="2"/>
  <c r="HY69" i="2"/>
  <c r="MX68" i="2"/>
  <c r="NA67" i="2"/>
  <c r="IB68" i="2"/>
  <c r="IE67" i="2"/>
  <c r="MC68" i="2"/>
  <c r="MF67" i="2"/>
  <c r="IW68" i="2"/>
  <c r="IZ67" i="2"/>
  <c r="KM67" i="2"/>
  <c r="KP66" i="2"/>
  <c r="KO68" i="2"/>
  <c r="HG68" i="2"/>
  <c r="HI68" i="2"/>
  <c r="FS68" i="2"/>
  <c r="EX68" i="2"/>
  <c r="AU68" i="2"/>
  <c r="EC68" i="2"/>
  <c r="EV68" i="2"/>
  <c r="GN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GJ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LJ69" i="2" l="1"/>
  <c r="JS69" i="2"/>
  <c r="JT69" i="2"/>
  <c r="IC69" i="2"/>
  <c r="HH69" i="2"/>
  <c r="KJ70" i="2"/>
  <c r="KI70" i="2"/>
  <c r="KH70" i="2"/>
  <c r="OT70" i="2"/>
  <c r="PE70" i="2"/>
  <c r="PK70" i="2" s="1"/>
  <c r="OU70" i="2"/>
  <c r="MJ70" i="2"/>
  <c r="PD70" i="2"/>
  <c r="PF70" i="2"/>
  <c r="PG70" i="2"/>
  <c r="PH70" i="2"/>
  <c r="MI70" i="2"/>
  <c r="OR70" i="2"/>
  <c r="OS70" i="2"/>
  <c r="OM70" i="2"/>
  <c r="OL70" i="2"/>
  <c r="OJ70" i="2"/>
  <c r="OP70" i="2" s="1"/>
  <c r="OK70" i="2"/>
  <c r="NZ70" i="2"/>
  <c r="OI70" i="2"/>
  <c r="NY70" i="2"/>
  <c r="NW70" i="2"/>
  <c r="NR70" i="2"/>
  <c r="NX70" i="2"/>
  <c r="NQ70" i="2"/>
  <c r="NP70" i="2"/>
  <c r="NO70" i="2"/>
  <c r="NT70" i="2" s="1"/>
  <c r="NN70" i="2"/>
  <c r="NE70" i="2"/>
  <c r="ND70" i="2"/>
  <c r="NB70" i="2"/>
  <c r="NC70" i="2"/>
  <c r="MW70" i="2"/>
  <c r="MV70" i="2"/>
  <c r="MH70" i="2"/>
  <c r="MU70" i="2"/>
  <c r="MT70" i="2"/>
  <c r="MZ70" i="2" s="1"/>
  <c r="MS70" i="2"/>
  <c r="MG70" i="2"/>
  <c r="MB70" i="2"/>
  <c r="LX70" i="2"/>
  <c r="MA70" i="2"/>
  <c r="LO70" i="2"/>
  <c r="LZ70" i="2"/>
  <c r="LY70" i="2"/>
  <c r="ME70" i="2" s="1"/>
  <c r="LM70" i="2"/>
  <c r="LD70" i="2"/>
  <c r="KR70" i="2"/>
  <c r="LG70" i="2"/>
  <c r="LC70" i="2"/>
  <c r="LN70" i="2"/>
  <c r="LF70" i="2"/>
  <c r="KT70" i="2"/>
  <c r="KS70" i="2"/>
  <c r="JA70" i="2"/>
  <c r="LL70" i="2"/>
  <c r="LE70" i="2"/>
  <c r="JB70" i="2"/>
  <c r="JO70" i="2"/>
  <c r="JD70" i="2"/>
  <c r="JV70" i="2"/>
  <c r="KL70" i="2"/>
  <c r="JY70" i="2"/>
  <c r="JX70" i="2"/>
  <c r="JN70" i="2"/>
  <c r="JW70" i="2"/>
  <c r="JQ70" i="2"/>
  <c r="KK70" i="2"/>
  <c r="JM70" i="2"/>
  <c r="JP70" i="2"/>
  <c r="JC70" i="2"/>
  <c r="KQ70" i="2"/>
  <c r="IS70" i="2"/>
  <c r="HN70" i="2"/>
  <c r="IV70" i="2"/>
  <c r="IR70" i="2"/>
  <c r="II70" i="2"/>
  <c r="HD70" i="2"/>
  <c r="IU70" i="2"/>
  <c r="IH70" i="2"/>
  <c r="IF70" i="2"/>
  <c r="HE70" i="2"/>
  <c r="IT70" i="2"/>
  <c r="IG70" i="2"/>
  <c r="HF70" i="2"/>
  <c r="HM70" i="2"/>
  <c r="HK70" i="2"/>
  <c r="HY70" i="2"/>
  <c r="HX70" i="2"/>
  <c r="HL70" i="2"/>
  <c r="IA70" i="2"/>
  <c r="HW70" i="2"/>
  <c r="HZ70" i="2"/>
  <c r="HI69" i="2"/>
  <c r="IW69" i="2"/>
  <c r="IZ68" i="2"/>
  <c r="MC69" i="2"/>
  <c r="MF68" i="2"/>
  <c r="MX69" i="2"/>
  <c r="NA68" i="2"/>
  <c r="OO69" i="2"/>
  <c r="OO70" i="2" s="1"/>
  <c r="IX69" i="2"/>
  <c r="LI69" i="2"/>
  <c r="LI70" i="2" s="1"/>
  <c r="LH69" i="2"/>
  <c r="LK68" i="2"/>
  <c r="MY69" i="2"/>
  <c r="MY70" i="2" s="1"/>
  <c r="IB69" i="2"/>
  <c r="IE68" i="2"/>
  <c r="ON69" i="2"/>
  <c r="OQ68" i="2"/>
  <c r="PJ69" i="2"/>
  <c r="PJ70" i="2" s="1"/>
  <c r="MD69" i="2"/>
  <c r="NS69" i="2"/>
  <c r="NV68" i="2"/>
  <c r="PI69" i="2"/>
  <c r="PL68" i="2"/>
  <c r="JR69" i="2"/>
  <c r="JU68" i="2"/>
  <c r="ID69" i="2"/>
  <c r="ID70" i="2" s="1"/>
  <c r="KO69" i="2"/>
  <c r="KM68" i="2"/>
  <c r="KP67" i="2"/>
  <c r="KN68" i="2"/>
  <c r="KN69" i="2" s="1"/>
  <c r="HG69" i="2"/>
  <c r="FS69" i="2"/>
  <c r="EC69" i="2"/>
  <c r="EX69" i="2"/>
  <c r="EA69" i="2"/>
  <c r="EB69" i="2"/>
  <c r="EV69" i="2"/>
  <c r="GN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LJ70" i="2" l="1"/>
  <c r="MD70" i="2"/>
  <c r="IX70" i="2"/>
  <c r="IY70" i="2"/>
  <c r="JS70" i="2"/>
  <c r="IC70" i="2"/>
  <c r="HH70" i="2"/>
  <c r="KJ71" i="2"/>
  <c r="KI71" i="2"/>
  <c r="KH71" i="2"/>
  <c r="PD71" i="2"/>
  <c r="PH71" i="2"/>
  <c r="PF71" i="2"/>
  <c r="PE71" i="2"/>
  <c r="PK71" i="2" s="1"/>
  <c r="MJ71" i="2"/>
  <c r="OT71" i="2"/>
  <c r="OU71" i="2"/>
  <c r="PG71" i="2"/>
  <c r="MI71" i="2"/>
  <c r="OR71" i="2"/>
  <c r="OS71" i="2"/>
  <c r="OM71" i="2"/>
  <c r="OK71" i="2"/>
  <c r="OL71" i="2"/>
  <c r="OJ71" i="2"/>
  <c r="OP71" i="2" s="1"/>
  <c r="OI71" i="2"/>
  <c r="NZ71" i="2"/>
  <c r="NY71" i="2"/>
  <c r="NW71" i="2"/>
  <c r="NR71" i="2"/>
  <c r="NX71" i="2"/>
  <c r="NQ71" i="2"/>
  <c r="NP71" i="2"/>
  <c r="NC71" i="2"/>
  <c r="NO71" i="2"/>
  <c r="NT71" i="2" s="1"/>
  <c r="NN71" i="2"/>
  <c r="NE71" i="2"/>
  <c r="ND71" i="2"/>
  <c r="NB71" i="2"/>
  <c r="MS71" i="2"/>
  <c r="MV71" i="2"/>
  <c r="MH71" i="2"/>
  <c r="MG71" i="2"/>
  <c r="MW71" i="2"/>
  <c r="MU71" i="2"/>
  <c r="MT71" i="2"/>
  <c r="MY71" i="2" s="1"/>
  <c r="LY71" i="2"/>
  <c r="MB71" i="2"/>
  <c r="LX71" i="2"/>
  <c r="MA71" i="2"/>
  <c r="LO71" i="2"/>
  <c r="LZ71" i="2"/>
  <c r="LL71" i="2"/>
  <c r="LE71" i="2"/>
  <c r="JB71" i="2"/>
  <c r="LM71" i="2"/>
  <c r="LD71" i="2"/>
  <c r="KR71" i="2"/>
  <c r="LG71" i="2"/>
  <c r="LC71" i="2"/>
  <c r="LN71" i="2"/>
  <c r="LF71" i="2"/>
  <c r="KT71" i="2"/>
  <c r="KS71" i="2"/>
  <c r="JA71" i="2"/>
  <c r="KQ71" i="2"/>
  <c r="JO71" i="2"/>
  <c r="JD71" i="2"/>
  <c r="JV71" i="2"/>
  <c r="KL71" i="2"/>
  <c r="JY71" i="2"/>
  <c r="JX71" i="2"/>
  <c r="JN71" i="2"/>
  <c r="JW71" i="2"/>
  <c r="JQ71" i="2"/>
  <c r="KK71" i="2"/>
  <c r="JM71" i="2"/>
  <c r="JP71" i="2"/>
  <c r="JC71" i="2"/>
  <c r="IT71" i="2"/>
  <c r="IG71" i="2"/>
  <c r="HF71" i="2"/>
  <c r="IS71" i="2"/>
  <c r="HN71" i="2"/>
  <c r="IV71" i="2"/>
  <c r="IR71" i="2"/>
  <c r="II71" i="2"/>
  <c r="HD71" i="2"/>
  <c r="IU71" i="2"/>
  <c r="IX71" i="2" s="1"/>
  <c r="IH71" i="2"/>
  <c r="IF71" i="2"/>
  <c r="HE71" i="2"/>
  <c r="HZ71" i="2"/>
  <c r="HM71" i="2"/>
  <c r="HK71" i="2"/>
  <c r="HY71" i="2"/>
  <c r="HX71" i="2"/>
  <c r="IC71" i="2" s="1"/>
  <c r="HL71" i="2"/>
  <c r="IA71" i="2"/>
  <c r="HW71" i="2"/>
  <c r="HG70" i="2"/>
  <c r="IB70" i="2"/>
  <c r="IE69" i="2"/>
  <c r="JT70" i="2"/>
  <c r="JT71" i="2" s="1"/>
  <c r="NS70" i="2"/>
  <c r="NV69" i="2"/>
  <c r="ON70" i="2"/>
  <c r="OQ69" i="2"/>
  <c r="MX70" i="2"/>
  <c r="NA69" i="2"/>
  <c r="IW70" i="2"/>
  <c r="IZ69" i="2"/>
  <c r="LH70" i="2"/>
  <c r="LK69" i="2"/>
  <c r="NU70" i="2"/>
  <c r="NU71" i="2" s="1"/>
  <c r="PI70" i="2"/>
  <c r="PL69" i="2"/>
  <c r="JU69" i="2"/>
  <c r="JR70" i="2"/>
  <c r="PJ71" i="2"/>
  <c r="OO71" i="2"/>
  <c r="MC70" i="2"/>
  <c r="MF69" i="2"/>
  <c r="KM69" i="2"/>
  <c r="KP68" i="2"/>
  <c r="KO70" i="2"/>
  <c r="HI70" i="2"/>
  <c r="EB70" i="2"/>
  <c r="EW70" i="2"/>
  <c r="EC70" i="2"/>
  <c r="FS70" i="2"/>
  <c r="AU70" i="2"/>
  <c r="EX70" i="2"/>
  <c r="EA70" i="2"/>
  <c r="GN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JS71" i="2" l="1"/>
  <c r="ME71" i="2"/>
  <c r="MD71" i="2"/>
  <c r="LJ71" i="2"/>
  <c r="LI71" i="2"/>
  <c r="IY71" i="2"/>
  <c r="ID71" i="2"/>
  <c r="HH71" i="2"/>
  <c r="HI71" i="2"/>
  <c r="ON71" i="2"/>
  <c r="OQ70" i="2"/>
  <c r="MZ71" i="2"/>
  <c r="PI71" i="2"/>
  <c r="PL70" i="2"/>
  <c r="MX71" i="2"/>
  <c r="NA70" i="2"/>
  <c r="IB71" i="2"/>
  <c r="IE70" i="2"/>
  <c r="MF70" i="2"/>
  <c r="MC71" i="2"/>
  <c r="JR71" i="2"/>
  <c r="JU70" i="2"/>
  <c r="LH71" i="2"/>
  <c r="LK70" i="2"/>
  <c r="NS71" i="2"/>
  <c r="NV70" i="2"/>
  <c r="KH72" i="2"/>
  <c r="KJ72" i="2"/>
  <c r="KI72" i="2"/>
  <c r="PG72" i="2"/>
  <c r="OT72" i="2"/>
  <c r="MI72" i="2"/>
  <c r="PF72" i="2"/>
  <c r="PE72" i="2"/>
  <c r="PK72" i="2" s="1"/>
  <c r="MJ72" i="2"/>
  <c r="OU72" i="2"/>
  <c r="PD72" i="2"/>
  <c r="PH72" i="2"/>
  <c r="OR72" i="2"/>
  <c r="OS72" i="2"/>
  <c r="OM72" i="2"/>
  <c r="OL72" i="2"/>
  <c r="OO72" i="2" s="1"/>
  <c r="OK72" i="2"/>
  <c r="OJ72" i="2"/>
  <c r="OP72" i="2" s="1"/>
  <c r="OI72" i="2"/>
  <c r="NZ72" i="2"/>
  <c r="NX72" i="2"/>
  <c r="NY72" i="2"/>
  <c r="NW72" i="2"/>
  <c r="NO72" i="2"/>
  <c r="NU72" i="2" s="1"/>
  <c r="NR72" i="2"/>
  <c r="NQ72" i="2"/>
  <c r="NP72" i="2"/>
  <c r="NC72" i="2"/>
  <c r="NN72" i="2"/>
  <c r="NE72" i="2"/>
  <c r="ND72" i="2"/>
  <c r="MT72" i="2"/>
  <c r="MY72" i="2" s="1"/>
  <c r="MS72" i="2"/>
  <c r="NB72" i="2"/>
  <c r="MV72" i="2"/>
  <c r="MH72" i="2"/>
  <c r="MG72" i="2"/>
  <c r="MW72" i="2"/>
  <c r="MU72" i="2"/>
  <c r="LZ72" i="2"/>
  <c r="LY72" i="2"/>
  <c r="MB72" i="2"/>
  <c r="LX72" i="2"/>
  <c r="MA72" i="2"/>
  <c r="LO72" i="2"/>
  <c r="LN72" i="2"/>
  <c r="LF72" i="2"/>
  <c r="KT72" i="2"/>
  <c r="KS72" i="2"/>
  <c r="JA72" i="2"/>
  <c r="LL72" i="2"/>
  <c r="LE72" i="2"/>
  <c r="JB72" i="2"/>
  <c r="LM72" i="2"/>
  <c r="LD72" i="2"/>
  <c r="KR72" i="2"/>
  <c r="LG72" i="2"/>
  <c r="LC72" i="2"/>
  <c r="KK72" i="2"/>
  <c r="JM72" i="2"/>
  <c r="JP72" i="2"/>
  <c r="KQ72" i="2"/>
  <c r="JO72" i="2"/>
  <c r="JD72" i="2"/>
  <c r="JV72" i="2"/>
  <c r="KL72" i="2"/>
  <c r="JY72" i="2"/>
  <c r="JX72" i="2"/>
  <c r="JN72" i="2"/>
  <c r="JW72" i="2"/>
  <c r="JQ72" i="2"/>
  <c r="IU72" i="2"/>
  <c r="IH72" i="2"/>
  <c r="IF72" i="2"/>
  <c r="HE72" i="2"/>
  <c r="IT72" i="2"/>
  <c r="IG72" i="2"/>
  <c r="HF72" i="2"/>
  <c r="JC72" i="2"/>
  <c r="IS72" i="2"/>
  <c r="HN72" i="2"/>
  <c r="IV72" i="2"/>
  <c r="IR72" i="2"/>
  <c r="II72" i="2"/>
  <c r="HD72" i="2"/>
  <c r="HL72" i="2"/>
  <c r="IA72" i="2"/>
  <c r="HW72" i="2"/>
  <c r="HZ72" i="2"/>
  <c r="HM72" i="2"/>
  <c r="HK72" i="2"/>
  <c r="HY72" i="2"/>
  <c r="HX72" i="2"/>
  <c r="MD72" i="2"/>
  <c r="IW71" i="2"/>
  <c r="IZ70" i="2"/>
  <c r="KO71" i="2"/>
  <c r="KM70" i="2"/>
  <c r="KP69" i="2"/>
  <c r="KN70" i="2"/>
  <c r="KN71" i="2" s="1"/>
  <c r="HG71" i="2"/>
  <c r="EW71" i="2"/>
  <c r="EA71" i="2"/>
  <c r="EX71" i="2"/>
  <c r="FS71" i="2"/>
  <c r="EV71" i="2"/>
  <c r="EC71" i="2"/>
  <c r="EB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FO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ME72" i="2" l="1"/>
  <c r="LJ72" i="2"/>
  <c r="JT72" i="2"/>
  <c r="IY72" i="2"/>
  <c r="IC72" i="2"/>
  <c r="HH72" i="2"/>
  <c r="IW72" i="2"/>
  <c r="IZ71" i="2"/>
  <c r="JR72" i="2"/>
  <c r="JU71" i="2"/>
  <c r="IB72" i="2"/>
  <c r="IE71" i="2"/>
  <c r="PI72" i="2"/>
  <c r="PL71" i="2"/>
  <c r="LI72" i="2"/>
  <c r="KJ73" i="2"/>
  <c r="KI73" i="2"/>
  <c r="KH73" i="2"/>
  <c r="OU73" i="2"/>
  <c r="PF73" i="2"/>
  <c r="PD73" i="2"/>
  <c r="PG73" i="2"/>
  <c r="PH73" i="2"/>
  <c r="MJ73" i="2"/>
  <c r="OT73" i="2"/>
  <c r="MI73" i="2"/>
  <c r="PE73" i="2"/>
  <c r="PK73" i="2" s="1"/>
  <c r="OS73" i="2"/>
  <c r="OR73" i="2"/>
  <c r="OM73" i="2"/>
  <c r="OL73" i="2"/>
  <c r="OK73" i="2"/>
  <c r="OJ73" i="2"/>
  <c r="OP73" i="2" s="1"/>
  <c r="NZ73" i="2"/>
  <c r="OI73" i="2"/>
  <c r="NX73" i="2"/>
  <c r="NR73" i="2"/>
  <c r="NP73" i="2"/>
  <c r="NY73" i="2"/>
  <c r="NW73" i="2"/>
  <c r="NO73" i="2"/>
  <c r="NU73" i="2" s="1"/>
  <c r="NE73" i="2"/>
  <c r="ND73" i="2"/>
  <c r="NQ73" i="2"/>
  <c r="NC73" i="2"/>
  <c r="MW73" i="2"/>
  <c r="NN73" i="2"/>
  <c r="MU73" i="2"/>
  <c r="MT73" i="2"/>
  <c r="MY73" i="2" s="1"/>
  <c r="MS73" i="2"/>
  <c r="NB73" i="2"/>
  <c r="MV73" i="2"/>
  <c r="MA73" i="2"/>
  <c r="LO73" i="2"/>
  <c r="MG73" i="2"/>
  <c r="LZ73" i="2"/>
  <c r="LY73" i="2"/>
  <c r="MH73" i="2"/>
  <c r="MB73" i="2"/>
  <c r="LX73" i="2"/>
  <c r="LG73" i="2"/>
  <c r="LC73" i="2"/>
  <c r="LN73" i="2"/>
  <c r="LF73" i="2"/>
  <c r="KT73" i="2"/>
  <c r="KS73" i="2"/>
  <c r="JA73" i="2"/>
  <c r="LL73" i="2"/>
  <c r="LE73" i="2"/>
  <c r="JB73" i="2"/>
  <c r="LM73" i="2"/>
  <c r="LD73" i="2"/>
  <c r="KR73" i="2"/>
  <c r="KL73" i="2"/>
  <c r="JY73" i="2"/>
  <c r="JX73" i="2"/>
  <c r="JN73" i="2"/>
  <c r="JW73" i="2"/>
  <c r="JQ73" i="2"/>
  <c r="KK73" i="2"/>
  <c r="JM73" i="2"/>
  <c r="JP73" i="2"/>
  <c r="KQ73" i="2"/>
  <c r="JO73" i="2"/>
  <c r="JD73" i="2"/>
  <c r="JV73" i="2"/>
  <c r="IV73" i="2"/>
  <c r="IR73" i="2"/>
  <c r="II73" i="2"/>
  <c r="HD73" i="2"/>
  <c r="IU73" i="2"/>
  <c r="IH73" i="2"/>
  <c r="IF73" i="2"/>
  <c r="HE73" i="2"/>
  <c r="IT73" i="2"/>
  <c r="IG73" i="2"/>
  <c r="HF73" i="2"/>
  <c r="JC73" i="2"/>
  <c r="IS73" i="2"/>
  <c r="HN73" i="2"/>
  <c r="HX73" i="2"/>
  <c r="HL73" i="2"/>
  <c r="IA73" i="2"/>
  <c r="HW73" i="2"/>
  <c r="HZ73" i="2"/>
  <c r="HM73" i="2"/>
  <c r="HK73" i="2"/>
  <c r="HY73" i="2"/>
  <c r="LH72" i="2"/>
  <c r="LK71" i="2"/>
  <c r="MC72" i="2"/>
  <c r="MF71" i="2"/>
  <c r="PJ72" i="2"/>
  <c r="PJ73" i="2" s="1"/>
  <c r="JS72" i="2"/>
  <c r="NT72" i="2"/>
  <c r="NT73" i="2" s="1"/>
  <c r="NS72" i="2"/>
  <c r="NV71" i="2"/>
  <c r="ID72" i="2"/>
  <c r="ID73" i="2" s="1"/>
  <c r="MX72" i="2"/>
  <c r="NA71" i="2"/>
  <c r="MZ72" i="2"/>
  <c r="MZ73" i="2" s="1"/>
  <c r="IX72" i="2"/>
  <c r="ON72" i="2"/>
  <c r="OQ71" i="2"/>
  <c r="KM71" i="2"/>
  <c r="KP70" i="2"/>
  <c r="KO72" i="2"/>
  <c r="HG72" i="2"/>
  <c r="HI72" i="2"/>
  <c r="EB72" i="2"/>
  <c r="EC72" i="2"/>
  <c r="EA72" i="2"/>
  <c r="FS72" i="2"/>
  <c r="GN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GJ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JS73" i="2" l="1"/>
  <c r="ME73" i="2"/>
  <c r="MD73" i="2"/>
  <c r="LJ73" i="2"/>
  <c r="JT73" i="2"/>
  <c r="IX73" i="2"/>
  <c r="IY73" i="2"/>
  <c r="IC73" i="2"/>
  <c r="HI73" i="2"/>
  <c r="HH73" i="2"/>
  <c r="OP74" i="2"/>
  <c r="PK74" i="2"/>
  <c r="HG73" i="2"/>
  <c r="LI73" i="2"/>
  <c r="PI73" i="2"/>
  <c r="PL72" i="2"/>
  <c r="JU72" i="2"/>
  <c r="JR73" i="2"/>
  <c r="OO73" i="2"/>
  <c r="KJ74" i="2"/>
  <c r="KI74" i="2"/>
  <c r="KH74" i="2"/>
  <c r="OT74" i="2"/>
  <c r="PE74" i="2"/>
  <c r="OU74" i="2"/>
  <c r="PD74" i="2"/>
  <c r="PG74" i="2"/>
  <c r="PJ74" i="2" s="1"/>
  <c r="PH74" i="2"/>
  <c r="MI74" i="2"/>
  <c r="PF74" i="2"/>
  <c r="MJ74" i="2"/>
  <c r="OR74" i="2"/>
  <c r="OS74" i="2"/>
  <c r="OM74" i="2"/>
  <c r="OK74" i="2"/>
  <c r="OJ74" i="2"/>
  <c r="OL74" i="2"/>
  <c r="OI74" i="2"/>
  <c r="NZ74" i="2"/>
  <c r="NY74" i="2"/>
  <c r="NX74" i="2"/>
  <c r="NW74" i="2"/>
  <c r="NR74" i="2"/>
  <c r="NQ74" i="2"/>
  <c r="NP74" i="2"/>
  <c r="NN74" i="2"/>
  <c r="NE74" i="2"/>
  <c r="ND74" i="2"/>
  <c r="NO74" i="2"/>
  <c r="NT74" i="2" s="1"/>
  <c r="NB74" i="2"/>
  <c r="NC74" i="2"/>
  <c r="MW74" i="2"/>
  <c r="MV74" i="2"/>
  <c r="MH74" i="2"/>
  <c r="MU74" i="2"/>
  <c r="MT74" i="2"/>
  <c r="MY74" i="2" s="1"/>
  <c r="MS74" i="2"/>
  <c r="MB74" i="2"/>
  <c r="LX74" i="2"/>
  <c r="MA74" i="2"/>
  <c r="MD74" i="2" s="1"/>
  <c r="LO74" i="2"/>
  <c r="MG74" i="2"/>
  <c r="LZ74" i="2"/>
  <c r="LY74" i="2"/>
  <c r="LM74" i="2"/>
  <c r="LD74" i="2"/>
  <c r="KR74" i="2"/>
  <c r="LG74" i="2"/>
  <c r="LC74" i="2"/>
  <c r="LN74" i="2"/>
  <c r="LF74" i="2"/>
  <c r="KT74" i="2"/>
  <c r="KS74" i="2"/>
  <c r="JA74" i="2"/>
  <c r="LL74" i="2"/>
  <c r="LE74" i="2"/>
  <c r="JB74" i="2"/>
  <c r="JO74" i="2"/>
  <c r="JD74" i="2"/>
  <c r="JV74" i="2"/>
  <c r="KL74" i="2"/>
  <c r="JY74" i="2"/>
  <c r="JX74" i="2"/>
  <c r="JN74" i="2"/>
  <c r="JW74" i="2"/>
  <c r="JQ74" i="2"/>
  <c r="KK74" i="2"/>
  <c r="JM74" i="2"/>
  <c r="JP74" i="2"/>
  <c r="JC74" i="2"/>
  <c r="KQ74" i="2"/>
  <c r="IS74" i="2"/>
  <c r="HN74" i="2"/>
  <c r="IV74" i="2"/>
  <c r="IR74" i="2"/>
  <c r="II74" i="2"/>
  <c r="HD74" i="2"/>
  <c r="IU74" i="2"/>
  <c r="IH74" i="2"/>
  <c r="IF74" i="2"/>
  <c r="HE74" i="2"/>
  <c r="IT74" i="2"/>
  <c r="IG74" i="2"/>
  <c r="HF74" i="2"/>
  <c r="HM74" i="2"/>
  <c r="HK74" i="2"/>
  <c r="HY74" i="2"/>
  <c r="HX74" i="2"/>
  <c r="HL74" i="2"/>
  <c r="IA74" i="2"/>
  <c r="HW74" i="2"/>
  <c r="HZ74" i="2"/>
  <c r="ON73" i="2"/>
  <c r="OQ72" i="2"/>
  <c r="NS73" i="2"/>
  <c r="NV72" i="2"/>
  <c r="LH73" i="2"/>
  <c r="LK72" i="2"/>
  <c r="MX73" i="2"/>
  <c r="NA72" i="2"/>
  <c r="IB73" i="2"/>
  <c r="IE72" i="2"/>
  <c r="ID74" i="2"/>
  <c r="MC73" i="2"/>
  <c r="MF72" i="2"/>
  <c r="IW73" i="2"/>
  <c r="IZ72" i="2"/>
  <c r="KO73" i="2"/>
  <c r="KM72" i="2"/>
  <c r="KP71" i="2"/>
  <c r="KN72" i="2"/>
  <c r="EW73" i="2"/>
  <c r="EX73" i="2"/>
  <c r="EC73" i="2"/>
  <c r="EB73" i="2"/>
  <c r="FS73" i="2"/>
  <c r="EA73" i="2"/>
  <c r="EV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LI74" i="2" l="1"/>
  <c r="ME74" i="2"/>
  <c r="LJ74" i="2"/>
  <c r="JT74" i="2"/>
  <c r="IY74" i="2"/>
  <c r="IX74" i="2"/>
  <c r="IC74" i="2"/>
  <c r="HH74" i="2"/>
  <c r="KJ75" i="2"/>
  <c r="KH75" i="2"/>
  <c r="KI75" i="2"/>
  <c r="PD75" i="2"/>
  <c r="PH75" i="2"/>
  <c r="PE75" i="2"/>
  <c r="PJ75" i="2" s="1"/>
  <c r="OU75" i="2"/>
  <c r="PF75" i="2"/>
  <c r="PG75" i="2"/>
  <c r="MJ75" i="2"/>
  <c r="MI75" i="2"/>
  <c r="OT75" i="2"/>
  <c r="OR75" i="2"/>
  <c r="OS75" i="2"/>
  <c r="OM75" i="2"/>
  <c r="OK75" i="2"/>
  <c r="OJ75" i="2"/>
  <c r="OI75" i="2"/>
  <c r="OL75" i="2"/>
  <c r="NZ75" i="2"/>
  <c r="NY75" i="2"/>
  <c r="NX75" i="2"/>
  <c r="NW75" i="2"/>
  <c r="NR75" i="2"/>
  <c r="NQ75" i="2"/>
  <c r="NC75" i="2"/>
  <c r="NN75" i="2"/>
  <c r="NP75" i="2"/>
  <c r="NE75" i="2"/>
  <c r="ND75" i="2"/>
  <c r="NO75" i="2"/>
  <c r="NT75" i="2" s="1"/>
  <c r="NB75" i="2"/>
  <c r="MW75" i="2"/>
  <c r="MS75" i="2"/>
  <c r="MV75" i="2"/>
  <c r="MH75" i="2"/>
  <c r="MG75" i="2"/>
  <c r="MU75" i="2"/>
  <c r="MT75" i="2"/>
  <c r="MY75" i="2" s="1"/>
  <c r="LY75" i="2"/>
  <c r="MB75" i="2"/>
  <c r="LX75" i="2"/>
  <c r="MA75" i="2"/>
  <c r="LO75" i="2"/>
  <c r="LZ75" i="2"/>
  <c r="LL75" i="2"/>
  <c r="LE75" i="2"/>
  <c r="JB75" i="2"/>
  <c r="LM75" i="2"/>
  <c r="LD75" i="2"/>
  <c r="KR75" i="2"/>
  <c r="LG75" i="2"/>
  <c r="LC75" i="2"/>
  <c r="LN75" i="2"/>
  <c r="LF75" i="2"/>
  <c r="KT75" i="2"/>
  <c r="KS75" i="2"/>
  <c r="JA75" i="2"/>
  <c r="KQ75" i="2"/>
  <c r="JO75" i="2"/>
  <c r="JD75" i="2"/>
  <c r="JV75" i="2"/>
  <c r="KL75" i="2"/>
  <c r="JY75" i="2"/>
  <c r="JX75" i="2"/>
  <c r="JN75" i="2"/>
  <c r="JW75" i="2"/>
  <c r="JQ75" i="2"/>
  <c r="KK75" i="2"/>
  <c r="JM75" i="2"/>
  <c r="JP75" i="2"/>
  <c r="JC75" i="2"/>
  <c r="IT75" i="2"/>
  <c r="IG75" i="2"/>
  <c r="HF75" i="2"/>
  <c r="IS75" i="2"/>
  <c r="HN75" i="2"/>
  <c r="IV75" i="2"/>
  <c r="IR75" i="2"/>
  <c r="II75" i="2"/>
  <c r="HD75" i="2"/>
  <c r="IU75" i="2"/>
  <c r="IH75" i="2"/>
  <c r="IF75" i="2"/>
  <c r="HE75" i="2"/>
  <c r="HZ75" i="2"/>
  <c r="HM75" i="2"/>
  <c r="HK75" i="2"/>
  <c r="HY75" i="2"/>
  <c r="HX75" i="2"/>
  <c r="IC75" i="2" s="1"/>
  <c r="HL75" i="2"/>
  <c r="IA75" i="2"/>
  <c r="HW75" i="2"/>
  <c r="ON74" i="2"/>
  <c r="OQ73" i="2"/>
  <c r="PK75" i="2"/>
  <c r="OP75" i="2"/>
  <c r="IW74" i="2"/>
  <c r="IZ73" i="2"/>
  <c r="NS74" i="2"/>
  <c r="NV73" i="2"/>
  <c r="PI74" i="2"/>
  <c r="PL73" i="2"/>
  <c r="JS74" i="2"/>
  <c r="NU74" i="2"/>
  <c r="NU75" i="2" s="1"/>
  <c r="MC74" i="2"/>
  <c r="MF73" i="2"/>
  <c r="IB74" i="2"/>
  <c r="IE73" i="2"/>
  <c r="MX74" i="2"/>
  <c r="NA73" i="2"/>
  <c r="LH74" i="2"/>
  <c r="LK73" i="2"/>
  <c r="JR74" i="2"/>
  <c r="JU73" i="2"/>
  <c r="MZ74" i="2"/>
  <c r="MZ75" i="2" s="1"/>
  <c r="OO74" i="2"/>
  <c r="OO75" i="2" s="1"/>
  <c r="KM73" i="2"/>
  <c r="KP72" i="2"/>
  <c r="KO74" i="2"/>
  <c r="KN73" i="2"/>
  <c r="KN74" i="2" s="1"/>
  <c r="HG74" i="2"/>
  <c r="HI74" i="2"/>
  <c r="FS74" i="2"/>
  <c r="FR74" i="2"/>
  <c r="EW74" i="2"/>
  <c r="EC74" i="2"/>
  <c r="EX74" i="2"/>
  <c r="EB74" i="2"/>
  <c r="GN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LJ75" i="2" l="1"/>
  <c r="JT75" i="2"/>
  <c r="ME75" i="2"/>
  <c r="MD75" i="2"/>
  <c r="MD76" i="2" s="1"/>
  <c r="LI75" i="2"/>
  <c r="JS75" i="2"/>
  <c r="IY75" i="2"/>
  <c r="IX75" i="2"/>
  <c r="ID75" i="2"/>
  <c r="HH75" i="2"/>
  <c r="KH76" i="2"/>
  <c r="KJ76" i="2"/>
  <c r="KI76" i="2"/>
  <c r="PG76" i="2"/>
  <c r="PF76" i="2"/>
  <c r="MI76" i="2"/>
  <c r="PE76" i="2"/>
  <c r="PJ76" i="2" s="1"/>
  <c r="OT76" i="2"/>
  <c r="OU76" i="2"/>
  <c r="PD76" i="2"/>
  <c r="PH76" i="2"/>
  <c r="MJ76" i="2"/>
  <c r="OR76" i="2"/>
  <c r="OS76" i="2"/>
  <c r="OM76" i="2"/>
  <c r="OL76" i="2"/>
  <c r="OK76" i="2"/>
  <c r="OJ76" i="2"/>
  <c r="OI76" i="2"/>
  <c r="NZ76" i="2"/>
  <c r="NX76" i="2"/>
  <c r="NY76" i="2"/>
  <c r="NW76" i="2"/>
  <c r="NO76" i="2"/>
  <c r="NT76" i="2" s="1"/>
  <c r="NR76" i="2"/>
  <c r="NC76" i="2"/>
  <c r="NQ76" i="2"/>
  <c r="NN76" i="2"/>
  <c r="NP76" i="2"/>
  <c r="NE76" i="2"/>
  <c r="ND76" i="2"/>
  <c r="NB76" i="2"/>
  <c r="MT76" i="2"/>
  <c r="MY76" i="2" s="1"/>
  <c r="MW76" i="2"/>
  <c r="MS76" i="2"/>
  <c r="MV76" i="2"/>
  <c r="MH76" i="2"/>
  <c r="MG76" i="2"/>
  <c r="MU76" i="2"/>
  <c r="LZ76" i="2"/>
  <c r="LY76" i="2"/>
  <c r="MB76" i="2"/>
  <c r="LX76" i="2"/>
  <c r="MA76" i="2"/>
  <c r="LO76" i="2"/>
  <c r="LN76" i="2"/>
  <c r="LF76" i="2"/>
  <c r="LI76" i="2" s="1"/>
  <c r="KT76" i="2"/>
  <c r="KS76" i="2"/>
  <c r="JA76" i="2"/>
  <c r="LL76" i="2"/>
  <c r="LE76" i="2"/>
  <c r="JB76" i="2"/>
  <c r="LM76" i="2"/>
  <c r="LD76" i="2"/>
  <c r="KR76" i="2"/>
  <c r="LG76" i="2"/>
  <c r="LC76" i="2"/>
  <c r="KK76" i="2"/>
  <c r="JM76" i="2"/>
  <c r="JP76" i="2"/>
  <c r="KQ76" i="2"/>
  <c r="JO76" i="2"/>
  <c r="JD76" i="2"/>
  <c r="JV76" i="2"/>
  <c r="KL76" i="2"/>
  <c r="JY76" i="2"/>
  <c r="JX76" i="2"/>
  <c r="JN76" i="2"/>
  <c r="JW76" i="2"/>
  <c r="JQ76" i="2"/>
  <c r="JC76" i="2"/>
  <c r="IU76" i="2"/>
  <c r="IH76" i="2"/>
  <c r="IF76" i="2"/>
  <c r="HE76" i="2"/>
  <c r="IT76" i="2"/>
  <c r="IG76" i="2"/>
  <c r="HF76" i="2"/>
  <c r="IS76" i="2"/>
  <c r="HN76" i="2"/>
  <c r="IV76" i="2"/>
  <c r="IR76" i="2"/>
  <c r="II76" i="2"/>
  <c r="HD76" i="2"/>
  <c r="HL76" i="2"/>
  <c r="IA76" i="2"/>
  <c r="HW76" i="2"/>
  <c r="HZ76" i="2"/>
  <c r="HM76" i="2"/>
  <c r="HK76" i="2"/>
  <c r="HY76" i="2"/>
  <c r="HX76" i="2"/>
  <c r="IC76" i="2" s="1"/>
  <c r="IB75" i="2"/>
  <c r="IE74" i="2"/>
  <c r="PI75" i="2"/>
  <c r="PL74" i="2"/>
  <c r="IW75" i="2"/>
  <c r="IZ74" i="2"/>
  <c r="PK76" i="2"/>
  <c r="LH75" i="2"/>
  <c r="LK74" i="2"/>
  <c r="MX75" i="2"/>
  <c r="NA74" i="2"/>
  <c r="NS75" i="2"/>
  <c r="NV74" i="2"/>
  <c r="OO76" i="2"/>
  <c r="OP76" i="2"/>
  <c r="ON75" i="2"/>
  <c r="OQ74" i="2"/>
  <c r="MZ76" i="2"/>
  <c r="JU74" i="2"/>
  <c r="JR75" i="2"/>
  <c r="IX76" i="2"/>
  <c r="MC75" i="2"/>
  <c r="MF74" i="2"/>
  <c r="NU76" i="2"/>
  <c r="KO75" i="2"/>
  <c r="KM74" i="2"/>
  <c r="KP73" i="2"/>
  <c r="HI75" i="2"/>
  <c r="HG75" i="2"/>
  <c r="EA75" i="2"/>
  <c r="FS75" i="2"/>
  <c r="EB75" i="2"/>
  <c r="EX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JS76" i="2" l="1"/>
  <c r="JT76" i="2"/>
  <c r="ME76" i="2"/>
  <c r="LJ76" i="2"/>
  <c r="IY76" i="2"/>
  <c r="ID76" i="2"/>
  <c r="HH76" i="2"/>
  <c r="KJ77" i="2"/>
  <c r="KI77" i="2"/>
  <c r="KH77" i="2"/>
  <c r="OU77" i="2"/>
  <c r="PF77" i="2"/>
  <c r="OT77" i="2"/>
  <c r="MJ77" i="2"/>
  <c r="MI77" i="2"/>
  <c r="PE77" i="2"/>
  <c r="PJ77" i="2" s="1"/>
  <c r="PD77" i="2"/>
  <c r="PG77" i="2"/>
  <c r="PH77" i="2"/>
  <c r="OS77" i="2"/>
  <c r="OR77" i="2"/>
  <c r="OM77" i="2"/>
  <c r="OL77" i="2"/>
  <c r="OK77" i="2"/>
  <c r="OJ77" i="2"/>
  <c r="OI77" i="2"/>
  <c r="NZ77" i="2"/>
  <c r="NX77" i="2"/>
  <c r="NR77" i="2"/>
  <c r="NY77" i="2"/>
  <c r="NP77" i="2"/>
  <c r="NW77" i="2"/>
  <c r="NO77" i="2"/>
  <c r="NT77" i="2" s="1"/>
  <c r="NE77" i="2"/>
  <c r="ND77" i="2"/>
  <c r="NC77" i="2"/>
  <c r="MW77" i="2"/>
  <c r="NQ77" i="2"/>
  <c r="NN77" i="2"/>
  <c r="MU77" i="2"/>
  <c r="NB77" i="2"/>
  <c r="MT77" i="2"/>
  <c r="MY77" i="2" s="1"/>
  <c r="MS77" i="2"/>
  <c r="MV77" i="2"/>
  <c r="MH77" i="2"/>
  <c r="MA77" i="2"/>
  <c r="LO77" i="2"/>
  <c r="LZ77" i="2"/>
  <c r="LY77" i="2"/>
  <c r="ME77" i="2" s="1"/>
  <c r="MG77" i="2"/>
  <c r="MB77" i="2"/>
  <c r="LX77" i="2"/>
  <c r="LG77" i="2"/>
  <c r="LC77" i="2"/>
  <c r="LN77" i="2"/>
  <c r="LF77" i="2"/>
  <c r="KT77" i="2"/>
  <c r="KS77" i="2"/>
  <c r="JA77" i="2"/>
  <c r="LL77" i="2"/>
  <c r="LE77" i="2"/>
  <c r="JB77" i="2"/>
  <c r="LM77" i="2"/>
  <c r="LD77" i="2"/>
  <c r="KR77" i="2"/>
  <c r="KL77" i="2"/>
  <c r="JY77" i="2"/>
  <c r="JX77" i="2"/>
  <c r="JN77" i="2"/>
  <c r="JW77" i="2"/>
  <c r="JQ77" i="2"/>
  <c r="KK77" i="2"/>
  <c r="JM77" i="2"/>
  <c r="JP77" i="2"/>
  <c r="KQ77" i="2"/>
  <c r="JO77" i="2"/>
  <c r="JD77" i="2"/>
  <c r="JV77" i="2"/>
  <c r="IV77" i="2"/>
  <c r="IR77" i="2"/>
  <c r="II77" i="2"/>
  <c r="HD77" i="2"/>
  <c r="JC77" i="2"/>
  <c r="IU77" i="2"/>
  <c r="IH77" i="2"/>
  <c r="IF77" i="2"/>
  <c r="HE77" i="2"/>
  <c r="IT77" i="2"/>
  <c r="IG77" i="2"/>
  <c r="HF77" i="2"/>
  <c r="IS77" i="2"/>
  <c r="IY77" i="2" s="1"/>
  <c r="HN77" i="2"/>
  <c r="HX77" i="2"/>
  <c r="HL77" i="2"/>
  <c r="IA77" i="2"/>
  <c r="HW77" i="2"/>
  <c r="HZ77" i="2"/>
  <c r="HM77" i="2"/>
  <c r="HK77" i="2"/>
  <c r="HY77" i="2"/>
  <c r="ON76" i="2"/>
  <c r="OQ75" i="2"/>
  <c r="ID77" i="2"/>
  <c r="MX76" i="2"/>
  <c r="NA75" i="2"/>
  <c r="IW76" i="2"/>
  <c r="IZ75" i="2"/>
  <c r="NU77" i="2"/>
  <c r="JR76" i="2"/>
  <c r="JU75" i="2"/>
  <c r="IB76" i="2"/>
  <c r="IE75" i="2"/>
  <c r="OP77" i="2"/>
  <c r="NS76" i="2"/>
  <c r="NV75" i="2"/>
  <c r="LH76" i="2"/>
  <c r="LK75" i="2"/>
  <c r="PK77" i="2"/>
  <c r="PI76" i="2"/>
  <c r="PL75" i="2"/>
  <c r="MC76" i="2"/>
  <c r="MF75" i="2"/>
  <c r="MZ77" i="2"/>
  <c r="OO77" i="2"/>
  <c r="KM75" i="2"/>
  <c r="KP74" i="2"/>
  <c r="KO76" i="2"/>
  <c r="KN75" i="2"/>
  <c r="KN76" i="2" s="1"/>
  <c r="HG76" i="2"/>
  <c r="HI76" i="2"/>
  <c r="FS76" i="2"/>
  <c r="EW76" i="2"/>
  <c r="EX76" i="2"/>
  <c r="EC76" i="2"/>
  <c r="GN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GJ77" i="2"/>
  <c r="GI77" i="2"/>
  <c r="FO77" i="2"/>
  <c r="FN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LI77" i="2" l="1"/>
  <c r="JS77" i="2"/>
  <c r="MD77" i="2"/>
  <c r="LJ77" i="2"/>
  <c r="JT77" i="2"/>
  <c r="IX77" i="2"/>
  <c r="IC77" i="2"/>
  <c r="HH77" i="2"/>
  <c r="PI77" i="2"/>
  <c r="PL76" i="2"/>
  <c r="ON77" i="2"/>
  <c r="OQ76" i="2"/>
  <c r="NS77" i="2"/>
  <c r="NV76" i="2"/>
  <c r="MX77" i="2"/>
  <c r="NA76" i="2"/>
  <c r="KJ78" i="2"/>
  <c r="KI78" i="2"/>
  <c r="KH78" i="2"/>
  <c r="OT78" i="2"/>
  <c r="PE78" i="2"/>
  <c r="PK78" i="2" s="1"/>
  <c r="PD78" i="2"/>
  <c r="PG78" i="2"/>
  <c r="PH78" i="2"/>
  <c r="PF78" i="2"/>
  <c r="OU78" i="2"/>
  <c r="MI78" i="2"/>
  <c r="MJ78" i="2"/>
  <c r="OR78" i="2"/>
  <c r="OS78" i="2"/>
  <c r="OM78" i="2"/>
  <c r="OL78" i="2"/>
  <c r="OJ78" i="2"/>
  <c r="OO78" i="2" s="1"/>
  <c r="OK78" i="2"/>
  <c r="OI78" i="2"/>
  <c r="NZ78" i="2"/>
  <c r="NY78" i="2"/>
  <c r="NW78" i="2"/>
  <c r="NR78" i="2"/>
  <c r="NX78" i="2"/>
  <c r="NQ78" i="2"/>
  <c r="NP78" i="2"/>
  <c r="NO78" i="2"/>
  <c r="NT78" i="2" s="1"/>
  <c r="NN78" i="2"/>
  <c r="NE78" i="2"/>
  <c r="ND78" i="2"/>
  <c r="NB78" i="2"/>
  <c r="NC78" i="2"/>
  <c r="MW78" i="2"/>
  <c r="MV78" i="2"/>
  <c r="MH78" i="2"/>
  <c r="MU78" i="2"/>
  <c r="MT78" i="2"/>
  <c r="MZ78" i="2" s="1"/>
  <c r="MS78" i="2"/>
  <c r="MG78" i="2"/>
  <c r="MB78" i="2"/>
  <c r="LX78" i="2"/>
  <c r="MA78" i="2"/>
  <c r="LO78" i="2"/>
  <c r="LZ78" i="2"/>
  <c r="LY78" i="2"/>
  <c r="ME78" i="2" s="1"/>
  <c r="LM78" i="2"/>
  <c r="LD78" i="2"/>
  <c r="KR78" i="2"/>
  <c r="LG78" i="2"/>
  <c r="LC78" i="2"/>
  <c r="LN78" i="2"/>
  <c r="LF78" i="2"/>
  <c r="KT78" i="2"/>
  <c r="KS78" i="2"/>
  <c r="JA78" i="2"/>
  <c r="LL78" i="2"/>
  <c r="LE78" i="2"/>
  <c r="JB78" i="2"/>
  <c r="JO78" i="2"/>
  <c r="JD78" i="2"/>
  <c r="JV78" i="2"/>
  <c r="KL78" i="2"/>
  <c r="JY78" i="2"/>
  <c r="JX78" i="2"/>
  <c r="JN78" i="2"/>
  <c r="JW78" i="2"/>
  <c r="JQ78" i="2"/>
  <c r="KK78" i="2"/>
  <c r="JM78" i="2"/>
  <c r="JP78" i="2"/>
  <c r="JC78" i="2"/>
  <c r="KQ78" i="2"/>
  <c r="IS78" i="2"/>
  <c r="IY78" i="2" s="1"/>
  <c r="HN78" i="2"/>
  <c r="IV78" i="2"/>
  <c r="IR78" i="2"/>
  <c r="II78" i="2"/>
  <c r="HD78" i="2"/>
  <c r="IU78" i="2"/>
  <c r="IH78" i="2"/>
  <c r="IF78" i="2"/>
  <c r="HE78" i="2"/>
  <c r="IT78" i="2"/>
  <c r="IG78" i="2"/>
  <c r="HF78" i="2"/>
  <c r="HM78" i="2"/>
  <c r="HK78" i="2"/>
  <c r="HY78" i="2"/>
  <c r="HX78" i="2"/>
  <c r="HL78" i="2"/>
  <c r="IA78" i="2"/>
  <c r="HW78" i="2"/>
  <c r="HZ78" i="2"/>
  <c r="OP78" i="2"/>
  <c r="JR77" i="2"/>
  <c r="JU76" i="2"/>
  <c r="MC77" i="2"/>
  <c r="MF76" i="2"/>
  <c r="LH77" i="2"/>
  <c r="LK76" i="2"/>
  <c r="IB77" i="2"/>
  <c r="IE76" i="2"/>
  <c r="NU78" i="2"/>
  <c r="IW77" i="2"/>
  <c r="IZ76" i="2"/>
  <c r="KO77" i="2"/>
  <c r="KM76" i="2"/>
  <c r="KP75" i="2"/>
  <c r="HI77" i="2"/>
  <c r="HG77" i="2"/>
  <c r="EA77" i="2"/>
  <c r="EW77" i="2"/>
  <c r="EB77" i="2"/>
  <c r="FS77" i="2"/>
  <c r="EX77" i="2"/>
  <c r="EC77" i="2"/>
  <c r="EV77" i="2"/>
  <c r="GN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LJ78" i="2" l="1"/>
  <c r="JS78" i="2"/>
  <c r="HH78" i="2"/>
  <c r="MD78" i="2"/>
  <c r="JT78" i="2"/>
  <c r="ID78" i="2"/>
  <c r="IC78" i="2"/>
  <c r="LH78" i="2"/>
  <c r="LK77" i="2"/>
  <c r="JU77" i="2"/>
  <c r="JR78" i="2"/>
  <c r="IX78" i="2"/>
  <c r="NS78" i="2"/>
  <c r="NV77" i="2"/>
  <c r="LI78" i="2"/>
  <c r="PJ78" i="2"/>
  <c r="MY78" i="2"/>
  <c r="KJ79" i="2"/>
  <c r="KI79" i="2"/>
  <c r="KH79" i="2"/>
  <c r="PD79" i="2"/>
  <c r="PH79" i="2"/>
  <c r="OU79" i="2"/>
  <c r="OT79" i="2"/>
  <c r="PG79" i="2"/>
  <c r="PE79" i="2"/>
  <c r="PK79" i="2" s="1"/>
  <c r="PF79" i="2"/>
  <c r="MI79" i="2"/>
  <c r="MJ79" i="2"/>
  <c r="OR79" i="2"/>
  <c r="OS79" i="2"/>
  <c r="OM79" i="2"/>
  <c r="OK79" i="2"/>
  <c r="OL79" i="2"/>
  <c r="OJ79" i="2"/>
  <c r="OO79" i="2" s="1"/>
  <c r="OI79" i="2"/>
  <c r="NZ79" i="2"/>
  <c r="NY79" i="2"/>
  <c r="NW79" i="2"/>
  <c r="NR79" i="2"/>
  <c r="NX79" i="2"/>
  <c r="NQ79" i="2"/>
  <c r="NP79" i="2"/>
  <c r="NC79" i="2"/>
  <c r="NO79" i="2"/>
  <c r="NU79" i="2" s="1"/>
  <c r="NN79" i="2"/>
  <c r="NE79" i="2"/>
  <c r="ND79" i="2"/>
  <c r="NB79" i="2"/>
  <c r="MS79" i="2"/>
  <c r="MV79" i="2"/>
  <c r="MH79" i="2"/>
  <c r="MG79" i="2"/>
  <c r="MW79" i="2"/>
  <c r="MU79" i="2"/>
  <c r="MT79" i="2"/>
  <c r="MZ79" i="2" s="1"/>
  <c r="LY79" i="2"/>
  <c r="MB79" i="2"/>
  <c r="LX79" i="2"/>
  <c r="MA79" i="2"/>
  <c r="LO79" i="2"/>
  <c r="LZ79" i="2"/>
  <c r="LL79" i="2"/>
  <c r="LE79" i="2"/>
  <c r="JB79" i="2"/>
  <c r="LM79" i="2"/>
  <c r="LD79" i="2"/>
  <c r="KR79" i="2"/>
  <c r="LG79" i="2"/>
  <c r="LC79" i="2"/>
  <c r="LN79" i="2"/>
  <c r="LF79" i="2"/>
  <c r="KT79" i="2"/>
  <c r="KS79" i="2"/>
  <c r="JA79" i="2"/>
  <c r="KQ79" i="2"/>
  <c r="JO79" i="2"/>
  <c r="JD79" i="2"/>
  <c r="JV79" i="2"/>
  <c r="KL79" i="2"/>
  <c r="JY79" i="2"/>
  <c r="JX79" i="2"/>
  <c r="JN79" i="2"/>
  <c r="JW79" i="2"/>
  <c r="JQ79" i="2"/>
  <c r="KK79" i="2"/>
  <c r="JM79" i="2"/>
  <c r="JP79" i="2"/>
  <c r="JC79" i="2"/>
  <c r="IT79" i="2"/>
  <c r="IG79" i="2"/>
  <c r="HF79" i="2"/>
  <c r="IS79" i="2"/>
  <c r="IY79" i="2" s="1"/>
  <c r="HN79" i="2"/>
  <c r="IV79" i="2"/>
  <c r="IR79" i="2"/>
  <c r="II79" i="2"/>
  <c r="HD79" i="2"/>
  <c r="IU79" i="2"/>
  <c r="IH79" i="2"/>
  <c r="IF79" i="2"/>
  <c r="HE79" i="2"/>
  <c r="HZ79" i="2"/>
  <c r="HM79" i="2"/>
  <c r="HK79" i="2"/>
  <c r="HY79" i="2"/>
  <c r="HX79" i="2"/>
  <c r="HL79" i="2"/>
  <c r="IA79" i="2"/>
  <c r="HW79" i="2"/>
  <c r="HG78" i="2"/>
  <c r="IB78" i="2"/>
  <c r="IE77" i="2"/>
  <c r="MF77" i="2"/>
  <c r="MC78" i="2"/>
  <c r="MX78" i="2"/>
  <c r="NA77" i="2"/>
  <c r="PI78" i="2"/>
  <c r="PL77" i="2"/>
  <c r="IW78" i="2"/>
  <c r="IZ77" i="2"/>
  <c r="ON78" i="2"/>
  <c r="OQ77" i="2"/>
  <c r="KM77" i="2"/>
  <c r="KP76" i="2"/>
  <c r="KO78" i="2"/>
  <c r="KN77" i="2"/>
  <c r="HI78" i="2"/>
  <c r="EC78" i="2"/>
  <c r="EV78" i="2"/>
  <c r="EB78" i="2"/>
  <c r="EW78" i="2"/>
  <c r="AU78" i="2"/>
  <c r="FS78" i="2"/>
  <c r="EX78" i="2"/>
  <c r="EA78" i="2"/>
  <c r="GN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LJ79" i="2" l="1"/>
  <c r="JS79" i="2"/>
  <c r="ME79" i="2"/>
  <c r="JT79" i="2"/>
  <c r="IC79" i="2"/>
  <c r="HH79" i="2"/>
  <c r="IW79" i="2"/>
  <c r="IZ78" i="2"/>
  <c r="MX79" i="2"/>
  <c r="NA78" i="2"/>
  <c r="MC79" i="2"/>
  <c r="MF78" i="2"/>
  <c r="LI79" i="2"/>
  <c r="IX79" i="2"/>
  <c r="LH79" i="2"/>
  <c r="LK78" i="2"/>
  <c r="NT79" i="2"/>
  <c r="OP79" i="2"/>
  <c r="JR79" i="2"/>
  <c r="JU78" i="2"/>
  <c r="PI79" i="2"/>
  <c r="PL78" i="2"/>
  <c r="MY79" i="2"/>
  <c r="MY80" i="2" s="1"/>
  <c r="MD79" i="2"/>
  <c r="MD80" i="2" s="1"/>
  <c r="ID79" i="2"/>
  <c r="KH80" i="2"/>
  <c r="KJ80" i="2"/>
  <c r="KI80" i="2"/>
  <c r="PG80" i="2"/>
  <c r="PE80" i="2"/>
  <c r="PK80" i="2" s="1"/>
  <c r="MI80" i="2"/>
  <c r="OU80" i="2"/>
  <c r="PD80" i="2"/>
  <c r="PH80" i="2"/>
  <c r="MJ80" i="2"/>
  <c r="OT80" i="2"/>
  <c r="PF80" i="2"/>
  <c r="OR80" i="2"/>
  <c r="OS80" i="2"/>
  <c r="OM80" i="2"/>
  <c r="OL80" i="2"/>
  <c r="OK80" i="2"/>
  <c r="OJ80" i="2"/>
  <c r="OO80" i="2" s="1"/>
  <c r="OI80" i="2"/>
  <c r="NZ80" i="2"/>
  <c r="NX80" i="2"/>
  <c r="NY80" i="2"/>
  <c r="NW80" i="2"/>
  <c r="NO80" i="2"/>
  <c r="NU80" i="2" s="1"/>
  <c r="NR80" i="2"/>
  <c r="NQ80" i="2"/>
  <c r="NP80" i="2"/>
  <c r="NC80" i="2"/>
  <c r="NN80" i="2"/>
  <c r="NE80" i="2"/>
  <c r="ND80" i="2"/>
  <c r="MT80" i="2"/>
  <c r="MZ80" i="2" s="1"/>
  <c r="MS80" i="2"/>
  <c r="NB80" i="2"/>
  <c r="MV80" i="2"/>
  <c r="MH80" i="2"/>
  <c r="MG80" i="2"/>
  <c r="MW80" i="2"/>
  <c r="MU80" i="2"/>
  <c r="LZ80" i="2"/>
  <c r="LY80" i="2"/>
  <c r="ME80" i="2" s="1"/>
  <c r="MB80" i="2"/>
  <c r="LX80" i="2"/>
  <c r="MA80" i="2"/>
  <c r="LO80" i="2"/>
  <c r="LN80" i="2"/>
  <c r="LF80" i="2"/>
  <c r="KT80" i="2"/>
  <c r="KS80" i="2"/>
  <c r="JA80" i="2"/>
  <c r="LL80" i="2"/>
  <c r="LE80" i="2"/>
  <c r="JB80" i="2"/>
  <c r="LM80" i="2"/>
  <c r="LD80" i="2"/>
  <c r="KR80" i="2"/>
  <c r="LG80" i="2"/>
  <c r="LC80" i="2"/>
  <c r="KK80" i="2"/>
  <c r="JM80" i="2"/>
  <c r="JP80" i="2"/>
  <c r="KQ80" i="2"/>
  <c r="JO80" i="2"/>
  <c r="JD80" i="2"/>
  <c r="JV80" i="2"/>
  <c r="KL80" i="2"/>
  <c r="JY80" i="2"/>
  <c r="JX80" i="2"/>
  <c r="JN80" i="2"/>
  <c r="JW80" i="2"/>
  <c r="JQ80" i="2"/>
  <c r="IU80" i="2"/>
  <c r="IH80" i="2"/>
  <c r="IF80" i="2"/>
  <c r="HE80" i="2"/>
  <c r="IT80" i="2"/>
  <c r="IG80" i="2"/>
  <c r="HF80" i="2"/>
  <c r="JC80" i="2"/>
  <c r="IS80" i="2"/>
  <c r="HN80" i="2"/>
  <c r="IV80" i="2"/>
  <c r="IR80" i="2"/>
  <c r="II80" i="2"/>
  <c r="HD80" i="2"/>
  <c r="HL80" i="2"/>
  <c r="IA80" i="2"/>
  <c r="HW80" i="2"/>
  <c r="HZ80" i="2"/>
  <c r="HM80" i="2"/>
  <c r="HK80" i="2"/>
  <c r="HY80" i="2"/>
  <c r="HX80" i="2"/>
  <c r="ON79" i="2"/>
  <c r="OQ78" i="2"/>
  <c r="IB79" i="2"/>
  <c r="IE78" i="2"/>
  <c r="PJ79" i="2"/>
  <c r="NS79" i="2"/>
  <c r="NV78" i="2"/>
  <c r="KO79" i="2"/>
  <c r="KM78" i="2"/>
  <c r="KP77" i="2"/>
  <c r="KN78" i="2"/>
  <c r="HI79" i="2"/>
  <c r="HG79" i="2"/>
  <c r="EB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LJ80" i="2" l="1"/>
  <c r="JT80" i="2"/>
  <c r="IY80" i="2"/>
  <c r="IC80" i="2"/>
  <c r="HH80" i="2"/>
  <c r="ON80" i="2"/>
  <c r="OQ79" i="2"/>
  <c r="NT80" i="2"/>
  <c r="MF79" i="2"/>
  <c r="MC80" i="2"/>
  <c r="IW80" i="2"/>
  <c r="IZ79" i="2"/>
  <c r="NS80" i="2"/>
  <c r="NV79" i="2"/>
  <c r="IB80" i="2"/>
  <c r="IE79" i="2"/>
  <c r="LI80" i="2"/>
  <c r="KJ81" i="2"/>
  <c r="KI81" i="2"/>
  <c r="KH81" i="2"/>
  <c r="OU81" i="2"/>
  <c r="PF81" i="2"/>
  <c r="MJ81" i="2"/>
  <c r="PE81" i="2"/>
  <c r="PK81" i="2" s="1"/>
  <c r="MI81" i="2"/>
  <c r="OT81" i="2"/>
  <c r="PD81" i="2"/>
  <c r="PG81" i="2"/>
  <c r="PH81" i="2"/>
  <c r="OS81" i="2"/>
  <c r="OR81" i="2"/>
  <c r="OM81" i="2"/>
  <c r="OL81" i="2"/>
  <c r="OK81" i="2"/>
  <c r="OJ81" i="2"/>
  <c r="OO81" i="2" s="1"/>
  <c r="NZ81" i="2"/>
  <c r="OI81" i="2"/>
  <c r="NX81" i="2"/>
  <c r="NR81" i="2"/>
  <c r="NP81" i="2"/>
  <c r="NY81" i="2"/>
  <c r="NW81" i="2"/>
  <c r="NO81" i="2"/>
  <c r="NU81" i="2" s="1"/>
  <c r="NE81" i="2"/>
  <c r="ND81" i="2"/>
  <c r="NQ81" i="2"/>
  <c r="NC81" i="2"/>
  <c r="MW81" i="2"/>
  <c r="NN81" i="2"/>
  <c r="MU81" i="2"/>
  <c r="MT81" i="2"/>
  <c r="MY81" i="2" s="1"/>
  <c r="MS81" i="2"/>
  <c r="NB81" i="2"/>
  <c r="MV81" i="2"/>
  <c r="MA81" i="2"/>
  <c r="LO81" i="2"/>
  <c r="MH81" i="2"/>
  <c r="MG81" i="2"/>
  <c r="LZ81" i="2"/>
  <c r="LY81" i="2"/>
  <c r="ME81" i="2" s="1"/>
  <c r="MB81" i="2"/>
  <c r="LX81" i="2"/>
  <c r="LG81" i="2"/>
  <c r="LC81" i="2"/>
  <c r="LN81" i="2"/>
  <c r="LF81" i="2"/>
  <c r="KT81" i="2"/>
  <c r="KS81" i="2"/>
  <c r="JA81" i="2"/>
  <c r="LL81" i="2"/>
  <c r="LE81" i="2"/>
  <c r="JB81" i="2"/>
  <c r="LM81" i="2"/>
  <c r="LD81" i="2"/>
  <c r="KR81" i="2"/>
  <c r="KL81" i="2"/>
  <c r="JY81" i="2"/>
  <c r="JX81" i="2"/>
  <c r="JN81" i="2"/>
  <c r="JW81" i="2"/>
  <c r="JQ81" i="2"/>
  <c r="KK81" i="2"/>
  <c r="JM81" i="2"/>
  <c r="JP81" i="2"/>
  <c r="KQ81" i="2"/>
  <c r="JO81" i="2"/>
  <c r="JD81" i="2"/>
  <c r="JV81" i="2"/>
  <c r="IV81" i="2"/>
  <c r="IR81" i="2"/>
  <c r="II81" i="2"/>
  <c r="HD81" i="2"/>
  <c r="IU81" i="2"/>
  <c r="IH81" i="2"/>
  <c r="IF81" i="2"/>
  <c r="HE81" i="2"/>
  <c r="IT81" i="2"/>
  <c r="IG81" i="2"/>
  <c r="HF81" i="2"/>
  <c r="JC81" i="2"/>
  <c r="IS81" i="2"/>
  <c r="IY81" i="2" s="1"/>
  <c r="HN81" i="2"/>
  <c r="HX81" i="2"/>
  <c r="HL81" i="2"/>
  <c r="IA81" i="2"/>
  <c r="HW81" i="2"/>
  <c r="HZ81" i="2"/>
  <c r="HM81" i="2"/>
  <c r="HK81" i="2"/>
  <c r="HY81" i="2"/>
  <c r="ID80" i="2"/>
  <c r="ID81" i="2" s="1"/>
  <c r="PI80" i="2"/>
  <c r="PL79" i="2"/>
  <c r="JR80" i="2"/>
  <c r="JU79" i="2"/>
  <c r="OP80" i="2"/>
  <c r="OP81" i="2" s="1"/>
  <c r="MX80" i="2"/>
  <c r="NA79" i="2"/>
  <c r="PJ80" i="2"/>
  <c r="PJ81" i="2" s="1"/>
  <c r="JS80" i="2"/>
  <c r="JS81" i="2" s="1"/>
  <c r="LH80" i="2"/>
  <c r="LK79" i="2"/>
  <c r="IX80" i="2"/>
  <c r="KO80" i="2"/>
  <c r="KM79" i="2"/>
  <c r="KP78" i="2"/>
  <c r="KN79" i="2"/>
  <c r="KN80" i="2" s="1"/>
  <c r="HG80" i="2"/>
  <c r="HI80" i="2"/>
  <c r="EC80" i="2"/>
  <c r="FS80" i="2"/>
  <c r="AU80" i="2"/>
  <c r="EX80" i="2"/>
  <c r="EB80" i="2"/>
  <c r="EW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LJ81" i="2" l="1"/>
  <c r="JT81" i="2"/>
  <c r="IX81" i="2"/>
  <c r="IC81" i="2"/>
  <c r="HH81" i="2"/>
  <c r="LH81" i="2"/>
  <c r="LK80" i="2"/>
  <c r="LI81" i="2"/>
  <c r="MC81" i="2"/>
  <c r="MF80" i="2"/>
  <c r="KJ82" i="2"/>
  <c r="KI82" i="2"/>
  <c r="KH82" i="2"/>
  <c r="OT82" i="2"/>
  <c r="PE82" i="2"/>
  <c r="PK82" i="2" s="1"/>
  <c r="PF82" i="2"/>
  <c r="MI82" i="2"/>
  <c r="MJ82" i="2"/>
  <c r="OU82" i="2"/>
  <c r="PD82" i="2"/>
  <c r="PG82" i="2"/>
  <c r="PH82" i="2"/>
  <c r="OR82" i="2"/>
  <c r="OS82" i="2"/>
  <c r="OM82" i="2"/>
  <c r="OK82" i="2"/>
  <c r="OJ82" i="2"/>
  <c r="OO82" i="2" s="1"/>
  <c r="OL82" i="2"/>
  <c r="OI82" i="2"/>
  <c r="NZ82" i="2"/>
  <c r="NY82" i="2"/>
  <c r="NX82" i="2"/>
  <c r="NW82" i="2"/>
  <c r="NR82" i="2"/>
  <c r="NQ82" i="2"/>
  <c r="NP82" i="2"/>
  <c r="NN82" i="2"/>
  <c r="NE82" i="2"/>
  <c r="ND82" i="2"/>
  <c r="NO82" i="2"/>
  <c r="NU82" i="2" s="1"/>
  <c r="NB82" i="2"/>
  <c r="NC82" i="2"/>
  <c r="MW82" i="2"/>
  <c r="MV82" i="2"/>
  <c r="MH82" i="2"/>
  <c r="MU82" i="2"/>
  <c r="MT82" i="2"/>
  <c r="MY82" i="2" s="1"/>
  <c r="MS82" i="2"/>
  <c r="MB82" i="2"/>
  <c r="LX82" i="2"/>
  <c r="MA82" i="2"/>
  <c r="LO82" i="2"/>
  <c r="MG82" i="2"/>
  <c r="LZ82" i="2"/>
  <c r="LY82" i="2"/>
  <c r="ME82" i="2" s="1"/>
  <c r="LM82" i="2"/>
  <c r="LD82" i="2"/>
  <c r="KR82" i="2"/>
  <c r="LG82" i="2"/>
  <c r="LC82" i="2"/>
  <c r="LN82" i="2"/>
  <c r="LF82" i="2"/>
  <c r="KT82" i="2"/>
  <c r="KS82" i="2"/>
  <c r="JA82" i="2"/>
  <c r="LL82" i="2"/>
  <c r="LE82" i="2"/>
  <c r="JB82" i="2"/>
  <c r="JO82" i="2"/>
  <c r="JD82" i="2"/>
  <c r="JV82" i="2"/>
  <c r="KL82" i="2"/>
  <c r="JY82" i="2"/>
  <c r="JX82" i="2"/>
  <c r="JN82" i="2"/>
  <c r="JW82" i="2"/>
  <c r="JQ82" i="2"/>
  <c r="KK82" i="2"/>
  <c r="JM82" i="2"/>
  <c r="JP82" i="2"/>
  <c r="JC82" i="2"/>
  <c r="KQ82" i="2"/>
  <c r="IS82" i="2"/>
  <c r="HN82" i="2"/>
  <c r="IV82" i="2"/>
  <c r="IR82" i="2"/>
  <c r="II82" i="2"/>
  <c r="HD82" i="2"/>
  <c r="IU82" i="2"/>
  <c r="IX82" i="2" s="1"/>
  <c r="IH82" i="2"/>
  <c r="IF82" i="2"/>
  <c r="HE82" i="2"/>
  <c r="IT82" i="2"/>
  <c r="IG82" i="2"/>
  <c r="HF82" i="2"/>
  <c r="HM82" i="2"/>
  <c r="HK82" i="2"/>
  <c r="HY82" i="2"/>
  <c r="HX82" i="2"/>
  <c r="HL82" i="2"/>
  <c r="IA82" i="2"/>
  <c r="HW82" i="2"/>
  <c r="HZ82" i="2"/>
  <c r="JR81" i="2"/>
  <c r="JU80" i="2"/>
  <c r="IB81" i="2"/>
  <c r="IE80" i="2"/>
  <c r="NS81" i="2"/>
  <c r="NV80" i="2"/>
  <c r="ON81" i="2"/>
  <c r="OQ80" i="2"/>
  <c r="MZ81" i="2"/>
  <c r="MZ82" i="2" s="1"/>
  <c r="MX81" i="2"/>
  <c r="NA80" i="2"/>
  <c r="MD81" i="2"/>
  <c r="MD82" i="2" s="1"/>
  <c r="PJ82" i="2"/>
  <c r="OP82" i="2"/>
  <c r="PI81" i="2"/>
  <c r="PL80" i="2"/>
  <c r="IW81" i="2"/>
  <c r="IZ80" i="2"/>
  <c r="NT81" i="2"/>
  <c r="NT82" i="2" s="1"/>
  <c r="EC81" i="2"/>
  <c r="KO81" i="2"/>
  <c r="KM80" i="2"/>
  <c r="KP79" i="2"/>
  <c r="HI81" i="2"/>
  <c r="HG81" i="2"/>
  <c r="EX81" i="2"/>
  <c r="AW81" i="2"/>
  <c r="FS81" i="2"/>
  <c r="EV81" i="2"/>
  <c r="EW81" i="2"/>
  <c r="GN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JT82" i="2" l="1"/>
  <c r="JS82" i="2"/>
  <c r="LJ82" i="2"/>
  <c r="IY82" i="2"/>
  <c r="IC82" i="2"/>
  <c r="ID82" i="2"/>
  <c r="HH82" i="2"/>
  <c r="HG82" i="2"/>
  <c r="PI82" i="2"/>
  <c r="PL81" i="2"/>
  <c r="MX82" i="2"/>
  <c r="NA81" i="2"/>
  <c r="IW82" i="2"/>
  <c r="IZ81" i="2"/>
  <c r="ON82" i="2"/>
  <c r="OQ81" i="2"/>
  <c r="NS82" i="2"/>
  <c r="NV81" i="2"/>
  <c r="MC82" i="2"/>
  <c r="MF81" i="2"/>
  <c r="LH82" i="2"/>
  <c r="LK81" i="2"/>
  <c r="IB82" i="2"/>
  <c r="IE81" i="2"/>
  <c r="JR82" i="2"/>
  <c r="JU81" i="2"/>
  <c r="LI82" i="2"/>
  <c r="KI83" i="2"/>
  <c r="KJ83" i="2"/>
  <c r="KH83" i="2"/>
  <c r="PD83" i="2"/>
  <c r="PH83" i="2"/>
  <c r="OT83" i="2"/>
  <c r="PG83" i="2"/>
  <c r="PF83" i="2"/>
  <c r="MI83" i="2"/>
  <c r="PE83" i="2"/>
  <c r="PK83" i="2" s="1"/>
  <c r="MJ83" i="2"/>
  <c r="OU83" i="2"/>
  <c r="OR83" i="2"/>
  <c r="OS83" i="2"/>
  <c r="OM83" i="2"/>
  <c r="OK83" i="2"/>
  <c r="OJ83" i="2"/>
  <c r="OP83" i="2" s="1"/>
  <c r="OI83" i="2"/>
  <c r="OL83" i="2"/>
  <c r="NZ83" i="2"/>
  <c r="NY83" i="2"/>
  <c r="NX83" i="2"/>
  <c r="NW83" i="2"/>
  <c r="NR83" i="2"/>
  <c r="NQ83" i="2"/>
  <c r="NC83" i="2"/>
  <c r="NN83" i="2"/>
  <c r="NP83" i="2"/>
  <c r="NE83" i="2"/>
  <c r="ND83" i="2"/>
  <c r="NO83" i="2"/>
  <c r="NU83" i="2" s="1"/>
  <c r="NB83" i="2"/>
  <c r="MW83" i="2"/>
  <c r="MS83" i="2"/>
  <c r="MV83" i="2"/>
  <c r="MH83" i="2"/>
  <c r="MG83" i="2"/>
  <c r="MU83" i="2"/>
  <c r="MT83" i="2"/>
  <c r="MY83" i="2" s="1"/>
  <c r="LY83" i="2"/>
  <c r="MB83" i="2"/>
  <c r="LX83" i="2"/>
  <c r="MA83" i="2"/>
  <c r="LO83" i="2"/>
  <c r="LZ83" i="2"/>
  <c r="LL83" i="2"/>
  <c r="LE83" i="2"/>
  <c r="JB83" i="2"/>
  <c r="LM83" i="2"/>
  <c r="LD83" i="2"/>
  <c r="KR83" i="2"/>
  <c r="LG83" i="2"/>
  <c r="LC83" i="2"/>
  <c r="LN83" i="2"/>
  <c r="LF83" i="2"/>
  <c r="KT83" i="2"/>
  <c r="KS83" i="2"/>
  <c r="JA83" i="2"/>
  <c r="KQ83" i="2"/>
  <c r="JO83" i="2"/>
  <c r="JD83" i="2"/>
  <c r="JV83" i="2"/>
  <c r="KL83" i="2"/>
  <c r="JY83" i="2"/>
  <c r="JX83" i="2"/>
  <c r="JN83" i="2"/>
  <c r="JW83" i="2"/>
  <c r="JQ83" i="2"/>
  <c r="KK83" i="2"/>
  <c r="JM83" i="2"/>
  <c r="JP83" i="2"/>
  <c r="JC83" i="2"/>
  <c r="IT83" i="2"/>
  <c r="IG83" i="2"/>
  <c r="HF83" i="2"/>
  <c r="IS83" i="2"/>
  <c r="IY83" i="2" s="1"/>
  <c r="HN83" i="2"/>
  <c r="IV83" i="2"/>
  <c r="IR83" i="2"/>
  <c r="II83" i="2"/>
  <c r="HD83" i="2"/>
  <c r="IU83" i="2"/>
  <c r="IH83" i="2"/>
  <c r="IF83" i="2"/>
  <c r="HE83" i="2"/>
  <c r="HZ83" i="2"/>
  <c r="HM83" i="2"/>
  <c r="HK83" i="2"/>
  <c r="HY83" i="2"/>
  <c r="HX83" i="2"/>
  <c r="HL83" i="2"/>
  <c r="IA83" i="2"/>
  <c r="HW83" i="2"/>
  <c r="KM81" i="2"/>
  <c r="KP80" i="2"/>
  <c r="KO82" i="2"/>
  <c r="KN81" i="2"/>
  <c r="HI82" i="2"/>
  <c r="EV82" i="2"/>
  <c r="EX82" i="2"/>
  <c r="EC82" i="2"/>
  <c r="FS82" i="2"/>
  <c r="EA82" i="2"/>
  <c r="EW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JS83" i="2" l="1"/>
  <c r="ME83" i="2"/>
  <c r="LJ83" i="2"/>
  <c r="JT83" i="2"/>
  <c r="ID83" i="2"/>
  <c r="HH83" i="2"/>
  <c r="IB83" i="2"/>
  <c r="IE82" i="2"/>
  <c r="MF82" i="2"/>
  <c r="MC83" i="2"/>
  <c r="IX83" i="2"/>
  <c r="MX83" i="2"/>
  <c r="NA82" i="2"/>
  <c r="OO83" i="2"/>
  <c r="KH84" i="2"/>
  <c r="KI84" i="2"/>
  <c r="KJ84" i="2"/>
  <c r="PG84" i="2"/>
  <c r="OU84" i="2"/>
  <c r="PD84" i="2"/>
  <c r="PH84" i="2"/>
  <c r="MI84" i="2"/>
  <c r="OT84" i="2"/>
  <c r="PE84" i="2"/>
  <c r="PK84" i="2" s="1"/>
  <c r="PF84" i="2"/>
  <c r="MJ84" i="2"/>
  <c r="OR84" i="2"/>
  <c r="OS84" i="2"/>
  <c r="OM84" i="2"/>
  <c r="OL84" i="2"/>
  <c r="OK84" i="2"/>
  <c r="OJ84" i="2"/>
  <c r="OP84" i="2" s="1"/>
  <c r="OI84" i="2"/>
  <c r="NZ84" i="2"/>
  <c r="NX84" i="2"/>
  <c r="NY84" i="2"/>
  <c r="NW84" i="2"/>
  <c r="NO84" i="2"/>
  <c r="NU84" i="2" s="1"/>
  <c r="NR84" i="2"/>
  <c r="NC84" i="2"/>
  <c r="NQ84" i="2"/>
  <c r="NN84" i="2"/>
  <c r="NP84" i="2"/>
  <c r="NE84" i="2"/>
  <c r="ND84" i="2"/>
  <c r="NB84" i="2"/>
  <c r="MT84" i="2"/>
  <c r="MY84" i="2" s="1"/>
  <c r="MW84" i="2"/>
  <c r="MS84" i="2"/>
  <c r="MV84" i="2"/>
  <c r="MH84" i="2"/>
  <c r="MG84" i="2"/>
  <c r="MU84" i="2"/>
  <c r="LZ84" i="2"/>
  <c r="LY84" i="2"/>
  <c r="MB84" i="2"/>
  <c r="LX84" i="2"/>
  <c r="MA84" i="2"/>
  <c r="LO84" i="2"/>
  <c r="LN84" i="2"/>
  <c r="LF84" i="2"/>
  <c r="KT84" i="2"/>
  <c r="KS84" i="2"/>
  <c r="JA84" i="2"/>
  <c r="LL84" i="2"/>
  <c r="LE84" i="2"/>
  <c r="JB84" i="2"/>
  <c r="LM84" i="2"/>
  <c r="LD84" i="2"/>
  <c r="KR84" i="2"/>
  <c r="LG84" i="2"/>
  <c r="LC84" i="2"/>
  <c r="KK84" i="2"/>
  <c r="JM84" i="2"/>
  <c r="JP84" i="2"/>
  <c r="KQ84" i="2"/>
  <c r="JO84" i="2"/>
  <c r="JD84" i="2"/>
  <c r="JV84" i="2"/>
  <c r="KL84" i="2"/>
  <c r="JY84" i="2"/>
  <c r="JX84" i="2"/>
  <c r="JN84" i="2"/>
  <c r="JW84" i="2"/>
  <c r="JQ84" i="2"/>
  <c r="JC84" i="2"/>
  <c r="IU84" i="2"/>
  <c r="IH84" i="2"/>
  <c r="IF84" i="2"/>
  <c r="HE84" i="2"/>
  <c r="IT84" i="2"/>
  <c r="IG84" i="2"/>
  <c r="HF84" i="2"/>
  <c r="IS84" i="2"/>
  <c r="HN84" i="2"/>
  <c r="IV84" i="2"/>
  <c r="IR84" i="2"/>
  <c r="II84" i="2"/>
  <c r="HD84" i="2"/>
  <c r="HL84" i="2"/>
  <c r="IA84" i="2"/>
  <c r="HW84" i="2"/>
  <c r="HZ84" i="2"/>
  <c r="HM84" i="2"/>
  <c r="HK84" i="2"/>
  <c r="HY84" i="2"/>
  <c r="HX84" i="2"/>
  <c r="ID84" i="2" s="1"/>
  <c r="MZ83" i="2"/>
  <c r="MZ84" i="2" s="1"/>
  <c r="NS83" i="2"/>
  <c r="NV82" i="2"/>
  <c r="IC83" i="2"/>
  <c r="IC84" i="2" s="1"/>
  <c r="LI83" i="2"/>
  <c r="JU82" i="2"/>
  <c r="JR83" i="2"/>
  <c r="MD83" i="2"/>
  <c r="LH83" i="2"/>
  <c r="LK82" i="2"/>
  <c r="PI83" i="2"/>
  <c r="PL82" i="2"/>
  <c r="PJ83" i="2"/>
  <c r="PJ84" i="2" s="1"/>
  <c r="ON83" i="2"/>
  <c r="OQ82" i="2"/>
  <c r="IW83" i="2"/>
  <c r="IZ82" i="2"/>
  <c r="NT83" i="2"/>
  <c r="NT84" i="2" s="1"/>
  <c r="KO83" i="2"/>
  <c r="KM82" i="2"/>
  <c r="KP81" i="2"/>
  <c r="KN82" i="2"/>
  <c r="KN83" i="2" s="1"/>
  <c r="HI83" i="2"/>
  <c r="HG83" i="2"/>
  <c r="EW83" i="2"/>
  <c r="EV83" i="2"/>
  <c r="EX83" i="2"/>
  <c r="EC83" i="2"/>
  <c r="FS83" i="2"/>
  <c r="EA83" i="2"/>
  <c r="EB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FO84" i="2"/>
  <c r="GJ84" i="2"/>
  <c r="ES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ME84" i="2" l="1"/>
  <c r="LJ84" i="2"/>
  <c r="LI84" i="2"/>
  <c r="MD84" i="2"/>
  <c r="JT84" i="2"/>
  <c r="IY84" i="2"/>
  <c r="HH84" i="2"/>
  <c r="OP85" i="2"/>
  <c r="PK85" i="2"/>
  <c r="MY85" i="2"/>
  <c r="NT85" i="2"/>
  <c r="KJ85" i="2"/>
  <c r="KI85" i="2"/>
  <c r="KH85" i="2"/>
  <c r="OU85" i="2"/>
  <c r="PF85" i="2"/>
  <c r="PE85" i="2"/>
  <c r="MJ85" i="2"/>
  <c r="PD85" i="2"/>
  <c r="PG85" i="2"/>
  <c r="PH85" i="2"/>
  <c r="MI85" i="2"/>
  <c r="OT85" i="2"/>
  <c r="OS85" i="2"/>
  <c r="OR85" i="2"/>
  <c r="OM85" i="2"/>
  <c r="OL85" i="2"/>
  <c r="OK85" i="2"/>
  <c r="OJ85" i="2"/>
  <c r="OI85" i="2"/>
  <c r="NZ85" i="2"/>
  <c r="NX85" i="2"/>
  <c r="NR85" i="2"/>
  <c r="NY85" i="2"/>
  <c r="NP85" i="2"/>
  <c r="NW85" i="2"/>
  <c r="NO85" i="2"/>
  <c r="NU85" i="2" s="1"/>
  <c r="NE85" i="2"/>
  <c r="ND85" i="2"/>
  <c r="NC85" i="2"/>
  <c r="NQ85" i="2"/>
  <c r="NN85" i="2"/>
  <c r="MU85" i="2"/>
  <c r="NB85" i="2"/>
  <c r="MT85" i="2"/>
  <c r="MW85" i="2"/>
  <c r="MS85" i="2"/>
  <c r="MV85" i="2"/>
  <c r="MA85" i="2"/>
  <c r="LO85" i="2"/>
  <c r="LZ85" i="2"/>
  <c r="MH85" i="2"/>
  <c r="LY85" i="2"/>
  <c r="MG85" i="2"/>
  <c r="MB85" i="2"/>
  <c r="LX85" i="2"/>
  <c r="LG85" i="2"/>
  <c r="LC85" i="2"/>
  <c r="LN85" i="2"/>
  <c r="LF85" i="2"/>
  <c r="KT85" i="2"/>
  <c r="KS85" i="2"/>
  <c r="JA85" i="2"/>
  <c r="LL85" i="2"/>
  <c r="LE85" i="2"/>
  <c r="JB85" i="2"/>
  <c r="LM85" i="2"/>
  <c r="LD85" i="2"/>
  <c r="KR85" i="2"/>
  <c r="KL85" i="2"/>
  <c r="JY85" i="2"/>
  <c r="JX85" i="2"/>
  <c r="JN85" i="2"/>
  <c r="JW85" i="2"/>
  <c r="JQ85" i="2"/>
  <c r="KK85" i="2"/>
  <c r="JM85" i="2"/>
  <c r="JP85" i="2"/>
  <c r="KQ85" i="2"/>
  <c r="JO85" i="2"/>
  <c r="JD85" i="2"/>
  <c r="JV85" i="2"/>
  <c r="IV85" i="2"/>
  <c r="IR85" i="2"/>
  <c r="II85" i="2"/>
  <c r="HD85" i="2"/>
  <c r="JC85" i="2"/>
  <c r="IU85" i="2"/>
  <c r="IH85" i="2"/>
  <c r="IF85" i="2"/>
  <c r="HE85" i="2"/>
  <c r="IT85" i="2"/>
  <c r="IG85" i="2"/>
  <c r="HF85" i="2"/>
  <c r="IS85" i="2"/>
  <c r="IY85" i="2" s="1"/>
  <c r="HN85" i="2"/>
  <c r="HX85" i="2"/>
  <c r="HL85" i="2"/>
  <c r="IA85" i="2"/>
  <c r="ID85" i="2" s="1"/>
  <c r="HW85" i="2"/>
  <c r="HZ85" i="2"/>
  <c r="IC85" i="2" s="1"/>
  <c r="HM85" i="2"/>
  <c r="HK85" i="2"/>
  <c r="HY85" i="2"/>
  <c r="PJ85" i="2"/>
  <c r="LH84" i="2"/>
  <c r="LK83" i="2"/>
  <c r="MX84" i="2"/>
  <c r="NA83" i="2"/>
  <c r="MF83" i="2"/>
  <c r="MC84" i="2"/>
  <c r="JS84" i="2"/>
  <c r="ON84" i="2"/>
  <c r="OQ83" i="2"/>
  <c r="IW84" i="2"/>
  <c r="IZ83" i="2"/>
  <c r="PI84" i="2"/>
  <c r="PL83" i="2"/>
  <c r="JR84" i="2"/>
  <c r="JU83" i="2"/>
  <c r="NS84" i="2"/>
  <c r="NV83" i="2"/>
  <c r="OO84" i="2"/>
  <c r="OO85" i="2" s="1"/>
  <c r="IX84" i="2"/>
  <c r="MZ85" i="2"/>
  <c r="IB84" i="2"/>
  <c r="IE83" i="2"/>
  <c r="KM83" i="2"/>
  <c r="KP82" i="2"/>
  <c r="KO84" i="2"/>
  <c r="HG84" i="2"/>
  <c r="HI84" i="2"/>
  <c r="FS84" i="2"/>
  <c r="EC84" i="2"/>
  <c r="EV84" i="2"/>
  <c r="EX84" i="2"/>
  <c r="EB84" i="2"/>
  <c r="EW84" i="2"/>
  <c r="GN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GJ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LI85" i="2" l="1"/>
  <c r="LJ85" i="2"/>
  <c r="JT85" i="2"/>
  <c r="ME85" i="2"/>
  <c r="MD85" i="2"/>
  <c r="JS85" i="2"/>
  <c r="IX85" i="2"/>
  <c r="HH85" i="2"/>
  <c r="JR85" i="2"/>
  <c r="JU84" i="2"/>
  <c r="MC85" i="2"/>
  <c r="MF84" i="2"/>
  <c r="MX85" i="2"/>
  <c r="NA84" i="2"/>
  <c r="IW85" i="2"/>
  <c r="IZ84" i="2"/>
  <c r="NS85" i="2"/>
  <c r="NV84" i="2"/>
  <c r="PI85" i="2"/>
  <c r="PL84" i="2"/>
  <c r="ON85" i="2"/>
  <c r="OQ84" i="2"/>
  <c r="LH85" i="2"/>
  <c r="LK84" i="2"/>
  <c r="KJ86" i="2"/>
  <c r="KI86" i="2"/>
  <c r="KH86" i="2"/>
  <c r="OT86" i="2"/>
  <c r="PE86" i="2"/>
  <c r="OU86" i="2"/>
  <c r="PD86" i="2"/>
  <c r="PF86" i="2"/>
  <c r="PG86" i="2"/>
  <c r="PH86" i="2"/>
  <c r="MJ86" i="2"/>
  <c r="MI86" i="2"/>
  <c r="OR86" i="2"/>
  <c r="OS86" i="2"/>
  <c r="OM86" i="2"/>
  <c r="OL86" i="2"/>
  <c r="OO86" i="2" s="1"/>
  <c r="OJ86" i="2"/>
  <c r="OP86" i="2" s="1"/>
  <c r="OK86" i="2"/>
  <c r="OI86" i="2"/>
  <c r="NZ86" i="2"/>
  <c r="NY86" i="2"/>
  <c r="NW86" i="2"/>
  <c r="NR86" i="2"/>
  <c r="NX86" i="2"/>
  <c r="NQ86" i="2"/>
  <c r="NP86" i="2"/>
  <c r="NO86" i="2"/>
  <c r="NU86" i="2" s="1"/>
  <c r="NN86" i="2"/>
  <c r="NE86" i="2"/>
  <c r="ND86" i="2"/>
  <c r="NB86" i="2"/>
  <c r="NC86" i="2"/>
  <c r="MV86" i="2"/>
  <c r="MU86" i="2"/>
  <c r="MT86" i="2"/>
  <c r="MY86" i="2" s="1"/>
  <c r="MW86" i="2"/>
  <c r="MS86" i="2"/>
  <c r="MG86" i="2"/>
  <c r="MB86" i="2"/>
  <c r="LX86" i="2"/>
  <c r="MA86" i="2"/>
  <c r="LO86" i="2"/>
  <c r="LZ86" i="2"/>
  <c r="MH86" i="2"/>
  <c r="LY86" i="2"/>
  <c r="LM86" i="2"/>
  <c r="LD86" i="2"/>
  <c r="KR86" i="2"/>
  <c r="LG86" i="2"/>
  <c r="LC86" i="2"/>
  <c r="LN86" i="2"/>
  <c r="LF86" i="2"/>
  <c r="KT86" i="2"/>
  <c r="KS86" i="2"/>
  <c r="JA86" i="2"/>
  <c r="LL86" i="2"/>
  <c r="LE86" i="2"/>
  <c r="JB86" i="2"/>
  <c r="JO86" i="2"/>
  <c r="JD86" i="2"/>
  <c r="JV86" i="2"/>
  <c r="KL86" i="2"/>
  <c r="JY86" i="2"/>
  <c r="JX86" i="2"/>
  <c r="JN86" i="2"/>
  <c r="JW86" i="2"/>
  <c r="JQ86" i="2"/>
  <c r="KK86" i="2"/>
  <c r="JM86" i="2"/>
  <c r="JP86" i="2"/>
  <c r="JC86" i="2"/>
  <c r="KQ86" i="2"/>
  <c r="IS86" i="2"/>
  <c r="HN86" i="2"/>
  <c r="IV86" i="2"/>
  <c r="IR86" i="2"/>
  <c r="II86" i="2"/>
  <c r="HD86" i="2"/>
  <c r="IU86" i="2"/>
  <c r="IH86" i="2"/>
  <c r="IF86" i="2"/>
  <c r="HE86" i="2"/>
  <c r="IT86" i="2"/>
  <c r="IG86" i="2"/>
  <c r="HF86" i="2"/>
  <c r="HM86" i="2"/>
  <c r="HK86" i="2"/>
  <c r="HY86" i="2"/>
  <c r="HX86" i="2"/>
  <c r="ID86" i="2" s="1"/>
  <c r="HL86" i="2"/>
  <c r="IA86" i="2"/>
  <c r="HW86" i="2"/>
  <c r="HZ86" i="2"/>
  <c r="IB85" i="2"/>
  <c r="IE84" i="2"/>
  <c r="MZ86" i="2"/>
  <c r="PJ86" i="2"/>
  <c r="PK86" i="2"/>
  <c r="KO85" i="2"/>
  <c r="KM84" i="2"/>
  <c r="KP83" i="2"/>
  <c r="KN84" i="2"/>
  <c r="KN85" i="2" s="1"/>
  <c r="HI85" i="2"/>
  <c r="HG85" i="2"/>
  <c r="EC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JT86" i="2" l="1"/>
  <c r="ME86" i="2"/>
  <c r="LI86" i="2"/>
  <c r="IY86" i="2"/>
  <c r="IX86" i="2"/>
  <c r="IC86" i="2"/>
  <c r="HH86" i="2"/>
  <c r="ON86" i="2"/>
  <c r="OQ85" i="2"/>
  <c r="LJ86" i="2"/>
  <c r="KJ87" i="2"/>
  <c r="KI87" i="2"/>
  <c r="KH87" i="2"/>
  <c r="PD87" i="2"/>
  <c r="PH87" i="2"/>
  <c r="PF87" i="2"/>
  <c r="PE87" i="2"/>
  <c r="OT87" i="2"/>
  <c r="OU87" i="2"/>
  <c r="PG87" i="2"/>
  <c r="MJ87" i="2"/>
  <c r="MI87" i="2"/>
  <c r="OR87" i="2"/>
  <c r="OS87" i="2"/>
  <c r="OM87" i="2"/>
  <c r="OK87" i="2"/>
  <c r="OL87" i="2"/>
  <c r="OJ87" i="2"/>
  <c r="OO87" i="2" s="1"/>
  <c r="OI87" i="2"/>
  <c r="NZ87" i="2"/>
  <c r="NY87" i="2"/>
  <c r="NW87" i="2"/>
  <c r="NR87" i="2"/>
  <c r="NX87" i="2"/>
  <c r="NQ87" i="2"/>
  <c r="NP87" i="2"/>
  <c r="NC87" i="2"/>
  <c r="NO87" i="2"/>
  <c r="NU87" i="2" s="1"/>
  <c r="NN87" i="2"/>
  <c r="NE87" i="2"/>
  <c r="ND87" i="2"/>
  <c r="NB87" i="2"/>
  <c r="MW87" i="2"/>
  <c r="MS87" i="2"/>
  <c r="MV87" i="2"/>
  <c r="MH87" i="2"/>
  <c r="MG87" i="2"/>
  <c r="MU87" i="2"/>
  <c r="MT87" i="2"/>
  <c r="MY87" i="2" s="1"/>
  <c r="LY87" i="2"/>
  <c r="ME87" i="2" s="1"/>
  <c r="MB87" i="2"/>
  <c r="LX87" i="2"/>
  <c r="MA87" i="2"/>
  <c r="LO87" i="2"/>
  <c r="LZ87" i="2"/>
  <c r="LL87" i="2"/>
  <c r="LE87" i="2"/>
  <c r="JB87" i="2"/>
  <c r="LM87" i="2"/>
  <c r="LD87" i="2"/>
  <c r="LI87" i="2" s="1"/>
  <c r="KR87" i="2"/>
  <c r="LG87" i="2"/>
  <c r="LC87" i="2"/>
  <c r="LN87" i="2"/>
  <c r="LF87" i="2"/>
  <c r="KT87" i="2"/>
  <c r="KS87" i="2"/>
  <c r="JA87" i="2"/>
  <c r="KQ87" i="2"/>
  <c r="JO87" i="2"/>
  <c r="JD87" i="2"/>
  <c r="JV87" i="2"/>
  <c r="KL87" i="2"/>
  <c r="JY87" i="2"/>
  <c r="JX87" i="2"/>
  <c r="JN87" i="2"/>
  <c r="JW87" i="2"/>
  <c r="JQ87" i="2"/>
  <c r="KK87" i="2"/>
  <c r="JM87" i="2"/>
  <c r="JP87" i="2"/>
  <c r="JC87" i="2"/>
  <c r="IT87" i="2"/>
  <c r="IG87" i="2"/>
  <c r="HF87" i="2"/>
  <c r="IS87" i="2"/>
  <c r="HN87" i="2"/>
  <c r="IV87" i="2"/>
  <c r="IR87" i="2"/>
  <c r="II87" i="2"/>
  <c r="HD87" i="2"/>
  <c r="IU87" i="2"/>
  <c r="IH87" i="2"/>
  <c r="IF87" i="2"/>
  <c r="HE87" i="2"/>
  <c r="HZ87" i="2"/>
  <c r="HM87" i="2"/>
  <c r="HK87" i="2"/>
  <c r="HY87" i="2"/>
  <c r="HX87" i="2"/>
  <c r="ID87" i="2" s="1"/>
  <c r="HL87" i="2"/>
  <c r="IA87" i="2"/>
  <c r="HW87" i="2"/>
  <c r="PK87" i="2"/>
  <c r="LH86" i="2"/>
  <c r="LK85" i="2"/>
  <c r="NS86" i="2"/>
  <c r="NV85" i="2"/>
  <c r="MC86" i="2"/>
  <c r="MF85" i="2"/>
  <c r="JR86" i="2"/>
  <c r="JU85" i="2"/>
  <c r="IB86" i="2"/>
  <c r="IE85" i="2"/>
  <c r="PI86" i="2"/>
  <c r="PL85" i="2"/>
  <c r="NT86" i="2"/>
  <c r="NT87" i="2" s="1"/>
  <c r="JS86" i="2"/>
  <c r="JS87" i="2" s="1"/>
  <c r="PJ87" i="2"/>
  <c r="IW86" i="2"/>
  <c r="IZ85" i="2"/>
  <c r="MX86" i="2"/>
  <c r="NA85" i="2"/>
  <c r="MD86" i="2"/>
  <c r="EC86" i="2"/>
  <c r="KM85" i="2"/>
  <c r="KP84" i="2"/>
  <c r="KO86" i="2"/>
  <c r="HG86" i="2"/>
  <c r="HI86" i="2"/>
  <c r="EB86" i="2"/>
  <c r="EA86" i="2"/>
  <c r="FS86" i="2"/>
  <c r="EX86" i="2"/>
  <c r="GN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JT87" i="2" l="1"/>
  <c r="HH87" i="2"/>
  <c r="MD87" i="2"/>
  <c r="IY87" i="2"/>
  <c r="IC87" i="2"/>
  <c r="MY88" i="2"/>
  <c r="MX87" i="2"/>
  <c r="NA86" i="2"/>
  <c r="KH88" i="2"/>
  <c r="KJ88" i="2"/>
  <c r="KI88" i="2"/>
  <c r="PG88" i="2"/>
  <c r="OT88" i="2"/>
  <c r="MI88" i="2"/>
  <c r="PF88" i="2"/>
  <c r="PE88" i="2"/>
  <c r="OU88" i="2"/>
  <c r="PD88" i="2"/>
  <c r="PH88" i="2"/>
  <c r="MJ88" i="2"/>
  <c r="OR88" i="2"/>
  <c r="OS88" i="2"/>
  <c r="OM88" i="2"/>
  <c r="OL88" i="2"/>
  <c r="OK88" i="2"/>
  <c r="OJ88" i="2"/>
  <c r="OO88" i="2" s="1"/>
  <c r="OI88" i="2"/>
  <c r="NZ88" i="2"/>
  <c r="NX88" i="2"/>
  <c r="NY88" i="2"/>
  <c r="NW88" i="2"/>
  <c r="NO88" i="2"/>
  <c r="NR88" i="2"/>
  <c r="NU88" i="2" s="1"/>
  <c r="NQ88" i="2"/>
  <c r="NP88" i="2"/>
  <c r="NC88" i="2"/>
  <c r="NN88" i="2"/>
  <c r="NE88" i="2"/>
  <c r="ND88" i="2"/>
  <c r="MT88" i="2"/>
  <c r="MW88" i="2"/>
  <c r="MS88" i="2"/>
  <c r="NB88" i="2"/>
  <c r="MV88" i="2"/>
  <c r="MH88" i="2"/>
  <c r="MG88" i="2"/>
  <c r="MU88" i="2"/>
  <c r="LZ88" i="2"/>
  <c r="LY88" i="2"/>
  <c r="MD88" i="2" s="1"/>
  <c r="MB88" i="2"/>
  <c r="LX88" i="2"/>
  <c r="MA88" i="2"/>
  <c r="LO88" i="2"/>
  <c r="LN88" i="2"/>
  <c r="LF88" i="2"/>
  <c r="KT88" i="2"/>
  <c r="KS88" i="2"/>
  <c r="JA88" i="2"/>
  <c r="LL88" i="2"/>
  <c r="LE88" i="2"/>
  <c r="JB88" i="2"/>
  <c r="LM88" i="2"/>
  <c r="LD88" i="2"/>
  <c r="KR88" i="2"/>
  <c r="LG88" i="2"/>
  <c r="LC88" i="2"/>
  <c r="KK88" i="2"/>
  <c r="JM88" i="2"/>
  <c r="KQ88" i="2"/>
  <c r="JO88" i="2"/>
  <c r="JD88" i="2"/>
  <c r="JV88" i="2"/>
  <c r="KL88" i="2"/>
  <c r="JY88" i="2"/>
  <c r="JX88" i="2"/>
  <c r="JN88" i="2"/>
  <c r="JW88" i="2"/>
  <c r="JQ88" i="2"/>
  <c r="IU88" i="2"/>
  <c r="IH88" i="2"/>
  <c r="IF88" i="2"/>
  <c r="HE88" i="2"/>
  <c r="IT88" i="2"/>
  <c r="IG88" i="2"/>
  <c r="HF88" i="2"/>
  <c r="JP88" i="2"/>
  <c r="JC88" i="2"/>
  <c r="IS88" i="2"/>
  <c r="HN88" i="2"/>
  <c r="IV88" i="2"/>
  <c r="IR88" i="2"/>
  <c r="II88" i="2"/>
  <c r="HD88" i="2"/>
  <c r="HL88" i="2"/>
  <c r="IA88" i="2"/>
  <c r="HW88" i="2"/>
  <c r="HZ88" i="2"/>
  <c r="HM88" i="2"/>
  <c r="HK88" i="2"/>
  <c r="HY88" i="2"/>
  <c r="HX88" i="2"/>
  <c r="IW87" i="2"/>
  <c r="IZ86" i="2"/>
  <c r="NT88" i="2"/>
  <c r="IB87" i="2"/>
  <c r="IE86" i="2"/>
  <c r="MC87" i="2"/>
  <c r="MF86" i="2"/>
  <c r="NS87" i="2"/>
  <c r="NV86" i="2"/>
  <c r="OP87" i="2"/>
  <c r="OP88" i="2" s="1"/>
  <c r="ON87" i="2"/>
  <c r="OQ86" i="2"/>
  <c r="IX87" i="2"/>
  <c r="PI87" i="2"/>
  <c r="PL86" i="2"/>
  <c r="JR87" i="2"/>
  <c r="JU86" i="2"/>
  <c r="LH87" i="2"/>
  <c r="LK86" i="2"/>
  <c r="PJ88" i="2"/>
  <c r="PK88" i="2"/>
  <c r="LJ87" i="2"/>
  <c r="MZ87" i="2"/>
  <c r="MZ88" i="2" s="1"/>
  <c r="EX87" i="2"/>
  <c r="KO87" i="2"/>
  <c r="KM86" i="2"/>
  <c r="KP85" i="2"/>
  <c r="KN86" i="2"/>
  <c r="KN87" i="2" s="1"/>
  <c r="HI87" i="2"/>
  <c r="HG87" i="2"/>
  <c r="EA87" i="2"/>
  <c r="EB87" i="2"/>
  <c r="FS87" i="2"/>
  <c r="EV87" i="2"/>
  <c r="EC87" i="2"/>
  <c r="GN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FO88" i="2"/>
  <c r="GJ88" i="2"/>
  <c r="GI88" i="2"/>
  <c r="ES88" i="2"/>
  <c r="DX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LJ88" i="2" l="1"/>
  <c r="JS88" i="2"/>
  <c r="LI88" i="2"/>
  <c r="JT88" i="2"/>
  <c r="IX88" i="2"/>
  <c r="IY88" i="2"/>
  <c r="ID88" i="2"/>
  <c r="HH88" i="2"/>
  <c r="KJ89" i="2"/>
  <c r="KI89" i="2"/>
  <c r="KH89" i="2"/>
  <c r="OU89" i="2"/>
  <c r="PF89" i="2"/>
  <c r="PD89" i="2"/>
  <c r="PG89" i="2"/>
  <c r="PH89" i="2"/>
  <c r="MJ89" i="2"/>
  <c r="OT89" i="2"/>
  <c r="MI89" i="2"/>
  <c r="PE89" i="2"/>
  <c r="OS89" i="2"/>
  <c r="OR89" i="2"/>
  <c r="OM89" i="2"/>
  <c r="OL89" i="2"/>
  <c r="OK89" i="2"/>
  <c r="OJ89" i="2"/>
  <c r="OO89" i="2" s="1"/>
  <c r="NZ89" i="2"/>
  <c r="OI89" i="2"/>
  <c r="NX89" i="2"/>
  <c r="NR89" i="2"/>
  <c r="NP89" i="2"/>
  <c r="NY89" i="2"/>
  <c r="NW89" i="2"/>
  <c r="NO89" i="2"/>
  <c r="NU89" i="2" s="1"/>
  <c r="NE89" i="2"/>
  <c r="ND89" i="2"/>
  <c r="NQ89" i="2"/>
  <c r="NT89" i="2" s="1"/>
  <c r="NC89" i="2"/>
  <c r="NN89" i="2"/>
  <c r="MU89" i="2"/>
  <c r="MT89" i="2"/>
  <c r="MW89" i="2"/>
  <c r="MS89" i="2"/>
  <c r="NB89" i="2"/>
  <c r="MV89" i="2"/>
  <c r="MH89" i="2"/>
  <c r="MA89" i="2"/>
  <c r="LO89" i="2"/>
  <c r="MG89" i="2"/>
  <c r="LZ89" i="2"/>
  <c r="LY89" i="2"/>
  <c r="MB89" i="2"/>
  <c r="LX89" i="2"/>
  <c r="LG89" i="2"/>
  <c r="LC89" i="2"/>
  <c r="LN89" i="2"/>
  <c r="LF89" i="2"/>
  <c r="LI89" i="2" s="1"/>
  <c r="KT89" i="2"/>
  <c r="KS89" i="2"/>
  <c r="JA89" i="2"/>
  <c r="LL89" i="2"/>
  <c r="LE89" i="2"/>
  <c r="JB89" i="2"/>
  <c r="LM89" i="2"/>
  <c r="LD89" i="2"/>
  <c r="KR89" i="2"/>
  <c r="KL89" i="2"/>
  <c r="JY89" i="2"/>
  <c r="JX89" i="2"/>
  <c r="JN89" i="2"/>
  <c r="JW89" i="2"/>
  <c r="JQ89" i="2"/>
  <c r="KK89" i="2"/>
  <c r="JM89" i="2"/>
  <c r="KQ89" i="2"/>
  <c r="JO89" i="2"/>
  <c r="JD89" i="2"/>
  <c r="JV89" i="2"/>
  <c r="IV89" i="2"/>
  <c r="IR89" i="2"/>
  <c r="II89" i="2"/>
  <c r="HD89" i="2"/>
  <c r="IU89" i="2"/>
  <c r="IH89" i="2"/>
  <c r="IF89" i="2"/>
  <c r="HE89" i="2"/>
  <c r="IT89" i="2"/>
  <c r="IG89" i="2"/>
  <c r="HF89" i="2"/>
  <c r="JP89" i="2"/>
  <c r="JC89" i="2"/>
  <c r="IS89" i="2"/>
  <c r="IY89" i="2" s="1"/>
  <c r="HN89" i="2"/>
  <c r="HX89" i="2"/>
  <c r="ID89" i="2" s="1"/>
  <c r="HL89" i="2"/>
  <c r="IA89" i="2"/>
  <c r="HW89" i="2"/>
  <c r="HZ89" i="2"/>
  <c r="HM89" i="2"/>
  <c r="HK89" i="2"/>
  <c r="HY89" i="2"/>
  <c r="PK89" i="2"/>
  <c r="JU87" i="2"/>
  <c r="JR88" i="2"/>
  <c r="PJ89" i="2"/>
  <c r="ON88" i="2"/>
  <c r="OQ87" i="2"/>
  <c r="MC88" i="2"/>
  <c r="MF87" i="2"/>
  <c r="IC88" i="2"/>
  <c r="IC89" i="2" s="1"/>
  <c r="ME88" i="2"/>
  <c r="MZ89" i="2"/>
  <c r="LH88" i="2"/>
  <c r="LK87" i="2"/>
  <c r="PI88" i="2"/>
  <c r="PL87" i="2"/>
  <c r="MX88" i="2"/>
  <c r="NA87" i="2"/>
  <c r="OP89" i="2"/>
  <c r="NS88" i="2"/>
  <c r="NV87" i="2"/>
  <c r="IB88" i="2"/>
  <c r="IE87" i="2"/>
  <c r="IW88" i="2"/>
  <c r="IZ87" i="2"/>
  <c r="MY89" i="2"/>
  <c r="KM87" i="2"/>
  <c r="KP86" i="2"/>
  <c r="KO88" i="2"/>
  <c r="HG88" i="2"/>
  <c r="HI88" i="2"/>
  <c r="FS88" i="2"/>
  <c r="EC88" i="2"/>
  <c r="EW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GJ89" i="2"/>
  <c r="FO89" i="2"/>
  <c r="FN89" i="2"/>
  <c r="GI89" i="2"/>
  <c r="D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LJ89" i="2" l="1"/>
  <c r="ME89" i="2"/>
  <c r="MD89" i="2"/>
  <c r="JS89" i="2"/>
  <c r="JT89" i="2"/>
  <c r="IX89" i="2"/>
  <c r="HH89" i="2"/>
  <c r="IW89" i="2"/>
  <c r="IZ88" i="2"/>
  <c r="NS89" i="2"/>
  <c r="NV88" i="2"/>
  <c r="LH89" i="2"/>
  <c r="LK88" i="2"/>
  <c r="ON89" i="2"/>
  <c r="OQ88" i="2"/>
  <c r="IB89" i="2"/>
  <c r="IE88" i="2"/>
  <c r="KJ90" i="2"/>
  <c r="KI90" i="2"/>
  <c r="KH90" i="2"/>
  <c r="OT90" i="2"/>
  <c r="PE90" i="2"/>
  <c r="PJ90" i="2" s="1"/>
  <c r="OU90" i="2"/>
  <c r="PD90" i="2"/>
  <c r="PG90" i="2"/>
  <c r="PH90" i="2"/>
  <c r="MI90" i="2"/>
  <c r="PF90" i="2"/>
  <c r="MJ90" i="2"/>
  <c r="OR90" i="2"/>
  <c r="OS90" i="2"/>
  <c r="OM90" i="2"/>
  <c r="OK90" i="2"/>
  <c r="OJ90" i="2"/>
  <c r="OO90" i="2" s="1"/>
  <c r="OL90" i="2"/>
  <c r="OI90" i="2"/>
  <c r="NZ90" i="2"/>
  <c r="NY90" i="2"/>
  <c r="NX90" i="2"/>
  <c r="NW90" i="2"/>
  <c r="NR90" i="2"/>
  <c r="NQ90" i="2"/>
  <c r="NP90" i="2"/>
  <c r="NN90" i="2"/>
  <c r="NE90" i="2"/>
  <c r="ND90" i="2"/>
  <c r="NO90" i="2"/>
  <c r="NU90" i="2" s="1"/>
  <c r="NB90" i="2"/>
  <c r="NC90" i="2"/>
  <c r="MV90" i="2"/>
  <c r="MU90" i="2"/>
  <c r="MT90" i="2"/>
  <c r="MY90" i="2" s="1"/>
  <c r="MW90" i="2"/>
  <c r="MS90" i="2"/>
  <c r="MB90" i="2"/>
  <c r="LX90" i="2"/>
  <c r="MH90" i="2"/>
  <c r="MA90" i="2"/>
  <c r="LO90" i="2"/>
  <c r="MG90" i="2"/>
  <c r="LZ90" i="2"/>
  <c r="LY90" i="2"/>
  <c r="ME90" i="2" s="1"/>
  <c r="LM90" i="2"/>
  <c r="LD90" i="2"/>
  <c r="KR90" i="2"/>
  <c r="LG90" i="2"/>
  <c r="LC90" i="2"/>
  <c r="LN90" i="2"/>
  <c r="LF90" i="2"/>
  <c r="KT90" i="2"/>
  <c r="KS90" i="2"/>
  <c r="JA90" i="2"/>
  <c r="LL90" i="2"/>
  <c r="LE90" i="2"/>
  <c r="JB90" i="2"/>
  <c r="JO90" i="2"/>
  <c r="JD90" i="2"/>
  <c r="JV90" i="2"/>
  <c r="KL90" i="2"/>
  <c r="JY90" i="2"/>
  <c r="JX90" i="2"/>
  <c r="JN90" i="2"/>
  <c r="JW90" i="2"/>
  <c r="JQ90" i="2"/>
  <c r="KK90" i="2"/>
  <c r="JM90" i="2"/>
  <c r="JP90" i="2"/>
  <c r="JC90" i="2"/>
  <c r="KQ90" i="2"/>
  <c r="IS90" i="2"/>
  <c r="HN90" i="2"/>
  <c r="IV90" i="2"/>
  <c r="IR90" i="2"/>
  <c r="II90" i="2"/>
  <c r="HD90" i="2"/>
  <c r="IU90" i="2"/>
  <c r="IH90" i="2"/>
  <c r="IF90" i="2"/>
  <c r="HE90" i="2"/>
  <c r="IT90" i="2"/>
  <c r="IG90" i="2"/>
  <c r="HF90" i="2"/>
  <c r="HM90" i="2"/>
  <c r="HK90" i="2"/>
  <c r="HY90" i="2"/>
  <c r="HX90" i="2"/>
  <c r="ID90" i="2" s="1"/>
  <c r="HL90" i="2"/>
  <c r="IA90" i="2"/>
  <c r="HW90" i="2"/>
  <c r="HZ90" i="2"/>
  <c r="MX89" i="2"/>
  <c r="NA88" i="2"/>
  <c r="PI89" i="2"/>
  <c r="PL88" i="2"/>
  <c r="MF88" i="2"/>
  <c r="MC89" i="2"/>
  <c r="JR89" i="2"/>
  <c r="JU88" i="2"/>
  <c r="PK90" i="2"/>
  <c r="KO89" i="2"/>
  <c r="KM88" i="2"/>
  <c r="KP87" i="2"/>
  <c r="KN88" i="2"/>
  <c r="KN89" i="2" s="1"/>
  <c r="HI89" i="2"/>
  <c r="HG89" i="2"/>
  <c r="FS89" i="2"/>
  <c r="EC89" i="2"/>
  <c r="EX89" i="2"/>
  <c r="EA89" i="2"/>
  <c r="EB89" i="2"/>
  <c r="EW89" i="2"/>
  <c r="GN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JS90" i="2" l="1"/>
  <c r="LI90" i="2"/>
  <c r="JT90" i="2"/>
  <c r="IY90" i="2"/>
  <c r="HH90" i="2"/>
  <c r="KJ91" i="2"/>
  <c r="KH91" i="2"/>
  <c r="KI91" i="2"/>
  <c r="PD91" i="2"/>
  <c r="PH91" i="2"/>
  <c r="PE91" i="2"/>
  <c r="PJ91" i="2" s="1"/>
  <c r="OU91" i="2"/>
  <c r="MJ91" i="2"/>
  <c r="OT91" i="2"/>
  <c r="MI91" i="2"/>
  <c r="PF91" i="2"/>
  <c r="PG91" i="2"/>
  <c r="OR91" i="2"/>
  <c r="OS91" i="2"/>
  <c r="OM91" i="2"/>
  <c r="OK91" i="2"/>
  <c r="OI91" i="2"/>
  <c r="OL91" i="2"/>
  <c r="OJ91" i="2"/>
  <c r="OO91" i="2" s="1"/>
  <c r="NZ91" i="2"/>
  <c r="NY91" i="2"/>
  <c r="NX91" i="2"/>
  <c r="NW91" i="2"/>
  <c r="NR91" i="2"/>
  <c r="NQ91" i="2"/>
  <c r="NC91" i="2"/>
  <c r="NN91" i="2"/>
  <c r="NP91" i="2"/>
  <c r="NE91" i="2"/>
  <c r="ND91" i="2"/>
  <c r="NO91" i="2"/>
  <c r="NU91" i="2" s="1"/>
  <c r="NB91" i="2"/>
  <c r="MW91" i="2"/>
  <c r="MS91" i="2"/>
  <c r="MV91" i="2"/>
  <c r="MH91" i="2"/>
  <c r="MG91" i="2"/>
  <c r="MU91" i="2"/>
  <c r="MT91" i="2"/>
  <c r="MY91" i="2" s="1"/>
  <c r="LY91" i="2"/>
  <c r="MB91" i="2"/>
  <c r="LX91" i="2"/>
  <c r="MA91" i="2"/>
  <c r="LO91" i="2"/>
  <c r="LZ91" i="2"/>
  <c r="LL91" i="2"/>
  <c r="LE91" i="2"/>
  <c r="JB91" i="2"/>
  <c r="LM91" i="2"/>
  <c r="LD91" i="2"/>
  <c r="KR91" i="2"/>
  <c r="LG91" i="2"/>
  <c r="LC91" i="2"/>
  <c r="LN91" i="2"/>
  <c r="LF91" i="2"/>
  <c r="KT91" i="2"/>
  <c r="KS91" i="2"/>
  <c r="JA91" i="2"/>
  <c r="KQ91" i="2"/>
  <c r="JO91" i="2"/>
  <c r="JD91" i="2"/>
  <c r="JV91" i="2"/>
  <c r="KL91" i="2"/>
  <c r="JY91" i="2"/>
  <c r="JX91" i="2"/>
  <c r="JN91" i="2"/>
  <c r="JW91" i="2"/>
  <c r="JQ91" i="2"/>
  <c r="KK91" i="2"/>
  <c r="JM91" i="2"/>
  <c r="JP91" i="2"/>
  <c r="JC91" i="2"/>
  <c r="IT91" i="2"/>
  <c r="IG91" i="2"/>
  <c r="HF91" i="2"/>
  <c r="IS91" i="2"/>
  <c r="HN91" i="2"/>
  <c r="IV91" i="2"/>
  <c r="IR91" i="2"/>
  <c r="II91" i="2"/>
  <c r="HD91" i="2"/>
  <c r="IU91" i="2"/>
  <c r="IH91" i="2"/>
  <c r="IF91" i="2"/>
  <c r="HE91" i="2"/>
  <c r="HZ91" i="2"/>
  <c r="HM91" i="2"/>
  <c r="HK91" i="2"/>
  <c r="HY91" i="2"/>
  <c r="HX91" i="2"/>
  <c r="HL91" i="2"/>
  <c r="IA91" i="2"/>
  <c r="HW91" i="2"/>
  <c r="JR90" i="2"/>
  <c r="JU89" i="2"/>
  <c r="MZ90" i="2"/>
  <c r="MZ91" i="2" s="1"/>
  <c r="MX90" i="2"/>
  <c r="NA89" i="2"/>
  <c r="LH90" i="2"/>
  <c r="LK89" i="2"/>
  <c r="NS90" i="2"/>
  <c r="NV89" i="2"/>
  <c r="NT90" i="2"/>
  <c r="NT91" i="2" s="1"/>
  <c r="MD90" i="2"/>
  <c r="MD91" i="2" s="1"/>
  <c r="PK91" i="2"/>
  <c r="IB90" i="2"/>
  <c r="IE89" i="2"/>
  <c r="ON90" i="2"/>
  <c r="OQ89" i="2"/>
  <c r="IX90" i="2"/>
  <c r="MC90" i="2"/>
  <c r="MF89" i="2"/>
  <c r="PI90" i="2"/>
  <c r="PL89" i="2"/>
  <c r="IC90" i="2"/>
  <c r="IC91" i="2" s="1"/>
  <c r="OP90" i="2"/>
  <c r="OP91" i="2" s="1"/>
  <c r="IW90" i="2"/>
  <c r="IZ89" i="2"/>
  <c r="LJ90" i="2"/>
  <c r="KM89" i="2"/>
  <c r="KP88" i="2"/>
  <c r="KO90" i="2"/>
  <c r="HG90" i="2"/>
  <c r="HI90" i="2"/>
  <c r="EC90" i="2"/>
  <c r="FS90" i="2"/>
  <c r="EA90" i="2"/>
  <c r="EX90" i="2"/>
  <c r="EV90" i="2"/>
  <c r="EB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ME91" i="2" l="1"/>
  <c r="LJ91" i="2"/>
  <c r="LI91" i="2"/>
  <c r="JT91" i="2"/>
  <c r="JS91" i="2"/>
  <c r="IY91" i="2"/>
  <c r="ID91" i="2"/>
  <c r="IX91" i="2"/>
  <c r="HH91" i="2"/>
  <c r="KH92" i="2"/>
  <c r="KJ92" i="2"/>
  <c r="KI92" i="2"/>
  <c r="PG92" i="2"/>
  <c r="PF92" i="2"/>
  <c r="MI92" i="2"/>
  <c r="PE92" i="2"/>
  <c r="PJ92" i="2" s="1"/>
  <c r="MJ92" i="2"/>
  <c r="OT92" i="2"/>
  <c r="OU92" i="2"/>
  <c r="PD92" i="2"/>
  <c r="PH92" i="2"/>
  <c r="OR92" i="2"/>
  <c r="OS92" i="2"/>
  <c r="OM92" i="2"/>
  <c r="OL92" i="2"/>
  <c r="OK92" i="2"/>
  <c r="OJ92" i="2"/>
  <c r="OO92" i="2" s="1"/>
  <c r="OI92" i="2"/>
  <c r="NZ92" i="2"/>
  <c r="NX92" i="2"/>
  <c r="NY92" i="2"/>
  <c r="NW92" i="2"/>
  <c r="NO92" i="2"/>
  <c r="NU92" i="2" s="1"/>
  <c r="NR92" i="2"/>
  <c r="NC92" i="2"/>
  <c r="NQ92" i="2"/>
  <c r="NN92" i="2"/>
  <c r="NP92" i="2"/>
  <c r="NE92" i="2"/>
  <c r="ND92" i="2"/>
  <c r="NB92" i="2"/>
  <c r="MT92" i="2"/>
  <c r="MY92" i="2" s="1"/>
  <c r="MW92" i="2"/>
  <c r="MS92" i="2"/>
  <c r="MV92" i="2"/>
  <c r="MH92" i="2"/>
  <c r="MG92" i="2"/>
  <c r="MU92" i="2"/>
  <c r="LZ92" i="2"/>
  <c r="LY92" i="2"/>
  <c r="MB92" i="2"/>
  <c r="LX92" i="2"/>
  <c r="MA92" i="2"/>
  <c r="LO92" i="2"/>
  <c r="LN92" i="2"/>
  <c r="LF92" i="2"/>
  <c r="KT92" i="2"/>
  <c r="KS92" i="2"/>
  <c r="JA92" i="2"/>
  <c r="LL92" i="2"/>
  <c r="LE92" i="2"/>
  <c r="JB92" i="2"/>
  <c r="LM92" i="2"/>
  <c r="LD92" i="2"/>
  <c r="KR92" i="2"/>
  <c r="LG92" i="2"/>
  <c r="LC92" i="2"/>
  <c r="KK92" i="2"/>
  <c r="JM92" i="2"/>
  <c r="KQ92" i="2"/>
  <c r="JO92" i="2"/>
  <c r="JD92" i="2"/>
  <c r="JV92" i="2"/>
  <c r="KL92" i="2"/>
  <c r="JY92" i="2"/>
  <c r="JX92" i="2"/>
  <c r="JN92" i="2"/>
  <c r="JW92" i="2"/>
  <c r="JQ92" i="2"/>
  <c r="JP92" i="2"/>
  <c r="JC92" i="2"/>
  <c r="IU92" i="2"/>
  <c r="IH92" i="2"/>
  <c r="IF92" i="2"/>
  <c r="HE92" i="2"/>
  <c r="IT92" i="2"/>
  <c r="IG92" i="2"/>
  <c r="HF92" i="2"/>
  <c r="IS92" i="2"/>
  <c r="HN92" i="2"/>
  <c r="IV92" i="2"/>
  <c r="IR92" i="2"/>
  <c r="II92" i="2"/>
  <c r="HD92" i="2"/>
  <c r="HL92" i="2"/>
  <c r="IA92" i="2"/>
  <c r="HW92" i="2"/>
  <c r="HZ92" i="2"/>
  <c r="HM92" i="2"/>
  <c r="HK92" i="2"/>
  <c r="HY92" i="2"/>
  <c r="HX92" i="2"/>
  <c r="ID92" i="2" s="1"/>
  <c r="OP92" i="2"/>
  <c r="ON91" i="2"/>
  <c r="OQ90" i="2"/>
  <c r="PK92" i="2"/>
  <c r="NS91" i="2"/>
  <c r="NV90" i="2"/>
  <c r="LH91" i="2"/>
  <c r="LK90" i="2"/>
  <c r="MZ92" i="2"/>
  <c r="MC91" i="2"/>
  <c r="MF90" i="2"/>
  <c r="IB91" i="2"/>
  <c r="IE90" i="2"/>
  <c r="MD92" i="2"/>
  <c r="IX92" i="2"/>
  <c r="NT92" i="2"/>
  <c r="JU90" i="2"/>
  <c r="JR91" i="2"/>
  <c r="HI91" i="2"/>
  <c r="IW91" i="2"/>
  <c r="IZ90" i="2"/>
  <c r="PI91" i="2"/>
  <c r="PL90" i="2"/>
  <c r="MX91" i="2"/>
  <c r="NA90" i="2"/>
  <c r="KO91" i="2"/>
  <c r="KM90" i="2"/>
  <c r="KP89" i="2"/>
  <c r="KN90" i="2"/>
  <c r="KN91" i="2" s="1"/>
  <c r="HG91" i="2"/>
  <c r="EA91" i="2"/>
  <c r="EX91" i="2"/>
  <c r="FS91" i="2"/>
  <c r="EB91" i="2"/>
  <c r="EC91" i="2"/>
  <c r="GN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LJ92" i="2" l="1"/>
  <c r="JS92" i="2"/>
  <c r="ME92" i="2"/>
  <c r="LI92" i="2"/>
  <c r="JT92" i="2"/>
  <c r="IY92" i="2"/>
  <c r="IC92" i="2"/>
  <c r="HH92" i="2"/>
  <c r="JU91" i="2"/>
  <c r="JR92" i="2"/>
  <c r="IB92" i="2"/>
  <c r="IE91" i="2"/>
  <c r="LH92" i="2"/>
  <c r="LK91" i="2"/>
  <c r="HG92" i="2"/>
  <c r="PI92" i="2"/>
  <c r="PL91" i="2"/>
  <c r="ON92" i="2"/>
  <c r="OQ91" i="2"/>
  <c r="KJ93" i="2"/>
  <c r="KI93" i="2"/>
  <c r="KH93" i="2"/>
  <c r="OU93" i="2"/>
  <c r="PF93" i="2"/>
  <c r="OT93" i="2"/>
  <c r="MJ93" i="2"/>
  <c r="MI93" i="2"/>
  <c r="PE93" i="2"/>
  <c r="PJ93" i="2" s="1"/>
  <c r="PD93" i="2"/>
  <c r="PG93" i="2"/>
  <c r="PH93" i="2"/>
  <c r="OS93" i="2"/>
  <c r="OR93" i="2"/>
  <c r="OM93" i="2"/>
  <c r="OL93" i="2"/>
  <c r="OK93" i="2"/>
  <c r="OJ93" i="2"/>
  <c r="OO93" i="2" s="1"/>
  <c r="OI93" i="2"/>
  <c r="NZ93" i="2"/>
  <c r="NX93" i="2"/>
  <c r="NR93" i="2"/>
  <c r="NY93" i="2"/>
  <c r="NP93" i="2"/>
  <c r="NW93" i="2"/>
  <c r="NO93" i="2"/>
  <c r="NU93" i="2" s="1"/>
  <c r="NE93" i="2"/>
  <c r="ND93" i="2"/>
  <c r="NC93" i="2"/>
  <c r="NQ93" i="2"/>
  <c r="NN93" i="2"/>
  <c r="MU93" i="2"/>
  <c r="NB93" i="2"/>
  <c r="MT93" i="2"/>
  <c r="MY93" i="2" s="1"/>
  <c r="MW93" i="2"/>
  <c r="MS93" i="2"/>
  <c r="MV93" i="2"/>
  <c r="MA93" i="2"/>
  <c r="LO93" i="2"/>
  <c r="LZ93" i="2"/>
  <c r="MH93" i="2"/>
  <c r="LY93" i="2"/>
  <c r="ME93" i="2" s="1"/>
  <c r="MG93" i="2"/>
  <c r="MB93" i="2"/>
  <c r="LX93" i="2"/>
  <c r="LG93" i="2"/>
  <c r="LC93" i="2"/>
  <c r="LN93" i="2"/>
  <c r="LF93" i="2"/>
  <c r="KT93" i="2"/>
  <c r="KS93" i="2"/>
  <c r="JA93" i="2"/>
  <c r="LL93" i="2"/>
  <c r="LE93" i="2"/>
  <c r="JB93" i="2"/>
  <c r="LM93" i="2"/>
  <c r="LD93" i="2"/>
  <c r="KR93" i="2"/>
  <c r="KL93" i="2"/>
  <c r="JY93" i="2"/>
  <c r="JX93" i="2"/>
  <c r="JN93" i="2"/>
  <c r="JW93" i="2"/>
  <c r="JQ93" i="2"/>
  <c r="KK93" i="2"/>
  <c r="JM93" i="2"/>
  <c r="KQ93" i="2"/>
  <c r="JO93" i="2"/>
  <c r="JD93" i="2"/>
  <c r="JV93" i="2"/>
  <c r="IV93" i="2"/>
  <c r="IR93" i="2"/>
  <c r="II93" i="2"/>
  <c r="HD93" i="2"/>
  <c r="JP93" i="2"/>
  <c r="JS93" i="2" s="1"/>
  <c r="JC93" i="2"/>
  <c r="IU93" i="2"/>
  <c r="IH93" i="2"/>
  <c r="IF93" i="2"/>
  <c r="HE93" i="2"/>
  <c r="IT93" i="2"/>
  <c r="IG93" i="2"/>
  <c r="HF93" i="2"/>
  <c r="IS93" i="2"/>
  <c r="IY93" i="2" s="1"/>
  <c r="HN93" i="2"/>
  <c r="HX93" i="2"/>
  <c r="HL93" i="2"/>
  <c r="IA93" i="2"/>
  <c r="HW93" i="2"/>
  <c r="HZ93" i="2"/>
  <c r="HM93" i="2"/>
  <c r="HK93" i="2"/>
  <c r="HY93" i="2"/>
  <c r="MX92" i="2"/>
  <c r="NA91" i="2"/>
  <c r="MF91" i="2"/>
  <c r="MC92" i="2"/>
  <c r="NS92" i="2"/>
  <c r="NV91" i="2"/>
  <c r="IW92" i="2"/>
  <c r="IZ91" i="2"/>
  <c r="IX93" i="2"/>
  <c r="PK93" i="2"/>
  <c r="OP93" i="2"/>
  <c r="KM91" i="2"/>
  <c r="KP90" i="2"/>
  <c r="KO92" i="2"/>
  <c r="HI92" i="2"/>
  <c r="EX92" i="2"/>
  <c r="EW92" i="2"/>
  <c r="FS92" i="2"/>
  <c r="FQ92" i="2"/>
  <c r="EC92" i="2"/>
  <c r="EA92" i="2"/>
  <c r="GN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GJ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MD93" i="2" l="1"/>
  <c r="LJ93" i="2"/>
  <c r="JT93" i="2"/>
  <c r="IC93" i="2"/>
  <c r="HH93" i="2"/>
  <c r="NS93" i="2"/>
  <c r="NV92" i="2"/>
  <c r="ON93" i="2"/>
  <c r="OQ92" i="2"/>
  <c r="JU92" i="2"/>
  <c r="JR93" i="2"/>
  <c r="ID93" i="2"/>
  <c r="LI93" i="2"/>
  <c r="MZ93" i="2"/>
  <c r="NT93" i="2"/>
  <c r="LH93" i="2"/>
  <c r="LK92" i="2"/>
  <c r="KJ94" i="2"/>
  <c r="KI94" i="2"/>
  <c r="KH94" i="2"/>
  <c r="OT94" i="2"/>
  <c r="PE94" i="2"/>
  <c r="PJ94" i="2" s="1"/>
  <c r="PD94" i="2"/>
  <c r="PG94" i="2"/>
  <c r="PH94" i="2"/>
  <c r="PF94" i="2"/>
  <c r="MI94" i="2"/>
  <c r="MJ94" i="2"/>
  <c r="OU94" i="2"/>
  <c r="OR94" i="2"/>
  <c r="OS94" i="2"/>
  <c r="OM94" i="2"/>
  <c r="OL94" i="2"/>
  <c r="OJ94" i="2"/>
  <c r="OO94" i="2" s="1"/>
  <c r="OK94" i="2"/>
  <c r="OI94" i="2"/>
  <c r="NZ94" i="2"/>
  <c r="NY94" i="2"/>
  <c r="NW94" i="2"/>
  <c r="NR94" i="2"/>
  <c r="NX94" i="2"/>
  <c r="NQ94" i="2"/>
  <c r="NP94" i="2"/>
  <c r="NO94" i="2"/>
  <c r="NU94" i="2" s="1"/>
  <c r="NN94" i="2"/>
  <c r="NE94" i="2"/>
  <c r="ND94" i="2"/>
  <c r="NB94" i="2"/>
  <c r="NC94" i="2"/>
  <c r="MV94" i="2"/>
  <c r="MU94" i="2"/>
  <c r="MT94" i="2"/>
  <c r="MY94" i="2" s="1"/>
  <c r="MW94" i="2"/>
  <c r="MS94" i="2"/>
  <c r="MG94" i="2"/>
  <c r="MB94" i="2"/>
  <c r="LX94" i="2"/>
  <c r="MA94" i="2"/>
  <c r="LO94" i="2"/>
  <c r="LZ94" i="2"/>
  <c r="MH94" i="2"/>
  <c r="LY94" i="2"/>
  <c r="ME94" i="2" s="1"/>
  <c r="LM94" i="2"/>
  <c r="LD94" i="2"/>
  <c r="KR94" i="2"/>
  <c r="LG94" i="2"/>
  <c r="LC94" i="2"/>
  <c r="LN94" i="2"/>
  <c r="LF94" i="2"/>
  <c r="KT94" i="2"/>
  <c r="KS94" i="2"/>
  <c r="JA94" i="2"/>
  <c r="LL94" i="2"/>
  <c r="LE94" i="2"/>
  <c r="JB94" i="2"/>
  <c r="JO94" i="2"/>
  <c r="JD94" i="2"/>
  <c r="JV94" i="2"/>
  <c r="KL94" i="2"/>
  <c r="JY94" i="2"/>
  <c r="JX94" i="2"/>
  <c r="JN94" i="2"/>
  <c r="JW94" i="2"/>
  <c r="JQ94" i="2"/>
  <c r="KK94" i="2"/>
  <c r="JM94" i="2"/>
  <c r="JP94" i="2"/>
  <c r="JC94" i="2"/>
  <c r="KQ94" i="2"/>
  <c r="IS94" i="2"/>
  <c r="HN94" i="2"/>
  <c r="IV94" i="2"/>
  <c r="IR94" i="2"/>
  <c r="II94" i="2"/>
  <c r="HD94" i="2"/>
  <c r="IU94" i="2"/>
  <c r="IH94" i="2"/>
  <c r="IF94" i="2"/>
  <c r="HE94" i="2"/>
  <c r="IT94" i="2"/>
  <c r="IG94" i="2"/>
  <c r="HF94" i="2"/>
  <c r="HM94" i="2"/>
  <c r="HK94" i="2"/>
  <c r="HY94" i="2"/>
  <c r="HX94" i="2"/>
  <c r="HL94" i="2"/>
  <c r="IA94" i="2"/>
  <c r="HW94" i="2"/>
  <c r="HZ94" i="2"/>
  <c r="MC93" i="2"/>
  <c r="MF92" i="2"/>
  <c r="PI93" i="2"/>
  <c r="PL92" i="2"/>
  <c r="OP94" i="2"/>
  <c r="IW93" i="2"/>
  <c r="IZ92" i="2"/>
  <c r="MX93" i="2"/>
  <c r="NA92" i="2"/>
  <c r="IB93" i="2"/>
  <c r="IE92" i="2"/>
  <c r="KM92" i="2"/>
  <c r="KP91" i="2"/>
  <c r="KO93" i="2"/>
  <c r="KN92" i="2"/>
  <c r="HI93" i="2"/>
  <c r="HG93" i="2"/>
  <c r="EC93" i="2"/>
  <c r="FS93" i="2"/>
  <c r="AW93" i="2"/>
  <c r="EX93" i="2"/>
  <c r="EA93" i="2"/>
  <c r="FQ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LJ94" i="2" l="1"/>
  <c r="JT94" i="2"/>
  <c r="IX94" i="2"/>
  <c r="IC94" i="2"/>
  <c r="HG94" i="2"/>
  <c r="HH94" i="2"/>
  <c r="IB94" i="2"/>
  <c r="IE93" i="2"/>
  <c r="MX94" i="2"/>
  <c r="NA93" i="2"/>
  <c r="IW94" i="2"/>
  <c r="IZ93" i="2"/>
  <c r="PK94" i="2"/>
  <c r="MZ94" i="2"/>
  <c r="JS94" i="2"/>
  <c r="MD94" i="2"/>
  <c r="IY94" i="2"/>
  <c r="PI94" i="2"/>
  <c r="PL93" i="2"/>
  <c r="MF93" i="2"/>
  <c r="MC94" i="2"/>
  <c r="LI94" i="2"/>
  <c r="LH94" i="2"/>
  <c r="LK93" i="2"/>
  <c r="ID94" i="2"/>
  <c r="ON94" i="2"/>
  <c r="OQ93" i="2"/>
  <c r="NS94" i="2"/>
  <c r="NV93" i="2"/>
  <c r="KJ95" i="2"/>
  <c r="KI95" i="2"/>
  <c r="KH95" i="2"/>
  <c r="PD95" i="2"/>
  <c r="PH95" i="2"/>
  <c r="OU95" i="2"/>
  <c r="OT95" i="2"/>
  <c r="PG95" i="2"/>
  <c r="PE95" i="2"/>
  <c r="PJ95" i="2" s="1"/>
  <c r="PF95" i="2"/>
  <c r="MI95" i="2"/>
  <c r="MJ95" i="2"/>
  <c r="OR95" i="2"/>
  <c r="OS95" i="2"/>
  <c r="OM95" i="2"/>
  <c r="OK95" i="2"/>
  <c r="OL95" i="2"/>
  <c r="OI95" i="2"/>
  <c r="OJ95" i="2"/>
  <c r="OO95" i="2" s="1"/>
  <c r="NZ95" i="2"/>
  <c r="NY95" i="2"/>
  <c r="NW95" i="2"/>
  <c r="NR95" i="2"/>
  <c r="NX95" i="2"/>
  <c r="NQ95" i="2"/>
  <c r="NP95" i="2"/>
  <c r="NC95" i="2"/>
  <c r="NO95" i="2"/>
  <c r="NU95" i="2" s="1"/>
  <c r="NN95" i="2"/>
  <c r="NE95" i="2"/>
  <c r="ND95" i="2"/>
  <c r="NB95" i="2"/>
  <c r="MW95" i="2"/>
  <c r="MS95" i="2"/>
  <c r="MV95" i="2"/>
  <c r="MH95" i="2"/>
  <c r="MG95" i="2"/>
  <c r="MU95" i="2"/>
  <c r="MT95" i="2"/>
  <c r="MY95" i="2" s="1"/>
  <c r="LY95" i="2"/>
  <c r="MB95" i="2"/>
  <c r="LX95" i="2"/>
  <c r="MA95" i="2"/>
  <c r="LO95" i="2"/>
  <c r="LZ95" i="2"/>
  <c r="LL95" i="2"/>
  <c r="LE95" i="2"/>
  <c r="JB95" i="2"/>
  <c r="LM95" i="2"/>
  <c r="LD95" i="2"/>
  <c r="KR95" i="2"/>
  <c r="LG95" i="2"/>
  <c r="LC95" i="2"/>
  <c r="LN95" i="2"/>
  <c r="LF95" i="2"/>
  <c r="KT95" i="2"/>
  <c r="KS95" i="2"/>
  <c r="JA95" i="2"/>
  <c r="KQ95" i="2"/>
  <c r="JO95" i="2"/>
  <c r="JD95" i="2"/>
  <c r="JV95" i="2"/>
  <c r="KL95" i="2"/>
  <c r="JY95" i="2"/>
  <c r="JX95" i="2"/>
  <c r="JN95" i="2"/>
  <c r="JW95" i="2"/>
  <c r="JQ95" i="2"/>
  <c r="KK95" i="2"/>
  <c r="JM95" i="2"/>
  <c r="JP95" i="2"/>
  <c r="JC95" i="2"/>
  <c r="IT95" i="2"/>
  <c r="IG95" i="2"/>
  <c r="HF95" i="2"/>
  <c r="IS95" i="2"/>
  <c r="HN95" i="2"/>
  <c r="IV95" i="2"/>
  <c r="IR95" i="2"/>
  <c r="II95" i="2"/>
  <c r="HD95" i="2"/>
  <c r="IU95" i="2"/>
  <c r="IH95" i="2"/>
  <c r="IF95" i="2"/>
  <c r="HE95" i="2"/>
  <c r="HZ95" i="2"/>
  <c r="HM95" i="2"/>
  <c r="HK95" i="2"/>
  <c r="HY95" i="2"/>
  <c r="HX95" i="2"/>
  <c r="IC95" i="2" s="1"/>
  <c r="HL95" i="2"/>
  <c r="IA95" i="2"/>
  <c r="HW95" i="2"/>
  <c r="NT94" i="2"/>
  <c r="NT95" i="2" s="1"/>
  <c r="JU93" i="2"/>
  <c r="JR94" i="2"/>
  <c r="KO94" i="2"/>
  <c r="KM93" i="2"/>
  <c r="KP92" i="2"/>
  <c r="KN93" i="2"/>
  <c r="KN94" i="2" s="1"/>
  <c r="HI94" i="2"/>
  <c r="EX94" i="2"/>
  <c r="FS94" i="2"/>
  <c r="EC94" i="2"/>
  <c r="EA94" i="2"/>
  <c r="GN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ME95" i="2" l="1"/>
  <c r="LJ95" i="2"/>
  <c r="JT95" i="2"/>
  <c r="IX95" i="2"/>
  <c r="HH95" i="2"/>
  <c r="NS95" i="2"/>
  <c r="NV94" i="2"/>
  <c r="IY95" i="2"/>
  <c r="JS95" i="2"/>
  <c r="PK95" i="2"/>
  <c r="ON95" i="2"/>
  <c r="OQ94" i="2"/>
  <c r="ID95" i="2"/>
  <c r="LH95" i="2"/>
  <c r="LK94" i="2"/>
  <c r="MD95" i="2"/>
  <c r="IW95" i="2"/>
  <c r="IZ94" i="2"/>
  <c r="IB95" i="2"/>
  <c r="IE94" i="2"/>
  <c r="PI95" i="2"/>
  <c r="PL94" i="2"/>
  <c r="MZ95" i="2"/>
  <c r="KH96" i="2"/>
  <c r="KJ96" i="2"/>
  <c r="KI96" i="2"/>
  <c r="PG96" i="2"/>
  <c r="PE96" i="2"/>
  <c r="PJ96" i="2" s="1"/>
  <c r="MI96" i="2"/>
  <c r="OU96" i="2"/>
  <c r="PD96" i="2"/>
  <c r="PH96" i="2"/>
  <c r="PF96" i="2"/>
  <c r="MJ96" i="2"/>
  <c r="OT96" i="2"/>
  <c r="OR96" i="2"/>
  <c r="OS96" i="2"/>
  <c r="OM96" i="2"/>
  <c r="OL96" i="2"/>
  <c r="OK96" i="2"/>
  <c r="OJ96" i="2"/>
  <c r="OO96" i="2" s="1"/>
  <c r="OI96" i="2"/>
  <c r="NZ96" i="2"/>
  <c r="NX96" i="2"/>
  <c r="NY96" i="2"/>
  <c r="NW96" i="2"/>
  <c r="NO96" i="2"/>
  <c r="NT96" i="2" s="1"/>
  <c r="NR96" i="2"/>
  <c r="NQ96" i="2"/>
  <c r="NP96" i="2"/>
  <c r="NC96" i="2"/>
  <c r="NN96" i="2"/>
  <c r="NE96" i="2"/>
  <c r="ND96" i="2"/>
  <c r="MT96" i="2"/>
  <c r="MY96" i="2" s="1"/>
  <c r="MW96" i="2"/>
  <c r="MS96" i="2"/>
  <c r="NB96" i="2"/>
  <c r="MV96" i="2"/>
  <c r="MH96" i="2"/>
  <c r="MG96" i="2"/>
  <c r="MU96" i="2"/>
  <c r="LZ96" i="2"/>
  <c r="LY96" i="2"/>
  <c r="ME96" i="2" s="1"/>
  <c r="MB96" i="2"/>
  <c r="LX96" i="2"/>
  <c r="MA96" i="2"/>
  <c r="LO96" i="2"/>
  <c r="LN96" i="2"/>
  <c r="LF96" i="2"/>
  <c r="KT96" i="2"/>
  <c r="KS96" i="2"/>
  <c r="JA96" i="2"/>
  <c r="LL96" i="2"/>
  <c r="LE96" i="2"/>
  <c r="JB96" i="2"/>
  <c r="LM96" i="2"/>
  <c r="LD96" i="2"/>
  <c r="KR96" i="2"/>
  <c r="LG96" i="2"/>
  <c r="LC96" i="2"/>
  <c r="KK96" i="2"/>
  <c r="JM96" i="2"/>
  <c r="KQ96" i="2"/>
  <c r="JO96" i="2"/>
  <c r="JD96" i="2"/>
  <c r="JV96" i="2"/>
  <c r="KL96" i="2"/>
  <c r="JY96" i="2"/>
  <c r="JX96" i="2"/>
  <c r="JN96" i="2"/>
  <c r="JW96" i="2"/>
  <c r="JQ96" i="2"/>
  <c r="IU96" i="2"/>
  <c r="IH96" i="2"/>
  <c r="IF96" i="2"/>
  <c r="HE96" i="2"/>
  <c r="IT96" i="2"/>
  <c r="IG96" i="2"/>
  <c r="HF96" i="2"/>
  <c r="JP96" i="2"/>
  <c r="JC96" i="2"/>
  <c r="IS96" i="2"/>
  <c r="HN96" i="2"/>
  <c r="IV96" i="2"/>
  <c r="IR96" i="2"/>
  <c r="II96" i="2"/>
  <c r="HD96" i="2"/>
  <c r="HL96" i="2"/>
  <c r="IA96" i="2"/>
  <c r="HW96" i="2"/>
  <c r="HZ96" i="2"/>
  <c r="HM96" i="2"/>
  <c r="HK96" i="2"/>
  <c r="HY96" i="2"/>
  <c r="HX96" i="2"/>
  <c r="JR95" i="2"/>
  <c r="JU94" i="2"/>
  <c r="LI95" i="2"/>
  <c r="LI96" i="2" s="1"/>
  <c r="MC95" i="2"/>
  <c r="MF94" i="2"/>
  <c r="OP95" i="2"/>
  <c r="MX95" i="2"/>
  <c r="NA94" i="2"/>
  <c r="KM94" i="2"/>
  <c r="KP93" i="2"/>
  <c r="KO95" i="2"/>
  <c r="HI95" i="2"/>
  <c r="HG95" i="2"/>
  <c r="EX95" i="2"/>
  <c r="EB95" i="2"/>
  <c r="FQ95" i="2"/>
  <c r="FS95" i="2"/>
  <c r="EC95" i="2"/>
  <c r="EA95" i="2"/>
  <c r="GN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LJ96" i="2" l="1"/>
  <c r="JT96" i="2"/>
  <c r="IX96" i="2"/>
  <c r="IC96" i="2"/>
  <c r="MX96" i="2"/>
  <c r="NA95" i="2"/>
  <c r="MC96" i="2"/>
  <c r="MF95" i="2"/>
  <c r="ON96" i="2"/>
  <c r="OQ95" i="2"/>
  <c r="PK96" i="2"/>
  <c r="JS96" i="2"/>
  <c r="KJ97" i="2"/>
  <c r="KI97" i="2"/>
  <c r="KH97" i="2"/>
  <c r="OU97" i="2"/>
  <c r="PF97" i="2"/>
  <c r="MJ97" i="2"/>
  <c r="PE97" i="2"/>
  <c r="PJ97" i="2" s="1"/>
  <c r="MI97" i="2"/>
  <c r="OT97" i="2"/>
  <c r="PD97" i="2"/>
  <c r="PG97" i="2"/>
  <c r="PH97" i="2"/>
  <c r="OS97" i="2"/>
  <c r="OR97" i="2"/>
  <c r="OM97" i="2"/>
  <c r="OL97" i="2"/>
  <c r="OK97" i="2"/>
  <c r="OJ97" i="2"/>
  <c r="OO97" i="2" s="1"/>
  <c r="NZ97" i="2"/>
  <c r="OI97" i="2"/>
  <c r="NX97" i="2"/>
  <c r="NR97" i="2"/>
  <c r="NP97" i="2"/>
  <c r="NY97" i="2"/>
  <c r="NW97" i="2"/>
  <c r="NO97" i="2"/>
  <c r="NT97" i="2" s="1"/>
  <c r="NE97" i="2"/>
  <c r="ND97" i="2"/>
  <c r="NQ97" i="2"/>
  <c r="NC97" i="2"/>
  <c r="NN97" i="2"/>
  <c r="MU97" i="2"/>
  <c r="MT97" i="2"/>
  <c r="MY97" i="2" s="1"/>
  <c r="MW97" i="2"/>
  <c r="MS97" i="2"/>
  <c r="NB97" i="2"/>
  <c r="MV97" i="2"/>
  <c r="MH97" i="2"/>
  <c r="MA97" i="2"/>
  <c r="LO97" i="2"/>
  <c r="MG97" i="2"/>
  <c r="LZ97" i="2"/>
  <c r="LY97" i="2"/>
  <c r="MB97" i="2"/>
  <c r="LX97" i="2"/>
  <c r="LG97" i="2"/>
  <c r="LC97" i="2"/>
  <c r="LN97" i="2"/>
  <c r="LF97" i="2"/>
  <c r="KT97" i="2"/>
  <c r="KS97" i="2"/>
  <c r="JA97" i="2"/>
  <c r="LL97" i="2"/>
  <c r="LE97" i="2"/>
  <c r="JB97" i="2"/>
  <c r="LM97" i="2"/>
  <c r="LD97" i="2"/>
  <c r="KR97" i="2"/>
  <c r="KL97" i="2"/>
  <c r="JY97" i="2"/>
  <c r="JX97" i="2"/>
  <c r="JN97" i="2"/>
  <c r="JW97" i="2"/>
  <c r="JQ97" i="2"/>
  <c r="KK97" i="2"/>
  <c r="JM97" i="2"/>
  <c r="KQ97" i="2"/>
  <c r="JO97" i="2"/>
  <c r="JD97" i="2"/>
  <c r="JV97" i="2"/>
  <c r="IV97" i="2"/>
  <c r="IR97" i="2"/>
  <c r="II97" i="2"/>
  <c r="HD97" i="2"/>
  <c r="IU97" i="2"/>
  <c r="IH97" i="2"/>
  <c r="IF97" i="2"/>
  <c r="HE97" i="2"/>
  <c r="IT97" i="2"/>
  <c r="IG97" i="2"/>
  <c r="HF97" i="2"/>
  <c r="JP97" i="2"/>
  <c r="JC97" i="2"/>
  <c r="IS97" i="2"/>
  <c r="IX97" i="2" s="1"/>
  <c r="HN97" i="2"/>
  <c r="HX97" i="2"/>
  <c r="HL97" i="2"/>
  <c r="IA97" i="2"/>
  <c r="HW97" i="2"/>
  <c r="HZ97" i="2"/>
  <c r="HM97" i="2"/>
  <c r="HK97" i="2"/>
  <c r="HY97" i="2"/>
  <c r="HH96" i="2"/>
  <c r="MZ96" i="2"/>
  <c r="MZ97" i="2" s="1"/>
  <c r="IB96" i="2"/>
  <c r="IE95" i="2"/>
  <c r="MD96" i="2"/>
  <c r="NS96" i="2"/>
  <c r="NV95" i="2"/>
  <c r="JU95" i="2"/>
  <c r="JR96" i="2"/>
  <c r="OP96" i="2"/>
  <c r="OP97" i="2" s="1"/>
  <c r="PI96" i="2"/>
  <c r="PL95" i="2"/>
  <c r="LH96" i="2"/>
  <c r="LK95" i="2"/>
  <c r="IY96" i="2"/>
  <c r="IY97" i="2" s="1"/>
  <c r="NU96" i="2"/>
  <c r="NU97" i="2" s="1"/>
  <c r="IW96" i="2"/>
  <c r="IZ95" i="2"/>
  <c r="ID96" i="2"/>
  <c r="ID97" i="2" s="1"/>
  <c r="KO96" i="2"/>
  <c r="KM95" i="2"/>
  <c r="KP94" i="2"/>
  <c r="KN95" i="2"/>
  <c r="HG96" i="2"/>
  <c r="HI96" i="2"/>
  <c r="FQ96" i="2"/>
  <c r="FS96" i="2"/>
  <c r="EX96" i="2"/>
  <c r="EB96" i="2"/>
  <c r="EC96" i="2"/>
  <c r="EW96" i="2"/>
  <c r="GN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JT97" i="2" l="1"/>
  <c r="ME97" i="2"/>
  <c r="LJ97" i="2"/>
  <c r="MD97" i="2"/>
  <c r="IC97" i="2"/>
  <c r="HH97" i="2"/>
  <c r="PI97" i="2"/>
  <c r="PL96" i="2"/>
  <c r="NS97" i="2"/>
  <c r="NV96" i="2"/>
  <c r="PK97" i="2"/>
  <c r="LI97" i="2"/>
  <c r="MX97" i="2"/>
  <c r="NA96" i="2"/>
  <c r="IW97" i="2"/>
  <c r="IZ96" i="2"/>
  <c r="JR97" i="2"/>
  <c r="JU96" i="2"/>
  <c r="IB97" i="2"/>
  <c r="IE96" i="2"/>
  <c r="JS97" i="2"/>
  <c r="ON97" i="2"/>
  <c r="OQ96" i="2"/>
  <c r="MC97" i="2"/>
  <c r="MF96" i="2"/>
  <c r="KJ98" i="2"/>
  <c r="KI98" i="2"/>
  <c r="KH98" i="2"/>
  <c r="OT98" i="2"/>
  <c r="PE98" i="2"/>
  <c r="PJ98" i="2" s="1"/>
  <c r="PF98" i="2"/>
  <c r="OU98" i="2"/>
  <c r="MI98" i="2"/>
  <c r="PD98" i="2"/>
  <c r="PG98" i="2"/>
  <c r="PH98" i="2"/>
  <c r="MJ98" i="2"/>
  <c r="OR98" i="2"/>
  <c r="OS98" i="2"/>
  <c r="OM98" i="2"/>
  <c r="OK98" i="2"/>
  <c r="OJ98" i="2"/>
  <c r="OO98" i="2" s="1"/>
  <c r="OL98" i="2"/>
  <c r="OI98" i="2"/>
  <c r="NZ98" i="2"/>
  <c r="NY98" i="2"/>
  <c r="NX98" i="2"/>
  <c r="NW98" i="2"/>
  <c r="NR98" i="2"/>
  <c r="NQ98" i="2"/>
  <c r="NP98" i="2"/>
  <c r="NN98" i="2"/>
  <c r="NE98" i="2"/>
  <c r="ND98" i="2"/>
  <c r="NO98" i="2"/>
  <c r="NT98" i="2" s="1"/>
  <c r="NB98" i="2"/>
  <c r="NC98" i="2"/>
  <c r="MV98" i="2"/>
  <c r="MU98" i="2"/>
  <c r="MT98" i="2"/>
  <c r="MY98" i="2" s="1"/>
  <c r="MW98" i="2"/>
  <c r="MS98" i="2"/>
  <c r="MB98" i="2"/>
  <c r="LX98" i="2"/>
  <c r="MH98" i="2"/>
  <c r="MA98" i="2"/>
  <c r="LO98" i="2"/>
  <c r="MG98" i="2"/>
  <c r="LZ98" i="2"/>
  <c r="LY98" i="2"/>
  <c r="MD98" i="2" s="1"/>
  <c r="LM98" i="2"/>
  <c r="LD98" i="2"/>
  <c r="KR98" i="2"/>
  <c r="LG98" i="2"/>
  <c r="LC98" i="2"/>
  <c r="LN98" i="2"/>
  <c r="LF98" i="2"/>
  <c r="KT98" i="2"/>
  <c r="KS98" i="2"/>
  <c r="JA98" i="2"/>
  <c r="LL98" i="2"/>
  <c r="LE98" i="2"/>
  <c r="JB98" i="2"/>
  <c r="JO98" i="2"/>
  <c r="JD98" i="2"/>
  <c r="JV98" i="2"/>
  <c r="KL98" i="2"/>
  <c r="JY98" i="2"/>
  <c r="JX98" i="2"/>
  <c r="JN98" i="2"/>
  <c r="JW98" i="2"/>
  <c r="JQ98" i="2"/>
  <c r="KK98" i="2"/>
  <c r="JM98" i="2"/>
  <c r="JP98" i="2"/>
  <c r="JC98" i="2"/>
  <c r="KQ98" i="2"/>
  <c r="IS98" i="2"/>
  <c r="IX98" i="2" s="1"/>
  <c r="HN98" i="2"/>
  <c r="IV98" i="2"/>
  <c r="IR98" i="2"/>
  <c r="II98" i="2"/>
  <c r="HD98" i="2"/>
  <c r="IU98" i="2"/>
  <c r="IH98" i="2"/>
  <c r="IF98" i="2"/>
  <c r="HE98" i="2"/>
  <c r="IT98" i="2"/>
  <c r="IG98" i="2"/>
  <c r="HF98" i="2"/>
  <c r="HM98" i="2"/>
  <c r="HK98" i="2"/>
  <c r="HY98" i="2"/>
  <c r="HX98" i="2"/>
  <c r="HL98" i="2"/>
  <c r="IA98" i="2"/>
  <c r="HW98" i="2"/>
  <c r="HZ98" i="2"/>
  <c r="LH97" i="2"/>
  <c r="LK96" i="2"/>
  <c r="KM96" i="2"/>
  <c r="KP95" i="2"/>
  <c r="KO97" i="2"/>
  <c r="KN96" i="2"/>
  <c r="HI97" i="2"/>
  <c r="HG97" i="2"/>
  <c r="EC97" i="2"/>
  <c r="FS97" i="2"/>
  <c r="EA97" i="2"/>
  <c r="EW97" i="2"/>
  <c r="EV97" i="2"/>
  <c r="EX97" i="2"/>
  <c r="GN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LJ98" i="2" l="1"/>
  <c r="JT98" i="2"/>
  <c r="ID98" i="2"/>
  <c r="HH98" i="2"/>
  <c r="JR98" i="2"/>
  <c r="JU97" i="2"/>
  <c r="MZ98" i="2"/>
  <c r="LI98" i="2"/>
  <c r="NS98" i="2"/>
  <c r="NV97" i="2"/>
  <c r="IC98" i="2"/>
  <c r="KI99" i="2"/>
  <c r="KJ99" i="2"/>
  <c r="KH99" i="2"/>
  <c r="PD99" i="2"/>
  <c r="PH99" i="2"/>
  <c r="OT99" i="2"/>
  <c r="PG99" i="2"/>
  <c r="PF99" i="2"/>
  <c r="PE99" i="2"/>
  <c r="PJ99" i="2" s="1"/>
  <c r="OU99" i="2"/>
  <c r="MI99" i="2"/>
  <c r="MJ99" i="2"/>
  <c r="OR99" i="2"/>
  <c r="OS99" i="2"/>
  <c r="OM99" i="2"/>
  <c r="OK99" i="2"/>
  <c r="OI99" i="2"/>
  <c r="OL99" i="2"/>
  <c r="OJ99" i="2"/>
  <c r="OO99" i="2" s="1"/>
  <c r="NZ99" i="2"/>
  <c r="NY99" i="2"/>
  <c r="NX99" i="2"/>
  <c r="NW99" i="2"/>
  <c r="NR99" i="2"/>
  <c r="NQ99" i="2"/>
  <c r="NC99" i="2"/>
  <c r="NN99" i="2"/>
  <c r="NP99" i="2"/>
  <c r="NE99" i="2"/>
  <c r="ND99" i="2"/>
  <c r="NO99" i="2"/>
  <c r="NT99" i="2" s="1"/>
  <c r="NB99" i="2"/>
  <c r="MW99" i="2"/>
  <c r="MS99" i="2"/>
  <c r="MV99" i="2"/>
  <c r="MH99" i="2"/>
  <c r="MG99" i="2"/>
  <c r="MU99" i="2"/>
  <c r="MT99" i="2"/>
  <c r="MY99" i="2" s="1"/>
  <c r="LY99" i="2"/>
  <c r="MB99" i="2"/>
  <c r="LX99" i="2"/>
  <c r="MA99" i="2"/>
  <c r="LO99" i="2"/>
  <c r="LZ99" i="2"/>
  <c r="LL99" i="2"/>
  <c r="LE99" i="2"/>
  <c r="JB99" i="2"/>
  <c r="LM99" i="2"/>
  <c r="LD99" i="2"/>
  <c r="KR99" i="2"/>
  <c r="LG99" i="2"/>
  <c r="LC99" i="2"/>
  <c r="LN99" i="2"/>
  <c r="LF99" i="2"/>
  <c r="KT99" i="2"/>
  <c r="KS99" i="2"/>
  <c r="JA99" i="2"/>
  <c r="KQ99" i="2"/>
  <c r="JO99" i="2"/>
  <c r="JD99" i="2"/>
  <c r="JV99" i="2"/>
  <c r="KL99" i="2"/>
  <c r="JY99" i="2"/>
  <c r="JX99" i="2"/>
  <c r="JN99" i="2"/>
  <c r="JW99" i="2"/>
  <c r="JQ99" i="2"/>
  <c r="KK99" i="2"/>
  <c r="JM99" i="2"/>
  <c r="JP99" i="2"/>
  <c r="JC99" i="2"/>
  <c r="IT99" i="2"/>
  <c r="IG99" i="2"/>
  <c r="HF99" i="2"/>
  <c r="IS99" i="2"/>
  <c r="HN99" i="2"/>
  <c r="IV99" i="2"/>
  <c r="IR99" i="2"/>
  <c r="II99" i="2"/>
  <c r="HD99" i="2"/>
  <c r="IU99" i="2"/>
  <c r="IH99" i="2"/>
  <c r="IF99" i="2"/>
  <c r="HE99" i="2"/>
  <c r="HZ99" i="2"/>
  <c r="HM99" i="2"/>
  <c r="HK99" i="2"/>
  <c r="HY99" i="2"/>
  <c r="HX99" i="2"/>
  <c r="ID99" i="2" s="1"/>
  <c r="HL99" i="2"/>
  <c r="IA99" i="2"/>
  <c r="HW99" i="2"/>
  <c r="IB98" i="2"/>
  <c r="IE97" i="2"/>
  <c r="OP98" i="2"/>
  <c r="OP99" i="2" s="1"/>
  <c r="IW98" i="2"/>
  <c r="IZ97" i="2"/>
  <c r="ME98" i="2"/>
  <c r="LH98" i="2"/>
  <c r="LK97" i="2"/>
  <c r="MC98" i="2"/>
  <c r="MF97" i="2"/>
  <c r="JS98" i="2"/>
  <c r="IY98" i="2"/>
  <c r="PK98" i="2"/>
  <c r="PK99" i="2" s="1"/>
  <c r="PI98" i="2"/>
  <c r="PL97" i="2"/>
  <c r="ON98" i="2"/>
  <c r="OQ97" i="2"/>
  <c r="NU98" i="2"/>
  <c r="NU99" i="2" s="1"/>
  <c r="MX98" i="2"/>
  <c r="NA97" i="2"/>
  <c r="KO98" i="2"/>
  <c r="KM97" i="2"/>
  <c r="KP96" i="2"/>
  <c r="KN97" i="2"/>
  <c r="HG98" i="2"/>
  <c r="HI98" i="2"/>
  <c r="EX98" i="2"/>
  <c r="FS98" i="2"/>
  <c r="EW98" i="2"/>
  <c r="EC98" i="2"/>
  <c r="EV98" i="2"/>
  <c r="GN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JS99" i="2" l="1"/>
  <c r="ME99" i="2"/>
  <c r="LJ99" i="2"/>
  <c r="MD99" i="2"/>
  <c r="JT99" i="2"/>
  <c r="IX99" i="2"/>
  <c r="IY99" i="2"/>
  <c r="HH99" i="2"/>
  <c r="KH100" i="2"/>
  <c r="KI100" i="2"/>
  <c r="KJ100" i="2"/>
  <c r="PG100" i="2"/>
  <c r="OU100" i="2"/>
  <c r="PD100" i="2"/>
  <c r="PH100" i="2"/>
  <c r="MI100" i="2"/>
  <c r="OT100" i="2"/>
  <c r="PE100" i="2"/>
  <c r="PJ100" i="2" s="1"/>
  <c r="PF100" i="2"/>
  <c r="MJ100" i="2"/>
  <c r="OR100" i="2"/>
  <c r="OS100" i="2"/>
  <c r="OM100" i="2"/>
  <c r="OL100" i="2"/>
  <c r="OK100" i="2"/>
  <c r="OJ100" i="2"/>
  <c r="OO100" i="2" s="1"/>
  <c r="OI100" i="2"/>
  <c r="NZ100" i="2"/>
  <c r="NX100" i="2"/>
  <c r="NY100" i="2"/>
  <c r="NW100" i="2"/>
  <c r="NO100" i="2"/>
  <c r="NT100" i="2" s="1"/>
  <c r="NR100" i="2"/>
  <c r="NC100" i="2"/>
  <c r="NQ100" i="2"/>
  <c r="NN100" i="2"/>
  <c r="NP100" i="2"/>
  <c r="NE100" i="2"/>
  <c r="ND100" i="2"/>
  <c r="NB100" i="2"/>
  <c r="MT100" i="2"/>
  <c r="MY100" i="2" s="1"/>
  <c r="MW100" i="2"/>
  <c r="MS100" i="2"/>
  <c r="MV100" i="2"/>
  <c r="MH100" i="2"/>
  <c r="MG100" i="2"/>
  <c r="MU100" i="2"/>
  <c r="LZ100" i="2"/>
  <c r="LY100" i="2"/>
  <c r="MD100" i="2" s="1"/>
  <c r="MB100" i="2"/>
  <c r="LX100" i="2"/>
  <c r="MA100" i="2"/>
  <c r="LO100" i="2"/>
  <c r="LN100" i="2"/>
  <c r="LF100" i="2"/>
  <c r="KT100" i="2"/>
  <c r="KS100" i="2"/>
  <c r="JA100" i="2"/>
  <c r="LL100" i="2"/>
  <c r="LE100" i="2"/>
  <c r="JB100" i="2"/>
  <c r="LM100" i="2"/>
  <c r="LD100" i="2"/>
  <c r="KR100" i="2"/>
  <c r="LG100" i="2"/>
  <c r="LC100" i="2"/>
  <c r="KK100" i="2"/>
  <c r="JM100" i="2"/>
  <c r="KQ100" i="2"/>
  <c r="JO100" i="2"/>
  <c r="JD100" i="2"/>
  <c r="JV100" i="2"/>
  <c r="KL100" i="2"/>
  <c r="JY100" i="2"/>
  <c r="JX100" i="2"/>
  <c r="JN100" i="2"/>
  <c r="JW100" i="2"/>
  <c r="JQ100" i="2"/>
  <c r="JP100" i="2"/>
  <c r="JC100" i="2"/>
  <c r="IU100" i="2"/>
  <c r="IH100" i="2"/>
  <c r="IF100" i="2"/>
  <c r="HE100" i="2"/>
  <c r="IT100" i="2"/>
  <c r="IG100" i="2"/>
  <c r="HF100" i="2"/>
  <c r="IS100" i="2"/>
  <c r="IX100" i="2" s="1"/>
  <c r="HN100" i="2"/>
  <c r="IV100" i="2"/>
  <c r="IR100" i="2"/>
  <c r="II100" i="2"/>
  <c r="HD100" i="2"/>
  <c r="HL100" i="2"/>
  <c r="IA100" i="2"/>
  <c r="HW100" i="2"/>
  <c r="HZ100" i="2"/>
  <c r="HM100" i="2"/>
  <c r="HK100" i="2"/>
  <c r="HY100" i="2"/>
  <c r="HX100" i="2"/>
  <c r="ID100" i="2" s="1"/>
  <c r="PI99" i="2"/>
  <c r="PL98" i="2"/>
  <c r="PK100" i="2"/>
  <c r="LH99" i="2"/>
  <c r="LK98" i="2"/>
  <c r="NS99" i="2"/>
  <c r="NV98" i="2"/>
  <c r="LI99" i="2"/>
  <c r="ON99" i="2"/>
  <c r="OQ98" i="2"/>
  <c r="MF98" i="2"/>
  <c r="MC99" i="2"/>
  <c r="IB99" i="2"/>
  <c r="IE98" i="2"/>
  <c r="IC99" i="2"/>
  <c r="MZ99" i="2"/>
  <c r="MZ100" i="2" s="1"/>
  <c r="IW99" i="2"/>
  <c r="IZ98" i="2"/>
  <c r="JU98" i="2"/>
  <c r="JR99" i="2"/>
  <c r="MX99" i="2"/>
  <c r="NA98" i="2"/>
  <c r="NU100" i="2"/>
  <c r="OP100" i="2"/>
  <c r="KM98" i="2"/>
  <c r="KP97" i="2"/>
  <c r="KO99" i="2"/>
  <c r="KN98" i="2"/>
  <c r="KN99" i="2" s="1"/>
  <c r="HI99" i="2"/>
  <c r="HG99" i="2"/>
  <c r="EB99" i="2"/>
  <c r="EX99" i="2"/>
  <c r="FS99" i="2"/>
  <c r="EW99" i="2"/>
  <c r="EC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LI100" i="2" l="1"/>
  <c r="JT100" i="2"/>
  <c r="ME100" i="2"/>
  <c r="LJ100" i="2"/>
  <c r="IY100" i="2"/>
  <c r="IC100" i="2"/>
  <c r="HH100" i="2"/>
  <c r="MC100" i="2"/>
  <c r="MF99" i="2"/>
  <c r="NS100" i="2"/>
  <c r="NV99" i="2"/>
  <c r="KJ101" i="2"/>
  <c r="KI101" i="2"/>
  <c r="KH101" i="2"/>
  <c r="OU101" i="2"/>
  <c r="PF101" i="2"/>
  <c r="PE101" i="2"/>
  <c r="PJ101" i="2" s="1"/>
  <c r="MJ101" i="2"/>
  <c r="PD101" i="2"/>
  <c r="PG101" i="2"/>
  <c r="PH101" i="2"/>
  <c r="MI101" i="2"/>
  <c r="OT101" i="2"/>
  <c r="OS101" i="2"/>
  <c r="OR101" i="2"/>
  <c r="OM101" i="2"/>
  <c r="OL101" i="2"/>
  <c r="OK101" i="2"/>
  <c r="OJ101" i="2"/>
  <c r="OO101" i="2" s="1"/>
  <c r="OI101" i="2"/>
  <c r="NZ101" i="2"/>
  <c r="NX101" i="2"/>
  <c r="NR101" i="2"/>
  <c r="NY101" i="2"/>
  <c r="NP101" i="2"/>
  <c r="NW101" i="2"/>
  <c r="NO101" i="2"/>
  <c r="NT101" i="2" s="1"/>
  <c r="NE101" i="2"/>
  <c r="ND101" i="2"/>
  <c r="NC101" i="2"/>
  <c r="NQ101" i="2"/>
  <c r="NN101" i="2"/>
  <c r="MU101" i="2"/>
  <c r="NB101" i="2"/>
  <c r="MT101" i="2"/>
  <c r="MY101" i="2" s="1"/>
  <c r="MW101" i="2"/>
  <c r="MS101" i="2"/>
  <c r="MV101" i="2"/>
  <c r="MA101" i="2"/>
  <c r="LO101" i="2"/>
  <c r="LZ101" i="2"/>
  <c r="MH101" i="2"/>
  <c r="LY101" i="2"/>
  <c r="MG101" i="2"/>
  <c r="MB101" i="2"/>
  <c r="LX101" i="2"/>
  <c r="LG101" i="2"/>
  <c r="LC101" i="2"/>
  <c r="LN101" i="2"/>
  <c r="LF101" i="2"/>
  <c r="KT101" i="2"/>
  <c r="KS101" i="2"/>
  <c r="JA101" i="2"/>
  <c r="LL101" i="2"/>
  <c r="LE101" i="2"/>
  <c r="JB101" i="2"/>
  <c r="LM101" i="2"/>
  <c r="LD101" i="2"/>
  <c r="KR101" i="2"/>
  <c r="KL101" i="2"/>
  <c r="JY101" i="2"/>
  <c r="JX101" i="2"/>
  <c r="JN101" i="2"/>
  <c r="JW101" i="2"/>
  <c r="JQ101" i="2"/>
  <c r="KK101" i="2"/>
  <c r="JM101" i="2"/>
  <c r="KQ101" i="2"/>
  <c r="JO101" i="2"/>
  <c r="JD101" i="2"/>
  <c r="JV101" i="2"/>
  <c r="IV101" i="2"/>
  <c r="IR101" i="2"/>
  <c r="II101" i="2"/>
  <c r="HD101" i="2"/>
  <c r="JP101" i="2"/>
  <c r="JC101" i="2"/>
  <c r="IU101" i="2"/>
  <c r="IH101" i="2"/>
  <c r="IF101" i="2"/>
  <c r="HE101" i="2"/>
  <c r="IT101" i="2"/>
  <c r="IG101" i="2"/>
  <c r="HF101" i="2"/>
  <c r="IS101" i="2"/>
  <c r="HN101" i="2"/>
  <c r="HX101" i="2"/>
  <c r="HL101" i="2"/>
  <c r="IA101" i="2"/>
  <c r="HW101" i="2"/>
  <c r="HZ101" i="2"/>
  <c r="HM101" i="2"/>
  <c r="HK101" i="2"/>
  <c r="HY101" i="2"/>
  <c r="JR100" i="2"/>
  <c r="JU99" i="2"/>
  <c r="IW100" i="2"/>
  <c r="IZ99" i="2"/>
  <c r="LH100" i="2"/>
  <c r="LK99" i="2"/>
  <c r="PI100" i="2"/>
  <c r="PL99" i="2"/>
  <c r="OP101" i="2"/>
  <c r="MX100" i="2"/>
  <c r="NA99" i="2"/>
  <c r="IY101" i="2"/>
  <c r="MZ101" i="2"/>
  <c r="JS100" i="2"/>
  <c r="ME101" i="2"/>
  <c r="IB100" i="2"/>
  <c r="IE99" i="2"/>
  <c r="ON100" i="2"/>
  <c r="OQ99" i="2"/>
  <c r="PK101" i="2"/>
  <c r="KO100" i="2"/>
  <c r="KM99" i="2"/>
  <c r="KP98" i="2"/>
  <c r="HG100" i="2"/>
  <c r="HI100" i="2"/>
  <c r="EX100" i="2"/>
  <c r="EV100" i="2"/>
  <c r="EW100" i="2"/>
  <c r="AU100" i="2"/>
  <c r="FS100" i="2"/>
  <c r="EC100" i="2"/>
  <c r="GN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GJ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LI101" i="2" l="1"/>
  <c r="JS101" i="2"/>
  <c r="LJ101" i="2"/>
  <c r="MD101" i="2"/>
  <c r="JT101" i="2"/>
  <c r="ID101" i="2"/>
  <c r="IX101" i="2"/>
  <c r="HH101" i="2"/>
  <c r="IB101" i="2"/>
  <c r="IE100" i="2"/>
  <c r="MX101" i="2"/>
  <c r="NA100" i="2"/>
  <c r="LH101" i="2"/>
  <c r="LK100" i="2"/>
  <c r="IC101" i="2"/>
  <c r="JR101" i="2"/>
  <c r="JU100" i="2"/>
  <c r="NS101" i="2"/>
  <c r="NV100" i="2"/>
  <c r="NU101" i="2"/>
  <c r="KJ102" i="2"/>
  <c r="KI102" i="2"/>
  <c r="KH102" i="2"/>
  <c r="OT102" i="2"/>
  <c r="PE102" i="2"/>
  <c r="PK102" i="2" s="1"/>
  <c r="OU102" i="2"/>
  <c r="MJ102" i="2"/>
  <c r="PD102" i="2"/>
  <c r="PF102" i="2"/>
  <c r="PG102" i="2"/>
  <c r="PH102" i="2"/>
  <c r="MI102" i="2"/>
  <c r="OR102" i="2"/>
  <c r="OS102" i="2"/>
  <c r="OM102" i="2"/>
  <c r="OL102" i="2"/>
  <c r="OJ102" i="2"/>
  <c r="OO102" i="2" s="1"/>
  <c r="OK102" i="2"/>
  <c r="OI102" i="2"/>
  <c r="NZ102" i="2"/>
  <c r="NY102" i="2"/>
  <c r="NW102" i="2"/>
  <c r="NR102" i="2"/>
  <c r="NX102" i="2"/>
  <c r="NQ102" i="2"/>
  <c r="NP102" i="2"/>
  <c r="NO102" i="2"/>
  <c r="NT102" i="2" s="1"/>
  <c r="NN102" i="2"/>
  <c r="NE102" i="2"/>
  <c r="ND102" i="2"/>
  <c r="NB102" i="2"/>
  <c r="NC102" i="2"/>
  <c r="MV102" i="2"/>
  <c r="MU102" i="2"/>
  <c r="MT102" i="2"/>
  <c r="MY102" i="2" s="1"/>
  <c r="MW102" i="2"/>
  <c r="MS102" i="2"/>
  <c r="MG102" i="2"/>
  <c r="MB102" i="2"/>
  <c r="LX102" i="2"/>
  <c r="MA102" i="2"/>
  <c r="LO102" i="2"/>
  <c r="LZ102" i="2"/>
  <c r="MH102" i="2"/>
  <c r="LY102" i="2"/>
  <c r="LM102" i="2"/>
  <c r="LD102" i="2"/>
  <c r="KR102" i="2"/>
  <c r="LG102" i="2"/>
  <c r="LC102" i="2"/>
  <c r="LN102" i="2"/>
  <c r="LF102" i="2"/>
  <c r="KT102" i="2"/>
  <c r="KS102" i="2"/>
  <c r="JA102" i="2"/>
  <c r="LL102" i="2"/>
  <c r="LE102" i="2"/>
  <c r="JB102" i="2"/>
  <c r="JO102" i="2"/>
  <c r="JD102" i="2"/>
  <c r="JV102" i="2"/>
  <c r="KL102" i="2"/>
  <c r="JY102" i="2"/>
  <c r="JX102" i="2"/>
  <c r="JN102" i="2"/>
  <c r="JW102" i="2"/>
  <c r="JQ102" i="2"/>
  <c r="KK102" i="2"/>
  <c r="JM102" i="2"/>
  <c r="JP102" i="2"/>
  <c r="JC102" i="2"/>
  <c r="KQ102" i="2"/>
  <c r="IS102" i="2"/>
  <c r="HN102" i="2"/>
  <c r="IV102" i="2"/>
  <c r="IR102" i="2"/>
  <c r="II102" i="2"/>
  <c r="HD102" i="2"/>
  <c r="IU102" i="2"/>
  <c r="IH102" i="2"/>
  <c r="IF102" i="2"/>
  <c r="HE102" i="2"/>
  <c r="IT102" i="2"/>
  <c r="IG102" i="2"/>
  <c r="HF102" i="2"/>
  <c r="HM102" i="2"/>
  <c r="HK102" i="2"/>
  <c r="HY102" i="2"/>
  <c r="HX102" i="2"/>
  <c r="HL102" i="2"/>
  <c r="IA102" i="2"/>
  <c r="HW102" i="2"/>
  <c r="HZ102" i="2"/>
  <c r="ON101" i="2"/>
  <c r="OQ100" i="2"/>
  <c r="PI101" i="2"/>
  <c r="PL100" i="2"/>
  <c r="IW101" i="2"/>
  <c r="IZ100" i="2"/>
  <c r="MC101" i="2"/>
  <c r="MF100" i="2"/>
  <c r="KM100" i="2"/>
  <c r="KP99" i="2"/>
  <c r="KO101" i="2"/>
  <c r="KN100" i="2"/>
  <c r="HI101" i="2"/>
  <c r="HG101" i="2"/>
  <c r="EC101" i="2"/>
  <c r="FS101" i="2"/>
  <c r="AW101" i="2"/>
  <c r="EX101" i="2"/>
  <c r="EA101" i="2"/>
  <c r="GN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LJ102" i="2" l="1"/>
  <c r="MD102" i="2"/>
  <c r="JT102" i="2"/>
  <c r="JS102" i="2"/>
  <c r="ID102" i="2"/>
  <c r="IX102" i="2"/>
  <c r="HH102" i="2"/>
  <c r="HG102" i="2"/>
  <c r="MC102" i="2"/>
  <c r="MF101" i="2"/>
  <c r="IY102" i="2"/>
  <c r="NU102" i="2"/>
  <c r="OP102" i="2"/>
  <c r="LI102" i="2"/>
  <c r="JR102" i="2"/>
  <c r="JU101" i="2"/>
  <c r="MZ102" i="2"/>
  <c r="IW102" i="2"/>
  <c r="IZ101" i="2"/>
  <c r="PI102" i="2"/>
  <c r="PL101" i="2"/>
  <c r="ON102" i="2"/>
  <c r="OQ101" i="2"/>
  <c r="NS102" i="2"/>
  <c r="NV101" i="2"/>
  <c r="ME102" i="2"/>
  <c r="LH102" i="2"/>
  <c r="LK101" i="2"/>
  <c r="IB102" i="2"/>
  <c r="IE101" i="2"/>
  <c r="PJ102" i="2"/>
  <c r="KJ103" i="2"/>
  <c r="KI103" i="2"/>
  <c r="KH103" i="2"/>
  <c r="PD103" i="2"/>
  <c r="PH103" i="2"/>
  <c r="PF103" i="2"/>
  <c r="PE103" i="2"/>
  <c r="PK103" i="2" s="1"/>
  <c r="MJ103" i="2"/>
  <c r="OT103" i="2"/>
  <c r="OU103" i="2"/>
  <c r="PG103" i="2"/>
  <c r="MI103" i="2"/>
  <c r="OR103" i="2"/>
  <c r="OS103" i="2"/>
  <c r="OM103" i="2"/>
  <c r="OK103" i="2"/>
  <c r="OL103" i="2"/>
  <c r="OI103" i="2"/>
  <c r="OJ103" i="2"/>
  <c r="OO103" i="2" s="1"/>
  <c r="NZ103" i="2"/>
  <c r="NY103" i="2"/>
  <c r="NW103" i="2"/>
  <c r="NR103" i="2"/>
  <c r="NX103" i="2"/>
  <c r="NQ103" i="2"/>
  <c r="NP103" i="2"/>
  <c r="NC103" i="2"/>
  <c r="NO103" i="2"/>
  <c r="NT103" i="2" s="1"/>
  <c r="NN103" i="2"/>
  <c r="NE103" i="2"/>
  <c r="ND103" i="2"/>
  <c r="NB103" i="2"/>
  <c r="MW103" i="2"/>
  <c r="MS103" i="2"/>
  <c r="MV103" i="2"/>
  <c r="MH103" i="2"/>
  <c r="MG103" i="2"/>
  <c r="MU103" i="2"/>
  <c r="MT103" i="2"/>
  <c r="MY103" i="2" s="1"/>
  <c r="LY103" i="2"/>
  <c r="MD103" i="2" s="1"/>
  <c r="MB103" i="2"/>
  <c r="LX103" i="2"/>
  <c r="MA103" i="2"/>
  <c r="LO103" i="2"/>
  <c r="LZ103" i="2"/>
  <c r="LL103" i="2"/>
  <c r="LE103" i="2"/>
  <c r="JB103" i="2"/>
  <c r="LM103" i="2"/>
  <c r="LD103" i="2"/>
  <c r="KR103" i="2"/>
  <c r="LG103" i="2"/>
  <c r="LC103" i="2"/>
  <c r="LN103" i="2"/>
  <c r="LF103" i="2"/>
  <c r="KT103" i="2"/>
  <c r="KS103" i="2"/>
  <c r="JA103" i="2"/>
  <c r="KQ103" i="2"/>
  <c r="JO103" i="2"/>
  <c r="JD103" i="2"/>
  <c r="JV103" i="2"/>
  <c r="KL103" i="2"/>
  <c r="JY103" i="2"/>
  <c r="JX103" i="2"/>
  <c r="JN103" i="2"/>
  <c r="JW103" i="2"/>
  <c r="JQ103" i="2"/>
  <c r="KK103" i="2"/>
  <c r="JM103" i="2"/>
  <c r="JP103" i="2"/>
  <c r="JC103" i="2"/>
  <c r="IT103" i="2"/>
  <c r="IG103" i="2"/>
  <c r="HF103" i="2"/>
  <c r="IS103" i="2"/>
  <c r="HN103" i="2"/>
  <c r="IV103" i="2"/>
  <c r="IR103" i="2"/>
  <c r="II103" i="2"/>
  <c r="HD103" i="2"/>
  <c r="IU103" i="2"/>
  <c r="IH103" i="2"/>
  <c r="IF103" i="2"/>
  <c r="HE103" i="2"/>
  <c r="HZ103" i="2"/>
  <c r="HM103" i="2"/>
  <c r="HK103" i="2"/>
  <c r="HY103" i="2"/>
  <c r="HX103" i="2"/>
  <c r="HL103" i="2"/>
  <c r="IA103" i="2"/>
  <c r="HW103" i="2"/>
  <c r="OH3" i="2"/>
  <c r="PC3" i="2"/>
  <c r="NM3" i="2"/>
  <c r="MR3" i="2"/>
  <c r="IC102" i="2"/>
  <c r="IC103" i="2" s="1"/>
  <c r="MX102" i="2"/>
  <c r="NA101" i="2"/>
  <c r="EC102" i="2"/>
  <c r="KO102" i="2"/>
  <c r="KM101" i="2"/>
  <c r="KP100" i="2"/>
  <c r="KN101" i="2"/>
  <c r="KN102" i="2" s="1"/>
  <c r="HI102" i="2"/>
  <c r="EX102" i="2"/>
  <c r="FS102" i="2"/>
  <c r="AU102" i="2"/>
  <c r="EA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LJ103" i="2" l="1"/>
  <c r="JT103" i="2"/>
  <c r="ID103" i="2"/>
  <c r="IX103" i="2"/>
  <c r="HH103" i="2"/>
  <c r="MR45" i="2"/>
  <c r="MR102" i="2"/>
  <c r="MR49" i="2"/>
  <c r="MR99" i="2"/>
  <c r="MR92" i="2"/>
  <c r="MR108" i="2"/>
  <c r="MR73" i="2"/>
  <c r="MR172" i="2"/>
  <c r="MR76" i="2"/>
  <c r="MR194" i="2"/>
  <c r="MR4" i="2"/>
  <c r="MR169" i="2"/>
  <c r="MR32" i="2"/>
  <c r="MR134" i="2"/>
  <c r="MR148" i="2"/>
  <c r="MR188" i="2"/>
  <c r="MR23" i="2"/>
  <c r="MR178" i="2"/>
  <c r="MR201" i="2"/>
  <c r="MR154" i="2"/>
  <c r="MR120" i="2"/>
  <c r="MR52" i="2"/>
  <c r="MR13" i="2"/>
  <c r="MR31" i="2"/>
  <c r="MR71" i="2"/>
  <c r="MR197" i="2"/>
  <c r="MR115" i="2"/>
  <c r="MR150" i="2"/>
  <c r="MR17" i="2"/>
  <c r="MR82" i="2"/>
  <c r="MR152" i="2"/>
  <c r="MR58" i="2"/>
  <c r="MR101" i="2"/>
  <c r="MR131" i="2"/>
  <c r="MR94" i="2"/>
  <c r="MR155" i="2"/>
  <c r="MR88" i="2"/>
  <c r="MR192" i="2"/>
  <c r="MR196" i="2"/>
  <c r="MR195" i="2"/>
  <c r="MR65" i="2"/>
  <c r="MR171" i="2"/>
  <c r="MR24" i="2"/>
  <c r="MR128" i="2"/>
  <c r="MR5" i="2"/>
  <c r="MR8" i="2"/>
  <c r="MR81" i="2"/>
  <c r="MR187" i="2"/>
  <c r="MR159" i="2"/>
  <c r="MR190" i="2"/>
  <c r="MR47" i="2"/>
  <c r="MR173" i="2"/>
  <c r="MR80" i="2"/>
  <c r="MR177" i="2"/>
  <c r="MR116" i="2"/>
  <c r="MR37" i="2"/>
  <c r="MR62" i="2"/>
  <c r="MR50" i="2"/>
  <c r="MR20" i="2"/>
  <c r="MR109" i="2"/>
  <c r="MR138" i="2"/>
  <c r="MR64" i="2"/>
  <c r="MR113" i="2"/>
  <c r="MR146" i="2"/>
  <c r="MR69" i="2"/>
  <c r="MR66" i="2"/>
  <c r="MR123" i="2"/>
  <c r="MR183" i="2"/>
  <c r="MR141" i="2"/>
  <c r="MR98" i="2"/>
  <c r="MR26" i="2"/>
  <c r="MR145" i="2"/>
  <c r="MR34" i="2"/>
  <c r="MR160" i="2"/>
  <c r="MR135" i="2"/>
  <c r="MR168" i="2"/>
  <c r="MR163" i="2"/>
  <c r="MR60" i="2"/>
  <c r="MR104" i="2"/>
  <c r="MR44" i="2"/>
  <c r="MR33" i="2"/>
  <c r="MR30" i="2"/>
  <c r="MR21" i="2"/>
  <c r="MR149" i="2"/>
  <c r="MR165" i="2"/>
  <c r="MR124" i="2"/>
  <c r="MR40" i="2"/>
  <c r="MR11" i="2"/>
  <c r="MR36" i="2"/>
  <c r="MR95" i="2"/>
  <c r="MR181" i="2"/>
  <c r="MR51" i="2"/>
  <c r="MR6" i="2"/>
  <c r="MR12" i="2"/>
  <c r="MR85" i="2"/>
  <c r="MR158" i="2"/>
  <c r="MR27" i="2"/>
  <c r="MR68" i="2"/>
  <c r="MR182" i="2"/>
  <c r="MR110" i="2"/>
  <c r="MR84" i="2"/>
  <c r="MR118" i="2"/>
  <c r="MR46" i="2"/>
  <c r="MR162" i="2"/>
  <c r="MR48" i="2"/>
  <c r="MR75" i="2"/>
  <c r="MR63" i="2"/>
  <c r="MR144" i="2"/>
  <c r="MR161" i="2"/>
  <c r="MR61" i="2"/>
  <c r="MR72" i="2"/>
  <c r="MR114" i="2"/>
  <c r="MR198" i="2"/>
  <c r="MR167" i="2"/>
  <c r="MR89" i="2"/>
  <c r="MR143" i="2"/>
  <c r="MR97" i="2"/>
  <c r="MR203" i="2"/>
  <c r="MR112" i="2"/>
  <c r="MR126" i="2"/>
  <c r="MR53" i="2"/>
  <c r="MR140" i="2"/>
  <c r="MR130" i="2"/>
  <c r="MR42" i="2"/>
  <c r="MR185" i="2"/>
  <c r="MR189" i="2"/>
  <c r="MR170" i="2"/>
  <c r="MR164" i="2"/>
  <c r="MR67" i="2"/>
  <c r="MR74" i="2"/>
  <c r="MR106" i="2"/>
  <c r="MR105" i="2"/>
  <c r="MR90" i="2"/>
  <c r="MR56" i="2"/>
  <c r="MR129" i="2"/>
  <c r="MR29" i="2"/>
  <c r="MR103" i="2"/>
  <c r="MR7" i="2"/>
  <c r="MR9" i="2"/>
  <c r="MR179" i="2"/>
  <c r="MR200" i="2"/>
  <c r="MR166" i="2"/>
  <c r="MR38" i="2"/>
  <c r="MR142" i="2"/>
  <c r="MR25" i="2"/>
  <c r="MR147" i="2"/>
  <c r="MR136" i="2"/>
  <c r="MR77" i="2"/>
  <c r="MR176" i="2"/>
  <c r="MR78" i="2"/>
  <c r="MR117" i="2"/>
  <c r="MR28" i="2"/>
  <c r="MR193" i="2"/>
  <c r="MR93" i="2"/>
  <c r="MR202" i="2"/>
  <c r="MR14" i="2"/>
  <c r="MR133" i="2"/>
  <c r="MR35" i="2"/>
  <c r="MR79" i="2"/>
  <c r="MR91" i="2"/>
  <c r="MR186" i="2"/>
  <c r="MR19" i="2"/>
  <c r="MR175" i="2"/>
  <c r="MR39" i="2"/>
  <c r="MR180" i="2"/>
  <c r="MR10" i="2"/>
  <c r="MR121" i="2"/>
  <c r="MR191" i="2"/>
  <c r="MR18" i="2"/>
  <c r="MR137" i="2"/>
  <c r="MR86" i="2"/>
  <c r="MR16" i="2"/>
  <c r="MR153" i="2"/>
  <c r="MR22" i="2"/>
  <c r="MR151" i="2"/>
  <c r="MR41" i="2"/>
  <c r="MR139" i="2"/>
  <c r="MR100" i="2"/>
  <c r="MR156" i="2"/>
  <c r="MR132" i="2"/>
  <c r="MR87" i="2"/>
  <c r="MR57" i="2"/>
  <c r="MR184" i="2"/>
  <c r="MR125" i="2"/>
  <c r="MR199" i="2"/>
  <c r="MR15" i="2"/>
  <c r="MR107" i="2"/>
  <c r="MR122" i="2"/>
  <c r="MR83" i="2"/>
  <c r="MR111" i="2"/>
  <c r="MR174" i="2"/>
  <c r="MR119" i="2"/>
  <c r="MR157" i="2"/>
  <c r="MR43" i="2"/>
  <c r="MR55" i="2"/>
  <c r="MR70" i="2"/>
  <c r="MR59" i="2"/>
  <c r="MR127" i="2"/>
  <c r="MR54" i="2"/>
  <c r="MR96" i="2"/>
  <c r="IB103" i="2"/>
  <c r="IE102" i="2"/>
  <c r="PI103" i="2"/>
  <c r="PL102" i="2"/>
  <c r="MZ103" i="2"/>
  <c r="LI103" i="2"/>
  <c r="OP103" i="2"/>
  <c r="MC103" i="2"/>
  <c r="MF102" i="2"/>
  <c r="KH104" i="2"/>
  <c r="KJ104" i="2"/>
  <c r="KI104" i="2"/>
  <c r="PG104" i="2"/>
  <c r="OT104" i="2"/>
  <c r="MI104" i="2"/>
  <c r="PF104" i="2"/>
  <c r="PE104" i="2"/>
  <c r="PK104" i="2" s="1"/>
  <c r="MJ104" i="2"/>
  <c r="OU104" i="2"/>
  <c r="PD104" i="2"/>
  <c r="PH104" i="2"/>
  <c r="OR104" i="2"/>
  <c r="OS104" i="2"/>
  <c r="OM104" i="2"/>
  <c r="OL104" i="2"/>
  <c r="OK104" i="2"/>
  <c r="OJ104" i="2"/>
  <c r="OO104" i="2" s="1"/>
  <c r="OI104" i="2"/>
  <c r="NZ104" i="2"/>
  <c r="NX104" i="2"/>
  <c r="NY104" i="2"/>
  <c r="NW104" i="2"/>
  <c r="NO104" i="2"/>
  <c r="NT104" i="2" s="1"/>
  <c r="NR104" i="2"/>
  <c r="NQ104" i="2"/>
  <c r="NP104" i="2"/>
  <c r="NC104" i="2"/>
  <c r="NN104" i="2"/>
  <c r="NE104" i="2"/>
  <c r="ND104" i="2"/>
  <c r="MT104" i="2"/>
  <c r="MY104" i="2" s="1"/>
  <c r="MW104" i="2"/>
  <c r="MS104" i="2"/>
  <c r="NB104" i="2"/>
  <c r="MV104" i="2"/>
  <c r="MH104" i="2"/>
  <c r="MG104" i="2"/>
  <c r="MU104" i="2"/>
  <c r="LZ104" i="2"/>
  <c r="LY104" i="2"/>
  <c r="MB104" i="2"/>
  <c r="LX104" i="2"/>
  <c r="MA104" i="2"/>
  <c r="LO104" i="2"/>
  <c r="LN104" i="2"/>
  <c r="LF104" i="2"/>
  <c r="KT104" i="2"/>
  <c r="KS104" i="2"/>
  <c r="JA104" i="2"/>
  <c r="LL104" i="2"/>
  <c r="LE104" i="2"/>
  <c r="JB104" i="2"/>
  <c r="LM104" i="2"/>
  <c r="LD104" i="2"/>
  <c r="KR104" i="2"/>
  <c r="LG104" i="2"/>
  <c r="LC104" i="2"/>
  <c r="KK104" i="2"/>
  <c r="JM104" i="2"/>
  <c r="KQ104" i="2"/>
  <c r="JO104" i="2"/>
  <c r="JD104" i="2"/>
  <c r="JV104" i="2"/>
  <c r="KL104" i="2"/>
  <c r="JY104" i="2"/>
  <c r="JX104" i="2"/>
  <c r="JN104" i="2"/>
  <c r="JW104" i="2"/>
  <c r="JQ104" i="2"/>
  <c r="IU104" i="2"/>
  <c r="IH104" i="2"/>
  <c r="IF104" i="2"/>
  <c r="HE104" i="2"/>
  <c r="IT104" i="2"/>
  <c r="IG104" i="2"/>
  <c r="HF104" i="2"/>
  <c r="JP104" i="2"/>
  <c r="JC104" i="2"/>
  <c r="IS104" i="2"/>
  <c r="HN104" i="2"/>
  <c r="IV104" i="2"/>
  <c r="IR104" i="2"/>
  <c r="II104" i="2"/>
  <c r="HD104" i="2"/>
  <c r="HL104" i="2"/>
  <c r="IA104" i="2"/>
  <c r="HW104" i="2"/>
  <c r="HZ104" i="2"/>
  <c r="HM104" i="2"/>
  <c r="HK104" i="2"/>
  <c r="HY104" i="2"/>
  <c r="HX104" i="2"/>
  <c r="MX103" i="2"/>
  <c r="NA102" i="2"/>
  <c r="NM57" i="2"/>
  <c r="NM153" i="2"/>
  <c r="NM130" i="2"/>
  <c r="NM186" i="2"/>
  <c r="NM129" i="2"/>
  <c r="NM170" i="2"/>
  <c r="NM185" i="2"/>
  <c r="NM97" i="2"/>
  <c r="NM90" i="2"/>
  <c r="NM64" i="2"/>
  <c r="NM7" i="2"/>
  <c r="NM149" i="2"/>
  <c r="NM100" i="2"/>
  <c r="NM43" i="2"/>
  <c r="NM48" i="2"/>
  <c r="NM190" i="2"/>
  <c r="NM133" i="2"/>
  <c r="NM84" i="2"/>
  <c r="NM27" i="2"/>
  <c r="NM175" i="2"/>
  <c r="NM38" i="2"/>
  <c r="NM108" i="2"/>
  <c r="NM26" i="2"/>
  <c r="NM87" i="2"/>
  <c r="NM141" i="2"/>
  <c r="NM203" i="2"/>
  <c r="NM184" i="2"/>
  <c r="NM134" i="2"/>
  <c r="NM68" i="2"/>
  <c r="NM168" i="2"/>
  <c r="NM102" i="2"/>
  <c r="NM60" i="2"/>
  <c r="NM160" i="2"/>
  <c r="NM94" i="2"/>
  <c r="NM52" i="2"/>
  <c r="NM24" i="2"/>
  <c r="NM173" i="2"/>
  <c r="NM115" i="2"/>
  <c r="NM103" i="2"/>
  <c r="NM37" i="2"/>
  <c r="NM18" i="2"/>
  <c r="NM166" i="2"/>
  <c r="NM124" i="2"/>
  <c r="NM88" i="2"/>
  <c r="NM179" i="2"/>
  <c r="NM63" i="2"/>
  <c r="NM13" i="2"/>
  <c r="NM200" i="2"/>
  <c r="NM76" i="2"/>
  <c r="NM11" i="2"/>
  <c r="NM9" i="2"/>
  <c r="NM113" i="2"/>
  <c r="NM161" i="2"/>
  <c r="NM121" i="2"/>
  <c r="NM135" i="2"/>
  <c r="NM21" i="2"/>
  <c r="NM176" i="2"/>
  <c r="NM62" i="2"/>
  <c r="NM155" i="2"/>
  <c r="NM15" i="2"/>
  <c r="NM131" i="2"/>
  <c r="NM110" i="2"/>
  <c r="NM35" i="2"/>
  <c r="NM101" i="2"/>
  <c r="NM143" i="2"/>
  <c r="NM19" i="2"/>
  <c r="NM77" i="2"/>
  <c r="NM182" i="2"/>
  <c r="NM120" i="2"/>
  <c r="NM28" i="2"/>
  <c r="NM125" i="2"/>
  <c r="NM22" i="2"/>
  <c r="NM46" i="2"/>
  <c r="NM150" i="2"/>
  <c r="NM137" i="2"/>
  <c r="NM138" i="2"/>
  <c r="NM193" i="2"/>
  <c r="NM65" i="2"/>
  <c r="NM169" i="2"/>
  <c r="NM128" i="2"/>
  <c r="NM14" i="2"/>
  <c r="NM107" i="2"/>
  <c r="NM55" i="2"/>
  <c r="NM148" i="2"/>
  <c r="NM91" i="2"/>
  <c r="NM118" i="2"/>
  <c r="NM51" i="2"/>
  <c r="NM30" i="2"/>
  <c r="NM114" i="2"/>
  <c r="NM196" i="2"/>
  <c r="NM31" i="2"/>
  <c r="NM74" i="2"/>
  <c r="NM136" i="2"/>
  <c r="NM44" i="2"/>
  <c r="NM165" i="2"/>
  <c r="NM79" i="2"/>
  <c r="NM178" i="2"/>
  <c r="NM191" i="2"/>
  <c r="NM75" i="2"/>
  <c r="NM105" i="2"/>
  <c r="NM146" i="2"/>
  <c r="NM73" i="2"/>
  <c r="NM89" i="2"/>
  <c r="NM177" i="2"/>
  <c r="NM122" i="2"/>
  <c r="NM49" i="2"/>
  <c r="NM106" i="2"/>
  <c r="NM162" i="2"/>
  <c r="NM201" i="2"/>
  <c r="NM58" i="2"/>
  <c r="NM199" i="2"/>
  <c r="NM142" i="2"/>
  <c r="NM85" i="2"/>
  <c r="NM36" i="2"/>
  <c r="NM42" i="2"/>
  <c r="NM183" i="2"/>
  <c r="NM126" i="2"/>
  <c r="NM69" i="2"/>
  <c r="NM20" i="2"/>
  <c r="NM34" i="2"/>
  <c r="NM95" i="2"/>
  <c r="NM157" i="2"/>
  <c r="NM12" i="2"/>
  <c r="NM144" i="2"/>
  <c r="NM198" i="2"/>
  <c r="NM53" i="2"/>
  <c r="NM123" i="2"/>
  <c r="NM80" i="2"/>
  <c r="NM6" i="2"/>
  <c r="NM163" i="2"/>
  <c r="NM40" i="2"/>
  <c r="NM189" i="2"/>
  <c r="NM147" i="2"/>
  <c r="NM32" i="2"/>
  <c r="NM181" i="2"/>
  <c r="NM139" i="2"/>
  <c r="NM111" i="2"/>
  <c r="NM45" i="2"/>
  <c r="NM50" i="2"/>
  <c r="NM174" i="2"/>
  <c r="NM132" i="2"/>
  <c r="NM104" i="2"/>
  <c r="NM54" i="2"/>
  <c r="NM195" i="2"/>
  <c r="NM47" i="2"/>
  <c r="NM10" i="2"/>
  <c r="NM158" i="2"/>
  <c r="NM116" i="2"/>
  <c r="NM159" i="2"/>
  <c r="NM67" i="2"/>
  <c r="NM33" i="2"/>
  <c r="NM202" i="2"/>
  <c r="NM25" i="2"/>
  <c r="NM81" i="2"/>
  <c r="NM98" i="2"/>
  <c r="NM192" i="2"/>
  <c r="NM78" i="2"/>
  <c r="NM171" i="2"/>
  <c r="NM119" i="2"/>
  <c r="NM5" i="2"/>
  <c r="NM152" i="2"/>
  <c r="NM61" i="2"/>
  <c r="NM56" i="2"/>
  <c r="NM180" i="2"/>
  <c r="NM151" i="2"/>
  <c r="NM59" i="2"/>
  <c r="NM93" i="2"/>
  <c r="NM127" i="2"/>
  <c r="NM66" i="2"/>
  <c r="NM140" i="2"/>
  <c r="NM70" i="2"/>
  <c r="NM8" i="2"/>
  <c r="NM83" i="2"/>
  <c r="NM96" i="2"/>
  <c r="NM187" i="2"/>
  <c r="NM41" i="2"/>
  <c r="NM194" i="2"/>
  <c r="NM145" i="2"/>
  <c r="NM17" i="2"/>
  <c r="NM154" i="2"/>
  <c r="NM71" i="2"/>
  <c r="NM164" i="2"/>
  <c r="NM112" i="2"/>
  <c r="NM197" i="2"/>
  <c r="NM72" i="2"/>
  <c r="NM188" i="2"/>
  <c r="NM167" i="2"/>
  <c r="NM92" i="2"/>
  <c r="NM39" i="2"/>
  <c r="NM82" i="2"/>
  <c r="NM172" i="2"/>
  <c r="NM23" i="2"/>
  <c r="NM156" i="2"/>
  <c r="NM86" i="2"/>
  <c r="NM16" i="2"/>
  <c r="NM99" i="2"/>
  <c r="NM29" i="2"/>
  <c r="NM4" i="2"/>
  <c r="NM117" i="2"/>
  <c r="NM109" i="2"/>
  <c r="PC113" i="2"/>
  <c r="PC146" i="2"/>
  <c r="PC88" i="2"/>
  <c r="PC31" i="2"/>
  <c r="PC173" i="2"/>
  <c r="PC116" i="2"/>
  <c r="PC59" i="2"/>
  <c r="PC202" i="2"/>
  <c r="PC144" i="2"/>
  <c r="PC87" i="2"/>
  <c r="PC30" i="2"/>
  <c r="PC172" i="2"/>
  <c r="PC115" i="2"/>
  <c r="PC194" i="2"/>
  <c r="PC136" i="2"/>
  <c r="PC79" i="2"/>
  <c r="PC22" i="2"/>
  <c r="PC164" i="2"/>
  <c r="PC107" i="2"/>
  <c r="PC193" i="2"/>
  <c r="PC192" i="2"/>
  <c r="PC135" i="2"/>
  <c r="PC78" i="2"/>
  <c r="PC21" i="2"/>
  <c r="PC163" i="2"/>
  <c r="PC145" i="2"/>
  <c r="PC50" i="2"/>
  <c r="PC191" i="2"/>
  <c r="PC134" i="2"/>
  <c r="PC77" i="2"/>
  <c r="PC20" i="2"/>
  <c r="PC11" i="2"/>
  <c r="PC170" i="2"/>
  <c r="PC112" i="2"/>
  <c r="PC55" i="2"/>
  <c r="PC197" i="2"/>
  <c r="PC140" i="2"/>
  <c r="PC83" i="2"/>
  <c r="PC17" i="2"/>
  <c r="PC34" i="2"/>
  <c r="PC175" i="2"/>
  <c r="PC118" i="2"/>
  <c r="PC61" i="2"/>
  <c r="PC203" i="2"/>
  <c r="PC177" i="2"/>
  <c r="PC154" i="2"/>
  <c r="PC96" i="2"/>
  <c r="PC39" i="2"/>
  <c r="PC181" i="2"/>
  <c r="PC124" i="2"/>
  <c r="PC67" i="2"/>
  <c r="PC18" i="2"/>
  <c r="PC102" i="2"/>
  <c r="PC187" i="2"/>
  <c r="PC74" i="2"/>
  <c r="PC158" i="2"/>
  <c r="PC44" i="2"/>
  <c r="PC66" i="2"/>
  <c r="PC150" i="2"/>
  <c r="PC36" i="2"/>
  <c r="PC122" i="2"/>
  <c r="PC149" i="2"/>
  <c r="PC35" i="2"/>
  <c r="PC120" i="2"/>
  <c r="PC6" i="2"/>
  <c r="PC91" i="2"/>
  <c r="PC42" i="2"/>
  <c r="PC69" i="2"/>
  <c r="PC189" i="2"/>
  <c r="PC75" i="2"/>
  <c r="PC26" i="2"/>
  <c r="PC110" i="2"/>
  <c r="PC195" i="2"/>
  <c r="PC152" i="2"/>
  <c r="PC38" i="2"/>
  <c r="PC123" i="2"/>
  <c r="PC10" i="2"/>
  <c r="PC94" i="2"/>
  <c r="PC179" i="2"/>
  <c r="PC200" i="2"/>
  <c r="PC86" i="2"/>
  <c r="PC171" i="2"/>
  <c r="PC58" i="2"/>
  <c r="PC142" i="2"/>
  <c r="PC28" i="2"/>
  <c r="PC114" i="2"/>
  <c r="PC198" i="2"/>
  <c r="PC84" i="2"/>
  <c r="PC65" i="2"/>
  <c r="PC119" i="2"/>
  <c r="PC5" i="2"/>
  <c r="PC161" i="2"/>
  <c r="PC40" i="2"/>
  <c r="PC125" i="2"/>
  <c r="PC4" i="2"/>
  <c r="PC160" i="2"/>
  <c r="PC46" i="2"/>
  <c r="PC131" i="2"/>
  <c r="PC33" i="2"/>
  <c r="PC82" i="2"/>
  <c r="PC24" i="2"/>
  <c r="PC166" i="2"/>
  <c r="PC109" i="2"/>
  <c r="PC52" i="2"/>
  <c r="PC49" i="2"/>
  <c r="PC138" i="2"/>
  <c r="PC80" i="2"/>
  <c r="PC23" i="2"/>
  <c r="PC165" i="2"/>
  <c r="PC108" i="2"/>
  <c r="PC51" i="2"/>
  <c r="PC130" i="2"/>
  <c r="PC72" i="2"/>
  <c r="PC15" i="2"/>
  <c r="PC157" i="2"/>
  <c r="PC100" i="2"/>
  <c r="PC43" i="2"/>
  <c r="PC186" i="2"/>
  <c r="PC128" i="2"/>
  <c r="PC71" i="2"/>
  <c r="PC14" i="2"/>
  <c r="PC156" i="2"/>
  <c r="PC99" i="2"/>
  <c r="PC129" i="2"/>
  <c r="PC184" i="2"/>
  <c r="PC127" i="2"/>
  <c r="PC70" i="2"/>
  <c r="PC13" i="2"/>
  <c r="PC155" i="2"/>
  <c r="PC41" i="2"/>
  <c r="PC106" i="2"/>
  <c r="PC48" i="2"/>
  <c r="PC190" i="2"/>
  <c r="PC133" i="2"/>
  <c r="PC76" i="2"/>
  <c r="PC19" i="2"/>
  <c r="PC185" i="2"/>
  <c r="PC168" i="2"/>
  <c r="PC111" i="2"/>
  <c r="PC54" i="2"/>
  <c r="PC196" i="2"/>
  <c r="PC139" i="2"/>
  <c r="PC97" i="2"/>
  <c r="PC90" i="2"/>
  <c r="PC32" i="2"/>
  <c r="PC174" i="2"/>
  <c r="PC117" i="2"/>
  <c r="PC60" i="2"/>
  <c r="PC137" i="2"/>
  <c r="PC159" i="2"/>
  <c r="PC45" i="2"/>
  <c r="PC153" i="2"/>
  <c r="PC16" i="2"/>
  <c r="PC101" i="2"/>
  <c r="PC89" i="2"/>
  <c r="PC8" i="2"/>
  <c r="PC93" i="2"/>
  <c r="PC169" i="2"/>
  <c r="PC64" i="2"/>
  <c r="PC7" i="2"/>
  <c r="PC92" i="2"/>
  <c r="PC178" i="2"/>
  <c r="PC63" i="2"/>
  <c r="PC148" i="2"/>
  <c r="PC81" i="2"/>
  <c r="PC183" i="2"/>
  <c r="PC126" i="2"/>
  <c r="PC12" i="2"/>
  <c r="PC162" i="2"/>
  <c r="PC104" i="2"/>
  <c r="PC47" i="2"/>
  <c r="PC132" i="2"/>
  <c r="PC201" i="2"/>
  <c r="PC167" i="2"/>
  <c r="PC53" i="2"/>
  <c r="PC57" i="2"/>
  <c r="PC95" i="2"/>
  <c r="PC180" i="2"/>
  <c r="PC73" i="2"/>
  <c r="PC151" i="2"/>
  <c r="PC37" i="2"/>
  <c r="PC9" i="2"/>
  <c r="PC143" i="2"/>
  <c r="PC29" i="2"/>
  <c r="PC25" i="2"/>
  <c r="PC199" i="2"/>
  <c r="PC85" i="2"/>
  <c r="PC105" i="2"/>
  <c r="PC56" i="2"/>
  <c r="PC141" i="2"/>
  <c r="PC27" i="2"/>
  <c r="PC176" i="2"/>
  <c r="PC62" i="2"/>
  <c r="PC147" i="2"/>
  <c r="PC98" i="2"/>
  <c r="PC182" i="2"/>
  <c r="PC68" i="2"/>
  <c r="PC121" i="2"/>
  <c r="PC103" i="2"/>
  <c r="PC188" i="2"/>
  <c r="ME103" i="2"/>
  <c r="NU103" i="2"/>
  <c r="NU104" i="2" s="1"/>
  <c r="IC104" i="2"/>
  <c r="JS103" i="2"/>
  <c r="OH179" i="2"/>
  <c r="OH106" i="2"/>
  <c r="OH49" i="2"/>
  <c r="OH191" i="2"/>
  <c r="OH134" i="2"/>
  <c r="OH77" i="2"/>
  <c r="OH99" i="2"/>
  <c r="OH162" i="2"/>
  <c r="OH105" i="2"/>
  <c r="OH48" i="2"/>
  <c r="OH190" i="2"/>
  <c r="OH133" i="2"/>
  <c r="OH171" i="2"/>
  <c r="OH44" i="2"/>
  <c r="OH26" i="2"/>
  <c r="OH168" i="2"/>
  <c r="OH111" i="2"/>
  <c r="OH54" i="2"/>
  <c r="OH155" i="2"/>
  <c r="OH83" i="2"/>
  <c r="OH82" i="2"/>
  <c r="OH25" i="2"/>
  <c r="OH167" i="2"/>
  <c r="OH110" i="2"/>
  <c r="OH53" i="2"/>
  <c r="OH116" i="2"/>
  <c r="OH138" i="2"/>
  <c r="OH81" i="2"/>
  <c r="OH24" i="2"/>
  <c r="OH166" i="2"/>
  <c r="OH109" i="2"/>
  <c r="OH75" i="2"/>
  <c r="OH194" i="2"/>
  <c r="OH137" i="2"/>
  <c r="OH80" i="2"/>
  <c r="OH23" i="2"/>
  <c r="OH165" i="2"/>
  <c r="OH100" i="2"/>
  <c r="OH188" i="2"/>
  <c r="OH193" i="2"/>
  <c r="OH136" i="2"/>
  <c r="OH79" i="2"/>
  <c r="OH22" i="2"/>
  <c r="OH195" i="2"/>
  <c r="OH140" i="2"/>
  <c r="OH50" i="2"/>
  <c r="OH192" i="2"/>
  <c r="OH135" i="2"/>
  <c r="OH78" i="2"/>
  <c r="OH21" i="2"/>
  <c r="OH131" i="2"/>
  <c r="OH108" i="2"/>
  <c r="OH42" i="2"/>
  <c r="OH184" i="2"/>
  <c r="OH127" i="2"/>
  <c r="OH70" i="2"/>
  <c r="OH13" i="2"/>
  <c r="OH147" i="2"/>
  <c r="OH98" i="2"/>
  <c r="OH41" i="2"/>
  <c r="OH183" i="2"/>
  <c r="OH126" i="2"/>
  <c r="OH69" i="2"/>
  <c r="OH27" i="2"/>
  <c r="OH60" i="2"/>
  <c r="OH161" i="2"/>
  <c r="OH104" i="2"/>
  <c r="OH47" i="2"/>
  <c r="OH189" i="2"/>
  <c r="OH107" i="2"/>
  <c r="OH12" i="2"/>
  <c r="OH18" i="2"/>
  <c r="OH160" i="2"/>
  <c r="OH103" i="2"/>
  <c r="OH46" i="2"/>
  <c r="OH123" i="2"/>
  <c r="OH51" i="2"/>
  <c r="OH74" i="2"/>
  <c r="OH17" i="2"/>
  <c r="OH159" i="2"/>
  <c r="OH102" i="2"/>
  <c r="OH45" i="2"/>
  <c r="OH84" i="2"/>
  <c r="OH130" i="2"/>
  <c r="OH73" i="2"/>
  <c r="OH16" i="2"/>
  <c r="OH158" i="2"/>
  <c r="OH101" i="2"/>
  <c r="OH196" i="2"/>
  <c r="OH186" i="2"/>
  <c r="OH129" i="2"/>
  <c r="OH72" i="2"/>
  <c r="OH15" i="2"/>
  <c r="OH157" i="2"/>
  <c r="OH36" i="2"/>
  <c r="OH156" i="2"/>
  <c r="OH185" i="2"/>
  <c r="OH128" i="2"/>
  <c r="OH71" i="2"/>
  <c r="OH14" i="2"/>
  <c r="OH68" i="2"/>
  <c r="OH113" i="2"/>
  <c r="OH141" i="2"/>
  <c r="OH92" i="2"/>
  <c r="OH169" i="2"/>
  <c r="OH55" i="2"/>
  <c r="OH187" i="2"/>
  <c r="OH90" i="2"/>
  <c r="OH175" i="2"/>
  <c r="OH61" i="2"/>
  <c r="OH146" i="2"/>
  <c r="OH32" i="2"/>
  <c r="OH117" i="2"/>
  <c r="OH202" i="2"/>
  <c r="OH88" i="2"/>
  <c r="OH173" i="2"/>
  <c r="OH35" i="2"/>
  <c r="OH144" i="2"/>
  <c r="OH30" i="2"/>
  <c r="OH172" i="2"/>
  <c r="OH200" i="2"/>
  <c r="OH86" i="2"/>
  <c r="OH20" i="2"/>
  <c r="OH57" i="2"/>
  <c r="OH142" i="2"/>
  <c r="OH163" i="2"/>
  <c r="OH124" i="2"/>
  <c r="OH177" i="2"/>
  <c r="OH120" i="2"/>
  <c r="OH63" i="2"/>
  <c r="OH6" i="2"/>
  <c r="OH5" i="2"/>
  <c r="OH76" i="2"/>
  <c r="OH34" i="2"/>
  <c r="OH176" i="2"/>
  <c r="OH119" i="2"/>
  <c r="OH62" i="2"/>
  <c r="OH4" i="2"/>
  <c r="OH180" i="2"/>
  <c r="OH154" i="2"/>
  <c r="OH97" i="2"/>
  <c r="OH40" i="2"/>
  <c r="OH182" i="2"/>
  <c r="OH125" i="2"/>
  <c r="OH203" i="2"/>
  <c r="OH28" i="2"/>
  <c r="OH153" i="2"/>
  <c r="OH96" i="2"/>
  <c r="OH39" i="2"/>
  <c r="OH181" i="2"/>
  <c r="OH43" i="2"/>
  <c r="OH11" i="2"/>
  <c r="OH10" i="2"/>
  <c r="OH152" i="2"/>
  <c r="OH95" i="2"/>
  <c r="OH38" i="2"/>
  <c r="OH91" i="2"/>
  <c r="OH19" i="2"/>
  <c r="OH66" i="2"/>
  <c r="OH9" i="2"/>
  <c r="OH151" i="2"/>
  <c r="OH94" i="2"/>
  <c r="OH37" i="2"/>
  <c r="OH52" i="2"/>
  <c r="OH122" i="2"/>
  <c r="OH65" i="2"/>
  <c r="OH8" i="2"/>
  <c r="OH150" i="2"/>
  <c r="OH93" i="2"/>
  <c r="OH132" i="2"/>
  <c r="OH178" i="2"/>
  <c r="OH121" i="2"/>
  <c r="OH64" i="2"/>
  <c r="OH7" i="2"/>
  <c r="OH149" i="2"/>
  <c r="OH170" i="2"/>
  <c r="OH56" i="2"/>
  <c r="OH198" i="2"/>
  <c r="OH67" i="2"/>
  <c r="OH112" i="2"/>
  <c r="OH197" i="2"/>
  <c r="OH115" i="2"/>
  <c r="OH33" i="2"/>
  <c r="OH118" i="2"/>
  <c r="OH148" i="2"/>
  <c r="OH89" i="2"/>
  <c r="OH174" i="2"/>
  <c r="OH139" i="2"/>
  <c r="OH145" i="2"/>
  <c r="OH31" i="2"/>
  <c r="OH164" i="2"/>
  <c r="OH201" i="2"/>
  <c r="OH87" i="2"/>
  <c r="OH59" i="2"/>
  <c r="OH58" i="2"/>
  <c r="OH143" i="2"/>
  <c r="OH29" i="2"/>
  <c r="OH114" i="2"/>
  <c r="OH199" i="2"/>
  <c r="OH85" i="2"/>
  <c r="PJ103" i="2"/>
  <c r="PJ104" i="2" s="1"/>
  <c r="LH103" i="2"/>
  <c r="LK102" i="2"/>
  <c r="ON103" i="2"/>
  <c r="OQ102" i="2"/>
  <c r="JU102" i="2"/>
  <c r="JR103" i="2"/>
  <c r="NS103" i="2"/>
  <c r="NV102" i="2"/>
  <c r="IW103" i="2"/>
  <c r="IZ102" i="2"/>
  <c r="IY103" i="2"/>
  <c r="IY104" i="2" s="1"/>
  <c r="KM102" i="2"/>
  <c r="KP101" i="2"/>
  <c r="KO103" i="2"/>
  <c r="HI103" i="2"/>
  <c r="HG103" i="2"/>
  <c r="EA103" i="2"/>
  <c r="EC103" i="2"/>
  <c r="EX103" i="2"/>
  <c r="FS103" i="2"/>
  <c r="AW103" i="2"/>
  <c r="GN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FO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H104" i="2" l="1"/>
  <c r="JT104" i="2"/>
  <c r="JS104" i="2"/>
  <c r="ME104" i="2"/>
  <c r="LJ104" i="2"/>
  <c r="MD104" i="2"/>
  <c r="IX104" i="2"/>
  <c r="ID104" i="2"/>
  <c r="HG104" i="2"/>
  <c r="MY105" i="2"/>
  <c r="KJ105" i="2"/>
  <c r="KI105" i="2"/>
  <c r="KH105" i="2"/>
  <c r="OU105" i="2"/>
  <c r="PF105" i="2"/>
  <c r="PD105" i="2"/>
  <c r="PG105" i="2"/>
  <c r="PH105" i="2"/>
  <c r="MJ105" i="2"/>
  <c r="OT105" i="2"/>
  <c r="MI105" i="2"/>
  <c r="PE105" i="2"/>
  <c r="PK105" i="2" s="1"/>
  <c r="OS105" i="2"/>
  <c r="OR105" i="2"/>
  <c r="OM105" i="2"/>
  <c r="OL105" i="2"/>
  <c r="OK105" i="2"/>
  <c r="OJ105" i="2"/>
  <c r="OO105" i="2" s="1"/>
  <c r="NZ105" i="2"/>
  <c r="OI105" i="2"/>
  <c r="NX105" i="2"/>
  <c r="NR105" i="2"/>
  <c r="NP105" i="2"/>
  <c r="NY105" i="2"/>
  <c r="NW105" i="2"/>
  <c r="NO105" i="2"/>
  <c r="NT105" i="2" s="1"/>
  <c r="NE105" i="2"/>
  <c r="ND105" i="2"/>
  <c r="NQ105" i="2"/>
  <c r="NC105" i="2"/>
  <c r="NN105" i="2"/>
  <c r="MU105" i="2"/>
  <c r="MT105" i="2"/>
  <c r="MW105" i="2"/>
  <c r="MS105" i="2"/>
  <c r="NB105" i="2"/>
  <c r="MV105" i="2"/>
  <c r="MH105" i="2"/>
  <c r="MA105" i="2"/>
  <c r="LO105" i="2"/>
  <c r="MG105" i="2"/>
  <c r="LZ105" i="2"/>
  <c r="LY105" i="2"/>
  <c r="MB105" i="2"/>
  <c r="LX105" i="2"/>
  <c r="LG105" i="2"/>
  <c r="LC105" i="2"/>
  <c r="LN105" i="2"/>
  <c r="LF105" i="2"/>
  <c r="KT105" i="2"/>
  <c r="KS105" i="2"/>
  <c r="JA105" i="2"/>
  <c r="LL105" i="2"/>
  <c r="LE105" i="2"/>
  <c r="JB105" i="2"/>
  <c r="LM105" i="2"/>
  <c r="LD105" i="2"/>
  <c r="KR105" i="2"/>
  <c r="KL105" i="2"/>
  <c r="JY105" i="2"/>
  <c r="JX105" i="2"/>
  <c r="JN105" i="2"/>
  <c r="JW105" i="2"/>
  <c r="JQ105" i="2"/>
  <c r="KK105" i="2"/>
  <c r="JM105" i="2"/>
  <c r="KQ105" i="2"/>
  <c r="JO105" i="2"/>
  <c r="JD105" i="2"/>
  <c r="JV105" i="2"/>
  <c r="IV105" i="2"/>
  <c r="IR105" i="2"/>
  <c r="II105" i="2"/>
  <c r="HD105" i="2"/>
  <c r="IU105" i="2"/>
  <c r="IH105" i="2"/>
  <c r="IF105" i="2"/>
  <c r="HE105" i="2"/>
  <c r="IT105" i="2"/>
  <c r="IG105" i="2"/>
  <c r="HF105" i="2"/>
  <c r="JP105" i="2"/>
  <c r="JC105" i="2"/>
  <c r="IS105" i="2"/>
  <c r="HN105" i="2"/>
  <c r="HX105" i="2"/>
  <c r="HL105" i="2"/>
  <c r="IA105" i="2"/>
  <c r="HW105" i="2"/>
  <c r="HZ105" i="2"/>
  <c r="HM105" i="2"/>
  <c r="HK105" i="2"/>
  <c r="HY105" i="2"/>
  <c r="NS104" i="2"/>
  <c r="NV103" i="2"/>
  <c r="JR104" i="2"/>
  <c r="JU103" i="2"/>
  <c r="ON104" i="2"/>
  <c r="OQ103" i="2"/>
  <c r="MF103" i="2"/>
  <c r="MC104" i="2"/>
  <c r="OP104" i="2"/>
  <c r="PI104" i="2"/>
  <c r="PL103" i="2"/>
  <c r="IB104" i="2"/>
  <c r="IE103" i="2"/>
  <c r="IW104" i="2"/>
  <c r="IZ103" i="2"/>
  <c r="NU105" i="2"/>
  <c r="MX104" i="2"/>
  <c r="NA103" i="2"/>
  <c r="MZ104" i="2"/>
  <c r="MZ105" i="2" s="1"/>
  <c r="LH104" i="2"/>
  <c r="LK103" i="2"/>
  <c r="IC105" i="2"/>
  <c r="PJ105" i="2"/>
  <c r="LI104" i="2"/>
  <c r="KO104" i="2"/>
  <c r="KM103" i="2"/>
  <c r="KP102" i="2"/>
  <c r="KN103" i="2"/>
  <c r="KN104" i="2" s="1"/>
  <c r="HI104" i="2"/>
  <c r="EX104" i="2"/>
  <c r="EW104" i="2"/>
  <c r="EC104" i="2"/>
  <c r="EA104" i="2"/>
  <c r="FS104" i="2"/>
  <c r="EB104" i="2"/>
  <c r="AU104" i="2"/>
  <c r="GN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GJ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LJ105" i="2" l="1"/>
  <c r="MD105" i="2"/>
  <c r="LI105" i="2"/>
  <c r="JT105" i="2"/>
  <c r="IY105" i="2"/>
  <c r="ID105" i="2"/>
  <c r="IX105" i="2"/>
  <c r="HH105" i="2"/>
  <c r="IB105" i="2"/>
  <c r="IE104" i="2"/>
  <c r="MC105" i="2"/>
  <c r="MF104" i="2"/>
  <c r="ON105" i="2"/>
  <c r="OQ104" i="2"/>
  <c r="NS105" i="2"/>
  <c r="NV104" i="2"/>
  <c r="ME105" i="2"/>
  <c r="KJ106" i="2"/>
  <c r="KI106" i="2"/>
  <c r="KH106" i="2"/>
  <c r="OT106" i="2"/>
  <c r="PE106" i="2"/>
  <c r="PK106" i="2" s="1"/>
  <c r="OU106" i="2"/>
  <c r="PD106" i="2"/>
  <c r="PG106" i="2"/>
  <c r="PJ106" i="2" s="1"/>
  <c r="PH106" i="2"/>
  <c r="MI106" i="2"/>
  <c r="PF106" i="2"/>
  <c r="MJ106" i="2"/>
  <c r="OR106" i="2"/>
  <c r="OS106" i="2"/>
  <c r="OM106" i="2"/>
  <c r="OK106" i="2"/>
  <c r="OJ106" i="2"/>
  <c r="OO106" i="2" s="1"/>
  <c r="OL106" i="2"/>
  <c r="OI106" i="2"/>
  <c r="NZ106" i="2"/>
  <c r="NY106" i="2"/>
  <c r="NX106" i="2"/>
  <c r="NW106" i="2"/>
  <c r="NR106" i="2"/>
  <c r="NQ106" i="2"/>
  <c r="NP106" i="2"/>
  <c r="NN106" i="2"/>
  <c r="NE106" i="2"/>
  <c r="ND106" i="2"/>
  <c r="NO106" i="2"/>
  <c r="NT106" i="2" s="1"/>
  <c r="NB106" i="2"/>
  <c r="NC106" i="2"/>
  <c r="MV106" i="2"/>
  <c r="MU106" i="2"/>
  <c r="MT106" i="2"/>
  <c r="MZ106" i="2" s="1"/>
  <c r="MW106" i="2"/>
  <c r="MS106" i="2"/>
  <c r="MB106" i="2"/>
  <c r="LX106" i="2"/>
  <c r="MH106" i="2"/>
  <c r="MA106" i="2"/>
  <c r="LO106" i="2"/>
  <c r="MG106" i="2"/>
  <c r="LZ106" i="2"/>
  <c r="LY106" i="2"/>
  <c r="LM106" i="2"/>
  <c r="LD106" i="2"/>
  <c r="KR106" i="2"/>
  <c r="LG106" i="2"/>
  <c r="LC106" i="2"/>
  <c r="LN106" i="2"/>
  <c r="LF106" i="2"/>
  <c r="KT106" i="2"/>
  <c r="KS106" i="2"/>
  <c r="JA106" i="2"/>
  <c r="LL106" i="2"/>
  <c r="LE106" i="2"/>
  <c r="JB106" i="2"/>
  <c r="JO106" i="2"/>
  <c r="JD106" i="2"/>
  <c r="JV106" i="2"/>
  <c r="KL106" i="2"/>
  <c r="JY106" i="2"/>
  <c r="JX106" i="2"/>
  <c r="JN106" i="2"/>
  <c r="JW106" i="2"/>
  <c r="JQ106" i="2"/>
  <c r="KK106" i="2"/>
  <c r="JM106" i="2"/>
  <c r="JP106" i="2"/>
  <c r="JC106" i="2"/>
  <c r="KQ106" i="2"/>
  <c r="IS106" i="2"/>
  <c r="HN106" i="2"/>
  <c r="IV106" i="2"/>
  <c r="IR106" i="2"/>
  <c r="II106" i="2"/>
  <c r="HD106" i="2"/>
  <c r="IU106" i="2"/>
  <c r="IH106" i="2"/>
  <c r="IF106" i="2"/>
  <c r="HE106" i="2"/>
  <c r="IT106" i="2"/>
  <c r="IG106" i="2"/>
  <c r="HF106" i="2"/>
  <c r="HM106" i="2"/>
  <c r="HK106" i="2"/>
  <c r="HY106" i="2"/>
  <c r="HX106" i="2"/>
  <c r="HL106" i="2"/>
  <c r="IA106" i="2"/>
  <c r="HW106" i="2"/>
  <c r="HZ106" i="2"/>
  <c r="LH105" i="2"/>
  <c r="LK104" i="2"/>
  <c r="OP105" i="2"/>
  <c r="JS105" i="2"/>
  <c r="JR105" i="2"/>
  <c r="JU104" i="2"/>
  <c r="MX105" i="2"/>
  <c r="NA104" i="2"/>
  <c r="IW105" i="2"/>
  <c r="IZ104" i="2"/>
  <c r="PI105" i="2"/>
  <c r="PL104" i="2"/>
  <c r="KM104" i="2"/>
  <c r="KP103" i="2"/>
  <c r="KO105" i="2"/>
  <c r="HI105" i="2"/>
  <c r="HG105" i="2"/>
  <c r="FS105" i="2"/>
  <c r="EB105" i="2"/>
  <c r="EA105" i="2"/>
  <c r="EV105" i="2"/>
  <c r="EX105" i="2"/>
  <c r="EC105" i="2"/>
  <c r="EW105" i="2"/>
  <c r="GN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LJ106" i="2" l="1"/>
  <c r="ME106" i="2"/>
  <c r="MD106" i="2"/>
  <c r="JT106" i="2"/>
  <c r="IY106" i="2"/>
  <c r="ID106" i="2"/>
  <c r="HH106" i="2"/>
  <c r="PJ107" i="2"/>
  <c r="KJ107" i="2"/>
  <c r="KH107" i="2"/>
  <c r="KI107" i="2"/>
  <c r="PD107" i="2"/>
  <c r="PH107" i="2"/>
  <c r="PE107" i="2"/>
  <c r="PK107" i="2" s="1"/>
  <c r="OU107" i="2"/>
  <c r="PF107" i="2"/>
  <c r="PG107" i="2"/>
  <c r="MJ107" i="2"/>
  <c r="MI107" i="2"/>
  <c r="OT107" i="2"/>
  <c r="OR107" i="2"/>
  <c r="OS107" i="2"/>
  <c r="OM107" i="2"/>
  <c r="OK107" i="2"/>
  <c r="OI107" i="2"/>
  <c r="OL107" i="2"/>
  <c r="OJ107" i="2"/>
  <c r="OO107" i="2" s="1"/>
  <c r="NZ107" i="2"/>
  <c r="NY107" i="2"/>
  <c r="NX107" i="2"/>
  <c r="NW107" i="2"/>
  <c r="NR107" i="2"/>
  <c r="NQ107" i="2"/>
  <c r="NC107" i="2"/>
  <c r="NN107" i="2"/>
  <c r="NP107" i="2"/>
  <c r="NE107" i="2"/>
  <c r="ND107" i="2"/>
  <c r="NO107" i="2"/>
  <c r="NT107" i="2" s="1"/>
  <c r="NB107" i="2"/>
  <c r="MW107" i="2"/>
  <c r="MS107" i="2"/>
  <c r="MV107" i="2"/>
  <c r="MH107" i="2"/>
  <c r="MG107" i="2"/>
  <c r="MU107" i="2"/>
  <c r="MT107" i="2"/>
  <c r="MZ107" i="2" s="1"/>
  <c r="LY107" i="2"/>
  <c r="MD107" i="2" s="1"/>
  <c r="MB107" i="2"/>
  <c r="LX107" i="2"/>
  <c r="MA107" i="2"/>
  <c r="LO107" i="2"/>
  <c r="LZ107" i="2"/>
  <c r="LL107" i="2"/>
  <c r="LE107" i="2"/>
  <c r="JB107" i="2"/>
  <c r="LM107" i="2"/>
  <c r="LD107" i="2"/>
  <c r="KR107" i="2"/>
  <c r="LG107" i="2"/>
  <c r="LC107" i="2"/>
  <c r="LN107" i="2"/>
  <c r="LF107" i="2"/>
  <c r="KT107" i="2"/>
  <c r="KS107" i="2"/>
  <c r="JA107" i="2"/>
  <c r="KQ107" i="2"/>
  <c r="JO107" i="2"/>
  <c r="JD107" i="2"/>
  <c r="JV107" i="2"/>
  <c r="KL107" i="2"/>
  <c r="JY107" i="2"/>
  <c r="JX107" i="2"/>
  <c r="JN107" i="2"/>
  <c r="JW107" i="2"/>
  <c r="JQ107" i="2"/>
  <c r="KK107" i="2"/>
  <c r="JM107" i="2"/>
  <c r="JP107" i="2"/>
  <c r="JC107" i="2"/>
  <c r="IT107" i="2"/>
  <c r="IG107" i="2"/>
  <c r="HF107" i="2"/>
  <c r="IS107" i="2"/>
  <c r="HN107" i="2"/>
  <c r="IV107" i="2"/>
  <c r="IR107" i="2"/>
  <c r="II107" i="2"/>
  <c r="HD107" i="2"/>
  <c r="IU107" i="2"/>
  <c r="IH107" i="2"/>
  <c r="IF107" i="2"/>
  <c r="HE107" i="2"/>
  <c r="HZ107" i="2"/>
  <c r="HM107" i="2"/>
  <c r="HK107" i="2"/>
  <c r="HY107" i="2"/>
  <c r="HX107" i="2"/>
  <c r="HL107" i="2"/>
  <c r="IA107" i="2"/>
  <c r="HW107" i="2"/>
  <c r="JS106" i="2"/>
  <c r="NU106" i="2"/>
  <c r="NU107" i="2" s="1"/>
  <c r="NS106" i="2"/>
  <c r="NV105" i="2"/>
  <c r="MC106" i="2"/>
  <c r="MF105" i="2"/>
  <c r="IC106" i="2"/>
  <c r="IC107" i="2" s="1"/>
  <c r="PI106" i="2"/>
  <c r="PL105" i="2"/>
  <c r="MX106" i="2"/>
  <c r="NA105" i="2"/>
  <c r="OP106" i="2"/>
  <c r="OP107" i="2" s="1"/>
  <c r="LI106" i="2"/>
  <c r="IX106" i="2"/>
  <c r="HG106" i="2"/>
  <c r="MY106" i="2"/>
  <c r="MY107" i="2" s="1"/>
  <c r="ON106" i="2"/>
  <c r="OQ105" i="2"/>
  <c r="IB106" i="2"/>
  <c r="IE105" i="2"/>
  <c r="IW106" i="2"/>
  <c r="IZ105" i="2"/>
  <c r="JR106" i="2"/>
  <c r="JU105" i="2"/>
  <c r="LH106" i="2"/>
  <c r="LK105" i="2"/>
  <c r="KO106" i="2"/>
  <c r="KM105" i="2"/>
  <c r="KP104" i="2"/>
  <c r="KN105" i="2"/>
  <c r="KN106" i="2" s="1"/>
  <c r="HI106" i="2"/>
  <c r="EB106" i="2"/>
  <c r="FS106" i="2"/>
  <c r="AU106" i="2"/>
  <c r="EA106" i="2"/>
  <c r="EC106" i="2"/>
  <c r="EX106" i="2"/>
  <c r="GN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ME107" i="2" l="1"/>
  <c r="LJ107" i="2"/>
  <c r="LI107" i="2"/>
  <c r="JT107" i="2"/>
  <c r="IY107" i="2"/>
  <c r="ID107" i="2"/>
  <c r="IX107" i="2"/>
  <c r="HH107" i="2"/>
  <c r="ON107" i="2"/>
  <c r="OQ106" i="2"/>
  <c r="MX107" i="2"/>
  <c r="NA106" i="2"/>
  <c r="JR107" i="2"/>
  <c r="JU106" i="2"/>
  <c r="MF106" i="2"/>
  <c r="MC107" i="2"/>
  <c r="JS107" i="2"/>
  <c r="IB107" i="2"/>
  <c r="IE106" i="2"/>
  <c r="PI107" i="2"/>
  <c r="PL106" i="2"/>
  <c r="KH108" i="2"/>
  <c r="KJ108" i="2"/>
  <c r="KI108" i="2"/>
  <c r="PG108" i="2"/>
  <c r="PF108" i="2"/>
  <c r="MI108" i="2"/>
  <c r="PE108" i="2"/>
  <c r="PK108" i="2" s="1"/>
  <c r="OT108" i="2"/>
  <c r="OU108" i="2"/>
  <c r="PD108" i="2"/>
  <c r="PH108" i="2"/>
  <c r="MJ108" i="2"/>
  <c r="OR108" i="2"/>
  <c r="OS108" i="2"/>
  <c r="OM108" i="2"/>
  <c r="OL108" i="2"/>
  <c r="OK108" i="2"/>
  <c r="OJ108" i="2"/>
  <c r="OO108" i="2" s="1"/>
  <c r="OI108" i="2"/>
  <c r="NZ108" i="2"/>
  <c r="NX108" i="2"/>
  <c r="NY108" i="2"/>
  <c r="NW108" i="2"/>
  <c r="NO108" i="2"/>
  <c r="NU108" i="2" s="1"/>
  <c r="NR108" i="2"/>
  <c r="NC108" i="2"/>
  <c r="NQ108" i="2"/>
  <c r="NN108" i="2"/>
  <c r="NP108" i="2"/>
  <c r="NE108" i="2"/>
  <c r="ND108" i="2"/>
  <c r="NB108" i="2"/>
  <c r="MT108" i="2"/>
  <c r="MZ108" i="2" s="1"/>
  <c r="MW108" i="2"/>
  <c r="MS108" i="2"/>
  <c r="MV108" i="2"/>
  <c r="MH108" i="2"/>
  <c r="MG108" i="2"/>
  <c r="MU108" i="2"/>
  <c r="LZ108" i="2"/>
  <c r="LY108" i="2"/>
  <c r="MB108" i="2"/>
  <c r="LX108" i="2"/>
  <c r="MA108" i="2"/>
  <c r="LO108" i="2"/>
  <c r="LN108" i="2"/>
  <c r="LF108" i="2"/>
  <c r="KT108" i="2"/>
  <c r="KS108" i="2"/>
  <c r="JA108" i="2"/>
  <c r="LL108" i="2"/>
  <c r="LE108" i="2"/>
  <c r="JB108" i="2"/>
  <c r="LM108" i="2"/>
  <c r="LD108" i="2"/>
  <c r="KR108" i="2"/>
  <c r="LG108" i="2"/>
  <c r="LC108" i="2"/>
  <c r="KK108" i="2"/>
  <c r="JM108" i="2"/>
  <c r="KQ108" i="2"/>
  <c r="JO108" i="2"/>
  <c r="JD108" i="2"/>
  <c r="JV108" i="2"/>
  <c r="KL108" i="2"/>
  <c r="JY108" i="2"/>
  <c r="JX108" i="2"/>
  <c r="JN108" i="2"/>
  <c r="JW108" i="2"/>
  <c r="JQ108" i="2"/>
  <c r="JP108" i="2"/>
  <c r="JC108" i="2"/>
  <c r="IU108" i="2"/>
  <c r="IH108" i="2"/>
  <c r="IF108" i="2"/>
  <c r="HE108" i="2"/>
  <c r="IT108" i="2"/>
  <c r="IG108" i="2"/>
  <c r="HF108" i="2"/>
  <c r="IS108" i="2"/>
  <c r="HN108" i="2"/>
  <c r="IV108" i="2"/>
  <c r="IR108" i="2"/>
  <c r="II108" i="2"/>
  <c r="HD108" i="2"/>
  <c r="HL108" i="2"/>
  <c r="IA108" i="2"/>
  <c r="HW108" i="2"/>
  <c r="HZ108" i="2"/>
  <c r="IC108" i="2" s="1"/>
  <c r="HM108" i="2"/>
  <c r="HK108" i="2"/>
  <c r="HY108" i="2"/>
  <c r="HX108" i="2"/>
  <c r="ID108" i="2" s="1"/>
  <c r="HI107" i="2"/>
  <c r="LH107" i="2"/>
  <c r="LK106" i="2"/>
  <c r="IW107" i="2"/>
  <c r="IZ106" i="2"/>
  <c r="MY108" i="2"/>
  <c r="NS107" i="2"/>
  <c r="NV106" i="2"/>
  <c r="PJ108" i="2"/>
  <c r="KM106" i="2"/>
  <c r="KP105" i="2"/>
  <c r="KO107" i="2"/>
  <c r="HG107" i="2"/>
  <c r="EX107" i="2"/>
  <c r="EC107" i="2"/>
  <c r="EB107" i="2"/>
  <c r="EA107" i="2"/>
  <c r="DF107" i="2"/>
  <c r="FS107" i="2"/>
  <c r="EW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HH108" i="2" l="1"/>
  <c r="ME108" i="2"/>
  <c r="LI108" i="2"/>
  <c r="JT108" i="2"/>
  <c r="IY108" i="2"/>
  <c r="IX108" i="2"/>
  <c r="MC108" i="2"/>
  <c r="MF107" i="2"/>
  <c r="ON108" i="2"/>
  <c r="OQ107" i="2"/>
  <c r="LJ108" i="2"/>
  <c r="NT108" i="2"/>
  <c r="LH108" i="2"/>
  <c r="LK107" i="2"/>
  <c r="PI108" i="2"/>
  <c r="PL107" i="2"/>
  <c r="IB108" i="2"/>
  <c r="IE107" i="2"/>
  <c r="MX108" i="2"/>
  <c r="NA107" i="2"/>
  <c r="NS108" i="2"/>
  <c r="NV107" i="2"/>
  <c r="OP108" i="2"/>
  <c r="MD108" i="2"/>
  <c r="KJ109" i="2"/>
  <c r="KI109" i="2"/>
  <c r="KH109" i="2"/>
  <c r="OU109" i="2"/>
  <c r="PF109" i="2"/>
  <c r="OT109" i="2"/>
  <c r="MJ109" i="2"/>
  <c r="MI109" i="2"/>
  <c r="PE109" i="2"/>
  <c r="PJ109" i="2" s="1"/>
  <c r="PD109" i="2"/>
  <c r="PG109" i="2"/>
  <c r="PH109" i="2"/>
  <c r="OS109" i="2"/>
  <c r="OR109" i="2"/>
  <c r="OM109" i="2"/>
  <c r="OL109" i="2"/>
  <c r="OK109" i="2"/>
  <c r="OJ109" i="2"/>
  <c r="OO109" i="2" s="1"/>
  <c r="OI109" i="2"/>
  <c r="NZ109" i="2"/>
  <c r="NX109" i="2"/>
  <c r="NR109" i="2"/>
  <c r="NY109" i="2"/>
  <c r="NP109" i="2"/>
  <c r="NW109" i="2"/>
  <c r="NO109" i="2"/>
  <c r="NU109" i="2" s="1"/>
  <c r="NE109" i="2"/>
  <c r="ND109" i="2"/>
  <c r="NC109" i="2"/>
  <c r="NQ109" i="2"/>
  <c r="NN109" i="2"/>
  <c r="MU109" i="2"/>
  <c r="NB109" i="2"/>
  <c r="MT109" i="2"/>
  <c r="MZ109" i="2" s="1"/>
  <c r="MW109" i="2"/>
  <c r="MS109" i="2"/>
  <c r="MV109" i="2"/>
  <c r="MA109" i="2"/>
  <c r="LO109" i="2"/>
  <c r="LZ109" i="2"/>
  <c r="MH109" i="2"/>
  <c r="LY109" i="2"/>
  <c r="MG109" i="2"/>
  <c r="MB109" i="2"/>
  <c r="LX109" i="2"/>
  <c r="LG109" i="2"/>
  <c r="LC109" i="2"/>
  <c r="LN109" i="2"/>
  <c r="LF109" i="2"/>
  <c r="KT109" i="2"/>
  <c r="KS109" i="2"/>
  <c r="JA109" i="2"/>
  <c r="LL109" i="2"/>
  <c r="LE109" i="2"/>
  <c r="JB109" i="2"/>
  <c r="LM109" i="2"/>
  <c r="LD109" i="2"/>
  <c r="KR109" i="2"/>
  <c r="KL109" i="2"/>
  <c r="JY109" i="2"/>
  <c r="JX109" i="2"/>
  <c r="JN109" i="2"/>
  <c r="JW109" i="2"/>
  <c r="JQ109" i="2"/>
  <c r="KK109" i="2"/>
  <c r="JM109" i="2"/>
  <c r="KQ109" i="2"/>
  <c r="JO109" i="2"/>
  <c r="JD109" i="2"/>
  <c r="JV109" i="2"/>
  <c r="IV109" i="2"/>
  <c r="IR109" i="2"/>
  <c r="II109" i="2"/>
  <c r="HD109" i="2"/>
  <c r="JP109" i="2"/>
  <c r="JC109" i="2"/>
  <c r="IU109" i="2"/>
  <c r="IH109" i="2"/>
  <c r="IF109" i="2"/>
  <c r="HE109" i="2"/>
  <c r="IT109" i="2"/>
  <c r="IG109" i="2"/>
  <c r="HF109" i="2"/>
  <c r="IS109" i="2"/>
  <c r="HN109" i="2"/>
  <c r="HX109" i="2"/>
  <c r="HL109" i="2"/>
  <c r="IA109" i="2"/>
  <c r="HW109" i="2"/>
  <c r="HZ109" i="2"/>
  <c r="IC109" i="2" s="1"/>
  <c r="HM109" i="2"/>
  <c r="HK109" i="2"/>
  <c r="HY109" i="2"/>
  <c r="IW108" i="2"/>
  <c r="IZ107" i="2"/>
  <c r="JS108" i="2"/>
  <c r="JR108" i="2"/>
  <c r="JU107" i="2"/>
  <c r="KM107" i="2"/>
  <c r="KP106" i="2"/>
  <c r="KO108" i="2"/>
  <c r="KN107" i="2"/>
  <c r="KN108" i="2" s="1"/>
  <c r="HG108" i="2"/>
  <c r="HI108" i="2"/>
  <c r="FS108" i="2"/>
  <c r="EB108" i="2"/>
  <c r="EA108" i="2"/>
  <c r="EW108" i="2"/>
  <c r="EX108" i="2"/>
  <c r="EC108" i="2"/>
  <c r="EV108" i="2"/>
  <c r="GN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GJ109" i="2"/>
  <c r="GI109" i="2"/>
  <c r="FO109" i="2"/>
  <c r="FN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H109" i="2" l="1"/>
  <c r="JT109" i="2"/>
  <c r="ME109" i="2"/>
  <c r="LI109" i="2"/>
  <c r="ID109" i="2"/>
  <c r="IX109" i="2"/>
  <c r="PI109" i="2"/>
  <c r="PL108" i="2"/>
  <c r="MY109" i="2"/>
  <c r="ON109" i="2"/>
  <c r="OQ108" i="2"/>
  <c r="IY109" i="2"/>
  <c r="KJ110" i="2"/>
  <c r="KI110" i="2"/>
  <c r="KH110" i="2"/>
  <c r="OT110" i="2"/>
  <c r="PE110" i="2"/>
  <c r="PJ110" i="2" s="1"/>
  <c r="PD110" i="2"/>
  <c r="PG110" i="2"/>
  <c r="PH110" i="2"/>
  <c r="PF110" i="2"/>
  <c r="OU110" i="2"/>
  <c r="MI110" i="2"/>
  <c r="MJ110" i="2"/>
  <c r="OR110" i="2"/>
  <c r="OS110" i="2"/>
  <c r="OM110" i="2"/>
  <c r="OL110" i="2"/>
  <c r="OJ110" i="2"/>
  <c r="OO110" i="2" s="1"/>
  <c r="OK110" i="2"/>
  <c r="OI110" i="2"/>
  <c r="NZ110" i="2"/>
  <c r="NY110" i="2"/>
  <c r="NW110" i="2"/>
  <c r="NR110" i="2"/>
  <c r="NX110" i="2"/>
  <c r="NQ110" i="2"/>
  <c r="NP110" i="2"/>
  <c r="NO110" i="2"/>
  <c r="NU110" i="2" s="1"/>
  <c r="NN110" i="2"/>
  <c r="NE110" i="2"/>
  <c r="ND110" i="2"/>
  <c r="NB110" i="2"/>
  <c r="NC110" i="2"/>
  <c r="MV110" i="2"/>
  <c r="MU110" i="2"/>
  <c r="MT110" i="2"/>
  <c r="MZ110" i="2" s="1"/>
  <c r="MW110" i="2"/>
  <c r="MS110" i="2"/>
  <c r="MG110" i="2"/>
  <c r="MB110" i="2"/>
  <c r="LX110" i="2"/>
  <c r="MA110" i="2"/>
  <c r="LO110" i="2"/>
  <c r="LZ110" i="2"/>
  <c r="MH110" i="2"/>
  <c r="LY110" i="2"/>
  <c r="ME110" i="2" s="1"/>
  <c r="LM110" i="2"/>
  <c r="LD110" i="2"/>
  <c r="KR110" i="2"/>
  <c r="LG110" i="2"/>
  <c r="LC110" i="2"/>
  <c r="LN110" i="2"/>
  <c r="LF110" i="2"/>
  <c r="KT110" i="2"/>
  <c r="KS110" i="2"/>
  <c r="JA110" i="2"/>
  <c r="LL110" i="2"/>
  <c r="LE110" i="2"/>
  <c r="JB110" i="2"/>
  <c r="JO110" i="2"/>
  <c r="JD110" i="2"/>
  <c r="JV110" i="2"/>
  <c r="KL110" i="2"/>
  <c r="JY110" i="2"/>
  <c r="JX110" i="2"/>
  <c r="JN110" i="2"/>
  <c r="JW110" i="2"/>
  <c r="JQ110" i="2"/>
  <c r="KK110" i="2"/>
  <c r="JM110" i="2"/>
  <c r="JP110" i="2"/>
  <c r="JC110" i="2"/>
  <c r="KQ110" i="2"/>
  <c r="IS110" i="2"/>
  <c r="IX110" i="2" s="1"/>
  <c r="HN110" i="2"/>
  <c r="IV110" i="2"/>
  <c r="IR110" i="2"/>
  <c r="II110" i="2"/>
  <c r="HD110" i="2"/>
  <c r="IU110" i="2"/>
  <c r="IH110" i="2"/>
  <c r="IF110" i="2"/>
  <c r="HE110" i="2"/>
  <c r="IT110" i="2"/>
  <c r="IG110" i="2"/>
  <c r="HF110" i="2"/>
  <c r="HM110" i="2"/>
  <c r="HK110" i="2"/>
  <c r="HY110" i="2"/>
  <c r="HX110" i="2"/>
  <c r="HL110" i="2"/>
  <c r="IA110" i="2"/>
  <c r="HW110" i="2"/>
  <c r="HZ110" i="2"/>
  <c r="JR109" i="2"/>
  <c r="JU108" i="2"/>
  <c r="NT109" i="2"/>
  <c r="NT110" i="2" s="1"/>
  <c r="PK109" i="2"/>
  <c r="PK110" i="2" s="1"/>
  <c r="JS109" i="2"/>
  <c r="MD109" i="2"/>
  <c r="OP109" i="2"/>
  <c r="OP110" i="2" s="1"/>
  <c r="NS109" i="2"/>
  <c r="NV108" i="2"/>
  <c r="MX109" i="2"/>
  <c r="NA108" i="2"/>
  <c r="IB109" i="2"/>
  <c r="IE108" i="2"/>
  <c r="LJ109" i="2"/>
  <c r="MF108" i="2"/>
  <c r="MC109" i="2"/>
  <c r="IW109" i="2"/>
  <c r="IZ108" i="2"/>
  <c r="LH109" i="2"/>
  <c r="LK108" i="2"/>
  <c r="KM108" i="2"/>
  <c r="KP107" i="2"/>
  <c r="KO109" i="2"/>
  <c r="HI109" i="2"/>
  <c r="HG109" i="2"/>
  <c r="EX109" i="2"/>
  <c r="EB109" i="2"/>
  <c r="EC109" i="2"/>
  <c r="FS109" i="2"/>
  <c r="GN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JS110" i="2" l="1"/>
  <c r="MD110" i="2"/>
  <c r="LJ110" i="2"/>
  <c r="LI110" i="2"/>
  <c r="JT110" i="2"/>
  <c r="IC110" i="2"/>
  <c r="HH110" i="2"/>
  <c r="IW110" i="2"/>
  <c r="IZ109" i="2"/>
  <c r="MC110" i="2"/>
  <c r="MF109" i="2"/>
  <c r="MX110" i="2"/>
  <c r="NA109" i="2"/>
  <c r="MY110" i="2"/>
  <c r="JR110" i="2"/>
  <c r="JU109" i="2"/>
  <c r="ID110" i="2"/>
  <c r="LH110" i="2"/>
  <c r="LK109" i="2"/>
  <c r="IB110" i="2"/>
  <c r="IE109" i="2"/>
  <c r="NS110" i="2"/>
  <c r="NV109" i="2"/>
  <c r="IY110" i="2"/>
  <c r="PI110" i="2"/>
  <c r="PL109" i="2"/>
  <c r="KJ111" i="2"/>
  <c r="KI111" i="2"/>
  <c r="KH111" i="2"/>
  <c r="PD111" i="2"/>
  <c r="PH111" i="2"/>
  <c r="OU111" i="2"/>
  <c r="OT111" i="2"/>
  <c r="PG111" i="2"/>
  <c r="PE111" i="2"/>
  <c r="PK111" i="2" s="1"/>
  <c r="PF111" i="2"/>
  <c r="MI111" i="2"/>
  <c r="MJ111" i="2"/>
  <c r="OR111" i="2"/>
  <c r="OS111" i="2"/>
  <c r="OM111" i="2"/>
  <c r="OK111" i="2"/>
  <c r="OL111" i="2"/>
  <c r="OI111" i="2"/>
  <c r="OJ111" i="2"/>
  <c r="OO111" i="2" s="1"/>
  <c r="NZ111" i="2"/>
  <c r="NY111" i="2"/>
  <c r="NW111" i="2"/>
  <c r="NR111" i="2"/>
  <c r="NX111" i="2"/>
  <c r="NQ111" i="2"/>
  <c r="NP111" i="2"/>
  <c r="NC111" i="2"/>
  <c r="NO111" i="2"/>
  <c r="NU111" i="2" s="1"/>
  <c r="NN111" i="2"/>
  <c r="NE111" i="2"/>
  <c r="ND111" i="2"/>
  <c r="NB111" i="2"/>
  <c r="MW111" i="2"/>
  <c r="MS111" i="2"/>
  <c r="MV111" i="2"/>
  <c r="MH111" i="2"/>
  <c r="MG111" i="2"/>
  <c r="MU111" i="2"/>
  <c r="MT111" i="2"/>
  <c r="MZ111" i="2" s="1"/>
  <c r="LY111" i="2"/>
  <c r="MB111" i="2"/>
  <c r="LX111" i="2"/>
  <c r="MA111" i="2"/>
  <c r="LO111" i="2"/>
  <c r="LZ111" i="2"/>
  <c r="LL111" i="2"/>
  <c r="LE111" i="2"/>
  <c r="JB111" i="2"/>
  <c r="LM111" i="2"/>
  <c r="LD111" i="2"/>
  <c r="KR111" i="2"/>
  <c r="LG111" i="2"/>
  <c r="LC111" i="2"/>
  <c r="LN111" i="2"/>
  <c r="LF111" i="2"/>
  <c r="KT111" i="2"/>
  <c r="KS111" i="2"/>
  <c r="JA111" i="2"/>
  <c r="KQ111" i="2"/>
  <c r="JO111" i="2"/>
  <c r="JD111" i="2"/>
  <c r="JV111" i="2"/>
  <c r="KL111" i="2"/>
  <c r="JY111" i="2"/>
  <c r="JX111" i="2"/>
  <c r="JN111" i="2"/>
  <c r="JW111" i="2"/>
  <c r="JQ111" i="2"/>
  <c r="KK111" i="2"/>
  <c r="JM111" i="2"/>
  <c r="JP111" i="2"/>
  <c r="JC111" i="2"/>
  <c r="IT111" i="2"/>
  <c r="IG111" i="2"/>
  <c r="HF111" i="2"/>
  <c r="IS111" i="2"/>
  <c r="HN111" i="2"/>
  <c r="IV111" i="2"/>
  <c r="IR111" i="2"/>
  <c r="II111" i="2"/>
  <c r="HD111" i="2"/>
  <c r="IU111" i="2"/>
  <c r="IH111" i="2"/>
  <c r="IF111" i="2"/>
  <c r="HE111" i="2"/>
  <c r="HZ111" i="2"/>
  <c r="HM111" i="2"/>
  <c r="HK111" i="2"/>
  <c r="HY111" i="2"/>
  <c r="HX111" i="2"/>
  <c r="HL111" i="2"/>
  <c r="IA111" i="2"/>
  <c r="HW111" i="2"/>
  <c r="OP111" i="2"/>
  <c r="ON110" i="2"/>
  <c r="OQ109" i="2"/>
  <c r="KM109" i="2"/>
  <c r="KP108" i="2"/>
  <c r="KO110" i="2"/>
  <c r="KN109" i="2"/>
  <c r="KN110" i="2" s="1"/>
  <c r="HG110" i="2"/>
  <c r="HI110" i="2"/>
  <c r="EB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LJ111" i="2" l="1"/>
  <c r="JT111" i="2"/>
  <c r="ME111" i="2"/>
  <c r="LI111" i="2"/>
  <c r="IX111" i="2"/>
  <c r="IC111" i="2"/>
  <c r="HH111" i="2"/>
  <c r="PI111" i="2"/>
  <c r="PL110" i="2"/>
  <c r="JS111" i="2"/>
  <c r="IB111" i="2"/>
  <c r="IE110" i="2"/>
  <c r="MD111" i="2"/>
  <c r="MC111" i="2"/>
  <c r="MF110" i="2"/>
  <c r="PJ111" i="2"/>
  <c r="IY111" i="2"/>
  <c r="ON111" i="2"/>
  <c r="OQ110" i="2"/>
  <c r="NS111" i="2"/>
  <c r="NV110" i="2"/>
  <c r="LH111" i="2"/>
  <c r="LK110" i="2"/>
  <c r="JU110" i="2"/>
  <c r="JR111" i="2"/>
  <c r="MY111" i="2"/>
  <c r="MX111" i="2"/>
  <c r="NA110" i="2"/>
  <c r="IW111" i="2"/>
  <c r="IZ110" i="2"/>
  <c r="KH112" i="2"/>
  <c r="KJ112" i="2"/>
  <c r="KI112" i="2"/>
  <c r="PG112" i="2"/>
  <c r="PE112" i="2"/>
  <c r="PK112" i="2" s="1"/>
  <c r="MI112" i="2"/>
  <c r="OU112" i="2"/>
  <c r="PD112" i="2"/>
  <c r="PH112" i="2"/>
  <c r="MJ112" i="2"/>
  <c r="OT112" i="2"/>
  <c r="PF112" i="2"/>
  <c r="OR112" i="2"/>
  <c r="OS112" i="2"/>
  <c r="OM112" i="2"/>
  <c r="OL112" i="2"/>
  <c r="OK112" i="2"/>
  <c r="OJ112" i="2"/>
  <c r="OP112" i="2" s="1"/>
  <c r="OI112" i="2"/>
  <c r="NZ112" i="2"/>
  <c r="NX112" i="2"/>
  <c r="NY112" i="2"/>
  <c r="NW112" i="2"/>
  <c r="NO112" i="2"/>
  <c r="NU112" i="2" s="1"/>
  <c r="NR112" i="2"/>
  <c r="NQ112" i="2"/>
  <c r="NP112" i="2"/>
  <c r="NC112" i="2"/>
  <c r="NN112" i="2"/>
  <c r="NE112" i="2"/>
  <c r="ND112" i="2"/>
  <c r="MT112" i="2"/>
  <c r="MZ112" i="2" s="1"/>
  <c r="MW112" i="2"/>
  <c r="MS112" i="2"/>
  <c r="NB112" i="2"/>
  <c r="MV112" i="2"/>
  <c r="MH112" i="2"/>
  <c r="MG112" i="2"/>
  <c r="MU112" i="2"/>
  <c r="LZ112" i="2"/>
  <c r="LY112" i="2"/>
  <c r="MB112" i="2"/>
  <c r="LX112" i="2"/>
  <c r="MA112" i="2"/>
  <c r="LO112" i="2"/>
  <c r="LN112" i="2"/>
  <c r="LF112" i="2"/>
  <c r="KT112" i="2"/>
  <c r="KS112" i="2"/>
  <c r="JA112" i="2"/>
  <c r="LL112" i="2"/>
  <c r="LE112" i="2"/>
  <c r="JB112" i="2"/>
  <c r="LM112" i="2"/>
  <c r="LD112" i="2"/>
  <c r="KR112" i="2"/>
  <c r="LG112" i="2"/>
  <c r="LC112" i="2"/>
  <c r="KK112" i="2"/>
  <c r="JM112" i="2"/>
  <c r="KQ112" i="2"/>
  <c r="JO112" i="2"/>
  <c r="JD112" i="2"/>
  <c r="JV112" i="2"/>
  <c r="KL112" i="2"/>
  <c r="JY112" i="2"/>
  <c r="JX112" i="2"/>
  <c r="JN112" i="2"/>
  <c r="JW112" i="2"/>
  <c r="JQ112" i="2"/>
  <c r="IU112" i="2"/>
  <c r="IH112" i="2"/>
  <c r="IF112" i="2"/>
  <c r="HE112" i="2"/>
  <c r="IT112" i="2"/>
  <c r="IG112" i="2"/>
  <c r="HF112" i="2"/>
  <c r="JP112" i="2"/>
  <c r="JC112" i="2"/>
  <c r="IS112" i="2"/>
  <c r="HN112" i="2"/>
  <c r="IV112" i="2"/>
  <c r="IR112" i="2"/>
  <c r="II112" i="2"/>
  <c r="HD112" i="2"/>
  <c r="HL112" i="2"/>
  <c r="IA112" i="2"/>
  <c r="HW112" i="2"/>
  <c r="HZ112" i="2"/>
  <c r="HM112" i="2"/>
  <c r="HK112" i="2"/>
  <c r="HY112" i="2"/>
  <c r="HX112" i="2"/>
  <c r="IC112" i="2" s="1"/>
  <c r="ID111" i="2"/>
  <c r="ID112" i="2" s="1"/>
  <c r="NT111" i="2"/>
  <c r="NT112" i="2" s="1"/>
  <c r="KO111" i="2"/>
  <c r="KM110" i="2"/>
  <c r="KP109" i="2"/>
  <c r="HI111" i="2"/>
  <c r="HG111" i="2"/>
  <c r="FS111" i="2"/>
  <c r="EX111" i="2"/>
  <c r="AW111" i="2"/>
  <c r="FQ111" i="2"/>
  <c r="EA111" i="2"/>
  <c r="EW111" i="2"/>
  <c r="EB111" i="2"/>
  <c r="EC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LI112" i="2" l="1"/>
  <c r="ME112" i="2"/>
  <c r="JT112" i="2"/>
  <c r="IX112" i="2"/>
  <c r="HH112" i="2"/>
  <c r="MY112" i="2"/>
  <c r="ON112" i="2"/>
  <c r="OQ111" i="2"/>
  <c r="PJ112" i="2"/>
  <c r="OO112" i="2"/>
  <c r="MX112" i="2"/>
  <c r="NA111" i="2"/>
  <c r="NS112" i="2"/>
  <c r="NV111" i="2"/>
  <c r="IY112" i="2"/>
  <c r="IB112" i="2"/>
  <c r="IE111" i="2"/>
  <c r="LJ112" i="2"/>
  <c r="MC112" i="2"/>
  <c r="MF111" i="2"/>
  <c r="JS112" i="2"/>
  <c r="KJ113" i="2"/>
  <c r="KI113" i="2"/>
  <c r="KH113" i="2"/>
  <c r="OU113" i="2"/>
  <c r="PF113" i="2"/>
  <c r="MJ113" i="2"/>
  <c r="PE113" i="2"/>
  <c r="PK113" i="2" s="1"/>
  <c r="MI113" i="2"/>
  <c r="OT113" i="2"/>
  <c r="PD113" i="2"/>
  <c r="PG113" i="2"/>
  <c r="PH113" i="2"/>
  <c r="OS113" i="2"/>
  <c r="OM113" i="2"/>
  <c r="OR113" i="2"/>
  <c r="OL113" i="2"/>
  <c r="OK113" i="2"/>
  <c r="OJ113" i="2"/>
  <c r="OP113" i="2" s="1"/>
  <c r="NZ113" i="2"/>
  <c r="OI113" i="2"/>
  <c r="NX113" i="2"/>
  <c r="NR113" i="2"/>
  <c r="NP113" i="2"/>
  <c r="NY113" i="2"/>
  <c r="NW113" i="2"/>
  <c r="NO113" i="2"/>
  <c r="NU113" i="2" s="1"/>
  <c r="NE113" i="2"/>
  <c r="ND113" i="2"/>
  <c r="NQ113" i="2"/>
  <c r="NC113" i="2"/>
  <c r="NN113" i="2"/>
  <c r="MU113" i="2"/>
  <c r="MT113" i="2"/>
  <c r="MZ113" i="2" s="1"/>
  <c r="MW113" i="2"/>
  <c r="MS113" i="2"/>
  <c r="NB113" i="2"/>
  <c r="MV113" i="2"/>
  <c r="MH113" i="2"/>
  <c r="MA113" i="2"/>
  <c r="LO113" i="2"/>
  <c r="MG113" i="2"/>
  <c r="LZ113" i="2"/>
  <c r="LY113" i="2"/>
  <c r="MB113" i="2"/>
  <c r="LX113" i="2"/>
  <c r="LG113" i="2"/>
  <c r="LC113" i="2"/>
  <c r="LN113" i="2"/>
  <c r="LF113" i="2"/>
  <c r="KT113" i="2"/>
  <c r="KS113" i="2"/>
  <c r="JA113" i="2"/>
  <c r="LL113" i="2"/>
  <c r="LE113" i="2"/>
  <c r="JB113" i="2"/>
  <c r="LM113" i="2"/>
  <c r="LD113" i="2"/>
  <c r="KR113" i="2"/>
  <c r="KL113" i="2"/>
  <c r="JY113" i="2"/>
  <c r="JX113" i="2"/>
  <c r="JN113" i="2"/>
  <c r="JW113" i="2"/>
  <c r="JQ113" i="2"/>
  <c r="KK113" i="2"/>
  <c r="JM113" i="2"/>
  <c r="KQ113" i="2"/>
  <c r="JO113" i="2"/>
  <c r="JD113" i="2"/>
  <c r="JV113" i="2"/>
  <c r="IV113" i="2"/>
  <c r="IR113" i="2"/>
  <c r="II113" i="2"/>
  <c r="HD113" i="2"/>
  <c r="IU113" i="2"/>
  <c r="IH113" i="2"/>
  <c r="IF113" i="2"/>
  <c r="HE113" i="2"/>
  <c r="IT113" i="2"/>
  <c r="IG113" i="2"/>
  <c r="HF113" i="2"/>
  <c r="JP113" i="2"/>
  <c r="JC113" i="2"/>
  <c r="IS113" i="2"/>
  <c r="HN113" i="2"/>
  <c r="HX113" i="2"/>
  <c r="HL113" i="2"/>
  <c r="IA113" i="2"/>
  <c r="HW113" i="2"/>
  <c r="HZ113" i="2"/>
  <c r="HM113" i="2"/>
  <c r="HK113" i="2"/>
  <c r="HY113" i="2"/>
  <c r="NT113" i="2"/>
  <c r="IW112" i="2"/>
  <c r="IZ111" i="2"/>
  <c r="JU111" i="2"/>
  <c r="JR112" i="2"/>
  <c r="LH112" i="2"/>
  <c r="LK111" i="2"/>
  <c r="MD112" i="2"/>
  <c r="PI112" i="2"/>
  <c r="PL111" i="2"/>
  <c r="KM111" i="2"/>
  <c r="KP110" i="2"/>
  <c r="KO112" i="2"/>
  <c r="KN111" i="2"/>
  <c r="KN112" i="2" s="1"/>
  <c r="HG112" i="2"/>
  <c r="HI112" i="2"/>
  <c r="EC112" i="2"/>
  <c r="EX112" i="2"/>
  <c r="EB112" i="2"/>
  <c r="FQ112" i="2"/>
  <c r="FS112" i="2"/>
  <c r="EW112" i="2"/>
  <c r="EA112" i="2"/>
  <c r="GN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ME113" i="2" l="1"/>
  <c r="MD113" i="2"/>
  <c r="LI113" i="2"/>
  <c r="JT113" i="2"/>
  <c r="IX113" i="2"/>
  <c r="IC113" i="2"/>
  <c r="HH113" i="2"/>
  <c r="PI113" i="2"/>
  <c r="PL112" i="2"/>
  <c r="IB113" i="2"/>
  <c r="IE112" i="2"/>
  <c r="NS113" i="2"/>
  <c r="NV112" i="2"/>
  <c r="ON113" i="2"/>
  <c r="OQ112" i="2"/>
  <c r="MY113" i="2"/>
  <c r="MC113" i="2"/>
  <c r="MF112" i="2"/>
  <c r="ID113" i="2"/>
  <c r="IY113" i="2"/>
  <c r="KJ114" i="2"/>
  <c r="KI114" i="2"/>
  <c r="KH114" i="2"/>
  <c r="OT114" i="2"/>
  <c r="PE114" i="2"/>
  <c r="PK114" i="2" s="1"/>
  <c r="PF114" i="2"/>
  <c r="MI114" i="2"/>
  <c r="MJ114" i="2"/>
  <c r="OU114" i="2"/>
  <c r="PD114" i="2"/>
  <c r="PG114" i="2"/>
  <c r="PH114" i="2"/>
  <c r="OR114" i="2"/>
  <c r="OS114" i="2"/>
  <c r="OM114" i="2"/>
  <c r="OK114" i="2"/>
  <c r="OJ114" i="2"/>
  <c r="OP114" i="2" s="1"/>
  <c r="OL114" i="2"/>
  <c r="OI114" i="2"/>
  <c r="NZ114" i="2"/>
  <c r="NY114" i="2"/>
  <c r="NX114" i="2"/>
  <c r="NW114" i="2"/>
  <c r="NR114" i="2"/>
  <c r="NQ114" i="2"/>
  <c r="NT114" i="2" s="1"/>
  <c r="NP114" i="2"/>
  <c r="NN114" i="2"/>
  <c r="NE114" i="2"/>
  <c r="ND114" i="2"/>
  <c r="NO114" i="2"/>
  <c r="NU114" i="2" s="1"/>
  <c r="NB114" i="2"/>
  <c r="NC114" i="2"/>
  <c r="MV114" i="2"/>
  <c r="MU114" i="2"/>
  <c r="MT114" i="2"/>
  <c r="MZ114" i="2" s="1"/>
  <c r="MW114" i="2"/>
  <c r="MB114" i="2"/>
  <c r="LX114" i="2"/>
  <c r="MS114" i="2"/>
  <c r="MH114" i="2"/>
  <c r="MA114" i="2"/>
  <c r="LO114" i="2"/>
  <c r="MG114" i="2"/>
  <c r="LZ114" i="2"/>
  <c r="LY114" i="2"/>
  <c r="LM114" i="2"/>
  <c r="LD114" i="2"/>
  <c r="KR114" i="2"/>
  <c r="LG114" i="2"/>
  <c r="LC114" i="2"/>
  <c r="LN114" i="2"/>
  <c r="LF114" i="2"/>
  <c r="KT114" i="2"/>
  <c r="KS114" i="2"/>
  <c r="JA114" i="2"/>
  <c r="LL114" i="2"/>
  <c r="LE114" i="2"/>
  <c r="JB114" i="2"/>
  <c r="JO114" i="2"/>
  <c r="JD114" i="2"/>
  <c r="JV114" i="2"/>
  <c r="KL114" i="2"/>
  <c r="JY114" i="2"/>
  <c r="JX114" i="2"/>
  <c r="JN114" i="2"/>
  <c r="JW114" i="2"/>
  <c r="JQ114" i="2"/>
  <c r="KK114" i="2"/>
  <c r="JM114" i="2"/>
  <c r="JP114" i="2"/>
  <c r="JC114" i="2"/>
  <c r="KQ114" i="2"/>
  <c r="IS114" i="2"/>
  <c r="HN114" i="2"/>
  <c r="IV114" i="2"/>
  <c r="IR114" i="2"/>
  <c r="II114" i="2"/>
  <c r="HD114" i="2"/>
  <c r="IU114" i="2"/>
  <c r="IH114" i="2"/>
  <c r="IF114" i="2"/>
  <c r="HE114" i="2"/>
  <c r="IT114" i="2"/>
  <c r="IG114" i="2"/>
  <c r="HF114" i="2"/>
  <c r="HM114" i="2"/>
  <c r="HK114" i="2"/>
  <c r="HY114" i="2"/>
  <c r="HX114" i="2"/>
  <c r="HL114" i="2"/>
  <c r="IA114" i="2"/>
  <c r="HW114" i="2"/>
  <c r="HZ114" i="2"/>
  <c r="LH113" i="2"/>
  <c r="LK112" i="2"/>
  <c r="JR113" i="2"/>
  <c r="JU112" i="2"/>
  <c r="LJ113" i="2"/>
  <c r="LJ114" i="2" s="1"/>
  <c r="MX113" i="2"/>
  <c r="NA112" i="2"/>
  <c r="OO113" i="2"/>
  <c r="OO114" i="2" s="1"/>
  <c r="PJ113" i="2"/>
  <c r="PJ114" i="2" s="1"/>
  <c r="HI113" i="2"/>
  <c r="IW113" i="2"/>
  <c r="IZ112" i="2"/>
  <c r="JS113" i="2"/>
  <c r="KO113" i="2"/>
  <c r="KM112" i="2"/>
  <c r="KP111" i="2"/>
  <c r="HG113" i="2"/>
  <c r="EX113" i="2"/>
  <c r="EC113" i="2"/>
  <c r="FS113" i="2"/>
  <c r="EB113" i="2"/>
  <c r="EW113" i="2"/>
  <c r="AW113" i="2"/>
  <c r="EV113" i="2"/>
  <c r="GN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ME114" i="2" l="1"/>
  <c r="LI114" i="2"/>
  <c r="JS114" i="2"/>
  <c r="JT114" i="2"/>
  <c r="IX114" i="2"/>
  <c r="IC114" i="2"/>
  <c r="HH114" i="2"/>
  <c r="IW114" i="2"/>
  <c r="IZ113" i="2"/>
  <c r="MX114" i="2"/>
  <c r="NA113" i="2"/>
  <c r="JR114" i="2"/>
  <c r="JU113" i="2"/>
  <c r="MC114" i="2"/>
  <c r="MF113" i="2"/>
  <c r="MY114" i="2"/>
  <c r="MD114" i="2"/>
  <c r="ID114" i="2"/>
  <c r="NS114" i="2"/>
  <c r="NV113" i="2"/>
  <c r="IB114" i="2"/>
  <c r="IE113" i="2"/>
  <c r="KI115" i="2"/>
  <c r="KJ115" i="2"/>
  <c r="KH115" i="2"/>
  <c r="PD115" i="2"/>
  <c r="PH115" i="2"/>
  <c r="OT115" i="2"/>
  <c r="PG115" i="2"/>
  <c r="PF115" i="2"/>
  <c r="MI115" i="2"/>
  <c r="PE115" i="2"/>
  <c r="PK115" i="2" s="1"/>
  <c r="MJ115" i="2"/>
  <c r="OU115" i="2"/>
  <c r="OR115" i="2"/>
  <c r="OS115" i="2"/>
  <c r="OM115" i="2"/>
  <c r="OK115" i="2"/>
  <c r="OI115" i="2"/>
  <c r="OL115" i="2"/>
  <c r="OJ115" i="2"/>
  <c r="OO115" i="2" s="1"/>
  <c r="NZ115" i="2"/>
  <c r="NY115" i="2"/>
  <c r="NX115" i="2"/>
  <c r="NW115" i="2"/>
  <c r="NR115" i="2"/>
  <c r="NQ115" i="2"/>
  <c r="NC115" i="2"/>
  <c r="NN115" i="2"/>
  <c r="NP115" i="2"/>
  <c r="NE115" i="2"/>
  <c r="ND115" i="2"/>
  <c r="NO115" i="2"/>
  <c r="NT115" i="2" s="1"/>
  <c r="NB115" i="2"/>
  <c r="MW115" i="2"/>
  <c r="MS115" i="2"/>
  <c r="MV115" i="2"/>
  <c r="MH115" i="2"/>
  <c r="MG115" i="2"/>
  <c r="MU115" i="2"/>
  <c r="MT115" i="2"/>
  <c r="MZ115" i="2" s="1"/>
  <c r="LY115" i="2"/>
  <c r="MB115" i="2"/>
  <c r="LX115" i="2"/>
  <c r="MA115" i="2"/>
  <c r="LO115" i="2"/>
  <c r="LZ115" i="2"/>
  <c r="LL115" i="2"/>
  <c r="LE115" i="2"/>
  <c r="JB115" i="2"/>
  <c r="LM115" i="2"/>
  <c r="LD115" i="2"/>
  <c r="LI115" i="2" s="1"/>
  <c r="KR115" i="2"/>
  <c r="LG115" i="2"/>
  <c r="LC115" i="2"/>
  <c r="LN115" i="2"/>
  <c r="LF115" i="2"/>
  <c r="KT115" i="2"/>
  <c r="KS115" i="2"/>
  <c r="JA115" i="2"/>
  <c r="KQ115" i="2"/>
  <c r="JO115" i="2"/>
  <c r="JD115" i="2"/>
  <c r="JV115" i="2"/>
  <c r="KL115" i="2"/>
  <c r="JY115" i="2"/>
  <c r="JX115" i="2"/>
  <c r="JN115" i="2"/>
  <c r="JW115" i="2"/>
  <c r="JQ115" i="2"/>
  <c r="KK115" i="2"/>
  <c r="JM115" i="2"/>
  <c r="JP115" i="2"/>
  <c r="JC115" i="2"/>
  <c r="IT115" i="2"/>
  <c r="IG115" i="2"/>
  <c r="HF115" i="2"/>
  <c r="IS115" i="2"/>
  <c r="IX115" i="2" s="1"/>
  <c r="HN115" i="2"/>
  <c r="IV115" i="2"/>
  <c r="IR115" i="2"/>
  <c r="II115" i="2"/>
  <c r="HD115" i="2"/>
  <c r="IU115" i="2"/>
  <c r="IH115" i="2"/>
  <c r="IF115" i="2"/>
  <c r="HE115" i="2"/>
  <c r="HZ115" i="2"/>
  <c r="HM115" i="2"/>
  <c r="HK115" i="2"/>
  <c r="HY115" i="2"/>
  <c r="HX115" i="2"/>
  <c r="IC115" i="2" s="1"/>
  <c r="HL115" i="2"/>
  <c r="IA115" i="2"/>
  <c r="HW115" i="2"/>
  <c r="LH114" i="2"/>
  <c r="LK113" i="2"/>
  <c r="IY114" i="2"/>
  <c r="ON114" i="2"/>
  <c r="OQ113" i="2"/>
  <c r="PI114" i="2"/>
  <c r="PL113" i="2"/>
  <c r="KM113" i="2"/>
  <c r="KP112" i="2"/>
  <c r="KO114" i="2"/>
  <c r="KN113" i="2"/>
  <c r="KN114" i="2" s="1"/>
  <c r="HG114" i="2"/>
  <c r="HI114" i="2"/>
  <c r="EW114" i="2"/>
  <c r="EV114" i="2"/>
  <c r="EC114" i="2"/>
  <c r="AU114" i="2"/>
  <c r="EX114" i="2"/>
  <c r="FS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ME115" i="2" l="1"/>
  <c r="LJ115" i="2"/>
  <c r="JS115" i="2"/>
  <c r="IY115" i="2"/>
  <c r="HH115" i="2"/>
  <c r="KH116" i="2"/>
  <c r="KI116" i="2"/>
  <c r="KJ116" i="2"/>
  <c r="PG116" i="2"/>
  <c r="OU116" i="2"/>
  <c r="PD116" i="2"/>
  <c r="PH116" i="2"/>
  <c r="MI116" i="2"/>
  <c r="OT116" i="2"/>
  <c r="PE116" i="2"/>
  <c r="PK116" i="2" s="1"/>
  <c r="PF116" i="2"/>
  <c r="MJ116" i="2"/>
  <c r="OR116" i="2"/>
  <c r="OS116" i="2"/>
  <c r="OM116" i="2"/>
  <c r="OL116" i="2"/>
  <c r="OK116" i="2"/>
  <c r="OJ116" i="2"/>
  <c r="OO116" i="2" s="1"/>
  <c r="OI116" i="2"/>
  <c r="NZ116" i="2"/>
  <c r="NX116" i="2"/>
  <c r="NY116" i="2"/>
  <c r="NW116" i="2"/>
  <c r="NO116" i="2"/>
  <c r="NT116" i="2" s="1"/>
  <c r="NR116" i="2"/>
  <c r="NC116" i="2"/>
  <c r="NQ116" i="2"/>
  <c r="NN116" i="2"/>
  <c r="NP116" i="2"/>
  <c r="NE116" i="2"/>
  <c r="ND116" i="2"/>
  <c r="NB116" i="2"/>
  <c r="MT116" i="2"/>
  <c r="MZ116" i="2" s="1"/>
  <c r="MW116" i="2"/>
  <c r="MS116" i="2"/>
  <c r="MV116" i="2"/>
  <c r="MH116" i="2"/>
  <c r="MG116" i="2"/>
  <c r="MU116" i="2"/>
  <c r="LZ116" i="2"/>
  <c r="LY116" i="2"/>
  <c r="MB116" i="2"/>
  <c r="LX116" i="2"/>
  <c r="MA116" i="2"/>
  <c r="LO116" i="2"/>
  <c r="LN116" i="2"/>
  <c r="LF116" i="2"/>
  <c r="KT116" i="2"/>
  <c r="KS116" i="2"/>
  <c r="JA116" i="2"/>
  <c r="LL116" i="2"/>
  <c r="LE116" i="2"/>
  <c r="JB116" i="2"/>
  <c r="LM116" i="2"/>
  <c r="LD116" i="2"/>
  <c r="LI116" i="2" s="1"/>
  <c r="KR116" i="2"/>
  <c r="LG116" i="2"/>
  <c r="LC116" i="2"/>
  <c r="KK116" i="2"/>
  <c r="JM116" i="2"/>
  <c r="KQ116" i="2"/>
  <c r="JO116" i="2"/>
  <c r="JD116" i="2"/>
  <c r="JV116" i="2"/>
  <c r="KL116" i="2"/>
  <c r="JY116" i="2"/>
  <c r="JX116" i="2"/>
  <c r="JN116" i="2"/>
  <c r="JW116" i="2"/>
  <c r="JQ116" i="2"/>
  <c r="JP116" i="2"/>
  <c r="JC116" i="2"/>
  <c r="IU116" i="2"/>
  <c r="IH116" i="2"/>
  <c r="IF116" i="2"/>
  <c r="HE116" i="2"/>
  <c r="IT116" i="2"/>
  <c r="IG116" i="2"/>
  <c r="HF116" i="2"/>
  <c r="IS116" i="2"/>
  <c r="IX116" i="2" s="1"/>
  <c r="HN116" i="2"/>
  <c r="IV116" i="2"/>
  <c r="IR116" i="2"/>
  <c r="II116" i="2"/>
  <c r="HD116" i="2"/>
  <c r="HL116" i="2"/>
  <c r="IA116" i="2"/>
  <c r="HW116" i="2"/>
  <c r="HZ116" i="2"/>
  <c r="HM116" i="2"/>
  <c r="HK116" i="2"/>
  <c r="HY116" i="2"/>
  <c r="HX116" i="2"/>
  <c r="IC116" i="2" s="1"/>
  <c r="MY115" i="2"/>
  <c r="MY116" i="2" s="1"/>
  <c r="PI115" i="2"/>
  <c r="PL114" i="2"/>
  <c r="LH115" i="2"/>
  <c r="LK114" i="2"/>
  <c r="ID115" i="2"/>
  <c r="PJ115" i="2"/>
  <c r="PJ116" i="2" s="1"/>
  <c r="IW115" i="2"/>
  <c r="IZ114" i="2"/>
  <c r="JT115" i="2"/>
  <c r="JT116" i="2" s="1"/>
  <c r="NU115" i="2"/>
  <c r="NU116" i="2" s="1"/>
  <c r="MD115" i="2"/>
  <c r="OP115" i="2"/>
  <c r="OP116" i="2" s="1"/>
  <c r="NS115" i="2"/>
  <c r="NV114" i="2"/>
  <c r="ON115" i="2"/>
  <c r="OQ114" i="2"/>
  <c r="IB115" i="2"/>
  <c r="IE114" i="2"/>
  <c r="MC115" i="2"/>
  <c r="MF114" i="2"/>
  <c r="JU114" i="2"/>
  <c r="JR115" i="2"/>
  <c r="MX115" i="2"/>
  <c r="NA114" i="2"/>
  <c r="EX115" i="2"/>
  <c r="KO115" i="2"/>
  <c r="KM114" i="2"/>
  <c r="KP113" i="2"/>
  <c r="HI115" i="2"/>
  <c r="HG115" i="2"/>
  <c r="FS115" i="2"/>
  <c r="EC115" i="2"/>
  <c r="AW115" i="2"/>
  <c r="EV115" i="2"/>
  <c r="GN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FO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ME116" i="2" l="1"/>
  <c r="MD116" i="2"/>
  <c r="IY116" i="2"/>
  <c r="IY117" i="2" s="1"/>
  <c r="ID116" i="2"/>
  <c r="JS116" i="2"/>
  <c r="HH116" i="2"/>
  <c r="MX116" i="2"/>
  <c r="NA115" i="2"/>
  <c r="MC116" i="2"/>
  <c r="MF115" i="2"/>
  <c r="IB116" i="2"/>
  <c r="IE115" i="2"/>
  <c r="LJ116" i="2"/>
  <c r="JR116" i="2"/>
  <c r="JU115" i="2"/>
  <c r="LH116" i="2"/>
  <c r="LK115" i="2"/>
  <c r="PI116" i="2"/>
  <c r="PL115" i="2"/>
  <c r="KJ117" i="2"/>
  <c r="KI117" i="2"/>
  <c r="KH117" i="2"/>
  <c r="OU117" i="2"/>
  <c r="PF117" i="2"/>
  <c r="PE117" i="2"/>
  <c r="PK117" i="2" s="1"/>
  <c r="MJ117" i="2"/>
  <c r="PD117" i="2"/>
  <c r="PG117" i="2"/>
  <c r="PH117" i="2"/>
  <c r="MI117" i="2"/>
  <c r="OT117" i="2"/>
  <c r="OS117" i="2"/>
  <c r="OM117" i="2"/>
  <c r="OR117" i="2"/>
  <c r="OL117" i="2"/>
  <c r="OK117" i="2"/>
  <c r="OJ117" i="2"/>
  <c r="OO117" i="2" s="1"/>
  <c r="OI117" i="2"/>
  <c r="NZ117" i="2"/>
  <c r="NX117" i="2"/>
  <c r="NR117" i="2"/>
  <c r="NY117" i="2"/>
  <c r="NP117" i="2"/>
  <c r="NW117" i="2"/>
  <c r="NO117" i="2"/>
  <c r="NT117" i="2" s="1"/>
  <c r="NE117" i="2"/>
  <c r="ND117" i="2"/>
  <c r="NC117" i="2"/>
  <c r="NQ117" i="2"/>
  <c r="NN117" i="2"/>
  <c r="MU117" i="2"/>
  <c r="NB117" i="2"/>
  <c r="MT117" i="2"/>
  <c r="MZ117" i="2" s="1"/>
  <c r="MW117" i="2"/>
  <c r="MS117" i="2"/>
  <c r="MV117" i="2"/>
  <c r="MA117" i="2"/>
  <c r="LO117" i="2"/>
  <c r="LZ117" i="2"/>
  <c r="MH117" i="2"/>
  <c r="LY117" i="2"/>
  <c r="MG117" i="2"/>
  <c r="MB117" i="2"/>
  <c r="LX117" i="2"/>
  <c r="LG117" i="2"/>
  <c r="LC117" i="2"/>
  <c r="LN117" i="2"/>
  <c r="LF117" i="2"/>
  <c r="KT117" i="2"/>
  <c r="KS117" i="2"/>
  <c r="JA117" i="2"/>
  <c r="LL117" i="2"/>
  <c r="LE117" i="2"/>
  <c r="JB117" i="2"/>
  <c r="LM117" i="2"/>
  <c r="LD117" i="2"/>
  <c r="KR117" i="2"/>
  <c r="KL117" i="2"/>
  <c r="JY117" i="2"/>
  <c r="JX117" i="2"/>
  <c r="JN117" i="2"/>
  <c r="JW117" i="2"/>
  <c r="JQ117" i="2"/>
  <c r="KK117" i="2"/>
  <c r="JM117" i="2"/>
  <c r="KQ117" i="2"/>
  <c r="JO117" i="2"/>
  <c r="JD117" i="2"/>
  <c r="JV117" i="2"/>
  <c r="IV117" i="2"/>
  <c r="IR117" i="2"/>
  <c r="II117" i="2"/>
  <c r="HD117" i="2"/>
  <c r="JP117" i="2"/>
  <c r="JC117" i="2"/>
  <c r="IU117" i="2"/>
  <c r="IH117" i="2"/>
  <c r="IF117" i="2"/>
  <c r="HE117" i="2"/>
  <c r="IT117" i="2"/>
  <c r="IG117" i="2"/>
  <c r="HF117" i="2"/>
  <c r="IS117" i="2"/>
  <c r="HN117" i="2"/>
  <c r="HX117" i="2"/>
  <c r="HL117" i="2"/>
  <c r="IA117" i="2"/>
  <c r="HW117" i="2"/>
  <c r="HZ117" i="2"/>
  <c r="HM117" i="2"/>
  <c r="HK117" i="2"/>
  <c r="HY117" i="2"/>
  <c r="ON116" i="2"/>
  <c r="OQ115" i="2"/>
  <c r="NS116" i="2"/>
  <c r="NV115" i="2"/>
  <c r="IW116" i="2"/>
  <c r="IZ115" i="2"/>
  <c r="NU117" i="2"/>
  <c r="ID117" i="2"/>
  <c r="EC116" i="2"/>
  <c r="KM115" i="2"/>
  <c r="KP114" i="2"/>
  <c r="KO116" i="2"/>
  <c r="KN115" i="2"/>
  <c r="KN116" i="2" s="1"/>
  <c r="HG116" i="2"/>
  <c r="HI116" i="2"/>
  <c r="EA116" i="2"/>
  <c r="EV116" i="2"/>
  <c r="EX116" i="2"/>
  <c r="EW116" i="2"/>
  <c r="FS116" i="2"/>
  <c r="GN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GJ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MD117" i="2" l="1"/>
  <c r="LI117" i="2"/>
  <c r="JS117" i="2"/>
  <c r="IX117" i="2"/>
  <c r="IC117" i="2"/>
  <c r="HH117" i="2"/>
  <c r="NS117" i="2"/>
  <c r="NV116" i="2"/>
  <c r="OP117" i="2"/>
  <c r="IB117" i="2"/>
  <c r="IE116" i="2"/>
  <c r="MX117" i="2"/>
  <c r="NA116" i="2"/>
  <c r="ME117" i="2"/>
  <c r="KJ118" i="2"/>
  <c r="KI118" i="2"/>
  <c r="KH118" i="2"/>
  <c r="OT118" i="2"/>
  <c r="PE118" i="2"/>
  <c r="PK118" i="2" s="1"/>
  <c r="OU118" i="2"/>
  <c r="PD118" i="2"/>
  <c r="PF118" i="2"/>
  <c r="PG118" i="2"/>
  <c r="PH118" i="2"/>
  <c r="MJ118" i="2"/>
  <c r="MI118" i="2"/>
  <c r="OR118" i="2"/>
  <c r="OS118" i="2"/>
  <c r="OM118" i="2"/>
  <c r="OL118" i="2"/>
  <c r="OJ118" i="2"/>
  <c r="OO118" i="2" s="1"/>
  <c r="OK118" i="2"/>
  <c r="OI118" i="2"/>
  <c r="NZ118" i="2"/>
  <c r="NY118" i="2"/>
  <c r="NW118" i="2"/>
  <c r="NR118" i="2"/>
  <c r="NX118" i="2"/>
  <c r="NQ118" i="2"/>
  <c r="NP118" i="2"/>
  <c r="NO118" i="2"/>
  <c r="NU118" i="2" s="1"/>
  <c r="NN118" i="2"/>
  <c r="NE118" i="2"/>
  <c r="ND118" i="2"/>
  <c r="NB118" i="2"/>
  <c r="NC118" i="2"/>
  <c r="MV118" i="2"/>
  <c r="MU118" i="2"/>
  <c r="MT118" i="2"/>
  <c r="MZ118" i="2" s="1"/>
  <c r="MW118" i="2"/>
  <c r="MG118" i="2"/>
  <c r="MB118" i="2"/>
  <c r="LX118" i="2"/>
  <c r="MA118" i="2"/>
  <c r="LO118" i="2"/>
  <c r="MS118" i="2"/>
  <c r="LZ118" i="2"/>
  <c r="MH118" i="2"/>
  <c r="LY118" i="2"/>
  <c r="MD118" i="2" s="1"/>
  <c r="LM118" i="2"/>
  <c r="LD118" i="2"/>
  <c r="KR118" i="2"/>
  <c r="LG118" i="2"/>
  <c r="LC118" i="2"/>
  <c r="LN118" i="2"/>
  <c r="LF118" i="2"/>
  <c r="KT118" i="2"/>
  <c r="KS118" i="2"/>
  <c r="JA118" i="2"/>
  <c r="LL118" i="2"/>
  <c r="LE118" i="2"/>
  <c r="JB118" i="2"/>
  <c r="JO118" i="2"/>
  <c r="JD118" i="2"/>
  <c r="JV118" i="2"/>
  <c r="KL118" i="2"/>
  <c r="JY118" i="2"/>
  <c r="JX118" i="2"/>
  <c r="JN118" i="2"/>
  <c r="JW118" i="2"/>
  <c r="JQ118" i="2"/>
  <c r="KK118" i="2"/>
  <c r="JM118" i="2"/>
  <c r="JP118" i="2"/>
  <c r="JC118" i="2"/>
  <c r="KQ118" i="2"/>
  <c r="IS118" i="2"/>
  <c r="HN118" i="2"/>
  <c r="IV118" i="2"/>
  <c r="IY118" i="2" s="1"/>
  <c r="IR118" i="2"/>
  <c r="II118" i="2"/>
  <c r="HD118" i="2"/>
  <c r="IU118" i="2"/>
  <c r="IH118" i="2"/>
  <c r="IF118" i="2"/>
  <c r="HE118" i="2"/>
  <c r="IT118" i="2"/>
  <c r="IG118" i="2"/>
  <c r="HF118" i="2"/>
  <c r="HM118" i="2"/>
  <c r="HK118" i="2"/>
  <c r="HY118" i="2"/>
  <c r="HX118" i="2"/>
  <c r="HL118" i="2"/>
  <c r="IA118" i="2"/>
  <c r="ID118" i="2" s="1"/>
  <c r="HW118" i="2"/>
  <c r="HZ118" i="2"/>
  <c r="MY117" i="2"/>
  <c r="MY118" i="2" s="1"/>
  <c r="LH117" i="2"/>
  <c r="LK116" i="2"/>
  <c r="IW117" i="2"/>
  <c r="IZ116" i="2"/>
  <c r="ON117" i="2"/>
  <c r="OQ116" i="2"/>
  <c r="PJ117" i="2"/>
  <c r="PJ118" i="2" s="1"/>
  <c r="JU116" i="2"/>
  <c r="JR117" i="2"/>
  <c r="JT117" i="2"/>
  <c r="JT118" i="2" s="1"/>
  <c r="MF116" i="2"/>
  <c r="MC117" i="2"/>
  <c r="HI117" i="2"/>
  <c r="PI117" i="2"/>
  <c r="PL116" i="2"/>
  <c r="LJ117" i="2"/>
  <c r="LJ118" i="2" s="1"/>
  <c r="KO117" i="2"/>
  <c r="KM116" i="2"/>
  <c r="KP115" i="2"/>
  <c r="HG117" i="2"/>
  <c r="EA117" i="2"/>
  <c r="EX117" i="2"/>
  <c r="EC117" i="2"/>
  <c r="FS117" i="2"/>
  <c r="EB117" i="2"/>
  <c r="GN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LI118" i="2" l="1"/>
  <c r="IX118" i="2"/>
  <c r="JS118" i="2"/>
  <c r="IC118" i="2"/>
  <c r="HH118" i="2"/>
  <c r="IW118" i="2"/>
  <c r="IZ117" i="2"/>
  <c r="MX118" i="2"/>
  <c r="NA117" i="2"/>
  <c r="PI118" i="2"/>
  <c r="PL117" i="2"/>
  <c r="OP118" i="2"/>
  <c r="NS118" i="2"/>
  <c r="NV117" i="2"/>
  <c r="NT118" i="2"/>
  <c r="KJ119" i="2"/>
  <c r="KI119" i="2"/>
  <c r="KH119" i="2"/>
  <c r="PD119" i="2"/>
  <c r="PH119" i="2"/>
  <c r="PF119" i="2"/>
  <c r="PE119" i="2"/>
  <c r="PJ119" i="2" s="1"/>
  <c r="OT119" i="2"/>
  <c r="OU119" i="2"/>
  <c r="PG119" i="2"/>
  <c r="MJ119" i="2"/>
  <c r="MI119" i="2"/>
  <c r="OR119" i="2"/>
  <c r="OS119" i="2"/>
  <c r="OM119" i="2"/>
  <c r="OK119" i="2"/>
  <c r="OL119" i="2"/>
  <c r="OI119" i="2"/>
  <c r="OJ119" i="2"/>
  <c r="OO119" i="2" s="1"/>
  <c r="NZ119" i="2"/>
  <c r="NY119" i="2"/>
  <c r="NW119" i="2"/>
  <c r="NR119" i="2"/>
  <c r="NX119" i="2"/>
  <c r="NQ119" i="2"/>
  <c r="NP119" i="2"/>
  <c r="NC119" i="2"/>
  <c r="NO119" i="2"/>
  <c r="NU119" i="2" s="1"/>
  <c r="NN119" i="2"/>
  <c r="NE119" i="2"/>
  <c r="ND119" i="2"/>
  <c r="NB119" i="2"/>
  <c r="MW119" i="2"/>
  <c r="MS119" i="2"/>
  <c r="MV119" i="2"/>
  <c r="MH119" i="2"/>
  <c r="MG119" i="2"/>
  <c r="MU119" i="2"/>
  <c r="MT119" i="2"/>
  <c r="MZ119" i="2" s="1"/>
  <c r="LY119" i="2"/>
  <c r="MB119" i="2"/>
  <c r="LX119" i="2"/>
  <c r="MA119" i="2"/>
  <c r="LO119" i="2"/>
  <c r="LZ119" i="2"/>
  <c r="LL119" i="2"/>
  <c r="LE119" i="2"/>
  <c r="JB119" i="2"/>
  <c r="LM119" i="2"/>
  <c r="LD119" i="2"/>
  <c r="KR119" i="2"/>
  <c r="LG119" i="2"/>
  <c r="LJ119" i="2" s="1"/>
  <c r="LC119" i="2"/>
  <c r="LN119" i="2"/>
  <c r="LF119" i="2"/>
  <c r="KT119" i="2"/>
  <c r="KS119" i="2"/>
  <c r="JA119" i="2"/>
  <c r="KQ119" i="2"/>
  <c r="JO119" i="2"/>
  <c r="JD119" i="2"/>
  <c r="JV119" i="2"/>
  <c r="KL119" i="2"/>
  <c r="JY119" i="2"/>
  <c r="JX119" i="2"/>
  <c r="JN119" i="2"/>
  <c r="JW119" i="2"/>
  <c r="JQ119" i="2"/>
  <c r="KK119" i="2"/>
  <c r="JM119" i="2"/>
  <c r="JP119" i="2"/>
  <c r="JC119" i="2"/>
  <c r="IT119" i="2"/>
  <c r="IG119" i="2"/>
  <c r="HF119" i="2"/>
  <c r="IS119" i="2"/>
  <c r="HN119" i="2"/>
  <c r="IV119" i="2"/>
  <c r="IR119" i="2"/>
  <c r="II119" i="2"/>
  <c r="HD119" i="2"/>
  <c r="IU119" i="2"/>
  <c r="IH119" i="2"/>
  <c r="IF119" i="2"/>
  <c r="HE119" i="2"/>
  <c r="HZ119" i="2"/>
  <c r="HM119" i="2"/>
  <c r="HK119" i="2"/>
  <c r="HY119" i="2"/>
  <c r="HX119" i="2"/>
  <c r="HL119" i="2"/>
  <c r="IA119" i="2"/>
  <c r="HW119" i="2"/>
  <c r="HG118" i="2"/>
  <c r="MC118" i="2"/>
  <c r="MF117" i="2"/>
  <c r="JU117" i="2"/>
  <c r="JR118" i="2"/>
  <c r="ON118" i="2"/>
  <c r="OQ117" i="2"/>
  <c r="LH118" i="2"/>
  <c r="LK117" i="2"/>
  <c r="ME118" i="2"/>
  <c r="IB118" i="2"/>
  <c r="IE117" i="2"/>
  <c r="MY119" i="2"/>
  <c r="EC118" i="2"/>
  <c r="KM117" i="2"/>
  <c r="KP116" i="2"/>
  <c r="KO118" i="2"/>
  <c r="KN117" i="2"/>
  <c r="KN118" i="2" s="1"/>
  <c r="HI118" i="2"/>
  <c r="FS118" i="2"/>
  <c r="EX118" i="2"/>
  <c r="FQ118" i="2"/>
  <c r="EA118" i="2"/>
  <c r="GN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MD119" i="2" l="1"/>
  <c r="LI119" i="2"/>
  <c r="IY119" i="2"/>
  <c r="JS119" i="2"/>
  <c r="IC119" i="2"/>
  <c r="HH119" i="2"/>
  <c r="LH119" i="2"/>
  <c r="LK118" i="2"/>
  <c r="NS119" i="2"/>
  <c r="NV118" i="2"/>
  <c r="PI119" i="2"/>
  <c r="PL118" i="2"/>
  <c r="ID119" i="2"/>
  <c r="IX119" i="2"/>
  <c r="MX119" i="2"/>
  <c r="NA118" i="2"/>
  <c r="IW119" i="2"/>
  <c r="IZ118" i="2"/>
  <c r="PK119" i="2"/>
  <c r="KH120" i="2"/>
  <c r="KJ120" i="2"/>
  <c r="KI120" i="2"/>
  <c r="PG120" i="2"/>
  <c r="OT120" i="2"/>
  <c r="MI120" i="2"/>
  <c r="PF120" i="2"/>
  <c r="PE120" i="2"/>
  <c r="PJ120" i="2" s="1"/>
  <c r="OU120" i="2"/>
  <c r="PD120" i="2"/>
  <c r="PH120" i="2"/>
  <c r="MJ120" i="2"/>
  <c r="OR120" i="2"/>
  <c r="OS120" i="2"/>
  <c r="OM120" i="2"/>
  <c r="OL120" i="2"/>
  <c r="OK120" i="2"/>
  <c r="OJ120" i="2"/>
  <c r="OO120" i="2" s="1"/>
  <c r="OI120" i="2"/>
  <c r="NZ120" i="2"/>
  <c r="NX120" i="2"/>
  <c r="NY120" i="2"/>
  <c r="NW120" i="2"/>
  <c r="NO120" i="2"/>
  <c r="NU120" i="2" s="1"/>
  <c r="NR120" i="2"/>
  <c r="NQ120" i="2"/>
  <c r="NP120" i="2"/>
  <c r="NC120" i="2"/>
  <c r="NN120" i="2"/>
  <c r="NE120" i="2"/>
  <c r="ND120" i="2"/>
  <c r="MT120" i="2"/>
  <c r="MZ120" i="2" s="1"/>
  <c r="MW120" i="2"/>
  <c r="MS120" i="2"/>
  <c r="NB120" i="2"/>
  <c r="MV120" i="2"/>
  <c r="MH120" i="2"/>
  <c r="MG120" i="2"/>
  <c r="MU120" i="2"/>
  <c r="LZ120" i="2"/>
  <c r="LY120" i="2"/>
  <c r="MD120" i="2" s="1"/>
  <c r="MB120" i="2"/>
  <c r="LX120" i="2"/>
  <c r="MA120" i="2"/>
  <c r="LO120" i="2"/>
  <c r="LN120" i="2"/>
  <c r="LF120" i="2"/>
  <c r="KT120" i="2"/>
  <c r="KS120" i="2"/>
  <c r="JA120" i="2"/>
  <c r="LL120" i="2"/>
  <c r="LE120" i="2"/>
  <c r="JB120" i="2"/>
  <c r="LM120" i="2"/>
  <c r="LD120" i="2"/>
  <c r="KR120" i="2"/>
  <c r="LG120" i="2"/>
  <c r="LC120" i="2"/>
  <c r="KK120" i="2"/>
  <c r="JM120" i="2"/>
  <c r="KQ120" i="2"/>
  <c r="JO120" i="2"/>
  <c r="JD120" i="2"/>
  <c r="JV120" i="2"/>
  <c r="KL120" i="2"/>
  <c r="JY120" i="2"/>
  <c r="JX120" i="2"/>
  <c r="JN120" i="2"/>
  <c r="JW120" i="2"/>
  <c r="JQ120" i="2"/>
  <c r="IU120" i="2"/>
  <c r="IH120" i="2"/>
  <c r="IF120" i="2"/>
  <c r="HE120" i="2"/>
  <c r="IT120" i="2"/>
  <c r="IG120" i="2"/>
  <c r="HF120" i="2"/>
  <c r="JP120" i="2"/>
  <c r="JC120" i="2"/>
  <c r="IS120" i="2"/>
  <c r="HN120" i="2"/>
  <c r="IV120" i="2"/>
  <c r="IR120" i="2"/>
  <c r="II120" i="2"/>
  <c r="HD120" i="2"/>
  <c r="HL120" i="2"/>
  <c r="IA120" i="2"/>
  <c r="HW120" i="2"/>
  <c r="HZ120" i="2"/>
  <c r="HM120" i="2"/>
  <c r="HK120" i="2"/>
  <c r="HY120" i="2"/>
  <c r="HX120" i="2"/>
  <c r="IB119" i="2"/>
  <c r="IE118" i="2"/>
  <c r="ON119" i="2"/>
  <c r="OQ118" i="2"/>
  <c r="MC119" i="2"/>
  <c r="MF118" i="2"/>
  <c r="NT119" i="2"/>
  <c r="NT120" i="2" s="1"/>
  <c r="ME119" i="2"/>
  <c r="ME120" i="2" s="1"/>
  <c r="JR119" i="2"/>
  <c r="JU118" i="2"/>
  <c r="OP119" i="2"/>
  <c r="OP120" i="2" s="1"/>
  <c r="JT119" i="2"/>
  <c r="KO119" i="2"/>
  <c r="KM118" i="2"/>
  <c r="KP117" i="2"/>
  <c r="HI119" i="2"/>
  <c r="HG119" i="2"/>
  <c r="EX119" i="2"/>
  <c r="FR119" i="2"/>
  <c r="FQ119" i="2"/>
  <c r="EW119" i="2"/>
  <c r="EV119" i="2"/>
  <c r="EC119" i="2"/>
  <c r="FS119" i="2"/>
  <c r="EA119" i="2"/>
  <c r="EB119" i="2"/>
  <c r="GN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FO120" i="2"/>
  <c r="GJ120" i="2"/>
  <c r="GI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JT120" i="2" l="1"/>
  <c r="LJ120" i="2"/>
  <c r="JS120" i="2"/>
  <c r="IY120" i="2"/>
  <c r="IC120" i="2"/>
  <c r="HH120" i="2"/>
  <c r="KJ121" i="2"/>
  <c r="KI121" i="2"/>
  <c r="KH121" i="2"/>
  <c r="OU121" i="2"/>
  <c r="PF121" i="2"/>
  <c r="PD121" i="2"/>
  <c r="PG121" i="2"/>
  <c r="PH121" i="2"/>
  <c r="MJ121" i="2"/>
  <c r="OT121" i="2"/>
  <c r="MI121" i="2"/>
  <c r="PE121" i="2"/>
  <c r="PJ121" i="2" s="1"/>
  <c r="OS121" i="2"/>
  <c r="OR121" i="2"/>
  <c r="OM121" i="2"/>
  <c r="OL121" i="2"/>
  <c r="OK121" i="2"/>
  <c r="OJ121" i="2"/>
  <c r="OO121" i="2" s="1"/>
  <c r="NZ121" i="2"/>
  <c r="OI121" i="2"/>
  <c r="NX121" i="2"/>
  <c r="NR121" i="2"/>
  <c r="NP121" i="2"/>
  <c r="NY121" i="2"/>
  <c r="NW121" i="2"/>
  <c r="NO121" i="2"/>
  <c r="NU121" i="2" s="1"/>
  <c r="NE121" i="2"/>
  <c r="ND121" i="2"/>
  <c r="NQ121" i="2"/>
  <c r="NC121" i="2"/>
  <c r="NN121" i="2"/>
  <c r="MU121" i="2"/>
  <c r="MT121" i="2"/>
  <c r="MZ121" i="2" s="1"/>
  <c r="MW121" i="2"/>
  <c r="MS121" i="2"/>
  <c r="NB121" i="2"/>
  <c r="MV121" i="2"/>
  <c r="MH121" i="2"/>
  <c r="MA121" i="2"/>
  <c r="LO121" i="2"/>
  <c r="MG121" i="2"/>
  <c r="LZ121" i="2"/>
  <c r="LY121" i="2"/>
  <c r="ME121" i="2" s="1"/>
  <c r="MB121" i="2"/>
  <c r="LX121" i="2"/>
  <c r="LG121" i="2"/>
  <c r="LC121" i="2"/>
  <c r="LN121" i="2"/>
  <c r="LF121" i="2"/>
  <c r="KT121" i="2"/>
  <c r="KS121" i="2"/>
  <c r="JA121" i="2"/>
  <c r="LL121" i="2"/>
  <c r="LE121" i="2"/>
  <c r="JB121" i="2"/>
  <c r="LM121" i="2"/>
  <c r="LD121" i="2"/>
  <c r="KR121" i="2"/>
  <c r="KL121" i="2"/>
  <c r="JY121" i="2"/>
  <c r="JX121" i="2"/>
  <c r="JN121" i="2"/>
  <c r="JW121" i="2"/>
  <c r="JQ121" i="2"/>
  <c r="KK121" i="2"/>
  <c r="JM121" i="2"/>
  <c r="KQ121" i="2"/>
  <c r="JO121" i="2"/>
  <c r="JD121" i="2"/>
  <c r="JV121" i="2"/>
  <c r="IV121" i="2"/>
  <c r="IR121" i="2"/>
  <c r="II121" i="2"/>
  <c r="HD121" i="2"/>
  <c r="IU121" i="2"/>
  <c r="IH121" i="2"/>
  <c r="IF121" i="2"/>
  <c r="HE121" i="2"/>
  <c r="IT121" i="2"/>
  <c r="IG121" i="2"/>
  <c r="HF121" i="2"/>
  <c r="JP121" i="2"/>
  <c r="JC121" i="2"/>
  <c r="IS121" i="2"/>
  <c r="IY121" i="2" s="1"/>
  <c r="HN121" i="2"/>
  <c r="HX121" i="2"/>
  <c r="HL121" i="2"/>
  <c r="IA121" i="2"/>
  <c r="HW121" i="2"/>
  <c r="HZ121" i="2"/>
  <c r="HM121" i="2"/>
  <c r="HK121" i="2"/>
  <c r="HY121" i="2"/>
  <c r="OP121" i="2"/>
  <c r="ON120" i="2"/>
  <c r="OQ119" i="2"/>
  <c r="IW120" i="2"/>
  <c r="IZ119" i="2"/>
  <c r="LI120" i="2"/>
  <c r="LI121" i="2" s="1"/>
  <c r="MY120" i="2"/>
  <c r="MY121" i="2" s="1"/>
  <c r="JU119" i="2"/>
  <c r="JR120" i="2"/>
  <c r="MC120" i="2"/>
  <c r="MF119" i="2"/>
  <c r="IB120" i="2"/>
  <c r="IE119" i="2"/>
  <c r="PK120" i="2"/>
  <c r="PK121" i="2" s="1"/>
  <c r="MX120" i="2"/>
  <c r="NA119" i="2"/>
  <c r="IX120" i="2"/>
  <c r="LH120" i="2"/>
  <c r="LK119" i="2"/>
  <c r="NT121" i="2"/>
  <c r="ID120" i="2"/>
  <c r="ID121" i="2" s="1"/>
  <c r="PI120" i="2"/>
  <c r="PL119" i="2"/>
  <c r="NS120" i="2"/>
  <c r="NV119" i="2"/>
  <c r="KM119" i="2"/>
  <c r="KP118" i="2"/>
  <c r="KO120" i="2"/>
  <c r="KN119" i="2"/>
  <c r="HG120" i="2"/>
  <c r="HI120" i="2"/>
  <c r="EX120" i="2"/>
  <c r="FR120" i="2"/>
  <c r="FQ120" i="2"/>
  <c r="EC120" i="2"/>
  <c r="EA120" i="2"/>
  <c r="FS120" i="2"/>
  <c r="EB120" i="2"/>
  <c r="EW120" i="2"/>
  <c r="AU120" i="2"/>
  <c r="GN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GJ121" i="2"/>
  <c r="FO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JT121" i="2" l="1"/>
  <c r="LJ121" i="2"/>
  <c r="MD121" i="2"/>
  <c r="JS121" i="2"/>
  <c r="IX121" i="2"/>
  <c r="IC121" i="2"/>
  <c r="HH121" i="2"/>
  <c r="HI121" i="2"/>
  <c r="LH121" i="2"/>
  <c r="LK120" i="2"/>
  <c r="KJ122" i="2"/>
  <c r="KH122" i="2"/>
  <c r="KI122" i="2"/>
  <c r="OT122" i="2"/>
  <c r="PE122" i="2"/>
  <c r="PJ122" i="2" s="1"/>
  <c r="OU122" i="2"/>
  <c r="PD122" i="2"/>
  <c r="PG122" i="2"/>
  <c r="PH122" i="2"/>
  <c r="MI122" i="2"/>
  <c r="PF122" i="2"/>
  <c r="MJ122" i="2"/>
  <c r="OR122" i="2"/>
  <c r="OS122" i="2"/>
  <c r="OM122" i="2"/>
  <c r="OK122" i="2"/>
  <c r="OJ122" i="2"/>
  <c r="OO122" i="2" s="1"/>
  <c r="OL122" i="2"/>
  <c r="OI122" i="2"/>
  <c r="NZ122" i="2"/>
  <c r="NY122" i="2"/>
  <c r="NX122" i="2"/>
  <c r="NW122" i="2"/>
  <c r="NR122" i="2"/>
  <c r="NQ122" i="2"/>
  <c r="NP122" i="2"/>
  <c r="NN122" i="2"/>
  <c r="NE122" i="2"/>
  <c r="ND122" i="2"/>
  <c r="NO122" i="2"/>
  <c r="NU122" i="2" s="1"/>
  <c r="NB122" i="2"/>
  <c r="NC122" i="2"/>
  <c r="MV122" i="2"/>
  <c r="MU122" i="2"/>
  <c r="MT122" i="2"/>
  <c r="MZ122" i="2" s="1"/>
  <c r="MW122" i="2"/>
  <c r="MB122" i="2"/>
  <c r="LX122" i="2"/>
  <c r="MH122" i="2"/>
  <c r="MA122" i="2"/>
  <c r="LO122" i="2"/>
  <c r="MG122" i="2"/>
  <c r="LZ122" i="2"/>
  <c r="MS122" i="2"/>
  <c r="LY122" i="2"/>
  <c r="LM122" i="2"/>
  <c r="LD122" i="2"/>
  <c r="KR122" i="2"/>
  <c r="LG122" i="2"/>
  <c r="LC122" i="2"/>
  <c r="LN122" i="2"/>
  <c r="LF122" i="2"/>
  <c r="KT122" i="2"/>
  <c r="KS122" i="2"/>
  <c r="JA122" i="2"/>
  <c r="LL122" i="2"/>
  <c r="LE122" i="2"/>
  <c r="JB122" i="2"/>
  <c r="JO122" i="2"/>
  <c r="JD122" i="2"/>
  <c r="JV122" i="2"/>
  <c r="KL122" i="2"/>
  <c r="JY122" i="2"/>
  <c r="JX122" i="2"/>
  <c r="JN122" i="2"/>
  <c r="JW122" i="2"/>
  <c r="JQ122" i="2"/>
  <c r="KK122" i="2"/>
  <c r="JM122" i="2"/>
  <c r="JP122" i="2"/>
  <c r="JC122" i="2"/>
  <c r="KQ122" i="2"/>
  <c r="IS122" i="2"/>
  <c r="HN122" i="2"/>
  <c r="IV122" i="2"/>
  <c r="IR122" i="2"/>
  <c r="II122" i="2"/>
  <c r="HD122" i="2"/>
  <c r="IU122" i="2"/>
  <c r="IX122" i="2" s="1"/>
  <c r="IH122" i="2"/>
  <c r="IF122" i="2"/>
  <c r="HE122" i="2"/>
  <c r="IT122" i="2"/>
  <c r="IG122" i="2"/>
  <c r="HF122" i="2"/>
  <c r="HM122" i="2"/>
  <c r="HK122" i="2"/>
  <c r="HY122" i="2"/>
  <c r="HX122" i="2"/>
  <c r="IC122" i="2" s="1"/>
  <c r="HL122" i="2"/>
  <c r="IA122" i="2"/>
  <c r="HW122" i="2"/>
  <c r="HZ122" i="2"/>
  <c r="PI121" i="2"/>
  <c r="PL120" i="2"/>
  <c r="IB121" i="2"/>
  <c r="IE120" i="2"/>
  <c r="IW121" i="2"/>
  <c r="IZ120" i="2"/>
  <c r="NT122" i="2"/>
  <c r="MX121" i="2"/>
  <c r="NA120" i="2"/>
  <c r="JR121" i="2"/>
  <c r="JU120" i="2"/>
  <c r="ON121" i="2"/>
  <c r="OQ120" i="2"/>
  <c r="NS121" i="2"/>
  <c r="NV120" i="2"/>
  <c r="ME122" i="2"/>
  <c r="PK122" i="2"/>
  <c r="MC121" i="2"/>
  <c r="MF120" i="2"/>
  <c r="OP122" i="2"/>
  <c r="KO121" i="2"/>
  <c r="KM120" i="2"/>
  <c r="KP119" i="2"/>
  <c r="KN120" i="2"/>
  <c r="KN121" i="2" s="1"/>
  <c r="HG121" i="2"/>
  <c r="EA121" i="2"/>
  <c r="EB121" i="2"/>
  <c r="FR121" i="2"/>
  <c r="AW121" i="2"/>
  <c r="EW121" i="2"/>
  <c r="EC121" i="2"/>
  <c r="FQ121" i="2"/>
  <c r="EX121" i="2"/>
  <c r="FS121" i="2"/>
  <c r="EV121" i="2"/>
  <c r="GN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JT122" i="2" l="1"/>
  <c r="LJ122" i="2"/>
  <c r="LI122" i="2"/>
  <c r="MD122" i="2"/>
  <c r="IY122" i="2"/>
  <c r="HH122" i="2"/>
  <c r="MY122" i="2"/>
  <c r="ID122" i="2"/>
  <c r="JS122" i="2"/>
  <c r="LH122" i="2"/>
  <c r="LK121" i="2"/>
  <c r="PK123" i="2"/>
  <c r="KI123" i="2"/>
  <c r="KJ123" i="2"/>
  <c r="KH123" i="2"/>
  <c r="PD123" i="2"/>
  <c r="PH123" i="2"/>
  <c r="PE123" i="2"/>
  <c r="PJ123" i="2" s="1"/>
  <c r="OU123" i="2"/>
  <c r="MJ123" i="2"/>
  <c r="OT123" i="2"/>
  <c r="MI123" i="2"/>
  <c r="PF123" i="2"/>
  <c r="PG123" i="2"/>
  <c r="OR123" i="2"/>
  <c r="OS123" i="2"/>
  <c r="OM123" i="2"/>
  <c r="OK123" i="2"/>
  <c r="OI123" i="2"/>
  <c r="OL123" i="2"/>
  <c r="OJ123" i="2"/>
  <c r="OO123" i="2" s="1"/>
  <c r="NZ123" i="2"/>
  <c r="NY123" i="2"/>
  <c r="NX123" i="2"/>
  <c r="NW123" i="2"/>
  <c r="NR123" i="2"/>
  <c r="NQ123" i="2"/>
  <c r="NC123" i="2"/>
  <c r="NN123" i="2"/>
  <c r="NP123" i="2"/>
  <c r="NE123" i="2"/>
  <c r="ND123" i="2"/>
  <c r="NO123" i="2"/>
  <c r="NT123" i="2" s="1"/>
  <c r="NB123" i="2"/>
  <c r="MW123" i="2"/>
  <c r="MS123" i="2"/>
  <c r="MV123" i="2"/>
  <c r="MH123" i="2"/>
  <c r="MG123" i="2"/>
  <c r="MU123" i="2"/>
  <c r="MT123" i="2"/>
  <c r="MZ123" i="2" s="1"/>
  <c r="LY123" i="2"/>
  <c r="MB123" i="2"/>
  <c r="LX123" i="2"/>
  <c r="MA123" i="2"/>
  <c r="LO123" i="2"/>
  <c r="LZ123" i="2"/>
  <c r="LL123" i="2"/>
  <c r="LE123" i="2"/>
  <c r="JB123" i="2"/>
  <c r="LM123" i="2"/>
  <c r="LD123" i="2"/>
  <c r="KR123" i="2"/>
  <c r="LG123" i="2"/>
  <c r="LC123" i="2"/>
  <c r="LN123" i="2"/>
  <c r="LF123" i="2"/>
  <c r="KT123" i="2"/>
  <c r="KS123" i="2"/>
  <c r="JA123" i="2"/>
  <c r="KQ123" i="2"/>
  <c r="JO123" i="2"/>
  <c r="JD123" i="2"/>
  <c r="JV123" i="2"/>
  <c r="KL123" i="2"/>
  <c r="JY123" i="2"/>
  <c r="JX123" i="2"/>
  <c r="JN123" i="2"/>
  <c r="JW123" i="2"/>
  <c r="JQ123" i="2"/>
  <c r="KK123" i="2"/>
  <c r="JM123" i="2"/>
  <c r="JP123" i="2"/>
  <c r="JC123" i="2"/>
  <c r="IT123" i="2"/>
  <c r="IG123" i="2"/>
  <c r="HF123" i="2"/>
  <c r="IS123" i="2"/>
  <c r="HN123" i="2"/>
  <c r="IV123" i="2"/>
  <c r="IR123" i="2"/>
  <c r="II123" i="2"/>
  <c r="HD123" i="2"/>
  <c r="IU123" i="2"/>
  <c r="IH123" i="2"/>
  <c r="IF123" i="2"/>
  <c r="HE123" i="2"/>
  <c r="HZ123" i="2"/>
  <c r="HM123" i="2"/>
  <c r="HK123" i="2"/>
  <c r="HY123" i="2"/>
  <c r="HX123" i="2"/>
  <c r="HL123" i="2"/>
  <c r="IA123" i="2"/>
  <c r="HW123" i="2"/>
  <c r="JR122" i="2"/>
  <c r="JU121" i="2"/>
  <c r="MC122" i="2"/>
  <c r="MF121" i="2"/>
  <c r="NS122" i="2"/>
  <c r="NV121" i="2"/>
  <c r="IW122" i="2"/>
  <c r="IZ121" i="2"/>
  <c r="IB122" i="2"/>
  <c r="IE121" i="2"/>
  <c r="PI122" i="2"/>
  <c r="PL121" i="2"/>
  <c r="OP123" i="2"/>
  <c r="ON122" i="2"/>
  <c r="OQ121" i="2"/>
  <c r="MX122" i="2"/>
  <c r="NA121" i="2"/>
  <c r="IX123" i="2"/>
  <c r="KO122" i="2"/>
  <c r="KM121" i="2"/>
  <c r="KP120" i="2"/>
  <c r="HG122" i="2"/>
  <c r="HI122" i="2"/>
  <c r="EW122" i="2"/>
  <c r="EC122" i="2"/>
  <c r="FS122" i="2"/>
  <c r="AU122" i="2"/>
  <c r="EX122" i="2"/>
  <c r="EV122" i="2"/>
  <c r="GN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LI123" i="2" l="1"/>
  <c r="LJ123" i="2"/>
  <c r="MD123" i="2"/>
  <c r="JT123" i="2"/>
  <c r="IY123" i="2"/>
  <c r="IC123" i="2"/>
  <c r="HH123" i="2"/>
  <c r="NT124" i="2"/>
  <c r="JR123" i="2"/>
  <c r="JU122" i="2"/>
  <c r="LH123" i="2"/>
  <c r="LK122" i="2"/>
  <c r="ME123" i="2"/>
  <c r="KH124" i="2"/>
  <c r="KI124" i="2"/>
  <c r="KJ124" i="2"/>
  <c r="PG124" i="2"/>
  <c r="PF124" i="2"/>
  <c r="MI124" i="2"/>
  <c r="PE124" i="2"/>
  <c r="PJ124" i="2" s="1"/>
  <c r="MJ124" i="2"/>
  <c r="OT124" i="2"/>
  <c r="OU124" i="2"/>
  <c r="PD124" i="2"/>
  <c r="PH124" i="2"/>
  <c r="OR124" i="2"/>
  <c r="OS124" i="2"/>
  <c r="OM124" i="2"/>
  <c r="OL124" i="2"/>
  <c r="OK124" i="2"/>
  <c r="OJ124" i="2"/>
  <c r="OO124" i="2" s="1"/>
  <c r="OI124" i="2"/>
  <c r="NZ124" i="2"/>
  <c r="NX124" i="2"/>
  <c r="NY124" i="2"/>
  <c r="NW124" i="2"/>
  <c r="NO124" i="2"/>
  <c r="NR124" i="2"/>
  <c r="NC124" i="2"/>
  <c r="NQ124" i="2"/>
  <c r="NN124" i="2"/>
  <c r="NP124" i="2"/>
  <c r="NE124" i="2"/>
  <c r="ND124" i="2"/>
  <c r="NB124" i="2"/>
  <c r="MT124" i="2"/>
  <c r="MZ124" i="2" s="1"/>
  <c r="MW124" i="2"/>
  <c r="MS124" i="2"/>
  <c r="MV124" i="2"/>
  <c r="MH124" i="2"/>
  <c r="MG124" i="2"/>
  <c r="MU124" i="2"/>
  <c r="LZ124" i="2"/>
  <c r="LY124" i="2"/>
  <c r="MB124" i="2"/>
  <c r="LX124" i="2"/>
  <c r="MA124" i="2"/>
  <c r="MD124" i="2" s="1"/>
  <c r="LO124" i="2"/>
  <c r="LN124" i="2"/>
  <c r="LF124" i="2"/>
  <c r="LI124" i="2" s="1"/>
  <c r="KT124" i="2"/>
  <c r="KS124" i="2"/>
  <c r="JA124" i="2"/>
  <c r="LL124" i="2"/>
  <c r="LE124" i="2"/>
  <c r="JB124" i="2"/>
  <c r="LM124" i="2"/>
  <c r="LD124" i="2"/>
  <c r="KR124" i="2"/>
  <c r="LG124" i="2"/>
  <c r="LC124" i="2"/>
  <c r="KK124" i="2"/>
  <c r="JM124" i="2"/>
  <c r="KQ124" i="2"/>
  <c r="JO124" i="2"/>
  <c r="JD124" i="2"/>
  <c r="JV124" i="2"/>
  <c r="KL124" i="2"/>
  <c r="JY124" i="2"/>
  <c r="JX124" i="2"/>
  <c r="JN124" i="2"/>
  <c r="JW124" i="2"/>
  <c r="JQ124" i="2"/>
  <c r="JP124" i="2"/>
  <c r="JC124" i="2"/>
  <c r="IU124" i="2"/>
  <c r="IX124" i="2" s="1"/>
  <c r="IH124" i="2"/>
  <c r="IF124" i="2"/>
  <c r="HE124" i="2"/>
  <c r="IT124" i="2"/>
  <c r="IG124" i="2"/>
  <c r="HF124" i="2"/>
  <c r="IS124" i="2"/>
  <c r="HN124" i="2"/>
  <c r="IV124" i="2"/>
  <c r="IR124" i="2"/>
  <c r="II124" i="2"/>
  <c r="HD124" i="2"/>
  <c r="HL124" i="2"/>
  <c r="IA124" i="2"/>
  <c r="HW124" i="2"/>
  <c r="HZ124" i="2"/>
  <c r="HM124" i="2"/>
  <c r="HK124" i="2"/>
  <c r="HY124" i="2"/>
  <c r="HX124" i="2"/>
  <c r="IC124" i="2" s="1"/>
  <c r="MX123" i="2"/>
  <c r="NA122" i="2"/>
  <c r="IB123" i="2"/>
  <c r="IE122" i="2"/>
  <c r="NS123" i="2"/>
  <c r="NV122" i="2"/>
  <c r="PK124" i="2"/>
  <c r="JS123" i="2"/>
  <c r="ID123" i="2"/>
  <c r="ID124" i="2" s="1"/>
  <c r="NU123" i="2"/>
  <c r="NU124" i="2" s="1"/>
  <c r="ON123" i="2"/>
  <c r="OQ122" i="2"/>
  <c r="PI123" i="2"/>
  <c r="PL122" i="2"/>
  <c r="IW123" i="2"/>
  <c r="IZ122" i="2"/>
  <c r="MC123" i="2"/>
  <c r="MF122" i="2"/>
  <c r="MY123" i="2"/>
  <c r="MY124" i="2" s="1"/>
  <c r="KO123" i="2"/>
  <c r="KM122" i="2"/>
  <c r="KP121" i="2"/>
  <c r="KN122" i="2"/>
  <c r="KN123" i="2" s="1"/>
  <c r="HI123" i="2"/>
  <c r="HG123" i="2"/>
  <c r="FS123" i="2"/>
  <c r="EC123" i="2"/>
  <c r="EB123" i="2"/>
  <c r="EA123" i="2"/>
  <c r="EX123" i="2"/>
  <c r="EV123" i="2"/>
  <c r="GN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LJ124" i="2" l="1"/>
  <c r="JT124" i="2"/>
  <c r="IY124" i="2"/>
  <c r="JS124" i="2"/>
  <c r="HH124" i="2"/>
  <c r="NS124" i="2"/>
  <c r="NV123" i="2"/>
  <c r="MX124" i="2"/>
  <c r="NA123" i="2"/>
  <c r="MC124" i="2"/>
  <c r="MF123" i="2"/>
  <c r="PI124" i="2"/>
  <c r="PL123" i="2"/>
  <c r="KJ125" i="2"/>
  <c r="KI125" i="2"/>
  <c r="KH125" i="2"/>
  <c r="OU125" i="2"/>
  <c r="PF125" i="2"/>
  <c r="OT125" i="2"/>
  <c r="MJ125" i="2"/>
  <c r="MI125" i="2"/>
  <c r="PE125" i="2"/>
  <c r="PJ125" i="2" s="1"/>
  <c r="PD125" i="2"/>
  <c r="PG125" i="2"/>
  <c r="PH125" i="2"/>
  <c r="OS125" i="2"/>
  <c r="OR125" i="2"/>
  <c r="OM125" i="2"/>
  <c r="OL125" i="2"/>
  <c r="OK125" i="2"/>
  <c r="OJ125" i="2"/>
  <c r="OO125" i="2" s="1"/>
  <c r="OI125" i="2"/>
  <c r="NZ125" i="2"/>
  <c r="NX125" i="2"/>
  <c r="NR125" i="2"/>
  <c r="NY125" i="2"/>
  <c r="NP125" i="2"/>
  <c r="NW125" i="2"/>
  <c r="NO125" i="2"/>
  <c r="NT125" i="2" s="1"/>
  <c r="NE125" i="2"/>
  <c r="ND125" i="2"/>
  <c r="NC125" i="2"/>
  <c r="NQ125" i="2"/>
  <c r="NN125" i="2"/>
  <c r="MU125" i="2"/>
  <c r="NB125" i="2"/>
  <c r="MT125" i="2"/>
  <c r="MZ125" i="2" s="1"/>
  <c r="MW125" i="2"/>
  <c r="MS125" i="2"/>
  <c r="MV125" i="2"/>
  <c r="MA125" i="2"/>
  <c r="LO125" i="2"/>
  <c r="LZ125" i="2"/>
  <c r="MH125" i="2"/>
  <c r="LY125" i="2"/>
  <c r="MD125" i="2" s="1"/>
  <c r="MG125" i="2"/>
  <c r="MB125" i="2"/>
  <c r="LX125" i="2"/>
  <c r="LG125" i="2"/>
  <c r="LC125" i="2"/>
  <c r="LN125" i="2"/>
  <c r="LF125" i="2"/>
  <c r="KT125" i="2"/>
  <c r="KS125" i="2"/>
  <c r="JA125" i="2"/>
  <c r="LL125" i="2"/>
  <c r="LE125" i="2"/>
  <c r="JB125" i="2"/>
  <c r="LM125" i="2"/>
  <c r="LD125" i="2"/>
  <c r="KR125" i="2"/>
  <c r="KL125" i="2"/>
  <c r="JY125" i="2"/>
  <c r="JX125" i="2"/>
  <c r="JN125" i="2"/>
  <c r="JW125" i="2"/>
  <c r="JQ125" i="2"/>
  <c r="KK125" i="2"/>
  <c r="JM125" i="2"/>
  <c r="KQ125" i="2"/>
  <c r="JO125" i="2"/>
  <c r="JD125" i="2"/>
  <c r="JV125" i="2"/>
  <c r="IV125" i="2"/>
  <c r="IR125" i="2"/>
  <c r="II125" i="2"/>
  <c r="HD125" i="2"/>
  <c r="JP125" i="2"/>
  <c r="JC125" i="2"/>
  <c r="IU125" i="2"/>
  <c r="IH125" i="2"/>
  <c r="IF125" i="2"/>
  <c r="HE125" i="2"/>
  <c r="IT125" i="2"/>
  <c r="IG125" i="2"/>
  <c r="HF125" i="2"/>
  <c r="IS125" i="2"/>
  <c r="IY125" i="2" s="1"/>
  <c r="HN125" i="2"/>
  <c r="HX125" i="2"/>
  <c r="IC125" i="2" s="1"/>
  <c r="HL125" i="2"/>
  <c r="IA125" i="2"/>
  <c r="HW125" i="2"/>
  <c r="HZ125" i="2"/>
  <c r="HM125" i="2"/>
  <c r="HK125" i="2"/>
  <c r="HY125" i="2"/>
  <c r="JU123" i="2"/>
  <c r="JR124" i="2"/>
  <c r="MY125" i="2"/>
  <c r="IW124" i="2"/>
  <c r="IZ123" i="2"/>
  <c r="ON124" i="2"/>
  <c r="OQ123" i="2"/>
  <c r="NU125" i="2"/>
  <c r="IB124" i="2"/>
  <c r="IE123" i="2"/>
  <c r="ME124" i="2"/>
  <c r="ME125" i="2" s="1"/>
  <c r="OP124" i="2"/>
  <c r="OP125" i="2" s="1"/>
  <c r="LH124" i="2"/>
  <c r="LK123" i="2"/>
  <c r="KM123" i="2"/>
  <c r="KP122" i="2"/>
  <c r="KO124" i="2"/>
  <c r="HG124" i="2"/>
  <c r="HI124" i="2"/>
  <c r="FS124" i="2"/>
  <c r="EX124" i="2"/>
  <c r="EW124" i="2"/>
  <c r="EC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GJ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LI125" i="2" l="1"/>
  <c r="LJ125" i="2"/>
  <c r="JS125" i="2"/>
  <c r="ID125" i="2"/>
  <c r="HH125" i="2"/>
  <c r="IW125" i="2"/>
  <c r="IZ124" i="2"/>
  <c r="MC125" i="2"/>
  <c r="MF124" i="2"/>
  <c r="IX125" i="2"/>
  <c r="LH125" i="2"/>
  <c r="LK124" i="2"/>
  <c r="IB125" i="2"/>
  <c r="IE124" i="2"/>
  <c r="MX125" i="2"/>
  <c r="NA124" i="2"/>
  <c r="PK125" i="2"/>
  <c r="PK126" i="2" s="1"/>
  <c r="JT125" i="2"/>
  <c r="KJ126" i="2"/>
  <c r="KI126" i="2"/>
  <c r="KH126" i="2"/>
  <c r="OT126" i="2"/>
  <c r="PE126" i="2"/>
  <c r="PJ126" i="2" s="1"/>
  <c r="PD126" i="2"/>
  <c r="PG126" i="2"/>
  <c r="PH126" i="2"/>
  <c r="PF126" i="2"/>
  <c r="MI126" i="2"/>
  <c r="MJ126" i="2"/>
  <c r="OU126" i="2"/>
  <c r="OR126" i="2"/>
  <c r="OS126" i="2"/>
  <c r="OM126" i="2"/>
  <c r="OL126" i="2"/>
  <c r="OJ126" i="2"/>
  <c r="OP126" i="2" s="1"/>
  <c r="OK126" i="2"/>
  <c r="OI126" i="2"/>
  <c r="NZ126" i="2"/>
  <c r="NY126" i="2"/>
  <c r="NW126" i="2"/>
  <c r="NR126" i="2"/>
  <c r="NX126" i="2"/>
  <c r="NQ126" i="2"/>
  <c r="NP126" i="2"/>
  <c r="NO126" i="2"/>
  <c r="NT126" i="2" s="1"/>
  <c r="NN126" i="2"/>
  <c r="NE126" i="2"/>
  <c r="ND126" i="2"/>
  <c r="NB126" i="2"/>
  <c r="NC126" i="2"/>
  <c r="MV126" i="2"/>
  <c r="MU126" i="2"/>
  <c r="MT126" i="2"/>
  <c r="MZ126" i="2" s="1"/>
  <c r="MW126" i="2"/>
  <c r="MS126" i="2"/>
  <c r="MG126" i="2"/>
  <c r="MB126" i="2"/>
  <c r="LX126" i="2"/>
  <c r="MA126" i="2"/>
  <c r="LO126" i="2"/>
  <c r="LZ126" i="2"/>
  <c r="MH126" i="2"/>
  <c r="LY126" i="2"/>
  <c r="LM126" i="2"/>
  <c r="LD126" i="2"/>
  <c r="KR126" i="2"/>
  <c r="LG126" i="2"/>
  <c r="LC126" i="2"/>
  <c r="LN126" i="2"/>
  <c r="LF126" i="2"/>
  <c r="KT126" i="2"/>
  <c r="KS126" i="2"/>
  <c r="JA126" i="2"/>
  <c r="LL126" i="2"/>
  <c r="LE126" i="2"/>
  <c r="JB126" i="2"/>
  <c r="JO126" i="2"/>
  <c r="JD126" i="2"/>
  <c r="JV126" i="2"/>
  <c r="KL126" i="2"/>
  <c r="JY126" i="2"/>
  <c r="JX126" i="2"/>
  <c r="JN126" i="2"/>
  <c r="JW126" i="2"/>
  <c r="JQ126" i="2"/>
  <c r="KK126" i="2"/>
  <c r="JM126" i="2"/>
  <c r="JP126" i="2"/>
  <c r="JC126" i="2"/>
  <c r="KQ126" i="2"/>
  <c r="IS126" i="2"/>
  <c r="IY126" i="2" s="1"/>
  <c r="HN126" i="2"/>
  <c r="IV126" i="2"/>
  <c r="IR126" i="2"/>
  <c r="II126" i="2"/>
  <c r="HD126" i="2"/>
  <c r="IU126" i="2"/>
  <c r="IH126" i="2"/>
  <c r="IF126" i="2"/>
  <c r="HE126" i="2"/>
  <c r="IT126" i="2"/>
  <c r="IG126" i="2"/>
  <c r="HF126" i="2"/>
  <c r="HM126" i="2"/>
  <c r="HK126" i="2"/>
  <c r="HY126" i="2"/>
  <c r="HX126" i="2"/>
  <c r="HL126" i="2"/>
  <c r="IA126" i="2"/>
  <c r="HW126" i="2"/>
  <c r="HZ126" i="2"/>
  <c r="ON125" i="2"/>
  <c r="OQ124" i="2"/>
  <c r="JR125" i="2"/>
  <c r="JU124" i="2"/>
  <c r="PI125" i="2"/>
  <c r="PL124" i="2"/>
  <c r="NS125" i="2"/>
  <c r="NV124" i="2"/>
  <c r="KO125" i="2"/>
  <c r="KM124" i="2"/>
  <c r="KP123" i="2"/>
  <c r="KN124" i="2"/>
  <c r="KN125" i="2" s="1"/>
  <c r="HI125" i="2"/>
  <c r="HG125" i="2"/>
  <c r="EC125" i="2"/>
  <c r="FS125" i="2"/>
  <c r="EA125" i="2"/>
  <c r="EW125" i="2"/>
  <c r="EX125" i="2"/>
  <c r="GN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LJ126" i="2" l="1"/>
  <c r="MD126" i="2"/>
  <c r="JS126" i="2"/>
  <c r="IC126" i="2"/>
  <c r="HH126" i="2"/>
  <c r="LI126" i="2"/>
  <c r="MC126" i="2"/>
  <c r="MF125" i="2"/>
  <c r="PI126" i="2"/>
  <c r="PL125" i="2"/>
  <c r="ON126" i="2"/>
  <c r="OQ125" i="2"/>
  <c r="IB126" i="2"/>
  <c r="IE125" i="2"/>
  <c r="IW126" i="2"/>
  <c r="IZ125" i="2"/>
  <c r="OO126" i="2"/>
  <c r="KJ127" i="2"/>
  <c r="KH127" i="2"/>
  <c r="KI127" i="2"/>
  <c r="PD127" i="2"/>
  <c r="PH127" i="2"/>
  <c r="OU127" i="2"/>
  <c r="OT127" i="2"/>
  <c r="PG127" i="2"/>
  <c r="PE127" i="2"/>
  <c r="PK127" i="2" s="1"/>
  <c r="PF127" i="2"/>
  <c r="MI127" i="2"/>
  <c r="MJ127" i="2"/>
  <c r="OR127" i="2"/>
  <c r="OS127" i="2"/>
  <c r="OM127" i="2"/>
  <c r="OK127" i="2"/>
  <c r="OL127" i="2"/>
  <c r="OI127" i="2"/>
  <c r="OJ127" i="2"/>
  <c r="OP127" i="2" s="1"/>
  <c r="NZ127" i="2"/>
  <c r="NY127" i="2"/>
  <c r="NW127" i="2"/>
  <c r="NR127" i="2"/>
  <c r="NX127" i="2"/>
  <c r="NQ127" i="2"/>
  <c r="NP127" i="2"/>
  <c r="NC127" i="2"/>
  <c r="NO127" i="2"/>
  <c r="NT127" i="2" s="1"/>
  <c r="NN127" i="2"/>
  <c r="NE127" i="2"/>
  <c r="ND127" i="2"/>
  <c r="NB127" i="2"/>
  <c r="MW127" i="2"/>
  <c r="MS127" i="2"/>
  <c r="MV127" i="2"/>
  <c r="MH127" i="2"/>
  <c r="MG127" i="2"/>
  <c r="MU127" i="2"/>
  <c r="MT127" i="2"/>
  <c r="MZ127" i="2" s="1"/>
  <c r="LY127" i="2"/>
  <c r="MB127" i="2"/>
  <c r="LX127" i="2"/>
  <c r="MA127" i="2"/>
  <c r="LO127" i="2"/>
  <c r="LZ127" i="2"/>
  <c r="LL127" i="2"/>
  <c r="LE127" i="2"/>
  <c r="JB127" i="2"/>
  <c r="LM127" i="2"/>
  <c r="LD127" i="2"/>
  <c r="KR127" i="2"/>
  <c r="LG127" i="2"/>
  <c r="LC127" i="2"/>
  <c r="LN127" i="2"/>
  <c r="LF127" i="2"/>
  <c r="KT127" i="2"/>
  <c r="KS127" i="2"/>
  <c r="JA127" i="2"/>
  <c r="KQ127" i="2"/>
  <c r="JO127" i="2"/>
  <c r="JD127" i="2"/>
  <c r="JV127" i="2"/>
  <c r="KL127" i="2"/>
  <c r="JY127" i="2"/>
  <c r="JX127" i="2"/>
  <c r="JN127" i="2"/>
  <c r="JW127" i="2"/>
  <c r="JQ127" i="2"/>
  <c r="KK127" i="2"/>
  <c r="JM127" i="2"/>
  <c r="JP127" i="2"/>
  <c r="JC127" i="2"/>
  <c r="IT127" i="2"/>
  <c r="IG127" i="2"/>
  <c r="HF127" i="2"/>
  <c r="IS127" i="2"/>
  <c r="HN127" i="2"/>
  <c r="IV127" i="2"/>
  <c r="IR127" i="2"/>
  <c r="II127" i="2"/>
  <c r="HD127" i="2"/>
  <c r="IU127" i="2"/>
  <c r="IH127" i="2"/>
  <c r="IF127" i="2"/>
  <c r="HE127" i="2"/>
  <c r="HZ127" i="2"/>
  <c r="HM127" i="2"/>
  <c r="HK127" i="2"/>
  <c r="HY127" i="2"/>
  <c r="HX127" i="2"/>
  <c r="IC127" i="2" s="1"/>
  <c r="HL127" i="2"/>
  <c r="IA127" i="2"/>
  <c r="HW127" i="2"/>
  <c r="NS126" i="2"/>
  <c r="NV125" i="2"/>
  <c r="MX126" i="2"/>
  <c r="NA125" i="2"/>
  <c r="ME126" i="2"/>
  <c r="LH126" i="2"/>
  <c r="LK125" i="2"/>
  <c r="NU126" i="2"/>
  <c r="NU127" i="2" s="1"/>
  <c r="JR126" i="2"/>
  <c r="JU125" i="2"/>
  <c r="JT126" i="2"/>
  <c r="JT127" i="2" s="1"/>
  <c r="MY126" i="2"/>
  <c r="MY127" i="2" s="1"/>
  <c r="IX126" i="2"/>
  <c r="IX127" i="2" s="1"/>
  <c r="ID126" i="2"/>
  <c r="KM125" i="2"/>
  <c r="KP124" i="2"/>
  <c r="KO126" i="2"/>
  <c r="HG126" i="2"/>
  <c r="HI126" i="2"/>
  <c r="FS126" i="2"/>
  <c r="EA126" i="2"/>
  <c r="EX126" i="2"/>
  <c r="EC126" i="2"/>
  <c r="EW126" i="2"/>
  <c r="EB126" i="2"/>
  <c r="GN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ME127" i="2" l="1"/>
  <c r="LJ127" i="2"/>
  <c r="MD127" i="2"/>
  <c r="IY127" i="2"/>
  <c r="ID127" i="2"/>
  <c r="JS127" i="2"/>
  <c r="HH127" i="2"/>
  <c r="LH127" i="2"/>
  <c r="LK126" i="2"/>
  <c r="OO127" i="2"/>
  <c r="PJ127" i="2"/>
  <c r="NS127" i="2"/>
  <c r="NV126" i="2"/>
  <c r="ON127" i="2"/>
  <c r="OQ126" i="2"/>
  <c r="MC127" i="2"/>
  <c r="MF126" i="2"/>
  <c r="HI127" i="2"/>
  <c r="KI128" i="2"/>
  <c r="KH128" i="2"/>
  <c r="KJ128" i="2"/>
  <c r="PG128" i="2"/>
  <c r="PE128" i="2"/>
  <c r="PK128" i="2" s="1"/>
  <c r="MI128" i="2"/>
  <c r="OU128" i="2"/>
  <c r="PD128" i="2"/>
  <c r="PH128" i="2"/>
  <c r="PF128" i="2"/>
  <c r="MJ128" i="2"/>
  <c r="OT128" i="2"/>
  <c r="OR128" i="2"/>
  <c r="OS128" i="2"/>
  <c r="OM128" i="2"/>
  <c r="OL128" i="2"/>
  <c r="OK128" i="2"/>
  <c r="OJ128" i="2"/>
  <c r="OP128" i="2" s="1"/>
  <c r="OI128" i="2"/>
  <c r="NZ128" i="2"/>
  <c r="NX128" i="2"/>
  <c r="NY128" i="2"/>
  <c r="NW128" i="2"/>
  <c r="NO128" i="2"/>
  <c r="NT128" i="2" s="1"/>
  <c r="NR128" i="2"/>
  <c r="NQ128" i="2"/>
  <c r="NP128" i="2"/>
  <c r="NC128" i="2"/>
  <c r="NN128" i="2"/>
  <c r="NE128" i="2"/>
  <c r="ND128" i="2"/>
  <c r="MT128" i="2"/>
  <c r="MY128" i="2" s="1"/>
  <c r="MW128" i="2"/>
  <c r="MS128" i="2"/>
  <c r="NB128" i="2"/>
  <c r="MV128" i="2"/>
  <c r="MH128" i="2"/>
  <c r="MG128" i="2"/>
  <c r="MU128" i="2"/>
  <c r="LZ128" i="2"/>
  <c r="LY128" i="2"/>
  <c r="MB128" i="2"/>
  <c r="LX128" i="2"/>
  <c r="MA128" i="2"/>
  <c r="LO128" i="2"/>
  <c r="LN128" i="2"/>
  <c r="LF128" i="2"/>
  <c r="KT128" i="2"/>
  <c r="KS128" i="2"/>
  <c r="JA128" i="2"/>
  <c r="LL128" i="2"/>
  <c r="LE128" i="2"/>
  <c r="JB128" i="2"/>
  <c r="LM128" i="2"/>
  <c r="LD128" i="2"/>
  <c r="KR128" i="2"/>
  <c r="LG128" i="2"/>
  <c r="LC128" i="2"/>
  <c r="KK128" i="2"/>
  <c r="JM128" i="2"/>
  <c r="KQ128" i="2"/>
  <c r="JO128" i="2"/>
  <c r="JD128" i="2"/>
  <c r="JV128" i="2"/>
  <c r="KL128" i="2"/>
  <c r="JY128" i="2"/>
  <c r="JX128" i="2"/>
  <c r="JN128" i="2"/>
  <c r="JW128" i="2"/>
  <c r="JQ128" i="2"/>
  <c r="IU128" i="2"/>
  <c r="IH128" i="2"/>
  <c r="IF128" i="2"/>
  <c r="HE128" i="2"/>
  <c r="IT128" i="2"/>
  <c r="IG128" i="2"/>
  <c r="HF128" i="2"/>
  <c r="JP128" i="2"/>
  <c r="JC128" i="2"/>
  <c r="IS128" i="2"/>
  <c r="IY128" i="2" s="1"/>
  <c r="HN128" i="2"/>
  <c r="IV128" i="2"/>
  <c r="IR128" i="2"/>
  <c r="II128" i="2"/>
  <c r="HD128" i="2"/>
  <c r="HL128" i="2"/>
  <c r="IA128" i="2"/>
  <c r="HW128" i="2"/>
  <c r="HZ128" i="2"/>
  <c r="HM128" i="2"/>
  <c r="HK128" i="2"/>
  <c r="HY128" i="2"/>
  <c r="HX128" i="2"/>
  <c r="ID128" i="2" s="1"/>
  <c r="JR127" i="2"/>
  <c r="JU126" i="2"/>
  <c r="IW127" i="2"/>
  <c r="IZ126" i="2"/>
  <c r="IB127" i="2"/>
  <c r="IE126" i="2"/>
  <c r="MX127" i="2"/>
  <c r="NA126" i="2"/>
  <c r="PI127" i="2"/>
  <c r="PL126" i="2"/>
  <c r="LI127" i="2"/>
  <c r="KO127" i="2"/>
  <c r="KM126" i="2"/>
  <c r="KP125" i="2"/>
  <c r="KN126" i="2"/>
  <c r="KN127" i="2" s="1"/>
  <c r="HG127" i="2"/>
  <c r="EV127" i="2"/>
  <c r="FS127" i="2"/>
  <c r="EC127" i="2"/>
  <c r="EX127" i="2"/>
  <c r="EW127" i="2"/>
  <c r="GN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LJ128" i="2" l="1"/>
  <c r="JT128" i="2"/>
  <c r="LI128" i="2"/>
  <c r="MD128" i="2"/>
  <c r="IX128" i="2"/>
  <c r="JS128" i="2"/>
  <c r="HH128" i="2"/>
  <c r="PI128" i="2"/>
  <c r="PL127" i="2"/>
  <c r="JU127" i="2"/>
  <c r="JR128" i="2"/>
  <c r="ME128" i="2"/>
  <c r="PJ128" i="2"/>
  <c r="OO128" i="2"/>
  <c r="MX128" i="2"/>
  <c r="NA127" i="2"/>
  <c r="IB128" i="2"/>
  <c r="IE127" i="2"/>
  <c r="MC128" i="2"/>
  <c r="MF127" i="2"/>
  <c r="ON128" i="2"/>
  <c r="OQ127" i="2"/>
  <c r="NU128" i="2"/>
  <c r="NU129" i="2" s="1"/>
  <c r="IC128" i="2"/>
  <c r="MZ128" i="2"/>
  <c r="MZ129" i="2" s="1"/>
  <c r="KJ129" i="2"/>
  <c r="KI129" i="2"/>
  <c r="KH129" i="2"/>
  <c r="OU129" i="2"/>
  <c r="PF129" i="2"/>
  <c r="MJ129" i="2"/>
  <c r="PE129" i="2"/>
  <c r="PK129" i="2" s="1"/>
  <c r="MI129" i="2"/>
  <c r="OT129" i="2"/>
  <c r="PD129" i="2"/>
  <c r="PG129" i="2"/>
  <c r="PH129" i="2"/>
  <c r="OS129" i="2"/>
  <c r="OM129" i="2"/>
  <c r="OR129" i="2"/>
  <c r="OL129" i="2"/>
  <c r="OK129" i="2"/>
  <c r="OJ129" i="2"/>
  <c r="OP129" i="2" s="1"/>
  <c r="NZ129" i="2"/>
  <c r="OI129" i="2"/>
  <c r="NX129" i="2"/>
  <c r="NR129" i="2"/>
  <c r="NP129" i="2"/>
  <c r="NY129" i="2"/>
  <c r="NW129" i="2"/>
  <c r="NO129" i="2"/>
  <c r="NT129" i="2" s="1"/>
  <c r="NE129" i="2"/>
  <c r="ND129" i="2"/>
  <c r="NQ129" i="2"/>
  <c r="NC129" i="2"/>
  <c r="NN129" i="2"/>
  <c r="MU129" i="2"/>
  <c r="MT129" i="2"/>
  <c r="MY129" i="2" s="1"/>
  <c r="MW129" i="2"/>
  <c r="MS129" i="2"/>
  <c r="NB129" i="2"/>
  <c r="MV129" i="2"/>
  <c r="MH129" i="2"/>
  <c r="MA129" i="2"/>
  <c r="LO129" i="2"/>
  <c r="MG129" i="2"/>
  <c r="LZ129" i="2"/>
  <c r="LY129" i="2"/>
  <c r="MB129" i="2"/>
  <c r="LX129" i="2"/>
  <c r="LG129" i="2"/>
  <c r="LC129" i="2"/>
  <c r="LN129" i="2"/>
  <c r="LF129" i="2"/>
  <c r="KT129" i="2"/>
  <c r="KS129" i="2"/>
  <c r="JA129" i="2"/>
  <c r="LL129" i="2"/>
  <c r="LE129" i="2"/>
  <c r="JB129" i="2"/>
  <c r="LM129" i="2"/>
  <c r="LD129" i="2"/>
  <c r="KR129" i="2"/>
  <c r="KL129" i="2"/>
  <c r="JY129" i="2"/>
  <c r="JX129" i="2"/>
  <c r="JN129" i="2"/>
  <c r="JW129" i="2"/>
  <c r="JQ129" i="2"/>
  <c r="KK129" i="2"/>
  <c r="JM129" i="2"/>
  <c r="KQ129" i="2"/>
  <c r="JO129" i="2"/>
  <c r="JD129" i="2"/>
  <c r="JV129" i="2"/>
  <c r="IV129" i="2"/>
  <c r="IR129" i="2"/>
  <c r="II129" i="2"/>
  <c r="HD129" i="2"/>
  <c r="IU129" i="2"/>
  <c r="IH129" i="2"/>
  <c r="IF129" i="2"/>
  <c r="HE129" i="2"/>
  <c r="IT129" i="2"/>
  <c r="IG129" i="2"/>
  <c r="HF129" i="2"/>
  <c r="JP129" i="2"/>
  <c r="JC129" i="2"/>
  <c r="IS129" i="2"/>
  <c r="IY129" i="2" s="1"/>
  <c r="HN129" i="2"/>
  <c r="HX129" i="2"/>
  <c r="HL129" i="2"/>
  <c r="IA129" i="2"/>
  <c r="HW129" i="2"/>
  <c r="HZ129" i="2"/>
  <c r="HM129" i="2"/>
  <c r="HK129" i="2"/>
  <c r="HY129" i="2"/>
  <c r="IW128" i="2"/>
  <c r="IZ127" i="2"/>
  <c r="LH128" i="2"/>
  <c r="LK127" i="2"/>
  <c r="NS128" i="2"/>
  <c r="NV127" i="2"/>
  <c r="KM127" i="2"/>
  <c r="KP126" i="2"/>
  <c r="KO128" i="2"/>
  <c r="HG128" i="2"/>
  <c r="HI128" i="2"/>
  <c r="EX128" i="2"/>
  <c r="EB128" i="2"/>
  <c r="FS128" i="2"/>
  <c r="EV128" i="2"/>
  <c r="EC128" i="2"/>
  <c r="EA128" i="2"/>
  <c r="GN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JS129" i="2" l="1"/>
  <c r="MD129" i="2"/>
  <c r="LJ129" i="2"/>
  <c r="LI129" i="2"/>
  <c r="IX129" i="2"/>
  <c r="ID129" i="2"/>
  <c r="HH129" i="2"/>
  <c r="IW129" i="2"/>
  <c r="IZ128" i="2"/>
  <c r="ON129" i="2"/>
  <c r="OQ128" i="2"/>
  <c r="JT129" i="2"/>
  <c r="MX129" i="2"/>
  <c r="NA128" i="2"/>
  <c r="PI129" i="2"/>
  <c r="PL128" i="2"/>
  <c r="NS129" i="2"/>
  <c r="NV128" i="2"/>
  <c r="LH129" i="2"/>
  <c r="LK128" i="2"/>
  <c r="PJ129" i="2"/>
  <c r="MF128" i="2"/>
  <c r="MC129" i="2"/>
  <c r="IB129" i="2"/>
  <c r="IE128" i="2"/>
  <c r="ME129" i="2"/>
  <c r="KJ130" i="2"/>
  <c r="KI130" i="2"/>
  <c r="KH130" i="2"/>
  <c r="OT130" i="2"/>
  <c r="PE130" i="2"/>
  <c r="PK130" i="2" s="1"/>
  <c r="PF130" i="2"/>
  <c r="OU130" i="2"/>
  <c r="MI130" i="2"/>
  <c r="PD130" i="2"/>
  <c r="PG130" i="2"/>
  <c r="PH130" i="2"/>
  <c r="MJ130" i="2"/>
  <c r="OR130" i="2"/>
  <c r="OS130" i="2"/>
  <c r="OM130" i="2"/>
  <c r="OK130" i="2"/>
  <c r="OJ130" i="2"/>
  <c r="OP130" i="2" s="1"/>
  <c r="OL130" i="2"/>
  <c r="OI130" i="2"/>
  <c r="NZ130" i="2"/>
  <c r="NY130" i="2"/>
  <c r="NX130" i="2"/>
  <c r="NW130" i="2"/>
  <c r="NR130" i="2"/>
  <c r="NQ130" i="2"/>
  <c r="NP130" i="2"/>
  <c r="NN130" i="2"/>
  <c r="NE130" i="2"/>
  <c r="ND130" i="2"/>
  <c r="NO130" i="2"/>
  <c r="NT130" i="2" s="1"/>
  <c r="NB130" i="2"/>
  <c r="NC130" i="2"/>
  <c r="MV130" i="2"/>
  <c r="MU130" i="2"/>
  <c r="MT130" i="2"/>
  <c r="MY130" i="2" s="1"/>
  <c r="MW130" i="2"/>
  <c r="MB130" i="2"/>
  <c r="LX130" i="2"/>
  <c r="MS130" i="2"/>
  <c r="MH130" i="2"/>
  <c r="MA130" i="2"/>
  <c r="LO130" i="2"/>
  <c r="MG130" i="2"/>
  <c r="LZ130" i="2"/>
  <c r="LY130" i="2"/>
  <c r="MD130" i="2" s="1"/>
  <c r="LM130" i="2"/>
  <c r="LD130" i="2"/>
  <c r="KR130" i="2"/>
  <c r="LG130" i="2"/>
  <c r="LC130" i="2"/>
  <c r="LN130" i="2"/>
  <c r="LF130" i="2"/>
  <c r="KT130" i="2"/>
  <c r="KS130" i="2"/>
  <c r="JA130" i="2"/>
  <c r="LL130" i="2"/>
  <c r="LE130" i="2"/>
  <c r="JB130" i="2"/>
  <c r="JO130" i="2"/>
  <c r="JD130" i="2"/>
  <c r="JV130" i="2"/>
  <c r="KL130" i="2"/>
  <c r="JY130" i="2"/>
  <c r="JX130" i="2"/>
  <c r="JN130" i="2"/>
  <c r="JW130" i="2"/>
  <c r="JQ130" i="2"/>
  <c r="KK130" i="2"/>
  <c r="JM130" i="2"/>
  <c r="JP130" i="2"/>
  <c r="JC130" i="2"/>
  <c r="KQ130" i="2"/>
  <c r="IS130" i="2"/>
  <c r="IY130" i="2" s="1"/>
  <c r="HN130" i="2"/>
  <c r="IV130" i="2"/>
  <c r="IR130" i="2"/>
  <c r="II130" i="2"/>
  <c r="HD130" i="2"/>
  <c r="IU130" i="2"/>
  <c r="IH130" i="2"/>
  <c r="IF130" i="2"/>
  <c r="HE130" i="2"/>
  <c r="IT130" i="2"/>
  <c r="IG130" i="2"/>
  <c r="HF130" i="2"/>
  <c r="HM130" i="2"/>
  <c r="HK130" i="2"/>
  <c r="HY130" i="2"/>
  <c r="HX130" i="2"/>
  <c r="HL130" i="2"/>
  <c r="IA130" i="2"/>
  <c r="HW130" i="2"/>
  <c r="HZ130" i="2"/>
  <c r="IC129" i="2"/>
  <c r="IC130" i="2" s="1"/>
  <c r="OO129" i="2"/>
  <c r="OO130" i="2" s="1"/>
  <c r="JR129" i="2"/>
  <c r="JU128" i="2"/>
  <c r="KM128" i="2"/>
  <c r="KP127" i="2"/>
  <c r="KO129" i="2"/>
  <c r="KN128" i="2"/>
  <c r="HI129" i="2"/>
  <c r="HG129" i="2"/>
  <c r="EV129" i="2"/>
  <c r="EX129" i="2"/>
  <c r="EC129" i="2"/>
  <c r="FS129" i="2"/>
  <c r="DG129" i="2"/>
  <c r="EA129" i="2"/>
  <c r="EW129" i="2"/>
  <c r="GN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LJ130" i="2" l="1"/>
  <c r="ID130" i="2"/>
  <c r="JS130" i="2"/>
  <c r="HH130" i="2"/>
  <c r="NT131" i="2"/>
  <c r="KJ131" i="2"/>
  <c r="KI131" i="2"/>
  <c r="KH131" i="2"/>
  <c r="PD131" i="2"/>
  <c r="PH131" i="2"/>
  <c r="OT131" i="2"/>
  <c r="PG131" i="2"/>
  <c r="PF131" i="2"/>
  <c r="PE131" i="2"/>
  <c r="PK131" i="2" s="1"/>
  <c r="OU131" i="2"/>
  <c r="MI131" i="2"/>
  <c r="MJ131" i="2"/>
  <c r="OR131" i="2"/>
  <c r="OS131" i="2"/>
  <c r="OM131" i="2"/>
  <c r="OK131" i="2"/>
  <c r="OI131" i="2"/>
  <c r="OL131" i="2"/>
  <c r="OJ131" i="2"/>
  <c r="OP131" i="2" s="1"/>
  <c r="NZ131" i="2"/>
  <c r="NY131" i="2"/>
  <c r="NX131" i="2"/>
  <c r="NW131" i="2"/>
  <c r="NR131" i="2"/>
  <c r="NQ131" i="2"/>
  <c r="NC131" i="2"/>
  <c r="NN131" i="2"/>
  <c r="NP131" i="2"/>
  <c r="NE131" i="2"/>
  <c r="ND131" i="2"/>
  <c r="NO131" i="2"/>
  <c r="NB131" i="2"/>
  <c r="MW131" i="2"/>
  <c r="MS131" i="2"/>
  <c r="MV131" i="2"/>
  <c r="MH131" i="2"/>
  <c r="MG131" i="2"/>
  <c r="MU131" i="2"/>
  <c r="MT131" i="2"/>
  <c r="MY131" i="2" s="1"/>
  <c r="LY131" i="2"/>
  <c r="MB131" i="2"/>
  <c r="LX131" i="2"/>
  <c r="MA131" i="2"/>
  <c r="LO131" i="2"/>
  <c r="LZ131" i="2"/>
  <c r="LL131" i="2"/>
  <c r="LE131" i="2"/>
  <c r="JB131" i="2"/>
  <c r="LM131" i="2"/>
  <c r="LD131" i="2"/>
  <c r="KR131" i="2"/>
  <c r="LG131" i="2"/>
  <c r="LC131" i="2"/>
  <c r="LN131" i="2"/>
  <c r="LF131" i="2"/>
  <c r="KT131" i="2"/>
  <c r="KS131" i="2"/>
  <c r="JA131" i="2"/>
  <c r="KQ131" i="2"/>
  <c r="JO131" i="2"/>
  <c r="JD131" i="2"/>
  <c r="JV131" i="2"/>
  <c r="KL131" i="2"/>
  <c r="JY131" i="2"/>
  <c r="JX131" i="2"/>
  <c r="JN131" i="2"/>
  <c r="JW131" i="2"/>
  <c r="JQ131" i="2"/>
  <c r="KK131" i="2"/>
  <c r="JM131" i="2"/>
  <c r="JP131" i="2"/>
  <c r="JC131" i="2"/>
  <c r="IT131" i="2"/>
  <c r="IG131" i="2"/>
  <c r="HF131" i="2"/>
  <c r="IS131" i="2"/>
  <c r="HN131" i="2"/>
  <c r="IV131" i="2"/>
  <c r="IR131" i="2"/>
  <c r="II131" i="2"/>
  <c r="HD131" i="2"/>
  <c r="IU131" i="2"/>
  <c r="IH131" i="2"/>
  <c r="IF131" i="2"/>
  <c r="HE131" i="2"/>
  <c r="HZ131" i="2"/>
  <c r="HM131" i="2"/>
  <c r="HK131" i="2"/>
  <c r="HY131" i="2"/>
  <c r="HX131" i="2"/>
  <c r="HL131" i="2"/>
  <c r="IA131" i="2"/>
  <c r="HW131" i="2"/>
  <c r="OO131" i="2"/>
  <c r="ME130" i="2"/>
  <c r="MC130" i="2"/>
  <c r="MF129" i="2"/>
  <c r="IX130" i="2"/>
  <c r="LH130" i="2"/>
  <c r="LK129" i="2"/>
  <c r="PI130" i="2"/>
  <c r="PL129" i="2"/>
  <c r="IW130" i="2"/>
  <c r="IZ129" i="2"/>
  <c r="MZ130" i="2"/>
  <c r="MZ131" i="2" s="1"/>
  <c r="LI130" i="2"/>
  <c r="ON130" i="2"/>
  <c r="OQ129" i="2"/>
  <c r="JU129" i="2"/>
  <c r="JR130" i="2"/>
  <c r="PJ130" i="2"/>
  <c r="PJ131" i="2" s="1"/>
  <c r="NS130" i="2"/>
  <c r="NV129" i="2"/>
  <c r="MX130" i="2"/>
  <c r="NA129" i="2"/>
  <c r="IB130" i="2"/>
  <c r="IE129" i="2"/>
  <c r="NU130" i="2"/>
  <c r="NU131" i="2" s="1"/>
  <c r="JT130" i="2"/>
  <c r="KO130" i="2"/>
  <c r="KM129" i="2"/>
  <c r="KP128" i="2"/>
  <c r="KN129" i="2"/>
  <c r="KN130" i="2" s="1"/>
  <c r="HG130" i="2"/>
  <c r="HI130" i="2"/>
  <c r="FS130" i="2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LJ131" i="2" l="1"/>
  <c r="ME131" i="2"/>
  <c r="MD131" i="2"/>
  <c r="LI131" i="2"/>
  <c r="JT131" i="2"/>
  <c r="IY131" i="2"/>
  <c r="ID131" i="2"/>
  <c r="IC131" i="2"/>
  <c r="JS131" i="2"/>
  <c r="IX131" i="2"/>
  <c r="HH131" i="2"/>
  <c r="MY132" i="2"/>
  <c r="MX131" i="2"/>
  <c r="NA130" i="2"/>
  <c r="JR131" i="2"/>
  <c r="JU130" i="2"/>
  <c r="ON131" i="2"/>
  <c r="OQ130" i="2"/>
  <c r="LH131" i="2"/>
  <c r="LK130" i="2"/>
  <c r="KH132" i="2"/>
  <c r="KJ132" i="2"/>
  <c r="KI132" i="2"/>
  <c r="PG132" i="2"/>
  <c r="OU132" i="2"/>
  <c r="PD132" i="2"/>
  <c r="PH132" i="2"/>
  <c r="MI132" i="2"/>
  <c r="OT132" i="2"/>
  <c r="PE132" i="2"/>
  <c r="PK132" i="2" s="1"/>
  <c r="PF132" i="2"/>
  <c r="MJ132" i="2"/>
  <c r="OR132" i="2"/>
  <c r="OS132" i="2"/>
  <c r="OM132" i="2"/>
  <c r="OL132" i="2"/>
  <c r="OK132" i="2"/>
  <c r="OJ132" i="2"/>
  <c r="OP132" i="2" s="1"/>
  <c r="OI132" i="2"/>
  <c r="NZ132" i="2"/>
  <c r="NX132" i="2"/>
  <c r="NY132" i="2"/>
  <c r="NW132" i="2"/>
  <c r="NO132" i="2"/>
  <c r="NR132" i="2"/>
  <c r="NC132" i="2"/>
  <c r="NQ132" i="2"/>
  <c r="NN132" i="2"/>
  <c r="NP132" i="2"/>
  <c r="NE132" i="2"/>
  <c r="ND132" i="2"/>
  <c r="NB132" i="2"/>
  <c r="MT132" i="2"/>
  <c r="MZ132" i="2" s="1"/>
  <c r="MW132" i="2"/>
  <c r="MS132" i="2"/>
  <c r="MV132" i="2"/>
  <c r="MH132" i="2"/>
  <c r="MG132" i="2"/>
  <c r="MU132" i="2"/>
  <c r="LZ132" i="2"/>
  <c r="LY132" i="2"/>
  <c r="MB132" i="2"/>
  <c r="ME132" i="2" s="1"/>
  <c r="LX132" i="2"/>
  <c r="MA132" i="2"/>
  <c r="LO132" i="2"/>
  <c r="LN132" i="2"/>
  <c r="LF132" i="2"/>
  <c r="KT132" i="2"/>
  <c r="KS132" i="2"/>
  <c r="JA132" i="2"/>
  <c r="LL132" i="2"/>
  <c r="LE132" i="2"/>
  <c r="JB132" i="2"/>
  <c r="LM132" i="2"/>
  <c r="LD132" i="2"/>
  <c r="KR132" i="2"/>
  <c r="LG132" i="2"/>
  <c r="LC132" i="2"/>
  <c r="KK132" i="2"/>
  <c r="JM132" i="2"/>
  <c r="KQ132" i="2"/>
  <c r="JO132" i="2"/>
  <c r="JD132" i="2"/>
  <c r="JV132" i="2"/>
  <c r="KL132" i="2"/>
  <c r="JY132" i="2"/>
  <c r="JX132" i="2"/>
  <c r="JN132" i="2"/>
  <c r="JW132" i="2"/>
  <c r="JQ132" i="2"/>
  <c r="JP132" i="2"/>
  <c r="JC132" i="2"/>
  <c r="IU132" i="2"/>
  <c r="IH132" i="2"/>
  <c r="IF132" i="2"/>
  <c r="HE132" i="2"/>
  <c r="IT132" i="2"/>
  <c r="IG132" i="2"/>
  <c r="HF132" i="2"/>
  <c r="IS132" i="2"/>
  <c r="IY132" i="2" s="1"/>
  <c r="HN132" i="2"/>
  <c r="IV132" i="2"/>
  <c r="IR132" i="2"/>
  <c r="II132" i="2"/>
  <c r="HD132" i="2"/>
  <c r="HL132" i="2"/>
  <c r="IA132" i="2"/>
  <c r="HW132" i="2"/>
  <c r="HZ132" i="2"/>
  <c r="HM132" i="2"/>
  <c r="HK132" i="2"/>
  <c r="HY132" i="2"/>
  <c r="HX132" i="2"/>
  <c r="ID132" i="2" s="1"/>
  <c r="NS131" i="2"/>
  <c r="NV130" i="2"/>
  <c r="MC131" i="2"/>
  <c r="MF130" i="2"/>
  <c r="NU132" i="2"/>
  <c r="IB131" i="2"/>
  <c r="IE130" i="2"/>
  <c r="PJ132" i="2"/>
  <c r="IW131" i="2"/>
  <c r="IZ130" i="2"/>
  <c r="PI131" i="2"/>
  <c r="PL130" i="2"/>
  <c r="NT132" i="2"/>
  <c r="KM130" i="2"/>
  <c r="KP129" i="2"/>
  <c r="KO131" i="2"/>
  <c r="HI131" i="2"/>
  <c r="HG131" i="2"/>
  <c r="EX131" i="2"/>
  <c r="EC131" i="2"/>
  <c r="FS131" i="2"/>
  <c r="FQ131" i="2"/>
  <c r="GN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LJ132" i="2" l="1"/>
  <c r="MD132" i="2"/>
  <c r="LI132" i="2"/>
  <c r="JT132" i="2"/>
  <c r="IC132" i="2"/>
  <c r="HH132" i="2"/>
  <c r="PI132" i="2"/>
  <c r="PL131" i="2"/>
  <c r="NS132" i="2"/>
  <c r="NV131" i="2"/>
  <c r="MF131" i="2"/>
  <c r="MC132" i="2"/>
  <c r="LH132" i="2"/>
  <c r="LK131" i="2"/>
  <c r="IX132" i="2"/>
  <c r="JS132" i="2"/>
  <c r="ON132" i="2"/>
  <c r="OQ131" i="2"/>
  <c r="MX132" i="2"/>
  <c r="NA131" i="2"/>
  <c r="KJ133" i="2"/>
  <c r="KI133" i="2"/>
  <c r="KH133" i="2"/>
  <c r="OU133" i="2"/>
  <c r="PF133" i="2"/>
  <c r="PE133" i="2"/>
  <c r="PJ133" i="2" s="1"/>
  <c r="MJ133" i="2"/>
  <c r="PD133" i="2"/>
  <c r="PG133" i="2"/>
  <c r="PH133" i="2"/>
  <c r="MI133" i="2"/>
  <c r="OT133" i="2"/>
  <c r="OS133" i="2"/>
  <c r="OM133" i="2"/>
  <c r="OR133" i="2"/>
  <c r="OL133" i="2"/>
  <c r="OK133" i="2"/>
  <c r="OJ133" i="2"/>
  <c r="OP133" i="2" s="1"/>
  <c r="OI133" i="2"/>
  <c r="NZ133" i="2"/>
  <c r="NX133" i="2"/>
  <c r="NR133" i="2"/>
  <c r="NY133" i="2"/>
  <c r="NP133" i="2"/>
  <c r="NW133" i="2"/>
  <c r="NO133" i="2"/>
  <c r="NE133" i="2"/>
  <c r="ND133" i="2"/>
  <c r="NC133" i="2"/>
  <c r="NQ133" i="2"/>
  <c r="NN133" i="2"/>
  <c r="MU133" i="2"/>
  <c r="NB133" i="2"/>
  <c r="MT133" i="2"/>
  <c r="MY133" i="2" s="1"/>
  <c r="MW133" i="2"/>
  <c r="MS133" i="2"/>
  <c r="MV133" i="2"/>
  <c r="MA133" i="2"/>
  <c r="LO133" i="2"/>
  <c r="LZ133" i="2"/>
  <c r="MH133" i="2"/>
  <c r="LY133" i="2"/>
  <c r="MG133" i="2"/>
  <c r="MB133" i="2"/>
  <c r="LX133" i="2"/>
  <c r="LG133" i="2"/>
  <c r="LC133" i="2"/>
  <c r="LN133" i="2"/>
  <c r="LF133" i="2"/>
  <c r="KT133" i="2"/>
  <c r="KS133" i="2"/>
  <c r="JA133" i="2"/>
  <c r="LL133" i="2"/>
  <c r="LE133" i="2"/>
  <c r="JB133" i="2"/>
  <c r="LM133" i="2"/>
  <c r="LD133" i="2"/>
  <c r="KR133" i="2"/>
  <c r="KL133" i="2"/>
  <c r="JY133" i="2"/>
  <c r="JX133" i="2"/>
  <c r="JN133" i="2"/>
  <c r="JW133" i="2"/>
  <c r="JQ133" i="2"/>
  <c r="KK133" i="2"/>
  <c r="JM133" i="2"/>
  <c r="KQ133" i="2"/>
  <c r="JO133" i="2"/>
  <c r="JD133" i="2"/>
  <c r="JV133" i="2"/>
  <c r="IV133" i="2"/>
  <c r="IR133" i="2"/>
  <c r="II133" i="2"/>
  <c r="HD133" i="2"/>
  <c r="JP133" i="2"/>
  <c r="JC133" i="2"/>
  <c r="IU133" i="2"/>
  <c r="IH133" i="2"/>
  <c r="IF133" i="2"/>
  <c r="HE133" i="2"/>
  <c r="IT133" i="2"/>
  <c r="IG133" i="2"/>
  <c r="HF133" i="2"/>
  <c r="IS133" i="2"/>
  <c r="IY133" i="2" s="1"/>
  <c r="HN133" i="2"/>
  <c r="HX133" i="2"/>
  <c r="HL133" i="2"/>
  <c r="IA133" i="2"/>
  <c r="HW133" i="2"/>
  <c r="HZ133" i="2"/>
  <c r="IC133" i="2" s="1"/>
  <c r="HM133" i="2"/>
  <c r="HK133" i="2"/>
  <c r="HY133" i="2"/>
  <c r="NT133" i="2"/>
  <c r="IW132" i="2"/>
  <c r="IZ131" i="2"/>
  <c r="IB132" i="2"/>
  <c r="IE131" i="2"/>
  <c r="JU131" i="2"/>
  <c r="JR132" i="2"/>
  <c r="NU133" i="2"/>
  <c r="OO132" i="2"/>
  <c r="OO133" i="2" s="1"/>
  <c r="KO132" i="2"/>
  <c r="KM131" i="2"/>
  <c r="KP130" i="2"/>
  <c r="KN131" i="2"/>
  <c r="KN132" i="2" s="1"/>
  <c r="HG132" i="2"/>
  <c r="HI132" i="2"/>
  <c r="FS132" i="2"/>
  <c r="EC132" i="2"/>
  <c r="EA132" i="2"/>
  <c r="EX132" i="2"/>
  <c r="EB132" i="2"/>
  <c r="GN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GJ133" i="2"/>
  <c r="GI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JT133" i="2" l="1"/>
  <c r="ME133" i="2"/>
  <c r="LI133" i="2"/>
  <c r="JS133" i="2"/>
  <c r="ID133" i="2"/>
  <c r="HH133" i="2"/>
  <c r="IB133" i="2"/>
  <c r="IE132" i="2"/>
  <c r="ON133" i="2"/>
  <c r="OQ132" i="2"/>
  <c r="LH133" i="2"/>
  <c r="LK132" i="2"/>
  <c r="NS133" i="2"/>
  <c r="NV132" i="2"/>
  <c r="LJ133" i="2"/>
  <c r="MZ133" i="2"/>
  <c r="PK133" i="2"/>
  <c r="MC133" i="2"/>
  <c r="MF132" i="2"/>
  <c r="MD133" i="2"/>
  <c r="KJ134" i="2"/>
  <c r="KI134" i="2"/>
  <c r="KH134" i="2"/>
  <c r="OT134" i="2"/>
  <c r="PE134" i="2"/>
  <c r="PJ134" i="2" s="1"/>
  <c r="OU134" i="2"/>
  <c r="MJ134" i="2"/>
  <c r="PD134" i="2"/>
  <c r="PF134" i="2"/>
  <c r="PG134" i="2"/>
  <c r="PH134" i="2"/>
  <c r="MI134" i="2"/>
  <c r="OR134" i="2"/>
  <c r="OS134" i="2"/>
  <c r="OM134" i="2"/>
  <c r="OL134" i="2"/>
  <c r="OJ134" i="2"/>
  <c r="OP134" i="2" s="1"/>
  <c r="OK134" i="2"/>
  <c r="OI134" i="2"/>
  <c r="NZ134" i="2"/>
  <c r="NY134" i="2"/>
  <c r="NW134" i="2"/>
  <c r="NR134" i="2"/>
  <c r="NX134" i="2"/>
  <c r="NQ134" i="2"/>
  <c r="NP134" i="2"/>
  <c r="NO134" i="2"/>
  <c r="NN134" i="2"/>
  <c r="NE134" i="2"/>
  <c r="ND134" i="2"/>
  <c r="NB134" i="2"/>
  <c r="NC134" i="2"/>
  <c r="MV134" i="2"/>
  <c r="MU134" i="2"/>
  <c r="MT134" i="2"/>
  <c r="MY134" i="2" s="1"/>
  <c r="MW134" i="2"/>
  <c r="MG134" i="2"/>
  <c r="MB134" i="2"/>
  <c r="LX134" i="2"/>
  <c r="MA134" i="2"/>
  <c r="LO134" i="2"/>
  <c r="MS134" i="2"/>
  <c r="LZ134" i="2"/>
  <c r="MH134" i="2"/>
  <c r="LY134" i="2"/>
  <c r="LM134" i="2"/>
  <c r="LD134" i="2"/>
  <c r="KR134" i="2"/>
  <c r="LG134" i="2"/>
  <c r="LC134" i="2"/>
  <c r="LN134" i="2"/>
  <c r="LF134" i="2"/>
  <c r="KT134" i="2"/>
  <c r="KS134" i="2"/>
  <c r="JA134" i="2"/>
  <c r="LL134" i="2"/>
  <c r="LE134" i="2"/>
  <c r="JB134" i="2"/>
  <c r="JO134" i="2"/>
  <c r="JD134" i="2"/>
  <c r="JV134" i="2"/>
  <c r="KL134" i="2"/>
  <c r="JY134" i="2"/>
  <c r="JX134" i="2"/>
  <c r="JN134" i="2"/>
  <c r="JW134" i="2"/>
  <c r="JQ134" i="2"/>
  <c r="KK134" i="2"/>
  <c r="JM134" i="2"/>
  <c r="JP134" i="2"/>
  <c r="JC134" i="2"/>
  <c r="KQ134" i="2"/>
  <c r="IS134" i="2"/>
  <c r="HN134" i="2"/>
  <c r="IV134" i="2"/>
  <c r="IR134" i="2"/>
  <c r="II134" i="2"/>
  <c r="HD134" i="2"/>
  <c r="IU134" i="2"/>
  <c r="IH134" i="2"/>
  <c r="IF134" i="2"/>
  <c r="HE134" i="2"/>
  <c r="IT134" i="2"/>
  <c r="IG134" i="2"/>
  <c r="HF134" i="2"/>
  <c r="HM134" i="2"/>
  <c r="HK134" i="2"/>
  <c r="HY134" i="2"/>
  <c r="HX134" i="2"/>
  <c r="HL134" i="2"/>
  <c r="IA134" i="2"/>
  <c r="HW134" i="2"/>
  <c r="HZ134" i="2"/>
  <c r="JR133" i="2"/>
  <c r="JU132" i="2"/>
  <c r="IW133" i="2"/>
  <c r="IZ132" i="2"/>
  <c r="MX133" i="2"/>
  <c r="NA132" i="2"/>
  <c r="IX133" i="2"/>
  <c r="IX134" i="2" s="1"/>
  <c r="OO134" i="2"/>
  <c r="NU134" i="2"/>
  <c r="NT134" i="2"/>
  <c r="PI133" i="2"/>
  <c r="PL132" i="2"/>
  <c r="KO133" i="2"/>
  <c r="KM132" i="2"/>
  <c r="KP131" i="2"/>
  <c r="HI133" i="2"/>
  <c r="HG133" i="2"/>
  <c r="EV133" i="2"/>
  <c r="EW133" i="2"/>
  <c r="EX133" i="2"/>
  <c r="EC133" i="2"/>
  <c r="FS133" i="2"/>
  <c r="EB133" i="2"/>
  <c r="GN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JS134" i="2" l="1"/>
  <c r="ME134" i="2"/>
  <c r="LI134" i="2"/>
  <c r="IY134" i="2"/>
  <c r="ID134" i="2"/>
  <c r="HH134" i="2"/>
  <c r="KJ135" i="2"/>
  <c r="KI135" i="2"/>
  <c r="KH135" i="2"/>
  <c r="PD135" i="2"/>
  <c r="PH135" i="2"/>
  <c r="PF135" i="2"/>
  <c r="PE135" i="2"/>
  <c r="PJ135" i="2" s="1"/>
  <c r="MJ135" i="2"/>
  <c r="OT135" i="2"/>
  <c r="OU135" i="2"/>
  <c r="PG135" i="2"/>
  <c r="MI135" i="2"/>
  <c r="OR135" i="2"/>
  <c r="OS135" i="2"/>
  <c r="OM135" i="2"/>
  <c r="OK135" i="2"/>
  <c r="OL135" i="2"/>
  <c r="OI135" i="2"/>
  <c r="OJ135" i="2"/>
  <c r="OP135" i="2" s="1"/>
  <c r="NZ135" i="2"/>
  <c r="NY135" i="2"/>
  <c r="NW135" i="2"/>
  <c r="NR135" i="2"/>
  <c r="NX135" i="2"/>
  <c r="NQ135" i="2"/>
  <c r="NP135" i="2"/>
  <c r="NC135" i="2"/>
  <c r="NO135" i="2"/>
  <c r="NN135" i="2"/>
  <c r="NE135" i="2"/>
  <c r="ND135" i="2"/>
  <c r="NB135" i="2"/>
  <c r="MW135" i="2"/>
  <c r="MS135" i="2"/>
  <c r="MV135" i="2"/>
  <c r="MH135" i="2"/>
  <c r="MG135" i="2"/>
  <c r="MU135" i="2"/>
  <c r="MT135" i="2"/>
  <c r="MY135" i="2" s="1"/>
  <c r="LY135" i="2"/>
  <c r="MB135" i="2"/>
  <c r="LX135" i="2"/>
  <c r="MA135" i="2"/>
  <c r="LO135" i="2"/>
  <c r="LZ135" i="2"/>
  <c r="LL135" i="2"/>
  <c r="LE135" i="2"/>
  <c r="JB135" i="2"/>
  <c r="LM135" i="2"/>
  <c r="LD135" i="2"/>
  <c r="KR135" i="2"/>
  <c r="LG135" i="2"/>
  <c r="LC135" i="2"/>
  <c r="LN135" i="2"/>
  <c r="LF135" i="2"/>
  <c r="KT135" i="2"/>
  <c r="KS135" i="2"/>
  <c r="JA135" i="2"/>
  <c r="KQ135" i="2"/>
  <c r="JO135" i="2"/>
  <c r="JD135" i="2"/>
  <c r="JV135" i="2"/>
  <c r="KL135" i="2"/>
  <c r="JY135" i="2"/>
  <c r="JX135" i="2"/>
  <c r="JN135" i="2"/>
  <c r="JW135" i="2"/>
  <c r="JQ135" i="2"/>
  <c r="KK135" i="2"/>
  <c r="JM135" i="2"/>
  <c r="JP135" i="2"/>
  <c r="JC135" i="2"/>
  <c r="IT135" i="2"/>
  <c r="IG135" i="2"/>
  <c r="HF135" i="2"/>
  <c r="IS135" i="2"/>
  <c r="IY135" i="2" s="1"/>
  <c r="HN135" i="2"/>
  <c r="IV135" i="2"/>
  <c r="IR135" i="2"/>
  <c r="II135" i="2"/>
  <c r="HD135" i="2"/>
  <c r="IU135" i="2"/>
  <c r="IH135" i="2"/>
  <c r="IF135" i="2"/>
  <c r="HE135" i="2"/>
  <c r="HZ135" i="2"/>
  <c r="HM135" i="2"/>
  <c r="HK135" i="2"/>
  <c r="HY135" i="2"/>
  <c r="HX135" i="2"/>
  <c r="HL135" i="2"/>
  <c r="IA135" i="2"/>
  <c r="HW135" i="2"/>
  <c r="MC134" i="2"/>
  <c r="MF133" i="2"/>
  <c r="LJ134" i="2"/>
  <c r="PI134" i="2"/>
  <c r="PL133" i="2"/>
  <c r="NU135" i="2"/>
  <c r="MD134" i="2"/>
  <c r="IC134" i="2"/>
  <c r="LH134" i="2"/>
  <c r="LK133" i="2"/>
  <c r="OO135" i="2"/>
  <c r="MX134" i="2"/>
  <c r="NA133" i="2"/>
  <c r="IW134" i="2"/>
  <c r="IZ133" i="2"/>
  <c r="PK134" i="2"/>
  <c r="PK135" i="2" s="1"/>
  <c r="NS134" i="2"/>
  <c r="NV133" i="2"/>
  <c r="JT134" i="2"/>
  <c r="NT135" i="2"/>
  <c r="JR134" i="2"/>
  <c r="JU133" i="2"/>
  <c r="MZ134" i="2"/>
  <c r="MZ135" i="2" s="1"/>
  <c r="ON134" i="2"/>
  <c r="OQ133" i="2"/>
  <c r="IB134" i="2"/>
  <c r="IE133" i="2"/>
  <c r="KM133" i="2"/>
  <c r="KP132" i="2"/>
  <c r="KO134" i="2"/>
  <c r="KN133" i="2"/>
  <c r="HG134" i="2"/>
  <c r="HI134" i="2"/>
  <c r="EV134" i="2"/>
  <c r="EW134" i="2"/>
  <c r="EC134" i="2"/>
  <c r="EX134" i="2"/>
  <c r="EA134" i="2"/>
  <c r="FS134" i="2"/>
  <c r="GN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GI135" i="2"/>
  <c r="GJ135" i="2"/>
  <c r="ES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LI135" i="2" l="1"/>
  <c r="LJ135" i="2"/>
  <c r="JS135" i="2"/>
  <c r="HH135" i="2"/>
  <c r="ME135" i="2"/>
  <c r="MD135" i="2"/>
  <c r="JT135" i="2"/>
  <c r="IX135" i="2"/>
  <c r="ID135" i="2"/>
  <c r="IC135" i="2"/>
  <c r="ON135" i="2"/>
  <c r="OQ134" i="2"/>
  <c r="IB135" i="2"/>
  <c r="IE134" i="2"/>
  <c r="NS135" i="2"/>
  <c r="NV134" i="2"/>
  <c r="LH135" i="2"/>
  <c r="LK134" i="2"/>
  <c r="PI135" i="2"/>
  <c r="PL134" i="2"/>
  <c r="KH136" i="2"/>
  <c r="KJ136" i="2"/>
  <c r="KI136" i="2"/>
  <c r="PG136" i="2"/>
  <c r="OT136" i="2"/>
  <c r="MI136" i="2"/>
  <c r="PF136" i="2"/>
  <c r="PE136" i="2"/>
  <c r="PJ136" i="2" s="1"/>
  <c r="MJ136" i="2"/>
  <c r="OU136" i="2"/>
  <c r="PD136" i="2"/>
  <c r="PH136" i="2"/>
  <c r="OR136" i="2"/>
  <c r="OS136" i="2"/>
  <c r="OM136" i="2"/>
  <c r="OL136" i="2"/>
  <c r="OK136" i="2"/>
  <c r="OJ136" i="2"/>
  <c r="OP136" i="2" s="1"/>
  <c r="OI136" i="2"/>
  <c r="NZ136" i="2"/>
  <c r="NX136" i="2"/>
  <c r="NY136" i="2"/>
  <c r="NW136" i="2"/>
  <c r="NO136" i="2"/>
  <c r="NT136" i="2" s="1"/>
  <c r="NR136" i="2"/>
  <c r="NQ136" i="2"/>
  <c r="NP136" i="2"/>
  <c r="NC136" i="2"/>
  <c r="NN136" i="2"/>
  <c r="NE136" i="2"/>
  <c r="ND136" i="2"/>
  <c r="MT136" i="2"/>
  <c r="MY136" i="2" s="1"/>
  <c r="MW136" i="2"/>
  <c r="MS136" i="2"/>
  <c r="NB136" i="2"/>
  <c r="MV136" i="2"/>
  <c r="MH136" i="2"/>
  <c r="MG136" i="2"/>
  <c r="MU136" i="2"/>
  <c r="LZ136" i="2"/>
  <c r="LY136" i="2"/>
  <c r="MB136" i="2"/>
  <c r="LX136" i="2"/>
  <c r="MA136" i="2"/>
  <c r="LN136" i="2"/>
  <c r="LF136" i="2"/>
  <c r="KT136" i="2"/>
  <c r="KS136" i="2"/>
  <c r="JA136" i="2"/>
  <c r="LO136" i="2"/>
  <c r="LL136" i="2"/>
  <c r="LE136" i="2"/>
  <c r="JB136" i="2"/>
  <c r="LM136" i="2"/>
  <c r="LD136" i="2"/>
  <c r="KR136" i="2"/>
  <c r="LG136" i="2"/>
  <c r="LC136" i="2"/>
  <c r="KK136" i="2"/>
  <c r="JM136" i="2"/>
  <c r="KQ136" i="2"/>
  <c r="JO136" i="2"/>
  <c r="JD136" i="2"/>
  <c r="JV136" i="2"/>
  <c r="KL136" i="2"/>
  <c r="JY136" i="2"/>
  <c r="JX136" i="2"/>
  <c r="JN136" i="2"/>
  <c r="JW136" i="2"/>
  <c r="JQ136" i="2"/>
  <c r="IU136" i="2"/>
  <c r="IH136" i="2"/>
  <c r="IF136" i="2"/>
  <c r="HE136" i="2"/>
  <c r="IT136" i="2"/>
  <c r="IG136" i="2"/>
  <c r="HF136" i="2"/>
  <c r="JP136" i="2"/>
  <c r="JC136" i="2"/>
  <c r="IS136" i="2"/>
  <c r="HN136" i="2"/>
  <c r="IV136" i="2"/>
  <c r="IR136" i="2"/>
  <c r="II136" i="2"/>
  <c r="HD136" i="2"/>
  <c r="HL136" i="2"/>
  <c r="IA136" i="2"/>
  <c r="HW136" i="2"/>
  <c r="HZ136" i="2"/>
  <c r="HM136" i="2"/>
  <c r="HK136" i="2"/>
  <c r="HY136" i="2"/>
  <c r="HX136" i="2"/>
  <c r="IC136" i="2" s="1"/>
  <c r="PK136" i="2"/>
  <c r="IW135" i="2"/>
  <c r="IZ134" i="2"/>
  <c r="NU136" i="2"/>
  <c r="MZ136" i="2"/>
  <c r="JR135" i="2"/>
  <c r="JU134" i="2"/>
  <c r="MX135" i="2"/>
  <c r="NA134" i="2"/>
  <c r="MC135" i="2"/>
  <c r="MF134" i="2"/>
  <c r="KO135" i="2"/>
  <c r="KM134" i="2"/>
  <c r="KP133" i="2"/>
  <c r="KN134" i="2"/>
  <c r="KN135" i="2" s="1"/>
  <c r="HI135" i="2"/>
  <c r="HG135" i="2"/>
  <c r="EX135" i="2"/>
  <c r="EW135" i="2"/>
  <c r="EA135" i="2"/>
  <c r="FS135" i="2"/>
  <c r="EC135" i="2"/>
  <c r="EV135" i="2"/>
  <c r="EB135" i="2"/>
  <c r="GN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FO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LJ136" i="2" l="1"/>
  <c r="JS136" i="2"/>
  <c r="MD136" i="2"/>
  <c r="ME136" i="2"/>
  <c r="LI136" i="2"/>
  <c r="JT136" i="2"/>
  <c r="IY136" i="2"/>
  <c r="HH136" i="2"/>
  <c r="HI136" i="2"/>
  <c r="IX136" i="2"/>
  <c r="PI136" i="2"/>
  <c r="PL135" i="2"/>
  <c r="OO136" i="2"/>
  <c r="IB136" i="2"/>
  <c r="IE135" i="2"/>
  <c r="ID136" i="2"/>
  <c r="MX136" i="2"/>
  <c r="NA135" i="2"/>
  <c r="MC136" i="2"/>
  <c r="MF135" i="2"/>
  <c r="IW136" i="2"/>
  <c r="IZ135" i="2"/>
  <c r="NS136" i="2"/>
  <c r="NV135" i="2"/>
  <c r="ON136" i="2"/>
  <c r="OQ135" i="2"/>
  <c r="KJ137" i="2"/>
  <c r="KI137" i="2"/>
  <c r="KH137" i="2"/>
  <c r="OU137" i="2"/>
  <c r="PF137" i="2"/>
  <c r="PD137" i="2"/>
  <c r="PG137" i="2"/>
  <c r="PH137" i="2"/>
  <c r="MJ137" i="2"/>
  <c r="OT137" i="2"/>
  <c r="MI137" i="2"/>
  <c r="PE137" i="2"/>
  <c r="PJ137" i="2" s="1"/>
  <c r="OS137" i="2"/>
  <c r="OR137" i="2"/>
  <c r="OM137" i="2"/>
  <c r="OL137" i="2"/>
  <c r="OK137" i="2"/>
  <c r="OJ137" i="2"/>
  <c r="OP137" i="2" s="1"/>
  <c r="NZ137" i="2"/>
  <c r="OI137" i="2"/>
  <c r="NX137" i="2"/>
  <c r="NR137" i="2"/>
  <c r="NP137" i="2"/>
  <c r="NY137" i="2"/>
  <c r="NW137" i="2"/>
  <c r="NO137" i="2"/>
  <c r="NT137" i="2" s="1"/>
  <c r="NE137" i="2"/>
  <c r="ND137" i="2"/>
  <c r="NQ137" i="2"/>
  <c r="NC137" i="2"/>
  <c r="NN137" i="2"/>
  <c r="MU137" i="2"/>
  <c r="MT137" i="2"/>
  <c r="MY137" i="2" s="1"/>
  <c r="MW137" i="2"/>
  <c r="MS137" i="2"/>
  <c r="NB137" i="2"/>
  <c r="MV137" i="2"/>
  <c r="MH137" i="2"/>
  <c r="MA137" i="2"/>
  <c r="LO137" i="2"/>
  <c r="MG137" i="2"/>
  <c r="LZ137" i="2"/>
  <c r="LY137" i="2"/>
  <c r="MB137" i="2"/>
  <c r="LX137" i="2"/>
  <c r="LG137" i="2"/>
  <c r="LC137" i="2"/>
  <c r="LN137" i="2"/>
  <c r="LF137" i="2"/>
  <c r="KT137" i="2"/>
  <c r="KS137" i="2"/>
  <c r="JA137" i="2"/>
  <c r="LL137" i="2"/>
  <c r="LE137" i="2"/>
  <c r="JB137" i="2"/>
  <c r="LM137" i="2"/>
  <c r="LD137" i="2"/>
  <c r="KR137" i="2"/>
  <c r="KL137" i="2"/>
  <c r="JY137" i="2"/>
  <c r="JX137" i="2"/>
  <c r="JN137" i="2"/>
  <c r="JW137" i="2"/>
  <c r="JQ137" i="2"/>
  <c r="KK137" i="2"/>
  <c r="JM137" i="2"/>
  <c r="KQ137" i="2"/>
  <c r="JO137" i="2"/>
  <c r="JD137" i="2"/>
  <c r="JV137" i="2"/>
  <c r="IV137" i="2"/>
  <c r="IR137" i="2"/>
  <c r="II137" i="2"/>
  <c r="HD137" i="2"/>
  <c r="IU137" i="2"/>
  <c r="IH137" i="2"/>
  <c r="IF137" i="2"/>
  <c r="HE137" i="2"/>
  <c r="IT137" i="2"/>
  <c r="IG137" i="2"/>
  <c r="HF137" i="2"/>
  <c r="JP137" i="2"/>
  <c r="JC137" i="2"/>
  <c r="IS137" i="2"/>
  <c r="IY137" i="2" s="1"/>
  <c r="HN137" i="2"/>
  <c r="HX137" i="2"/>
  <c r="IC137" i="2" s="1"/>
  <c r="HL137" i="2"/>
  <c r="IA137" i="2"/>
  <c r="HW137" i="2"/>
  <c r="HZ137" i="2"/>
  <c r="HM137" i="2"/>
  <c r="HK137" i="2"/>
  <c r="HY137" i="2"/>
  <c r="JR136" i="2"/>
  <c r="JU135" i="2"/>
  <c r="PK137" i="2"/>
  <c r="LH136" i="2"/>
  <c r="LK135" i="2"/>
  <c r="KM135" i="2"/>
  <c r="KP134" i="2"/>
  <c r="KO136" i="2"/>
  <c r="HG136" i="2"/>
  <c r="FS136" i="2"/>
  <c r="EX136" i="2"/>
  <c r="EC136" i="2"/>
  <c r="AU136" i="2"/>
  <c r="EW136" i="2"/>
  <c r="EB136" i="2"/>
  <c r="EV136" i="2"/>
  <c r="GN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JT137" i="2" l="1"/>
  <c r="ME137" i="2"/>
  <c r="MD137" i="2"/>
  <c r="LI137" i="2"/>
  <c r="HH137" i="2"/>
  <c r="KJ138" i="2"/>
  <c r="KH138" i="2"/>
  <c r="KI138" i="2"/>
  <c r="OT138" i="2"/>
  <c r="PE138" i="2"/>
  <c r="PJ138" i="2" s="1"/>
  <c r="OU138" i="2"/>
  <c r="PD138" i="2"/>
  <c r="PG138" i="2"/>
  <c r="PH138" i="2"/>
  <c r="MI138" i="2"/>
  <c r="PF138" i="2"/>
  <c r="MJ138" i="2"/>
  <c r="OR138" i="2"/>
  <c r="OS138" i="2"/>
  <c r="OM138" i="2"/>
  <c r="OK138" i="2"/>
  <c r="OJ138" i="2"/>
  <c r="OP138" i="2" s="1"/>
  <c r="OL138" i="2"/>
  <c r="OI138" i="2"/>
  <c r="NZ138" i="2"/>
  <c r="NY138" i="2"/>
  <c r="NX138" i="2"/>
  <c r="NW138" i="2"/>
  <c r="NR138" i="2"/>
  <c r="NQ138" i="2"/>
  <c r="NT138" i="2" s="1"/>
  <c r="NP138" i="2"/>
  <c r="NN138" i="2"/>
  <c r="NE138" i="2"/>
  <c r="ND138" i="2"/>
  <c r="NO138" i="2"/>
  <c r="NB138" i="2"/>
  <c r="NC138" i="2"/>
  <c r="MV138" i="2"/>
  <c r="MU138" i="2"/>
  <c r="MT138" i="2"/>
  <c r="MY138" i="2" s="1"/>
  <c r="MW138" i="2"/>
  <c r="MB138" i="2"/>
  <c r="LX138" i="2"/>
  <c r="MH138" i="2"/>
  <c r="MA138" i="2"/>
  <c r="LO138" i="2"/>
  <c r="MG138" i="2"/>
  <c r="LZ138" i="2"/>
  <c r="MS138" i="2"/>
  <c r="LY138" i="2"/>
  <c r="ME138" i="2" s="1"/>
  <c r="LM138" i="2"/>
  <c r="LD138" i="2"/>
  <c r="KR138" i="2"/>
  <c r="LG138" i="2"/>
  <c r="LC138" i="2"/>
  <c r="LN138" i="2"/>
  <c r="LF138" i="2"/>
  <c r="KT138" i="2"/>
  <c r="KS138" i="2"/>
  <c r="JA138" i="2"/>
  <c r="LL138" i="2"/>
  <c r="LE138" i="2"/>
  <c r="JB138" i="2"/>
  <c r="JO138" i="2"/>
  <c r="JD138" i="2"/>
  <c r="JV138" i="2"/>
  <c r="KL138" i="2"/>
  <c r="JY138" i="2"/>
  <c r="JX138" i="2"/>
  <c r="JN138" i="2"/>
  <c r="JW138" i="2"/>
  <c r="JQ138" i="2"/>
  <c r="KK138" i="2"/>
  <c r="JM138" i="2"/>
  <c r="JP138" i="2"/>
  <c r="JC138" i="2"/>
  <c r="KQ138" i="2"/>
  <c r="IS138" i="2"/>
  <c r="HN138" i="2"/>
  <c r="IV138" i="2"/>
  <c r="IR138" i="2"/>
  <c r="II138" i="2"/>
  <c r="HD138" i="2"/>
  <c r="IU138" i="2"/>
  <c r="IH138" i="2"/>
  <c r="IF138" i="2"/>
  <c r="HE138" i="2"/>
  <c r="IT138" i="2"/>
  <c r="IG138" i="2"/>
  <c r="HF138" i="2"/>
  <c r="HM138" i="2"/>
  <c r="HK138" i="2"/>
  <c r="HY138" i="2"/>
  <c r="HX138" i="2"/>
  <c r="HL138" i="2"/>
  <c r="IA138" i="2"/>
  <c r="HW138" i="2"/>
  <c r="HZ138" i="2"/>
  <c r="HG137" i="2"/>
  <c r="LH137" i="2"/>
  <c r="LK136" i="2"/>
  <c r="NS137" i="2"/>
  <c r="NV136" i="2"/>
  <c r="NU137" i="2"/>
  <c r="NU138" i="2" s="1"/>
  <c r="PI137" i="2"/>
  <c r="PL136" i="2"/>
  <c r="LJ137" i="2"/>
  <c r="LJ138" i="2" s="1"/>
  <c r="JS137" i="2"/>
  <c r="JU136" i="2"/>
  <c r="JR137" i="2"/>
  <c r="MC137" i="2"/>
  <c r="MF136" i="2"/>
  <c r="IB137" i="2"/>
  <c r="IE136" i="2"/>
  <c r="MZ137" i="2"/>
  <c r="MZ138" i="2" s="1"/>
  <c r="ON137" i="2"/>
  <c r="OQ136" i="2"/>
  <c r="IW137" i="2"/>
  <c r="IZ136" i="2"/>
  <c r="MX137" i="2"/>
  <c r="NA136" i="2"/>
  <c r="OO137" i="2"/>
  <c r="OO138" i="2" s="1"/>
  <c r="PK138" i="2"/>
  <c r="ID137" i="2"/>
  <c r="ID138" i="2" s="1"/>
  <c r="IX137" i="2"/>
  <c r="EX137" i="2"/>
  <c r="KO137" i="2"/>
  <c r="KM136" i="2"/>
  <c r="KP135" i="2"/>
  <c r="KN136" i="2"/>
  <c r="KN137" i="2" s="1"/>
  <c r="HI137" i="2"/>
  <c r="FS137" i="2"/>
  <c r="EV137" i="2"/>
  <c r="EC137" i="2"/>
  <c r="EB137" i="2"/>
  <c r="GN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JT138" i="2" l="1"/>
  <c r="MD138" i="2"/>
  <c r="LI138" i="2"/>
  <c r="IY138" i="2"/>
  <c r="JS138" i="2"/>
  <c r="IX138" i="2"/>
  <c r="IC138" i="2"/>
  <c r="HH138" i="2"/>
  <c r="IW138" i="2"/>
  <c r="IZ137" i="2"/>
  <c r="ON138" i="2"/>
  <c r="OQ137" i="2"/>
  <c r="PI138" i="2"/>
  <c r="PL137" i="2"/>
  <c r="NS138" i="2"/>
  <c r="NV137" i="2"/>
  <c r="KI139" i="2"/>
  <c r="KJ139" i="2"/>
  <c r="KH139" i="2"/>
  <c r="PD139" i="2"/>
  <c r="PH139" i="2"/>
  <c r="PE139" i="2"/>
  <c r="PJ139" i="2" s="1"/>
  <c r="OU139" i="2"/>
  <c r="PF139" i="2"/>
  <c r="PG139" i="2"/>
  <c r="MJ139" i="2"/>
  <c r="MI139" i="2"/>
  <c r="OT139" i="2"/>
  <c r="OR139" i="2"/>
  <c r="OS139" i="2"/>
  <c r="OM139" i="2"/>
  <c r="OK139" i="2"/>
  <c r="OI139" i="2"/>
  <c r="OL139" i="2"/>
  <c r="OJ139" i="2"/>
  <c r="OP139" i="2" s="1"/>
  <c r="NZ139" i="2"/>
  <c r="NY139" i="2"/>
  <c r="NX139" i="2"/>
  <c r="NW139" i="2"/>
  <c r="NR139" i="2"/>
  <c r="NQ139" i="2"/>
  <c r="NC139" i="2"/>
  <c r="NN139" i="2"/>
  <c r="NP139" i="2"/>
  <c r="NE139" i="2"/>
  <c r="ND139" i="2"/>
  <c r="NO139" i="2"/>
  <c r="NU139" i="2" s="1"/>
  <c r="NB139" i="2"/>
  <c r="MW139" i="2"/>
  <c r="MS139" i="2"/>
  <c r="MV139" i="2"/>
  <c r="MH139" i="2"/>
  <c r="MU139" i="2"/>
  <c r="MT139" i="2"/>
  <c r="MY139" i="2" s="1"/>
  <c r="LY139" i="2"/>
  <c r="MB139" i="2"/>
  <c r="LX139" i="2"/>
  <c r="MA139" i="2"/>
  <c r="MD139" i="2" s="1"/>
  <c r="LO139" i="2"/>
  <c r="MG139" i="2"/>
  <c r="LZ139" i="2"/>
  <c r="LL139" i="2"/>
  <c r="LE139" i="2"/>
  <c r="JB139" i="2"/>
  <c r="LM139" i="2"/>
  <c r="LD139" i="2"/>
  <c r="KR139" i="2"/>
  <c r="LG139" i="2"/>
  <c r="LC139" i="2"/>
  <c r="LN139" i="2"/>
  <c r="LF139" i="2"/>
  <c r="KT139" i="2"/>
  <c r="KS139" i="2"/>
  <c r="JA139" i="2"/>
  <c r="KQ139" i="2"/>
  <c r="JO139" i="2"/>
  <c r="JD139" i="2"/>
  <c r="JV139" i="2"/>
  <c r="KL139" i="2"/>
  <c r="JY139" i="2"/>
  <c r="JX139" i="2"/>
  <c r="JN139" i="2"/>
  <c r="JW139" i="2"/>
  <c r="JQ139" i="2"/>
  <c r="KK139" i="2"/>
  <c r="JM139" i="2"/>
  <c r="JP139" i="2"/>
  <c r="JC139" i="2"/>
  <c r="IT139" i="2"/>
  <c r="IG139" i="2"/>
  <c r="HF139" i="2"/>
  <c r="IS139" i="2"/>
  <c r="HN139" i="2"/>
  <c r="IV139" i="2"/>
  <c r="IR139" i="2"/>
  <c r="II139" i="2"/>
  <c r="HD139" i="2"/>
  <c r="IU139" i="2"/>
  <c r="IH139" i="2"/>
  <c r="IF139" i="2"/>
  <c r="HE139" i="2"/>
  <c r="HZ139" i="2"/>
  <c r="HM139" i="2"/>
  <c r="HK139" i="2"/>
  <c r="HY139" i="2"/>
  <c r="HX139" i="2"/>
  <c r="HL139" i="2"/>
  <c r="IA139" i="2"/>
  <c r="HW139" i="2"/>
  <c r="ID139" i="2"/>
  <c r="MX138" i="2"/>
  <c r="NA137" i="2"/>
  <c r="MF137" i="2"/>
  <c r="MC138" i="2"/>
  <c r="LH138" i="2"/>
  <c r="LK137" i="2"/>
  <c r="MZ139" i="2"/>
  <c r="IB138" i="2"/>
  <c r="IE137" i="2"/>
  <c r="JR138" i="2"/>
  <c r="JU137" i="2"/>
  <c r="KM137" i="2"/>
  <c r="KP136" i="2"/>
  <c r="KO138" i="2"/>
  <c r="HG138" i="2"/>
  <c r="HI138" i="2"/>
  <c r="EC138" i="2"/>
  <c r="EV138" i="2"/>
  <c r="EB138" i="2"/>
  <c r="EA138" i="2"/>
  <c r="FS138" i="2"/>
  <c r="EW138" i="2"/>
  <c r="EX138" i="2"/>
  <c r="GN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LJ139" i="2" l="1"/>
  <c r="HH139" i="2"/>
  <c r="JT139" i="2"/>
  <c r="ME139" i="2"/>
  <c r="LI139" i="2"/>
  <c r="IX139" i="2"/>
  <c r="IY139" i="2"/>
  <c r="IC139" i="2"/>
  <c r="HG139" i="2"/>
  <c r="KH140" i="2"/>
  <c r="KI140" i="2"/>
  <c r="KJ140" i="2"/>
  <c r="PG140" i="2"/>
  <c r="PF140" i="2"/>
  <c r="MI140" i="2"/>
  <c r="PE140" i="2"/>
  <c r="PJ140" i="2" s="1"/>
  <c r="OT140" i="2"/>
  <c r="OU140" i="2"/>
  <c r="PD140" i="2"/>
  <c r="PH140" i="2"/>
  <c r="MJ140" i="2"/>
  <c r="OR140" i="2"/>
  <c r="OS140" i="2"/>
  <c r="OM140" i="2"/>
  <c r="OL140" i="2"/>
  <c r="OK140" i="2"/>
  <c r="OJ140" i="2"/>
  <c r="OP140" i="2" s="1"/>
  <c r="OI140" i="2"/>
  <c r="NZ140" i="2"/>
  <c r="NX140" i="2"/>
  <c r="NY140" i="2"/>
  <c r="NW140" i="2"/>
  <c r="NO140" i="2"/>
  <c r="NU140" i="2" s="1"/>
  <c r="NR140" i="2"/>
  <c r="NC140" i="2"/>
  <c r="NQ140" i="2"/>
  <c r="NN140" i="2"/>
  <c r="NP140" i="2"/>
  <c r="NE140" i="2"/>
  <c r="ND140" i="2"/>
  <c r="NB140" i="2"/>
  <c r="MT140" i="2"/>
  <c r="MY140" i="2" s="1"/>
  <c r="MW140" i="2"/>
  <c r="MS140" i="2"/>
  <c r="MV140" i="2"/>
  <c r="MH140" i="2"/>
  <c r="MU140" i="2"/>
  <c r="MG140" i="2"/>
  <c r="LZ140" i="2"/>
  <c r="LY140" i="2"/>
  <c r="MB140" i="2"/>
  <c r="LX140" i="2"/>
  <c r="MA140" i="2"/>
  <c r="LN140" i="2"/>
  <c r="LF140" i="2"/>
  <c r="KT140" i="2"/>
  <c r="KS140" i="2"/>
  <c r="JA140" i="2"/>
  <c r="LL140" i="2"/>
  <c r="LE140" i="2"/>
  <c r="JB140" i="2"/>
  <c r="LO140" i="2"/>
  <c r="LM140" i="2"/>
  <c r="LD140" i="2"/>
  <c r="KR140" i="2"/>
  <c r="LG140" i="2"/>
  <c r="LC140" i="2"/>
  <c r="KK140" i="2"/>
  <c r="JM140" i="2"/>
  <c r="KQ140" i="2"/>
  <c r="JO140" i="2"/>
  <c r="JD140" i="2"/>
  <c r="JV140" i="2"/>
  <c r="KL140" i="2"/>
  <c r="JY140" i="2"/>
  <c r="JX140" i="2"/>
  <c r="JN140" i="2"/>
  <c r="JW140" i="2"/>
  <c r="JQ140" i="2"/>
  <c r="JP140" i="2"/>
  <c r="JC140" i="2"/>
  <c r="IU140" i="2"/>
  <c r="IH140" i="2"/>
  <c r="IF140" i="2"/>
  <c r="HE140" i="2"/>
  <c r="IT140" i="2"/>
  <c r="IG140" i="2"/>
  <c r="HF140" i="2"/>
  <c r="IS140" i="2"/>
  <c r="HN140" i="2"/>
  <c r="IV140" i="2"/>
  <c r="IR140" i="2"/>
  <c r="II140" i="2"/>
  <c r="HD140" i="2"/>
  <c r="HL140" i="2"/>
  <c r="IA140" i="2"/>
  <c r="HW140" i="2"/>
  <c r="HZ140" i="2"/>
  <c r="HM140" i="2"/>
  <c r="HK140" i="2"/>
  <c r="HY140" i="2"/>
  <c r="HX140" i="2"/>
  <c r="IC140" i="2" s="1"/>
  <c r="HI139" i="2"/>
  <c r="NS139" i="2"/>
  <c r="NV138" i="2"/>
  <c r="NT139" i="2"/>
  <c r="NT140" i="2" s="1"/>
  <c r="PI139" i="2"/>
  <c r="PL138" i="2"/>
  <c r="IW139" i="2"/>
  <c r="IZ138" i="2"/>
  <c r="MZ140" i="2"/>
  <c r="LH139" i="2"/>
  <c r="LK138" i="2"/>
  <c r="JS139" i="2"/>
  <c r="OO139" i="2"/>
  <c r="OO140" i="2" s="1"/>
  <c r="IB139" i="2"/>
  <c r="IE138" i="2"/>
  <c r="JR139" i="2"/>
  <c r="JU138" i="2"/>
  <c r="MC139" i="2"/>
  <c r="MF138" i="2"/>
  <c r="MX139" i="2"/>
  <c r="NA138" i="2"/>
  <c r="PK139" i="2"/>
  <c r="PK140" i="2" s="1"/>
  <c r="ON139" i="2"/>
  <c r="OQ138" i="2"/>
  <c r="KM138" i="2"/>
  <c r="KP137" i="2"/>
  <c r="KO139" i="2"/>
  <c r="KN138" i="2"/>
  <c r="FS139" i="2"/>
  <c r="EA139" i="2"/>
  <c r="EB139" i="2"/>
  <c r="EW139" i="2"/>
  <c r="EX139" i="2"/>
  <c r="EC139" i="2"/>
  <c r="GN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LI140" i="2" l="1"/>
  <c r="JT140" i="2"/>
  <c r="HH140" i="2"/>
  <c r="ME140" i="2"/>
  <c r="MD140" i="2"/>
  <c r="LJ140" i="2"/>
  <c r="JS140" i="2"/>
  <c r="IY140" i="2"/>
  <c r="ID140" i="2"/>
  <c r="PJ141" i="2"/>
  <c r="JR140" i="2"/>
  <c r="JU139" i="2"/>
  <c r="PI140" i="2"/>
  <c r="PL139" i="2"/>
  <c r="IX140" i="2"/>
  <c r="ON140" i="2"/>
  <c r="OQ139" i="2"/>
  <c r="MC140" i="2"/>
  <c r="MF139" i="2"/>
  <c r="IB140" i="2"/>
  <c r="IE139" i="2"/>
  <c r="IW140" i="2"/>
  <c r="IZ139" i="2"/>
  <c r="NS140" i="2"/>
  <c r="NV139" i="2"/>
  <c r="KJ141" i="2"/>
  <c r="KI141" i="2"/>
  <c r="KH141" i="2"/>
  <c r="OU141" i="2"/>
  <c r="PF141" i="2"/>
  <c r="OT141" i="2"/>
  <c r="MJ141" i="2"/>
  <c r="MI141" i="2"/>
  <c r="PE141" i="2"/>
  <c r="PD141" i="2"/>
  <c r="PG141" i="2"/>
  <c r="PH141" i="2"/>
  <c r="PK141" i="2" s="1"/>
  <c r="OS141" i="2"/>
  <c r="OR141" i="2"/>
  <c r="OM141" i="2"/>
  <c r="OL141" i="2"/>
  <c r="OK141" i="2"/>
  <c r="OJ141" i="2"/>
  <c r="OO141" i="2" s="1"/>
  <c r="OI141" i="2"/>
  <c r="NZ141" i="2"/>
  <c r="NX141" i="2"/>
  <c r="NR141" i="2"/>
  <c r="NY141" i="2"/>
  <c r="NP141" i="2"/>
  <c r="NW141" i="2"/>
  <c r="NO141" i="2"/>
  <c r="NU141" i="2" s="1"/>
  <c r="NE141" i="2"/>
  <c r="ND141" i="2"/>
  <c r="NC141" i="2"/>
  <c r="NQ141" i="2"/>
  <c r="NN141" i="2"/>
  <c r="MU141" i="2"/>
  <c r="NB141" i="2"/>
  <c r="MT141" i="2"/>
  <c r="MY141" i="2" s="1"/>
  <c r="MW141" i="2"/>
  <c r="MS141" i="2"/>
  <c r="MV141" i="2"/>
  <c r="MA141" i="2"/>
  <c r="LO141" i="2"/>
  <c r="MG141" i="2"/>
  <c r="LZ141" i="2"/>
  <c r="MH141" i="2"/>
  <c r="LY141" i="2"/>
  <c r="MB141" i="2"/>
  <c r="LX141" i="2"/>
  <c r="LG141" i="2"/>
  <c r="LC141" i="2"/>
  <c r="LN141" i="2"/>
  <c r="LF141" i="2"/>
  <c r="KT141" i="2"/>
  <c r="KS141" i="2"/>
  <c r="JA141" i="2"/>
  <c r="LL141" i="2"/>
  <c r="LE141" i="2"/>
  <c r="JB141" i="2"/>
  <c r="LM141" i="2"/>
  <c r="LD141" i="2"/>
  <c r="KR141" i="2"/>
  <c r="KL141" i="2"/>
  <c r="JY141" i="2"/>
  <c r="JX141" i="2"/>
  <c r="JN141" i="2"/>
  <c r="JW141" i="2"/>
  <c r="JQ141" i="2"/>
  <c r="KK141" i="2"/>
  <c r="JM141" i="2"/>
  <c r="KQ141" i="2"/>
  <c r="JO141" i="2"/>
  <c r="JD141" i="2"/>
  <c r="JV141" i="2"/>
  <c r="IV141" i="2"/>
  <c r="IR141" i="2"/>
  <c r="II141" i="2"/>
  <c r="HD141" i="2"/>
  <c r="JP141" i="2"/>
  <c r="JC141" i="2"/>
  <c r="IU141" i="2"/>
  <c r="IH141" i="2"/>
  <c r="IF141" i="2"/>
  <c r="HE141" i="2"/>
  <c r="IT141" i="2"/>
  <c r="IG141" i="2"/>
  <c r="HF141" i="2"/>
  <c r="IS141" i="2"/>
  <c r="IY141" i="2" s="1"/>
  <c r="HN141" i="2"/>
  <c r="HX141" i="2"/>
  <c r="HL141" i="2"/>
  <c r="IA141" i="2"/>
  <c r="HW141" i="2"/>
  <c r="HZ141" i="2"/>
  <c r="IC141" i="2" s="1"/>
  <c r="HM141" i="2"/>
  <c r="HK141" i="2"/>
  <c r="HY141" i="2"/>
  <c r="MX140" i="2"/>
  <c r="NA139" i="2"/>
  <c r="LH140" i="2"/>
  <c r="LK139" i="2"/>
  <c r="NT141" i="2"/>
  <c r="KO140" i="2"/>
  <c r="KM139" i="2"/>
  <c r="KP138" i="2"/>
  <c r="KN139" i="2"/>
  <c r="KN140" i="2" s="1"/>
  <c r="HG140" i="2"/>
  <c r="HI140" i="2"/>
  <c r="FS140" i="2"/>
  <c r="EX140" i="2"/>
  <c r="EB140" i="2"/>
  <c r="FR140" i="2"/>
  <c r="EC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GJ141" i="2"/>
  <c r="FO141" i="2"/>
  <c r="FN141" i="2"/>
  <c r="GI141" i="2"/>
  <c r="ET141" i="2"/>
  <c r="ES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LJ141" i="2" l="1"/>
  <c r="ME141" i="2"/>
  <c r="LI141" i="2"/>
  <c r="ID141" i="2"/>
  <c r="JS141" i="2"/>
  <c r="NU142" i="2"/>
  <c r="NS141" i="2"/>
  <c r="NV140" i="2"/>
  <c r="ON141" i="2"/>
  <c r="OQ140" i="2"/>
  <c r="KJ142" i="2"/>
  <c r="KI142" i="2"/>
  <c r="KH142" i="2"/>
  <c r="OT142" i="2"/>
  <c r="PE142" i="2"/>
  <c r="PJ142" i="2" s="1"/>
  <c r="PD142" i="2"/>
  <c r="PG142" i="2"/>
  <c r="PH142" i="2"/>
  <c r="PF142" i="2"/>
  <c r="OU142" i="2"/>
  <c r="MI142" i="2"/>
  <c r="MJ142" i="2"/>
  <c r="OR142" i="2"/>
  <c r="OS142" i="2"/>
  <c r="OM142" i="2"/>
  <c r="OL142" i="2"/>
  <c r="OK142" i="2"/>
  <c r="OJ142" i="2"/>
  <c r="OO142" i="2" s="1"/>
  <c r="OI142" i="2"/>
  <c r="NZ142" i="2"/>
  <c r="NY142" i="2"/>
  <c r="NW142" i="2"/>
  <c r="NR142" i="2"/>
  <c r="NX142" i="2"/>
  <c r="NQ142" i="2"/>
  <c r="NP142" i="2"/>
  <c r="NO142" i="2"/>
  <c r="NN142" i="2"/>
  <c r="NE142" i="2"/>
  <c r="ND142" i="2"/>
  <c r="NB142" i="2"/>
  <c r="NC142" i="2"/>
  <c r="MV142" i="2"/>
  <c r="MU142" i="2"/>
  <c r="MT142" i="2"/>
  <c r="MY142" i="2" s="1"/>
  <c r="MW142" i="2"/>
  <c r="MS142" i="2"/>
  <c r="MB142" i="2"/>
  <c r="LX142" i="2"/>
  <c r="MA142" i="2"/>
  <c r="LO142" i="2"/>
  <c r="MG142" i="2"/>
  <c r="LZ142" i="2"/>
  <c r="MH142" i="2"/>
  <c r="LY142" i="2"/>
  <c r="LM142" i="2"/>
  <c r="LD142" i="2"/>
  <c r="KR142" i="2"/>
  <c r="LG142" i="2"/>
  <c r="LJ142" i="2" s="1"/>
  <c r="LC142" i="2"/>
  <c r="LN142" i="2"/>
  <c r="LF142" i="2"/>
  <c r="KT142" i="2"/>
  <c r="KS142" i="2"/>
  <c r="JA142" i="2"/>
  <c r="LL142" i="2"/>
  <c r="LE142" i="2"/>
  <c r="JB142" i="2"/>
  <c r="JO142" i="2"/>
  <c r="JD142" i="2"/>
  <c r="JV142" i="2"/>
  <c r="KL142" i="2"/>
  <c r="JY142" i="2"/>
  <c r="JX142" i="2"/>
  <c r="JN142" i="2"/>
  <c r="JW142" i="2"/>
  <c r="JQ142" i="2"/>
  <c r="KK142" i="2"/>
  <c r="JM142" i="2"/>
  <c r="JP142" i="2"/>
  <c r="JC142" i="2"/>
  <c r="KQ142" i="2"/>
  <c r="IS142" i="2"/>
  <c r="HN142" i="2"/>
  <c r="IV142" i="2"/>
  <c r="IR142" i="2"/>
  <c r="II142" i="2"/>
  <c r="HD142" i="2"/>
  <c r="IU142" i="2"/>
  <c r="IH142" i="2"/>
  <c r="IF142" i="2"/>
  <c r="HE142" i="2"/>
  <c r="IT142" i="2"/>
  <c r="IG142" i="2"/>
  <c r="HF142" i="2"/>
  <c r="HM142" i="2"/>
  <c r="HK142" i="2"/>
  <c r="HY142" i="2"/>
  <c r="HX142" i="2"/>
  <c r="ID142" i="2" s="1"/>
  <c r="HL142" i="2"/>
  <c r="IA142" i="2"/>
  <c r="HW142" i="2"/>
  <c r="HZ142" i="2"/>
  <c r="HH141" i="2"/>
  <c r="MX141" i="2"/>
  <c r="NA140" i="2"/>
  <c r="MD141" i="2"/>
  <c r="IB141" i="2"/>
  <c r="IE140" i="2"/>
  <c r="IX141" i="2"/>
  <c r="PI141" i="2"/>
  <c r="PL140" i="2"/>
  <c r="JU140" i="2"/>
  <c r="JR141" i="2"/>
  <c r="OP141" i="2"/>
  <c r="OP142" i="2" s="1"/>
  <c r="NT142" i="2"/>
  <c r="LH141" i="2"/>
  <c r="LK140" i="2"/>
  <c r="MC141" i="2"/>
  <c r="MF140" i="2"/>
  <c r="MZ141" i="2"/>
  <c r="MZ142" i="2" s="1"/>
  <c r="JT141" i="2"/>
  <c r="IW141" i="2"/>
  <c r="IZ140" i="2"/>
  <c r="KM140" i="2"/>
  <c r="KP139" i="2"/>
  <c r="KO141" i="2"/>
  <c r="HI141" i="2"/>
  <c r="HG141" i="2"/>
  <c r="FS141" i="2"/>
  <c r="EA141" i="2"/>
  <c r="EB141" i="2"/>
  <c r="EX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JT142" i="2" l="1"/>
  <c r="ME142" i="2"/>
  <c r="MD142" i="2"/>
  <c r="LI142" i="2"/>
  <c r="JS142" i="2"/>
  <c r="IY142" i="2"/>
  <c r="IX142" i="2"/>
  <c r="HH142" i="2"/>
  <c r="LH142" i="2"/>
  <c r="LK141" i="2"/>
  <c r="PI142" i="2"/>
  <c r="PL141" i="2"/>
  <c r="IB142" i="2"/>
  <c r="IE141" i="2"/>
  <c r="IC142" i="2"/>
  <c r="PK142" i="2"/>
  <c r="JU141" i="2"/>
  <c r="JR142" i="2"/>
  <c r="NS142" i="2"/>
  <c r="NV141" i="2"/>
  <c r="MC142" i="2"/>
  <c r="MF141" i="2"/>
  <c r="MX142" i="2"/>
  <c r="NA141" i="2"/>
  <c r="ON142" i="2"/>
  <c r="OQ141" i="2"/>
  <c r="KJ143" i="2"/>
  <c r="KH143" i="2"/>
  <c r="KI143" i="2"/>
  <c r="PD143" i="2"/>
  <c r="PH143" i="2"/>
  <c r="OU143" i="2"/>
  <c r="OT143" i="2"/>
  <c r="PG143" i="2"/>
  <c r="PE143" i="2"/>
  <c r="PJ143" i="2" s="1"/>
  <c r="PF143" i="2"/>
  <c r="MI143" i="2"/>
  <c r="MJ143" i="2"/>
  <c r="OS143" i="2"/>
  <c r="OR143" i="2"/>
  <c r="OM143" i="2"/>
  <c r="OK143" i="2"/>
  <c r="OL143" i="2"/>
  <c r="OI143" i="2"/>
  <c r="OJ143" i="2"/>
  <c r="OO143" i="2" s="1"/>
  <c r="NZ143" i="2"/>
  <c r="NY143" i="2"/>
  <c r="NW143" i="2"/>
  <c r="NR143" i="2"/>
  <c r="NX143" i="2"/>
  <c r="NQ143" i="2"/>
  <c r="NP143" i="2"/>
  <c r="NC143" i="2"/>
  <c r="NO143" i="2"/>
  <c r="NT143" i="2" s="1"/>
  <c r="NN143" i="2"/>
  <c r="NE143" i="2"/>
  <c r="ND143" i="2"/>
  <c r="NB143" i="2"/>
  <c r="MW143" i="2"/>
  <c r="MS143" i="2"/>
  <c r="MV143" i="2"/>
  <c r="MH143" i="2"/>
  <c r="MU143" i="2"/>
  <c r="MT143" i="2"/>
  <c r="MY143" i="2" s="1"/>
  <c r="LY143" i="2"/>
  <c r="MB143" i="2"/>
  <c r="LX143" i="2"/>
  <c r="MA143" i="2"/>
  <c r="MG143" i="2"/>
  <c r="LZ143" i="2"/>
  <c r="LL143" i="2"/>
  <c r="LE143" i="2"/>
  <c r="JB143" i="2"/>
  <c r="LM143" i="2"/>
  <c r="LD143" i="2"/>
  <c r="KR143" i="2"/>
  <c r="LG143" i="2"/>
  <c r="LC143" i="2"/>
  <c r="LO143" i="2"/>
  <c r="LN143" i="2"/>
  <c r="LF143" i="2"/>
  <c r="KT143" i="2"/>
  <c r="KS143" i="2"/>
  <c r="JA143" i="2"/>
  <c r="KQ143" i="2"/>
  <c r="JO143" i="2"/>
  <c r="JD143" i="2"/>
  <c r="JV143" i="2"/>
  <c r="KL143" i="2"/>
  <c r="JY143" i="2"/>
  <c r="JX143" i="2"/>
  <c r="JN143" i="2"/>
  <c r="JW143" i="2"/>
  <c r="JQ143" i="2"/>
  <c r="KK143" i="2"/>
  <c r="JM143" i="2"/>
  <c r="JP143" i="2"/>
  <c r="JC143" i="2"/>
  <c r="IT143" i="2"/>
  <c r="IG143" i="2"/>
  <c r="HF143" i="2"/>
  <c r="IS143" i="2"/>
  <c r="HN143" i="2"/>
  <c r="IV143" i="2"/>
  <c r="IR143" i="2"/>
  <c r="II143" i="2"/>
  <c r="HD143" i="2"/>
  <c r="IU143" i="2"/>
  <c r="IH143" i="2"/>
  <c r="IF143" i="2"/>
  <c r="HE143" i="2"/>
  <c r="HZ143" i="2"/>
  <c r="HM143" i="2"/>
  <c r="HK143" i="2"/>
  <c r="HY143" i="2"/>
  <c r="HX143" i="2"/>
  <c r="HL143" i="2"/>
  <c r="IA143" i="2"/>
  <c r="HW143" i="2"/>
  <c r="HG142" i="2"/>
  <c r="HI142" i="2"/>
  <c r="IW142" i="2"/>
  <c r="IZ141" i="2"/>
  <c r="MZ143" i="2"/>
  <c r="NU143" i="2"/>
  <c r="KO142" i="2"/>
  <c r="KM141" i="2"/>
  <c r="KP140" i="2"/>
  <c r="KN141" i="2"/>
  <c r="KN142" i="2" s="1"/>
  <c r="EC142" i="2"/>
  <c r="EW142" i="2"/>
  <c r="FS142" i="2"/>
  <c r="EX142" i="2"/>
  <c r="EB142" i="2"/>
  <c r="EV142" i="2"/>
  <c r="GN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ME143" i="2" l="1"/>
  <c r="LI143" i="2"/>
  <c r="JT143" i="2"/>
  <c r="IY143" i="2"/>
  <c r="ID143" i="2"/>
  <c r="HH143" i="2"/>
  <c r="IW143" i="2"/>
  <c r="IZ142" i="2"/>
  <c r="MC143" i="2"/>
  <c r="MF142" i="2"/>
  <c r="NS143" i="2"/>
  <c r="NV142" i="2"/>
  <c r="MD143" i="2"/>
  <c r="PK143" i="2"/>
  <c r="IB143" i="2"/>
  <c r="IE142" i="2"/>
  <c r="JS143" i="2"/>
  <c r="KI144" i="2"/>
  <c r="KH144" i="2"/>
  <c r="KJ144" i="2"/>
  <c r="PG144" i="2"/>
  <c r="PE144" i="2"/>
  <c r="PJ144" i="2" s="1"/>
  <c r="MI144" i="2"/>
  <c r="OU144" i="2"/>
  <c r="PD144" i="2"/>
  <c r="PH144" i="2"/>
  <c r="MJ144" i="2"/>
  <c r="OT144" i="2"/>
  <c r="PF144" i="2"/>
  <c r="OS144" i="2"/>
  <c r="OM144" i="2"/>
  <c r="OR144" i="2"/>
  <c r="OL144" i="2"/>
  <c r="OK144" i="2"/>
  <c r="OJ144" i="2"/>
  <c r="OO144" i="2" s="1"/>
  <c r="OI144" i="2"/>
  <c r="NX144" i="2"/>
  <c r="NZ144" i="2"/>
  <c r="NY144" i="2"/>
  <c r="NW144" i="2"/>
  <c r="NO144" i="2"/>
  <c r="NT144" i="2" s="1"/>
  <c r="NR144" i="2"/>
  <c r="NQ144" i="2"/>
  <c r="NP144" i="2"/>
  <c r="NC144" i="2"/>
  <c r="NN144" i="2"/>
  <c r="NE144" i="2"/>
  <c r="ND144" i="2"/>
  <c r="MT144" i="2"/>
  <c r="MY144" i="2" s="1"/>
  <c r="MW144" i="2"/>
  <c r="MS144" i="2"/>
  <c r="NB144" i="2"/>
  <c r="MV144" i="2"/>
  <c r="MH144" i="2"/>
  <c r="MU144" i="2"/>
  <c r="MG144" i="2"/>
  <c r="LZ144" i="2"/>
  <c r="LY144" i="2"/>
  <c r="MB144" i="2"/>
  <c r="LX144" i="2"/>
  <c r="MA144" i="2"/>
  <c r="LO144" i="2"/>
  <c r="LN144" i="2"/>
  <c r="LF144" i="2"/>
  <c r="KT144" i="2"/>
  <c r="KS144" i="2"/>
  <c r="JA144" i="2"/>
  <c r="LL144" i="2"/>
  <c r="LE144" i="2"/>
  <c r="JB144" i="2"/>
  <c r="LM144" i="2"/>
  <c r="LD144" i="2"/>
  <c r="LI144" i="2" s="1"/>
  <c r="KR144" i="2"/>
  <c r="LG144" i="2"/>
  <c r="LC144" i="2"/>
  <c r="KK144" i="2"/>
  <c r="JM144" i="2"/>
  <c r="KQ144" i="2"/>
  <c r="JO144" i="2"/>
  <c r="JD144" i="2"/>
  <c r="JV144" i="2"/>
  <c r="KL144" i="2"/>
  <c r="JY144" i="2"/>
  <c r="JX144" i="2"/>
  <c r="JN144" i="2"/>
  <c r="JW144" i="2"/>
  <c r="JQ144" i="2"/>
  <c r="IU144" i="2"/>
  <c r="IH144" i="2"/>
  <c r="IF144" i="2"/>
  <c r="HE144" i="2"/>
  <c r="IT144" i="2"/>
  <c r="IG144" i="2"/>
  <c r="HF144" i="2"/>
  <c r="JP144" i="2"/>
  <c r="JC144" i="2"/>
  <c r="IS144" i="2"/>
  <c r="IY144" i="2" s="1"/>
  <c r="HN144" i="2"/>
  <c r="IV144" i="2"/>
  <c r="IR144" i="2"/>
  <c r="II144" i="2"/>
  <c r="HD144" i="2"/>
  <c r="HL144" i="2"/>
  <c r="IA144" i="2"/>
  <c r="HW144" i="2"/>
  <c r="HZ144" i="2"/>
  <c r="HM144" i="2"/>
  <c r="HK144" i="2"/>
  <c r="HY144" i="2"/>
  <c r="HX144" i="2"/>
  <c r="ID144" i="2" s="1"/>
  <c r="ON143" i="2"/>
  <c r="OQ142" i="2"/>
  <c r="IX143" i="2"/>
  <c r="IX144" i="2" s="1"/>
  <c r="IC143" i="2"/>
  <c r="LH143" i="2"/>
  <c r="LK142" i="2"/>
  <c r="LJ143" i="2"/>
  <c r="NU144" i="2"/>
  <c r="MX143" i="2"/>
  <c r="NA142" i="2"/>
  <c r="JR143" i="2"/>
  <c r="JU142" i="2"/>
  <c r="PI143" i="2"/>
  <c r="PL142" i="2"/>
  <c r="OP143" i="2"/>
  <c r="OP144" i="2" s="1"/>
  <c r="KM142" i="2"/>
  <c r="KP141" i="2"/>
  <c r="KO143" i="2"/>
  <c r="HI143" i="2"/>
  <c r="HG143" i="2"/>
  <c r="FS143" i="2"/>
  <c r="EA143" i="2"/>
  <c r="EC143" i="2"/>
  <c r="EX143" i="2"/>
  <c r="EV143" i="2"/>
  <c r="GN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LJ144" i="2" l="1"/>
  <c r="HH144" i="2"/>
  <c r="JT144" i="2"/>
  <c r="ME144" i="2"/>
  <c r="IC144" i="2"/>
  <c r="JR144" i="2"/>
  <c r="JU143" i="2"/>
  <c r="MX144" i="2"/>
  <c r="NA143" i="2"/>
  <c r="PK144" i="2"/>
  <c r="MZ144" i="2"/>
  <c r="IW144" i="2"/>
  <c r="IZ143" i="2"/>
  <c r="JS144" i="2"/>
  <c r="MD144" i="2"/>
  <c r="MC144" i="2"/>
  <c r="MF143" i="2"/>
  <c r="PI144" i="2"/>
  <c r="PL143" i="2"/>
  <c r="KJ145" i="2"/>
  <c r="KI145" i="2"/>
  <c r="KH145" i="2"/>
  <c r="OU145" i="2"/>
  <c r="PF145" i="2"/>
  <c r="MJ145" i="2"/>
  <c r="PE145" i="2"/>
  <c r="PJ145" i="2" s="1"/>
  <c r="MI145" i="2"/>
  <c r="OT145" i="2"/>
  <c r="PD145" i="2"/>
  <c r="PG145" i="2"/>
  <c r="PH145" i="2"/>
  <c r="OS145" i="2"/>
  <c r="OR145" i="2"/>
  <c r="OM145" i="2"/>
  <c r="OL145" i="2"/>
  <c r="OK145" i="2"/>
  <c r="OJ145" i="2"/>
  <c r="OO145" i="2" s="1"/>
  <c r="OI145" i="2"/>
  <c r="NX145" i="2"/>
  <c r="NR145" i="2"/>
  <c r="NP145" i="2"/>
  <c r="NZ145" i="2"/>
  <c r="NY145" i="2"/>
  <c r="NW145" i="2"/>
  <c r="NO145" i="2"/>
  <c r="NT145" i="2" s="1"/>
  <c r="NE145" i="2"/>
  <c r="ND145" i="2"/>
  <c r="NQ145" i="2"/>
  <c r="NC145" i="2"/>
  <c r="NN145" i="2"/>
  <c r="MU145" i="2"/>
  <c r="MT145" i="2"/>
  <c r="MY145" i="2" s="1"/>
  <c r="MW145" i="2"/>
  <c r="MS145" i="2"/>
  <c r="NB145" i="2"/>
  <c r="MV145" i="2"/>
  <c r="MH145" i="2"/>
  <c r="MA145" i="2"/>
  <c r="MG145" i="2"/>
  <c r="LZ145" i="2"/>
  <c r="LY145" i="2"/>
  <c r="MB145" i="2"/>
  <c r="LX145" i="2"/>
  <c r="LG145" i="2"/>
  <c r="LC145" i="2"/>
  <c r="LO145" i="2"/>
  <c r="LN145" i="2"/>
  <c r="LF145" i="2"/>
  <c r="KT145" i="2"/>
  <c r="KS145" i="2"/>
  <c r="JA145" i="2"/>
  <c r="LL145" i="2"/>
  <c r="LE145" i="2"/>
  <c r="JB145" i="2"/>
  <c r="LM145" i="2"/>
  <c r="LD145" i="2"/>
  <c r="KR145" i="2"/>
  <c r="KL145" i="2"/>
  <c r="JY145" i="2"/>
  <c r="JX145" i="2"/>
  <c r="JN145" i="2"/>
  <c r="JW145" i="2"/>
  <c r="JQ145" i="2"/>
  <c r="KK145" i="2"/>
  <c r="JM145" i="2"/>
  <c r="KQ145" i="2"/>
  <c r="JO145" i="2"/>
  <c r="JD145" i="2"/>
  <c r="JV145" i="2"/>
  <c r="IV145" i="2"/>
  <c r="IR145" i="2"/>
  <c r="II145" i="2"/>
  <c r="HD145" i="2"/>
  <c r="IU145" i="2"/>
  <c r="IH145" i="2"/>
  <c r="IF145" i="2"/>
  <c r="HE145" i="2"/>
  <c r="IT145" i="2"/>
  <c r="IG145" i="2"/>
  <c r="HF145" i="2"/>
  <c r="JP145" i="2"/>
  <c r="JC145" i="2"/>
  <c r="IS145" i="2"/>
  <c r="IY145" i="2" s="1"/>
  <c r="HN145" i="2"/>
  <c r="HX145" i="2"/>
  <c r="HL145" i="2"/>
  <c r="IA145" i="2"/>
  <c r="HW145" i="2"/>
  <c r="HZ145" i="2"/>
  <c r="HM145" i="2"/>
  <c r="HK145" i="2"/>
  <c r="HY145" i="2"/>
  <c r="LH144" i="2"/>
  <c r="LK143" i="2"/>
  <c r="ON144" i="2"/>
  <c r="OQ143" i="2"/>
  <c r="IB144" i="2"/>
  <c r="IE143" i="2"/>
  <c r="NS144" i="2"/>
  <c r="NV143" i="2"/>
  <c r="KM143" i="2"/>
  <c r="KP142" i="2"/>
  <c r="KO144" i="2"/>
  <c r="KN143" i="2"/>
  <c r="KN144" i="2" s="1"/>
  <c r="HG144" i="2"/>
  <c r="HI144" i="2"/>
  <c r="EX144" i="2"/>
  <c r="EB144" i="2"/>
  <c r="FR144" i="2"/>
  <c r="EA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LJ145" i="2" l="1"/>
  <c r="JT145" i="2"/>
  <c r="ME145" i="2"/>
  <c r="IC145" i="2"/>
  <c r="HH145" i="2"/>
  <c r="ON145" i="2"/>
  <c r="OQ144" i="2"/>
  <c r="OP145" i="2"/>
  <c r="LI145" i="2"/>
  <c r="IB145" i="2"/>
  <c r="IE144" i="2"/>
  <c r="PI145" i="2"/>
  <c r="PL144" i="2"/>
  <c r="MC145" i="2"/>
  <c r="MF144" i="2"/>
  <c r="IW145" i="2"/>
  <c r="IZ144" i="2"/>
  <c r="MZ145" i="2"/>
  <c r="MX145" i="2"/>
  <c r="NA144" i="2"/>
  <c r="ID145" i="2"/>
  <c r="LH145" i="2"/>
  <c r="LK144" i="2"/>
  <c r="MD145" i="2"/>
  <c r="IX145" i="2"/>
  <c r="KJ146" i="2"/>
  <c r="KI146" i="2"/>
  <c r="KH146" i="2"/>
  <c r="OT146" i="2"/>
  <c r="PE146" i="2"/>
  <c r="PJ146" i="2" s="1"/>
  <c r="PF146" i="2"/>
  <c r="MI146" i="2"/>
  <c r="MJ146" i="2"/>
  <c r="OU146" i="2"/>
  <c r="PD146" i="2"/>
  <c r="PG146" i="2"/>
  <c r="PH146" i="2"/>
  <c r="OS146" i="2"/>
  <c r="OR146" i="2"/>
  <c r="OM146" i="2"/>
  <c r="OK146" i="2"/>
  <c r="OL146" i="2"/>
  <c r="OI146" i="2"/>
  <c r="OJ146" i="2"/>
  <c r="OO146" i="2" s="1"/>
  <c r="NZ146" i="2"/>
  <c r="NY146" i="2"/>
  <c r="NX146" i="2"/>
  <c r="NW146" i="2"/>
  <c r="NR146" i="2"/>
  <c r="NQ146" i="2"/>
  <c r="NP146" i="2"/>
  <c r="NN146" i="2"/>
  <c r="NE146" i="2"/>
  <c r="ND146" i="2"/>
  <c r="NO146" i="2"/>
  <c r="NT146" i="2" s="1"/>
  <c r="NB146" i="2"/>
  <c r="NC146" i="2"/>
  <c r="MV146" i="2"/>
  <c r="MU146" i="2"/>
  <c r="MT146" i="2"/>
  <c r="MY146" i="2" s="1"/>
  <c r="MW146" i="2"/>
  <c r="MB146" i="2"/>
  <c r="LX146" i="2"/>
  <c r="MS146" i="2"/>
  <c r="MH146" i="2"/>
  <c r="MA146" i="2"/>
  <c r="MG146" i="2"/>
  <c r="LZ146" i="2"/>
  <c r="LY146" i="2"/>
  <c r="LM146" i="2"/>
  <c r="LD146" i="2"/>
  <c r="KR146" i="2"/>
  <c r="LG146" i="2"/>
  <c r="LC146" i="2"/>
  <c r="LO146" i="2"/>
  <c r="LN146" i="2"/>
  <c r="LF146" i="2"/>
  <c r="KT146" i="2"/>
  <c r="KS146" i="2"/>
  <c r="JA146" i="2"/>
  <c r="LL146" i="2"/>
  <c r="LE146" i="2"/>
  <c r="JB146" i="2"/>
  <c r="JO146" i="2"/>
  <c r="JD146" i="2"/>
  <c r="JV146" i="2"/>
  <c r="KL146" i="2"/>
  <c r="JY146" i="2"/>
  <c r="JX146" i="2"/>
  <c r="JN146" i="2"/>
  <c r="JW146" i="2"/>
  <c r="JQ146" i="2"/>
  <c r="KK146" i="2"/>
  <c r="JM146" i="2"/>
  <c r="JP146" i="2"/>
  <c r="JC146" i="2"/>
  <c r="KQ146" i="2"/>
  <c r="IS146" i="2"/>
  <c r="IY146" i="2" s="1"/>
  <c r="HN146" i="2"/>
  <c r="IV146" i="2"/>
  <c r="IR146" i="2"/>
  <c r="II146" i="2"/>
  <c r="HD146" i="2"/>
  <c r="IU146" i="2"/>
  <c r="IH146" i="2"/>
  <c r="IF146" i="2"/>
  <c r="HE146" i="2"/>
  <c r="IT146" i="2"/>
  <c r="IG146" i="2"/>
  <c r="HF146" i="2"/>
  <c r="HM146" i="2"/>
  <c r="HK146" i="2"/>
  <c r="HY146" i="2"/>
  <c r="HX146" i="2"/>
  <c r="HL146" i="2"/>
  <c r="IA146" i="2"/>
  <c r="HW146" i="2"/>
  <c r="HZ146" i="2"/>
  <c r="NS145" i="2"/>
  <c r="NV144" i="2"/>
  <c r="JS145" i="2"/>
  <c r="PK145" i="2"/>
  <c r="PK146" i="2" s="1"/>
  <c r="NU145" i="2"/>
  <c r="NU146" i="2" s="1"/>
  <c r="JR145" i="2"/>
  <c r="JU144" i="2"/>
  <c r="KO145" i="2"/>
  <c r="KM144" i="2"/>
  <c r="KP143" i="2"/>
  <c r="HI145" i="2"/>
  <c r="HG145" i="2"/>
  <c r="EX145" i="2"/>
  <c r="FR145" i="2"/>
  <c r="EA145" i="2"/>
  <c r="EB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JS146" i="2" l="1"/>
  <c r="ME146" i="2"/>
  <c r="LJ146" i="2"/>
  <c r="JT146" i="2"/>
  <c r="IC146" i="2"/>
  <c r="HH146" i="2"/>
  <c r="MX146" i="2"/>
  <c r="NA145" i="2"/>
  <c r="JU145" i="2"/>
  <c r="JR146" i="2"/>
  <c r="IX146" i="2"/>
  <c r="MC146" i="2"/>
  <c r="MF145" i="2"/>
  <c r="IB146" i="2"/>
  <c r="IE145" i="2"/>
  <c r="LI146" i="2"/>
  <c r="PK147" i="2"/>
  <c r="KI147" i="2"/>
  <c r="KJ147" i="2"/>
  <c r="KH147" i="2"/>
  <c r="PD147" i="2"/>
  <c r="PH147" i="2"/>
  <c r="OT147" i="2"/>
  <c r="PG147" i="2"/>
  <c r="PF147" i="2"/>
  <c r="MI147" i="2"/>
  <c r="PE147" i="2"/>
  <c r="PJ147" i="2" s="1"/>
  <c r="MJ147" i="2"/>
  <c r="OU147" i="2"/>
  <c r="OS147" i="2"/>
  <c r="OR147" i="2"/>
  <c r="OM147" i="2"/>
  <c r="OK147" i="2"/>
  <c r="OI147" i="2"/>
  <c r="OL147" i="2"/>
  <c r="OJ147" i="2"/>
  <c r="OO147" i="2" s="1"/>
  <c r="NZ147" i="2"/>
  <c r="NY147" i="2"/>
  <c r="NX147" i="2"/>
  <c r="NW147" i="2"/>
  <c r="NR147" i="2"/>
  <c r="NQ147" i="2"/>
  <c r="NC147" i="2"/>
  <c r="NN147" i="2"/>
  <c r="NP147" i="2"/>
  <c r="NE147" i="2"/>
  <c r="ND147" i="2"/>
  <c r="NO147" i="2"/>
  <c r="NT147" i="2" s="1"/>
  <c r="NB147" i="2"/>
  <c r="MW147" i="2"/>
  <c r="MS147" i="2"/>
  <c r="MV147" i="2"/>
  <c r="MH147" i="2"/>
  <c r="MU147" i="2"/>
  <c r="MT147" i="2"/>
  <c r="MY147" i="2" s="1"/>
  <c r="LY147" i="2"/>
  <c r="ME147" i="2" s="1"/>
  <c r="MB147" i="2"/>
  <c r="LX147" i="2"/>
  <c r="MA147" i="2"/>
  <c r="MG147" i="2"/>
  <c r="LZ147" i="2"/>
  <c r="LL147" i="2"/>
  <c r="LE147" i="2"/>
  <c r="JB147" i="2"/>
  <c r="LM147" i="2"/>
  <c r="LD147" i="2"/>
  <c r="KR147" i="2"/>
  <c r="LG147" i="2"/>
  <c r="LC147" i="2"/>
  <c r="LO147" i="2"/>
  <c r="LN147" i="2"/>
  <c r="LF147" i="2"/>
  <c r="KT147" i="2"/>
  <c r="KS147" i="2"/>
  <c r="JA147" i="2"/>
  <c r="KQ147" i="2"/>
  <c r="JO147" i="2"/>
  <c r="JD147" i="2"/>
  <c r="JV147" i="2"/>
  <c r="KL147" i="2"/>
  <c r="JY147" i="2"/>
  <c r="JX147" i="2"/>
  <c r="JN147" i="2"/>
  <c r="JW147" i="2"/>
  <c r="JQ147" i="2"/>
  <c r="KK147" i="2"/>
  <c r="JM147" i="2"/>
  <c r="JP147" i="2"/>
  <c r="JC147" i="2"/>
  <c r="IT147" i="2"/>
  <c r="IG147" i="2"/>
  <c r="HF147" i="2"/>
  <c r="IS147" i="2"/>
  <c r="HN147" i="2"/>
  <c r="IV147" i="2"/>
  <c r="IR147" i="2"/>
  <c r="II147" i="2"/>
  <c r="HD147" i="2"/>
  <c r="IU147" i="2"/>
  <c r="IH147" i="2"/>
  <c r="IF147" i="2"/>
  <c r="HE147" i="2"/>
  <c r="HZ147" i="2"/>
  <c r="HM147" i="2"/>
  <c r="HK147" i="2"/>
  <c r="HY147" i="2"/>
  <c r="HX147" i="2"/>
  <c r="HL147" i="2"/>
  <c r="IA147" i="2"/>
  <c r="HW147" i="2"/>
  <c r="MD146" i="2"/>
  <c r="LH146" i="2"/>
  <c r="LK145" i="2"/>
  <c r="ID146" i="2"/>
  <c r="ID147" i="2" s="1"/>
  <c r="IW146" i="2"/>
  <c r="IZ145" i="2"/>
  <c r="PI146" i="2"/>
  <c r="PL145" i="2"/>
  <c r="OP146" i="2"/>
  <c r="OP147" i="2" s="1"/>
  <c r="ON146" i="2"/>
  <c r="OQ145" i="2"/>
  <c r="NS146" i="2"/>
  <c r="NV145" i="2"/>
  <c r="MZ146" i="2"/>
  <c r="MZ147" i="2" s="1"/>
  <c r="KM145" i="2"/>
  <c r="KP144" i="2"/>
  <c r="KO146" i="2"/>
  <c r="KN145" i="2"/>
  <c r="HG146" i="2"/>
  <c r="HI146" i="2"/>
  <c r="FS146" i="2"/>
  <c r="EA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LJ147" i="2" l="1"/>
  <c r="MD147" i="2"/>
  <c r="IY147" i="2"/>
  <c r="JS147" i="2"/>
  <c r="IC147" i="2"/>
  <c r="HH147" i="2"/>
  <c r="MX147" i="2"/>
  <c r="NA146" i="2"/>
  <c r="KI148" i="2"/>
  <c r="KH148" i="2"/>
  <c r="KJ148" i="2"/>
  <c r="PG148" i="2"/>
  <c r="OU148" i="2"/>
  <c r="PD148" i="2"/>
  <c r="PH148" i="2"/>
  <c r="MI148" i="2"/>
  <c r="OT148" i="2"/>
  <c r="PE148" i="2"/>
  <c r="PJ148" i="2" s="1"/>
  <c r="PF148" i="2"/>
  <c r="MJ148" i="2"/>
  <c r="OS148" i="2"/>
  <c r="OM148" i="2"/>
  <c r="OR148" i="2"/>
  <c r="OL148" i="2"/>
  <c r="OK148" i="2"/>
  <c r="OJ148" i="2"/>
  <c r="OO148" i="2" s="1"/>
  <c r="OI148" i="2"/>
  <c r="NX148" i="2"/>
  <c r="NZ148" i="2"/>
  <c r="NY148" i="2"/>
  <c r="NW148" i="2"/>
  <c r="NO148" i="2"/>
  <c r="NT148" i="2" s="1"/>
  <c r="NR148" i="2"/>
  <c r="NC148" i="2"/>
  <c r="NQ148" i="2"/>
  <c r="NN148" i="2"/>
  <c r="NP148" i="2"/>
  <c r="NE148" i="2"/>
  <c r="ND148" i="2"/>
  <c r="NB148" i="2"/>
  <c r="MT148" i="2"/>
  <c r="MY148" i="2" s="1"/>
  <c r="MW148" i="2"/>
  <c r="MS148" i="2"/>
  <c r="MV148" i="2"/>
  <c r="MH148" i="2"/>
  <c r="MU148" i="2"/>
  <c r="MG148" i="2"/>
  <c r="LZ148" i="2"/>
  <c r="LY148" i="2"/>
  <c r="ME148" i="2" s="1"/>
  <c r="MB148" i="2"/>
  <c r="LX148" i="2"/>
  <c r="MA148" i="2"/>
  <c r="LO148" i="2"/>
  <c r="LN148" i="2"/>
  <c r="LF148" i="2"/>
  <c r="KT148" i="2"/>
  <c r="KS148" i="2"/>
  <c r="JA148" i="2"/>
  <c r="LL148" i="2"/>
  <c r="LE148" i="2"/>
  <c r="JB148" i="2"/>
  <c r="LM148" i="2"/>
  <c r="LD148" i="2"/>
  <c r="KR148" i="2"/>
  <c r="LG148" i="2"/>
  <c r="LC148" i="2"/>
  <c r="KK148" i="2"/>
  <c r="JM148" i="2"/>
  <c r="KQ148" i="2"/>
  <c r="JO148" i="2"/>
  <c r="JD148" i="2"/>
  <c r="JV148" i="2"/>
  <c r="KL148" i="2"/>
  <c r="JY148" i="2"/>
  <c r="JX148" i="2"/>
  <c r="JN148" i="2"/>
  <c r="JW148" i="2"/>
  <c r="JQ148" i="2"/>
  <c r="JP148" i="2"/>
  <c r="JC148" i="2"/>
  <c r="IU148" i="2"/>
  <c r="IH148" i="2"/>
  <c r="IF148" i="2"/>
  <c r="HE148" i="2"/>
  <c r="IT148" i="2"/>
  <c r="IG148" i="2"/>
  <c r="HF148" i="2"/>
  <c r="IS148" i="2"/>
  <c r="HN148" i="2"/>
  <c r="IV148" i="2"/>
  <c r="IR148" i="2"/>
  <c r="II148" i="2"/>
  <c r="HD148" i="2"/>
  <c r="HL148" i="2"/>
  <c r="IA148" i="2"/>
  <c r="HW148" i="2"/>
  <c r="HZ148" i="2"/>
  <c r="HM148" i="2"/>
  <c r="HK148" i="2"/>
  <c r="HY148" i="2"/>
  <c r="HX148" i="2"/>
  <c r="OP148" i="2"/>
  <c r="MZ148" i="2"/>
  <c r="IW147" i="2"/>
  <c r="IZ146" i="2"/>
  <c r="LH147" i="2"/>
  <c r="LK146" i="2"/>
  <c r="NU147" i="2"/>
  <c r="NU148" i="2" s="1"/>
  <c r="IB147" i="2"/>
  <c r="IE146" i="2"/>
  <c r="MF146" i="2"/>
  <c r="MC147" i="2"/>
  <c r="IX147" i="2"/>
  <c r="JT147" i="2"/>
  <c r="JT148" i="2" s="1"/>
  <c r="NS147" i="2"/>
  <c r="NV146" i="2"/>
  <c r="ON147" i="2"/>
  <c r="OQ146" i="2"/>
  <c r="PI147" i="2"/>
  <c r="PL146" i="2"/>
  <c r="MD148" i="2"/>
  <c r="LI147" i="2"/>
  <c r="JU146" i="2"/>
  <c r="JR147" i="2"/>
  <c r="KM146" i="2"/>
  <c r="KP145" i="2"/>
  <c r="KO147" i="2"/>
  <c r="KN146" i="2"/>
  <c r="HI147" i="2"/>
  <c r="HG147" i="2"/>
  <c r="EX147" i="2"/>
  <c r="EW147" i="2"/>
  <c r="EC147" i="2"/>
  <c r="FS147" i="2"/>
  <c r="GN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FO148" i="2"/>
  <c r="GI148" i="2"/>
  <c r="GJ148" i="2"/>
  <c r="ES148" i="2"/>
  <c r="DX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LI148" i="2" l="1"/>
  <c r="LJ148" i="2"/>
  <c r="JS148" i="2"/>
  <c r="IY148" i="2"/>
  <c r="IX148" i="2"/>
  <c r="IC148" i="2"/>
  <c r="HH148" i="2"/>
  <c r="ON148" i="2"/>
  <c r="OQ147" i="2"/>
  <c r="LH148" i="2"/>
  <c r="LK147" i="2"/>
  <c r="KJ149" i="2"/>
  <c r="KI149" i="2"/>
  <c r="KH149" i="2"/>
  <c r="OU149" i="2"/>
  <c r="PF149" i="2"/>
  <c r="PE149" i="2"/>
  <c r="PJ149" i="2" s="1"/>
  <c r="MJ149" i="2"/>
  <c r="PD149" i="2"/>
  <c r="PG149" i="2"/>
  <c r="PH149" i="2"/>
  <c r="MI149" i="2"/>
  <c r="OT149" i="2"/>
  <c r="OS149" i="2"/>
  <c r="OR149" i="2"/>
  <c r="OM149" i="2"/>
  <c r="OL149" i="2"/>
  <c r="OK149" i="2"/>
  <c r="OJ149" i="2"/>
  <c r="OO149" i="2" s="1"/>
  <c r="OI149" i="2"/>
  <c r="NX149" i="2"/>
  <c r="NR149" i="2"/>
  <c r="NZ149" i="2"/>
  <c r="NY149" i="2"/>
  <c r="NP149" i="2"/>
  <c r="NW149" i="2"/>
  <c r="NO149" i="2"/>
  <c r="NT149" i="2" s="1"/>
  <c r="NE149" i="2"/>
  <c r="ND149" i="2"/>
  <c r="NC149" i="2"/>
  <c r="NQ149" i="2"/>
  <c r="NN149" i="2"/>
  <c r="MU149" i="2"/>
  <c r="NB149" i="2"/>
  <c r="MT149" i="2"/>
  <c r="MY149" i="2" s="1"/>
  <c r="MW149" i="2"/>
  <c r="MS149" i="2"/>
  <c r="MV149" i="2"/>
  <c r="MA149" i="2"/>
  <c r="MG149" i="2"/>
  <c r="LZ149" i="2"/>
  <c r="MH149" i="2"/>
  <c r="LY149" i="2"/>
  <c r="ME149" i="2" s="1"/>
  <c r="MB149" i="2"/>
  <c r="LX149" i="2"/>
  <c r="LG149" i="2"/>
  <c r="LC149" i="2"/>
  <c r="LO149" i="2"/>
  <c r="LN149" i="2"/>
  <c r="LF149" i="2"/>
  <c r="LI149" i="2" s="1"/>
  <c r="KT149" i="2"/>
  <c r="KS149" i="2"/>
  <c r="JA149" i="2"/>
  <c r="LL149" i="2"/>
  <c r="LE149" i="2"/>
  <c r="JB149" i="2"/>
  <c r="LM149" i="2"/>
  <c r="LD149" i="2"/>
  <c r="KR149" i="2"/>
  <c r="KL149" i="2"/>
  <c r="JY149" i="2"/>
  <c r="JX149" i="2"/>
  <c r="JN149" i="2"/>
  <c r="JT149" i="2" s="1"/>
  <c r="JW149" i="2"/>
  <c r="JQ149" i="2"/>
  <c r="KK149" i="2"/>
  <c r="JM149" i="2"/>
  <c r="KQ149" i="2"/>
  <c r="JO149" i="2"/>
  <c r="JD149" i="2"/>
  <c r="JV149" i="2"/>
  <c r="IV149" i="2"/>
  <c r="IR149" i="2"/>
  <c r="II149" i="2"/>
  <c r="HD149" i="2"/>
  <c r="JP149" i="2"/>
  <c r="JC149" i="2"/>
  <c r="IU149" i="2"/>
  <c r="IH149" i="2"/>
  <c r="IF149" i="2"/>
  <c r="HE149" i="2"/>
  <c r="IT149" i="2"/>
  <c r="IG149" i="2"/>
  <c r="HF149" i="2"/>
  <c r="IS149" i="2"/>
  <c r="HN149" i="2"/>
  <c r="HX149" i="2"/>
  <c r="HL149" i="2"/>
  <c r="IA149" i="2"/>
  <c r="HW149" i="2"/>
  <c r="HZ149" i="2"/>
  <c r="HM149" i="2"/>
  <c r="HK149" i="2"/>
  <c r="HY149" i="2"/>
  <c r="JR148" i="2"/>
  <c r="JU147" i="2"/>
  <c r="MX148" i="2"/>
  <c r="NA147" i="2"/>
  <c r="PI148" i="2"/>
  <c r="PL147" i="2"/>
  <c r="NS148" i="2"/>
  <c r="NV147" i="2"/>
  <c r="MC148" i="2"/>
  <c r="MF147" i="2"/>
  <c r="IW148" i="2"/>
  <c r="IZ147" i="2"/>
  <c r="OP149" i="2"/>
  <c r="PK148" i="2"/>
  <c r="PK149" i="2" s="1"/>
  <c r="ID148" i="2"/>
  <c r="IB148" i="2"/>
  <c r="IE147" i="2"/>
  <c r="MZ149" i="2"/>
  <c r="KM147" i="2"/>
  <c r="KP146" i="2"/>
  <c r="KO148" i="2"/>
  <c r="KN147" i="2"/>
  <c r="KN148" i="2" s="1"/>
  <c r="HG148" i="2"/>
  <c r="HI148" i="2"/>
  <c r="EX148" i="2"/>
  <c r="FS148" i="2"/>
  <c r="EC148" i="2"/>
  <c r="EA148" i="2"/>
  <c r="EV148" i="2"/>
  <c r="GN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GJ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GR149" i="2"/>
  <c r="HC149" i="2"/>
  <c r="HH149" i="2" s="1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LJ149" i="2" l="1"/>
  <c r="IX149" i="2"/>
  <c r="IY149" i="2"/>
  <c r="ID149" i="2"/>
  <c r="IC149" i="2"/>
  <c r="HI149" i="2"/>
  <c r="IB149" i="2"/>
  <c r="IE148" i="2"/>
  <c r="NS149" i="2"/>
  <c r="NV148" i="2"/>
  <c r="MX149" i="2"/>
  <c r="NA148" i="2"/>
  <c r="ON149" i="2"/>
  <c r="OQ148" i="2"/>
  <c r="JS149" i="2"/>
  <c r="MC149" i="2"/>
  <c r="MF148" i="2"/>
  <c r="JR149" i="2"/>
  <c r="JU148" i="2"/>
  <c r="LH149" i="2"/>
  <c r="LK148" i="2"/>
  <c r="MD149" i="2"/>
  <c r="PI149" i="2"/>
  <c r="PL148" i="2"/>
  <c r="KJ150" i="2"/>
  <c r="KH150" i="2"/>
  <c r="KI150" i="2"/>
  <c r="OT150" i="2"/>
  <c r="PE150" i="2"/>
  <c r="PJ150" i="2" s="1"/>
  <c r="OU150" i="2"/>
  <c r="PD150" i="2"/>
  <c r="PF150" i="2"/>
  <c r="PG150" i="2"/>
  <c r="PH150" i="2"/>
  <c r="MJ150" i="2"/>
  <c r="MI150" i="2"/>
  <c r="OS150" i="2"/>
  <c r="OR150" i="2"/>
  <c r="OM150" i="2"/>
  <c r="OL150" i="2"/>
  <c r="OK150" i="2"/>
  <c r="OJ150" i="2"/>
  <c r="OO150" i="2" s="1"/>
  <c r="OI150" i="2"/>
  <c r="NZ150" i="2"/>
  <c r="NY150" i="2"/>
  <c r="NW150" i="2"/>
  <c r="NR150" i="2"/>
  <c r="NX150" i="2"/>
  <c r="NQ150" i="2"/>
  <c r="NP150" i="2"/>
  <c r="NO150" i="2"/>
  <c r="NT150" i="2" s="1"/>
  <c r="NN150" i="2"/>
  <c r="NE150" i="2"/>
  <c r="ND150" i="2"/>
  <c r="NB150" i="2"/>
  <c r="NC150" i="2"/>
  <c r="MV150" i="2"/>
  <c r="MU150" i="2"/>
  <c r="MT150" i="2"/>
  <c r="MY150" i="2" s="1"/>
  <c r="MW150" i="2"/>
  <c r="MB150" i="2"/>
  <c r="LX150" i="2"/>
  <c r="MA150" i="2"/>
  <c r="MS150" i="2"/>
  <c r="MG150" i="2"/>
  <c r="LZ150" i="2"/>
  <c r="MH150" i="2"/>
  <c r="LY150" i="2"/>
  <c r="LM150" i="2"/>
  <c r="LD150" i="2"/>
  <c r="KR150" i="2"/>
  <c r="LG150" i="2"/>
  <c r="LC150" i="2"/>
  <c r="LO150" i="2"/>
  <c r="LN150" i="2"/>
  <c r="LF150" i="2"/>
  <c r="KT150" i="2"/>
  <c r="KS150" i="2"/>
  <c r="JA150" i="2"/>
  <c r="LL150" i="2"/>
  <c r="LE150" i="2"/>
  <c r="JB150" i="2"/>
  <c r="JO150" i="2"/>
  <c r="JD150" i="2"/>
  <c r="JV150" i="2"/>
  <c r="KL150" i="2"/>
  <c r="JY150" i="2"/>
  <c r="JX150" i="2"/>
  <c r="JN150" i="2"/>
  <c r="JW150" i="2"/>
  <c r="JQ150" i="2"/>
  <c r="KK150" i="2"/>
  <c r="JM150" i="2"/>
  <c r="JP150" i="2"/>
  <c r="JC150" i="2"/>
  <c r="KQ150" i="2"/>
  <c r="IS150" i="2"/>
  <c r="IX150" i="2" s="1"/>
  <c r="HN150" i="2"/>
  <c r="IV150" i="2"/>
  <c r="IR150" i="2"/>
  <c r="II150" i="2"/>
  <c r="HD150" i="2"/>
  <c r="IU150" i="2"/>
  <c r="IH150" i="2"/>
  <c r="IF150" i="2"/>
  <c r="HE150" i="2"/>
  <c r="IT150" i="2"/>
  <c r="IG150" i="2"/>
  <c r="HF150" i="2"/>
  <c r="HM150" i="2"/>
  <c r="HK150" i="2"/>
  <c r="HY150" i="2"/>
  <c r="HX150" i="2"/>
  <c r="ID150" i="2" s="1"/>
  <c r="HL150" i="2"/>
  <c r="IA150" i="2"/>
  <c r="HW150" i="2"/>
  <c r="HZ150" i="2"/>
  <c r="PK150" i="2"/>
  <c r="IW149" i="2"/>
  <c r="IZ148" i="2"/>
  <c r="NU149" i="2"/>
  <c r="NU150" i="2" s="1"/>
  <c r="KO149" i="2"/>
  <c r="KM148" i="2"/>
  <c r="KP147" i="2"/>
  <c r="HG149" i="2"/>
  <c r="EX149" i="2"/>
  <c r="EC149" i="2"/>
  <c r="FS149" i="2"/>
  <c r="EW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JT150" i="2" l="1"/>
  <c r="ME150" i="2"/>
  <c r="LJ150" i="2"/>
  <c r="IC150" i="2"/>
  <c r="HH150" i="2"/>
  <c r="MZ150" i="2"/>
  <c r="LH150" i="2"/>
  <c r="LK149" i="2"/>
  <c r="OP150" i="2"/>
  <c r="ON150" i="2"/>
  <c r="OQ149" i="2"/>
  <c r="IB150" i="2"/>
  <c r="IE149" i="2"/>
  <c r="IY150" i="2"/>
  <c r="JU149" i="2"/>
  <c r="JR150" i="2"/>
  <c r="LI150" i="2"/>
  <c r="MX150" i="2"/>
  <c r="NA149" i="2"/>
  <c r="PI150" i="2"/>
  <c r="PL149" i="2"/>
  <c r="MD150" i="2"/>
  <c r="JS150" i="2"/>
  <c r="NS150" i="2"/>
  <c r="NV149" i="2"/>
  <c r="KJ151" i="2"/>
  <c r="KH151" i="2"/>
  <c r="KI151" i="2"/>
  <c r="PD151" i="2"/>
  <c r="PH151" i="2"/>
  <c r="PF151" i="2"/>
  <c r="PE151" i="2"/>
  <c r="PK151" i="2" s="1"/>
  <c r="OT151" i="2"/>
  <c r="OU151" i="2"/>
  <c r="PG151" i="2"/>
  <c r="MJ151" i="2"/>
  <c r="MI151" i="2"/>
  <c r="OS151" i="2"/>
  <c r="OR151" i="2"/>
  <c r="OM151" i="2"/>
  <c r="OK151" i="2"/>
  <c r="OL151" i="2"/>
  <c r="OI151" i="2"/>
  <c r="OJ151" i="2"/>
  <c r="OO151" i="2" s="1"/>
  <c r="NZ151" i="2"/>
  <c r="NY151" i="2"/>
  <c r="NW151" i="2"/>
  <c r="NR151" i="2"/>
  <c r="NX151" i="2"/>
  <c r="NQ151" i="2"/>
  <c r="NP151" i="2"/>
  <c r="NC151" i="2"/>
  <c r="NO151" i="2"/>
  <c r="NU151" i="2" s="1"/>
  <c r="NN151" i="2"/>
  <c r="NE151" i="2"/>
  <c r="ND151" i="2"/>
  <c r="NB151" i="2"/>
  <c r="MW151" i="2"/>
  <c r="MS151" i="2"/>
  <c r="MV151" i="2"/>
  <c r="MH151" i="2"/>
  <c r="MU151" i="2"/>
  <c r="MT151" i="2"/>
  <c r="MY151" i="2" s="1"/>
  <c r="LY151" i="2"/>
  <c r="MB151" i="2"/>
  <c r="LX151" i="2"/>
  <c r="MA151" i="2"/>
  <c r="MG151" i="2"/>
  <c r="LZ151" i="2"/>
  <c r="LL151" i="2"/>
  <c r="LE151" i="2"/>
  <c r="JB151" i="2"/>
  <c r="LM151" i="2"/>
  <c r="LD151" i="2"/>
  <c r="KR151" i="2"/>
  <c r="LG151" i="2"/>
  <c r="LC151" i="2"/>
  <c r="LO151" i="2"/>
  <c r="LN151" i="2"/>
  <c r="LF151" i="2"/>
  <c r="KT151" i="2"/>
  <c r="KS151" i="2"/>
  <c r="JA151" i="2"/>
  <c r="KQ151" i="2"/>
  <c r="JO151" i="2"/>
  <c r="JD151" i="2"/>
  <c r="JV151" i="2"/>
  <c r="KL151" i="2"/>
  <c r="JY151" i="2"/>
  <c r="JX151" i="2"/>
  <c r="JN151" i="2"/>
  <c r="JW151" i="2"/>
  <c r="JQ151" i="2"/>
  <c r="KK151" i="2"/>
  <c r="JM151" i="2"/>
  <c r="JP151" i="2"/>
  <c r="JC151" i="2"/>
  <c r="IT151" i="2"/>
  <c r="IG151" i="2"/>
  <c r="HF151" i="2"/>
  <c r="IS151" i="2"/>
  <c r="HN151" i="2"/>
  <c r="IV151" i="2"/>
  <c r="IR151" i="2"/>
  <c r="II151" i="2"/>
  <c r="HD151" i="2"/>
  <c r="IU151" i="2"/>
  <c r="IH151" i="2"/>
  <c r="IF151" i="2"/>
  <c r="HE151" i="2"/>
  <c r="HZ151" i="2"/>
  <c r="HM151" i="2"/>
  <c r="HK151" i="2"/>
  <c r="HY151" i="2"/>
  <c r="HX151" i="2"/>
  <c r="HL151" i="2"/>
  <c r="IA151" i="2"/>
  <c r="HW151" i="2"/>
  <c r="IW150" i="2"/>
  <c r="IZ149" i="2"/>
  <c r="MC150" i="2"/>
  <c r="MF149" i="2"/>
  <c r="EC150" i="2"/>
  <c r="KM149" i="2"/>
  <c r="KP148" i="2"/>
  <c r="KO150" i="2"/>
  <c r="KN149" i="2"/>
  <c r="HG150" i="2"/>
  <c r="HI150" i="2"/>
  <c r="FS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GJ151" i="2"/>
  <c r="GI151" i="2"/>
  <c r="ES151" i="2"/>
  <c r="ET151" i="2"/>
  <c r="FN151" i="2"/>
  <c r="DY151" i="2"/>
  <c r="FO151" i="2"/>
  <c r="DC151" i="2"/>
  <c r="DD151" i="2"/>
  <c r="BN151" i="2"/>
  <c r="AS151" i="2"/>
  <c r="CH151" i="2"/>
  <c r="W151" i="2"/>
  <c r="DX151" i="2"/>
  <c r="CI151" i="2"/>
  <c r="BM151" i="2"/>
  <c r="AR151" i="2"/>
  <c r="X151" i="2"/>
  <c r="HC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LJ151" i="2" l="1"/>
  <c r="HG151" i="2"/>
  <c r="ME151" i="2"/>
  <c r="JT151" i="2"/>
  <c r="IX151" i="2"/>
  <c r="IC151" i="2"/>
  <c r="HH151" i="2"/>
  <c r="HI151" i="2"/>
  <c r="IY151" i="2"/>
  <c r="OP151" i="2"/>
  <c r="MZ151" i="2"/>
  <c r="NT151" i="2"/>
  <c r="NT152" i="2" s="1"/>
  <c r="MD151" i="2"/>
  <c r="LI151" i="2"/>
  <c r="KI152" i="2"/>
  <c r="KH152" i="2"/>
  <c r="KJ152" i="2"/>
  <c r="PG152" i="2"/>
  <c r="OT152" i="2"/>
  <c r="MI152" i="2"/>
  <c r="PF152" i="2"/>
  <c r="PE152" i="2"/>
  <c r="PK152" i="2" s="1"/>
  <c r="OU152" i="2"/>
  <c r="PD152" i="2"/>
  <c r="PH152" i="2"/>
  <c r="MJ152" i="2"/>
  <c r="OS152" i="2"/>
  <c r="OM152" i="2"/>
  <c r="OR152" i="2"/>
  <c r="OL152" i="2"/>
  <c r="OK152" i="2"/>
  <c r="OJ152" i="2"/>
  <c r="OO152" i="2" s="1"/>
  <c r="OI152" i="2"/>
  <c r="NX152" i="2"/>
  <c r="NZ152" i="2"/>
  <c r="NY152" i="2"/>
  <c r="NW152" i="2"/>
  <c r="NO152" i="2"/>
  <c r="NU152" i="2" s="1"/>
  <c r="NR152" i="2"/>
  <c r="NQ152" i="2"/>
  <c r="NP152" i="2"/>
  <c r="NC152" i="2"/>
  <c r="NN152" i="2"/>
  <c r="NE152" i="2"/>
  <c r="ND152" i="2"/>
  <c r="MT152" i="2"/>
  <c r="MY152" i="2" s="1"/>
  <c r="MW152" i="2"/>
  <c r="MS152" i="2"/>
  <c r="NB152" i="2"/>
  <c r="MV152" i="2"/>
  <c r="MH152" i="2"/>
  <c r="MU152" i="2"/>
  <c r="MG152" i="2"/>
  <c r="LZ152" i="2"/>
  <c r="LY152" i="2"/>
  <c r="MB152" i="2"/>
  <c r="LX152" i="2"/>
  <c r="MA152" i="2"/>
  <c r="LO152" i="2"/>
  <c r="LN152" i="2"/>
  <c r="LF152" i="2"/>
  <c r="KT152" i="2"/>
  <c r="KS152" i="2"/>
  <c r="JA152" i="2"/>
  <c r="LL152" i="2"/>
  <c r="LE152" i="2"/>
  <c r="JB152" i="2"/>
  <c r="LM152" i="2"/>
  <c r="LD152" i="2"/>
  <c r="KR152" i="2"/>
  <c r="LG152" i="2"/>
  <c r="LC152" i="2"/>
  <c r="KK152" i="2"/>
  <c r="JM152" i="2"/>
  <c r="KQ152" i="2"/>
  <c r="JO152" i="2"/>
  <c r="JD152" i="2"/>
  <c r="JV152" i="2"/>
  <c r="KL152" i="2"/>
  <c r="JY152" i="2"/>
  <c r="JX152" i="2"/>
  <c r="JN152" i="2"/>
  <c r="JW152" i="2"/>
  <c r="JQ152" i="2"/>
  <c r="IU152" i="2"/>
  <c r="IH152" i="2"/>
  <c r="IF152" i="2"/>
  <c r="HE152" i="2"/>
  <c r="IT152" i="2"/>
  <c r="IG152" i="2"/>
  <c r="HF152" i="2"/>
  <c r="JP152" i="2"/>
  <c r="JC152" i="2"/>
  <c r="IS152" i="2"/>
  <c r="HN152" i="2"/>
  <c r="IV152" i="2"/>
  <c r="IR152" i="2"/>
  <c r="II152" i="2"/>
  <c r="HD152" i="2"/>
  <c r="HL152" i="2"/>
  <c r="IA152" i="2"/>
  <c r="HW152" i="2"/>
  <c r="HZ152" i="2"/>
  <c r="HM152" i="2"/>
  <c r="HK152" i="2"/>
  <c r="HY152" i="2"/>
  <c r="HX152" i="2"/>
  <c r="MC151" i="2"/>
  <c r="MF150" i="2"/>
  <c r="IW151" i="2"/>
  <c r="IZ150" i="2"/>
  <c r="NS151" i="2"/>
  <c r="NV150" i="2"/>
  <c r="JS151" i="2"/>
  <c r="ID151" i="2"/>
  <c r="MX151" i="2"/>
  <c r="NA150" i="2"/>
  <c r="JR151" i="2"/>
  <c r="JU150" i="2"/>
  <c r="IB151" i="2"/>
  <c r="IE150" i="2"/>
  <c r="PJ151" i="2"/>
  <c r="PJ152" i="2" s="1"/>
  <c r="PI151" i="2"/>
  <c r="PL150" i="2"/>
  <c r="ON151" i="2"/>
  <c r="OQ150" i="2"/>
  <c r="LH151" i="2"/>
  <c r="LK150" i="2"/>
  <c r="KO151" i="2"/>
  <c r="KM150" i="2"/>
  <c r="KP149" i="2"/>
  <c r="KN150" i="2"/>
  <c r="KN151" i="2" s="1"/>
  <c r="EX151" i="2"/>
  <c r="EC151" i="2"/>
  <c r="EV151" i="2"/>
  <c r="EW151" i="2"/>
  <c r="FS151" i="2"/>
  <c r="EB151" i="2"/>
  <c r="EA151" i="2"/>
  <c r="AW151" i="2"/>
  <c r="GN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38" i="6"/>
  <c r="T39" i="6" s="1"/>
  <c r="T40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GJ152" i="2"/>
  <c r="GI152" i="2"/>
  <c r="FO152" i="2"/>
  <c r="ES152" i="2"/>
  <c r="DX152" i="2"/>
  <c r="FN152" i="2"/>
  <c r="ET152" i="2"/>
  <c r="CI152" i="2"/>
  <c r="BM152" i="2"/>
  <c r="DC152" i="2"/>
  <c r="DY152" i="2"/>
  <c r="AR152" i="2"/>
  <c r="DD152" i="2"/>
  <c r="CH152" i="2"/>
  <c r="BN152" i="2"/>
  <c r="AS152" i="2"/>
  <c r="X152" i="2"/>
  <c r="W152" i="2"/>
  <c r="HC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JT152" i="2" l="1"/>
  <c r="ME152" i="2"/>
  <c r="LJ152" i="2"/>
  <c r="JS152" i="2"/>
  <c r="IX152" i="2"/>
  <c r="IC152" i="2"/>
  <c r="HH152" i="2"/>
  <c r="IW152" i="2"/>
  <c r="IZ151" i="2"/>
  <c r="LI152" i="2"/>
  <c r="LH152" i="2"/>
  <c r="LK151" i="2"/>
  <c r="IB152" i="2"/>
  <c r="IE151" i="2"/>
  <c r="JR152" i="2"/>
  <c r="JU151" i="2"/>
  <c r="MX152" i="2"/>
  <c r="NA151" i="2"/>
  <c r="NS152" i="2"/>
  <c r="NV151" i="2"/>
  <c r="MZ152" i="2"/>
  <c r="MZ153" i="2" s="1"/>
  <c r="OP152" i="2"/>
  <c r="IY152" i="2"/>
  <c r="KJ153" i="2"/>
  <c r="KI153" i="2"/>
  <c r="KH153" i="2"/>
  <c r="OU153" i="2"/>
  <c r="PF153" i="2"/>
  <c r="PD153" i="2"/>
  <c r="PG153" i="2"/>
  <c r="PH153" i="2"/>
  <c r="MJ153" i="2"/>
  <c r="OT153" i="2"/>
  <c r="MI153" i="2"/>
  <c r="PE153" i="2"/>
  <c r="PK153" i="2" s="1"/>
  <c r="OS153" i="2"/>
  <c r="OR153" i="2"/>
  <c r="OM153" i="2"/>
  <c r="OL153" i="2"/>
  <c r="OK153" i="2"/>
  <c r="OJ153" i="2"/>
  <c r="OO153" i="2" s="1"/>
  <c r="OI153" i="2"/>
  <c r="NX153" i="2"/>
  <c r="NR153" i="2"/>
  <c r="NP153" i="2"/>
  <c r="NZ153" i="2"/>
  <c r="NY153" i="2"/>
  <c r="NW153" i="2"/>
  <c r="NO153" i="2"/>
  <c r="NU153" i="2" s="1"/>
  <c r="NE153" i="2"/>
  <c r="ND153" i="2"/>
  <c r="NQ153" i="2"/>
  <c r="NC153" i="2"/>
  <c r="NN153" i="2"/>
  <c r="MU153" i="2"/>
  <c r="MT153" i="2"/>
  <c r="MY153" i="2" s="1"/>
  <c r="MW153" i="2"/>
  <c r="MS153" i="2"/>
  <c r="NB153" i="2"/>
  <c r="MV153" i="2"/>
  <c r="MH153" i="2"/>
  <c r="MA153" i="2"/>
  <c r="MG153" i="2"/>
  <c r="LZ153" i="2"/>
  <c r="LY153" i="2"/>
  <c r="MB153" i="2"/>
  <c r="LX153" i="2"/>
  <c r="LG153" i="2"/>
  <c r="LC153" i="2"/>
  <c r="LO153" i="2"/>
  <c r="LN153" i="2"/>
  <c r="LF153" i="2"/>
  <c r="KT153" i="2"/>
  <c r="KS153" i="2"/>
  <c r="JA153" i="2"/>
  <c r="LL153" i="2"/>
  <c r="LE153" i="2"/>
  <c r="JB153" i="2"/>
  <c r="LM153" i="2"/>
  <c r="LD153" i="2"/>
  <c r="KR153" i="2"/>
  <c r="KL153" i="2"/>
  <c r="JY153" i="2"/>
  <c r="JX153" i="2"/>
  <c r="JN153" i="2"/>
  <c r="JW153" i="2"/>
  <c r="JQ153" i="2"/>
  <c r="KK153" i="2"/>
  <c r="JM153" i="2"/>
  <c r="KQ153" i="2"/>
  <c r="JO153" i="2"/>
  <c r="JD153" i="2"/>
  <c r="JV153" i="2"/>
  <c r="IV153" i="2"/>
  <c r="IR153" i="2"/>
  <c r="II153" i="2"/>
  <c r="HD153" i="2"/>
  <c r="IU153" i="2"/>
  <c r="IH153" i="2"/>
  <c r="IF153" i="2"/>
  <c r="HE153" i="2"/>
  <c r="IT153" i="2"/>
  <c r="IG153" i="2"/>
  <c r="HF153" i="2"/>
  <c r="JP153" i="2"/>
  <c r="JC153" i="2"/>
  <c r="IS153" i="2"/>
  <c r="HN153" i="2"/>
  <c r="HX153" i="2"/>
  <c r="HL153" i="2"/>
  <c r="IA153" i="2"/>
  <c r="HW153" i="2"/>
  <c r="HZ153" i="2"/>
  <c r="HM153" i="2"/>
  <c r="HK153" i="2"/>
  <c r="HY153" i="2"/>
  <c r="ON152" i="2"/>
  <c r="OQ151" i="2"/>
  <c r="PI152" i="2"/>
  <c r="PL151" i="2"/>
  <c r="ID152" i="2"/>
  <c r="MF151" i="2"/>
  <c r="MC152" i="2"/>
  <c r="MD152" i="2"/>
  <c r="NT153" i="2"/>
  <c r="KM151" i="2"/>
  <c r="KP150" i="2"/>
  <c r="KO152" i="2"/>
  <c r="HG152" i="2"/>
  <c r="HI152" i="2"/>
  <c r="HI153" i="2" s="1"/>
  <c r="EV152" i="2"/>
  <c r="EB152" i="2"/>
  <c r="EC152" i="2"/>
  <c r="FS152" i="2"/>
  <c r="EX152" i="2"/>
  <c r="GN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LJ153" i="2" l="1"/>
  <c r="ME153" i="2"/>
  <c r="MD153" i="2"/>
  <c r="JT153" i="2"/>
  <c r="IX153" i="2"/>
  <c r="IC153" i="2"/>
  <c r="HH153" i="2"/>
  <c r="MC153" i="2"/>
  <c r="MF152" i="2"/>
  <c r="ON153" i="2"/>
  <c r="OQ152" i="2"/>
  <c r="JS153" i="2"/>
  <c r="PJ153" i="2"/>
  <c r="ID153" i="2"/>
  <c r="JR153" i="2"/>
  <c r="JU152" i="2"/>
  <c r="IB153" i="2"/>
  <c r="IE152" i="2"/>
  <c r="LH153" i="2"/>
  <c r="LK152" i="2"/>
  <c r="LI153" i="2"/>
  <c r="HG153" i="2"/>
  <c r="IY153" i="2"/>
  <c r="OP153" i="2"/>
  <c r="NS153" i="2"/>
  <c r="NV152" i="2"/>
  <c r="MX153" i="2"/>
  <c r="NA152" i="2"/>
  <c r="KJ154" i="2"/>
  <c r="KI154" i="2"/>
  <c r="KH154" i="2"/>
  <c r="OT154" i="2"/>
  <c r="PE154" i="2"/>
  <c r="PK154" i="2" s="1"/>
  <c r="OU154" i="2"/>
  <c r="PD154" i="2"/>
  <c r="PG154" i="2"/>
  <c r="PH154" i="2"/>
  <c r="MI154" i="2"/>
  <c r="PF154" i="2"/>
  <c r="MJ154" i="2"/>
  <c r="OS154" i="2"/>
  <c r="OR154" i="2"/>
  <c r="OM154" i="2"/>
  <c r="OK154" i="2"/>
  <c r="OL154" i="2"/>
  <c r="OI154" i="2"/>
  <c r="OJ154" i="2"/>
  <c r="OO154" i="2" s="1"/>
  <c r="NZ154" i="2"/>
  <c r="NY154" i="2"/>
  <c r="NX154" i="2"/>
  <c r="NW154" i="2"/>
  <c r="NR154" i="2"/>
  <c r="NQ154" i="2"/>
  <c r="NP154" i="2"/>
  <c r="NN154" i="2"/>
  <c r="NE154" i="2"/>
  <c r="ND154" i="2"/>
  <c r="NO154" i="2"/>
  <c r="NU154" i="2" s="1"/>
  <c r="NB154" i="2"/>
  <c r="NC154" i="2"/>
  <c r="MV154" i="2"/>
  <c r="MU154" i="2"/>
  <c r="MT154" i="2"/>
  <c r="MZ154" i="2" s="1"/>
  <c r="MW154" i="2"/>
  <c r="MB154" i="2"/>
  <c r="LX154" i="2"/>
  <c r="MH154" i="2"/>
  <c r="MA154" i="2"/>
  <c r="MG154" i="2"/>
  <c r="LZ154" i="2"/>
  <c r="MS154" i="2"/>
  <c r="LY154" i="2"/>
  <c r="MD154" i="2" s="1"/>
  <c r="LM154" i="2"/>
  <c r="LD154" i="2"/>
  <c r="KR154" i="2"/>
  <c r="LG154" i="2"/>
  <c r="LC154" i="2"/>
  <c r="LO154" i="2"/>
  <c r="LN154" i="2"/>
  <c r="LF154" i="2"/>
  <c r="KT154" i="2"/>
  <c r="KS154" i="2"/>
  <c r="JA154" i="2"/>
  <c r="LL154" i="2"/>
  <c r="LE154" i="2"/>
  <c r="JB154" i="2"/>
  <c r="JO154" i="2"/>
  <c r="JD154" i="2"/>
  <c r="JV154" i="2"/>
  <c r="KL154" i="2"/>
  <c r="JY154" i="2"/>
  <c r="JX154" i="2"/>
  <c r="JN154" i="2"/>
  <c r="JW154" i="2"/>
  <c r="JQ154" i="2"/>
  <c r="KK154" i="2"/>
  <c r="JM154" i="2"/>
  <c r="JP154" i="2"/>
  <c r="JC154" i="2"/>
  <c r="KQ154" i="2"/>
  <c r="IS154" i="2"/>
  <c r="HN154" i="2"/>
  <c r="IV154" i="2"/>
  <c r="IR154" i="2"/>
  <c r="II154" i="2"/>
  <c r="HD154" i="2"/>
  <c r="IU154" i="2"/>
  <c r="IH154" i="2"/>
  <c r="IF154" i="2"/>
  <c r="HE154" i="2"/>
  <c r="IT154" i="2"/>
  <c r="IG154" i="2"/>
  <c r="HF154" i="2"/>
  <c r="HM154" i="2"/>
  <c r="HK154" i="2"/>
  <c r="HY154" i="2"/>
  <c r="HX154" i="2"/>
  <c r="HL154" i="2"/>
  <c r="IA154" i="2"/>
  <c r="HW154" i="2"/>
  <c r="HZ154" i="2"/>
  <c r="PI153" i="2"/>
  <c r="PL152" i="2"/>
  <c r="IW153" i="2"/>
  <c r="IZ152" i="2"/>
  <c r="KO153" i="2"/>
  <c r="KM152" i="2"/>
  <c r="KP151" i="2"/>
  <c r="KN152" i="2"/>
  <c r="EX153" i="2"/>
  <c r="EA153" i="2"/>
  <c r="EB153" i="2"/>
  <c r="FS153" i="2"/>
  <c r="EC153" i="2"/>
  <c r="GN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GJ154" i="2"/>
  <c r="GK154" i="2"/>
  <c r="FB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LJ154" i="2" l="1"/>
  <c r="JT154" i="2"/>
  <c r="IX154" i="2"/>
  <c r="IC154" i="2"/>
  <c r="HH154" i="2"/>
  <c r="ME154" i="2"/>
  <c r="NS154" i="2"/>
  <c r="NV153" i="2"/>
  <c r="OP154" i="2"/>
  <c r="LI154" i="2"/>
  <c r="JR154" i="2"/>
  <c r="JU153" i="2"/>
  <c r="NT154" i="2"/>
  <c r="PJ154" i="2"/>
  <c r="ON154" i="2"/>
  <c r="OQ153" i="2"/>
  <c r="MY154" i="2"/>
  <c r="IY154" i="2"/>
  <c r="LH154" i="2"/>
  <c r="LK153" i="2"/>
  <c r="ID154" i="2"/>
  <c r="KJ155" i="2"/>
  <c r="KI155" i="2"/>
  <c r="KH155" i="2"/>
  <c r="PD155" i="2"/>
  <c r="PH155" i="2"/>
  <c r="PE155" i="2"/>
  <c r="PK155" i="2" s="1"/>
  <c r="OU155" i="2"/>
  <c r="MJ155" i="2"/>
  <c r="OT155" i="2"/>
  <c r="MI155" i="2"/>
  <c r="PF155" i="2"/>
  <c r="PG155" i="2"/>
  <c r="OS155" i="2"/>
  <c r="OR155" i="2"/>
  <c r="OM155" i="2"/>
  <c r="OK155" i="2"/>
  <c r="OI155" i="2"/>
  <c r="OL155" i="2"/>
  <c r="OJ155" i="2"/>
  <c r="OO155" i="2" s="1"/>
  <c r="NZ155" i="2"/>
  <c r="NY155" i="2"/>
  <c r="NX155" i="2"/>
  <c r="NW155" i="2"/>
  <c r="NR155" i="2"/>
  <c r="NQ155" i="2"/>
  <c r="NC155" i="2"/>
  <c r="NN155" i="2"/>
  <c r="NP155" i="2"/>
  <c r="NE155" i="2"/>
  <c r="ND155" i="2"/>
  <c r="NO155" i="2"/>
  <c r="NU155" i="2" s="1"/>
  <c r="NB155" i="2"/>
  <c r="MW155" i="2"/>
  <c r="MS155" i="2"/>
  <c r="MV155" i="2"/>
  <c r="MH155" i="2"/>
  <c r="MU155" i="2"/>
  <c r="MT155" i="2"/>
  <c r="MZ155" i="2" s="1"/>
  <c r="LY155" i="2"/>
  <c r="MD155" i="2" s="1"/>
  <c r="MB155" i="2"/>
  <c r="LX155" i="2"/>
  <c r="MA155" i="2"/>
  <c r="MG155" i="2"/>
  <c r="LZ155" i="2"/>
  <c r="LL155" i="2"/>
  <c r="LE155" i="2"/>
  <c r="JB155" i="2"/>
  <c r="LM155" i="2"/>
  <c r="LD155" i="2"/>
  <c r="KR155" i="2"/>
  <c r="LG155" i="2"/>
  <c r="LC155" i="2"/>
  <c r="LO155" i="2"/>
  <c r="LN155" i="2"/>
  <c r="LF155" i="2"/>
  <c r="KT155" i="2"/>
  <c r="KS155" i="2"/>
  <c r="JA155" i="2"/>
  <c r="KQ155" i="2"/>
  <c r="JO155" i="2"/>
  <c r="JD155" i="2"/>
  <c r="JV155" i="2"/>
  <c r="KL155" i="2"/>
  <c r="JY155" i="2"/>
  <c r="JX155" i="2"/>
  <c r="JN155" i="2"/>
  <c r="JW155" i="2"/>
  <c r="JQ155" i="2"/>
  <c r="KK155" i="2"/>
  <c r="JM155" i="2"/>
  <c r="JP155" i="2"/>
  <c r="JC155" i="2"/>
  <c r="IT155" i="2"/>
  <c r="IG155" i="2"/>
  <c r="HF155" i="2"/>
  <c r="IS155" i="2"/>
  <c r="IX155" i="2" s="1"/>
  <c r="HN155" i="2"/>
  <c r="IV155" i="2"/>
  <c r="IR155" i="2"/>
  <c r="II155" i="2"/>
  <c r="HD155" i="2"/>
  <c r="IU155" i="2"/>
  <c r="IH155" i="2"/>
  <c r="IF155" i="2"/>
  <c r="HE155" i="2"/>
  <c r="HZ155" i="2"/>
  <c r="HM155" i="2"/>
  <c r="HK155" i="2"/>
  <c r="HY155" i="2"/>
  <c r="HX155" i="2"/>
  <c r="HL155" i="2"/>
  <c r="IA155" i="2"/>
  <c r="HW155" i="2"/>
  <c r="IW154" i="2"/>
  <c r="IZ153" i="2"/>
  <c r="PI154" i="2"/>
  <c r="PL153" i="2"/>
  <c r="MX154" i="2"/>
  <c r="NA153" i="2"/>
  <c r="IB154" i="2"/>
  <c r="IE153" i="2"/>
  <c r="JS154" i="2"/>
  <c r="MC154" i="2"/>
  <c r="MF153" i="2"/>
  <c r="EB154" i="2"/>
  <c r="KM153" i="2"/>
  <c r="KP152" i="2"/>
  <c r="KO154" i="2"/>
  <c r="KN153" i="2"/>
  <c r="HG154" i="2"/>
  <c r="HI154" i="2"/>
  <c r="HI155" i="2" s="1"/>
  <c r="AB154" i="2"/>
  <c r="EX154" i="2"/>
  <c r="AA154" i="2"/>
  <c r="EV154" i="2"/>
  <c r="EC154" i="2"/>
  <c r="EA154" i="2"/>
  <c r="ED154" i="2" s="1"/>
  <c r="FS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GJ155" i="2"/>
  <c r="GK155" i="2"/>
  <c r="FB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JS155" i="2" l="1"/>
  <c r="JT155" i="2"/>
  <c r="LJ155" i="2"/>
  <c r="IC155" i="2"/>
  <c r="HG155" i="2"/>
  <c r="EY154" i="2"/>
  <c r="HH155" i="2"/>
  <c r="IW155" i="2"/>
  <c r="IZ154" i="2"/>
  <c r="PJ155" i="2"/>
  <c r="JR155" i="2"/>
  <c r="JU154" i="2"/>
  <c r="IY155" i="2"/>
  <c r="LI155" i="2"/>
  <c r="OP155" i="2"/>
  <c r="ME155" i="2"/>
  <c r="KI156" i="2"/>
  <c r="KH156" i="2"/>
  <c r="KJ156" i="2"/>
  <c r="PG156" i="2"/>
  <c r="PF156" i="2"/>
  <c r="MI156" i="2"/>
  <c r="PE156" i="2"/>
  <c r="PK156" i="2" s="1"/>
  <c r="MJ156" i="2"/>
  <c r="OT156" i="2"/>
  <c r="OU156" i="2"/>
  <c r="PD156" i="2"/>
  <c r="PH156" i="2"/>
  <c r="OS156" i="2"/>
  <c r="OM156" i="2"/>
  <c r="OR156" i="2"/>
  <c r="OL156" i="2"/>
  <c r="OK156" i="2"/>
  <c r="OJ156" i="2"/>
  <c r="OO156" i="2" s="1"/>
  <c r="OI156" i="2"/>
  <c r="NX156" i="2"/>
  <c r="NZ156" i="2"/>
  <c r="NY156" i="2"/>
  <c r="NW156" i="2"/>
  <c r="NO156" i="2"/>
  <c r="NU156" i="2" s="1"/>
  <c r="NR156" i="2"/>
  <c r="NC156" i="2"/>
  <c r="NQ156" i="2"/>
  <c r="NN156" i="2"/>
  <c r="NP156" i="2"/>
  <c r="NE156" i="2"/>
  <c r="ND156" i="2"/>
  <c r="NB156" i="2"/>
  <c r="MT156" i="2"/>
  <c r="MZ156" i="2" s="1"/>
  <c r="MW156" i="2"/>
  <c r="MS156" i="2"/>
  <c r="MV156" i="2"/>
  <c r="MH156" i="2"/>
  <c r="MU156" i="2"/>
  <c r="MG156" i="2"/>
  <c r="LZ156" i="2"/>
  <c r="LY156" i="2"/>
  <c r="MB156" i="2"/>
  <c r="LX156" i="2"/>
  <c r="MA156" i="2"/>
  <c r="LO156" i="2"/>
  <c r="LN156" i="2"/>
  <c r="LF156" i="2"/>
  <c r="KT156" i="2"/>
  <c r="KS156" i="2"/>
  <c r="JA156" i="2"/>
  <c r="LL156" i="2"/>
  <c r="LE156" i="2"/>
  <c r="JB156" i="2"/>
  <c r="LM156" i="2"/>
  <c r="LD156" i="2"/>
  <c r="KR156" i="2"/>
  <c r="LG156" i="2"/>
  <c r="LC156" i="2"/>
  <c r="KK156" i="2"/>
  <c r="JM156" i="2"/>
  <c r="KQ156" i="2"/>
  <c r="JO156" i="2"/>
  <c r="JD156" i="2"/>
  <c r="JV156" i="2"/>
  <c r="KL156" i="2"/>
  <c r="JY156" i="2"/>
  <c r="JX156" i="2"/>
  <c r="JN156" i="2"/>
  <c r="JW156" i="2"/>
  <c r="JQ156" i="2"/>
  <c r="JP156" i="2"/>
  <c r="JC156" i="2"/>
  <c r="IU156" i="2"/>
  <c r="IH156" i="2"/>
  <c r="IF156" i="2"/>
  <c r="HE156" i="2"/>
  <c r="IT156" i="2"/>
  <c r="IG156" i="2"/>
  <c r="HF156" i="2"/>
  <c r="IS156" i="2"/>
  <c r="IX156" i="2" s="1"/>
  <c r="HN156" i="2"/>
  <c r="IV156" i="2"/>
  <c r="IR156" i="2"/>
  <c r="II156" i="2"/>
  <c r="HD156" i="2"/>
  <c r="HL156" i="2"/>
  <c r="IA156" i="2"/>
  <c r="HW156" i="2"/>
  <c r="HZ156" i="2"/>
  <c r="HM156" i="2"/>
  <c r="HK156" i="2"/>
  <c r="HY156" i="2"/>
  <c r="HX156" i="2"/>
  <c r="IC156" i="2" s="1"/>
  <c r="IB155" i="2"/>
  <c r="IE154" i="2"/>
  <c r="MX155" i="2"/>
  <c r="NA154" i="2"/>
  <c r="PI155" i="2"/>
  <c r="PL154" i="2"/>
  <c r="LH155" i="2"/>
  <c r="LK154" i="2"/>
  <c r="MY155" i="2"/>
  <c r="MY156" i="2" s="1"/>
  <c r="NT155" i="2"/>
  <c r="NT156" i="2" s="1"/>
  <c r="MF154" i="2"/>
  <c r="MC155" i="2"/>
  <c r="ID155" i="2"/>
  <c r="ID156" i="2" s="1"/>
  <c r="ON155" i="2"/>
  <c r="OQ154" i="2"/>
  <c r="NS155" i="2"/>
  <c r="NV154" i="2"/>
  <c r="AC154" i="2"/>
  <c r="DI154" i="2"/>
  <c r="EA155" i="2"/>
  <c r="KO155" i="2"/>
  <c r="KM154" i="2"/>
  <c r="KP153" i="2"/>
  <c r="KN154" i="2"/>
  <c r="KN155" i="2" s="1"/>
  <c r="HJ154" i="2"/>
  <c r="EX155" i="2"/>
  <c r="EW155" i="2"/>
  <c r="EC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GK156" i="2"/>
  <c r="FB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JS156" i="2" l="1"/>
  <c r="LJ156" i="2"/>
  <c r="MD156" i="2"/>
  <c r="JT156" i="2"/>
  <c r="HH156" i="2"/>
  <c r="EY155" i="2"/>
  <c r="MZ157" i="2"/>
  <c r="KJ157" i="2"/>
  <c r="KI157" i="2"/>
  <c r="KH157" i="2"/>
  <c r="OU157" i="2"/>
  <c r="PF157" i="2"/>
  <c r="OT157" i="2"/>
  <c r="MJ157" i="2"/>
  <c r="MI157" i="2"/>
  <c r="PE157" i="2"/>
  <c r="PD157" i="2"/>
  <c r="PG157" i="2"/>
  <c r="PH157" i="2"/>
  <c r="PK157" i="2" s="1"/>
  <c r="OS157" i="2"/>
  <c r="OR157" i="2"/>
  <c r="OM157" i="2"/>
  <c r="OL157" i="2"/>
  <c r="OK157" i="2"/>
  <c r="OJ157" i="2"/>
  <c r="OO157" i="2" s="1"/>
  <c r="OI157" i="2"/>
  <c r="NX157" i="2"/>
  <c r="NR157" i="2"/>
  <c r="NZ157" i="2"/>
  <c r="NY157" i="2"/>
  <c r="NP157" i="2"/>
  <c r="NW157" i="2"/>
  <c r="NO157" i="2"/>
  <c r="NU157" i="2" s="1"/>
  <c r="NE157" i="2"/>
  <c r="ND157" i="2"/>
  <c r="NC157" i="2"/>
  <c r="NQ157" i="2"/>
  <c r="NN157" i="2"/>
  <c r="MU157" i="2"/>
  <c r="NB157" i="2"/>
  <c r="MT157" i="2"/>
  <c r="MW157" i="2"/>
  <c r="MS157" i="2"/>
  <c r="MV157" i="2"/>
  <c r="MA157" i="2"/>
  <c r="MG157" i="2"/>
  <c r="LZ157" i="2"/>
  <c r="MH157" i="2"/>
  <c r="LY157" i="2"/>
  <c r="MD157" i="2" s="1"/>
  <c r="MB157" i="2"/>
  <c r="LX157" i="2"/>
  <c r="LG157" i="2"/>
  <c r="LC157" i="2"/>
  <c r="LO157" i="2"/>
  <c r="LN157" i="2"/>
  <c r="LF157" i="2"/>
  <c r="KT157" i="2"/>
  <c r="KS157" i="2"/>
  <c r="JA157" i="2"/>
  <c r="LL157" i="2"/>
  <c r="LE157" i="2"/>
  <c r="JB157" i="2"/>
  <c r="LM157" i="2"/>
  <c r="LD157" i="2"/>
  <c r="KR157" i="2"/>
  <c r="KL157" i="2"/>
  <c r="JY157" i="2"/>
  <c r="JX157" i="2"/>
  <c r="JN157" i="2"/>
  <c r="JW157" i="2"/>
  <c r="JQ157" i="2"/>
  <c r="KK157" i="2"/>
  <c r="JM157" i="2"/>
  <c r="KQ157" i="2"/>
  <c r="JO157" i="2"/>
  <c r="JD157" i="2"/>
  <c r="JV157" i="2"/>
  <c r="IV157" i="2"/>
  <c r="IR157" i="2"/>
  <c r="II157" i="2"/>
  <c r="HD157" i="2"/>
  <c r="JP157" i="2"/>
  <c r="JC157" i="2"/>
  <c r="IU157" i="2"/>
  <c r="IH157" i="2"/>
  <c r="IF157" i="2"/>
  <c r="HE157" i="2"/>
  <c r="IT157" i="2"/>
  <c r="IG157" i="2"/>
  <c r="HF157" i="2"/>
  <c r="IS157" i="2"/>
  <c r="HN157" i="2"/>
  <c r="HX157" i="2"/>
  <c r="HL157" i="2"/>
  <c r="IA157" i="2"/>
  <c r="HW157" i="2"/>
  <c r="HZ157" i="2"/>
  <c r="HM157" i="2"/>
  <c r="HK157" i="2"/>
  <c r="HY157" i="2"/>
  <c r="IY156" i="2"/>
  <c r="PJ156" i="2"/>
  <c r="PJ157" i="2" s="1"/>
  <c r="IW156" i="2"/>
  <c r="IZ155" i="2"/>
  <c r="NS156" i="2"/>
  <c r="NV155" i="2"/>
  <c r="MY157" i="2"/>
  <c r="MX156" i="2"/>
  <c r="NA155" i="2"/>
  <c r="ME156" i="2"/>
  <c r="ID157" i="2"/>
  <c r="MC156" i="2"/>
  <c r="MF155" i="2"/>
  <c r="NT157" i="2"/>
  <c r="PI156" i="2"/>
  <c r="PL155" i="2"/>
  <c r="OP156" i="2"/>
  <c r="OP157" i="2" s="1"/>
  <c r="ON156" i="2"/>
  <c r="OQ155" i="2"/>
  <c r="LH156" i="2"/>
  <c r="LK155" i="2"/>
  <c r="IB156" i="2"/>
  <c r="IE155" i="2"/>
  <c r="LI156" i="2"/>
  <c r="JR156" i="2"/>
  <c r="JU155" i="2"/>
  <c r="ED155" i="2"/>
  <c r="EB156" i="2"/>
  <c r="DH156" i="2"/>
  <c r="EX156" i="2"/>
  <c r="KO156" i="2"/>
  <c r="KM155" i="2"/>
  <c r="KP154" i="2"/>
  <c r="HG156" i="2"/>
  <c r="HI156" i="2"/>
  <c r="A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GJ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LJ157" i="2" l="1"/>
  <c r="LI157" i="2"/>
  <c r="ME157" i="2"/>
  <c r="JT157" i="2"/>
  <c r="JS157" i="2"/>
  <c r="IY157" i="2"/>
  <c r="IX157" i="2"/>
  <c r="IC157" i="2"/>
  <c r="HH157" i="2"/>
  <c r="LH157" i="2"/>
  <c r="LK156" i="2"/>
  <c r="MC157" i="2"/>
  <c r="MF156" i="2"/>
  <c r="IW157" i="2"/>
  <c r="IZ156" i="2"/>
  <c r="JR157" i="2"/>
  <c r="JU156" i="2"/>
  <c r="PI157" i="2"/>
  <c r="PL156" i="2"/>
  <c r="MX157" i="2"/>
  <c r="NA156" i="2"/>
  <c r="KJ158" i="2"/>
  <c r="KI158" i="2"/>
  <c r="KH158" i="2"/>
  <c r="OT158" i="2"/>
  <c r="PE158" i="2"/>
  <c r="PK158" i="2" s="1"/>
  <c r="PD158" i="2"/>
  <c r="PG158" i="2"/>
  <c r="PH158" i="2"/>
  <c r="PF158" i="2"/>
  <c r="MI158" i="2"/>
  <c r="MJ158" i="2"/>
  <c r="OU158" i="2"/>
  <c r="OS158" i="2"/>
  <c r="OR158" i="2"/>
  <c r="OM158" i="2"/>
  <c r="OL158" i="2"/>
  <c r="OK158" i="2"/>
  <c r="OJ158" i="2"/>
  <c r="OP158" i="2" s="1"/>
  <c r="OI158" i="2"/>
  <c r="NZ158" i="2"/>
  <c r="NY158" i="2"/>
  <c r="NW158" i="2"/>
  <c r="NR158" i="2"/>
  <c r="NX158" i="2"/>
  <c r="NQ158" i="2"/>
  <c r="NP158" i="2"/>
  <c r="NO158" i="2"/>
  <c r="NU158" i="2" s="1"/>
  <c r="NN158" i="2"/>
  <c r="NE158" i="2"/>
  <c r="ND158" i="2"/>
  <c r="NB158" i="2"/>
  <c r="NC158" i="2"/>
  <c r="MV158" i="2"/>
  <c r="MU158" i="2"/>
  <c r="MT158" i="2"/>
  <c r="MZ158" i="2" s="1"/>
  <c r="MW158" i="2"/>
  <c r="MS158" i="2"/>
  <c r="MB158" i="2"/>
  <c r="LX158" i="2"/>
  <c r="MA158" i="2"/>
  <c r="MG158" i="2"/>
  <c r="LZ158" i="2"/>
  <c r="MH158" i="2"/>
  <c r="LY158" i="2"/>
  <c r="ME158" i="2" s="1"/>
  <c r="LM158" i="2"/>
  <c r="LD158" i="2"/>
  <c r="KR158" i="2"/>
  <c r="LG158" i="2"/>
  <c r="LC158" i="2"/>
  <c r="LO158" i="2"/>
  <c r="LN158" i="2"/>
  <c r="LF158" i="2"/>
  <c r="KT158" i="2"/>
  <c r="KS158" i="2"/>
  <c r="JA158" i="2"/>
  <c r="LL158" i="2"/>
  <c r="LE158" i="2"/>
  <c r="JB158" i="2"/>
  <c r="JO158" i="2"/>
  <c r="JD158" i="2"/>
  <c r="JV158" i="2"/>
  <c r="KL158" i="2"/>
  <c r="JY158" i="2"/>
  <c r="JX158" i="2"/>
  <c r="JN158" i="2"/>
  <c r="JW158" i="2"/>
  <c r="JQ158" i="2"/>
  <c r="KK158" i="2"/>
  <c r="JM158" i="2"/>
  <c r="JP158" i="2"/>
  <c r="JC158" i="2"/>
  <c r="KQ158" i="2"/>
  <c r="IS158" i="2"/>
  <c r="HN158" i="2"/>
  <c r="IV158" i="2"/>
  <c r="IR158" i="2"/>
  <c r="II158" i="2"/>
  <c r="HD158" i="2"/>
  <c r="IU158" i="2"/>
  <c r="IH158" i="2"/>
  <c r="IF158" i="2"/>
  <c r="HE158" i="2"/>
  <c r="IT158" i="2"/>
  <c r="IG158" i="2"/>
  <c r="HF158" i="2"/>
  <c r="HM158" i="2"/>
  <c r="HK158" i="2"/>
  <c r="HY158" i="2"/>
  <c r="HX158" i="2"/>
  <c r="HL158" i="2"/>
  <c r="IA158" i="2"/>
  <c r="HW158" i="2"/>
  <c r="HZ158" i="2"/>
  <c r="IB157" i="2"/>
  <c r="IE156" i="2"/>
  <c r="ON157" i="2"/>
  <c r="OQ156" i="2"/>
  <c r="NT158" i="2"/>
  <c r="NS157" i="2"/>
  <c r="NV156" i="2"/>
  <c r="PJ158" i="2"/>
  <c r="MY158" i="2"/>
  <c r="IY158" i="2"/>
  <c r="CN156" i="2"/>
  <c r="HI157" i="2"/>
  <c r="HG157" i="2"/>
  <c r="EX157" i="2"/>
  <c r="KM156" i="2"/>
  <c r="KP155" i="2"/>
  <c r="KO157" i="2"/>
  <c r="KN156" i="2"/>
  <c r="EA157" i="2"/>
  <c r="EC157" i="2"/>
  <c r="EB157" i="2"/>
  <c r="FS157" i="2"/>
  <c r="EV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GJ158" i="2"/>
  <c r="GK158" i="2"/>
  <c r="FB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MD158" i="2" l="1"/>
  <c r="LI158" i="2"/>
  <c r="JT158" i="2"/>
  <c r="IX158" i="2"/>
  <c r="IC158" i="2"/>
  <c r="HH158" i="2"/>
  <c r="PK159" i="2"/>
  <c r="KJ159" i="2"/>
  <c r="KH159" i="2"/>
  <c r="KI159" i="2"/>
  <c r="PD159" i="2"/>
  <c r="PH159" i="2"/>
  <c r="OU159" i="2"/>
  <c r="OT159" i="2"/>
  <c r="PG159" i="2"/>
  <c r="PE159" i="2"/>
  <c r="PJ159" i="2" s="1"/>
  <c r="PF159" i="2"/>
  <c r="MI159" i="2"/>
  <c r="MJ159" i="2"/>
  <c r="OS159" i="2"/>
  <c r="OR159" i="2"/>
  <c r="OM159" i="2"/>
  <c r="OK159" i="2"/>
  <c r="OL159" i="2"/>
  <c r="OI159" i="2"/>
  <c r="OJ159" i="2"/>
  <c r="OP159" i="2" s="1"/>
  <c r="NZ159" i="2"/>
  <c r="NY159" i="2"/>
  <c r="NW159" i="2"/>
  <c r="NR159" i="2"/>
  <c r="NX159" i="2"/>
  <c r="NQ159" i="2"/>
  <c r="NP159" i="2"/>
  <c r="NC159" i="2"/>
  <c r="NO159" i="2"/>
  <c r="NU159" i="2" s="1"/>
  <c r="NN159" i="2"/>
  <c r="NE159" i="2"/>
  <c r="ND159" i="2"/>
  <c r="NB159" i="2"/>
  <c r="MW159" i="2"/>
  <c r="MS159" i="2"/>
  <c r="MV159" i="2"/>
  <c r="MH159" i="2"/>
  <c r="MU159" i="2"/>
  <c r="MT159" i="2"/>
  <c r="MZ159" i="2" s="1"/>
  <c r="LY159" i="2"/>
  <c r="MD159" i="2" s="1"/>
  <c r="MB159" i="2"/>
  <c r="ME159" i="2" s="1"/>
  <c r="LX159" i="2"/>
  <c r="MA159" i="2"/>
  <c r="MG159" i="2"/>
  <c r="LZ159" i="2"/>
  <c r="LL159" i="2"/>
  <c r="LE159" i="2"/>
  <c r="JB159" i="2"/>
  <c r="LM159" i="2"/>
  <c r="LD159" i="2"/>
  <c r="KR159" i="2"/>
  <c r="LG159" i="2"/>
  <c r="LC159" i="2"/>
  <c r="LO159" i="2"/>
  <c r="LN159" i="2"/>
  <c r="LF159" i="2"/>
  <c r="KT159" i="2"/>
  <c r="KS159" i="2"/>
  <c r="JA159" i="2"/>
  <c r="KQ159" i="2"/>
  <c r="JO159" i="2"/>
  <c r="JD159" i="2"/>
  <c r="JV159" i="2"/>
  <c r="KL159" i="2"/>
  <c r="JY159" i="2"/>
  <c r="JX159" i="2"/>
  <c r="JN159" i="2"/>
  <c r="JW159" i="2"/>
  <c r="JQ159" i="2"/>
  <c r="KK159" i="2"/>
  <c r="JM159" i="2"/>
  <c r="JP159" i="2"/>
  <c r="JC159" i="2"/>
  <c r="IT159" i="2"/>
  <c r="IG159" i="2"/>
  <c r="HF159" i="2"/>
  <c r="IS159" i="2"/>
  <c r="HN159" i="2"/>
  <c r="IV159" i="2"/>
  <c r="IR159" i="2"/>
  <c r="II159" i="2"/>
  <c r="HD159" i="2"/>
  <c r="IU159" i="2"/>
  <c r="IH159" i="2"/>
  <c r="IF159" i="2"/>
  <c r="HE159" i="2"/>
  <c r="HZ159" i="2"/>
  <c r="HM159" i="2"/>
  <c r="HK159" i="2"/>
  <c r="HY159" i="2"/>
  <c r="HX159" i="2"/>
  <c r="HL159" i="2"/>
  <c r="IA159" i="2"/>
  <c r="HW159" i="2"/>
  <c r="ID158" i="2"/>
  <c r="JS158" i="2"/>
  <c r="LH158" i="2"/>
  <c r="LK157" i="2"/>
  <c r="LJ158" i="2"/>
  <c r="ON158" i="2"/>
  <c r="OQ157" i="2"/>
  <c r="JR158" i="2"/>
  <c r="JU157" i="2"/>
  <c r="IY159" i="2"/>
  <c r="NS158" i="2"/>
  <c r="NV157" i="2"/>
  <c r="PI158" i="2"/>
  <c r="PL157" i="2"/>
  <c r="MF157" i="2"/>
  <c r="MC158" i="2"/>
  <c r="OO158" i="2"/>
  <c r="OO159" i="2" s="1"/>
  <c r="MY159" i="2"/>
  <c r="NT159" i="2"/>
  <c r="IB158" i="2"/>
  <c r="IE157" i="2"/>
  <c r="MX158" i="2"/>
  <c r="NA157" i="2"/>
  <c r="IW158" i="2"/>
  <c r="IZ157" i="2"/>
  <c r="ED157" i="2"/>
  <c r="EC158" i="2"/>
  <c r="EV158" i="2"/>
  <c r="KM157" i="2"/>
  <c r="KP156" i="2"/>
  <c r="KO158" i="2"/>
  <c r="KN157" i="2"/>
  <c r="KN158" i="2" s="1"/>
  <c r="HG158" i="2"/>
  <c r="HI158" i="2"/>
  <c r="EW158" i="2"/>
  <c r="AU158" i="2"/>
  <c r="EX158" i="2"/>
  <c r="FS158" i="2"/>
  <c r="EA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GJ159" i="2"/>
  <c r="GK159" i="2"/>
  <c r="FB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LJ159" i="2" l="1"/>
  <c r="LI159" i="2"/>
  <c r="JT159" i="2"/>
  <c r="JS159" i="2"/>
  <c r="IX159" i="2"/>
  <c r="IC159" i="2"/>
  <c r="ID159" i="2"/>
  <c r="HH159" i="2"/>
  <c r="HI159" i="2"/>
  <c r="HG159" i="2"/>
  <c r="IW159" i="2"/>
  <c r="IZ158" i="2"/>
  <c r="IB159" i="2"/>
  <c r="IE158" i="2"/>
  <c r="MF158" i="2"/>
  <c r="MC159" i="2"/>
  <c r="JR159" i="2"/>
  <c r="JU158" i="2"/>
  <c r="ON159" i="2"/>
  <c r="OQ158" i="2"/>
  <c r="MX159" i="2"/>
  <c r="NA158" i="2"/>
  <c r="PI159" i="2"/>
  <c r="PL158" i="2"/>
  <c r="NS159" i="2"/>
  <c r="NV158" i="2"/>
  <c r="IC160" i="2"/>
  <c r="KI160" i="2"/>
  <c r="KH160" i="2"/>
  <c r="KJ160" i="2"/>
  <c r="PG160" i="2"/>
  <c r="PE160" i="2"/>
  <c r="PJ160" i="2" s="1"/>
  <c r="MI160" i="2"/>
  <c r="OU160" i="2"/>
  <c r="PD160" i="2"/>
  <c r="PH160" i="2"/>
  <c r="PF160" i="2"/>
  <c r="MJ160" i="2"/>
  <c r="OT160" i="2"/>
  <c r="OS160" i="2"/>
  <c r="OM160" i="2"/>
  <c r="OR160" i="2"/>
  <c r="OL160" i="2"/>
  <c r="OK160" i="2"/>
  <c r="OJ160" i="2"/>
  <c r="OP160" i="2" s="1"/>
  <c r="OI160" i="2"/>
  <c r="NX160" i="2"/>
  <c r="NZ160" i="2"/>
  <c r="NY160" i="2"/>
  <c r="NW160" i="2"/>
  <c r="NO160" i="2"/>
  <c r="NU160" i="2" s="1"/>
  <c r="NR160" i="2"/>
  <c r="NQ160" i="2"/>
  <c r="NP160" i="2"/>
  <c r="NC160" i="2"/>
  <c r="NN160" i="2"/>
  <c r="NE160" i="2"/>
  <c r="ND160" i="2"/>
  <c r="MT160" i="2"/>
  <c r="MZ160" i="2" s="1"/>
  <c r="MW160" i="2"/>
  <c r="MS160" i="2"/>
  <c r="NB160" i="2"/>
  <c r="MV160" i="2"/>
  <c r="MH160" i="2"/>
  <c r="MU160" i="2"/>
  <c r="MG160" i="2"/>
  <c r="LZ160" i="2"/>
  <c r="LY160" i="2"/>
  <c r="MB160" i="2"/>
  <c r="LX160" i="2"/>
  <c r="MA160" i="2"/>
  <c r="LO160" i="2"/>
  <c r="LN160" i="2"/>
  <c r="LF160" i="2"/>
  <c r="KT160" i="2"/>
  <c r="KS160" i="2"/>
  <c r="JA160" i="2"/>
  <c r="LL160" i="2"/>
  <c r="LE160" i="2"/>
  <c r="JB160" i="2"/>
  <c r="LM160" i="2"/>
  <c r="LD160" i="2"/>
  <c r="KR160" i="2"/>
  <c r="LG160" i="2"/>
  <c r="LC160" i="2"/>
  <c r="KK160" i="2"/>
  <c r="JM160" i="2"/>
  <c r="KQ160" i="2"/>
  <c r="JO160" i="2"/>
  <c r="JD160" i="2"/>
  <c r="JV160" i="2"/>
  <c r="KL160" i="2"/>
  <c r="JY160" i="2"/>
  <c r="JX160" i="2"/>
  <c r="JN160" i="2"/>
  <c r="JW160" i="2"/>
  <c r="JQ160" i="2"/>
  <c r="IU160" i="2"/>
  <c r="IH160" i="2"/>
  <c r="IF160" i="2"/>
  <c r="HE160" i="2"/>
  <c r="IT160" i="2"/>
  <c r="IG160" i="2"/>
  <c r="HF160" i="2"/>
  <c r="JP160" i="2"/>
  <c r="JC160" i="2"/>
  <c r="IS160" i="2"/>
  <c r="HN160" i="2"/>
  <c r="IV160" i="2"/>
  <c r="IR160" i="2"/>
  <c r="II160" i="2"/>
  <c r="HD160" i="2"/>
  <c r="HL160" i="2"/>
  <c r="IA160" i="2"/>
  <c r="HW160" i="2"/>
  <c r="HZ160" i="2"/>
  <c r="HM160" i="2"/>
  <c r="HK160" i="2"/>
  <c r="HY160" i="2"/>
  <c r="HX160" i="2"/>
  <c r="PK160" i="2"/>
  <c r="OO160" i="2"/>
  <c r="IY160" i="2"/>
  <c r="LH159" i="2"/>
  <c r="LK158" i="2"/>
  <c r="ID160" i="2"/>
  <c r="ED158" i="2"/>
  <c r="KO159" i="2"/>
  <c r="KM158" i="2"/>
  <c r="KP157" i="2"/>
  <c r="EC159" i="2"/>
  <c r="EA159" i="2"/>
  <c r="FS159" i="2"/>
  <c r="EX159" i="2"/>
  <c r="EV159" i="2"/>
  <c r="EB159" i="2"/>
  <c r="GN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GK160" i="2"/>
  <c r="FB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LJ160" i="2" l="1"/>
  <c r="LI160" i="2"/>
  <c r="MD160" i="2"/>
  <c r="JT160" i="2"/>
  <c r="IX160" i="2"/>
  <c r="HH160" i="2"/>
  <c r="NT160" i="2"/>
  <c r="JS160" i="2"/>
  <c r="JU159" i="2"/>
  <c r="JR160" i="2"/>
  <c r="IB160" i="2"/>
  <c r="IE159" i="2"/>
  <c r="EY159" i="2"/>
  <c r="NS160" i="2"/>
  <c r="NV159" i="2"/>
  <c r="MC160" i="2"/>
  <c r="MF159" i="2"/>
  <c r="ME160" i="2"/>
  <c r="LH160" i="2"/>
  <c r="LK159" i="2"/>
  <c r="KJ161" i="2"/>
  <c r="KI161" i="2"/>
  <c r="KH161" i="2"/>
  <c r="OU161" i="2"/>
  <c r="PF161" i="2"/>
  <c r="MJ161" i="2"/>
  <c r="PE161" i="2"/>
  <c r="PJ161" i="2" s="1"/>
  <c r="MI161" i="2"/>
  <c r="OT161" i="2"/>
  <c r="PD161" i="2"/>
  <c r="PG161" i="2"/>
  <c r="PH161" i="2"/>
  <c r="OS161" i="2"/>
  <c r="OR161" i="2"/>
  <c r="OM161" i="2"/>
  <c r="OL161" i="2"/>
  <c r="OK161" i="2"/>
  <c r="OJ161" i="2"/>
  <c r="OP161" i="2" s="1"/>
  <c r="OI161" i="2"/>
  <c r="NX161" i="2"/>
  <c r="NR161" i="2"/>
  <c r="NP161" i="2"/>
  <c r="NZ161" i="2"/>
  <c r="NY161" i="2"/>
  <c r="NW161" i="2"/>
  <c r="NO161" i="2"/>
  <c r="NU161" i="2" s="1"/>
  <c r="NE161" i="2"/>
  <c r="ND161" i="2"/>
  <c r="NQ161" i="2"/>
  <c r="NC161" i="2"/>
  <c r="NN161" i="2"/>
  <c r="MU161" i="2"/>
  <c r="MT161" i="2"/>
  <c r="MZ161" i="2" s="1"/>
  <c r="MW161" i="2"/>
  <c r="MS161" i="2"/>
  <c r="NB161" i="2"/>
  <c r="MV161" i="2"/>
  <c r="MH161" i="2"/>
  <c r="MA161" i="2"/>
  <c r="MG161" i="2"/>
  <c r="LZ161" i="2"/>
  <c r="LY161" i="2"/>
  <c r="MB161" i="2"/>
  <c r="LX161" i="2"/>
  <c r="LG161" i="2"/>
  <c r="LC161" i="2"/>
  <c r="LO161" i="2"/>
  <c r="LN161" i="2"/>
  <c r="LF161" i="2"/>
  <c r="KT161" i="2"/>
  <c r="KS161" i="2"/>
  <c r="JA161" i="2"/>
  <c r="LL161" i="2"/>
  <c r="LE161" i="2"/>
  <c r="JB161" i="2"/>
  <c r="LM161" i="2"/>
  <c r="LD161" i="2"/>
  <c r="KR161" i="2"/>
  <c r="KL161" i="2"/>
  <c r="JY161" i="2"/>
  <c r="JX161" i="2"/>
  <c r="JN161" i="2"/>
  <c r="JW161" i="2"/>
  <c r="JQ161" i="2"/>
  <c r="KK161" i="2"/>
  <c r="JM161" i="2"/>
  <c r="KQ161" i="2"/>
  <c r="JO161" i="2"/>
  <c r="JD161" i="2"/>
  <c r="JV161" i="2"/>
  <c r="IV161" i="2"/>
  <c r="IR161" i="2"/>
  <c r="II161" i="2"/>
  <c r="HD161" i="2"/>
  <c r="IU161" i="2"/>
  <c r="IH161" i="2"/>
  <c r="IF161" i="2"/>
  <c r="HE161" i="2"/>
  <c r="IT161" i="2"/>
  <c r="IG161" i="2"/>
  <c r="HF161" i="2"/>
  <c r="JP161" i="2"/>
  <c r="JC161" i="2"/>
  <c r="IS161" i="2"/>
  <c r="IY161" i="2" s="1"/>
  <c r="HN161" i="2"/>
  <c r="HX161" i="2"/>
  <c r="HL161" i="2"/>
  <c r="IA161" i="2"/>
  <c r="HW161" i="2"/>
  <c r="HZ161" i="2"/>
  <c r="HM161" i="2"/>
  <c r="HK161" i="2"/>
  <c r="HY161" i="2"/>
  <c r="MY160" i="2"/>
  <c r="MY161" i="2" s="1"/>
  <c r="MX160" i="2"/>
  <c r="NA159" i="2"/>
  <c r="ON160" i="2"/>
  <c r="OQ159" i="2"/>
  <c r="IW160" i="2"/>
  <c r="IZ159" i="2"/>
  <c r="ID161" i="2"/>
  <c r="OO161" i="2"/>
  <c r="PK161" i="2"/>
  <c r="PI160" i="2"/>
  <c r="PL159" i="2"/>
  <c r="ED159" i="2"/>
  <c r="KM159" i="2"/>
  <c r="KP158" i="2"/>
  <c r="KO160" i="2"/>
  <c r="KN159" i="2"/>
  <c r="HG160" i="2"/>
  <c r="HI160" i="2"/>
  <c r="DG160" i="2"/>
  <c r="FS160" i="2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GJ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MD161" i="2" l="1"/>
  <c r="LJ161" i="2"/>
  <c r="JT161" i="2"/>
  <c r="IX161" i="2"/>
  <c r="IC161" i="2"/>
  <c r="HI161" i="2"/>
  <c r="HG161" i="2"/>
  <c r="HH161" i="2"/>
  <c r="PI161" i="2"/>
  <c r="PL160" i="2"/>
  <c r="KJ162" i="2"/>
  <c r="KI162" i="2"/>
  <c r="KH162" i="2"/>
  <c r="OT162" i="2"/>
  <c r="PE162" i="2"/>
  <c r="PJ162" i="2" s="1"/>
  <c r="PF162" i="2"/>
  <c r="OU162" i="2"/>
  <c r="MI162" i="2"/>
  <c r="PD162" i="2"/>
  <c r="PG162" i="2"/>
  <c r="PH162" i="2"/>
  <c r="MJ162" i="2"/>
  <c r="OS162" i="2"/>
  <c r="OR162" i="2"/>
  <c r="OM162" i="2"/>
  <c r="OL162" i="2"/>
  <c r="OK162" i="2"/>
  <c r="OI162" i="2"/>
  <c r="OJ162" i="2"/>
  <c r="OP162" i="2" s="1"/>
  <c r="NZ162" i="2"/>
  <c r="NY162" i="2"/>
  <c r="NX162" i="2"/>
  <c r="NW162" i="2"/>
  <c r="NR162" i="2"/>
  <c r="NQ162" i="2"/>
  <c r="NP162" i="2"/>
  <c r="NN162" i="2"/>
  <c r="NE162" i="2"/>
  <c r="ND162" i="2"/>
  <c r="NO162" i="2"/>
  <c r="NU162" i="2" s="1"/>
  <c r="NB162" i="2"/>
  <c r="NC162" i="2"/>
  <c r="MV162" i="2"/>
  <c r="MU162" i="2"/>
  <c r="MT162" i="2"/>
  <c r="MZ162" i="2" s="1"/>
  <c r="MW162" i="2"/>
  <c r="MB162" i="2"/>
  <c r="LX162" i="2"/>
  <c r="MS162" i="2"/>
  <c r="MH162" i="2"/>
  <c r="MA162" i="2"/>
  <c r="MG162" i="2"/>
  <c r="LZ162" i="2"/>
  <c r="LY162" i="2"/>
  <c r="LM162" i="2"/>
  <c r="LD162" i="2"/>
  <c r="KR162" i="2"/>
  <c r="LG162" i="2"/>
  <c r="LC162" i="2"/>
  <c r="LO162" i="2"/>
  <c r="LN162" i="2"/>
  <c r="LF162" i="2"/>
  <c r="KT162" i="2"/>
  <c r="KS162" i="2"/>
  <c r="JA162" i="2"/>
  <c r="LL162" i="2"/>
  <c r="LE162" i="2"/>
  <c r="JB162" i="2"/>
  <c r="JO162" i="2"/>
  <c r="JD162" i="2"/>
  <c r="JV162" i="2"/>
  <c r="KL162" i="2"/>
  <c r="JY162" i="2"/>
  <c r="JX162" i="2"/>
  <c r="JN162" i="2"/>
  <c r="JW162" i="2"/>
  <c r="JQ162" i="2"/>
  <c r="KK162" i="2"/>
  <c r="JM162" i="2"/>
  <c r="JP162" i="2"/>
  <c r="JC162" i="2"/>
  <c r="KQ162" i="2"/>
  <c r="IS162" i="2"/>
  <c r="IX162" i="2" s="1"/>
  <c r="HN162" i="2"/>
  <c r="IV162" i="2"/>
  <c r="IY162" i="2" s="1"/>
  <c r="IR162" i="2"/>
  <c r="II162" i="2"/>
  <c r="HD162" i="2"/>
  <c r="IU162" i="2"/>
  <c r="IH162" i="2"/>
  <c r="IF162" i="2"/>
  <c r="HE162" i="2"/>
  <c r="IT162" i="2"/>
  <c r="IG162" i="2"/>
  <c r="HF162" i="2"/>
  <c r="HM162" i="2"/>
  <c r="HK162" i="2"/>
  <c r="HY162" i="2"/>
  <c r="HX162" i="2"/>
  <c r="IC162" i="2" s="1"/>
  <c r="HL162" i="2"/>
  <c r="IA162" i="2"/>
  <c r="HW162" i="2"/>
  <c r="HZ162" i="2"/>
  <c r="OO162" i="2"/>
  <c r="IW161" i="2"/>
  <c r="IZ160" i="2"/>
  <c r="MY162" i="2"/>
  <c r="JS161" i="2"/>
  <c r="MX161" i="2"/>
  <c r="NA160" i="2"/>
  <c r="ME161" i="2"/>
  <c r="IB161" i="2"/>
  <c r="IE160" i="2"/>
  <c r="NT161" i="2"/>
  <c r="NT162" i="2" s="1"/>
  <c r="ON161" i="2"/>
  <c r="OQ160" i="2"/>
  <c r="NS161" i="2"/>
  <c r="NV160" i="2"/>
  <c r="JR161" i="2"/>
  <c r="JU160" i="2"/>
  <c r="PK162" i="2"/>
  <c r="LH161" i="2"/>
  <c r="LK160" i="2"/>
  <c r="MC161" i="2"/>
  <c r="MF160" i="2"/>
  <c r="LI161" i="2"/>
  <c r="ED160" i="2"/>
  <c r="EX161" i="2"/>
  <c r="KO161" i="2"/>
  <c r="KM160" i="2"/>
  <c r="KP159" i="2"/>
  <c r="KN160" i="2"/>
  <c r="KN161" i="2" s="1"/>
  <c r="FS161" i="2"/>
  <c r="EB161" i="2"/>
  <c r="EA161" i="2"/>
  <c r="AB161" i="2"/>
  <c r="AW161" i="2"/>
  <c r="EC161" i="2"/>
  <c r="EW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GJ162" i="2"/>
  <c r="GK162" i="2"/>
  <c r="FB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JS162" i="2" l="1"/>
  <c r="ME162" i="2"/>
  <c r="LJ162" i="2"/>
  <c r="MD162" i="2"/>
  <c r="LI162" i="2"/>
  <c r="JT162" i="2"/>
  <c r="ID162" i="2"/>
  <c r="HH162" i="2"/>
  <c r="NS162" i="2"/>
  <c r="NV161" i="2"/>
  <c r="ON162" i="2"/>
  <c r="OQ161" i="2"/>
  <c r="IB162" i="2"/>
  <c r="IE161" i="2"/>
  <c r="MF161" i="2"/>
  <c r="MC162" i="2"/>
  <c r="IW162" i="2"/>
  <c r="IZ161" i="2"/>
  <c r="PI162" i="2"/>
  <c r="PL161" i="2"/>
  <c r="JR162" i="2"/>
  <c r="JU161" i="2"/>
  <c r="KI163" i="2"/>
  <c r="KJ163" i="2"/>
  <c r="KH163" i="2"/>
  <c r="PD163" i="2"/>
  <c r="PH163" i="2"/>
  <c r="OT163" i="2"/>
  <c r="PG163" i="2"/>
  <c r="PF163" i="2"/>
  <c r="PE163" i="2"/>
  <c r="PJ163" i="2" s="1"/>
  <c r="OU163" i="2"/>
  <c r="MI163" i="2"/>
  <c r="MJ163" i="2"/>
  <c r="OS163" i="2"/>
  <c r="OR163" i="2"/>
  <c r="OM163" i="2"/>
  <c r="OK163" i="2"/>
  <c r="OI163" i="2"/>
  <c r="OL163" i="2"/>
  <c r="OJ163" i="2"/>
  <c r="OP163" i="2" s="1"/>
  <c r="NZ163" i="2"/>
  <c r="NY163" i="2"/>
  <c r="NX163" i="2"/>
  <c r="NW163" i="2"/>
  <c r="NR163" i="2"/>
  <c r="NQ163" i="2"/>
  <c r="NC163" i="2"/>
  <c r="NN163" i="2"/>
  <c r="NP163" i="2"/>
  <c r="NE163" i="2"/>
  <c r="ND163" i="2"/>
  <c r="NO163" i="2"/>
  <c r="NU163" i="2" s="1"/>
  <c r="NB163" i="2"/>
  <c r="MW163" i="2"/>
  <c r="MS163" i="2"/>
  <c r="MV163" i="2"/>
  <c r="MH163" i="2"/>
  <c r="MU163" i="2"/>
  <c r="MT163" i="2"/>
  <c r="MZ163" i="2" s="1"/>
  <c r="LY163" i="2"/>
  <c r="MB163" i="2"/>
  <c r="LX163" i="2"/>
  <c r="MA163" i="2"/>
  <c r="MG163" i="2"/>
  <c r="LZ163" i="2"/>
  <c r="LL163" i="2"/>
  <c r="LE163" i="2"/>
  <c r="JB163" i="2"/>
  <c r="LM163" i="2"/>
  <c r="LD163" i="2"/>
  <c r="LJ163" i="2" s="1"/>
  <c r="KR163" i="2"/>
  <c r="LG163" i="2"/>
  <c r="LC163" i="2"/>
  <c r="LO163" i="2"/>
  <c r="LN163" i="2"/>
  <c r="LF163" i="2"/>
  <c r="KT163" i="2"/>
  <c r="KS163" i="2"/>
  <c r="JA163" i="2"/>
  <c r="KQ163" i="2"/>
  <c r="JO163" i="2"/>
  <c r="JD163" i="2"/>
  <c r="JV163" i="2"/>
  <c r="KL163" i="2"/>
  <c r="JY163" i="2"/>
  <c r="JX163" i="2"/>
  <c r="JN163" i="2"/>
  <c r="JW163" i="2"/>
  <c r="JQ163" i="2"/>
  <c r="KK163" i="2"/>
  <c r="JM163" i="2"/>
  <c r="JP163" i="2"/>
  <c r="JC163" i="2"/>
  <c r="IT163" i="2"/>
  <c r="IG163" i="2"/>
  <c r="HF163" i="2"/>
  <c r="IS163" i="2"/>
  <c r="HN163" i="2"/>
  <c r="IV163" i="2"/>
  <c r="IR163" i="2"/>
  <c r="II163" i="2"/>
  <c r="HD163" i="2"/>
  <c r="IU163" i="2"/>
  <c r="IH163" i="2"/>
  <c r="IF163" i="2"/>
  <c r="HE163" i="2"/>
  <c r="HZ163" i="2"/>
  <c r="HM163" i="2"/>
  <c r="HK163" i="2"/>
  <c r="HY163" i="2"/>
  <c r="HX163" i="2"/>
  <c r="IC163" i="2" s="1"/>
  <c r="HL163" i="2"/>
  <c r="IA163" i="2"/>
  <c r="HW163" i="2"/>
  <c r="LH162" i="2"/>
  <c r="LK161" i="2"/>
  <c r="MX162" i="2"/>
  <c r="NA161" i="2"/>
  <c r="MY163" i="2"/>
  <c r="ED161" i="2"/>
  <c r="EY161" i="2"/>
  <c r="DI161" i="2"/>
  <c r="EC162" i="2"/>
  <c r="KM161" i="2"/>
  <c r="KP160" i="2"/>
  <c r="KO162" i="2"/>
  <c r="HG162" i="2"/>
  <c r="HI162" i="2"/>
  <c r="EW162" i="2"/>
  <c r="EB162" i="2"/>
  <c r="FS162" i="2"/>
  <c r="AU162" i="2"/>
  <c r="EX162" i="2"/>
  <c r="EA162" i="2"/>
  <c r="EV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GJ163" i="2"/>
  <c r="GK163" i="2"/>
  <c r="FB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MD163" i="2" l="1"/>
  <c r="IY163" i="2"/>
  <c r="JS163" i="2"/>
  <c r="HH163" i="2"/>
  <c r="MX163" i="2"/>
  <c r="NA162" i="2"/>
  <c r="ME163" i="2"/>
  <c r="JT163" i="2"/>
  <c r="KI164" i="2"/>
  <c r="KH164" i="2"/>
  <c r="KJ164" i="2"/>
  <c r="PG164" i="2"/>
  <c r="OU164" i="2"/>
  <c r="PD164" i="2"/>
  <c r="PH164" i="2"/>
  <c r="MI164" i="2"/>
  <c r="OT164" i="2"/>
  <c r="PE164" i="2"/>
  <c r="PJ164" i="2" s="1"/>
  <c r="PF164" i="2"/>
  <c r="MJ164" i="2"/>
  <c r="OS164" i="2"/>
  <c r="OM164" i="2"/>
  <c r="OR164" i="2"/>
  <c r="OL164" i="2"/>
  <c r="OK164" i="2"/>
  <c r="OJ164" i="2"/>
  <c r="OP164" i="2" s="1"/>
  <c r="OI164" i="2"/>
  <c r="NX164" i="2"/>
  <c r="NZ164" i="2"/>
  <c r="NY164" i="2"/>
  <c r="NW164" i="2"/>
  <c r="NO164" i="2"/>
  <c r="NU164" i="2" s="1"/>
  <c r="NR164" i="2"/>
  <c r="NC164" i="2"/>
  <c r="NQ164" i="2"/>
  <c r="NN164" i="2"/>
  <c r="NP164" i="2"/>
  <c r="NE164" i="2"/>
  <c r="ND164" i="2"/>
  <c r="NB164" i="2"/>
  <c r="MT164" i="2"/>
  <c r="MZ164" i="2" s="1"/>
  <c r="MW164" i="2"/>
  <c r="MS164" i="2"/>
  <c r="MV164" i="2"/>
  <c r="MH164" i="2"/>
  <c r="MU164" i="2"/>
  <c r="MG164" i="2"/>
  <c r="LZ164" i="2"/>
  <c r="LY164" i="2"/>
  <c r="MB164" i="2"/>
  <c r="LX164" i="2"/>
  <c r="MA164" i="2"/>
  <c r="LO164" i="2"/>
  <c r="LN164" i="2"/>
  <c r="LF164" i="2"/>
  <c r="KT164" i="2"/>
  <c r="KS164" i="2"/>
  <c r="JA164" i="2"/>
  <c r="LL164" i="2"/>
  <c r="LE164" i="2"/>
  <c r="JB164" i="2"/>
  <c r="LM164" i="2"/>
  <c r="LD164" i="2"/>
  <c r="KR164" i="2"/>
  <c r="LG164" i="2"/>
  <c r="LC164" i="2"/>
  <c r="KK164" i="2"/>
  <c r="JM164" i="2"/>
  <c r="KQ164" i="2"/>
  <c r="JO164" i="2"/>
  <c r="JD164" i="2"/>
  <c r="JV164" i="2"/>
  <c r="KL164" i="2"/>
  <c r="JY164" i="2"/>
  <c r="JX164" i="2"/>
  <c r="JN164" i="2"/>
  <c r="JW164" i="2"/>
  <c r="JQ164" i="2"/>
  <c r="JP164" i="2"/>
  <c r="JC164" i="2"/>
  <c r="IU164" i="2"/>
  <c r="IH164" i="2"/>
  <c r="IF164" i="2"/>
  <c r="HE164" i="2"/>
  <c r="IT164" i="2"/>
  <c r="IG164" i="2"/>
  <c r="HF164" i="2"/>
  <c r="IS164" i="2"/>
  <c r="IY164" i="2" s="1"/>
  <c r="HN164" i="2"/>
  <c r="IV164" i="2"/>
  <c r="IR164" i="2"/>
  <c r="II164" i="2"/>
  <c r="HD164" i="2"/>
  <c r="HL164" i="2"/>
  <c r="IA164" i="2"/>
  <c r="HW164" i="2"/>
  <c r="HZ164" i="2"/>
  <c r="HM164" i="2"/>
  <c r="HK164" i="2"/>
  <c r="HY164" i="2"/>
  <c r="HX164" i="2"/>
  <c r="HI163" i="2"/>
  <c r="PK163" i="2"/>
  <c r="NT163" i="2"/>
  <c r="NT164" i="2" s="1"/>
  <c r="IW163" i="2"/>
  <c r="IZ162" i="2"/>
  <c r="LI163" i="2"/>
  <c r="LI164" i="2" s="1"/>
  <c r="IB163" i="2"/>
  <c r="IE162" i="2"/>
  <c r="NS163" i="2"/>
  <c r="NV162" i="2"/>
  <c r="HG163" i="2"/>
  <c r="MY164" i="2"/>
  <c r="OO163" i="2"/>
  <c r="OO164" i="2" s="1"/>
  <c r="PI163" i="2"/>
  <c r="PL162" i="2"/>
  <c r="IX163" i="2"/>
  <c r="IX164" i="2" s="1"/>
  <c r="LH163" i="2"/>
  <c r="LK162" i="2"/>
  <c r="JU162" i="2"/>
  <c r="JR163" i="2"/>
  <c r="MC163" i="2"/>
  <c r="MF162" i="2"/>
  <c r="ID163" i="2"/>
  <c r="ON163" i="2"/>
  <c r="OQ162" i="2"/>
  <c r="EY162" i="2"/>
  <c r="ED162" i="2"/>
  <c r="EB163" i="2"/>
  <c r="KO163" i="2"/>
  <c r="KM162" i="2"/>
  <c r="KP161" i="2"/>
  <c r="KN162" i="2"/>
  <c r="KN163" i="2" s="1"/>
  <c r="EA163" i="2"/>
  <c r="EV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GK164" i="2"/>
  <c r="FB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LJ164" i="2" l="1"/>
  <c r="MD164" i="2"/>
  <c r="ID164" i="2"/>
  <c r="JS164" i="2"/>
  <c r="IC164" i="2"/>
  <c r="HH164" i="2"/>
  <c r="JR164" i="2"/>
  <c r="JU163" i="2"/>
  <c r="IW164" i="2"/>
  <c r="IZ163" i="2"/>
  <c r="PK164" i="2"/>
  <c r="ON164" i="2"/>
  <c r="OQ163" i="2"/>
  <c r="IB164" i="2"/>
  <c r="IE163" i="2"/>
  <c r="MF163" i="2"/>
  <c r="MC164" i="2"/>
  <c r="KJ165" i="2"/>
  <c r="KI165" i="2"/>
  <c r="KH165" i="2"/>
  <c r="OU165" i="2"/>
  <c r="PF165" i="2"/>
  <c r="PE165" i="2"/>
  <c r="PJ165" i="2" s="1"/>
  <c r="MJ165" i="2"/>
  <c r="PD165" i="2"/>
  <c r="PG165" i="2"/>
  <c r="PH165" i="2"/>
  <c r="MI165" i="2"/>
  <c r="OT165" i="2"/>
  <c r="OS165" i="2"/>
  <c r="OR165" i="2"/>
  <c r="OM165" i="2"/>
  <c r="OL165" i="2"/>
  <c r="OK165" i="2"/>
  <c r="OJ165" i="2"/>
  <c r="OP165" i="2" s="1"/>
  <c r="OI165" i="2"/>
  <c r="NX165" i="2"/>
  <c r="NR165" i="2"/>
  <c r="NZ165" i="2"/>
  <c r="NY165" i="2"/>
  <c r="NP165" i="2"/>
  <c r="NW165" i="2"/>
  <c r="NO165" i="2"/>
  <c r="NU165" i="2" s="1"/>
  <c r="NE165" i="2"/>
  <c r="ND165" i="2"/>
  <c r="NC165" i="2"/>
  <c r="NQ165" i="2"/>
  <c r="NN165" i="2"/>
  <c r="MU165" i="2"/>
  <c r="NB165" i="2"/>
  <c r="MT165" i="2"/>
  <c r="MZ165" i="2" s="1"/>
  <c r="MW165" i="2"/>
  <c r="MS165" i="2"/>
  <c r="MV165" i="2"/>
  <c r="MA165" i="2"/>
  <c r="MG165" i="2"/>
  <c r="LZ165" i="2"/>
  <c r="MH165" i="2"/>
  <c r="LY165" i="2"/>
  <c r="MD165" i="2" s="1"/>
  <c r="MB165" i="2"/>
  <c r="LX165" i="2"/>
  <c r="LG165" i="2"/>
  <c r="LC165" i="2"/>
  <c r="LO165" i="2"/>
  <c r="LN165" i="2"/>
  <c r="LF165" i="2"/>
  <c r="KT165" i="2"/>
  <c r="KS165" i="2"/>
  <c r="JA165" i="2"/>
  <c r="LL165" i="2"/>
  <c r="LE165" i="2"/>
  <c r="JB165" i="2"/>
  <c r="LM165" i="2"/>
  <c r="LD165" i="2"/>
  <c r="KR165" i="2"/>
  <c r="KL165" i="2"/>
  <c r="JY165" i="2"/>
  <c r="JX165" i="2"/>
  <c r="JN165" i="2"/>
  <c r="JW165" i="2"/>
  <c r="JQ165" i="2"/>
  <c r="KK165" i="2"/>
  <c r="JM165" i="2"/>
  <c r="KQ165" i="2"/>
  <c r="JO165" i="2"/>
  <c r="JD165" i="2"/>
  <c r="JV165" i="2"/>
  <c r="IV165" i="2"/>
  <c r="IR165" i="2"/>
  <c r="II165" i="2"/>
  <c r="HD165" i="2"/>
  <c r="JP165" i="2"/>
  <c r="JC165" i="2"/>
  <c r="IU165" i="2"/>
  <c r="IH165" i="2"/>
  <c r="IF165" i="2"/>
  <c r="HE165" i="2"/>
  <c r="IT165" i="2"/>
  <c r="IG165" i="2"/>
  <c r="HF165" i="2"/>
  <c r="IS165" i="2"/>
  <c r="HN165" i="2"/>
  <c r="HX165" i="2"/>
  <c r="HL165" i="2"/>
  <c r="IA165" i="2"/>
  <c r="HW165" i="2"/>
  <c r="HZ165" i="2"/>
  <c r="HM165" i="2"/>
  <c r="HK165" i="2"/>
  <c r="HY165" i="2"/>
  <c r="PI164" i="2"/>
  <c r="PL163" i="2"/>
  <c r="ME164" i="2"/>
  <c r="MX164" i="2"/>
  <c r="NA163" i="2"/>
  <c r="LH164" i="2"/>
  <c r="LK163" i="2"/>
  <c r="OO165" i="2"/>
  <c r="NS164" i="2"/>
  <c r="NV163" i="2"/>
  <c r="NT165" i="2"/>
  <c r="JT164" i="2"/>
  <c r="ED163" i="2"/>
  <c r="EY163" i="2"/>
  <c r="DH164" i="2"/>
  <c r="KM163" i="2"/>
  <c r="KP162" i="2"/>
  <c r="KO164" i="2"/>
  <c r="HG164" i="2"/>
  <c r="HI164" i="2"/>
  <c r="DI163" i="2"/>
  <c r="FR164" i="2"/>
  <c r="EX164" i="2"/>
  <c r="EA164" i="2"/>
  <c r="FS164" i="2"/>
  <c r="EV164" i="2"/>
  <c r="EC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GJ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LJ165" i="2" l="1"/>
  <c r="LI165" i="2"/>
  <c r="JT165" i="2"/>
  <c r="JS165" i="2"/>
  <c r="IX165" i="2"/>
  <c r="IC165" i="2"/>
  <c r="HG165" i="2"/>
  <c r="HH165" i="2"/>
  <c r="NS165" i="2"/>
  <c r="NV164" i="2"/>
  <c r="ID165" i="2"/>
  <c r="IW165" i="2"/>
  <c r="IZ164" i="2"/>
  <c r="JR165" i="2"/>
  <c r="JU164" i="2"/>
  <c r="IY165" i="2"/>
  <c r="ME165" i="2"/>
  <c r="PI165" i="2"/>
  <c r="PL164" i="2"/>
  <c r="MY165" i="2"/>
  <c r="KJ166" i="2"/>
  <c r="KH166" i="2"/>
  <c r="KI166" i="2"/>
  <c r="OT166" i="2"/>
  <c r="PE166" i="2"/>
  <c r="PJ166" i="2" s="1"/>
  <c r="OU166" i="2"/>
  <c r="MJ166" i="2"/>
  <c r="PD166" i="2"/>
  <c r="PF166" i="2"/>
  <c r="PG166" i="2"/>
  <c r="PH166" i="2"/>
  <c r="MI166" i="2"/>
  <c r="OS166" i="2"/>
  <c r="OR166" i="2"/>
  <c r="OM166" i="2"/>
  <c r="OL166" i="2"/>
  <c r="OK166" i="2"/>
  <c r="OJ166" i="2"/>
  <c r="OP166" i="2" s="1"/>
  <c r="OI166" i="2"/>
  <c r="NZ166" i="2"/>
  <c r="NY166" i="2"/>
  <c r="NW166" i="2"/>
  <c r="NR166" i="2"/>
  <c r="NX166" i="2"/>
  <c r="NQ166" i="2"/>
  <c r="NP166" i="2"/>
  <c r="NO166" i="2"/>
  <c r="NU166" i="2" s="1"/>
  <c r="NN166" i="2"/>
  <c r="NE166" i="2"/>
  <c r="ND166" i="2"/>
  <c r="NB166" i="2"/>
  <c r="NC166" i="2"/>
  <c r="MV166" i="2"/>
  <c r="MU166" i="2"/>
  <c r="MT166" i="2"/>
  <c r="MZ166" i="2" s="1"/>
  <c r="MW166" i="2"/>
  <c r="MB166" i="2"/>
  <c r="LX166" i="2"/>
  <c r="MA166" i="2"/>
  <c r="MS166" i="2"/>
  <c r="MG166" i="2"/>
  <c r="LZ166" i="2"/>
  <c r="MH166" i="2"/>
  <c r="LY166" i="2"/>
  <c r="LM166" i="2"/>
  <c r="LD166" i="2"/>
  <c r="KR166" i="2"/>
  <c r="LG166" i="2"/>
  <c r="LC166" i="2"/>
  <c r="LO166" i="2"/>
  <c r="LN166" i="2"/>
  <c r="LF166" i="2"/>
  <c r="KT166" i="2"/>
  <c r="KS166" i="2"/>
  <c r="JA166" i="2"/>
  <c r="LL166" i="2"/>
  <c r="LE166" i="2"/>
  <c r="JB166" i="2"/>
  <c r="JO166" i="2"/>
  <c r="JD166" i="2"/>
  <c r="JV166" i="2"/>
  <c r="KL166" i="2"/>
  <c r="JY166" i="2"/>
  <c r="JX166" i="2"/>
  <c r="JN166" i="2"/>
  <c r="JW166" i="2"/>
  <c r="JQ166" i="2"/>
  <c r="KK166" i="2"/>
  <c r="JM166" i="2"/>
  <c r="JP166" i="2"/>
  <c r="JC166" i="2"/>
  <c r="KQ166" i="2"/>
  <c r="IS166" i="2"/>
  <c r="HN166" i="2"/>
  <c r="IV166" i="2"/>
  <c r="IR166" i="2"/>
  <c r="II166" i="2"/>
  <c r="HD166" i="2"/>
  <c r="IU166" i="2"/>
  <c r="IH166" i="2"/>
  <c r="IF166" i="2"/>
  <c r="HE166" i="2"/>
  <c r="IT166" i="2"/>
  <c r="IG166" i="2"/>
  <c r="HF166" i="2"/>
  <c r="HM166" i="2"/>
  <c r="HK166" i="2"/>
  <c r="HY166" i="2"/>
  <c r="HX166" i="2"/>
  <c r="HL166" i="2"/>
  <c r="IA166" i="2"/>
  <c r="HW166" i="2"/>
  <c r="HZ166" i="2"/>
  <c r="NT166" i="2"/>
  <c r="MX165" i="2"/>
  <c r="NA164" i="2"/>
  <c r="ON165" i="2"/>
  <c r="OQ164" i="2"/>
  <c r="PK165" i="2"/>
  <c r="PK166" i="2" s="1"/>
  <c r="HI165" i="2"/>
  <c r="LH165" i="2"/>
  <c r="LK164" i="2"/>
  <c r="MC165" i="2"/>
  <c r="MF164" i="2"/>
  <c r="IB165" i="2"/>
  <c r="IE164" i="2"/>
  <c r="KO165" i="2"/>
  <c r="KM164" i="2"/>
  <c r="KP163" i="2"/>
  <c r="KN164" i="2"/>
  <c r="EA165" i="2"/>
  <c r="EX165" i="2"/>
  <c r="EB165" i="2"/>
  <c r="EC165" i="2"/>
  <c r="FS165" i="2"/>
  <c r="FR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GJ166" i="2"/>
  <c r="GK166" i="2"/>
  <c r="FB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LI166" i="2" l="1"/>
  <c r="JS166" i="2"/>
  <c r="LJ166" i="2"/>
  <c r="MD166" i="2"/>
  <c r="JT166" i="2"/>
  <c r="IX166" i="2"/>
  <c r="IC166" i="2"/>
  <c r="HH166" i="2"/>
  <c r="MX166" i="2"/>
  <c r="NA165" i="2"/>
  <c r="JR166" i="2"/>
  <c r="JU165" i="2"/>
  <c r="ON166" i="2"/>
  <c r="OQ165" i="2"/>
  <c r="MY166" i="2"/>
  <c r="OO166" i="2"/>
  <c r="NS166" i="2"/>
  <c r="NV165" i="2"/>
  <c r="KJ167" i="2"/>
  <c r="KH167" i="2"/>
  <c r="KI167" i="2"/>
  <c r="PD167" i="2"/>
  <c r="PF167" i="2"/>
  <c r="PE167" i="2"/>
  <c r="PJ167" i="2" s="1"/>
  <c r="MJ167" i="2"/>
  <c r="OT167" i="2"/>
  <c r="OU167" i="2"/>
  <c r="PG167" i="2"/>
  <c r="PH167" i="2"/>
  <c r="PK167" i="2" s="1"/>
  <c r="MI167" i="2"/>
  <c r="OS167" i="2"/>
  <c r="OR167" i="2"/>
  <c r="OM167" i="2"/>
  <c r="OK167" i="2"/>
  <c r="OL167" i="2"/>
  <c r="OI167" i="2"/>
  <c r="OJ167" i="2"/>
  <c r="OP167" i="2" s="1"/>
  <c r="NZ167" i="2"/>
  <c r="NY167" i="2"/>
  <c r="NW167" i="2"/>
  <c r="NR167" i="2"/>
  <c r="NX167" i="2"/>
  <c r="NQ167" i="2"/>
  <c r="NP167" i="2"/>
  <c r="NC167" i="2"/>
  <c r="NO167" i="2"/>
  <c r="NU167" i="2" s="1"/>
  <c r="NN167" i="2"/>
  <c r="NE167" i="2"/>
  <c r="ND167" i="2"/>
  <c r="NB167" i="2"/>
  <c r="MW167" i="2"/>
  <c r="MS167" i="2"/>
  <c r="MV167" i="2"/>
  <c r="MH167" i="2"/>
  <c r="MU167" i="2"/>
  <c r="MT167" i="2"/>
  <c r="MZ167" i="2" s="1"/>
  <c r="LY167" i="2"/>
  <c r="MB167" i="2"/>
  <c r="LX167" i="2"/>
  <c r="MA167" i="2"/>
  <c r="MG167" i="2"/>
  <c r="LZ167" i="2"/>
  <c r="LL167" i="2"/>
  <c r="LE167" i="2"/>
  <c r="JB167" i="2"/>
  <c r="LM167" i="2"/>
  <c r="LD167" i="2"/>
  <c r="KR167" i="2"/>
  <c r="LG167" i="2"/>
  <c r="LC167" i="2"/>
  <c r="LO167" i="2"/>
  <c r="LN167" i="2"/>
  <c r="LF167" i="2"/>
  <c r="KT167" i="2"/>
  <c r="KS167" i="2"/>
  <c r="JA167" i="2"/>
  <c r="KQ167" i="2"/>
  <c r="JO167" i="2"/>
  <c r="JD167" i="2"/>
  <c r="JV167" i="2"/>
  <c r="KL167" i="2"/>
  <c r="JY167" i="2"/>
  <c r="JX167" i="2"/>
  <c r="JN167" i="2"/>
  <c r="JW167" i="2"/>
  <c r="JQ167" i="2"/>
  <c r="KK167" i="2"/>
  <c r="JM167" i="2"/>
  <c r="JP167" i="2"/>
  <c r="JC167" i="2"/>
  <c r="IT167" i="2"/>
  <c r="IG167" i="2"/>
  <c r="HF167" i="2"/>
  <c r="IS167" i="2"/>
  <c r="HN167" i="2"/>
  <c r="IV167" i="2"/>
  <c r="IR167" i="2"/>
  <c r="II167" i="2"/>
  <c r="HD167" i="2"/>
  <c r="IU167" i="2"/>
  <c r="IH167" i="2"/>
  <c r="IF167" i="2"/>
  <c r="HE167" i="2"/>
  <c r="HZ167" i="2"/>
  <c r="HM167" i="2"/>
  <c r="HK167" i="2"/>
  <c r="HY167" i="2"/>
  <c r="HX167" i="2"/>
  <c r="HL167" i="2"/>
  <c r="IA167" i="2"/>
  <c r="HW167" i="2"/>
  <c r="MF165" i="2"/>
  <c r="MC166" i="2"/>
  <c r="LH166" i="2"/>
  <c r="LK165" i="2"/>
  <c r="ME166" i="2"/>
  <c r="IY166" i="2"/>
  <c r="IY167" i="2" s="1"/>
  <c r="IW166" i="2"/>
  <c r="IZ165" i="2"/>
  <c r="IB166" i="2"/>
  <c r="IE165" i="2"/>
  <c r="PI166" i="2"/>
  <c r="PL165" i="2"/>
  <c r="ID166" i="2"/>
  <c r="ID167" i="2" s="1"/>
  <c r="CN165" i="2"/>
  <c r="EC166" i="2"/>
  <c r="ED165" i="2"/>
  <c r="KM165" i="2"/>
  <c r="KP164" i="2"/>
  <c r="KO166" i="2"/>
  <c r="KN165" i="2"/>
  <c r="HG166" i="2"/>
  <c r="HG167" i="2" s="1"/>
  <c r="HI166" i="2"/>
  <c r="FS166" i="2"/>
  <c r="EX166" i="2"/>
  <c r="EW166" i="2"/>
  <c r="EY165" i="2"/>
  <c r="FR166" i="2"/>
  <c r="GN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GJ167" i="2"/>
  <c r="GK167" i="2"/>
  <c r="FB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MD167" i="2" l="1"/>
  <c r="LI167" i="2"/>
  <c r="JT167" i="2"/>
  <c r="IX167" i="2"/>
  <c r="IC167" i="2"/>
  <c r="HH167" i="2"/>
  <c r="IW167" i="2"/>
  <c r="IZ166" i="2"/>
  <c r="LH167" i="2"/>
  <c r="LK166" i="2"/>
  <c r="PI167" i="2"/>
  <c r="PL166" i="2"/>
  <c r="MC167" i="2"/>
  <c r="MF166" i="2"/>
  <c r="NT167" i="2"/>
  <c r="JU166" i="2"/>
  <c r="JR167" i="2"/>
  <c r="LJ167" i="2"/>
  <c r="JS167" i="2"/>
  <c r="KI168" i="2"/>
  <c r="KH168" i="2"/>
  <c r="KJ168" i="2"/>
  <c r="PG168" i="2"/>
  <c r="OT168" i="2"/>
  <c r="PH168" i="2"/>
  <c r="MI168" i="2"/>
  <c r="PF168" i="2"/>
  <c r="PE168" i="2"/>
  <c r="PJ168" i="2" s="1"/>
  <c r="MJ168" i="2"/>
  <c r="OU168" i="2"/>
  <c r="PD168" i="2"/>
  <c r="OS168" i="2"/>
  <c r="OM168" i="2"/>
  <c r="OR168" i="2"/>
  <c r="OL168" i="2"/>
  <c r="OK168" i="2"/>
  <c r="OJ168" i="2"/>
  <c r="OP168" i="2" s="1"/>
  <c r="OI168" i="2"/>
  <c r="NX168" i="2"/>
  <c r="NZ168" i="2"/>
  <c r="NY168" i="2"/>
  <c r="NW168" i="2"/>
  <c r="NO168" i="2"/>
  <c r="NU168" i="2" s="1"/>
  <c r="NR168" i="2"/>
  <c r="NQ168" i="2"/>
  <c r="NP168" i="2"/>
  <c r="NC168" i="2"/>
  <c r="NN168" i="2"/>
  <c r="NE168" i="2"/>
  <c r="ND168" i="2"/>
  <c r="MT168" i="2"/>
  <c r="MZ168" i="2" s="1"/>
  <c r="MW168" i="2"/>
  <c r="MS168" i="2"/>
  <c r="NB168" i="2"/>
  <c r="MV168" i="2"/>
  <c r="MH168" i="2"/>
  <c r="MU168" i="2"/>
  <c r="MG168" i="2"/>
  <c r="LZ168" i="2"/>
  <c r="LY168" i="2"/>
  <c r="MD168" i="2" s="1"/>
  <c r="MB168" i="2"/>
  <c r="LX168" i="2"/>
  <c r="MA168" i="2"/>
  <c r="LO168" i="2"/>
  <c r="LN168" i="2"/>
  <c r="LF168" i="2"/>
  <c r="KT168" i="2"/>
  <c r="KS168" i="2"/>
  <c r="JA168" i="2"/>
  <c r="LL168" i="2"/>
  <c r="LE168" i="2"/>
  <c r="JB168" i="2"/>
  <c r="LM168" i="2"/>
  <c r="LD168" i="2"/>
  <c r="KR168" i="2"/>
  <c r="LG168" i="2"/>
  <c r="LC168" i="2"/>
  <c r="KK168" i="2"/>
  <c r="JM168" i="2"/>
  <c r="KQ168" i="2"/>
  <c r="JO168" i="2"/>
  <c r="JD168" i="2"/>
  <c r="JV168" i="2"/>
  <c r="KL168" i="2"/>
  <c r="JY168" i="2"/>
  <c r="JX168" i="2"/>
  <c r="JN168" i="2"/>
  <c r="JW168" i="2"/>
  <c r="JQ168" i="2"/>
  <c r="IU168" i="2"/>
  <c r="IH168" i="2"/>
  <c r="IF168" i="2"/>
  <c r="HE168" i="2"/>
  <c r="IT168" i="2"/>
  <c r="IG168" i="2"/>
  <c r="HF168" i="2"/>
  <c r="JP168" i="2"/>
  <c r="JC168" i="2"/>
  <c r="IS168" i="2"/>
  <c r="IX168" i="2" s="1"/>
  <c r="HN168" i="2"/>
  <c r="IV168" i="2"/>
  <c r="IR168" i="2"/>
  <c r="II168" i="2"/>
  <c r="HD168" i="2"/>
  <c r="HL168" i="2"/>
  <c r="IA168" i="2"/>
  <c r="ID168" i="2" s="1"/>
  <c r="HW168" i="2"/>
  <c r="HZ168" i="2"/>
  <c r="HM168" i="2"/>
  <c r="HK168" i="2"/>
  <c r="HY168" i="2"/>
  <c r="HX168" i="2"/>
  <c r="IB167" i="2"/>
  <c r="IE166" i="2"/>
  <c r="ME167" i="2"/>
  <c r="OO167" i="2"/>
  <c r="OO168" i="2" s="1"/>
  <c r="MX167" i="2"/>
  <c r="NA166" i="2"/>
  <c r="HI167" i="2"/>
  <c r="NS167" i="2"/>
  <c r="NV166" i="2"/>
  <c r="MY167" i="2"/>
  <c r="MY168" i="2" s="1"/>
  <c r="ON167" i="2"/>
  <c r="OQ166" i="2"/>
  <c r="EY166" i="2"/>
  <c r="KO167" i="2"/>
  <c r="KM166" i="2"/>
  <c r="KP165" i="2"/>
  <c r="KN166" i="2"/>
  <c r="KN167" i="2" s="1"/>
  <c r="EX167" i="2"/>
  <c r="HJ166" i="2"/>
  <c r="EA167" i="2"/>
  <c r="EB167" i="2"/>
  <c r="DG167" i="2"/>
  <c r="EC167" i="2"/>
  <c r="FR167" i="2"/>
  <c r="FS167" i="2"/>
  <c r="GN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GK168" i="2"/>
  <c r="FB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LI168" i="2" l="1"/>
  <c r="ME168" i="2"/>
  <c r="JT168" i="2"/>
  <c r="IC168" i="2"/>
  <c r="HI168" i="2"/>
  <c r="NS168" i="2"/>
  <c r="NV167" i="2"/>
  <c r="JS168" i="2"/>
  <c r="IY168" i="2"/>
  <c r="IW168" i="2"/>
  <c r="IZ167" i="2"/>
  <c r="LJ168" i="2"/>
  <c r="KJ169" i="2"/>
  <c r="KI169" i="2"/>
  <c r="KH169" i="2"/>
  <c r="OU169" i="2"/>
  <c r="PF169" i="2"/>
  <c r="PD169" i="2"/>
  <c r="PG169" i="2"/>
  <c r="MJ169" i="2"/>
  <c r="OT169" i="2"/>
  <c r="PH169" i="2"/>
  <c r="MI169" i="2"/>
  <c r="PE169" i="2"/>
  <c r="PJ169" i="2" s="1"/>
  <c r="OS169" i="2"/>
  <c r="OR169" i="2"/>
  <c r="OM169" i="2"/>
  <c r="OL169" i="2"/>
  <c r="OK169" i="2"/>
  <c r="OJ169" i="2"/>
  <c r="OP169" i="2" s="1"/>
  <c r="OI169" i="2"/>
  <c r="NX169" i="2"/>
  <c r="NR169" i="2"/>
  <c r="NP169" i="2"/>
  <c r="NZ169" i="2"/>
  <c r="NY169" i="2"/>
  <c r="NW169" i="2"/>
  <c r="NO169" i="2"/>
  <c r="NU169" i="2" s="1"/>
  <c r="NE169" i="2"/>
  <c r="ND169" i="2"/>
  <c r="NQ169" i="2"/>
  <c r="NC169" i="2"/>
  <c r="NN169" i="2"/>
  <c r="MU169" i="2"/>
  <c r="MT169" i="2"/>
  <c r="MY169" i="2" s="1"/>
  <c r="MW169" i="2"/>
  <c r="MS169" i="2"/>
  <c r="NB169" i="2"/>
  <c r="MV169" i="2"/>
  <c r="MH169" i="2"/>
  <c r="MA169" i="2"/>
  <c r="MG169" i="2"/>
  <c r="LZ169" i="2"/>
  <c r="LY169" i="2"/>
  <c r="MB169" i="2"/>
  <c r="LX169" i="2"/>
  <c r="LG169" i="2"/>
  <c r="LC169" i="2"/>
  <c r="LO169" i="2"/>
  <c r="LN169" i="2"/>
  <c r="LF169" i="2"/>
  <c r="KT169" i="2"/>
  <c r="KS169" i="2"/>
  <c r="JA169" i="2"/>
  <c r="LL169" i="2"/>
  <c r="LE169" i="2"/>
  <c r="JB169" i="2"/>
  <c r="LM169" i="2"/>
  <c r="LD169" i="2"/>
  <c r="KR169" i="2"/>
  <c r="KL169" i="2"/>
  <c r="JY169" i="2"/>
  <c r="JX169" i="2"/>
  <c r="JN169" i="2"/>
  <c r="JW169" i="2"/>
  <c r="JQ169" i="2"/>
  <c r="KK169" i="2"/>
  <c r="JM169" i="2"/>
  <c r="KQ169" i="2"/>
  <c r="JO169" i="2"/>
  <c r="JD169" i="2"/>
  <c r="JV169" i="2"/>
  <c r="IV169" i="2"/>
  <c r="IR169" i="2"/>
  <c r="II169" i="2"/>
  <c r="HD169" i="2"/>
  <c r="IU169" i="2"/>
  <c r="IH169" i="2"/>
  <c r="IF169" i="2"/>
  <c r="HE169" i="2"/>
  <c r="IT169" i="2"/>
  <c r="IG169" i="2"/>
  <c r="HF169" i="2"/>
  <c r="JP169" i="2"/>
  <c r="JC169" i="2"/>
  <c r="IS169" i="2"/>
  <c r="HN169" i="2"/>
  <c r="HX169" i="2"/>
  <c r="IC169" i="2" s="1"/>
  <c r="HL169" i="2"/>
  <c r="IA169" i="2"/>
  <c r="HW169" i="2"/>
  <c r="HZ169" i="2"/>
  <c r="HM169" i="2"/>
  <c r="HK169" i="2"/>
  <c r="HY169" i="2"/>
  <c r="ON168" i="2"/>
  <c r="OQ167" i="2"/>
  <c r="MX168" i="2"/>
  <c r="NA167" i="2"/>
  <c r="IB168" i="2"/>
  <c r="IE167" i="2"/>
  <c r="PI168" i="2"/>
  <c r="PL167" i="2"/>
  <c r="LH168" i="2"/>
  <c r="LK167" i="2"/>
  <c r="PK168" i="2"/>
  <c r="PK169" i="2" s="1"/>
  <c r="OO169" i="2"/>
  <c r="JR168" i="2"/>
  <c r="JU167" i="2"/>
  <c r="NT168" i="2"/>
  <c r="NT169" i="2" s="1"/>
  <c r="MC168" i="2"/>
  <c r="MF167" i="2"/>
  <c r="EC168" i="2"/>
  <c r="DG168" i="2"/>
  <c r="KM167" i="2"/>
  <c r="KP166" i="2"/>
  <c r="KO168" i="2"/>
  <c r="HH168" i="2"/>
  <c r="HH169" i="2" s="1"/>
  <c r="HG168" i="2"/>
  <c r="HG169" i="2" s="1"/>
  <c r="DI167" i="2"/>
  <c r="EB168" i="2"/>
  <c r="EV168" i="2"/>
  <c r="EW168" i="2"/>
  <c r="FS168" i="2"/>
  <c r="EX168" i="2"/>
  <c r="EY167" i="2"/>
  <c r="GN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GJ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JT169" i="2" l="1"/>
  <c r="MD169" i="2"/>
  <c r="LI169" i="2"/>
  <c r="IX169" i="2"/>
  <c r="HI169" i="2"/>
  <c r="MC169" i="2"/>
  <c r="MF168" i="2"/>
  <c r="ON169" i="2"/>
  <c r="OQ168" i="2"/>
  <c r="ME169" i="2"/>
  <c r="IY169" i="2"/>
  <c r="MZ169" i="2"/>
  <c r="IB169" i="2"/>
  <c r="IE168" i="2"/>
  <c r="JS169" i="2"/>
  <c r="ID169" i="2"/>
  <c r="LH169" i="2"/>
  <c r="LK168" i="2"/>
  <c r="PI169" i="2"/>
  <c r="PL168" i="2"/>
  <c r="MX169" i="2"/>
  <c r="NA168" i="2"/>
  <c r="NS169" i="2"/>
  <c r="NV168" i="2"/>
  <c r="KJ170" i="2"/>
  <c r="KI170" i="2"/>
  <c r="KH170" i="2"/>
  <c r="OT170" i="2"/>
  <c r="PE170" i="2"/>
  <c r="PK170" i="2" s="1"/>
  <c r="OU170" i="2"/>
  <c r="PD170" i="2"/>
  <c r="PG170" i="2"/>
  <c r="PH170" i="2"/>
  <c r="MI170" i="2"/>
  <c r="PF170" i="2"/>
  <c r="MJ170" i="2"/>
  <c r="OS170" i="2"/>
  <c r="OR170" i="2"/>
  <c r="OM170" i="2"/>
  <c r="OL170" i="2"/>
  <c r="OK170" i="2"/>
  <c r="OI170" i="2"/>
  <c r="OJ170" i="2"/>
  <c r="OO170" i="2" s="1"/>
  <c r="NZ170" i="2"/>
  <c r="NY170" i="2"/>
  <c r="NW170" i="2"/>
  <c r="NX170" i="2"/>
  <c r="NR170" i="2"/>
  <c r="NQ170" i="2"/>
  <c r="NP170" i="2"/>
  <c r="NN170" i="2"/>
  <c r="NE170" i="2"/>
  <c r="ND170" i="2"/>
  <c r="NO170" i="2"/>
  <c r="NU170" i="2" s="1"/>
  <c r="NB170" i="2"/>
  <c r="NC170" i="2"/>
  <c r="MV170" i="2"/>
  <c r="MU170" i="2"/>
  <c r="MT170" i="2"/>
  <c r="MY170" i="2" s="1"/>
  <c r="MW170" i="2"/>
  <c r="MB170" i="2"/>
  <c r="LX170" i="2"/>
  <c r="MH170" i="2"/>
  <c r="MA170" i="2"/>
  <c r="MG170" i="2"/>
  <c r="LZ170" i="2"/>
  <c r="MS170" i="2"/>
  <c r="LY170" i="2"/>
  <c r="MD170" i="2" s="1"/>
  <c r="LM170" i="2"/>
  <c r="LD170" i="2"/>
  <c r="LI170" i="2" s="1"/>
  <c r="KR170" i="2"/>
  <c r="LG170" i="2"/>
  <c r="LC170" i="2"/>
  <c r="LO170" i="2"/>
  <c r="LN170" i="2"/>
  <c r="LF170" i="2"/>
  <c r="KT170" i="2"/>
  <c r="KS170" i="2"/>
  <c r="JA170" i="2"/>
  <c r="LL170" i="2"/>
  <c r="LE170" i="2"/>
  <c r="JB170" i="2"/>
  <c r="JO170" i="2"/>
  <c r="JD170" i="2"/>
  <c r="JV170" i="2"/>
  <c r="KL170" i="2"/>
  <c r="JY170" i="2"/>
  <c r="JX170" i="2"/>
  <c r="JN170" i="2"/>
  <c r="JW170" i="2"/>
  <c r="JQ170" i="2"/>
  <c r="KK170" i="2"/>
  <c r="JM170" i="2"/>
  <c r="JP170" i="2"/>
  <c r="JC170" i="2"/>
  <c r="KQ170" i="2"/>
  <c r="IS170" i="2"/>
  <c r="IX170" i="2" s="1"/>
  <c r="HN170" i="2"/>
  <c r="IV170" i="2"/>
  <c r="IR170" i="2"/>
  <c r="II170" i="2"/>
  <c r="HD170" i="2"/>
  <c r="IU170" i="2"/>
  <c r="IH170" i="2"/>
  <c r="IF170" i="2"/>
  <c r="HE170" i="2"/>
  <c r="IT170" i="2"/>
  <c r="IG170" i="2"/>
  <c r="HF170" i="2"/>
  <c r="HM170" i="2"/>
  <c r="HK170" i="2"/>
  <c r="HY170" i="2"/>
  <c r="HX170" i="2"/>
  <c r="HL170" i="2"/>
  <c r="IA170" i="2"/>
  <c r="HW170" i="2"/>
  <c r="HZ170" i="2"/>
  <c r="JR169" i="2"/>
  <c r="JU168" i="2"/>
  <c r="LJ169" i="2"/>
  <c r="LJ170" i="2" s="1"/>
  <c r="IW169" i="2"/>
  <c r="IZ168" i="2"/>
  <c r="EY168" i="2"/>
  <c r="EB169" i="2"/>
  <c r="EX169" i="2"/>
  <c r="KO169" i="2"/>
  <c r="KM168" i="2"/>
  <c r="KP167" i="2"/>
  <c r="KN168" i="2"/>
  <c r="KN169" i="2" s="1"/>
  <c r="FS169" i="2"/>
  <c r="EA169" i="2"/>
  <c r="EC169" i="2"/>
  <c r="GN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GJ170" i="2"/>
  <c r="GK170" i="2"/>
  <c r="FB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JT170" i="2"/>
  <c r="IC170" i="2"/>
  <c r="CN169" i="2"/>
  <c r="JR170" i="2"/>
  <c r="JU169" i="2"/>
  <c r="MX170" i="2"/>
  <c r="NA169" i="2"/>
  <c r="LH170" i="2"/>
  <c r="LK169" i="2"/>
  <c r="MF169" i="2"/>
  <c r="MC170" i="2"/>
  <c r="NS170" i="2"/>
  <c r="NV169" i="2"/>
  <c r="NT170" i="2"/>
  <c r="IB170" i="2"/>
  <c r="IE169" i="2"/>
  <c r="ME170" i="2"/>
  <c r="OP170" i="2"/>
  <c r="PJ170" i="2"/>
  <c r="KJ171" i="2"/>
  <c r="KI171" i="2"/>
  <c r="KH171" i="2"/>
  <c r="PD171" i="2"/>
  <c r="PE171" i="2"/>
  <c r="PK171" i="2" s="1"/>
  <c r="OU171" i="2"/>
  <c r="PF171" i="2"/>
  <c r="PG171" i="2"/>
  <c r="MJ171" i="2"/>
  <c r="PH171" i="2"/>
  <c r="MI171" i="2"/>
  <c r="OT171" i="2"/>
  <c r="OS171" i="2"/>
  <c r="OR171" i="2"/>
  <c r="OM171" i="2"/>
  <c r="OK171" i="2"/>
  <c r="OI171" i="2"/>
  <c r="OL171" i="2"/>
  <c r="OJ171" i="2"/>
  <c r="OO171" i="2" s="1"/>
  <c r="NZ171" i="2"/>
  <c r="NY171" i="2"/>
  <c r="NW171" i="2"/>
  <c r="NX171" i="2"/>
  <c r="NR171" i="2"/>
  <c r="NQ171" i="2"/>
  <c r="NC171" i="2"/>
  <c r="NN171" i="2"/>
  <c r="NP171" i="2"/>
  <c r="NE171" i="2"/>
  <c r="ND171" i="2"/>
  <c r="NO171" i="2"/>
  <c r="NU171" i="2" s="1"/>
  <c r="NB171" i="2"/>
  <c r="MW171" i="2"/>
  <c r="MS171" i="2"/>
  <c r="MV171" i="2"/>
  <c r="MH171" i="2"/>
  <c r="MU171" i="2"/>
  <c r="MT171" i="2"/>
  <c r="MY171" i="2" s="1"/>
  <c r="LY171" i="2"/>
  <c r="MD171" i="2" s="1"/>
  <c r="MB171" i="2"/>
  <c r="LX171" i="2"/>
  <c r="MA171" i="2"/>
  <c r="MG171" i="2"/>
  <c r="LZ171" i="2"/>
  <c r="LL171" i="2"/>
  <c r="LE171" i="2"/>
  <c r="JB171" i="2"/>
  <c r="LM171" i="2"/>
  <c r="LD171" i="2"/>
  <c r="LI171" i="2" s="1"/>
  <c r="KR171" i="2"/>
  <c r="LG171" i="2"/>
  <c r="LC171" i="2"/>
  <c r="LO171" i="2"/>
  <c r="LN171" i="2"/>
  <c r="LF171" i="2"/>
  <c r="KT171" i="2"/>
  <c r="KS171" i="2"/>
  <c r="JA171" i="2"/>
  <c r="KQ171" i="2"/>
  <c r="JO171" i="2"/>
  <c r="JD171" i="2"/>
  <c r="JV171" i="2"/>
  <c r="KL171" i="2"/>
  <c r="JY171" i="2"/>
  <c r="JX171" i="2"/>
  <c r="JN171" i="2"/>
  <c r="JW171" i="2"/>
  <c r="JQ171" i="2"/>
  <c r="KK171" i="2"/>
  <c r="JM171" i="2"/>
  <c r="JP171" i="2"/>
  <c r="JC171" i="2"/>
  <c r="IT171" i="2"/>
  <c r="IG171" i="2"/>
  <c r="HF171" i="2"/>
  <c r="IS171" i="2"/>
  <c r="HN171" i="2"/>
  <c r="IV171" i="2"/>
  <c r="IR171" i="2"/>
  <c r="II171" i="2"/>
  <c r="HD171" i="2"/>
  <c r="IU171" i="2"/>
  <c r="IH171" i="2"/>
  <c r="IF171" i="2"/>
  <c r="HE171" i="2"/>
  <c r="HZ171" i="2"/>
  <c r="HM171" i="2"/>
  <c r="HK171" i="2"/>
  <c r="HY171" i="2"/>
  <c r="HX171" i="2"/>
  <c r="IC171" i="2" s="1"/>
  <c r="HL171" i="2"/>
  <c r="IA171" i="2"/>
  <c r="HW171" i="2"/>
  <c r="IW170" i="2"/>
  <c r="IZ169" i="2"/>
  <c r="PI170" i="2"/>
  <c r="PL169" i="2"/>
  <c r="ID170" i="2"/>
  <c r="ID171" i="2" s="1"/>
  <c r="JS170" i="2"/>
  <c r="JS171" i="2" s="1"/>
  <c r="IY170" i="2"/>
  <c r="MZ170" i="2"/>
  <c r="MZ171" i="2" s="1"/>
  <c r="ON170" i="2"/>
  <c r="OQ169" i="2"/>
  <c r="KM169" i="2"/>
  <c r="KP168" i="2"/>
  <c r="KO170" i="2"/>
  <c r="HH170" i="2"/>
  <c r="HG170" i="2"/>
  <c r="EX170" i="2"/>
  <c r="EY169" i="2"/>
  <c r="EC170" i="2"/>
  <c r="EV170" i="2"/>
  <c r="FS170" i="2"/>
  <c r="GN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GJ171" i="2"/>
  <c r="GK171" i="2"/>
  <c r="FB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LJ171" i="2" l="1"/>
  <c r="HI171" i="2"/>
  <c r="JT171" i="2"/>
  <c r="IY171" i="2"/>
  <c r="IX171" i="2"/>
  <c r="HG171" i="2"/>
  <c r="HH171" i="2"/>
  <c r="ON171" i="2"/>
  <c r="OQ170" i="2"/>
  <c r="PJ171" i="2"/>
  <c r="ME171" i="2"/>
  <c r="IB171" i="2"/>
  <c r="IE170" i="2"/>
  <c r="NS171" i="2"/>
  <c r="NV170" i="2"/>
  <c r="MF170" i="2"/>
  <c r="MC171" i="2"/>
  <c r="LH171" i="2"/>
  <c r="LK170" i="2"/>
  <c r="OP171" i="2"/>
  <c r="IW171" i="2"/>
  <c r="IZ170" i="2"/>
  <c r="NT171" i="2"/>
  <c r="MX171" i="2"/>
  <c r="NA170" i="2"/>
  <c r="KI172" i="2"/>
  <c r="KH172" i="2"/>
  <c r="KJ172" i="2"/>
  <c r="PG172" i="2"/>
  <c r="PF172" i="2"/>
  <c r="PH172" i="2"/>
  <c r="MI172" i="2"/>
  <c r="PE172" i="2"/>
  <c r="PK172" i="2" s="1"/>
  <c r="OT172" i="2"/>
  <c r="OU172" i="2"/>
  <c r="PD172" i="2"/>
  <c r="MJ172" i="2"/>
  <c r="OS172" i="2"/>
  <c r="OM172" i="2"/>
  <c r="OR172" i="2"/>
  <c r="OL172" i="2"/>
  <c r="OK172" i="2"/>
  <c r="OJ172" i="2"/>
  <c r="OO172" i="2" s="1"/>
  <c r="OI172" i="2"/>
  <c r="NZ172" i="2"/>
  <c r="NY172" i="2"/>
  <c r="NW172" i="2"/>
  <c r="NO172" i="2"/>
  <c r="NU172" i="2" s="1"/>
  <c r="NX172" i="2"/>
  <c r="NR172" i="2"/>
  <c r="NC172" i="2"/>
  <c r="NQ172" i="2"/>
  <c r="NN172" i="2"/>
  <c r="NP172" i="2"/>
  <c r="NE172" i="2"/>
  <c r="ND172" i="2"/>
  <c r="NB172" i="2"/>
  <c r="MT172" i="2"/>
  <c r="MY172" i="2" s="1"/>
  <c r="MW172" i="2"/>
  <c r="MS172" i="2"/>
  <c r="MV172" i="2"/>
  <c r="MH172" i="2"/>
  <c r="MU172" i="2"/>
  <c r="MG172" i="2"/>
  <c r="LZ172" i="2"/>
  <c r="LY172" i="2"/>
  <c r="MB172" i="2"/>
  <c r="LX172" i="2"/>
  <c r="MA172" i="2"/>
  <c r="LO172" i="2"/>
  <c r="LN172" i="2"/>
  <c r="LF172" i="2"/>
  <c r="KT172" i="2"/>
  <c r="KS172" i="2"/>
  <c r="JA172" i="2"/>
  <c r="LL172" i="2"/>
  <c r="LE172" i="2"/>
  <c r="JB172" i="2"/>
  <c r="LM172" i="2"/>
  <c r="LD172" i="2"/>
  <c r="KR172" i="2"/>
  <c r="LG172" i="2"/>
  <c r="LC172" i="2"/>
  <c r="KK172" i="2"/>
  <c r="JM172" i="2"/>
  <c r="KQ172" i="2"/>
  <c r="JO172" i="2"/>
  <c r="JD172" i="2"/>
  <c r="JV172" i="2"/>
  <c r="KL172" i="2"/>
  <c r="JY172" i="2"/>
  <c r="JX172" i="2"/>
  <c r="JN172" i="2"/>
  <c r="JW172" i="2"/>
  <c r="JQ172" i="2"/>
  <c r="JP172" i="2"/>
  <c r="JC172" i="2"/>
  <c r="IU172" i="2"/>
  <c r="IH172" i="2"/>
  <c r="IF172" i="2"/>
  <c r="HE172" i="2"/>
  <c r="IT172" i="2"/>
  <c r="IG172" i="2"/>
  <c r="HF172" i="2"/>
  <c r="IS172" i="2"/>
  <c r="HN172" i="2"/>
  <c r="IV172" i="2"/>
  <c r="IR172" i="2"/>
  <c r="II172" i="2"/>
  <c r="HD172" i="2"/>
  <c r="HL172" i="2"/>
  <c r="IA172" i="2"/>
  <c r="HW172" i="2"/>
  <c r="HZ172" i="2"/>
  <c r="HM172" i="2"/>
  <c r="HK172" i="2"/>
  <c r="HY172" i="2"/>
  <c r="HX172" i="2"/>
  <c r="IC172" i="2" s="1"/>
  <c r="PI171" i="2"/>
  <c r="PL170" i="2"/>
  <c r="JR171" i="2"/>
  <c r="JU170" i="2"/>
  <c r="EA171" i="2"/>
  <c r="EB171" i="2"/>
  <c r="KO171" i="2"/>
  <c r="KM170" i="2"/>
  <c r="KP169" i="2"/>
  <c r="KN170" i="2"/>
  <c r="KN171" i="2" s="1"/>
  <c r="FS171" i="2"/>
  <c r="EC171" i="2"/>
  <c r="EX171" i="2"/>
  <c r="DH171" i="2"/>
  <c r="EW171" i="2"/>
  <c r="GN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GK172" i="2"/>
  <c r="FB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MD172" i="2" l="1"/>
  <c r="LI172" i="2"/>
  <c r="JT172" i="2"/>
  <c r="IY172" i="2"/>
  <c r="HI172" i="2"/>
  <c r="EY171" i="2"/>
  <c r="LJ172" i="2"/>
  <c r="ID172" i="2"/>
  <c r="LH172" i="2"/>
  <c r="LK171" i="2"/>
  <c r="IB172" i="2"/>
  <c r="IE171" i="2"/>
  <c r="ON172" i="2"/>
  <c r="OQ171" i="2"/>
  <c r="MZ172" i="2"/>
  <c r="JS172" i="2"/>
  <c r="ME172" i="2"/>
  <c r="PJ172" i="2"/>
  <c r="KJ173" i="2"/>
  <c r="KI173" i="2"/>
  <c r="KH173" i="2"/>
  <c r="OU173" i="2"/>
  <c r="PF173" i="2"/>
  <c r="OT173" i="2"/>
  <c r="MJ173" i="2"/>
  <c r="PH173" i="2"/>
  <c r="MI173" i="2"/>
  <c r="PE173" i="2"/>
  <c r="PK173" i="2" s="1"/>
  <c r="PD173" i="2"/>
  <c r="PG173" i="2"/>
  <c r="OS173" i="2"/>
  <c r="OR173" i="2"/>
  <c r="OM173" i="2"/>
  <c r="OL173" i="2"/>
  <c r="OK173" i="2"/>
  <c r="OJ173" i="2"/>
  <c r="OO173" i="2" s="1"/>
  <c r="OI173" i="2"/>
  <c r="NX173" i="2"/>
  <c r="NR173" i="2"/>
  <c r="NZ173" i="2"/>
  <c r="NY173" i="2"/>
  <c r="NP173" i="2"/>
  <c r="NW173" i="2"/>
  <c r="NO173" i="2"/>
  <c r="NU173" i="2" s="1"/>
  <c r="NE173" i="2"/>
  <c r="ND173" i="2"/>
  <c r="NC173" i="2"/>
  <c r="NQ173" i="2"/>
  <c r="NN173" i="2"/>
  <c r="MU173" i="2"/>
  <c r="NB173" i="2"/>
  <c r="MT173" i="2"/>
  <c r="MY173" i="2" s="1"/>
  <c r="MW173" i="2"/>
  <c r="MS173" i="2"/>
  <c r="MV173" i="2"/>
  <c r="MA173" i="2"/>
  <c r="MG173" i="2"/>
  <c r="LZ173" i="2"/>
  <c r="MH173" i="2"/>
  <c r="LY173" i="2"/>
  <c r="MD173" i="2" s="1"/>
  <c r="MB173" i="2"/>
  <c r="LX173" i="2"/>
  <c r="LG173" i="2"/>
  <c r="LC173" i="2"/>
  <c r="LO173" i="2"/>
  <c r="LN173" i="2"/>
  <c r="LF173" i="2"/>
  <c r="KT173" i="2"/>
  <c r="KS173" i="2"/>
  <c r="JA173" i="2"/>
  <c r="LL173" i="2"/>
  <c r="LE173" i="2"/>
  <c r="JB173" i="2"/>
  <c r="LM173" i="2"/>
  <c r="LD173" i="2"/>
  <c r="KR173" i="2"/>
  <c r="KL173" i="2"/>
  <c r="JY173" i="2"/>
  <c r="JX173" i="2"/>
  <c r="JN173" i="2"/>
  <c r="JW173" i="2"/>
  <c r="JQ173" i="2"/>
  <c r="KK173" i="2"/>
  <c r="JM173" i="2"/>
  <c r="KQ173" i="2"/>
  <c r="JO173" i="2"/>
  <c r="JD173" i="2"/>
  <c r="JV173" i="2"/>
  <c r="IV173" i="2"/>
  <c r="IR173" i="2"/>
  <c r="II173" i="2"/>
  <c r="HD173" i="2"/>
  <c r="JP173" i="2"/>
  <c r="JC173" i="2"/>
  <c r="IU173" i="2"/>
  <c r="IH173" i="2"/>
  <c r="IF173" i="2"/>
  <c r="HE173" i="2"/>
  <c r="IT173" i="2"/>
  <c r="IG173" i="2"/>
  <c r="HF173" i="2"/>
  <c r="IS173" i="2"/>
  <c r="IY173" i="2" s="1"/>
  <c r="HN173" i="2"/>
  <c r="HX173" i="2"/>
  <c r="HL173" i="2"/>
  <c r="IA173" i="2"/>
  <c r="HW173" i="2"/>
  <c r="HZ173" i="2"/>
  <c r="HM173" i="2"/>
  <c r="HK173" i="2"/>
  <c r="HY173" i="2"/>
  <c r="MX172" i="2"/>
  <c r="NA171" i="2"/>
  <c r="NT172" i="2"/>
  <c r="NT173" i="2" s="1"/>
  <c r="IW172" i="2"/>
  <c r="IZ171" i="2"/>
  <c r="OP172" i="2"/>
  <c r="OP173" i="2" s="1"/>
  <c r="NS172" i="2"/>
  <c r="NV171" i="2"/>
  <c r="IX172" i="2"/>
  <c r="JR172" i="2"/>
  <c r="JU171" i="2"/>
  <c r="PI172" i="2"/>
  <c r="PL171" i="2"/>
  <c r="MC172" i="2"/>
  <c r="MF171" i="2"/>
  <c r="ED171" i="2"/>
  <c r="KM171" i="2"/>
  <c r="KP170" i="2"/>
  <c r="KO172" i="2"/>
  <c r="HH172" i="2"/>
  <c r="HG172" i="2"/>
  <c r="EV172" i="2"/>
  <c r="EA172" i="2"/>
  <c r="EB172" i="2"/>
  <c r="EW172" i="2"/>
  <c r="EC172" i="2"/>
  <c r="EX172" i="2"/>
  <c r="FS172" i="2"/>
  <c r="GN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GJ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JT173" i="2" l="1"/>
  <c r="LI173" i="2"/>
  <c r="IX173" i="2"/>
  <c r="IC173" i="2"/>
  <c r="HI173" i="2"/>
  <c r="HG173" i="2"/>
  <c r="MC173" i="2"/>
  <c r="MF172" i="2"/>
  <c r="PI173" i="2"/>
  <c r="PL172" i="2"/>
  <c r="ME173" i="2"/>
  <c r="LJ173" i="2"/>
  <c r="HH173" i="2"/>
  <c r="IW173" i="2"/>
  <c r="IZ172" i="2"/>
  <c r="PJ173" i="2"/>
  <c r="MZ173" i="2"/>
  <c r="ID173" i="2"/>
  <c r="NS173" i="2"/>
  <c r="NV172" i="2"/>
  <c r="MX173" i="2"/>
  <c r="NA172" i="2"/>
  <c r="JS173" i="2"/>
  <c r="KJ174" i="2"/>
  <c r="KI174" i="2"/>
  <c r="KH174" i="2"/>
  <c r="OT174" i="2"/>
  <c r="PE174" i="2"/>
  <c r="PK174" i="2" s="1"/>
  <c r="PD174" i="2"/>
  <c r="PG174" i="2"/>
  <c r="PF174" i="2"/>
  <c r="OU174" i="2"/>
  <c r="PH174" i="2"/>
  <c r="MI174" i="2"/>
  <c r="MJ174" i="2"/>
  <c r="OS174" i="2"/>
  <c r="OR174" i="2"/>
  <c r="OM174" i="2"/>
  <c r="OP174" i="2" s="1"/>
  <c r="OL174" i="2"/>
  <c r="OK174" i="2"/>
  <c r="OJ174" i="2"/>
  <c r="OO174" i="2" s="1"/>
  <c r="OI174" i="2"/>
  <c r="NZ174" i="2"/>
  <c r="NY174" i="2"/>
  <c r="NW174" i="2"/>
  <c r="NX174" i="2"/>
  <c r="NR174" i="2"/>
  <c r="NQ174" i="2"/>
  <c r="NP174" i="2"/>
  <c r="NO174" i="2"/>
  <c r="NU174" i="2" s="1"/>
  <c r="NN174" i="2"/>
  <c r="NE174" i="2"/>
  <c r="ND174" i="2"/>
  <c r="NB174" i="2"/>
  <c r="NC174" i="2"/>
  <c r="MV174" i="2"/>
  <c r="MU174" i="2"/>
  <c r="MT174" i="2"/>
  <c r="MY174" i="2" s="1"/>
  <c r="MW174" i="2"/>
  <c r="MS174" i="2"/>
  <c r="MB174" i="2"/>
  <c r="LX174" i="2"/>
  <c r="MA174" i="2"/>
  <c r="MG174" i="2"/>
  <c r="LZ174" i="2"/>
  <c r="MH174" i="2"/>
  <c r="LY174" i="2"/>
  <c r="LM174" i="2"/>
  <c r="LD174" i="2"/>
  <c r="KR174" i="2"/>
  <c r="LG174" i="2"/>
  <c r="LC174" i="2"/>
  <c r="LO174" i="2"/>
  <c r="LN174" i="2"/>
  <c r="LF174" i="2"/>
  <c r="KT174" i="2"/>
  <c r="KS174" i="2"/>
  <c r="JA174" i="2"/>
  <c r="LL174" i="2"/>
  <c r="LE174" i="2"/>
  <c r="JB174" i="2"/>
  <c r="JO174" i="2"/>
  <c r="JD174" i="2"/>
  <c r="JV174" i="2"/>
  <c r="KL174" i="2"/>
  <c r="JY174" i="2"/>
  <c r="JX174" i="2"/>
  <c r="JN174" i="2"/>
  <c r="JW174" i="2"/>
  <c r="JQ174" i="2"/>
  <c r="KK174" i="2"/>
  <c r="JM174" i="2"/>
  <c r="JP174" i="2"/>
  <c r="JC174" i="2"/>
  <c r="KQ174" i="2"/>
  <c r="IS174" i="2"/>
  <c r="HN174" i="2"/>
  <c r="IV174" i="2"/>
  <c r="IR174" i="2"/>
  <c r="II174" i="2"/>
  <c r="HD174" i="2"/>
  <c r="IU174" i="2"/>
  <c r="IH174" i="2"/>
  <c r="IF174" i="2"/>
  <c r="HE174" i="2"/>
  <c r="IT174" i="2"/>
  <c r="IG174" i="2"/>
  <c r="HF174" i="2"/>
  <c r="HM174" i="2"/>
  <c r="HK174" i="2"/>
  <c r="HY174" i="2"/>
  <c r="HX174" i="2"/>
  <c r="HL174" i="2"/>
  <c r="IA174" i="2"/>
  <c r="HW174" i="2"/>
  <c r="HZ174" i="2"/>
  <c r="JR173" i="2"/>
  <c r="JU172" i="2"/>
  <c r="ON173" i="2"/>
  <c r="OQ172" i="2"/>
  <c r="IB173" i="2"/>
  <c r="IE172" i="2"/>
  <c r="LH173" i="2"/>
  <c r="LK172" i="2"/>
  <c r="ED172" i="2"/>
  <c r="KO173" i="2"/>
  <c r="KM172" i="2"/>
  <c r="KP171" i="2"/>
  <c r="KN172" i="2"/>
  <c r="HJ172" i="2"/>
  <c r="EW173" i="2"/>
  <c r="EB173" i="2"/>
  <c r="EX173" i="2"/>
  <c r="EC173" i="2"/>
  <c r="FS173" i="2"/>
  <c r="GN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GJ174" i="2"/>
  <c r="GK174" i="2"/>
  <c r="FB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I174" i="2" l="1"/>
  <c r="MD174" i="2"/>
  <c r="LI174" i="2"/>
  <c r="JT174" i="2"/>
  <c r="IY174" i="2"/>
  <c r="IC174" i="2"/>
  <c r="MY175" i="2"/>
  <c r="ON174" i="2"/>
  <c r="OQ173" i="2"/>
  <c r="KJ175" i="2"/>
  <c r="KH175" i="2"/>
  <c r="KI175" i="2"/>
  <c r="PD175" i="2"/>
  <c r="OU175" i="2"/>
  <c r="OT175" i="2"/>
  <c r="PG175" i="2"/>
  <c r="PE175" i="2"/>
  <c r="PK175" i="2" s="1"/>
  <c r="PF175" i="2"/>
  <c r="PH175" i="2"/>
  <c r="MI175" i="2"/>
  <c r="MJ175" i="2"/>
  <c r="OS175" i="2"/>
  <c r="OR175" i="2"/>
  <c r="OM175" i="2"/>
  <c r="OK175" i="2"/>
  <c r="OL175" i="2"/>
  <c r="OI175" i="2"/>
  <c r="OJ175" i="2"/>
  <c r="OO175" i="2" s="1"/>
  <c r="NZ175" i="2"/>
  <c r="NY175" i="2"/>
  <c r="NW175" i="2"/>
  <c r="NX175" i="2"/>
  <c r="NR175" i="2"/>
  <c r="NQ175" i="2"/>
  <c r="NP175" i="2"/>
  <c r="NC175" i="2"/>
  <c r="NO175" i="2"/>
  <c r="NU175" i="2" s="1"/>
  <c r="NN175" i="2"/>
  <c r="NE175" i="2"/>
  <c r="ND175" i="2"/>
  <c r="NB175" i="2"/>
  <c r="MW175" i="2"/>
  <c r="MS175" i="2"/>
  <c r="MV175" i="2"/>
  <c r="MH175" i="2"/>
  <c r="MU175" i="2"/>
  <c r="MT175" i="2"/>
  <c r="LY175" i="2"/>
  <c r="MD175" i="2" s="1"/>
  <c r="MB175" i="2"/>
  <c r="LX175" i="2"/>
  <c r="MA175" i="2"/>
  <c r="MG175" i="2"/>
  <c r="LZ175" i="2"/>
  <c r="LL175" i="2"/>
  <c r="LE175" i="2"/>
  <c r="JB175" i="2"/>
  <c r="LM175" i="2"/>
  <c r="LD175" i="2"/>
  <c r="LI175" i="2" s="1"/>
  <c r="KR175" i="2"/>
  <c r="LG175" i="2"/>
  <c r="LC175" i="2"/>
  <c r="LO175" i="2"/>
  <c r="LN175" i="2"/>
  <c r="LF175" i="2"/>
  <c r="KT175" i="2"/>
  <c r="KS175" i="2"/>
  <c r="JA175" i="2"/>
  <c r="KQ175" i="2"/>
  <c r="JO175" i="2"/>
  <c r="JD175" i="2"/>
  <c r="JV175" i="2"/>
  <c r="KL175" i="2"/>
  <c r="JY175" i="2"/>
  <c r="JX175" i="2"/>
  <c r="JN175" i="2"/>
  <c r="JW175" i="2"/>
  <c r="JQ175" i="2"/>
  <c r="KK175" i="2"/>
  <c r="JM175" i="2"/>
  <c r="JP175" i="2"/>
  <c r="JC175" i="2"/>
  <c r="IT175" i="2"/>
  <c r="IG175" i="2"/>
  <c r="HF175" i="2"/>
  <c r="IS175" i="2"/>
  <c r="HN175" i="2"/>
  <c r="IV175" i="2"/>
  <c r="IR175" i="2"/>
  <c r="II175" i="2"/>
  <c r="HD175" i="2"/>
  <c r="IU175" i="2"/>
  <c r="IH175" i="2"/>
  <c r="IF175" i="2"/>
  <c r="HE175" i="2"/>
  <c r="HZ175" i="2"/>
  <c r="HM175" i="2"/>
  <c r="HK175" i="2"/>
  <c r="HY175" i="2"/>
  <c r="HX175" i="2"/>
  <c r="IC175" i="2" s="1"/>
  <c r="HL175" i="2"/>
  <c r="IA175" i="2"/>
  <c r="HW175" i="2"/>
  <c r="JR174" i="2"/>
  <c r="JU173" i="2"/>
  <c r="PJ174" i="2"/>
  <c r="PJ175" i="2" s="1"/>
  <c r="NT174" i="2"/>
  <c r="NT175" i="2" s="1"/>
  <c r="MX174" i="2"/>
  <c r="NA173" i="2"/>
  <c r="MZ174" i="2"/>
  <c r="MZ175" i="2" s="1"/>
  <c r="IX174" i="2"/>
  <c r="IX175" i="2" s="1"/>
  <c r="MC174" i="2"/>
  <c r="MF173" i="2"/>
  <c r="IW174" i="2"/>
  <c r="IZ173" i="2"/>
  <c r="ME174" i="2"/>
  <c r="IB174" i="2"/>
  <c r="IE173" i="2"/>
  <c r="LH174" i="2"/>
  <c r="LK173" i="2"/>
  <c r="JS174" i="2"/>
  <c r="NS174" i="2"/>
  <c r="NV173" i="2"/>
  <c r="ID174" i="2"/>
  <c r="ID175" i="2" s="1"/>
  <c r="LJ174" i="2"/>
  <c r="PI174" i="2"/>
  <c r="PL173" i="2"/>
  <c r="EY173" i="2"/>
  <c r="KM173" i="2"/>
  <c r="KP172" i="2"/>
  <c r="KO174" i="2"/>
  <c r="KN173" i="2"/>
  <c r="HH174" i="2"/>
  <c r="HG174" i="2"/>
  <c r="EC174" i="2"/>
  <c r="EA174" i="2"/>
  <c r="EB174" i="2"/>
  <c r="EX174" i="2"/>
  <c r="FS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GJ175" i="2"/>
  <c r="GK175" i="2"/>
  <c r="FB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JS175" i="2" l="1"/>
  <c r="HI175" i="2"/>
  <c r="JT175" i="2"/>
  <c r="ME175" i="2"/>
  <c r="LJ175" i="2"/>
  <c r="IY175" i="2"/>
  <c r="IB175" i="2"/>
  <c r="IE174" i="2"/>
  <c r="MY176" i="2"/>
  <c r="KI176" i="2"/>
  <c r="KH176" i="2"/>
  <c r="KJ176" i="2"/>
  <c r="PG176" i="2"/>
  <c r="PE176" i="2"/>
  <c r="PJ176" i="2" s="1"/>
  <c r="PH176" i="2"/>
  <c r="PK176" i="2" s="1"/>
  <c r="MI176" i="2"/>
  <c r="OU176" i="2"/>
  <c r="PD176" i="2"/>
  <c r="MJ176" i="2"/>
  <c r="OT176" i="2"/>
  <c r="PF176" i="2"/>
  <c r="OS176" i="2"/>
  <c r="OM176" i="2"/>
  <c r="OR176" i="2"/>
  <c r="OL176" i="2"/>
  <c r="OK176" i="2"/>
  <c r="OJ176" i="2"/>
  <c r="OO176" i="2" s="1"/>
  <c r="OI176" i="2"/>
  <c r="NZ176" i="2"/>
  <c r="NY176" i="2"/>
  <c r="NW176" i="2"/>
  <c r="NO176" i="2"/>
  <c r="NU176" i="2" s="1"/>
  <c r="NX176" i="2"/>
  <c r="NR176" i="2"/>
  <c r="NQ176" i="2"/>
  <c r="NP176" i="2"/>
  <c r="NC176" i="2"/>
  <c r="NN176" i="2"/>
  <c r="NE176" i="2"/>
  <c r="ND176" i="2"/>
  <c r="MT176" i="2"/>
  <c r="MW176" i="2"/>
  <c r="MS176" i="2"/>
  <c r="NB176" i="2"/>
  <c r="MV176" i="2"/>
  <c r="MH176" i="2"/>
  <c r="MU176" i="2"/>
  <c r="MG176" i="2"/>
  <c r="LZ176" i="2"/>
  <c r="LY176" i="2"/>
  <c r="MB176" i="2"/>
  <c r="LX176" i="2"/>
  <c r="MA176" i="2"/>
  <c r="LO176" i="2"/>
  <c r="LN176" i="2"/>
  <c r="LF176" i="2"/>
  <c r="KT176" i="2"/>
  <c r="KS176" i="2"/>
  <c r="JA176" i="2"/>
  <c r="LL176" i="2"/>
  <c r="LE176" i="2"/>
  <c r="JB176" i="2"/>
  <c r="LM176" i="2"/>
  <c r="LD176" i="2"/>
  <c r="KR176" i="2"/>
  <c r="LG176" i="2"/>
  <c r="LC176" i="2"/>
  <c r="KK176" i="2"/>
  <c r="JM176" i="2"/>
  <c r="KQ176" i="2"/>
  <c r="JO176" i="2"/>
  <c r="JD176" i="2"/>
  <c r="JV176" i="2"/>
  <c r="KL176" i="2"/>
  <c r="JY176" i="2"/>
  <c r="JX176" i="2"/>
  <c r="JN176" i="2"/>
  <c r="JW176" i="2"/>
  <c r="JQ176" i="2"/>
  <c r="IU176" i="2"/>
  <c r="IH176" i="2"/>
  <c r="IF176" i="2"/>
  <c r="HE176" i="2"/>
  <c r="IT176" i="2"/>
  <c r="IG176" i="2"/>
  <c r="HF176" i="2"/>
  <c r="JP176" i="2"/>
  <c r="JC176" i="2"/>
  <c r="IS176" i="2"/>
  <c r="IY176" i="2" s="1"/>
  <c r="HN176" i="2"/>
  <c r="IV176" i="2"/>
  <c r="IR176" i="2"/>
  <c r="II176" i="2"/>
  <c r="HD176" i="2"/>
  <c r="HL176" i="2"/>
  <c r="IA176" i="2"/>
  <c r="HW176" i="2"/>
  <c r="HZ176" i="2"/>
  <c r="HM176" i="2"/>
  <c r="HK176" i="2"/>
  <c r="HY176" i="2"/>
  <c r="HX176" i="2"/>
  <c r="IC176" i="2" s="1"/>
  <c r="NS175" i="2"/>
  <c r="NV174" i="2"/>
  <c r="MX175" i="2"/>
  <c r="NA174" i="2"/>
  <c r="ON175" i="2"/>
  <c r="OQ174" i="2"/>
  <c r="LH175" i="2"/>
  <c r="LK174" i="2"/>
  <c r="MC175" i="2"/>
  <c r="MF174" i="2"/>
  <c r="NT176" i="2"/>
  <c r="OP175" i="2"/>
  <c r="HG175" i="2"/>
  <c r="PI175" i="2"/>
  <c r="PL174" i="2"/>
  <c r="IW175" i="2"/>
  <c r="IZ174" i="2"/>
  <c r="MZ176" i="2"/>
  <c r="JR175" i="2"/>
  <c r="JU174" i="2"/>
  <c r="ED174" i="2"/>
  <c r="EA175" i="2"/>
  <c r="KO175" i="2"/>
  <c r="KM174" i="2"/>
  <c r="KP173" i="2"/>
  <c r="KN174" i="2"/>
  <c r="KN175" i="2" s="1"/>
  <c r="HH175" i="2"/>
  <c r="FS175" i="2"/>
  <c r="EB175" i="2"/>
  <c r="AA175" i="2"/>
  <c r="EW175" i="2"/>
  <c r="EX175" i="2"/>
  <c r="EC175" i="2"/>
  <c r="EV175" i="2"/>
  <c r="FQ175" i="2"/>
  <c r="GN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GK176" i="2"/>
  <c r="FB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LI176" i="2" l="1"/>
  <c r="ME176" i="2"/>
  <c r="MD176" i="2"/>
  <c r="JT176" i="2"/>
  <c r="JS176" i="2"/>
  <c r="IX176" i="2"/>
  <c r="IX177" i="2" s="1"/>
  <c r="ID176" i="2"/>
  <c r="HI176" i="2"/>
  <c r="PI176" i="2"/>
  <c r="PL175" i="2"/>
  <c r="LH176" i="2"/>
  <c r="LK175" i="2"/>
  <c r="MX176" i="2"/>
  <c r="NA175" i="2"/>
  <c r="HH176" i="2"/>
  <c r="JR176" i="2"/>
  <c r="JU175" i="2"/>
  <c r="IW176" i="2"/>
  <c r="IZ175" i="2"/>
  <c r="KJ177" i="2"/>
  <c r="KI177" i="2"/>
  <c r="KH177" i="2"/>
  <c r="OU177" i="2"/>
  <c r="PF177" i="2"/>
  <c r="MJ177" i="2"/>
  <c r="PE177" i="2"/>
  <c r="PJ177" i="2" s="1"/>
  <c r="PH177" i="2"/>
  <c r="MI177" i="2"/>
  <c r="OT177" i="2"/>
  <c r="PD177" i="2"/>
  <c r="PG177" i="2"/>
  <c r="OS177" i="2"/>
  <c r="OR177" i="2"/>
  <c r="OM177" i="2"/>
  <c r="OL177" i="2"/>
  <c r="OK177" i="2"/>
  <c r="OJ177" i="2"/>
  <c r="OO177" i="2" s="1"/>
  <c r="OI177" i="2"/>
  <c r="NX177" i="2"/>
  <c r="NR177" i="2"/>
  <c r="NP177" i="2"/>
  <c r="NZ177" i="2"/>
  <c r="NY177" i="2"/>
  <c r="NW177" i="2"/>
  <c r="NO177" i="2"/>
  <c r="NU177" i="2" s="1"/>
  <c r="NE177" i="2"/>
  <c r="ND177" i="2"/>
  <c r="NQ177" i="2"/>
  <c r="NC177" i="2"/>
  <c r="NN177" i="2"/>
  <c r="MU177" i="2"/>
  <c r="MT177" i="2"/>
  <c r="MW177" i="2"/>
  <c r="MS177" i="2"/>
  <c r="NB177" i="2"/>
  <c r="MV177" i="2"/>
  <c r="MH177" i="2"/>
  <c r="MA177" i="2"/>
  <c r="MG177" i="2"/>
  <c r="LZ177" i="2"/>
  <c r="LY177" i="2"/>
  <c r="MB177" i="2"/>
  <c r="LX177" i="2"/>
  <c r="LG177" i="2"/>
  <c r="LC177" i="2"/>
  <c r="LO177" i="2"/>
  <c r="LN177" i="2"/>
  <c r="LF177" i="2"/>
  <c r="KT177" i="2"/>
  <c r="KS177" i="2"/>
  <c r="JA177" i="2"/>
  <c r="LL177" i="2"/>
  <c r="LE177" i="2"/>
  <c r="JB177" i="2"/>
  <c r="LM177" i="2"/>
  <c r="LD177" i="2"/>
  <c r="KR177" i="2"/>
  <c r="KL177" i="2"/>
  <c r="JY177" i="2"/>
  <c r="JX177" i="2"/>
  <c r="JN177" i="2"/>
  <c r="JW177" i="2"/>
  <c r="JQ177" i="2"/>
  <c r="KK177" i="2"/>
  <c r="JM177" i="2"/>
  <c r="KQ177" i="2"/>
  <c r="JO177" i="2"/>
  <c r="JD177" i="2"/>
  <c r="JV177" i="2"/>
  <c r="IV177" i="2"/>
  <c r="IR177" i="2"/>
  <c r="II177" i="2"/>
  <c r="HD177" i="2"/>
  <c r="IU177" i="2"/>
  <c r="IH177" i="2"/>
  <c r="IF177" i="2"/>
  <c r="HE177" i="2"/>
  <c r="IT177" i="2"/>
  <c r="IG177" i="2"/>
  <c r="HF177" i="2"/>
  <c r="JP177" i="2"/>
  <c r="JC177" i="2"/>
  <c r="IS177" i="2"/>
  <c r="IY177" i="2" s="1"/>
  <c r="HN177" i="2"/>
  <c r="HX177" i="2"/>
  <c r="HL177" i="2"/>
  <c r="IA177" i="2"/>
  <c r="HW177" i="2"/>
  <c r="HZ177" i="2"/>
  <c r="HM177" i="2"/>
  <c r="HK177" i="2"/>
  <c r="HY177" i="2"/>
  <c r="MZ177" i="2"/>
  <c r="LJ176" i="2"/>
  <c r="MC176" i="2"/>
  <c r="MF175" i="2"/>
  <c r="ON176" i="2"/>
  <c r="OQ175" i="2"/>
  <c r="OP176" i="2"/>
  <c r="OP177" i="2" s="1"/>
  <c r="NS176" i="2"/>
  <c r="NV175" i="2"/>
  <c r="MY177" i="2"/>
  <c r="IB176" i="2"/>
  <c r="IE175" i="2"/>
  <c r="EY175" i="2"/>
  <c r="EB176" i="2"/>
  <c r="EC176" i="2"/>
  <c r="KM175" i="2"/>
  <c r="KP174" i="2"/>
  <c r="KO176" i="2"/>
  <c r="HG176" i="2"/>
  <c r="EX176" i="2"/>
  <c r="FS176" i="2"/>
  <c r="FQ176" i="2"/>
  <c r="EV176" i="2"/>
  <c r="AU176" i="2"/>
  <c r="GN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GJ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LJ177" i="2" l="1"/>
  <c r="HI177" i="2"/>
  <c r="MD177" i="2"/>
  <c r="LI177" i="2"/>
  <c r="ID177" i="2"/>
  <c r="JS177" i="2"/>
  <c r="HG177" i="2"/>
  <c r="NS177" i="2"/>
  <c r="NV176" i="2"/>
  <c r="IW177" i="2"/>
  <c r="IZ176" i="2"/>
  <c r="MX177" i="2"/>
  <c r="NA176" i="2"/>
  <c r="ME177" i="2"/>
  <c r="IB177" i="2"/>
  <c r="IE176" i="2"/>
  <c r="ON177" i="2"/>
  <c r="OQ176" i="2"/>
  <c r="PI177" i="2"/>
  <c r="PL176" i="2"/>
  <c r="JT177" i="2"/>
  <c r="IC177" i="2"/>
  <c r="KJ178" i="2"/>
  <c r="KI178" i="2"/>
  <c r="KH178" i="2"/>
  <c r="OT178" i="2"/>
  <c r="PE178" i="2"/>
  <c r="PJ178" i="2" s="1"/>
  <c r="PF178" i="2"/>
  <c r="PH178" i="2"/>
  <c r="MI178" i="2"/>
  <c r="MJ178" i="2"/>
  <c r="OU178" i="2"/>
  <c r="PD178" i="2"/>
  <c r="PG178" i="2"/>
  <c r="OS178" i="2"/>
  <c r="OR178" i="2"/>
  <c r="OM178" i="2"/>
  <c r="OL178" i="2"/>
  <c r="OK178" i="2"/>
  <c r="OI178" i="2"/>
  <c r="OJ178" i="2"/>
  <c r="OO178" i="2" s="1"/>
  <c r="NZ178" i="2"/>
  <c r="NY178" i="2"/>
  <c r="NW178" i="2"/>
  <c r="NX178" i="2"/>
  <c r="NR178" i="2"/>
  <c r="NQ178" i="2"/>
  <c r="NP178" i="2"/>
  <c r="NN178" i="2"/>
  <c r="NE178" i="2"/>
  <c r="ND178" i="2"/>
  <c r="NO178" i="2"/>
  <c r="NU178" i="2" s="1"/>
  <c r="NB178" i="2"/>
  <c r="NC178" i="2"/>
  <c r="MV178" i="2"/>
  <c r="MU178" i="2"/>
  <c r="MT178" i="2"/>
  <c r="MY178" i="2" s="1"/>
  <c r="MW178" i="2"/>
  <c r="MZ178" i="2" s="1"/>
  <c r="MB178" i="2"/>
  <c r="LX178" i="2"/>
  <c r="MS178" i="2"/>
  <c r="MH178" i="2"/>
  <c r="MA178" i="2"/>
  <c r="MG178" i="2"/>
  <c r="LZ178" i="2"/>
  <c r="LY178" i="2"/>
  <c r="LM178" i="2"/>
  <c r="LD178" i="2"/>
  <c r="KR178" i="2"/>
  <c r="LG178" i="2"/>
  <c r="LC178" i="2"/>
  <c r="LO178" i="2"/>
  <c r="LN178" i="2"/>
  <c r="LF178" i="2"/>
  <c r="KT178" i="2"/>
  <c r="KS178" i="2"/>
  <c r="JA178" i="2"/>
  <c r="LL178" i="2"/>
  <c r="LE178" i="2"/>
  <c r="JB178" i="2"/>
  <c r="JO178" i="2"/>
  <c r="JD178" i="2"/>
  <c r="JV178" i="2"/>
  <c r="KL178" i="2"/>
  <c r="JY178" i="2"/>
  <c r="JX178" i="2"/>
  <c r="JN178" i="2"/>
  <c r="JW178" i="2"/>
  <c r="JQ178" i="2"/>
  <c r="KK178" i="2"/>
  <c r="JM178" i="2"/>
  <c r="JP178" i="2"/>
  <c r="JC178" i="2"/>
  <c r="KQ178" i="2"/>
  <c r="IS178" i="2"/>
  <c r="HN178" i="2"/>
  <c r="IV178" i="2"/>
  <c r="IR178" i="2"/>
  <c r="II178" i="2"/>
  <c r="HD178" i="2"/>
  <c r="IU178" i="2"/>
  <c r="IH178" i="2"/>
  <c r="IF178" i="2"/>
  <c r="HE178" i="2"/>
  <c r="IT178" i="2"/>
  <c r="IG178" i="2"/>
  <c r="HF178" i="2"/>
  <c r="HM178" i="2"/>
  <c r="HK178" i="2"/>
  <c r="HY178" i="2"/>
  <c r="HX178" i="2"/>
  <c r="ID178" i="2" s="1"/>
  <c r="HL178" i="2"/>
  <c r="IA178" i="2"/>
  <c r="HW178" i="2"/>
  <c r="HZ178" i="2"/>
  <c r="JU176" i="2"/>
  <c r="JR177" i="2"/>
  <c r="LH177" i="2"/>
  <c r="LK176" i="2"/>
  <c r="PK177" i="2"/>
  <c r="PK178" i="2" s="1"/>
  <c r="MF176" i="2"/>
  <c r="MC177" i="2"/>
  <c r="NT177" i="2"/>
  <c r="NT178" i="2" s="1"/>
  <c r="KM176" i="2"/>
  <c r="KP175" i="2"/>
  <c r="KO177" i="2"/>
  <c r="KN176" i="2"/>
  <c r="KN177" i="2" s="1"/>
  <c r="HH177" i="2"/>
  <c r="EC177" i="2"/>
  <c r="FS177" i="2"/>
  <c r="FQ177" i="2"/>
  <c r="EW177" i="2"/>
  <c r="EX177" i="2"/>
  <c r="EV177" i="2"/>
  <c r="GN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GJ178" i="2"/>
  <c r="GK178" i="2"/>
  <c r="FB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JS178" i="2"/>
  <c r="LJ178" i="2"/>
  <c r="MD178" i="2"/>
  <c r="IX178" i="2"/>
  <c r="IY178" i="2"/>
  <c r="IC178" i="2"/>
  <c r="ED177" i="2"/>
  <c r="HH178" i="2"/>
  <c r="MC178" i="2"/>
  <c r="MF177" i="2"/>
  <c r="JT178" i="2"/>
  <c r="ON178" i="2"/>
  <c r="OQ177" i="2"/>
  <c r="LI178" i="2"/>
  <c r="KI179" i="2"/>
  <c r="KJ179" i="2"/>
  <c r="KH179" i="2"/>
  <c r="PD179" i="2"/>
  <c r="OT179" i="2"/>
  <c r="PG179" i="2"/>
  <c r="PF179" i="2"/>
  <c r="PH179" i="2"/>
  <c r="MI179" i="2"/>
  <c r="PE179" i="2"/>
  <c r="PJ179" i="2" s="1"/>
  <c r="MJ179" i="2"/>
  <c r="OU179" i="2"/>
  <c r="OS179" i="2"/>
  <c r="OR179" i="2"/>
  <c r="OM179" i="2"/>
  <c r="OK179" i="2"/>
  <c r="OI179" i="2"/>
  <c r="OL179" i="2"/>
  <c r="OJ179" i="2"/>
  <c r="OO179" i="2" s="1"/>
  <c r="NZ179" i="2"/>
  <c r="NY179" i="2"/>
  <c r="NW179" i="2"/>
  <c r="NX179" i="2"/>
  <c r="NR179" i="2"/>
  <c r="NQ179" i="2"/>
  <c r="NC179" i="2"/>
  <c r="NN179" i="2"/>
  <c r="NP179" i="2"/>
  <c r="NE179" i="2"/>
  <c r="ND179" i="2"/>
  <c r="NO179" i="2"/>
  <c r="NT179" i="2" s="1"/>
  <c r="NB179" i="2"/>
  <c r="MW179" i="2"/>
  <c r="MS179" i="2"/>
  <c r="MV179" i="2"/>
  <c r="MH179" i="2"/>
  <c r="MU179" i="2"/>
  <c r="MT179" i="2"/>
  <c r="MZ179" i="2" s="1"/>
  <c r="LY179" i="2"/>
  <c r="MB179" i="2"/>
  <c r="LX179" i="2"/>
  <c r="MA179" i="2"/>
  <c r="MG179" i="2"/>
  <c r="LZ179" i="2"/>
  <c r="LL179" i="2"/>
  <c r="LE179" i="2"/>
  <c r="JB179" i="2"/>
  <c r="LM179" i="2"/>
  <c r="LD179" i="2"/>
  <c r="KR179" i="2"/>
  <c r="LG179" i="2"/>
  <c r="LC179" i="2"/>
  <c r="LO179" i="2"/>
  <c r="LN179" i="2"/>
  <c r="LF179" i="2"/>
  <c r="KT179" i="2"/>
  <c r="KS179" i="2"/>
  <c r="JA179" i="2"/>
  <c r="KQ179" i="2"/>
  <c r="JO179" i="2"/>
  <c r="JD179" i="2"/>
  <c r="JV179" i="2"/>
  <c r="KL179" i="2"/>
  <c r="JY179" i="2"/>
  <c r="JX179" i="2"/>
  <c r="JN179" i="2"/>
  <c r="JW179" i="2"/>
  <c r="JQ179" i="2"/>
  <c r="KK179" i="2"/>
  <c r="JM179" i="2"/>
  <c r="JP179" i="2"/>
  <c r="JC179" i="2"/>
  <c r="IT179" i="2"/>
  <c r="IG179" i="2"/>
  <c r="HF179" i="2"/>
  <c r="IS179" i="2"/>
  <c r="IV179" i="2"/>
  <c r="IR179" i="2"/>
  <c r="II179" i="2"/>
  <c r="HD179" i="2"/>
  <c r="IU179" i="2"/>
  <c r="IH179" i="2"/>
  <c r="IF179" i="2"/>
  <c r="HE179" i="2"/>
  <c r="HZ179" i="2"/>
  <c r="IC179" i="2" s="1"/>
  <c r="HN179" i="2"/>
  <c r="HM179" i="2"/>
  <c r="HK179" i="2"/>
  <c r="HY179" i="2"/>
  <c r="HX179" i="2"/>
  <c r="ID179" i="2" s="1"/>
  <c r="HL179" i="2"/>
  <c r="IA179" i="2"/>
  <c r="HW179" i="2"/>
  <c r="LH178" i="2"/>
  <c r="LK177" i="2"/>
  <c r="JR178" i="2"/>
  <c r="JU177" i="2"/>
  <c r="OP178" i="2"/>
  <c r="OP179" i="2" s="1"/>
  <c r="ME178" i="2"/>
  <c r="ME179" i="2" s="1"/>
  <c r="NS178" i="2"/>
  <c r="NV177" i="2"/>
  <c r="PI178" i="2"/>
  <c r="PL177" i="2"/>
  <c r="PK179" i="2"/>
  <c r="IB178" i="2"/>
  <c r="IE177" i="2"/>
  <c r="MX178" i="2"/>
  <c r="NA177" i="2"/>
  <c r="IW178" i="2"/>
  <c r="IZ177" i="2"/>
  <c r="EW178" i="2"/>
  <c r="KO178" i="2"/>
  <c r="KM177" i="2"/>
  <c r="KP176" i="2"/>
  <c r="HG178" i="2"/>
  <c r="HG179" i="2" s="1"/>
  <c r="FQ178" i="2"/>
  <c r="EB178" i="2"/>
  <c r="FS178" i="2"/>
  <c r="EA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GJ179" i="2"/>
  <c r="GK179" i="2"/>
  <c r="FB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LJ179" i="2" l="1"/>
  <c r="MD179" i="2"/>
  <c r="IY179" i="2"/>
  <c r="JS179" i="2"/>
  <c r="HI179" i="2"/>
  <c r="IB179" i="2"/>
  <c r="IE178" i="2"/>
  <c r="IW179" i="2"/>
  <c r="IZ178" i="2"/>
  <c r="MX179" i="2"/>
  <c r="NA178" i="2"/>
  <c r="PI179" i="2"/>
  <c r="PL178" i="2"/>
  <c r="NS179" i="2"/>
  <c r="NV178" i="2"/>
  <c r="JT179" i="2"/>
  <c r="MF178" i="2"/>
  <c r="MC179" i="2"/>
  <c r="NU179" i="2"/>
  <c r="MY179" i="2"/>
  <c r="IX179" i="2"/>
  <c r="LH179" i="2"/>
  <c r="LK178" i="2"/>
  <c r="KI180" i="2"/>
  <c r="KH180" i="2"/>
  <c r="KJ180" i="2"/>
  <c r="PG180" i="2"/>
  <c r="OU180" i="2"/>
  <c r="PD180" i="2"/>
  <c r="PH180" i="2"/>
  <c r="MI180" i="2"/>
  <c r="OT180" i="2"/>
  <c r="PE180" i="2"/>
  <c r="PJ180" i="2" s="1"/>
  <c r="PF180" i="2"/>
  <c r="MJ180" i="2"/>
  <c r="OS180" i="2"/>
  <c r="OM180" i="2"/>
  <c r="OR180" i="2"/>
  <c r="OL180" i="2"/>
  <c r="OK180" i="2"/>
  <c r="OJ180" i="2"/>
  <c r="OP180" i="2" s="1"/>
  <c r="OI180" i="2"/>
  <c r="NZ180" i="2"/>
  <c r="NY180" i="2"/>
  <c r="NW180" i="2"/>
  <c r="NO180" i="2"/>
  <c r="NT180" i="2" s="1"/>
  <c r="NX180" i="2"/>
  <c r="NR180" i="2"/>
  <c r="NC180" i="2"/>
  <c r="NQ180" i="2"/>
  <c r="NN180" i="2"/>
  <c r="NP180" i="2"/>
  <c r="NE180" i="2"/>
  <c r="ND180" i="2"/>
  <c r="NB180" i="2"/>
  <c r="MT180" i="2"/>
  <c r="MZ180" i="2" s="1"/>
  <c r="MW180" i="2"/>
  <c r="MS180" i="2"/>
  <c r="MV180" i="2"/>
  <c r="MH180" i="2"/>
  <c r="MU180" i="2"/>
  <c r="MG180" i="2"/>
  <c r="LZ180" i="2"/>
  <c r="LY180" i="2"/>
  <c r="MB180" i="2"/>
  <c r="LX180" i="2"/>
  <c r="MA180" i="2"/>
  <c r="LO180" i="2"/>
  <c r="LN180" i="2"/>
  <c r="LF180" i="2"/>
  <c r="KT180" i="2"/>
  <c r="KS180" i="2"/>
  <c r="JA180" i="2"/>
  <c r="LL180" i="2"/>
  <c r="LE180" i="2"/>
  <c r="JB180" i="2"/>
  <c r="LM180" i="2"/>
  <c r="LD180" i="2"/>
  <c r="KR180" i="2"/>
  <c r="LG180" i="2"/>
  <c r="LC180" i="2"/>
  <c r="KK180" i="2"/>
  <c r="JM180" i="2"/>
  <c r="KQ180" i="2"/>
  <c r="JO180" i="2"/>
  <c r="JD180" i="2"/>
  <c r="JV180" i="2"/>
  <c r="KL180" i="2"/>
  <c r="JY180" i="2"/>
  <c r="JX180" i="2"/>
  <c r="JN180" i="2"/>
  <c r="JW180" i="2"/>
  <c r="JQ180" i="2"/>
  <c r="JP180" i="2"/>
  <c r="JC180" i="2"/>
  <c r="IU180" i="2"/>
  <c r="IH180" i="2"/>
  <c r="IF180" i="2"/>
  <c r="HE180" i="2"/>
  <c r="IT180" i="2"/>
  <c r="IG180" i="2"/>
  <c r="HF180" i="2"/>
  <c r="IS180" i="2"/>
  <c r="IV180" i="2"/>
  <c r="IR180" i="2"/>
  <c r="II180" i="2"/>
  <c r="HD180" i="2"/>
  <c r="HL180" i="2"/>
  <c r="IA180" i="2"/>
  <c r="HW180" i="2"/>
  <c r="HZ180" i="2"/>
  <c r="HN180" i="2"/>
  <c r="HM180" i="2"/>
  <c r="HK180" i="2"/>
  <c r="HY180" i="2"/>
  <c r="HX180" i="2"/>
  <c r="JR179" i="2"/>
  <c r="JU178" i="2"/>
  <c r="LI179" i="2"/>
  <c r="LI180" i="2" s="1"/>
  <c r="ON179" i="2"/>
  <c r="OQ178" i="2"/>
  <c r="ED178" i="2"/>
  <c r="KM178" i="2"/>
  <c r="KP177" i="2"/>
  <c r="KO179" i="2"/>
  <c r="KN178" i="2"/>
  <c r="HH179" i="2"/>
  <c r="DF179" i="2"/>
  <c r="EB179" i="2"/>
  <c r="EV179" i="2"/>
  <c r="EA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GK180" i="2"/>
  <c r="FB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LJ180" i="2" l="1"/>
  <c r="MD180" i="2"/>
  <c r="IY180" i="2"/>
  <c r="JS180" i="2"/>
  <c r="IC180" i="2"/>
  <c r="MC180" i="2"/>
  <c r="MF179" i="2"/>
  <c r="JT180" i="2"/>
  <c r="ME180" i="2"/>
  <c r="PI180" i="2"/>
  <c r="PL179" i="2"/>
  <c r="MX180" i="2"/>
  <c r="NA179" i="2"/>
  <c r="IB180" i="2"/>
  <c r="IE179" i="2"/>
  <c r="HH180" i="2"/>
  <c r="ON180" i="2"/>
  <c r="OQ179" i="2"/>
  <c r="JR180" i="2"/>
  <c r="JU179" i="2"/>
  <c r="PK180" i="2"/>
  <c r="ID180" i="2"/>
  <c r="LH180" i="2"/>
  <c r="LK179" i="2"/>
  <c r="MY180" i="2"/>
  <c r="NS180" i="2"/>
  <c r="NV179" i="2"/>
  <c r="IW180" i="2"/>
  <c r="IZ179" i="2"/>
  <c r="OO180" i="2"/>
  <c r="KJ181" i="2"/>
  <c r="KI181" i="2"/>
  <c r="KH181" i="2"/>
  <c r="OU181" i="2"/>
  <c r="PF181" i="2"/>
  <c r="PE181" i="2"/>
  <c r="PJ181" i="2" s="1"/>
  <c r="MJ181" i="2"/>
  <c r="PD181" i="2"/>
  <c r="PG181" i="2"/>
  <c r="PH181" i="2"/>
  <c r="MI181" i="2"/>
  <c r="OT181" i="2"/>
  <c r="OS181" i="2"/>
  <c r="OR181" i="2"/>
  <c r="OM181" i="2"/>
  <c r="OL181" i="2"/>
  <c r="OK181" i="2"/>
  <c r="OJ181" i="2"/>
  <c r="OP181" i="2" s="1"/>
  <c r="OI181" i="2"/>
  <c r="NX181" i="2"/>
  <c r="NR181" i="2"/>
  <c r="NZ181" i="2"/>
  <c r="NY181" i="2"/>
  <c r="NP181" i="2"/>
  <c r="NW181" i="2"/>
  <c r="NO181" i="2"/>
  <c r="NT181" i="2" s="1"/>
  <c r="NE181" i="2"/>
  <c r="ND181" i="2"/>
  <c r="NC181" i="2"/>
  <c r="NQ181" i="2"/>
  <c r="NN181" i="2"/>
  <c r="MU181" i="2"/>
  <c r="NB181" i="2"/>
  <c r="MT181" i="2"/>
  <c r="MZ181" i="2" s="1"/>
  <c r="MW181" i="2"/>
  <c r="MS181" i="2"/>
  <c r="MV181" i="2"/>
  <c r="MA181" i="2"/>
  <c r="MG181" i="2"/>
  <c r="LZ181" i="2"/>
  <c r="MH181" i="2"/>
  <c r="LY181" i="2"/>
  <c r="MB181" i="2"/>
  <c r="LX181" i="2"/>
  <c r="LG181" i="2"/>
  <c r="LC181" i="2"/>
  <c r="LO181" i="2"/>
  <c r="LN181" i="2"/>
  <c r="LF181" i="2"/>
  <c r="KT181" i="2"/>
  <c r="KS181" i="2"/>
  <c r="JA181" i="2"/>
  <c r="LL181" i="2"/>
  <c r="LE181" i="2"/>
  <c r="JB181" i="2"/>
  <c r="LM181" i="2"/>
  <c r="LD181" i="2"/>
  <c r="KR181" i="2"/>
  <c r="KL181" i="2"/>
  <c r="JY181" i="2"/>
  <c r="JX181" i="2"/>
  <c r="JN181" i="2"/>
  <c r="JW181" i="2"/>
  <c r="JQ181" i="2"/>
  <c r="KK181" i="2"/>
  <c r="JM181" i="2"/>
  <c r="KQ181" i="2"/>
  <c r="JO181" i="2"/>
  <c r="JD181" i="2"/>
  <c r="JV181" i="2"/>
  <c r="IV181" i="2"/>
  <c r="IR181" i="2"/>
  <c r="II181" i="2"/>
  <c r="HD181" i="2"/>
  <c r="JP181" i="2"/>
  <c r="JC181" i="2"/>
  <c r="IU181" i="2"/>
  <c r="IH181" i="2"/>
  <c r="IF181" i="2"/>
  <c r="HE181" i="2"/>
  <c r="IT181" i="2"/>
  <c r="IG181" i="2"/>
  <c r="HF181" i="2"/>
  <c r="IS181" i="2"/>
  <c r="IY181" i="2" s="1"/>
  <c r="HX181" i="2"/>
  <c r="HL181" i="2"/>
  <c r="IA181" i="2"/>
  <c r="HW181" i="2"/>
  <c r="HZ181" i="2"/>
  <c r="HN181" i="2"/>
  <c r="HM181" i="2"/>
  <c r="HK181" i="2"/>
  <c r="HY181" i="2"/>
  <c r="IX180" i="2"/>
  <c r="NU180" i="2"/>
  <c r="NU181" i="2" s="1"/>
  <c r="ED179" i="2"/>
  <c r="EY179" i="2"/>
  <c r="KO180" i="2"/>
  <c r="KM179" i="2"/>
  <c r="KP178" i="2"/>
  <c r="KN179" i="2"/>
  <c r="KN180" i="2" s="1"/>
  <c r="HG180" i="2"/>
  <c r="EX180" i="2"/>
  <c r="EC180" i="2"/>
  <c r="EW180" i="2"/>
  <c r="FS180" i="2"/>
  <c r="FQ180" i="2"/>
  <c r="GN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GJ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MD181" i="2" l="1"/>
  <c r="LI181" i="2"/>
  <c r="IX181" i="2"/>
  <c r="JS181" i="2"/>
  <c r="IC181" i="2"/>
  <c r="HI181" i="2"/>
  <c r="ED180" i="2"/>
  <c r="KJ182" i="2"/>
  <c r="KH182" i="2"/>
  <c r="KI182" i="2"/>
  <c r="OT182" i="2"/>
  <c r="PE182" i="2"/>
  <c r="PJ182" i="2" s="1"/>
  <c r="OU182" i="2"/>
  <c r="PD182" i="2"/>
  <c r="PF182" i="2"/>
  <c r="PG182" i="2"/>
  <c r="MJ182" i="2"/>
  <c r="PH182" i="2"/>
  <c r="MI182" i="2"/>
  <c r="OS182" i="2"/>
  <c r="OR182" i="2"/>
  <c r="OM182" i="2"/>
  <c r="OL182" i="2"/>
  <c r="OK182" i="2"/>
  <c r="OJ182" i="2"/>
  <c r="OP182" i="2" s="1"/>
  <c r="OI182" i="2"/>
  <c r="NZ182" i="2"/>
  <c r="NY182" i="2"/>
  <c r="NW182" i="2"/>
  <c r="NX182" i="2"/>
  <c r="NR182" i="2"/>
  <c r="NQ182" i="2"/>
  <c r="NP182" i="2"/>
  <c r="NO182" i="2"/>
  <c r="NT182" i="2" s="1"/>
  <c r="NN182" i="2"/>
  <c r="NE182" i="2"/>
  <c r="ND182" i="2"/>
  <c r="NB182" i="2"/>
  <c r="NC182" i="2"/>
  <c r="MV182" i="2"/>
  <c r="MU182" i="2"/>
  <c r="MT182" i="2"/>
  <c r="MZ182" i="2" s="1"/>
  <c r="MW182" i="2"/>
  <c r="MB182" i="2"/>
  <c r="LX182" i="2"/>
  <c r="MA182" i="2"/>
  <c r="MS182" i="2"/>
  <c r="MG182" i="2"/>
  <c r="LZ182" i="2"/>
  <c r="MH182" i="2"/>
  <c r="LY182" i="2"/>
  <c r="LM182" i="2"/>
  <c r="LD182" i="2"/>
  <c r="KR182" i="2"/>
  <c r="LG182" i="2"/>
  <c r="LC182" i="2"/>
  <c r="LO182" i="2"/>
  <c r="LN182" i="2"/>
  <c r="LF182" i="2"/>
  <c r="KT182" i="2"/>
  <c r="KS182" i="2"/>
  <c r="JA182" i="2"/>
  <c r="LL182" i="2"/>
  <c r="LE182" i="2"/>
  <c r="JB182" i="2"/>
  <c r="JO182" i="2"/>
  <c r="JD182" i="2"/>
  <c r="JV182" i="2"/>
  <c r="KL182" i="2"/>
  <c r="JY182" i="2"/>
  <c r="JX182" i="2"/>
  <c r="JN182" i="2"/>
  <c r="JW182" i="2"/>
  <c r="JQ182" i="2"/>
  <c r="KK182" i="2"/>
  <c r="JM182" i="2"/>
  <c r="JP182" i="2"/>
  <c r="JC182" i="2"/>
  <c r="KQ182" i="2"/>
  <c r="IS182" i="2"/>
  <c r="IV182" i="2"/>
  <c r="IR182" i="2"/>
  <c r="II182" i="2"/>
  <c r="HD182" i="2"/>
  <c r="IU182" i="2"/>
  <c r="IH182" i="2"/>
  <c r="IF182" i="2"/>
  <c r="HE182" i="2"/>
  <c r="IT182" i="2"/>
  <c r="IG182" i="2"/>
  <c r="HF182" i="2"/>
  <c r="HN182" i="2"/>
  <c r="HM182" i="2"/>
  <c r="HK182" i="2"/>
  <c r="HY182" i="2"/>
  <c r="HX182" i="2"/>
  <c r="HL182" i="2"/>
  <c r="IA182" i="2"/>
  <c r="HW182" i="2"/>
  <c r="HZ182" i="2"/>
  <c r="MX181" i="2"/>
  <c r="NA180" i="2"/>
  <c r="MC181" i="2"/>
  <c r="MF180" i="2"/>
  <c r="HG181" i="2"/>
  <c r="IW181" i="2"/>
  <c r="IZ180" i="2"/>
  <c r="MY181" i="2"/>
  <c r="MY182" i="2" s="1"/>
  <c r="LH181" i="2"/>
  <c r="LK180" i="2"/>
  <c r="JU180" i="2"/>
  <c r="JR181" i="2"/>
  <c r="ON181" i="2"/>
  <c r="OQ180" i="2"/>
  <c r="LJ181" i="2"/>
  <c r="LJ182" i="2" s="1"/>
  <c r="NU182" i="2"/>
  <c r="ID181" i="2"/>
  <c r="IB181" i="2"/>
  <c r="IE180" i="2"/>
  <c r="PI181" i="2"/>
  <c r="PL180" i="2"/>
  <c r="JT181" i="2"/>
  <c r="OO181" i="2"/>
  <c r="OO182" i="2" s="1"/>
  <c r="NS181" i="2"/>
  <c r="NV180" i="2"/>
  <c r="PK181" i="2"/>
  <c r="PK182" i="2" s="1"/>
  <c r="ME181" i="2"/>
  <c r="KM180" i="2"/>
  <c r="KP179" i="2"/>
  <c r="KO181" i="2"/>
  <c r="HH181" i="2"/>
  <c r="EW181" i="2"/>
  <c r="FS181" i="2"/>
  <c r="EV181" i="2"/>
  <c r="EC181" i="2"/>
  <c r="EA181" i="2"/>
  <c r="EX181" i="2"/>
  <c r="EB181" i="2"/>
  <c r="FQ181" i="2"/>
  <c r="AU181" i="2"/>
  <c r="GN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GJ182" i="2"/>
  <c r="GK182" i="2"/>
  <c r="FB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JT182" i="2" l="1"/>
  <c r="HI182" i="2"/>
  <c r="ME182" i="2"/>
  <c r="MD182" i="2"/>
  <c r="LI182" i="2"/>
  <c r="IX182" i="2"/>
  <c r="IY182" i="2"/>
  <c r="ID182" i="2"/>
  <c r="JS182" i="2"/>
  <c r="IC182" i="2"/>
  <c r="NS182" i="2"/>
  <c r="NV181" i="2"/>
  <c r="PI182" i="2"/>
  <c r="PL181" i="2"/>
  <c r="JR182" i="2"/>
  <c r="JU181" i="2"/>
  <c r="ON182" i="2"/>
  <c r="OQ181" i="2"/>
  <c r="IB182" i="2"/>
  <c r="IE181" i="2"/>
  <c r="IW182" i="2"/>
  <c r="IZ181" i="2"/>
  <c r="MF181" i="2"/>
  <c r="MC182" i="2"/>
  <c r="KJ183" i="2"/>
  <c r="KH183" i="2"/>
  <c r="KI183" i="2"/>
  <c r="PD183" i="2"/>
  <c r="PF183" i="2"/>
  <c r="PE183" i="2"/>
  <c r="PK183" i="2" s="1"/>
  <c r="OT183" i="2"/>
  <c r="OU183" i="2"/>
  <c r="PG183" i="2"/>
  <c r="MJ183" i="2"/>
  <c r="PH183" i="2"/>
  <c r="MI183" i="2"/>
  <c r="OS183" i="2"/>
  <c r="OR183" i="2"/>
  <c r="OM183" i="2"/>
  <c r="OK183" i="2"/>
  <c r="OL183" i="2"/>
  <c r="OI183" i="2"/>
  <c r="OJ183" i="2"/>
  <c r="OP183" i="2" s="1"/>
  <c r="NZ183" i="2"/>
  <c r="NY183" i="2"/>
  <c r="NW183" i="2"/>
  <c r="NX183" i="2"/>
  <c r="NR183" i="2"/>
  <c r="NQ183" i="2"/>
  <c r="NP183" i="2"/>
  <c r="NC183" i="2"/>
  <c r="NO183" i="2"/>
  <c r="NT183" i="2" s="1"/>
  <c r="NN183" i="2"/>
  <c r="NE183" i="2"/>
  <c r="ND183" i="2"/>
  <c r="NB183" i="2"/>
  <c r="MW183" i="2"/>
  <c r="MS183" i="2"/>
  <c r="MV183" i="2"/>
  <c r="MH183" i="2"/>
  <c r="MU183" i="2"/>
  <c r="MT183" i="2"/>
  <c r="MZ183" i="2" s="1"/>
  <c r="LY183" i="2"/>
  <c r="MB183" i="2"/>
  <c r="LX183" i="2"/>
  <c r="MA183" i="2"/>
  <c r="MG183" i="2"/>
  <c r="LZ183" i="2"/>
  <c r="LL183" i="2"/>
  <c r="LE183" i="2"/>
  <c r="JB183" i="2"/>
  <c r="LM183" i="2"/>
  <c r="LD183" i="2"/>
  <c r="KR183" i="2"/>
  <c r="LG183" i="2"/>
  <c r="LC183" i="2"/>
  <c r="LO183" i="2"/>
  <c r="LN183" i="2"/>
  <c r="LF183" i="2"/>
  <c r="KT183" i="2"/>
  <c r="KS183" i="2"/>
  <c r="JA183" i="2"/>
  <c r="KQ183" i="2"/>
  <c r="JO183" i="2"/>
  <c r="JD183" i="2"/>
  <c r="JV183" i="2"/>
  <c r="KL183" i="2"/>
  <c r="JY183" i="2"/>
  <c r="JX183" i="2"/>
  <c r="JN183" i="2"/>
  <c r="JW183" i="2"/>
  <c r="JQ183" i="2"/>
  <c r="KK183" i="2"/>
  <c r="JM183" i="2"/>
  <c r="JP183" i="2"/>
  <c r="JC183" i="2"/>
  <c r="IT183" i="2"/>
  <c r="IG183" i="2"/>
  <c r="HF183" i="2"/>
  <c r="IS183" i="2"/>
  <c r="IV183" i="2"/>
  <c r="IR183" i="2"/>
  <c r="II183" i="2"/>
  <c r="HD183" i="2"/>
  <c r="IU183" i="2"/>
  <c r="IH183" i="2"/>
  <c r="IF183" i="2"/>
  <c r="HE183" i="2"/>
  <c r="HZ183" i="2"/>
  <c r="HN183" i="2"/>
  <c r="HM183" i="2"/>
  <c r="HK183" i="2"/>
  <c r="HY183" i="2"/>
  <c r="HX183" i="2"/>
  <c r="IC183" i="2" s="1"/>
  <c r="HL183" i="2"/>
  <c r="IA183" i="2"/>
  <c r="HW183" i="2"/>
  <c r="LH182" i="2"/>
  <c r="LK181" i="2"/>
  <c r="MX182" i="2"/>
  <c r="NA181" i="2"/>
  <c r="DG182" i="2"/>
  <c r="KM181" i="2"/>
  <c r="KP180" i="2"/>
  <c r="KO182" i="2"/>
  <c r="KN181" i="2"/>
  <c r="HH182" i="2"/>
  <c r="HG182" i="2"/>
  <c r="HG183" i="2" s="1"/>
  <c r="FS182" i="2"/>
  <c r="EX182" i="2"/>
  <c r="EC182" i="2"/>
  <c r="EA182" i="2"/>
  <c r="EV182" i="2"/>
  <c r="GN182" i="2"/>
  <c r="AB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GJ183" i="2"/>
  <c r="GK183" i="2"/>
  <c r="FB183" i="2"/>
  <c r="FC183" i="2"/>
  <c r="GR183" i="2"/>
  <c r="FX183" i="2"/>
  <c r="FM183" i="2"/>
  <c r="GS183" i="2"/>
  <c r="GG183" i="2"/>
  <c r="FN183" i="2"/>
  <c r="HB183" i="2"/>
  <c r="GH183" i="2"/>
  <c r="FO183" i="2"/>
  <c r="HC183" i="2"/>
  <c r="HI183" i="2" s="1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LI183" i="2" l="1"/>
  <c r="JT183" i="2"/>
  <c r="HH183" i="2"/>
  <c r="ME183" i="2"/>
  <c r="JS183" i="2"/>
  <c r="IX183" i="2"/>
  <c r="ED182" i="2"/>
  <c r="MX183" i="2"/>
  <c r="NA182" i="2"/>
  <c r="IW183" i="2"/>
  <c r="IZ182" i="2"/>
  <c r="ID183" i="2"/>
  <c r="MY183" i="2"/>
  <c r="PI183" i="2"/>
  <c r="PL182" i="2"/>
  <c r="PJ183" i="2"/>
  <c r="IY183" i="2"/>
  <c r="MF182" i="2"/>
  <c r="MC183" i="2"/>
  <c r="OO183" i="2"/>
  <c r="LH183" i="2"/>
  <c r="LK182" i="2"/>
  <c r="ON183" i="2"/>
  <c r="OQ182" i="2"/>
  <c r="JR183" i="2"/>
  <c r="JU182" i="2"/>
  <c r="NS183" i="2"/>
  <c r="NV182" i="2"/>
  <c r="MD183" i="2"/>
  <c r="KI184" i="2"/>
  <c r="KH184" i="2"/>
  <c r="KJ184" i="2"/>
  <c r="PG184" i="2"/>
  <c r="OT184" i="2"/>
  <c r="PH184" i="2"/>
  <c r="MI184" i="2"/>
  <c r="PF184" i="2"/>
  <c r="PE184" i="2"/>
  <c r="PK184" i="2" s="1"/>
  <c r="OU184" i="2"/>
  <c r="PD184" i="2"/>
  <c r="MJ184" i="2"/>
  <c r="OS184" i="2"/>
  <c r="OM184" i="2"/>
  <c r="OR184" i="2"/>
  <c r="OL184" i="2"/>
  <c r="OK184" i="2"/>
  <c r="OJ184" i="2"/>
  <c r="OP184" i="2" s="1"/>
  <c r="OI184" i="2"/>
  <c r="NZ184" i="2"/>
  <c r="NY184" i="2"/>
  <c r="NW184" i="2"/>
  <c r="NO184" i="2"/>
  <c r="NT184" i="2" s="1"/>
  <c r="NX184" i="2"/>
  <c r="NR184" i="2"/>
  <c r="NQ184" i="2"/>
  <c r="NP184" i="2"/>
  <c r="NC184" i="2"/>
  <c r="NN184" i="2"/>
  <c r="NE184" i="2"/>
  <c r="ND184" i="2"/>
  <c r="MT184" i="2"/>
  <c r="MZ184" i="2" s="1"/>
  <c r="MW184" i="2"/>
  <c r="MS184" i="2"/>
  <c r="NB184" i="2"/>
  <c r="MV184" i="2"/>
  <c r="MH184" i="2"/>
  <c r="MU184" i="2"/>
  <c r="MG184" i="2"/>
  <c r="LZ184" i="2"/>
  <c r="LY184" i="2"/>
  <c r="MB184" i="2"/>
  <c r="LX184" i="2"/>
  <c r="MA184" i="2"/>
  <c r="LO184" i="2"/>
  <c r="LN184" i="2"/>
  <c r="LF184" i="2"/>
  <c r="KT184" i="2"/>
  <c r="KS184" i="2"/>
  <c r="JA184" i="2"/>
  <c r="LL184" i="2"/>
  <c r="LE184" i="2"/>
  <c r="JB184" i="2"/>
  <c r="LM184" i="2"/>
  <c r="LD184" i="2"/>
  <c r="KR184" i="2"/>
  <c r="LG184" i="2"/>
  <c r="LC184" i="2"/>
  <c r="KK184" i="2"/>
  <c r="JM184" i="2"/>
  <c r="KQ184" i="2"/>
  <c r="JO184" i="2"/>
  <c r="JD184" i="2"/>
  <c r="JV184" i="2"/>
  <c r="KL184" i="2"/>
  <c r="JY184" i="2"/>
  <c r="JX184" i="2"/>
  <c r="JN184" i="2"/>
  <c r="JW184" i="2"/>
  <c r="JQ184" i="2"/>
  <c r="IU184" i="2"/>
  <c r="IH184" i="2"/>
  <c r="IF184" i="2"/>
  <c r="HE184" i="2"/>
  <c r="IT184" i="2"/>
  <c r="IG184" i="2"/>
  <c r="HF184" i="2"/>
  <c r="JP184" i="2"/>
  <c r="JC184" i="2"/>
  <c r="IS184" i="2"/>
  <c r="IV184" i="2"/>
  <c r="IR184" i="2"/>
  <c r="II184" i="2"/>
  <c r="HD184" i="2"/>
  <c r="HL184" i="2"/>
  <c r="IA184" i="2"/>
  <c r="HW184" i="2"/>
  <c r="HZ184" i="2"/>
  <c r="HN184" i="2"/>
  <c r="HM184" i="2"/>
  <c r="HK184" i="2"/>
  <c r="HY184" i="2"/>
  <c r="HX184" i="2"/>
  <c r="IC184" i="2" s="1"/>
  <c r="LJ183" i="2"/>
  <c r="IB183" i="2"/>
  <c r="IE182" i="2"/>
  <c r="NU183" i="2"/>
  <c r="NU184" i="2" s="1"/>
  <c r="EY182" i="2"/>
  <c r="KO183" i="2"/>
  <c r="KM182" i="2"/>
  <c r="KP181" i="2"/>
  <c r="KN182" i="2"/>
  <c r="KN183" i="2" s="1"/>
  <c r="FS183" i="2"/>
  <c r="EA183" i="2"/>
  <c r="EB183" i="2"/>
  <c r="EX183" i="2"/>
  <c r="EC183" i="2"/>
  <c r="GN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GK184" i="2"/>
  <c r="FB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LJ184" i="2" l="1"/>
  <c r="ME184" i="2"/>
  <c r="LI184" i="2"/>
  <c r="JT184" i="2"/>
  <c r="IX184" i="2"/>
  <c r="HI184" i="2"/>
  <c r="EY183" i="2"/>
  <c r="IB184" i="2"/>
  <c r="IE183" i="2"/>
  <c r="JR184" i="2"/>
  <c r="JU183" i="2"/>
  <c r="MF183" i="2"/>
  <c r="MC184" i="2"/>
  <c r="PI184" i="2"/>
  <c r="PL183" i="2"/>
  <c r="JS184" i="2"/>
  <c r="ON184" i="2"/>
  <c r="OQ183" i="2"/>
  <c r="LH184" i="2"/>
  <c r="LK183" i="2"/>
  <c r="IY184" i="2"/>
  <c r="MY184" i="2"/>
  <c r="ID184" i="2"/>
  <c r="IW184" i="2"/>
  <c r="IZ183" i="2"/>
  <c r="MX184" i="2"/>
  <c r="NA183" i="2"/>
  <c r="NS184" i="2"/>
  <c r="NV183" i="2"/>
  <c r="PJ184" i="2"/>
  <c r="KJ185" i="2"/>
  <c r="KI185" i="2"/>
  <c r="KH185" i="2"/>
  <c r="OU185" i="2"/>
  <c r="PF185" i="2"/>
  <c r="PD185" i="2"/>
  <c r="PG185" i="2"/>
  <c r="MJ185" i="2"/>
  <c r="OT185" i="2"/>
  <c r="PH185" i="2"/>
  <c r="MI185" i="2"/>
  <c r="PE185" i="2"/>
  <c r="PK185" i="2" s="1"/>
  <c r="OS185" i="2"/>
  <c r="OR185" i="2"/>
  <c r="OM185" i="2"/>
  <c r="OL185" i="2"/>
  <c r="OK185" i="2"/>
  <c r="OJ185" i="2"/>
  <c r="OP185" i="2" s="1"/>
  <c r="OI185" i="2"/>
  <c r="NX185" i="2"/>
  <c r="NR185" i="2"/>
  <c r="NP185" i="2"/>
  <c r="NZ185" i="2"/>
  <c r="NY185" i="2"/>
  <c r="NW185" i="2"/>
  <c r="NO185" i="2"/>
  <c r="NT185" i="2" s="1"/>
  <c r="NE185" i="2"/>
  <c r="ND185" i="2"/>
  <c r="NQ185" i="2"/>
  <c r="NC185" i="2"/>
  <c r="NN185" i="2"/>
  <c r="MU185" i="2"/>
  <c r="MT185" i="2"/>
  <c r="MZ185" i="2" s="1"/>
  <c r="MW185" i="2"/>
  <c r="MS185" i="2"/>
  <c r="NB185" i="2"/>
  <c r="MV185" i="2"/>
  <c r="MH185" i="2"/>
  <c r="MA185" i="2"/>
  <c r="MG185" i="2"/>
  <c r="LZ185" i="2"/>
  <c r="LY185" i="2"/>
  <c r="ME185" i="2" s="1"/>
  <c r="MB185" i="2"/>
  <c r="LX185" i="2"/>
  <c r="LG185" i="2"/>
  <c r="LC185" i="2"/>
  <c r="LO185" i="2"/>
  <c r="LN185" i="2"/>
  <c r="LF185" i="2"/>
  <c r="KT185" i="2"/>
  <c r="KS185" i="2"/>
  <c r="JA185" i="2"/>
  <c r="LL185" i="2"/>
  <c r="LE185" i="2"/>
  <c r="JB185" i="2"/>
  <c r="LM185" i="2"/>
  <c r="LD185" i="2"/>
  <c r="KR185" i="2"/>
  <c r="KL185" i="2"/>
  <c r="JY185" i="2"/>
  <c r="JX185" i="2"/>
  <c r="JN185" i="2"/>
  <c r="JW185" i="2"/>
  <c r="JQ185" i="2"/>
  <c r="KK185" i="2"/>
  <c r="JM185" i="2"/>
  <c r="KQ185" i="2"/>
  <c r="JO185" i="2"/>
  <c r="JD185" i="2"/>
  <c r="JV185" i="2"/>
  <c r="IV185" i="2"/>
  <c r="IR185" i="2"/>
  <c r="II185" i="2"/>
  <c r="HD185" i="2"/>
  <c r="IU185" i="2"/>
  <c r="IH185" i="2"/>
  <c r="IF185" i="2"/>
  <c r="HE185" i="2"/>
  <c r="IT185" i="2"/>
  <c r="IG185" i="2"/>
  <c r="HF185" i="2"/>
  <c r="JP185" i="2"/>
  <c r="JC185" i="2"/>
  <c r="IS185" i="2"/>
  <c r="HX185" i="2"/>
  <c r="HL185" i="2"/>
  <c r="IA185" i="2"/>
  <c r="HW185" i="2"/>
  <c r="HZ185" i="2"/>
  <c r="HN185" i="2"/>
  <c r="HM185" i="2"/>
  <c r="HK185" i="2"/>
  <c r="HY185" i="2"/>
  <c r="MD184" i="2"/>
  <c r="OO184" i="2"/>
  <c r="OO185" i="2" s="1"/>
  <c r="KM183" i="2"/>
  <c r="KP182" i="2"/>
  <c r="KO184" i="2"/>
  <c r="HH184" i="2"/>
  <c r="HG184" i="2"/>
  <c r="FS184" i="2"/>
  <c r="EX184" i="2"/>
  <c r="EC184" i="2"/>
  <c r="AW184" i="2"/>
  <c r="EB184" i="2"/>
  <c r="EV184" i="2"/>
  <c r="EA184" i="2"/>
  <c r="GN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GJ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JT185" i="2"/>
  <c r="LI185" i="2"/>
  <c r="IX185" i="2"/>
  <c r="IC185" i="2"/>
  <c r="HI185" i="2"/>
  <c r="HG185" i="2"/>
  <c r="PJ185" i="2"/>
  <c r="NS185" i="2"/>
  <c r="NV184" i="2"/>
  <c r="ID185" i="2"/>
  <c r="MY185" i="2"/>
  <c r="LJ185" i="2"/>
  <c r="KJ186" i="2"/>
  <c r="KI186" i="2"/>
  <c r="KH186" i="2"/>
  <c r="OT186" i="2"/>
  <c r="PE186" i="2"/>
  <c r="PK186" i="2" s="1"/>
  <c r="OU186" i="2"/>
  <c r="PD186" i="2"/>
  <c r="PG186" i="2"/>
  <c r="PH186" i="2"/>
  <c r="MI186" i="2"/>
  <c r="PF186" i="2"/>
  <c r="MJ186" i="2"/>
  <c r="OS186" i="2"/>
  <c r="OR186" i="2"/>
  <c r="OM186" i="2"/>
  <c r="OL186" i="2"/>
  <c r="OK186" i="2"/>
  <c r="OI186" i="2"/>
  <c r="OJ186" i="2"/>
  <c r="OP186" i="2" s="1"/>
  <c r="NZ186" i="2"/>
  <c r="NY186" i="2"/>
  <c r="NW186" i="2"/>
  <c r="NX186" i="2"/>
  <c r="NR186" i="2"/>
  <c r="NQ186" i="2"/>
  <c r="NP186" i="2"/>
  <c r="NN186" i="2"/>
  <c r="NE186" i="2"/>
  <c r="ND186" i="2"/>
  <c r="NO186" i="2"/>
  <c r="NT186" i="2" s="1"/>
  <c r="NB186" i="2"/>
  <c r="NC186" i="2"/>
  <c r="MV186" i="2"/>
  <c r="MU186" i="2"/>
  <c r="MT186" i="2"/>
  <c r="MZ186" i="2" s="1"/>
  <c r="MW186" i="2"/>
  <c r="MB186" i="2"/>
  <c r="LX186" i="2"/>
  <c r="MH186" i="2"/>
  <c r="MA186" i="2"/>
  <c r="MG186" i="2"/>
  <c r="LZ186" i="2"/>
  <c r="MS186" i="2"/>
  <c r="LY186" i="2"/>
  <c r="ME186" i="2" s="1"/>
  <c r="LM186" i="2"/>
  <c r="LD186" i="2"/>
  <c r="LI186" i="2" s="1"/>
  <c r="KR186" i="2"/>
  <c r="LG186" i="2"/>
  <c r="LC186" i="2"/>
  <c r="LO186" i="2"/>
  <c r="LN186" i="2"/>
  <c r="LF186" i="2"/>
  <c r="KT186" i="2"/>
  <c r="KS186" i="2"/>
  <c r="JA186" i="2"/>
  <c r="LL186" i="2"/>
  <c r="LE186" i="2"/>
  <c r="JB186" i="2"/>
  <c r="JO186" i="2"/>
  <c r="JD186" i="2"/>
  <c r="JV186" i="2"/>
  <c r="KL186" i="2"/>
  <c r="JY186" i="2"/>
  <c r="JX186" i="2"/>
  <c r="JN186" i="2"/>
  <c r="JW186" i="2"/>
  <c r="JQ186" i="2"/>
  <c r="KK186" i="2"/>
  <c r="JM186" i="2"/>
  <c r="JP186" i="2"/>
  <c r="JC186" i="2"/>
  <c r="KQ186" i="2"/>
  <c r="IS186" i="2"/>
  <c r="IV186" i="2"/>
  <c r="IR186" i="2"/>
  <c r="II186" i="2"/>
  <c r="HD186" i="2"/>
  <c r="IU186" i="2"/>
  <c r="IH186" i="2"/>
  <c r="IF186" i="2"/>
  <c r="HE186" i="2"/>
  <c r="IT186" i="2"/>
  <c r="IG186" i="2"/>
  <c r="HF186" i="2"/>
  <c r="HN186" i="2"/>
  <c r="HM186" i="2"/>
  <c r="HK186" i="2"/>
  <c r="HY186" i="2"/>
  <c r="HX186" i="2"/>
  <c r="HL186" i="2"/>
  <c r="IA186" i="2"/>
  <c r="HW186" i="2"/>
  <c r="HZ186" i="2"/>
  <c r="HH185" i="2"/>
  <c r="OO186" i="2"/>
  <c r="IW185" i="2"/>
  <c r="IZ184" i="2"/>
  <c r="IY185" i="2"/>
  <c r="IY186" i="2" s="1"/>
  <c r="NU185" i="2"/>
  <c r="NU186" i="2" s="1"/>
  <c r="PI185" i="2"/>
  <c r="PL184" i="2"/>
  <c r="JR185" i="2"/>
  <c r="JU184" i="2"/>
  <c r="MD185" i="2"/>
  <c r="MD186" i="2" s="1"/>
  <c r="MX185" i="2"/>
  <c r="NA184" i="2"/>
  <c r="LH185" i="2"/>
  <c r="LK184" i="2"/>
  <c r="ON185" i="2"/>
  <c r="OQ184" i="2"/>
  <c r="JS185" i="2"/>
  <c r="IB185" i="2"/>
  <c r="IE184" i="2"/>
  <c r="MF184" i="2"/>
  <c r="MC185" i="2"/>
  <c r="EY184" i="2"/>
  <c r="EB185" i="2"/>
  <c r="KO185" i="2"/>
  <c r="KM184" i="2"/>
  <c r="KP183" i="2"/>
  <c r="KN184" i="2"/>
  <c r="EW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GJ186" i="2"/>
  <c r="GK186" i="2"/>
  <c r="FB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JT186" i="2" l="1"/>
  <c r="IX186" i="2"/>
  <c r="JS186" i="2"/>
  <c r="IC186" i="2"/>
  <c r="HI186" i="2"/>
  <c r="PI186" i="2"/>
  <c r="PL185" i="2"/>
  <c r="LJ186" i="2"/>
  <c r="ID186" i="2"/>
  <c r="MX186" i="2"/>
  <c r="NA185" i="2"/>
  <c r="NS186" i="2"/>
  <c r="NV185" i="2"/>
  <c r="MC186" i="2"/>
  <c r="MF185" i="2"/>
  <c r="EW186" i="2"/>
  <c r="ED185" i="2"/>
  <c r="ON186" i="2"/>
  <c r="OQ185" i="2"/>
  <c r="KJ187" i="2"/>
  <c r="KI187" i="2"/>
  <c r="KH187" i="2"/>
  <c r="PD187" i="2"/>
  <c r="PE187" i="2"/>
  <c r="PK187" i="2" s="1"/>
  <c r="OU187" i="2"/>
  <c r="MJ187" i="2"/>
  <c r="OT187" i="2"/>
  <c r="PH187" i="2"/>
  <c r="MI187" i="2"/>
  <c r="PF187" i="2"/>
  <c r="PG187" i="2"/>
  <c r="OS187" i="2"/>
  <c r="OR187" i="2"/>
  <c r="OM187" i="2"/>
  <c r="OK187" i="2"/>
  <c r="OI187" i="2"/>
  <c r="OL187" i="2"/>
  <c r="OO187" i="2" s="1"/>
  <c r="OJ187" i="2"/>
  <c r="OP187" i="2" s="1"/>
  <c r="NZ187" i="2"/>
  <c r="NY187" i="2"/>
  <c r="NW187" i="2"/>
  <c r="NX187" i="2"/>
  <c r="NR187" i="2"/>
  <c r="NQ187" i="2"/>
  <c r="NC187" i="2"/>
  <c r="NN187" i="2"/>
  <c r="NP187" i="2"/>
  <c r="NE187" i="2"/>
  <c r="ND187" i="2"/>
  <c r="NO187" i="2"/>
  <c r="NT187" i="2" s="1"/>
  <c r="NB187" i="2"/>
  <c r="MW187" i="2"/>
  <c r="MS187" i="2"/>
  <c r="MV187" i="2"/>
  <c r="MH187" i="2"/>
  <c r="MU187" i="2"/>
  <c r="MT187" i="2"/>
  <c r="MZ187" i="2" s="1"/>
  <c r="LY187" i="2"/>
  <c r="MB187" i="2"/>
  <c r="LX187" i="2"/>
  <c r="MA187" i="2"/>
  <c r="MG187" i="2"/>
  <c r="LZ187" i="2"/>
  <c r="LL187" i="2"/>
  <c r="LE187" i="2"/>
  <c r="JB187" i="2"/>
  <c r="LM187" i="2"/>
  <c r="LD187" i="2"/>
  <c r="LI187" i="2" s="1"/>
  <c r="KR187" i="2"/>
  <c r="LG187" i="2"/>
  <c r="LC187" i="2"/>
  <c r="LO187" i="2"/>
  <c r="LN187" i="2"/>
  <c r="LF187" i="2"/>
  <c r="KT187" i="2"/>
  <c r="KS187" i="2"/>
  <c r="JA187" i="2"/>
  <c r="KQ187" i="2"/>
  <c r="JO187" i="2"/>
  <c r="JD187" i="2"/>
  <c r="JV187" i="2"/>
  <c r="KL187" i="2"/>
  <c r="JY187" i="2"/>
  <c r="JX187" i="2"/>
  <c r="JN187" i="2"/>
  <c r="JW187" i="2"/>
  <c r="JQ187" i="2"/>
  <c r="KK187" i="2"/>
  <c r="JM187" i="2"/>
  <c r="JP187" i="2"/>
  <c r="JC187" i="2"/>
  <c r="IT187" i="2"/>
  <c r="IG187" i="2"/>
  <c r="HF187" i="2"/>
  <c r="IS187" i="2"/>
  <c r="IX187" i="2" s="1"/>
  <c r="IV187" i="2"/>
  <c r="IR187" i="2"/>
  <c r="II187" i="2"/>
  <c r="HD187" i="2"/>
  <c r="IU187" i="2"/>
  <c r="IH187" i="2"/>
  <c r="IF187" i="2"/>
  <c r="HE187" i="2"/>
  <c r="HZ187" i="2"/>
  <c r="HN187" i="2"/>
  <c r="HM187" i="2"/>
  <c r="HK187" i="2"/>
  <c r="HY187" i="2"/>
  <c r="HX187" i="2"/>
  <c r="IC187" i="2" s="1"/>
  <c r="HL187" i="2"/>
  <c r="IA187" i="2"/>
  <c r="HW187" i="2"/>
  <c r="IB186" i="2"/>
  <c r="IE185" i="2"/>
  <c r="LH186" i="2"/>
  <c r="LK185" i="2"/>
  <c r="JR186" i="2"/>
  <c r="JU185" i="2"/>
  <c r="NU187" i="2"/>
  <c r="IW186" i="2"/>
  <c r="IZ185" i="2"/>
  <c r="MY186" i="2"/>
  <c r="MY187" i="2" s="1"/>
  <c r="PJ186" i="2"/>
  <c r="EB186" i="2"/>
  <c r="KM185" i="2"/>
  <c r="KP184" i="2"/>
  <c r="KO186" i="2"/>
  <c r="KN185" i="2"/>
  <c r="HH186" i="2"/>
  <c r="HG186" i="2"/>
  <c r="FS186" i="2"/>
  <c r="FR186" i="2"/>
  <c r="EA186" i="2"/>
  <c r="EX186" i="2"/>
  <c r="EC186" i="2"/>
  <c r="EV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GJ187" i="2"/>
  <c r="GK187" i="2"/>
  <c r="FB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I187" i="2" l="1"/>
  <c r="JT187" i="2"/>
  <c r="ME187" i="2"/>
  <c r="HG187" i="2"/>
  <c r="MD187" i="2"/>
  <c r="ON187" i="2"/>
  <c r="OQ186" i="2"/>
  <c r="MF186" i="2"/>
  <c r="MC187" i="2"/>
  <c r="NS187" i="2"/>
  <c r="NV186" i="2"/>
  <c r="ID187" i="2"/>
  <c r="LJ187" i="2"/>
  <c r="IY187" i="2"/>
  <c r="JS187" i="2"/>
  <c r="PJ187" i="2"/>
  <c r="JR187" i="2"/>
  <c r="JU186" i="2"/>
  <c r="MX187" i="2"/>
  <c r="NA186" i="2"/>
  <c r="KI188" i="2"/>
  <c r="KH188" i="2"/>
  <c r="KJ188" i="2"/>
  <c r="PG188" i="2"/>
  <c r="PF188" i="2"/>
  <c r="PH188" i="2"/>
  <c r="MI188" i="2"/>
  <c r="PE188" i="2"/>
  <c r="PK188" i="2" s="1"/>
  <c r="MJ188" i="2"/>
  <c r="OT188" i="2"/>
  <c r="OU188" i="2"/>
  <c r="PD188" i="2"/>
  <c r="OS188" i="2"/>
  <c r="OM188" i="2"/>
  <c r="OR188" i="2"/>
  <c r="OL188" i="2"/>
  <c r="OK188" i="2"/>
  <c r="OJ188" i="2"/>
  <c r="OO188" i="2" s="1"/>
  <c r="OI188" i="2"/>
  <c r="NZ188" i="2"/>
  <c r="NY188" i="2"/>
  <c r="NW188" i="2"/>
  <c r="NO188" i="2"/>
  <c r="NT188" i="2" s="1"/>
  <c r="NX188" i="2"/>
  <c r="NR188" i="2"/>
  <c r="NC188" i="2"/>
  <c r="NQ188" i="2"/>
  <c r="NN188" i="2"/>
  <c r="NP188" i="2"/>
  <c r="NE188" i="2"/>
  <c r="ND188" i="2"/>
  <c r="NB188" i="2"/>
  <c r="MT188" i="2"/>
  <c r="MZ188" i="2" s="1"/>
  <c r="MW188" i="2"/>
  <c r="MS188" i="2"/>
  <c r="MV188" i="2"/>
  <c r="MH188" i="2"/>
  <c r="MU188" i="2"/>
  <c r="MG188" i="2"/>
  <c r="LZ188" i="2"/>
  <c r="LY188" i="2"/>
  <c r="MB188" i="2"/>
  <c r="LX188" i="2"/>
  <c r="MA188" i="2"/>
  <c r="LO188" i="2"/>
  <c r="LN188" i="2"/>
  <c r="LF188" i="2"/>
  <c r="KT188" i="2"/>
  <c r="KS188" i="2"/>
  <c r="JA188" i="2"/>
  <c r="LL188" i="2"/>
  <c r="LE188" i="2"/>
  <c r="JB188" i="2"/>
  <c r="LM188" i="2"/>
  <c r="LD188" i="2"/>
  <c r="KR188" i="2"/>
  <c r="LG188" i="2"/>
  <c r="LC188" i="2"/>
  <c r="KK188" i="2"/>
  <c r="JM188" i="2"/>
  <c r="KQ188" i="2"/>
  <c r="JO188" i="2"/>
  <c r="JD188" i="2"/>
  <c r="JV188" i="2"/>
  <c r="KL188" i="2"/>
  <c r="JY188" i="2"/>
  <c r="JX188" i="2"/>
  <c r="JN188" i="2"/>
  <c r="JW188" i="2"/>
  <c r="JQ188" i="2"/>
  <c r="JP188" i="2"/>
  <c r="JC188" i="2"/>
  <c r="IU188" i="2"/>
  <c r="IH188" i="2"/>
  <c r="IF188" i="2"/>
  <c r="HE188" i="2"/>
  <c r="IT188" i="2"/>
  <c r="IG188" i="2"/>
  <c r="HF188" i="2"/>
  <c r="IS188" i="2"/>
  <c r="IV188" i="2"/>
  <c r="IR188" i="2"/>
  <c r="II188" i="2"/>
  <c r="HD188" i="2"/>
  <c r="HL188" i="2"/>
  <c r="IA188" i="2"/>
  <c r="HW188" i="2"/>
  <c r="HZ188" i="2"/>
  <c r="HN188" i="2"/>
  <c r="HM188" i="2"/>
  <c r="HK188" i="2"/>
  <c r="HY188" i="2"/>
  <c r="HX188" i="2"/>
  <c r="LH187" i="2"/>
  <c r="LK186" i="2"/>
  <c r="MY188" i="2"/>
  <c r="IB187" i="2"/>
  <c r="IE186" i="2"/>
  <c r="IW187" i="2"/>
  <c r="IZ186" i="2"/>
  <c r="PI187" i="2"/>
  <c r="PL186" i="2"/>
  <c r="EY186" i="2"/>
  <c r="EC187" i="2"/>
  <c r="KO187" i="2"/>
  <c r="KM186" i="2"/>
  <c r="KP185" i="2"/>
  <c r="KN186" i="2"/>
  <c r="KN187" i="2" s="1"/>
  <c r="HH187" i="2"/>
  <c r="EB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GK188" i="2"/>
  <c r="FB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LI188" i="2" l="1"/>
  <c r="ME188" i="2"/>
  <c r="JT188" i="2"/>
  <c r="IX188" i="2"/>
  <c r="IC188" i="2"/>
  <c r="HH188" i="2"/>
  <c r="LH188" i="2"/>
  <c r="LK187" i="2"/>
  <c r="PJ188" i="2"/>
  <c r="IY188" i="2"/>
  <c r="LJ188" i="2"/>
  <c r="NS188" i="2"/>
  <c r="NV187" i="2"/>
  <c r="KJ189" i="2"/>
  <c r="KI189" i="2"/>
  <c r="KH189" i="2"/>
  <c r="OU189" i="2"/>
  <c r="PF189" i="2"/>
  <c r="OT189" i="2"/>
  <c r="MJ189" i="2"/>
  <c r="PH189" i="2"/>
  <c r="MI189" i="2"/>
  <c r="PE189" i="2"/>
  <c r="PK189" i="2" s="1"/>
  <c r="PD189" i="2"/>
  <c r="PG189" i="2"/>
  <c r="OS189" i="2"/>
  <c r="OR189" i="2"/>
  <c r="OM189" i="2"/>
  <c r="OL189" i="2"/>
  <c r="OK189" i="2"/>
  <c r="OJ189" i="2"/>
  <c r="OO189" i="2" s="1"/>
  <c r="OI189" i="2"/>
  <c r="NX189" i="2"/>
  <c r="NR189" i="2"/>
  <c r="NZ189" i="2"/>
  <c r="NY189" i="2"/>
  <c r="NP189" i="2"/>
  <c r="NW189" i="2"/>
  <c r="NO189" i="2"/>
  <c r="NT189" i="2" s="1"/>
  <c r="NE189" i="2"/>
  <c r="ND189" i="2"/>
  <c r="NC189" i="2"/>
  <c r="NQ189" i="2"/>
  <c r="NN189" i="2"/>
  <c r="MU189" i="2"/>
  <c r="NB189" i="2"/>
  <c r="MT189" i="2"/>
  <c r="MZ189" i="2" s="1"/>
  <c r="MW189" i="2"/>
  <c r="MS189" i="2"/>
  <c r="MV189" i="2"/>
  <c r="MA189" i="2"/>
  <c r="MG189" i="2"/>
  <c r="LZ189" i="2"/>
  <c r="MH189" i="2"/>
  <c r="LY189" i="2"/>
  <c r="MB189" i="2"/>
  <c r="LX189" i="2"/>
  <c r="LG189" i="2"/>
  <c r="LC189" i="2"/>
  <c r="LO189" i="2"/>
  <c r="LN189" i="2"/>
  <c r="LF189" i="2"/>
  <c r="KT189" i="2"/>
  <c r="KS189" i="2"/>
  <c r="JA189" i="2"/>
  <c r="LL189" i="2"/>
  <c r="LE189" i="2"/>
  <c r="JB189" i="2"/>
  <c r="LM189" i="2"/>
  <c r="LD189" i="2"/>
  <c r="KR189" i="2"/>
  <c r="KL189" i="2"/>
  <c r="JY189" i="2"/>
  <c r="JX189" i="2"/>
  <c r="JN189" i="2"/>
  <c r="JW189" i="2"/>
  <c r="JQ189" i="2"/>
  <c r="KK189" i="2"/>
  <c r="JM189" i="2"/>
  <c r="KQ189" i="2"/>
  <c r="JO189" i="2"/>
  <c r="JD189" i="2"/>
  <c r="JV189" i="2"/>
  <c r="IV189" i="2"/>
  <c r="IR189" i="2"/>
  <c r="II189" i="2"/>
  <c r="HD189" i="2"/>
  <c r="JP189" i="2"/>
  <c r="JC189" i="2"/>
  <c r="IU189" i="2"/>
  <c r="IH189" i="2"/>
  <c r="IF189" i="2"/>
  <c r="HE189" i="2"/>
  <c r="IT189" i="2"/>
  <c r="IG189" i="2"/>
  <c r="HF189" i="2"/>
  <c r="IS189" i="2"/>
  <c r="HX189" i="2"/>
  <c r="IC189" i="2" s="1"/>
  <c r="HL189" i="2"/>
  <c r="IA189" i="2"/>
  <c r="HW189" i="2"/>
  <c r="HZ189" i="2"/>
  <c r="HN189" i="2"/>
  <c r="HM189" i="2"/>
  <c r="HK189" i="2"/>
  <c r="HY189" i="2"/>
  <c r="IW188" i="2"/>
  <c r="IZ187" i="2"/>
  <c r="MY189" i="2"/>
  <c r="ID188" i="2"/>
  <c r="ID189" i="2" s="1"/>
  <c r="MD188" i="2"/>
  <c r="OP188" i="2"/>
  <c r="OP189" i="2" s="1"/>
  <c r="PI188" i="2"/>
  <c r="PL187" i="2"/>
  <c r="IB188" i="2"/>
  <c r="IE187" i="2"/>
  <c r="MX188" i="2"/>
  <c r="NA187" i="2"/>
  <c r="JR188" i="2"/>
  <c r="JU187" i="2"/>
  <c r="NU188" i="2"/>
  <c r="NU189" i="2" s="1"/>
  <c r="ON188" i="2"/>
  <c r="OQ187" i="2"/>
  <c r="JS188" i="2"/>
  <c r="JS189" i="2" s="1"/>
  <c r="MC188" i="2"/>
  <c r="MF187" i="2"/>
  <c r="ED187" i="2"/>
  <c r="KM187" i="2"/>
  <c r="KP186" i="2"/>
  <c r="KO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GJ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JT189" i="2" l="1"/>
  <c r="ME189" i="2"/>
  <c r="MD189" i="2"/>
  <c r="LI189" i="2"/>
  <c r="IX189" i="2"/>
  <c r="HH189" i="2"/>
  <c r="MX189" i="2"/>
  <c r="NA188" i="2"/>
  <c r="LH189" i="2"/>
  <c r="LK188" i="2"/>
  <c r="KJ190" i="2"/>
  <c r="KI190" i="2"/>
  <c r="KH190" i="2"/>
  <c r="OT190" i="2"/>
  <c r="PE190" i="2"/>
  <c r="PK190" i="2" s="1"/>
  <c r="PD190" i="2"/>
  <c r="PG190" i="2"/>
  <c r="PF190" i="2"/>
  <c r="PH190" i="2"/>
  <c r="MI190" i="2"/>
  <c r="MJ190" i="2"/>
  <c r="OU190" i="2"/>
  <c r="OS190" i="2"/>
  <c r="OR190" i="2"/>
  <c r="OM190" i="2"/>
  <c r="OL190" i="2"/>
  <c r="OK190" i="2"/>
  <c r="OJ190" i="2"/>
  <c r="OO190" i="2" s="1"/>
  <c r="OI190" i="2"/>
  <c r="NZ190" i="2"/>
  <c r="NY190" i="2"/>
  <c r="NW190" i="2"/>
  <c r="NX190" i="2"/>
  <c r="NR190" i="2"/>
  <c r="NQ190" i="2"/>
  <c r="NP190" i="2"/>
  <c r="NO190" i="2"/>
  <c r="NU190" i="2" s="1"/>
  <c r="NN190" i="2"/>
  <c r="NE190" i="2"/>
  <c r="ND190" i="2"/>
  <c r="NB190" i="2"/>
  <c r="NC190" i="2"/>
  <c r="MV190" i="2"/>
  <c r="MU190" i="2"/>
  <c r="MT190" i="2"/>
  <c r="MZ190" i="2" s="1"/>
  <c r="MW190" i="2"/>
  <c r="MS190" i="2"/>
  <c r="MB190" i="2"/>
  <c r="LX190" i="2"/>
  <c r="MA190" i="2"/>
  <c r="MG190" i="2"/>
  <c r="LZ190" i="2"/>
  <c r="MH190" i="2"/>
  <c r="LY190" i="2"/>
  <c r="ME190" i="2" s="1"/>
  <c r="LM190" i="2"/>
  <c r="LD190" i="2"/>
  <c r="KR190" i="2"/>
  <c r="LG190" i="2"/>
  <c r="LC190" i="2"/>
  <c r="LO190" i="2"/>
  <c r="LN190" i="2"/>
  <c r="LF190" i="2"/>
  <c r="KT190" i="2"/>
  <c r="KS190" i="2"/>
  <c r="JA190" i="2"/>
  <c r="LL190" i="2"/>
  <c r="LE190" i="2"/>
  <c r="JB190" i="2"/>
  <c r="JO190" i="2"/>
  <c r="JD190" i="2"/>
  <c r="JV190" i="2"/>
  <c r="KL190" i="2"/>
  <c r="JY190" i="2"/>
  <c r="JX190" i="2"/>
  <c r="JN190" i="2"/>
  <c r="JW190" i="2"/>
  <c r="JQ190" i="2"/>
  <c r="KK190" i="2"/>
  <c r="JM190" i="2"/>
  <c r="JP190" i="2"/>
  <c r="JC190" i="2"/>
  <c r="KQ190" i="2"/>
  <c r="IS190" i="2"/>
  <c r="IV190" i="2"/>
  <c r="IR190" i="2"/>
  <c r="II190" i="2"/>
  <c r="HD190" i="2"/>
  <c r="IU190" i="2"/>
  <c r="IH190" i="2"/>
  <c r="IF190" i="2"/>
  <c r="HE190" i="2"/>
  <c r="IT190" i="2"/>
  <c r="IG190" i="2"/>
  <c r="HF190" i="2"/>
  <c r="HN190" i="2"/>
  <c r="HM190" i="2"/>
  <c r="HK190" i="2"/>
  <c r="HY190" i="2"/>
  <c r="HX190" i="2"/>
  <c r="IC190" i="2" s="1"/>
  <c r="HL190" i="2"/>
  <c r="IA190" i="2"/>
  <c r="HW190" i="2"/>
  <c r="HZ190" i="2"/>
  <c r="PI189" i="2"/>
  <c r="PL188" i="2"/>
  <c r="IW189" i="2"/>
  <c r="IZ188" i="2"/>
  <c r="NS189" i="2"/>
  <c r="NV188" i="2"/>
  <c r="LJ189" i="2"/>
  <c r="IY189" i="2"/>
  <c r="MC189" i="2"/>
  <c r="MF188" i="2"/>
  <c r="ON189" i="2"/>
  <c r="OQ188" i="2"/>
  <c r="JR189" i="2"/>
  <c r="JU188" i="2"/>
  <c r="IB189" i="2"/>
  <c r="IE188" i="2"/>
  <c r="MY190" i="2"/>
  <c r="PJ189" i="2"/>
  <c r="PJ190" i="2" s="1"/>
  <c r="EY188" i="2"/>
  <c r="KO189" i="2"/>
  <c r="KM188" i="2"/>
  <c r="KP187" i="2"/>
  <c r="KN188" i="2"/>
  <c r="KN189" i="2" s="1"/>
  <c r="HI189" i="2"/>
  <c r="HG189" i="2"/>
  <c r="AA189" i="2"/>
  <c r="EV189" i="2"/>
  <c r="EB189" i="2"/>
  <c r="EC189" i="2"/>
  <c r="FS189" i="2"/>
  <c r="EX189" i="2"/>
  <c r="EA189" i="2"/>
  <c r="GN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GJ190" i="2"/>
  <c r="GK190" i="2"/>
  <c r="FB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LJ190" i="2" l="1"/>
  <c r="JT190" i="2"/>
  <c r="MD190" i="2"/>
  <c r="LI190" i="2"/>
  <c r="JS190" i="2"/>
  <c r="IY190" i="2"/>
  <c r="ID190" i="2"/>
  <c r="IX190" i="2"/>
  <c r="ED189" i="2"/>
  <c r="HH190" i="2"/>
  <c r="IB190" i="2"/>
  <c r="IE189" i="2"/>
  <c r="ON190" i="2"/>
  <c r="OQ189" i="2"/>
  <c r="IW190" i="2"/>
  <c r="IZ189" i="2"/>
  <c r="OP190" i="2"/>
  <c r="NT190" i="2"/>
  <c r="HG190" i="2"/>
  <c r="NS190" i="2"/>
  <c r="NV189" i="2"/>
  <c r="KJ191" i="2"/>
  <c r="KH191" i="2"/>
  <c r="KI191" i="2"/>
  <c r="PD191" i="2"/>
  <c r="OU191" i="2"/>
  <c r="OT191" i="2"/>
  <c r="PG191" i="2"/>
  <c r="PE191" i="2"/>
  <c r="PK191" i="2" s="1"/>
  <c r="PF191" i="2"/>
  <c r="PH191" i="2"/>
  <c r="MI191" i="2"/>
  <c r="MJ191" i="2"/>
  <c r="OS191" i="2"/>
  <c r="OR191" i="2"/>
  <c r="OM191" i="2"/>
  <c r="OK191" i="2"/>
  <c r="OL191" i="2"/>
  <c r="OI191" i="2"/>
  <c r="OJ191" i="2"/>
  <c r="OO191" i="2" s="1"/>
  <c r="NZ191" i="2"/>
  <c r="NY191" i="2"/>
  <c r="NW191" i="2"/>
  <c r="NX191" i="2"/>
  <c r="NR191" i="2"/>
  <c r="NQ191" i="2"/>
  <c r="NP191" i="2"/>
  <c r="NC191" i="2"/>
  <c r="NO191" i="2"/>
  <c r="NU191" i="2" s="1"/>
  <c r="NN191" i="2"/>
  <c r="NE191" i="2"/>
  <c r="ND191" i="2"/>
  <c r="NB191" i="2"/>
  <c r="MW191" i="2"/>
  <c r="MS191" i="2"/>
  <c r="MV191" i="2"/>
  <c r="MH191" i="2"/>
  <c r="MU191" i="2"/>
  <c r="MT191" i="2"/>
  <c r="MZ191" i="2" s="1"/>
  <c r="LY191" i="2"/>
  <c r="MB191" i="2"/>
  <c r="LX191" i="2"/>
  <c r="MA191" i="2"/>
  <c r="MG191" i="2"/>
  <c r="LZ191" i="2"/>
  <c r="LL191" i="2"/>
  <c r="LE191" i="2"/>
  <c r="JB191" i="2"/>
  <c r="LM191" i="2"/>
  <c r="LD191" i="2"/>
  <c r="LI191" i="2" s="1"/>
  <c r="KR191" i="2"/>
  <c r="LG191" i="2"/>
  <c r="LC191" i="2"/>
  <c r="LO191" i="2"/>
  <c r="LN191" i="2"/>
  <c r="LF191" i="2"/>
  <c r="KT191" i="2"/>
  <c r="KS191" i="2"/>
  <c r="JA191" i="2"/>
  <c r="KQ191" i="2"/>
  <c r="JO191" i="2"/>
  <c r="JD191" i="2"/>
  <c r="JV191" i="2"/>
  <c r="KL191" i="2"/>
  <c r="JY191" i="2"/>
  <c r="JX191" i="2"/>
  <c r="JN191" i="2"/>
  <c r="JW191" i="2"/>
  <c r="JQ191" i="2"/>
  <c r="KK191" i="2"/>
  <c r="JM191" i="2"/>
  <c r="JP191" i="2"/>
  <c r="JC191" i="2"/>
  <c r="IT191" i="2"/>
  <c r="IG191" i="2"/>
  <c r="HF191" i="2"/>
  <c r="IS191" i="2"/>
  <c r="IV191" i="2"/>
  <c r="IR191" i="2"/>
  <c r="II191" i="2"/>
  <c r="HD191" i="2"/>
  <c r="IU191" i="2"/>
  <c r="IH191" i="2"/>
  <c r="IF191" i="2"/>
  <c r="HE191" i="2"/>
  <c r="HZ191" i="2"/>
  <c r="HN191" i="2"/>
  <c r="HM191" i="2"/>
  <c r="HK191" i="2"/>
  <c r="HY191" i="2"/>
  <c r="HX191" i="2"/>
  <c r="IC191" i="2" s="1"/>
  <c r="HL191" i="2"/>
  <c r="IA191" i="2"/>
  <c r="HW191" i="2"/>
  <c r="HI190" i="2"/>
  <c r="JR190" i="2"/>
  <c r="JU189" i="2"/>
  <c r="MC190" i="2"/>
  <c r="MF189" i="2"/>
  <c r="MX190" i="2"/>
  <c r="NA189" i="2"/>
  <c r="PI190" i="2"/>
  <c r="PL189" i="2"/>
  <c r="LH190" i="2"/>
  <c r="LK189" i="2"/>
  <c r="EY189" i="2"/>
  <c r="KM189" i="2"/>
  <c r="KP188" i="2"/>
  <c r="KO190" i="2"/>
  <c r="HJ189" i="2"/>
  <c r="EV190" i="2"/>
  <c r="EW190" i="2"/>
  <c r="EB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GJ191" i="2"/>
  <c r="GK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JT191" i="2" l="1"/>
  <c r="MD191" i="2"/>
  <c r="IY191" i="2"/>
  <c r="ID191" i="2"/>
  <c r="ED190" i="2"/>
  <c r="HH191" i="2"/>
  <c r="PI191" i="2"/>
  <c r="PL190" i="2"/>
  <c r="MX191" i="2"/>
  <c r="NA190" i="2"/>
  <c r="MY191" i="2"/>
  <c r="OP191" i="2"/>
  <c r="LJ191" i="2"/>
  <c r="IX191" i="2"/>
  <c r="ME191" i="2"/>
  <c r="KI192" i="2"/>
  <c r="KH192" i="2"/>
  <c r="KJ192" i="2"/>
  <c r="PG192" i="2"/>
  <c r="PE192" i="2"/>
  <c r="PK192" i="2" s="1"/>
  <c r="PH192" i="2"/>
  <c r="MI192" i="2"/>
  <c r="OU192" i="2"/>
  <c r="PD192" i="2"/>
  <c r="PF192" i="2"/>
  <c r="MJ192" i="2"/>
  <c r="OT192" i="2"/>
  <c r="OS192" i="2"/>
  <c r="OM192" i="2"/>
  <c r="OR192" i="2"/>
  <c r="OL192" i="2"/>
  <c r="OK192" i="2"/>
  <c r="OJ192" i="2"/>
  <c r="OO192" i="2" s="1"/>
  <c r="OI192" i="2"/>
  <c r="NZ192" i="2"/>
  <c r="NY192" i="2"/>
  <c r="NW192" i="2"/>
  <c r="NO192" i="2"/>
  <c r="NU192" i="2" s="1"/>
  <c r="NX192" i="2"/>
  <c r="NR192" i="2"/>
  <c r="NQ192" i="2"/>
  <c r="NP192" i="2"/>
  <c r="NC192" i="2"/>
  <c r="NN192" i="2"/>
  <c r="NE192" i="2"/>
  <c r="ND192" i="2"/>
  <c r="MT192" i="2"/>
  <c r="MZ192" i="2" s="1"/>
  <c r="MW192" i="2"/>
  <c r="MS192" i="2"/>
  <c r="NB192" i="2"/>
  <c r="MV192" i="2"/>
  <c r="MH192" i="2"/>
  <c r="MU192" i="2"/>
  <c r="MG192" i="2"/>
  <c r="LZ192" i="2"/>
  <c r="LY192" i="2"/>
  <c r="MB192" i="2"/>
  <c r="LX192" i="2"/>
  <c r="MA192" i="2"/>
  <c r="LO192" i="2"/>
  <c r="LN192" i="2"/>
  <c r="LF192" i="2"/>
  <c r="KT192" i="2"/>
  <c r="KS192" i="2"/>
  <c r="JA192" i="2"/>
  <c r="LL192" i="2"/>
  <c r="LE192" i="2"/>
  <c r="JB192" i="2"/>
  <c r="LM192" i="2"/>
  <c r="LD192" i="2"/>
  <c r="KR192" i="2"/>
  <c r="LG192" i="2"/>
  <c r="LC192" i="2"/>
  <c r="KK192" i="2"/>
  <c r="JM192" i="2"/>
  <c r="KQ192" i="2"/>
  <c r="JO192" i="2"/>
  <c r="JD192" i="2"/>
  <c r="JV192" i="2"/>
  <c r="KL192" i="2"/>
  <c r="JY192" i="2"/>
  <c r="JX192" i="2"/>
  <c r="JN192" i="2"/>
  <c r="JW192" i="2"/>
  <c r="JQ192" i="2"/>
  <c r="IU192" i="2"/>
  <c r="IH192" i="2"/>
  <c r="IF192" i="2"/>
  <c r="HE192" i="2"/>
  <c r="IT192" i="2"/>
  <c r="IG192" i="2"/>
  <c r="HF192" i="2"/>
  <c r="JP192" i="2"/>
  <c r="JC192" i="2"/>
  <c r="IS192" i="2"/>
  <c r="IV192" i="2"/>
  <c r="IR192" i="2"/>
  <c r="II192" i="2"/>
  <c r="HD192" i="2"/>
  <c r="HL192" i="2"/>
  <c r="IA192" i="2"/>
  <c r="HW192" i="2"/>
  <c r="HZ192" i="2"/>
  <c r="HN192" i="2"/>
  <c r="HM192" i="2"/>
  <c r="HK192" i="2"/>
  <c r="HY192" i="2"/>
  <c r="HX192" i="2"/>
  <c r="MC191" i="2"/>
  <c r="MF190" i="2"/>
  <c r="PJ191" i="2"/>
  <c r="PJ192" i="2" s="1"/>
  <c r="IB191" i="2"/>
  <c r="IE190" i="2"/>
  <c r="LH191" i="2"/>
  <c r="LK190" i="2"/>
  <c r="NT191" i="2"/>
  <c r="NT192" i="2" s="1"/>
  <c r="IW191" i="2"/>
  <c r="IZ190" i="2"/>
  <c r="JR191" i="2"/>
  <c r="JU190" i="2"/>
  <c r="NS191" i="2"/>
  <c r="NV190" i="2"/>
  <c r="JS191" i="2"/>
  <c r="ON191" i="2"/>
  <c r="OQ190" i="2"/>
  <c r="KO191" i="2"/>
  <c r="KM190" i="2"/>
  <c r="KP189" i="2"/>
  <c r="KN190" i="2"/>
  <c r="KN191" i="2" s="1"/>
  <c r="HI191" i="2"/>
  <c r="HG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GK192" i="2"/>
  <c r="FW192" i="2"/>
  <c r="GR192" i="2"/>
  <c r="GS192" i="2"/>
  <c r="GG192" i="2"/>
  <c r="HB192" i="2"/>
  <c r="GH192" i="2"/>
  <c r="HC192" i="2"/>
  <c r="GI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JS192" i="2" l="1"/>
  <c r="ME192" i="2"/>
  <c r="MD192" i="2"/>
  <c r="LI192" i="2"/>
  <c r="JT192" i="2"/>
  <c r="IY192" i="2"/>
  <c r="IC192" i="2"/>
  <c r="HH192" i="2"/>
  <c r="EY191" i="2"/>
  <c r="IW192" i="2"/>
  <c r="IZ191" i="2"/>
  <c r="IB192" i="2"/>
  <c r="IE191" i="2"/>
  <c r="ID192" i="2"/>
  <c r="PI192" i="2"/>
  <c r="PL191" i="2"/>
  <c r="ON192" i="2"/>
  <c r="OQ191" i="2"/>
  <c r="LH192" i="2"/>
  <c r="LK191" i="2"/>
  <c r="MC192" i="2"/>
  <c r="MF191" i="2"/>
  <c r="IX192" i="2"/>
  <c r="OP192" i="2"/>
  <c r="HG192" i="2"/>
  <c r="LJ192" i="2"/>
  <c r="MY192" i="2"/>
  <c r="MX192" i="2"/>
  <c r="NA191" i="2"/>
  <c r="KJ193" i="2"/>
  <c r="KI193" i="2"/>
  <c r="KH193" i="2"/>
  <c r="OU193" i="2"/>
  <c r="PF193" i="2"/>
  <c r="MJ193" i="2"/>
  <c r="PE193" i="2"/>
  <c r="PK193" i="2" s="1"/>
  <c r="PH193" i="2"/>
  <c r="MI193" i="2"/>
  <c r="OT193" i="2"/>
  <c r="PD193" i="2"/>
  <c r="PG193" i="2"/>
  <c r="OS193" i="2"/>
  <c r="OR193" i="2"/>
  <c r="OM193" i="2"/>
  <c r="OL193" i="2"/>
  <c r="OK193" i="2"/>
  <c r="OJ193" i="2"/>
  <c r="OO193" i="2" s="1"/>
  <c r="OI193" i="2"/>
  <c r="NX193" i="2"/>
  <c r="NR193" i="2"/>
  <c r="NP193" i="2"/>
  <c r="NZ193" i="2"/>
  <c r="NY193" i="2"/>
  <c r="NW193" i="2"/>
  <c r="NE193" i="2"/>
  <c r="ND193" i="2"/>
  <c r="NQ193" i="2"/>
  <c r="NO193" i="2"/>
  <c r="NU193" i="2" s="1"/>
  <c r="NC193" i="2"/>
  <c r="NN193" i="2"/>
  <c r="MU193" i="2"/>
  <c r="MT193" i="2"/>
  <c r="MZ193" i="2" s="1"/>
  <c r="MW193" i="2"/>
  <c r="MS193" i="2"/>
  <c r="NB193" i="2"/>
  <c r="MV193" i="2"/>
  <c r="MH193" i="2"/>
  <c r="MA193" i="2"/>
  <c r="MG193" i="2"/>
  <c r="LZ193" i="2"/>
  <c r="LY193" i="2"/>
  <c r="ME193" i="2" s="1"/>
  <c r="MB193" i="2"/>
  <c r="LX193" i="2"/>
  <c r="LG193" i="2"/>
  <c r="LC193" i="2"/>
  <c r="LO193" i="2"/>
  <c r="LN193" i="2"/>
  <c r="LF193" i="2"/>
  <c r="KT193" i="2"/>
  <c r="KS193" i="2"/>
  <c r="JA193" i="2"/>
  <c r="LL193" i="2"/>
  <c r="LE193" i="2"/>
  <c r="JB193" i="2"/>
  <c r="LM193" i="2"/>
  <c r="LD193" i="2"/>
  <c r="KR193" i="2"/>
  <c r="KL193" i="2"/>
  <c r="JY193" i="2"/>
  <c r="JX193" i="2"/>
  <c r="JN193" i="2"/>
  <c r="JW193" i="2"/>
  <c r="JQ193" i="2"/>
  <c r="KK193" i="2"/>
  <c r="JM193" i="2"/>
  <c r="KQ193" i="2"/>
  <c r="JO193" i="2"/>
  <c r="JD193" i="2"/>
  <c r="JV193" i="2"/>
  <c r="IV193" i="2"/>
  <c r="IR193" i="2"/>
  <c r="II193" i="2"/>
  <c r="HD193" i="2"/>
  <c r="IU193" i="2"/>
  <c r="IH193" i="2"/>
  <c r="IF193" i="2"/>
  <c r="HE193" i="2"/>
  <c r="IT193" i="2"/>
  <c r="IG193" i="2"/>
  <c r="HF193" i="2"/>
  <c r="JP193" i="2"/>
  <c r="JC193" i="2"/>
  <c r="IS193" i="2"/>
  <c r="HX193" i="2"/>
  <c r="IC193" i="2" s="1"/>
  <c r="HL193" i="2"/>
  <c r="IA193" i="2"/>
  <c r="HW193" i="2"/>
  <c r="HZ193" i="2"/>
  <c r="HN193" i="2"/>
  <c r="HM193" i="2"/>
  <c r="HK193" i="2"/>
  <c r="HY193" i="2"/>
  <c r="HI192" i="2"/>
  <c r="NS192" i="2"/>
  <c r="NV191" i="2"/>
  <c r="JR192" i="2"/>
  <c r="JU191" i="2"/>
  <c r="EC192" i="2"/>
  <c r="KM191" i="2"/>
  <c r="KP190" i="2"/>
  <c r="KO192" i="2"/>
  <c r="EW192" i="2"/>
  <c r="EA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FW193" i="2"/>
  <c r="GR193" i="2"/>
  <c r="FX193" i="2"/>
  <c r="GS193" i="2"/>
  <c r="HB193" i="2"/>
  <c r="GH193" i="2"/>
  <c r="HC193" i="2"/>
  <c r="GI193" i="2"/>
  <c r="GJ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LI193" i="2" l="1"/>
  <c r="MD193" i="2"/>
  <c r="IY193" i="2"/>
  <c r="JS193" i="2"/>
  <c r="HH193" i="2"/>
  <c r="ED192" i="2"/>
  <c r="PJ193" i="2"/>
  <c r="OP193" i="2"/>
  <c r="KJ194" i="2"/>
  <c r="KI194" i="2"/>
  <c r="KH194" i="2"/>
  <c r="OT194" i="2"/>
  <c r="PE194" i="2"/>
  <c r="PK194" i="2" s="1"/>
  <c r="PF194" i="2"/>
  <c r="OU194" i="2"/>
  <c r="PH194" i="2"/>
  <c r="MI194" i="2"/>
  <c r="PD194" i="2"/>
  <c r="PG194" i="2"/>
  <c r="MJ194" i="2"/>
  <c r="OS194" i="2"/>
  <c r="OR194" i="2"/>
  <c r="OM194" i="2"/>
  <c r="OL194" i="2"/>
  <c r="OK194" i="2"/>
  <c r="OI194" i="2"/>
  <c r="OJ194" i="2"/>
  <c r="OO194" i="2" s="1"/>
  <c r="NZ194" i="2"/>
  <c r="NY194" i="2"/>
  <c r="NW194" i="2"/>
  <c r="NX194" i="2"/>
  <c r="NR194" i="2"/>
  <c r="NQ194" i="2"/>
  <c r="NP194" i="2"/>
  <c r="NN194" i="2"/>
  <c r="NE194" i="2"/>
  <c r="ND194" i="2"/>
  <c r="NB194" i="2"/>
  <c r="NO194" i="2"/>
  <c r="NU194" i="2" s="1"/>
  <c r="NC194" i="2"/>
  <c r="MV194" i="2"/>
  <c r="MU194" i="2"/>
  <c r="MT194" i="2"/>
  <c r="MZ194" i="2" s="1"/>
  <c r="MW194" i="2"/>
  <c r="MB194" i="2"/>
  <c r="LX194" i="2"/>
  <c r="MS194" i="2"/>
  <c r="MH194" i="2"/>
  <c r="MA194" i="2"/>
  <c r="MG194" i="2"/>
  <c r="LZ194" i="2"/>
  <c r="LY194" i="2"/>
  <c r="LM194" i="2"/>
  <c r="LD194" i="2"/>
  <c r="KR194" i="2"/>
  <c r="LG194" i="2"/>
  <c r="LC194" i="2"/>
  <c r="LO194" i="2"/>
  <c r="LN194" i="2"/>
  <c r="LF194" i="2"/>
  <c r="KT194" i="2"/>
  <c r="KS194" i="2"/>
  <c r="JA194" i="2"/>
  <c r="LL194" i="2"/>
  <c r="LE194" i="2"/>
  <c r="JB194" i="2"/>
  <c r="JO194" i="2"/>
  <c r="JD194" i="2"/>
  <c r="JV194" i="2"/>
  <c r="KL194" i="2"/>
  <c r="JY194" i="2"/>
  <c r="JX194" i="2"/>
  <c r="JN194" i="2"/>
  <c r="JW194" i="2"/>
  <c r="JQ194" i="2"/>
  <c r="KK194" i="2"/>
  <c r="JM194" i="2"/>
  <c r="JP194" i="2"/>
  <c r="JC194" i="2"/>
  <c r="KQ194" i="2"/>
  <c r="IS194" i="2"/>
  <c r="IV194" i="2"/>
  <c r="IR194" i="2"/>
  <c r="II194" i="2"/>
  <c r="HD194" i="2"/>
  <c r="IU194" i="2"/>
  <c r="IH194" i="2"/>
  <c r="IF194" i="2"/>
  <c r="HE194" i="2"/>
  <c r="IT194" i="2"/>
  <c r="IG194" i="2"/>
  <c r="HF194" i="2"/>
  <c r="HN194" i="2"/>
  <c r="HM194" i="2"/>
  <c r="HK194" i="2"/>
  <c r="HY194" i="2"/>
  <c r="HX194" i="2"/>
  <c r="IC194" i="2" s="1"/>
  <c r="HL194" i="2"/>
  <c r="IA194" i="2"/>
  <c r="HW194" i="2"/>
  <c r="HZ194" i="2"/>
  <c r="JR193" i="2"/>
  <c r="JU192" i="2"/>
  <c r="MY193" i="2"/>
  <c r="MY194" i="2" s="1"/>
  <c r="LJ193" i="2"/>
  <c r="LJ194" i="2" s="1"/>
  <c r="NT193" i="2"/>
  <c r="NT194" i="2" s="1"/>
  <c r="MC193" i="2"/>
  <c r="MF192" i="2"/>
  <c r="LH193" i="2"/>
  <c r="LK192" i="2"/>
  <c r="IB193" i="2"/>
  <c r="IE192" i="2"/>
  <c r="JT193" i="2"/>
  <c r="PI193" i="2"/>
  <c r="PL192" i="2"/>
  <c r="NS193" i="2"/>
  <c r="NV192" i="2"/>
  <c r="MX193" i="2"/>
  <c r="NA192" i="2"/>
  <c r="IX193" i="2"/>
  <c r="ON193" i="2"/>
  <c r="OQ192" i="2"/>
  <c r="ID193" i="2"/>
  <c r="ID194" i="2" s="1"/>
  <c r="IW193" i="2"/>
  <c r="IZ192" i="2"/>
  <c r="DI192" i="2"/>
  <c r="EY192" i="2"/>
  <c r="EB193" i="2"/>
  <c r="KO193" i="2"/>
  <c r="KM192" i="2"/>
  <c r="KP191" i="2"/>
  <c r="KN192" i="2"/>
  <c r="KN193" i="2" s="1"/>
  <c r="HI193" i="2"/>
  <c r="HG193" i="2"/>
  <c r="FQ193" i="2"/>
  <c r="EX193" i="2"/>
  <c r="EA193" i="2"/>
  <c r="FS193" i="2"/>
  <c r="EC193" i="2"/>
  <c r="GN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GJ194" i="2"/>
  <c r="GK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JT194" i="2" l="1"/>
  <c r="MD194" i="2"/>
  <c r="LI194" i="2"/>
  <c r="IX194" i="2"/>
  <c r="IY194" i="2"/>
  <c r="JS194" i="2"/>
  <c r="HH194" i="2"/>
  <c r="CN193" i="2"/>
  <c r="IW194" i="2"/>
  <c r="IZ193" i="2"/>
  <c r="ON194" i="2"/>
  <c r="OQ193" i="2"/>
  <c r="MX194" i="2"/>
  <c r="NA193" i="2"/>
  <c r="IB194" i="2"/>
  <c r="IE193" i="2"/>
  <c r="OP194" i="2"/>
  <c r="PJ194" i="2"/>
  <c r="LH194" i="2"/>
  <c r="LK193" i="2"/>
  <c r="MF193" i="2"/>
  <c r="MC194" i="2"/>
  <c r="HG194" i="2"/>
  <c r="JU193" i="2"/>
  <c r="JR194" i="2"/>
  <c r="KI195" i="2"/>
  <c r="KJ195" i="2"/>
  <c r="KH195" i="2"/>
  <c r="PD195" i="2"/>
  <c r="OT195" i="2"/>
  <c r="PG195" i="2"/>
  <c r="PF195" i="2"/>
  <c r="PE195" i="2"/>
  <c r="PK195" i="2" s="1"/>
  <c r="OU195" i="2"/>
  <c r="PH195" i="2"/>
  <c r="MI195" i="2"/>
  <c r="MJ195" i="2"/>
  <c r="OS195" i="2"/>
  <c r="OR195" i="2"/>
  <c r="OM195" i="2"/>
  <c r="OK195" i="2"/>
  <c r="OI195" i="2"/>
  <c r="OL195" i="2"/>
  <c r="OJ195" i="2"/>
  <c r="OO195" i="2" s="1"/>
  <c r="NZ195" i="2"/>
  <c r="NY195" i="2"/>
  <c r="NW195" i="2"/>
  <c r="NX195" i="2"/>
  <c r="NR195" i="2"/>
  <c r="NQ195" i="2"/>
  <c r="NO195" i="2"/>
  <c r="NU195" i="2" s="1"/>
  <c r="NC195" i="2"/>
  <c r="NN195" i="2"/>
  <c r="NP195" i="2"/>
  <c r="NE195" i="2"/>
  <c r="ND195" i="2"/>
  <c r="NB195" i="2"/>
  <c r="MW195" i="2"/>
  <c r="MS195" i="2"/>
  <c r="MV195" i="2"/>
  <c r="MH195" i="2"/>
  <c r="MU195" i="2"/>
  <c r="MT195" i="2"/>
  <c r="MY195" i="2" s="1"/>
  <c r="LY195" i="2"/>
  <c r="MB195" i="2"/>
  <c r="LX195" i="2"/>
  <c r="MA195" i="2"/>
  <c r="MG195" i="2"/>
  <c r="LZ195" i="2"/>
  <c r="LL195" i="2"/>
  <c r="LE195" i="2"/>
  <c r="JB195" i="2"/>
  <c r="LM195" i="2"/>
  <c r="LD195" i="2"/>
  <c r="KR195" i="2"/>
  <c r="LG195" i="2"/>
  <c r="LC195" i="2"/>
  <c r="LO195" i="2"/>
  <c r="LN195" i="2"/>
  <c r="LF195" i="2"/>
  <c r="KT195" i="2"/>
  <c r="KS195" i="2"/>
  <c r="JA195" i="2"/>
  <c r="KQ195" i="2"/>
  <c r="JO195" i="2"/>
  <c r="JD195" i="2"/>
  <c r="JV195" i="2"/>
  <c r="KL195" i="2"/>
  <c r="JY195" i="2"/>
  <c r="JX195" i="2"/>
  <c r="JN195" i="2"/>
  <c r="JW195" i="2"/>
  <c r="JQ195" i="2"/>
  <c r="KK195" i="2"/>
  <c r="JM195" i="2"/>
  <c r="JP195" i="2"/>
  <c r="JC195" i="2"/>
  <c r="IT195" i="2"/>
  <c r="IG195" i="2"/>
  <c r="HF195" i="2"/>
  <c r="IS195" i="2"/>
  <c r="IV195" i="2"/>
  <c r="IR195" i="2"/>
  <c r="II195" i="2"/>
  <c r="HD195" i="2"/>
  <c r="IU195" i="2"/>
  <c r="IH195" i="2"/>
  <c r="IF195" i="2"/>
  <c r="HE195" i="2"/>
  <c r="HZ195" i="2"/>
  <c r="HN195" i="2"/>
  <c r="HM195" i="2"/>
  <c r="HK195" i="2"/>
  <c r="HY195" i="2"/>
  <c r="HX195" i="2"/>
  <c r="HL195" i="2"/>
  <c r="IA195" i="2"/>
  <c r="HW195" i="2"/>
  <c r="NS194" i="2"/>
  <c r="NV193" i="2"/>
  <c r="PI194" i="2"/>
  <c r="PL193" i="2"/>
  <c r="NT195" i="2"/>
  <c r="ME194" i="2"/>
  <c r="ED193" i="2"/>
  <c r="EB194" i="2"/>
  <c r="EA194" i="2"/>
  <c r="KO194" i="2"/>
  <c r="KM193" i="2"/>
  <c r="KP192" i="2"/>
  <c r="HI194" i="2"/>
  <c r="FQ194" i="2"/>
  <c r="AW194" i="2"/>
  <c r="DI193" i="2"/>
  <c r="FS194" i="2"/>
  <c r="DF194" i="2"/>
  <c r="EX194" i="2"/>
  <c r="EC194" i="2"/>
  <c r="GN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GJ195" i="2"/>
  <c r="GK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ME195" i="2" l="1"/>
  <c r="LI195" i="2"/>
  <c r="MD195" i="2"/>
  <c r="JT195" i="2"/>
  <c r="IY195" i="2"/>
  <c r="IC195" i="2"/>
  <c r="HH195" i="2"/>
  <c r="NS195" i="2"/>
  <c r="NV194" i="2"/>
  <c r="IX195" i="2"/>
  <c r="OP195" i="2"/>
  <c r="MZ195" i="2"/>
  <c r="JS195" i="2"/>
  <c r="KI196" i="2"/>
  <c r="KH196" i="2"/>
  <c r="KJ196" i="2"/>
  <c r="PG196" i="2"/>
  <c r="OU196" i="2"/>
  <c r="PD196" i="2"/>
  <c r="PH196" i="2"/>
  <c r="MI196" i="2"/>
  <c r="OT196" i="2"/>
  <c r="PE196" i="2"/>
  <c r="PK196" i="2" s="1"/>
  <c r="PF196" i="2"/>
  <c r="MJ196" i="2"/>
  <c r="OS196" i="2"/>
  <c r="OM196" i="2"/>
  <c r="OR196" i="2"/>
  <c r="OL196" i="2"/>
  <c r="OK196" i="2"/>
  <c r="OJ196" i="2"/>
  <c r="OO196" i="2" s="1"/>
  <c r="OI196" i="2"/>
  <c r="NZ196" i="2"/>
  <c r="NY196" i="2"/>
  <c r="NW196" i="2"/>
  <c r="NX196" i="2"/>
  <c r="NR196" i="2"/>
  <c r="NO196" i="2"/>
  <c r="NU196" i="2" s="1"/>
  <c r="NC196" i="2"/>
  <c r="NQ196" i="2"/>
  <c r="NN196" i="2"/>
  <c r="NP196" i="2"/>
  <c r="NE196" i="2"/>
  <c r="ND196" i="2"/>
  <c r="NB196" i="2"/>
  <c r="MT196" i="2"/>
  <c r="MY196" i="2" s="1"/>
  <c r="MW196" i="2"/>
  <c r="MS196" i="2"/>
  <c r="MV196" i="2"/>
  <c r="MH196" i="2"/>
  <c r="MU196" i="2"/>
  <c r="MG196" i="2"/>
  <c r="LZ196" i="2"/>
  <c r="LY196" i="2"/>
  <c r="MB196" i="2"/>
  <c r="LX196" i="2"/>
  <c r="MA196" i="2"/>
  <c r="LO196" i="2"/>
  <c r="LN196" i="2"/>
  <c r="LF196" i="2"/>
  <c r="KT196" i="2"/>
  <c r="KS196" i="2"/>
  <c r="JA196" i="2"/>
  <c r="LL196" i="2"/>
  <c r="LE196" i="2"/>
  <c r="JB196" i="2"/>
  <c r="LM196" i="2"/>
  <c r="LD196" i="2"/>
  <c r="KR196" i="2"/>
  <c r="LG196" i="2"/>
  <c r="LC196" i="2"/>
  <c r="KK196" i="2"/>
  <c r="JM196" i="2"/>
  <c r="KQ196" i="2"/>
  <c r="JO196" i="2"/>
  <c r="JD196" i="2"/>
  <c r="JV196" i="2"/>
  <c r="KL196" i="2"/>
  <c r="JY196" i="2"/>
  <c r="JX196" i="2"/>
  <c r="JN196" i="2"/>
  <c r="JW196" i="2"/>
  <c r="JQ196" i="2"/>
  <c r="JP196" i="2"/>
  <c r="JC196" i="2"/>
  <c r="IU196" i="2"/>
  <c r="IH196" i="2"/>
  <c r="IF196" i="2"/>
  <c r="HE196" i="2"/>
  <c r="IT196" i="2"/>
  <c r="IG196" i="2"/>
  <c r="HF196" i="2"/>
  <c r="IS196" i="2"/>
  <c r="IV196" i="2"/>
  <c r="IR196" i="2"/>
  <c r="II196" i="2"/>
  <c r="HD196" i="2"/>
  <c r="HL196" i="2"/>
  <c r="IA196" i="2"/>
  <c r="HW196" i="2"/>
  <c r="HZ196" i="2"/>
  <c r="HN196" i="2"/>
  <c r="HM196" i="2"/>
  <c r="HK196" i="2"/>
  <c r="HY196" i="2"/>
  <c r="HX196" i="2"/>
  <c r="LJ195" i="2"/>
  <c r="LJ196" i="2" s="1"/>
  <c r="PJ195" i="2"/>
  <c r="PJ196" i="2" s="1"/>
  <c r="MX195" i="2"/>
  <c r="NA194" i="2"/>
  <c r="IW195" i="2"/>
  <c r="IZ194" i="2"/>
  <c r="PI195" i="2"/>
  <c r="PL194" i="2"/>
  <c r="LH195" i="2"/>
  <c r="LK194" i="2"/>
  <c r="ID195" i="2"/>
  <c r="ID196" i="2" s="1"/>
  <c r="HI195" i="2"/>
  <c r="JR195" i="2"/>
  <c r="JU194" i="2"/>
  <c r="MC195" i="2"/>
  <c r="MF194" i="2"/>
  <c r="IB195" i="2"/>
  <c r="IE194" i="2"/>
  <c r="ON195" i="2"/>
  <c r="OQ194" i="2"/>
  <c r="EY194" i="2"/>
  <c r="ED194" i="2"/>
  <c r="DH195" i="2"/>
  <c r="EB195" i="2"/>
  <c r="EA195" i="2"/>
  <c r="KO195" i="2"/>
  <c r="KM194" i="2"/>
  <c r="KP193" i="2"/>
  <c r="KN194" i="2"/>
  <c r="HG195" i="2"/>
  <c r="HG196" i="2" s="1"/>
  <c r="FQ195" i="2"/>
  <c r="EX195" i="2"/>
  <c r="AA195" i="2"/>
  <c r="AU195" i="2"/>
  <c r="FS195" i="2"/>
  <c r="EC195" i="2"/>
  <c r="GN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GK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JT196" i="2" l="1"/>
  <c r="ME196" i="2"/>
  <c r="LI196" i="2"/>
  <c r="IY196" i="2"/>
  <c r="IC196" i="2"/>
  <c r="HH196" i="2"/>
  <c r="LH196" i="2"/>
  <c r="LK195" i="2"/>
  <c r="MX196" i="2"/>
  <c r="NA195" i="2"/>
  <c r="JS196" i="2"/>
  <c r="OP196" i="2"/>
  <c r="IX196" i="2"/>
  <c r="NS196" i="2"/>
  <c r="NV195" i="2"/>
  <c r="MD196" i="2"/>
  <c r="ON196" i="2"/>
  <c r="OQ195" i="2"/>
  <c r="KJ197" i="2"/>
  <c r="KI197" i="2"/>
  <c r="KH197" i="2"/>
  <c r="OU197" i="2"/>
  <c r="PF197" i="2"/>
  <c r="PE197" i="2"/>
  <c r="PJ197" i="2" s="1"/>
  <c r="MJ197" i="2"/>
  <c r="PD197" i="2"/>
  <c r="PG197" i="2"/>
  <c r="PH197" i="2"/>
  <c r="MI197" i="2"/>
  <c r="OT197" i="2"/>
  <c r="OS197" i="2"/>
  <c r="OR197" i="2"/>
  <c r="OM197" i="2"/>
  <c r="OL197" i="2"/>
  <c r="OK197" i="2"/>
  <c r="OJ197" i="2"/>
  <c r="OO197" i="2" s="1"/>
  <c r="OI197" i="2"/>
  <c r="NX197" i="2"/>
  <c r="NR197" i="2"/>
  <c r="NZ197" i="2"/>
  <c r="NY197" i="2"/>
  <c r="NP197" i="2"/>
  <c r="NW197" i="2"/>
  <c r="NE197" i="2"/>
  <c r="ND197" i="2"/>
  <c r="NO197" i="2"/>
  <c r="NU197" i="2" s="1"/>
  <c r="NC197" i="2"/>
  <c r="NQ197" i="2"/>
  <c r="NN197" i="2"/>
  <c r="MU197" i="2"/>
  <c r="NB197" i="2"/>
  <c r="MT197" i="2"/>
  <c r="MY197" i="2" s="1"/>
  <c r="MW197" i="2"/>
  <c r="MS197" i="2"/>
  <c r="MV197" i="2"/>
  <c r="MA197" i="2"/>
  <c r="MG197" i="2"/>
  <c r="LZ197" i="2"/>
  <c r="MH197" i="2"/>
  <c r="LY197" i="2"/>
  <c r="MB197" i="2"/>
  <c r="LX197" i="2"/>
  <c r="LG197" i="2"/>
  <c r="LC197" i="2"/>
  <c r="LO197" i="2"/>
  <c r="LN197" i="2"/>
  <c r="LF197" i="2"/>
  <c r="KT197" i="2"/>
  <c r="KS197" i="2"/>
  <c r="JA197" i="2"/>
  <c r="LL197" i="2"/>
  <c r="LE197" i="2"/>
  <c r="JB197" i="2"/>
  <c r="LM197" i="2"/>
  <c r="LD197" i="2"/>
  <c r="KR197" i="2"/>
  <c r="KL197" i="2"/>
  <c r="JY197" i="2"/>
  <c r="JX197" i="2"/>
  <c r="JN197" i="2"/>
  <c r="JW197" i="2"/>
  <c r="JQ197" i="2"/>
  <c r="KK197" i="2"/>
  <c r="JM197" i="2"/>
  <c r="KQ197" i="2"/>
  <c r="JO197" i="2"/>
  <c r="JD197" i="2"/>
  <c r="JV197" i="2"/>
  <c r="IV197" i="2"/>
  <c r="IR197" i="2"/>
  <c r="II197" i="2"/>
  <c r="HD197" i="2"/>
  <c r="JP197" i="2"/>
  <c r="JC197" i="2"/>
  <c r="IU197" i="2"/>
  <c r="IH197" i="2"/>
  <c r="IF197" i="2"/>
  <c r="HE197" i="2"/>
  <c r="IT197" i="2"/>
  <c r="IG197" i="2"/>
  <c r="HF197" i="2"/>
  <c r="IS197" i="2"/>
  <c r="IY197" i="2" s="1"/>
  <c r="HX197" i="2"/>
  <c r="HL197" i="2"/>
  <c r="IA197" i="2"/>
  <c r="HW197" i="2"/>
  <c r="HZ197" i="2"/>
  <c r="HN197" i="2"/>
  <c r="HM197" i="2"/>
  <c r="HK197" i="2"/>
  <c r="HY197" i="2"/>
  <c r="JR196" i="2"/>
  <c r="JU195" i="2"/>
  <c r="IW196" i="2"/>
  <c r="IZ195" i="2"/>
  <c r="MZ196" i="2"/>
  <c r="MZ197" i="2" s="1"/>
  <c r="NT196" i="2"/>
  <c r="NT197" i="2" s="1"/>
  <c r="IB196" i="2"/>
  <c r="IE195" i="2"/>
  <c r="MC196" i="2"/>
  <c r="MF195" i="2"/>
  <c r="PI196" i="2"/>
  <c r="PL195" i="2"/>
  <c r="EY195" i="2"/>
  <c r="KM195" i="2"/>
  <c r="KP194" i="2"/>
  <c r="KO196" i="2"/>
  <c r="KN195" i="2"/>
  <c r="HI196" i="2"/>
  <c r="EW196" i="2"/>
  <c r="FS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GJ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LJ197" i="2" l="1"/>
  <c r="ME197" i="2"/>
  <c r="JT197" i="2"/>
  <c r="IC197" i="2"/>
  <c r="HI197" i="2"/>
  <c r="EY196" i="2"/>
  <c r="HH197" i="2"/>
  <c r="KJ198" i="2"/>
  <c r="KH198" i="2"/>
  <c r="KI198" i="2"/>
  <c r="OT198" i="2"/>
  <c r="PE198" i="2"/>
  <c r="PJ198" i="2" s="1"/>
  <c r="OU198" i="2"/>
  <c r="MJ198" i="2"/>
  <c r="PD198" i="2"/>
  <c r="PF198" i="2"/>
  <c r="PG198" i="2"/>
  <c r="PH198" i="2"/>
  <c r="MI198" i="2"/>
  <c r="OS198" i="2"/>
  <c r="OR198" i="2"/>
  <c r="OM198" i="2"/>
  <c r="OL198" i="2"/>
  <c r="OK198" i="2"/>
  <c r="OJ198" i="2"/>
  <c r="OO198" i="2" s="1"/>
  <c r="OI198" i="2"/>
  <c r="NZ198" i="2"/>
  <c r="NY198" i="2"/>
  <c r="NW198" i="2"/>
  <c r="NX198" i="2"/>
  <c r="NR198" i="2"/>
  <c r="NQ198" i="2"/>
  <c r="NP198" i="2"/>
  <c r="NN198" i="2"/>
  <c r="NE198" i="2"/>
  <c r="ND198" i="2"/>
  <c r="NB198" i="2"/>
  <c r="NO198" i="2"/>
  <c r="NU198" i="2" s="1"/>
  <c r="NC198" i="2"/>
  <c r="MV198" i="2"/>
  <c r="MU198" i="2"/>
  <c r="MT198" i="2"/>
  <c r="MY198" i="2" s="1"/>
  <c r="MW198" i="2"/>
  <c r="MB198" i="2"/>
  <c r="LX198" i="2"/>
  <c r="MA198" i="2"/>
  <c r="MS198" i="2"/>
  <c r="MG198" i="2"/>
  <c r="LZ198" i="2"/>
  <c r="MH198" i="2"/>
  <c r="LY198" i="2"/>
  <c r="LM198" i="2"/>
  <c r="LD198" i="2"/>
  <c r="KR198" i="2"/>
  <c r="LG198" i="2"/>
  <c r="LC198" i="2"/>
  <c r="LO198" i="2"/>
  <c r="LN198" i="2"/>
  <c r="LF198" i="2"/>
  <c r="KT198" i="2"/>
  <c r="KS198" i="2"/>
  <c r="JA198" i="2"/>
  <c r="LL198" i="2"/>
  <c r="LE198" i="2"/>
  <c r="JB198" i="2"/>
  <c r="JO198" i="2"/>
  <c r="JD198" i="2"/>
  <c r="JV198" i="2"/>
  <c r="KL198" i="2"/>
  <c r="JY198" i="2"/>
  <c r="JX198" i="2"/>
  <c r="JN198" i="2"/>
  <c r="JW198" i="2"/>
  <c r="JQ198" i="2"/>
  <c r="KK198" i="2"/>
  <c r="JM198" i="2"/>
  <c r="JP198" i="2"/>
  <c r="JC198" i="2"/>
  <c r="KQ198" i="2"/>
  <c r="IS198" i="2"/>
  <c r="IV198" i="2"/>
  <c r="IR198" i="2"/>
  <c r="II198" i="2"/>
  <c r="HD198" i="2"/>
  <c r="IU198" i="2"/>
  <c r="IH198" i="2"/>
  <c r="IF198" i="2"/>
  <c r="HE198" i="2"/>
  <c r="IT198" i="2"/>
  <c r="IG198" i="2"/>
  <c r="HF198" i="2"/>
  <c r="HN198" i="2"/>
  <c r="HM198" i="2"/>
  <c r="HK198" i="2"/>
  <c r="HY198" i="2"/>
  <c r="HX198" i="2"/>
  <c r="IC198" i="2" s="1"/>
  <c r="HL198" i="2"/>
  <c r="IA198" i="2"/>
  <c r="HW198" i="2"/>
  <c r="HZ198" i="2"/>
  <c r="PI197" i="2"/>
  <c r="PL196" i="2"/>
  <c r="IB197" i="2"/>
  <c r="IE196" i="2"/>
  <c r="ON197" i="2"/>
  <c r="OQ196" i="2"/>
  <c r="OP197" i="2"/>
  <c r="OP198" i="2" s="1"/>
  <c r="MX197" i="2"/>
  <c r="NA196" i="2"/>
  <c r="LI197" i="2"/>
  <c r="PK197" i="2"/>
  <c r="PK198" i="2" s="1"/>
  <c r="JU196" i="2"/>
  <c r="JR197" i="2"/>
  <c r="MD197" i="2"/>
  <c r="NS197" i="2"/>
  <c r="NV196" i="2"/>
  <c r="MC197" i="2"/>
  <c r="MF196" i="2"/>
  <c r="IX197" i="2"/>
  <c r="IX198" i="2" s="1"/>
  <c r="JS197" i="2"/>
  <c r="LH197" i="2"/>
  <c r="LK196" i="2"/>
  <c r="MZ198" i="2"/>
  <c r="IW197" i="2"/>
  <c r="IZ196" i="2"/>
  <c r="ID197" i="2"/>
  <c r="KO197" i="2"/>
  <c r="KM196" i="2"/>
  <c r="KP195" i="2"/>
  <c r="KN196" i="2"/>
  <c r="KN197" i="2" s="1"/>
  <c r="HG197" i="2"/>
  <c r="AA197" i="2"/>
  <c r="FS197" i="2"/>
  <c r="EW197" i="2"/>
  <c r="EC197" i="2"/>
  <c r="EA197" i="2"/>
  <c r="EX197" i="2"/>
  <c r="EB197" i="2"/>
  <c r="ED196" i="2"/>
  <c r="DF197" i="2"/>
  <c r="FQ197" i="2"/>
  <c r="EV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GJ198" i="2"/>
  <c r="GK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LI198" i="2" l="1"/>
  <c r="JS198" i="2"/>
  <c r="JT198" i="2"/>
  <c r="ME198" i="2"/>
  <c r="LJ198" i="2"/>
  <c r="MD198" i="2"/>
  <c r="IY198" i="2"/>
  <c r="ID198" i="2"/>
  <c r="HH198" i="2"/>
  <c r="HG198" i="2"/>
  <c r="NS198" i="2"/>
  <c r="NV197" i="2"/>
  <c r="JR198" i="2"/>
  <c r="JU197" i="2"/>
  <c r="IW198" i="2"/>
  <c r="IZ197" i="2"/>
  <c r="LH198" i="2"/>
  <c r="LK197" i="2"/>
  <c r="MF197" i="2"/>
  <c r="MC198" i="2"/>
  <c r="NT198" i="2"/>
  <c r="PI198" i="2"/>
  <c r="PL197" i="2"/>
  <c r="KJ199" i="2"/>
  <c r="KH199" i="2"/>
  <c r="KI199" i="2"/>
  <c r="PD199" i="2"/>
  <c r="PF199" i="2"/>
  <c r="PE199" i="2"/>
  <c r="PJ199" i="2" s="1"/>
  <c r="MJ199" i="2"/>
  <c r="OT199" i="2"/>
  <c r="OU199" i="2"/>
  <c r="PG199" i="2"/>
  <c r="PH199" i="2"/>
  <c r="MI199" i="2"/>
  <c r="OS199" i="2"/>
  <c r="OR199" i="2"/>
  <c r="OM199" i="2"/>
  <c r="OK199" i="2"/>
  <c r="OL199" i="2"/>
  <c r="OI199" i="2"/>
  <c r="OJ199" i="2"/>
  <c r="OO199" i="2" s="1"/>
  <c r="NZ199" i="2"/>
  <c r="NY199" i="2"/>
  <c r="NW199" i="2"/>
  <c r="NX199" i="2"/>
  <c r="NR199" i="2"/>
  <c r="NQ199" i="2"/>
  <c r="NP199" i="2"/>
  <c r="NO199" i="2"/>
  <c r="NU199" i="2" s="1"/>
  <c r="NC199" i="2"/>
  <c r="NN199" i="2"/>
  <c r="NE199" i="2"/>
  <c r="ND199" i="2"/>
  <c r="NB199" i="2"/>
  <c r="MW199" i="2"/>
  <c r="MS199" i="2"/>
  <c r="MV199" i="2"/>
  <c r="MH199" i="2"/>
  <c r="MU199" i="2"/>
  <c r="MT199" i="2"/>
  <c r="MY199" i="2" s="1"/>
  <c r="LY199" i="2"/>
  <c r="MB199" i="2"/>
  <c r="LX199" i="2"/>
  <c r="MA199" i="2"/>
  <c r="MG199" i="2"/>
  <c r="LZ199" i="2"/>
  <c r="LL199" i="2"/>
  <c r="LE199" i="2"/>
  <c r="JB199" i="2"/>
  <c r="LM199" i="2"/>
  <c r="LD199" i="2"/>
  <c r="KR199" i="2"/>
  <c r="LG199" i="2"/>
  <c r="LC199" i="2"/>
  <c r="LO199" i="2"/>
  <c r="LN199" i="2"/>
  <c r="LF199" i="2"/>
  <c r="KT199" i="2"/>
  <c r="KS199" i="2"/>
  <c r="JA199" i="2"/>
  <c r="KQ199" i="2"/>
  <c r="JO199" i="2"/>
  <c r="JD199" i="2"/>
  <c r="JV199" i="2"/>
  <c r="KL199" i="2"/>
  <c r="JY199" i="2"/>
  <c r="JX199" i="2"/>
  <c r="JN199" i="2"/>
  <c r="JW199" i="2"/>
  <c r="JQ199" i="2"/>
  <c r="KK199" i="2"/>
  <c r="JM199" i="2"/>
  <c r="JP199" i="2"/>
  <c r="JC199" i="2"/>
  <c r="IT199" i="2"/>
  <c r="IG199" i="2"/>
  <c r="HF199" i="2"/>
  <c r="IS199" i="2"/>
  <c r="IV199" i="2"/>
  <c r="IR199" i="2"/>
  <c r="II199" i="2"/>
  <c r="HD199" i="2"/>
  <c r="IU199" i="2"/>
  <c r="IH199" i="2"/>
  <c r="IF199" i="2"/>
  <c r="HE199" i="2"/>
  <c r="HZ199" i="2"/>
  <c r="HN199" i="2"/>
  <c r="HM199" i="2"/>
  <c r="HK199" i="2"/>
  <c r="HY199" i="2"/>
  <c r="HX199" i="2"/>
  <c r="IC199" i="2" s="1"/>
  <c r="HL199" i="2"/>
  <c r="IA199" i="2"/>
  <c r="HW199" i="2"/>
  <c r="OP199" i="2"/>
  <c r="ON198" i="2"/>
  <c r="OQ197" i="2"/>
  <c r="PK199" i="2"/>
  <c r="MX198" i="2"/>
  <c r="NA197" i="2"/>
  <c r="IB198" i="2"/>
  <c r="IE197" i="2"/>
  <c r="ED197" i="2"/>
  <c r="EW198" i="2"/>
  <c r="KM197" i="2"/>
  <c r="KP196" i="2"/>
  <c r="KO198" i="2"/>
  <c r="HI198" i="2"/>
  <c r="EV198" i="2"/>
  <c r="FS198" i="2"/>
  <c r="EX198" i="2"/>
  <c r="EC198" i="2"/>
  <c r="FQ198" i="2"/>
  <c r="GN198" i="2"/>
  <c r="AC197" i="2"/>
  <c r="Z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GJ199" i="2"/>
  <c r="GK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JT199" i="2" l="1"/>
  <c r="LJ199" i="2"/>
  <c r="MD199" i="2"/>
  <c r="IY199" i="2"/>
  <c r="IX199" i="2"/>
  <c r="HH199" i="2"/>
  <c r="NT199" i="2"/>
  <c r="IW199" i="2"/>
  <c r="IZ198" i="2"/>
  <c r="NS199" i="2"/>
  <c r="NV198" i="2"/>
  <c r="ME199" i="2"/>
  <c r="MX199" i="2"/>
  <c r="NA198" i="2"/>
  <c r="LI199" i="2"/>
  <c r="ID199" i="2"/>
  <c r="JS199" i="2"/>
  <c r="KI200" i="2"/>
  <c r="KH200" i="2"/>
  <c r="KJ200" i="2"/>
  <c r="PG200" i="2"/>
  <c r="OT200" i="2"/>
  <c r="PH200" i="2"/>
  <c r="MI200" i="2"/>
  <c r="PF200" i="2"/>
  <c r="PE200" i="2"/>
  <c r="PJ200" i="2" s="1"/>
  <c r="MJ200" i="2"/>
  <c r="OU200" i="2"/>
  <c r="PD200" i="2"/>
  <c r="OS200" i="2"/>
  <c r="OM200" i="2"/>
  <c r="OR200" i="2"/>
  <c r="OL200" i="2"/>
  <c r="OK200" i="2"/>
  <c r="OJ200" i="2"/>
  <c r="OO200" i="2" s="1"/>
  <c r="OI200" i="2"/>
  <c r="NZ200" i="2"/>
  <c r="NY200" i="2"/>
  <c r="NW200" i="2"/>
  <c r="NX200" i="2"/>
  <c r="NR200" i="2"/>
  <c r="NQ200" i="2"/>
  <c r="NP200" i="2"/>
  <c r="NO200" i="2"/>
  <c r="NU200" i="2" s="1"/>
  <c r="NC200" i="2"/>
  <c r="NN200" i="2"/>
  <c r="NE200" i="2"/>
  <c r="ND200" i="2"/>
  <c r="MT200" i="2"/>
  <c r="MY200" i="2" s="1"/>
  <c r="MW200" i="2"/>
  <c r="MS200" i="2"/>
  <c r="NB200" i="2"/>
  <c r="MV200" i="2"/>
  <c r="MH200" i="2"/>
  <c r="MU200" i="2"/>
  <c r="MG200" i="2"/>
  <c r="LZ200" i="2"/>
  <c r="LY200" i="2"/>
  <c r="MB200" i="2"/>
  <c r="LX200" i="2"/>
  <c r="MA200" i="2"/>
  <c r="LO200" i="2"/>
  <c r="LN200" i="2"/>
  <c r="LF200" i="2"/>
  <c r="KT200" i="2"/>
  <c r="KS200" i="2"/>
  <c r="JA200" i="2"/>
  <c r="LL200" i="2"/>
  <c r="LE200" i="2"/>
  <c r="JB200" i="2"/>
  <c r="LM200" i="2"/>
  <c r="LD200" i="2"/>
  <c r="LJ200" i="2" s="1"/>
  <c r="KR200" i="2"/>
  <c r="LG200" i="2"/>
  <c r="LC200" i="2"/>
  <c r="KK200" i="2"/>
  <c r="JM200" i="2"/>
  <c r="KQ200" i="2"/>
  <c r="JO200" i="2"/>
  <c r="JD200" i="2"/>
  <c r="JV200" i="2"/>
  <c r="KL200" i="2"/>
  <c r="JY200" i="2"/>
  <c r="JX200" i="2"/>
  <c r="JN200" i="2"/>
  <c r="JW200" i="2"/>
  <c r="JQ200" i="2"/>
  <c r="IU200" i="2"/>
  <c r="IH200" i="2"/>
  <c r="IF200" i="2"/>
  <c r="HE200" i="2"/>
  <c r="IT200" i="2"/>
  <c r="IG200" i="2"/>
  <c r="HF200" i="2"/>
  <c r="JP200" i="2"/>
  <c r="JC200" i="2"/>
  <c r="IS200" i="2"/>
  <c r="IV200" i="2"/>
  <c r="IR200" i="2"/>
  <c r="II200" i="2"/>
  <c r="HD200" i="2"/>
  <c r="HL200" i="2"/>
  <c r="IA200" i="2"/>
  <c r="HW200" i="2"/>
  <c r="HZ200" i="2"/>
  <c r="HN200" i="2"/>
  <c r="HM200" i="2"/>
  <c r="HK200" i="2"/>
  <c r="HY200" i="2"/>
  <c r="HX200" i="2"/>
  <c r="IC200" i="2" s="1"/>
  <c r="PK200" i="2"/>
  <c r="JZ4" i="2" a="1"/>
  <c r="JZ4" i="2" s="1"/>
  <c r="KA4" i="2" s="1"/>
  <c r="KU4" i="2" a="1"/>
  <c r="KU4" i="2" s="1"/>
  <c r="KV4" i="2" s="1"/>
  <c r="OA4" i="2" a="1"/>
  <c r="OA4" i="2" s="1"/>
  <c r="OB4" i="2" s="1"/>
  <c r="LH199" i="2"/>
  <c r="LK198" i="2"/>
  <c r="JU198" i="2"/>
  <c r="JR199" i="2"/>
  <c r="MZ199" i="2"/>
  <c r="MZ200" i="2" s="1"/>
  <c r="IB199" i="2"/>
  <c r="IE198" i="2"/>
  <c r="ON199" i="2"/>
  <c r="OQ198" i="2"/>
  <c r="IJ4" i="2" a="1"/>
  <c r="IJ4" i="2" s="1"/>
  <c r="IK4" i="2" s="1"/>
  <c r="MK4" i="2" a="1"/>
  <c r="MK4" i="2" s="1"/>
  <c r="ML4" i="2" s="1"/>
  <c r="PI199" i="2"/>
  <c r="PL198" i="2"/>
  <c r="MF198" i="2"/>
  <c r="MC199" i="2"/>
  <c r="EY198" i="2"/>
  <c r="HI199" i="2"/>
  <c r="KM198" i="2"/>
  <c r="KP197" i="2"/>
  <c r="KO199" i="2"/>
  <c r="KN198" i="2"/>
  <c r="HG199" i="2"/>
  <c r="FS199" i="2"/>
  <c r="EB199" i="2"/>
  <c r="EA199" i="2"/>
  <c r="EV199" i="2"/>
  <c r="EW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GK200" i="2"/>
  <c r="FW200" i="2"/>
  <c r="GR200" i="2"/>
  <c r="GS200" i="2"/>
  <c r="GT4" i="2" s="1" a="1"/>
  <c r="GT4" i="2" s="1"/>
  <c r="GU4" i="2" s="1"/>
  <c r="GV4" i="2" s="1"/>
  <c r="GG200" i="2"/>
  <c r="HB200" i="2"/>
  <c r="GH200" i="2"/>
  <c r="HC200" i="2"/>
  <c r="GI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AA199" i="2"/>
  <c r="AX197" i="2"/>
  <c r="MD200" i="2" l="1"/>
  <c r="JT200" i="2"/>
  <c r="IX200" i="2"/>
  <c r="IY200" i="2"/>
  <c r="HH200" i="2"/>
  <c r="ON200" i="2"/>
  <c r="OQ199" i="2"/>
  <c r="LP4" i="2" a="1"/>
  <c r="LP4" i="2" s="1"/>
  <c r="LQ4" i="2" s="1"/>
  <c r="MX200" i="2"/>
  <c r="NA199" i="2"/>
  <c r="NT200" i="2"/>
  <c r="HO4" i="2" a="1"/>
  <c r="HO4" i="2" s="1"/>
  <c r="HP4" i="2" s="1"/>
  <c r="MM4" i="2"/>
  <c r="MN4" i="2" s="1"/>
  <c r="MO4" i="2" s="1"/>
  <c r="MP4" i="2" s="1"/>
  <c r="KW4" i="2"/>
  <c r="KX4" i="2" s="1"/>
  <c r="KY4" i="2" s="1"/>
  <c r="KZ4" i="2" s="1"/>
  <c r="KB4" i="2"/>
  <c r="KC4" i="2" s="1"/>
  <c r="KD4" i="2" s="1"/>
  <c r="KE4" i="2" s="1"/>
  <c r="JS200" i="2"/>
  <c r="ME200" i="2"/>
  <c r="EX200" i="2"/>
  <c r="JU199" i="2"/>
  <c r="JR200" i="2"/>
  <c r="LH200" i="2"/>
  <c r="LK199" i="2"/>
  <c r="OC4" i="2"/>
  <c r="OD4" i="2" s="1"/>
  <c r="OE4" i="2" s="1"/>
  <c r="OF4" i="2" s="1"/>
  <c r="ID200" i="2"/>
  <c r="NF4" i="2" a="1"/>
  <c r="NF4" i="2" s="1"/>
  <c r="NG4" i="2" s="1"/>
  <c r="OP200" i="2"/>
  <c r="MF199" i="2"/>
  <c r="MC200" i="2"/>
  <c r="KJ201" i="2"/>
  <c r="KI201" i="2"/>
  <c r="KH201" i="2"/>
  <c r="OU201" i="2"/>
  <c r="PF201" i="2"/>
  <c r="PD201" i="2"/>
  <c r="PG201" i="2"/>
  <c r="MJ201" i="2"/>
  <c r="OT201" i="2"/>
  <c r="PH201" i="2"/>
  <c r="MI201" i="2"/>
  <c r="PE201" i="2"/>
  <c r="PJ201" i="2" s="1"/>
  <c r="OS201" i="2"/>
  <c r="OR201" i="2"/>
  <c r="OM201" i="2"/>
  <c r="OL201" i="2"/>
  <c r="OK201" i="2"/>
  <c r="OJ201" i="2"/>
  <c r="OO201" i="2" s="1"/>
  <c r="OI201" i="2"/>
  <c r="NX201" i="2"/>
  <c r="NR201" i="2"/>
  <c r="NP201" i="2"/>
  <c r="NZ201" i="2"/>
  <c r="NY201" i="2"/>
  <c r="NW201" i="2"/>
  <c r="NE201" i="2"/>
  <c r="ND201" i="2"/>
  <c r="NQ201" i="2"/>
  <c r="NO201" i="2"/>
  <c r="NU201" i="2" s="1"/>
  <c r="NC201" i="2"/>
  <c r="NN201" i="2"/>
  <c r="MU201" i="2"/>
  <c r="MT201" i="2"/>
  <c r="MY201" i="2" s="1"/>
  <c r="MW201" i="2"/>
  <c r="MS201" i="2"/>
  <c r="NB201" i="2"/>
  <c r="MV201" i="2"/>
  <c r="MH201" i="2"/>
  <c r="MA201" i="2"/>
  <c r="MG201" i="2"/>
  <c r="LZ201" i="2"/>
  <c r="LY201" i="2"/>
  <c r="MB201" i="2"/>
  <c r="LX201" i="2"/>
  <c r="LG201" i="2"/>
  <c r="LC201" i="2"/>
  <c r="LO201" i="2"/>
  <c r="LN201" i="2"/>
  <c r="LF201" i="2"/>
  <c r="KT201" i="2"/>
  <c r="KS201" i="2"/>
  <c r="JA201" i="2"/>
  <c r="LL201" i="2"/>
  <c r="LE201" i="2"/>
  <c r="JB201" i="2"/>
  <c r="LM201" i="2"/>
  <c r="LD201" i="2"/>
  <c r="LJ201" i="2" s="1"/>
  <c r="KR201" i="2"/>
  <c r="KL201" i="2"/>
  <c r="JY201" i="2"/>
  <c r="JX201" i="2"/>
  <c r="JN201" i="2"/>
  <c r="JW201" i="2"/>
  <c r="JQ201" i="2"/>
  <c r="KK201" i="2"/>
  <c r="JM201" i="2"/>
  <c r="KQ201" i="2"/>
  <c r="JO201" i="2"/>
  <c r="JD201" i="2"/>
  <c r="JV201" i="2"/>
  <c r="IV201" i="2"/>
  <c r="IR201" i="2"/>
  <c r="II201" i="2"/>
  <c r="HD201" i="2"/>
  <c r="IU201" i="2"/>
  <c r="IH201" i="2"/>
  <c r="IF201" i="2"/>
  <c r="HE201" i="2"/>
  <c r="IT201" i="2"/>
  <c r="IG201" i="2"/>
  <c r="HF201" i="2"/>
  <c r="JP201" i="2"/>
  <c r="JC201" i="2"/>
  <c r="IS201" i="2"/>
  <c r="IY201" i="2" s="1"/>
  <c r="HX201" i="2"/>
  <c r="HL201" i="2"/>
  <c r="IA201" i="2"/>
  <c r="HW201" i="2"/>
  <c r="HZ201" i="2"/>
  <c r="HN201" i="2"/>
  <c r="HM201" i="2"/>
  <c r="HK201" i="2"/>
  <c r="HY201" i="2"/>
  <c r="PI200" i="2"/>
  <c r="PL199" i="2"/>
  <c r="IL4" i="2"/>
  <c r="IM4" i="2" s="1"/>
  <c r="IN4" i="2" s="1"/>
  <c r="IO4" i="2" s="1"/>
  <c r="IB200" i="2"/>
  <c r="IE199" i="2"/>
  <c r="JZ5" i="2" a="1"/>
  <c r="JZ5" i="2" s="1"/>
  <c r="KA5" i="2" s="1"/>
  <c r="LI200" i="2"/>
  <c r="OV4" i="2" a="1"/>
  <c r="OV4" i="2" s="1"/>
  <c r="OW4" i="2" s="1"/>
  <c r="JE4" i="2" a="1"/>
  <c r="JE4" i="2" s="1"/>
  <c r="JF4" i="2" s="1"/>
  <c r="JG4" i="2" s="1"/>
  <c r="JH4" i="2" s="1"/>
  <c r="JI4" i="2" s="1"/>
  <c r="JJ4" i="2" s="1"/>
  <c r="NS200" i="2"/>
  <c r="NV199" i="2"/>
  <c r="IW200" i="2"/>
  <c r="IZ199" i="2"/>
  <c r="KO200" i="2"/>
  <c r="KM199" i="2"/>
  <c r="KP198" i="2"/>
  <c r="KN199" i="2"/>
  <c r="KN200" i="2" s="1"/>
  <c r="HG200" i="2"/>
  <c r="HI200" i="2"/>
  <c r="HJ199" i="2"/>
  <c r="EW200" i="2"/>
  <c r="FS200" i="2"/>
  <c r="EC200" i="2"/>
  <c r="GN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W4" i="2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FW201" i="2"/>
  <c r="GR201" i="2"/>
  <c r="FX201" i="2"/>
  <c r="GS201" i="2"/>
  <c r="HB201" i="2"/>
  <c r="GH201" i="2"/>
  <c r="HC201" i="2"/>
  <c r="GI201" i="2"/>
  <c r="GJ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LI201" i="2" l="1"/>
  <c r="MD201" i="2"/>
  <c r="JT201" i="2"/>
  <c r="IC201" i="2"/>
  <c r="EY200" i="2"/>
  <c r="ED200" i="2"/>
  <c r="HH201" i="2"/>
  <c r="KB5" i="2"/>
  <c r="KC5" i="2" s="1"/>
  <c r="KD5" i="2" s="1"/>
  <c r="KE5" i="2" s="1"/>
  <c r="MK5" i="2" a="1"/>
  <c r="MK5" i="2" s="1"/>
  <c r="ML5" i="2" s="1"/>
  <c r="MC201" i="2"/>
  <c r="MF200" i="2"/>
  <c r="LH201" i="2"/>
  <c r="LK200" i="2"/>
  <c r="LP5" i="2" a="1"/>
  <c r="LP5" i="2" s="1"/>
  <c r="LQ5" i="2" s="1"/>
  <c r="JS201" i="2"/>
  <c r="PK201" i="2"/>
  <c r="LR4" i="2"/>
  <c r="LS4" i="2" s="1"/>
  <c r="LT4" i="2" s="1"/>
  <c r="LU4" i="2" s="1"/>
  <c r="NS201" i="2"/>
  <c r="NV200" i="2"/>
  <c r="OA5" i="2" a="1"/>
  <c r="OA5" i="2" s="1"/>
  <c r="OB5" i="2" s="1"/>
  <c r="JR201" i="2"/>
  <c r="JU200" i="2"/>
  <c r="NF5" i="2" a="1"/>
  <c r="NF5" i="2" s="1"/>
  <c r="MZ201" i="2"/>
  <c r="HQ4" i="2"/>
  <c r="HR4" i="2" s="1"/>
  <c r="HS4" i="2" s="1"/>
  <c r="HT4" i="2" s="1"/>
  <c r="NT201" i="2"/>
  <c r="MX201" i="2"/>
  <c r="NA200" i="2"/>
  <c r="KJ202" i="2"/>
  <c r="KI202" i="2"/>
  <c r="KH202" i="2"/>
  <c r="OT202" i="2"/>
  <c r="PE202" i="2"/>
  <c r="PJ202" i="2" s="1"/>
  <c r="OU202" i="2"/>
  <c r="PD202" i="2"/>
  <c r="PG202" i="2"/>
  <c r="PH202" i="2"/>
  <c r="MI202" i="2"/>
  <c r="PF202" i="2"/>
  <c r="MJ202" i="2"/>
  <c r="OS202" i="2"/>
  <c r="OR202" i="2"/>
  <c r="OM202" i="2"/>
  <c r="OL202" i="2"/>
  <c r="OK202" i="2"/>
  <c r="OI202" i="2"/>
  <c r="OJ202" i="2"/>
  <c r="OO202" i="2" s="1"/>
  <c r="NZ202" i="2"/>
  <c r="NY202" i="2"/>
  <c r="NW202" i="2"/>
  <c r="NX202" i="2"/>
  <c r="NR202" i="2"/>
  <c r="NQ202" i="2"/>
  <c r="NP202" i="2"/>
  <c r="NN202" i="2"/>
  <c r="NE202" i="2"/>
  <c r="ND202" i="2"/>
  <c r="NB202" i="2"/>
  <c r="NO202" i="2"/>
  <c r="NU202" i="2" s="1"/>
  <c r="NC202" i="2"/>
  <c r="MV202" i="2"/>
  <c r="MU202" i="2"/>
  <c r="MT202" i="2"/>
  <c r="MY202" i="2" s="1"/>
  <c r="MW202" i="2"/>
  <c r="MB202" i="2"/>
  <c r="LX202" i="2"/>
  <c r="MH202" i="2"/>
  <c r="MA202" i="2"/>
  <c r="MG202" i="2"/>
  <c r="LZ202" i="2"/>
  <c r="MS202" i="2"/>
  <c r="LY202" i="2"/>
  <c r="LM202" i="2"/>
  <c r="LD202" i="2"/>
  <c r="KR202" i="2"/>
  <c r="LG202" i="2"/>
  <c r="LC202" i="2"/>
  <c r="LO202" i="2"/>
  <c r="LN202" i="2"/>
  <c r="LF202" i="2"/>
  <c r="KT202" i="2"/>
  <c r="KS202" i="2"/>
  <c r="JA202" i="2"/>
  <c r="LL202" i="2"/>
  <c r="LE202" i="2"/>
  <c r="JB202" i="2"/>
  <c r="JO202" i="2"/>
  <c r="JD202" i="2"/>
  <c r="JV202" i="2"/>
  <c r="KL202" i="2"/>
  <c r="JY202" i="2"/>
  <c r="JX202" i="2"/>
  <c r="JN202" i="2"/>
  <c r="JW202" i="2"/>
  <c r="JQ202" i="2"/>
  <c r="KK202" i="2"/>
  <c r="JM202" i="2"/>
  <c r="JP202" i="2"/>
  <c r="JC202" i="2"/>
  <c r="KQ202" i="2"/>
  <c r="IS202" i="2"/>
  <c r="IV202" i="2"/>
  <c r="IR202" i="2"/>
  <c r="II202" i="2"/>
  <c r="HD202" i="2"/>
  <c r="IU202" i="2"/>
  <c r="IH202" i="2"/>
  <c r="IF202" i="2"/>
  <c r="HE202" i="2"/>
  <c r="IT202" i="2"/>
  <c r="IG202" i="2"/>
  <c r="HF202" i="2"/>
  <c r="HN202" i="2"/>
  <c r="HM202" i="2"/>
  <c r="HK202" i="2"/>
  <c r="HY202" i="2"/>
  <c r="HX202" i="2"/>
  <c r="HL202" i="2"/>
  <c r="IA202" i="2"/>
  <c r="HW202" i="2"/>
  <c r="HZ202" i="2"/>
  <c r="IW201" i="2"/>
  <c r="IZ200" i="2"/>
  <c r="OX4" i="2"/>
  <c r="OY4" i="2" s="1"/>
  <c r="OZ4" i="2" s="1"/>
  <c r="PA4" i="2" s="1"/>
  <c r="IB201" i="2"/>
  <c r="IE200" i="2"/>
  <c r="PI201" i="2"/>
  <c r="PL200" i="2"/>
  <c r="KU6" i="2" a="1"/>
  <c r="KU6" i="2" s="1"/>
  <c r="KU5" i="2" a="1"/>
  <c r="KU5" i="2" s="1"/>
  <c r="KV5" i="2" s="1"/>
  <c r="NH4" i="2"/>
  <c r="NI4" i="2" s="1"/>
  <c r="NJ4" i="2" s="1"/>
  <c r="NK4" i="2" s="1"/>
  <c r="NG5" i="2"/>
  <c r="ID201" i="2"/>
  <c r="ID202" i="2" s="1"/>
  <c r="HO5" i="2" a="1"/>
  <c r="HO5" i="2" s="1"/>
  <c r="HP5" i="2" s="1"/>
  <c r="IX201" i="2"/>
  <c r="LP6" i="2" a="1"/>
  <c r="LP6" i="2" s="1"/>
  <c r="OV5" i="2" a="1"/>
  <c r="OV5" i="2" s="1"/>
  <c r="OW5" i="2" s="1"/>
  <c r="ON201" i="2"/>
  <c r="OQ200" i="2"/>
  <c r="IJ5" i="2" a="1"/>
  <c r="IJ5" i="2" s="1"/>
  <c r="IK5" i="2" s="1"/>
  <c r="IJ6" i="2" a="1"/>
  <c r="IJ6" i="2" s="1"/>
  <c r="OP201" i="2"/>
  <c r="OP202" i="2" s="1"/>
  <c r="JE5" i="2" a="1"/>
  <c r="JE5" i="2" s="1"/>
  <c r="JF5" i="2" s="1"/>
  <c r="HO6" i="2" a="1"/>
  <c r="HO6" i="2" s="1"/>
  <c r="ME201" i="2"/>
  <c r="ME202" i="2" s="1"/>
  <c r="NF6" i="2" a="1"/>
  <c r="NF6" i="2" s="1"/>
  <c r="DI200" i="2"/>
  <c r="KM200" i="2"/>
  <c r="KP199" i="2"/>
  <c r="KO201" i="2"/>
  <c r="HI201" i="2"/>
  <c r="HG201" i="2"/>
  <c r="HJ200" i="2"/>
  <c r="EA201" i="2"/>
  <c r="FS201" i="2"/>
  <c r="EB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GV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GK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LJ202" i="2" l="1"/>
  <c r="MD202" i="2"/>
  <c r="JT202" i="2"/>
  <c r="IY202" i="2"/>
  <c r="IX202" i="2"/>
  <c r="IC202" i="2"/>
  <c r="HH202" i="2"/>
  <c r="HP6" i="2"/>
  <c r="HQ5" i="2"/>
  <c r="HR5" i="2" s="1"/>
  <c r="HS5" i="2" s="1"/>
  <c r="HT5" i="2" s="1"/>
  <c r="OX5" i="2"/>
  <c r="OY5" i="2" s="1"/>
  <c r="OZ5" i="2" s="1"/>
  <c r="PA5" i="2" s="1"/>
  <c r="KW5" i="2"/>
  <c r="KX5" i="2" s="1"/>
  <c r="KY5" i="2" s="1"/>
  <c r="KZ5" i="2" s="1"/>
  <c r="KV6" i="2"/>
  <c r="PI202" i="2"/>
  <c r="PL201" i="2"/>
  <c r="NT202" i="2"/>
  <c r="JE6" i="2" a="1"/>
  <c r="JE6" i="2" s="1"/>
  <c r="JF6" i="2" s="1"/>
  <c r="NS202" i="2"/>
  <c r="NV201" i="2"/>
  <c r="PK202" i="2"/>
  <c r="MF201" i="2"/>
  <c r="MC202" i="2"/>
  <c r="MM5" i="2"/>
  <c r="MN5" i="2" s="1"/>
  <c r="MO5" i="2" s="1"/>
  <c r="MP5" i="2" s="1"/>
  <c r="JZ6" i="2" a="1"/>
  <c r="JZ6" i="2" s="1"/>
  <c r="KA6" i="2" s="1"/>
  <c r="JR202" i="2"/>
  <c r="JU201" i="2"/>
  <c r="JS202" i="2"/>
  <c r="KJ203" i="2"/>
  <c r="KI203" i="2"/>
  <c r="KH203" i="2"/>
  <c r="PD203" i="2"/>
  <c r="PE203" i="2"/>
  <c r="PJ203" i="2" s="1"/>
  <c r="OU203" i="2"/>
  <c r="PF203" i="2"/>
  <c r="PG203" i="2"/>
  <c r="MJ203" i="2"/>
  <c r="MK202" i="2" s="1" a="1"/>
  <c r="MK202" i="2" s="1"/>
  <c r="PH203" i="2"/>
  <c r="MI203" i="2"/>
  <c r="OT203" i="2"/>
  <c r="OS203" i="2"/>
  <c r="OR203" i="2"/>
  <c r="OM203" i="2"/>
  <c r="OK203" i="2"/>
  <c r="OI203" i="2"/>
  <c r="OL203" i="2"/>
  <c r="OJ203" i="2"/>
  <c r="OO203" i="2" s="1"/>
  <c r="NZ203" i="2"/>
  <c r="OA203" i="2" s="1" a="1"/>
  <c r="OA203" i="2" s="1"/>
  <c r="NY203" i="2"/>
  <c r="NW203" i="2"/>
  <c r="NX203" i="2"/>
  <c r="NR203" i="2"/>
  <c r="NQ203" i="2"/>
  <c r="NO203" i="2"/>
  <c r="NU203" i="2" s="1"/>
  <c r="NC203" i="2"/>
  <c r="NN203" i="2"/>
  <c r="NP203" i="2"/>
  <c r="NE203" i="2"/>
  <c r="ND203" i="2"/>
  <c r="NB203" i="2"/>
  <c r="MW203" i="2"/>
  <c r="MS203" i="2"/>
  <c r="MV203" i="2"/>
  <c r="MH203" i="2"/>
  <c r="MU203" i="2"/>
  <c r="MT203" i="2"/>
  <c r="MY203" i="2" s="1"/>
  <c r="LY203" i="2"/>
  <c r="MB203" i="2"/>
  <c r="LX203" i="2"/>
  <c r="MA203" i="2"/>
  <c r="MG203" i="2"/>
  <c r="LZ203" i="2"/>
  <c r="LL203" i="2"/>
  <c r="LE203" i="2"/>
  <c r="JB203" i="2"/>
  <c r="LM203" i="2"/>
  <c r="LD203" i="2"/>
  <c r="KR203" i="2"/>
  <c r="LG203" i="2"/>
  <c r="LC203" i="2"/>
  <c r="LO203" i="2"/>
  <c r="LP55" i="2" s="1" a="1"/>
  <c r="LP55" i="2" s="1"/>
  <c r="LN203" i="2"/>
  <c r="LF203" i="2"/>
  <c r="KT203" i="2"/>
  <c r="KU7" i="2" s="1" a="1"/>
  <c r="KU7" i="2" s="1"/>
  <c r="KS203" i="2"/>
  <c r="JA203" i="2"/>
  <c r="KQ203" i="2"/>
  <c r="JO203" i="2"/>
  <c r="JD203" i="2"/>
  <c r="JE99" i="2" s="1" a="1"/>
  <c r="JE99" i="2" s="1"/>
  <c r="JV203" i="2"/>
  <c r="KL203" i="2"/>
  <c r="JY203" i="2"/>
  <c r="JZ160" i="2" s="1" a="1"/>
  <c r="JZ160" i="2" s="1"/>
  <c r="JX203" i="2"/>
  <c r="JN203" i="2"/>
  <c r="JW203" i="2"/>
  <c r="JQ203" i="2"/>
  <c r="KK203" i="2"/>
  <c r="JM203" i="2"/>
  <c r="JP203" i="2"/>
  <c r="JC203" i="2"/>
  <c r="IT203" i="2"/>
  <c r="IG203" i="2"/>
  <c r="HF203" i="2"/>
  <c r="IS203" i="2"/>
  <c r="IV203" i="2"/>
  <c r="IR203" i="2"/>
  <c r="II203" i="2"/>
  <c r="IJ190" i="2" s="1" a="1"/>
  <c r="IJ190" i="2" s="1"/>
  <c r="HD203" i="2"/>
  <c r="IU203" i="2"/>
  <c r="IH203" i="2"/>
  <c r="IF203" i="2"/>
  <c r="HE203" i="2"/>
  <c r="HZ203" i="2"/>
  <c r="HN203" i="2"/>
  <c r="HO123" i="2" s="1" a="1"/>
  <c r="HO123" i="2" s="1"/>
  <c r="HM203" i="2"/>
  <c r="HK203" i="2"/>
  <c r="HY203" i="2"/>
  <c r="HX203" i="2"/>
  <c r="HL203" i="2"/>
  <c r="IA203" i="2"/>
  <c r="HW203" i="2"/>
  <c r="JG5" i="2"/>
  <c r="JH5" i="2" s="1"/>
  <c r="JI5" i="2" s="1"/>
  <c r="JJ5" i="2" s="1"/>
  <c r="ON202" i="2"/>
  <c r="OQ201" i="2"/>
  <c r="NG6" i="2"/>
  <c r="NH5" i="2"/>
  <c r="NI5" i="2" s="1"/>
  <c r="NJ5" i="2" s="1"/>
  <c r="NK5" i="2" s="1"/>
  <c r="IB202" i="2"/>
  <c r="IE201" i="2"/>
  <c r="IW202" i="2"/>
  <c r="IZ201" i="2"/>
  <c r="LP45" i="2" a="1"/>
  <c r="LP45" i="2" s="1"/>
  <c r="LP46" i="2" a="1"/>
  <c r="LP46" i="2" s="1"/>
  <c r="LP151" i="2" a="1"/>
  <c r="LP151" i="2" s="1"/>
  <c r="LP189" i="2" a="1"/>
  <c r="LP189" i="2" s="1"/>
  <c r="LP188" i="2" a="1"/>
  <c r="LP188" i="2" s="1"/>
  <c r="LP41" i="2" a="1"/>
  <c r="LP41" i="2" s="1"/>
  <c r="LP127" i="2" a="1"/>
  <c r="LP127" i="2" s="1"/>
  <c r="LP130" i="2" a="1"/>
  <c r="LP130" i="2" s="1"/>
  <c r="LP137" i="2" a="1"/>
  <c r="LP137" i="2" s="1"/>
  <c r="LP141" i="2" a="1"/>
  <c r="LP141" i="2" s="1"/>
  <c r="LP92" i="2" a="1"/>
  <c r="LP92" i="2" s="1"/>
  <c r="LP125" i="2" a="1"/>
  <c r="LP125" i="2" s="1"/>
  <c r="LP178" i="2" a="1"/>
  <c r="LP178" i="2" s="1"/>
  <c r="LP169" i="2" a="1"/>
  <c r="LP169" i="2" s="1"/>
  <c r="LP44" i="2" a="1"/>
  <c r="LP44" i="2" s="1"/>
  <c r="LP187" i="2" a="1"/>
  <c r="LP187" i="2" s="1"/>
  <c r="LP117" i="2" a="1"/>
  <c r="LP117" i="2" s="1"/>
  <c r="LP163" i="2" a="1"/>
  <c r="LP163" i="2" s="1"/>
  <c r="LP26" i="2" a="1"/>
  <c r="LP26" i="2" s="1"/>
  <c r="LP114" i="2" a="1"/>
  <c r="LP114" i="2" s="1"/>
  <c r="LP147" i="2" a="1"/>
  <c r="LP147" i="2" s="1"/>
  <c r="LP153" i="2" a="1"/>
  <c r="LP153" i="2" s="1"/>
  <c r="LP170" i="2" a="1"/>
  <c r="LP170" i="2" s="1"/>
  <c r="LP99" i="2" a="1"/>
  <c r="LP99" i="2" s="1"/>
  <c r="LP61" i="2" a="1"/>
  <c r="LP61" i="2" s="1"/>
  <c r="LP22" i="2" a="1"/>
  <c r="LP22" i="2" s="1"/>
  <c r="LP95" i="2" a="1"/>
  <c r="LP95" i="2" s="1"/>
  <c r="LP183" i="2" a="1"/>
  <c r="LP183" i="2" s="1"/>
  <c r="LP119" i="2" a="1"/>
  <c r="LP119" i="2" s="1"/>
  <c r="LP108" i="2" a="1"/>
  <c r="LP108" i="2" s="1"/>
  <c r="LP32" i="2" a="1"/>
  <c r="LP32" i="2" s="1"/>
  <c r="LP93" i="2" a="1"/>
  <c r="LP93" i="2" s="1"/>
  <c r="OV202" i="2" a="1"/>
  <c r="OV202" i="2" s="1"/>
  <c r="OV182" i="2" a="1"/>
  <c r="OV182" i="2" s="1"/>
  <c r="OV79" i="2" a="1"/>
  <c r="OV79" i="2" s="1"/>
  <c r="OV187" i="2" a="1"/>
  <c r="OV187" i="2" s="1"/>
  <c r="OV31" i="2" a="1"/>
  <c r="OV31" i="2" s="1"/>
  <c r="OV89" i="2" a="1"/>
  <c r="OV89" i="2" s="1"/>
  <c r="OV155" i="2" a="1"/>
  <c r="OV155" i="2" s="1"/>
  <c r="OV179" i="2" a="1"/>
  <c r="OV179" i="2" s="1"/>
  <c r="OV101" i="2" a="1"/>
  <c r="OV101" i="2" s="1"/>
  <c r="OV60" i="2" a="1"/>
  <c r="OV60" i="2" s="1"/>
  <c r="OV39" i="2" a="1"/>
  <c r="OV39" i="2" s="1"/>
  <c r="OV124" i="2" a="1"/>
  <c r="OV124" i="2" s="1"/>
  <c r="OV128" i="2" a="1"/>
  <c r="OV128" i="2" s="1"/>
  <c r="OV135" i="2" a="1"/>
  <c r="OV135" i="2" s="1"/>
  <c r="OV6" i="2" a="1"/>
  <c r="OV6" i="2" s="1"/>
  <c r="OW6" i="2" s="1"/>
  <c r="OV134" i="2" a="1"/>
  <c r="OV134" i="2" s="1"/>
  <c r="OV75" i="2" a="1"/>
  <c r="OV75" i="2" s="1"/>
  <c r="OV130" i="2" a="1"/>
  <c r="OV130" i="2" s="1"/>
  <c r="OV194" i="2" a="1"/>
  <c r="OV194" i="2" s="1"/>
  <c r="OV86" i="2" a="1"/>
  <c r="OV86" i="2" s="1"/>
  <c r="OV84" i="2" a="1"/>
  <c r="OV84" i="2" s="1"/>
  <c r="OV50" i="2" a="1"/>
  <c r="OV50" i="2" s="1"/>
  <c r="OV188" i="2" a="1"/>
  <c r="OV188" i="2" s="1"/>
  <c r="OV52" i="2" a="1"/>
  <c r="OV52" i="2" s="1"/>
  <c r="OV88" i="2" a="1"/>
  <c r="OV88" i="2" s="1"/>
  <c r="OV7" i="2" a="1"/>
  <c r="OV7" i="2" s="1"/>
  <c r="OV166" i="2" a="1"/>
  <c r="OV166" i="2" s="1"/>
  <c r="OV93" i="2" a="1"/>
  <c r="OV93" i="2" s="1"/>
  <c r="OV72" i="2" a="1"/>
  <c r="OV72" i="2" s="1"/>
  <c r="OV47" i="2" a="1"/>
  <c r="OV47" i="2" s="1"/>
  <c r="OV160" i="2" a="1"/>
  <c r="OV160" i="2" s="1"/>
  <c r="OV152" i="2" a="1"/>
  <c r="OV152" i="2" s="1"/>
  <c r="OV137" i="2" a="1"/>
  <c r="OV137" i="2" s="1"/>
  <c r="OV178" i="2" a="1"/>
  <c r="OV178" i="2" s="1"/>
  <c r="OV67" i="2" a="1"/>
  <c r="OV67" i="2" s="1"/>
  <c r="OV9" i="2" a="1"/>
  <c r="OV9" i="2" s="1"/>
  <c r="OV163" i="2" a="1"/>
  <c r="OV163" i="2" s="1"/>
  <c r="OV103" i="2" a="1"/>
  <c r="OV103" i="2" s="1"/>
  <c r="OV176" i="2" a="1"/>
  <c r="OV176" i="2" s="1"/>
  <c r="OV173" i="2" a="1"/>
  <c r="OV173" i="2" s="1"/>
  <c r="OV185" i="2" a="1"/>
  <c r="OV185" i="2" s="1"/>
  <c r="OV64" i="2" a="1"/>
  <c r="OV64" i="2" s="1"/>
  <c r="OV170" i="2" a="1"/>
  <c r="OV170" i="2" s="1"/>
  <c r="OV111" i="2" a="1"/>
  <c r="OV111" i="2" s="1"/>
  <c r="OV158" i="2" a="1"/>
  <c r="OV158" i="2" s="1"/>
  <c r="OV59" i="2" a="1"/>
  <c r="OV59" i="2" s="1"/>
  <c r="OV87" i="2" a="1"/>
  <c r="OV87" i="2" s="1"/>
  <c r="OV197" i="2" a="1"/>
  <c r="OV197" i="2" s="1"/>
  <c r="IJ150" i="2" a="1"/>
  <c r="IJ150" i="2" s="1"/>
  <c r="OV161" i="2" a="1"/>
  <c r="OV161" i="2" s="1"/>
  <c r="OV112" i="2" a="1"/>
  <c r="OV112" i="2" s="1"/>
  <c r="OV159" i="2" a="1"/>
  <c r="OV159" i="2" s="1"/>
  <c r="LP12" i="2" a="1"/>
  <c r="LP12" i="2" s="1"/>
  <c r="LP7" i="2" a="1"/>
  <c r="LP7" i="2" s="1"/>
  <c r="LP106" i="2" a="1"/>
  <c r="LP106" i="2" s="1"/>
  <c r="JE192" i="2" a="1"/>
  <c r="JE192" i="2" s="1"/>
  <c r="NF78" i="2" a="1"/>
  <c r="NF78" i="2" s="1"/>
  <c r="NF53" i="2" a="1"/>
  <c r="NF53" i="2" s="1"/>
  <c r="NF8" i="2" a="1"/>
  <c r="NF8" i="2" s="1"/>
  <c r="NF84" i="2" a="1"/>
  <c r="NF84" i="2" s="1"/>
  <c r="NF145" i="2" a="1"/>
  <c r="NF145" i="2" s="1"/>
  <c r="NF43" i="2" a="1"/>
  <c r="NF43" i="2" s="1"/>
  <c r="NF35" i="2" a="1"/>
  <c r="NF35" i="2" s="1"/>
  <c r="OV145" i="2" a="1"/>
  <c r="OV145" i="2" s="1"/>
  <c r="OV139" i="2" a="1"/>
  <c r="OV139" i="2" s="1"/>
  <c r="OV19" i="2" a="1"/>
  <c r="OV19" i="2" s="1"/>
  <c r="LP149" i="2" a="1"/>
  <c r="LP149" i="2" s="1"/>
  <c r="LP17" i="2" a="1"/>
  <c r="LP17" i="2" s="1"/>
  <c r="LP82" i="2" a="1"/>
  <c r="LP82" i="2" s="1"/>
  <c r="NF48" i="2" a="1"/>
  <c r="NF48" i="2" s="1"/>
  <c r="NF63" i="2" a="1"/>
  <c r="NF63" i="2" s="1"/>
  <c r="HO55" i="2" a="1"/>
  <c r="HO55" i="2" s="1"/>
  <c r="LP78" i="2" a="1"/>
  <c r="LP78" i="2" s="1"/>
  <c r="OV138" i="2" a="1"/>
  <c r="OV138" i="2" s="1"/>
  <c r="OV46" i="2" a="1"/>
  <c r="OV46" i="2" s="1"/>
  <c r="OV27" i="2" a="1"/>
  <c r="OV27" i="2" s="1"/>
  <c r="LP191" i="2" a="1"/>
  <c r="LP191" i="2" s="1"/>
  <c r="LP145" i="2" a="1"/>
  <c r="LP145" i="2" s="1"/>
  <c r="JE142" i="2" a="1"/>
  <c r="JE142" i="2" s="1"/>
  <c r="NF41" i="2" a="1"/>
  <c r="NF41" i="2" s="1"/>
  <c r="OA9" i="2" a="1"/>
  <c r="OA9" i="2" s="1"/>
  <c r="OA177" i="2" a="1"/>
  <c r="OA177" i="2" s="1"/>
  <c r="OC5" i="2"/>
  <c r="OD5" i="2" s="1"/>
  <c r="OE5" i="2" s="1"/>
  <c r="OF5" i="2" s="1"/>
  <c r="OA100" i="2" a="1"/>
  <c r="OA100" i="2" s="1"/>
  <c r="OA7" i="2" a="1"/>
  <c r="OA7" i="2" s="1"/>
  <c r="OA121" i="2" a="1"/>
  <c r="OA121" i="2" s="1"/>
  <c r="OA87" i="2" a="1"/>
  <c r="OA87" i="2" s="1"/>
  <c r="OA130" i="2" a="1"/>
  <c r="OA130" i="2" s="1"/>
  <c r="OA40" i="2" a="1"/>
  <c r="OA40" i="2" s="1"/>
  <c r="OA92" i="2" a="1"/>
  <c r="OA92" i="2" s="1"/>
  <c r="OA66" i="2" a="1"/>
  <c r="OA66" i="2" s="1"/>
  <c r="OA143" i="2" a="1"/>
  <c r="OA143" i="2" s="1"/>
  <c r="OA13" i="2" a="1"/>
  <c r="OA13" i="2" s="1"/>
  <c r="OA93" i="2" a="1"/>
  <c r="OA93" i="2" s="1"/>
  <c r="OA83" i="2" a="1"/>
  <c r="OA83" i="2" s="1"/>
  <c r="OA57" i="2" a="1"/>
  <c r="OA57" i="2" s="1"/>
  <c r="OA129" i="2" a="1"/>
  <c r="OA129" i="2" s="1"/>
  <c r="OA133" i="2" a="1"/>
  <c r="OA133" i="2" s="1"/>
  <c r="OA61" i="2" a="1"/>
  <c r="OA61" i="2" s="1"/>
  <c r="OA164" i="2" a="1"/>
  <c r="OA164" i="2" s="1"/>
  <c r="OA125" i="2" a="1"/>
  <c r="OA125" i="2" s="1"/>
  <c r="OA41" i="2" a="1"/>
  <c r="OA41" i="2" s="1"/>
  <c r="OA6" i="2" a="1"/>
  <c r="OA6" i="2" s="1"/>
  <c r="OB6" i="2" s="1"/>
  <c r="OA62" i="2" a="1"/>
  <c r="OA62" i="2" s="1"/>
  <c r="OA65" i="2" a="1"/>
  <c r="OA65" i="2" s="1"/>
  <c r="OA149" i="2" a="1"/>
  <c r="OA149" i="2" s="1"/>
  <c r="OA16" i="2" a="1"/>
  <c r="OA16" i="2" s="1"/>
  <c r="OA49" i="2" a="1"/>
  <c r="OA49" i="2" s="1"/>
  <c r="OA117" i="2" a="1"/>
  <c r="OA117" i="2" s="1"/>
  <c r="OA82" i="2" a="1"/>
  <c r="OA82" i="2" s="1"/>
  <c r="OA54" i="2" a="1"/>
  <c r="OA54" i="2" s="1"/>
  <c r="OA102" i="2" a="1"/>
  <c r="OA102" i="2" s="1"/>
  <c r="OA153" i="2" a="1"/>
  <c r="OA153" i="2" s="1"/>
  <c r="OA106" i="2" a="1"/>
  <c r="OA106" i="2" s="1"/>
  <c r="OA189" i="2" a="1"/>
  <c r="OA189" i="2" s="1"/>
  <c r="OA44" i="2" a="1"/>
  <c r="OA44" i="2" s="1"/>
  <c r="OA194" i="2" a="1"/>
  <c r="OA194" i="2" s="1"/>
  <c r="OA96" i="2" a="1"/>
  <c r="OA96" i="2" s="1"/>
  <c r="OA127" i="2" a="1"/>
  <c r="OA127" i="2" s="1"/>
  <c r="OA84" i="2" a="1"/>
  <c r="OA84" i="2" s="1"/>
  <c r="OA20" i="2" a="1"/>
  <c r="OA20" i="2" s="1"/>
  <c r="OA167" i="2" a="1"/>
  <c r="OA167" i="2" s="1"/>
  <c r="OA78" i="2" a="1"/>
  <c r="OA78" i="2" s="1"/>
  <c r="OA50" i="2" a="1"/>
  <c r="OA50" i="2" s="1"/>
  <c r="OA181" i="2" a="1"/>
  <c r="OA181" i="2" s="1"/>
  <c r="OA47" i="2" a="1"/>
  <c r="OA47" i="2" s="1"/>
  <c r="OA201" i="2" a="1"/>
  <c r="OA201" i="2" s="1"/>
  <c r="LP129" i="2" a="1"/>
  <c r="LP129" i="2" s="1"/>
  <c r="LP31" i="2" a="1"/>
  <c r="LP31" i="2" s="1"/>
  <c r="LI202" i="2"/>
  <c r="NF97" i="2" a="1"/>
  <c r="NF97" i="2" s="1"/>
  <c r="OV198" i="2" a="1"/>
  <c r="OV198" i="2" s="1"/>
  <c r="OV8" i="2" a="1"/>
  <c r="OV8" i="2" s="1"/>
  <c r="OV45" i="2" a="1"/>
  <c r="OV45" i="2" s="1"/>
  <c r="OV199" i="2" a="1"/>
  <c r="OV199" i="2" s="1"/>
  <c r="LR5" i="2"/>
  <c r="LS5" i="2" s="1"/>
  <c r="LT5" i="2" s="1"/>
  <c r="LU5" i="2" s="1"/>
  <c r="LQ6" i="2"/>
  <c r="JE48" i="2" a="1"/>
  <c r="JE48" i="2" s="1"/>
  <c r="JE96" i="2" a="1"/>
  <c r="JE96" i="2" s="1"/>
  <c r="NF159" i="2" a="1"/>
  <c r="NF159" i="2" s="1"/>
  <c r="NF96" i="2" a="1"/>
  <c r="NF96" i="2" s="1"/>
  <c r="NF196" i="2" a="1"/>
  <c r="NF196" i="2" s="1"/>
  <c r="NF130" i="2" a="1"/>
  <c r="NF130" i="2" s="1"/>
  <c r="NF80" i="2" a="1"/>
  <c r="NF80" i="2" s="1"/>
  <c r="NF70" i="2" a="1"/>
  <c r="NF70" i="2" s="1"/>
  <c r="NF146" i="2" a="1"/>
  <c r="NF146" i="2" s="1"/>
  <c r="OV116" i="2" a="1"/>
  <c r="OV116" i="2" s="1"/>
  <c r="OV28" i="2" a="1"/>
  <c r="OV28" i="2" s="1"/>
  <c r="OV76" i="2" a="1"/>
  <c r="OV76" i="2" s="1"/>
  <c r="LP16" i="2" a="1"/>
  <c r="LP16" i="2" s="1"/>
  <c r="JE121" i="2" a="1"/>
  <c r="JE121" i="2" s="1"/>
  <c r="JE162" i="2" a="1"/>
  <c r="JE162" i="2" s="1"/>
  <c r="NF134" i="2" a="1"/>
  <c r="NF134" i="2" s="1"/>
  <c r="NF42" i="2" a="1"/>
  <c r="NF42" i="2" s="1"/>
  <c r="LH202" i="2"/>
  <c r="LK201" i="2"/>
  <c r="JZ149" i="2" a="1"/>
  <c r="JZ149" i="2" s="1"/>
  <c r="OV51" i="2" a="1"/>
  <c r="OV51" i="2" s="1"/>
  <c r="OV142" i="2" a="1"/>
  <c r="OV142" i="2" s="1"/>
  <c r="OV151" i="2" a="1"/>
  <c r="OV151" i="2" s="1"/>
  <c r="LP116" i="2" a="1"/>
  <c r="LP116" i="2" s="1"/>
  <c r="LP83" i="2" a="1"/>
  <c r="LP83" i="2" s="1"/>
  <c r="JE106" i="2" a="1"/>
  <c r="JE106" i="2" s="1"/>
  <c r="NF164" i="2" a="1"/>
  <c r="NF164" i="2" s="1"/>
  <c r="NF62" i="2" a="1"/>
  <c r="NF62" i="2" s="1"/>
  <c r="OV123" i="2" a="1"/>
  <c r="OV123" i="2" s="1"/>
  <c r="MK176" i="2" a="1"/>
  <c r="MK176" i="2" s="1"/>
  <c r="MK46" i="2" a="1"/>
  <c r="MK46" i="2" s="1"/>
  <c r="MK14" i="2" a="1"/>
  <c r="MK14" i="2" s="1"/>
  <c r="MK33" i="2" a="1"/>
  <c r="MK33" i="2" s="1"/>
  <c r="MK75" i="2" a="1"/>
  <c r="MK75" i="2" s="1"/>
  <c r="MK6" i="2" a="1"/>
  <c r="MK6" i="2" s="1"/>
  <c r="ML6" i="2" s="1"/>
  <c r="MK90" i="2" a="1"/>
  <c r="MK90" i="2" s="1"/>
  <c r="MK53" i="2" a="1"/>
  <c r="MK53" i="2" s="1"/>
  <c r="MK187" i="2" a="1"/>
  <c r="MK187" i="2" s="1"/>
  <c r="MK78" i="2" a="1"/>
  <c r="MK78" i="2" s="1"/>
  <c r="MK134" i="2" a="1"/>
  <c r="MK134" i="2" s="1"/>
  <c r="MK132" i="2" a="1"/>
  <c r="MK132" i="2" s="1"/>
  <c r="MK21" i="2" a="1"/>
  <c r="MK21" i="2" s="1"/>
  <c r="MK30" i="2" a="1"/>
  <c r="MK30" i="2" s="1"/>
  <c r="MK183" i="2" a="1"/>
  <c r="MK183" i="2" s="1"/>
  <c r="MK74" i="2" a="1"/>
  <c r="MK74" i="2" s="1"/>
  <c r="MK17" i="2" a="1"/>
  <c r="MK17" i="2" s="1"/>
  <c r="MK189" i="2" a="1"/>
  <c r="MK189" i="2" s="1"/>
  <c r="MK45" i="2" a="1"/>
  <c r="MK45" i="2" s="1"/>
  <c r="MK169" i="2" a="1"/>
  <c r="MK169" i="2" s="1"/>
  <c r="MK150" i="2" a="1"/>
  <c r="MK150" i="2" s="1"/>
  <c r="MK77" i="2" a="1"/>
  <c r="MK77" i="2" s="1"/>
  <c r="MK23" i="2" a="1"/>
  <c r="MK23" i="2" s="1"/>
  <c r="MK143" i="2" a="1"/>
  <c r="MK143" i="2" s="1"/>
  <c r="MK105" i="2" a="1"/>
  <c r="MK105" i="2" s="1"/>
  <c r="MK82" i="2" a="1"/>
  <c r="MK82" i="2" s="1"/>
  <c r="MK104" i="2" a="1"/>
  <c r="MK104" i="2" s="1"/>
  <c r="MK140" i="2" a="1"/>
  <c r="MK140" i="2" s="1"/>
  <c r="MK191" i="2" a="1"/>
  <c r="MK191" i="2" s="1"/>
  <c r="MK97" i="2" a="1"/>
  <c r="MK97" i="2" s="1"/>
  <c r="MK170" i="2" a="1"/>
  <c r="MK170" i="2" s="1"/>
  <c r="MK94" i="2" a="1"/>
  <c r="MK94" i="2" s="1"/>
  <c r="MK68" i="2" a="1"/>
  <c r="MK68" i="2" s="1"/>
  <c r="MK96" i="2" a="1"/>
  <c r="MK96" i="2" s="1"/>
  <c r="MK63" i="2" a="1"/>
  <c r="MK63" i="2" s="1"/>
  <c r="MK19" i="2" a="1"/>
  <c r="MK19" i="2" s="1"/>
  <c r="MK93" i="2" a="1"/>
  <c r="MK93" i="2" s="1"/>
  <c r="MK195" i="2" a="1"/>
  <c r="MK195" i="2" s="1"/>
  <c r="MK182" i="2" a="1"/>
  <c r="MK182" i="2" s="1"/>
  <c r="MK80" i="2" a="1"/>
  <c r="MK80" i="2" s="1"/>
  <c r="MK18" i="2" a="1"/>
  <c r="MK18" i="2" s="1"/>
  <c r="MK50" i="2" a="1"/>
  <c r="MK50" i="2" s="1"/>
  <c r="MK36" i="2" a="1"/>
  <c r="MK36" i="2" s="1"/>
  <c r="MK79" i="2" a="1"/>
  <c r="MK79" i="2" s="1"/>
  <c r="MK121" i="2" a="1"/>
  <c r="MK121" i="2" s="1"/>
  <c r="MK24" i="2" a="1"/>
  <c r="MK24" i="2" s="1"/>
  <c r="MK28" i="2" a="1"/>
  <c r="MK28" i="2" s="1"/>
  <c r="MK136" i="2" a="1"/>
  <c r="MK136" i="2" s="1"/>
  <c r="JZ115" i="2" a="1"/>
  <c r="JZ115" i="2" s="1"/>
  <c r="JZ9" i="2" a="1"/>
  <c r="JZ9" i="2" s="1"/>
  <c r="JZ135" i="2" a="1"/>
  <c r="JZ135" i="2" s="1"/>
  <c r="JZ68" i="2" a="1"/>
  <c r="JZ68" i="2" s="1"/>
  <c r="JZ19" i="2" a="1"/>
  <c r="JZ19" i="2" s="1"/>
  <c r="JZ138" i="2" a="1"/>
  <c r="JZ138" i="2" s="1"/>
  <c r="ME203" i="2"/>
  <c r="IL5" i="2"/>
  <c r="IM5" i="2" s="1"/>
  <c r="IN5" i="2" s="1"/>
  <c r="IO5" i="2" s="1"/>
  <c r="IK6" i="2"/>
  <c r="IX203" i="2"/>
  <c r="HO8" i="2" a="1"/>
  <c r="HO8" i="2" s="1"/>
  <c r="HO179" i="2" a="1"/>
  <c r="HO179" i="2" s="1"/>
  <c r="HO53" i="2" a="1"/>
  <c r="HO53" i="2" s="1"/>
  <c r="JE167" i="2" a="1"/>
  <c r="JE167" i="2" s="1"/>
  <c r="OV192" i="2" a="1"/>
  <c r="OV192" i="2" s="1"/>
  <c r="OV74" i="2" a="1"/>
  <c r="OV74" i="2" s="1"/>
  <c r="OV94" i="2" a="1"/>
  <c r="OV94" i="2" s="1"/>
  <c r="OV43" i="2" a="1"/>
  <c r="OV43" i="2" s="1"/>
  <c r="LP190" i="2" a="1"/>
  <c r="LP190" i="2" s="1"/>
  <c r="JE124" i="2" a="1"/>
  <c r="JE124" i="2" s="1"/>
  <c r="MX202" i="2"/>
  <c r="NA201" i="2"/>
  <c r="NF126" i="2" a="1"/>
  <c r="NF126" i="2" s="1"/>
  <c r="MZ202" i="2"/>
  <c r="MZ203" i="2" s="1"/>
  <c r="NF90" i="2" a="1"/>
  <c r="NF90" i="2" s="1"/>
  <c r="NF135" i="2" a="1"/>
  <c r="NF135" i="2" s="1"/>
  <c r="NF154" i="2" a="1"/>
  <c r="NF154" i="2" s="1"/>
  <c r="NF163" i="2" a="1"/>
  <c r="NF163" i="2" s="1"/>
  <c r="OV190" i="2" a="1"/>
  <c r="OV190" i="2" s="1"/>
  <c r="OV12" i="2" a="1"/>
  <c r="OV12" i="2" s="1"/>
  <c r="OV98" i="2" a="1"/>
  <c r="OV98" i="2" s="1"/>
  <c r="LP174" i="2" a="1"/>
  <c r="LP174" i="2" s="1"/>
  <c r="LP67" i="2" a="1"/>
  <c r="LP67" i="2" s="1"/>
  <c r="JE143" i="2" a="1"/>
  <c r="JE143" i="2" s="1"/>
  <c r="JE26" i="2" a="1"/>
  <c r="JE26" i="2" s="1"/>
  <c r="NF38" i="2" a="1"/>
  <c r="NF38" i="2" s="1"/>
  <c r="NF140" i="2" a="1"/>
  <c r="NF140" i="2" s="1"/>
  <c r="JZ15" i="2" a="1"/>
  <c r="JZ15" i="2" s="1"/>
  <c r="JZ42" i="2" a="1"/>
  <c r="JZ42" i="2" s="1"/>
  <c r="JZ54" i="2" a="1"/>
  <c r="JZ54" i="2" s="1"/>
  <c r="OV66" i="2" a="1"/>
  <c r="OV66" i="2" s="1"/>
  <c r="OV14" i="2" a="1"/>
  <c r="OV14" i="2" s="1"/>
  <c r="OV38" i="2" a="1"/>
  <c r="OV38" i="2" s="1"/>
  <c r="LP173" i="2" a="1"/>
  <c r="LP173" i="2" s="1"/>
  <c r="LP134" i="2" a="1"/>
  <c r="LP134" i="2" s="1"/>
  <c r="LP90" i="2" a="1"/>
  <c r="LP90" i="2" s="1"/>
  <c r="JE10" i="2" a="1"/>
  <c r="JE10" i="2" s="1"/>
  <c r="JE120" i="2" a="1"/>
  <c r="JE120" i="2" s="1"/>
  <c r="JE68" i="2" a="1"/>
  <c r="JE68" i="2" s="1"/>
  <c r="NF148" i="2" a="1"/>
  <c r="NF148" i="2" s="1"/>
  <c r="OA142" i="2" a="1"/>
  <c r="OA142" i="2" s="1"/>
  <c r="OA95" i="2" a="1"/>
  <c r="OA95" i="2" s="1"/>
  <c r="OA162" i="2" a="1"/>
  <c r="OA162" i="2" s="1"/>
  <c r="OA18" i="2" a="1"/>
  <c r="OA18" i="2" s="1"/>
  <c r="OA126" i="2" a="1"/>
  <c r="OA126" i="2" s="1"/>
  <c r="OA33" i="2" a="1"/>
  <c r="OA33" i="2" s="1"/>
  <c r="OA39" i="2" a="1"/>
  <c r="OA39" i="2" s="1"/>
  <c r="OA81" i="2" a="1"/>
  <c r="OA81" i="2" s="1"/>
  <c r="OA26" i="2" a="1"/>
  <c r="OA26" i="2" s="1"/>
  <c r="OA140" i="2" a="1"/>
  <c r="OA140" i="2" s="1"/>
  <c r="OA179" i="2" a="1"/>
  <c r="OA179" i="2" s="1"/>
  <c r="OA118" i="2" a="1"/>
  <c r="OA118" i="2" s="1"/>
  <c r="OA21" i="2" a="1"/>
  <c r="OA21" i="2" s="1"/>
  <c r="OA85" i="2" a="1"/>
  <c r="OA85" i="2" s="1"/>
  <c r="OA173" i="2" a="1"/>
  <c r="OA173" i="2" s="1"/>
  <c r="OA12" i="2" a="1"/>
  <c r="OA12" i="2" s="1"/>
  <c r="OA115" i="2" a="1"/>
  <c r="OA115" i="2" s="1"/>
  <c r="OA131" i="2" a="1"/>
  <c r="OA131" i="2" s="1"/>
  <c r="OA185" i="2" a="1"/>
  <c r="OA185" i="2" s="1"/>
  <c r="OA119" i="2" a="1"/>
  <c r="OA119" i="2" s="1"/>
  <c r="OA32" i="2" a="1"/>
  <c r="OA32" i="2" s="1"/>
  <c r="OA23" i="2" a="1"/>
  <c r="OA23" i="2" s="1"/>
  <c r="OA89" i="2" a="1"/>
  <c r="OA89" i="2" s="1"/>
  <c r="OA58" i="2" a="1"/>
  <c r="OA58" i="2" s="1"/>
  <c r="OA112" i="2" a="1"/>
  <c r="OA112" i="2" s="1"/>
  <c r="OA97" i="2" a="1"/>
  <c r="OA97" i="2" s="1"/>
  <c r="OA148" i="2" a="1"/>
  <c r="OA148" i="2" s="1"/>
  <c r="OA15" i="2" a="1"/>
  <c r="OA15" i="2" s="1"/>
  <c r="OA91" i="2" a="1"/>
  <c r="OA91" i="2" s="1"/>
  <c r="OA151" i="2" a="1"/>
  <c r="OA151" i="2" s="1"/>
  <c r="OA70" i="2" a="1"/>
  <c r="OA70" i="2" s="1"/>
  <c r="OA138" i="2" a="1"/>
  <c r="OA138" i="2" s="1"/>
  <c r="OA31" i="2" a="1"/>
  <c r="OA31" i="2" s="1"/>
  <c r="OA174" i="2" a="1"/>
  <c r="OA174" i="2" s="1"/>
  <c r="OA99" i="2" a="1"/>
  <c r="OA99" i="2" s="1"/>
  <c r="OA73" i="2" a="1"/>
  <c r="OA73" i="2" s="1"/>
  <c r="OA124" i="2" a="1"/>
  <c r="OA124" i="2" s="1"/>
  <c r="OA110" i="2" a="1"/>
  <c r="OA110" i="2" s="1"/>
  <c r="OA86" i="2" a="1"/>
  <c r="OA86" i="2" s="1"/>
  <c r="OA160" i="2" a="1"/>
  <c r="OA160" i="2" s="1"/>
  <c r="OA45" i="2" a="1"/>
  <c r="OA45" i="2" s="1"/>
  <c r="OA113" i="2" a="1"/>
  <c r="OA113" i="2" s="1"/>
  <c r="OA136" i="2" a="1"/>
  <c r="OA136" i="2" s="1"/>
  <c r="OA193" i="2" a="1"/>
  <c r="OA193" i="2" s="1"/>
  <c r="OA187" i="2" a="1"/>
  <c r="OA187" i="2" s="1"/>
  <c r="OA166" i="2" a="1"/>
  <c r="OA166" i="2" s="1"/>
  <c r="LP161" i="2" a="1"/>
  <c r="LP161" i="2" s="1"/>
  <c r="LP194" i="2" a="1"/>
  <c r="LP194" i="2" s="1"/>
  <c r="OV42" i="2" a="1"/>
  <c r="OV42" i="2" s="1"/>
  <c r="OV184" i="2" a="1"/>
  <c r="OV184" i="2" s="1"/>
  <c r="OV62" i="2" a="1"/>
  <c r="OV62" i="2" s="1"/>
  <c r="LP140" i="2" a="1"/>
  <c r="LP140" i="2" s="1"/>
  <c r="LP79" i="2" a="1"/>
  <c r="LP79" i="2" s="1"/>
  <c r="JE182" i="2" a="1"/>
  <c r="JE182" i="2" s="1"/>
  <c r="NF181" i="2" a="1"/>
  <c r="NF181" i="2" s="1"/>
  <c r="NF152" i="2" a="1"/>
  <c r="NF152" i="2" s="1"/>
  <c r="NF24" i="2" a="1"/>
  <c r="NF24" i="2" s="1"/>
  <c r="NF139" i="2" a="1"/>
  <c r="NF139" i="2" s="1"/>
  <c r="NF180" i="2" a="1"/>
  <c r="NF180" i="2" s="1"/>
  <c r="NF87" i="2" a="1"/>
  <c r="NF87" i="2" s="1"/>
  <c r="NF46" i="2" a="1"/>
  <c r="NF46" i="2" s="1"/>
  <c r="OV117" i="2" a="1"/>
  <c r="OV117" i="2" s="1"/>
  <c r="OV77" i="2" a="1"/>
  <c r="OV77" i="2" s="1"/>
  <c r="OV125" i="2" a="1"/>
  <c r="OV125" i="2" s="1"/>
  <c r="LP38" i="2" a="1"/>
  <c r="LP38" i="2" s="1"/>
  <c r="LP40" i="2" a="1"/>
  <c r="LP40" i="2" s="1"/>
  <c r="LP10" i="2" a="1"/>
  <c r="LP10" i="2" s="1"/>
  <c r="JE79" i="2" a="1"/>
  <c r="JE79" i="2" s="1"/>
  <c r="NF189" i="2" a="1"/>
  <c r="NF189" i="2" s="1"/>
  <c r="NF157" i="2" a="1"/>
  <c r="NF157" i="2" s="1"/>
  <c r="OV106" i="2" a="1"/>
  <c r="OV106" i="2" s="1"/>
  <c r="OV149" i="2" a="1"/>
  <c r="OV149" i="2" s="1"/>
  <c r="OV35" i="2" a="1"/>
  <c r="OV35" i="2" s="1"/>
  <c r="LP181" i="2" a="1"/>
  <c r="LP181" i="2" s="1"/>
  <c r="LP65" i="2" a="1"/>
  <c r="LP65" i="2" s="1"/>
  <c r="LP30" i="2" a="1"/>
  <c r="LP30" i="2" s="1"/>
  <c r="JE70" i="2" a="1"/>
  <c r="JE70" i="2" s="1"/>
  <c r="NF19" i="2" a="1"/>
  <c r="NF19" i="2" s="1"/>
  <c r="OV201" i="2" a="1"/>
  <c r="OV201" i="2" s="1"/>
  <c r="MK85" i="2" a="1"/>
  <c r="MK85" i="2" s="1"/>
  <c r="MK102" i="2" a="1"/>
  <c r="MK102" i="2" s="1"/>
  <c r="MK181" i="2" a="1"/>
  <c r="MK181" i="2" s="1"/>
  <c r="MK112" i="2" a="1"/>
  <c r="MK112" i="2" s="1"/>
  <c r="MK126" i="2" a="1"/>
  <c r="MK126" i="2" s="1"/>
  <c r="MK138" i="2" a="1"/>
  <c r="MK138" i="2" s="1"/>
  <c r="MK99" i="2" a="1"/>
  <c r="MK99" i="2" s="1"/>
  <c r="MK108" i="2" a="1"/>
  <c r="MK108" i="2" s="1"/>
  <c r="MK124" i="2" a="1"/>
  <c r="MK124" i="2" s="1"/>
  <c r="MK61" i="2" a="1"/>
  <c r="MK61" i="2" s="1"/>
  <c r="MK11" i="2" a="1"/>
  <c r="MK11" i="2" s="1"/>
  <c r="MK43" i="2" a="1"/>
  <c r="MK43" i="2" s="1"/>
  <c r="MK125" i="2" a="1"/>
  <c r="MK125" i="2" s="1"/>
  <c r="MK188" i="2" a="1"/>
  <c r="MK188" i="2" s="1"/>
  <c r="MK88" i="2" a="1"/>
  <c r="MK88" i="2" s="1"/>
  <c r="MK144" i="2" a="1"/>
  <c r="MK144" i="2" s="1"/>
  <c r="MK73" i="2" a="1"/>
  <c r="MK73" i="2" s="1"/>
  <c r="MK49" i="2" a="1"/>
  <c r="MK49" i="2" s="1"/>
  <c r="MK81" i="2" a="1"/>
  <c r="MK81" i="2" s="1"/>
  <c r="MK109" i="2" a="1"/>
  <c r="MK109" i="2" s="1"/>
  <c r="MK54" i="2" a="1"/>
  <c r="MK54" i="2" s="1"/>
  <c r="MK37" i="2" a="1"/>
  <c r="MK37" i="2" s="1"/>
  <c r="MK127" i="2" a="1"/>
  <c r="MK127" i="2" s="1"/>
  <c r="MK147" i="2" a="1"/>
  <c r="MK147" i="2" s="1"/>
  <c r="MK20" i="2" a="1"/>
  <c r="MK20" i="2" s="1"/>
  <c r="MK151" i="2" a="1"/>
  <c r="MK151" i="2" s="1"/>
  <c r="MK69" i="2" a="1"/>
  <c r="MK69" i="2" s="1"/>
  <c r="MK107" i="2" a="1"/>
  <c r="MK107" i="2" s="1"/>
  <c r="MK91" i="2" a="1"/>
  <c r="MK91" i="2" s="1"/>
  <c r="MK197" i="2" a="1"/>
  <c r="MK197" i="2" s="1"/>
  <c r="MK65" i="2" a="1"/>
  <c r="MK65" i="2" s="1"/>
  <c r="MK25" i="2" a="1"/>
  <c r="MK25" i="2" s="1"/>
  <c r="MK52" i="2" a="1"/>
  <c r="MK52" i="2" s="1"/>
  <c r="MK40" i="2" a="1"/>
  <c r="MK40" i="2" s="1"/>
  <c r="MK178" i="2" a="1"/>
  <c r="MK178" i="2" s="1"/>
  <c r="MK166" i="2" a="1"/>
  <c r="MK166" i="2" s="1"/>
  <c r="MK114" i="2" a="1"/>
  <c r="MK114" i="2" s="1"/>
  <c r="MK113" i="2" a="1"/>
  <c r="MK113" i="2" s="1"/>
  <c r="MK42" i="2" a="1"/>
  <c r="MK42" i="2" s="1"/>
  <c r="MK72" i="2" a="1"/>
  <c r="MK72" i="2" s="1"/>
  <c r="MK22" i="2" a="1"/>
  <c r="MK22" i="2" s="1"/>
  <c r="MK7" i="2" a="1"/>
  <c r="MK7" i="2" s="1"/>
  <c r="MK41" i="2" a="1"/>
  <c r="MK41" i="2" s="1"/>
  <c r="MK159" i="2" a="1"/>
  <c r="MK159" i="2" s="1"/>
  <c r="MK27" i="2" a="1"/>
  <c r="MK27" i="2" s="1"/>
  <c r="MK83" i="2" a="1"/>
  <c r="MK83" i="2" s="1"/>
  <c r="MK122" i="2" a="1"/>
  <c r="MK122" i="2" s="1"/>
  <c r="MK199" i="2" a="1"/>
  <c r="MK199" i="2" s="1"/>
  <c r="JZ92" i="2" a="1"/>
  <c r="JZ92" i="2" s="1"/>
  <c r="JZ186" i="2" a="1"/>
  <c r="JZ186" i="2" s="1"/>
  <c r="JZ126" i="2" a="1"/>
  <c r="JZ126" i="2" s="1"/>
  <c r="JZ120" i="2" a="1"/>
  <c r="JZ120" i="2" s="1"/>
  <c r="JZ163" i="2" a="1"/>
  <c r="JZ163" i="2" s="1"/>
  <c r="JZ106" i="2" a="1"/>
  <c r="JZ106" i="2" s="1"/>
  <c r="JE200" i="2" a="1"/>
  <c r="JE200" i="2" s="1"/>
  <c r="IJ44" i="2" a="1"/>
  <c r="IJ44" i="2" s="1"/>
  <c r="EY201" i="2"/>
  <c r="ED201" i="2"/>
  <c r="EW202" i="2"/>
  <c r="FS202" i="2"/>
  <c r="KO202" i="2"/>
  <c r="KM201" i="2"/>
  <c r="KP200" i="2"/>
  <c r="KN201" i="2"/>
  <c r="KN202" i="2" s="1"/>
  <c r="HG202" i="2"/>
  <c r="HI202" i="2"/>
  <c r="FZ6" i="2"/>
  <c r="EX202" i="2"/>
  <c r="EY202" i="2" s="1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W5" i="2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GV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GK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146" i="2" a="1"/>
  <c r="FY146" i="2" s="1"/>
  <c r="FY165" i="2" a="1"/>
  <c r="FY165" i="2" s="1"/>
  <c r="FY35" i="2" a="1"/>
  <c r="FY35" i="2" s="1"/>
  <c r="FY153" i="2" a="1"/>
  <c r="FY153" i="2" s="1"/>
  <c r="FY110" i="2" a="1"/>
  <c r="FY110" i="2" s="1"/>
  <c r="FY191" i="2" a="1"/>
  <c r="FY191" i="2" s="1"/>
  <c r="FY99" i="2" a="1"/>
  <c r="FY99" i="2" s="1"/>
  <c r="FY174" i="2" a="1"/>
  <c r="FY174" i="2" s="1"/>
  <c r="FY78" i="2" a="1"/>
  <c r="FY78" i="2" s="1"/>
  <c r="FY124" i="2" a="1"/>
  <c r="FY124" i="2" s="1"/>
  <c r="FY24" i="2" a="1"/>
  <c r="FY24" i="2" s="1"/>
  <c r="FY149" i="2" a="1"/>
  <c r="FY149" i="2" s="1"/>
  <c r="GT115" i="2" a="1"/>
  <c r="GT115" i="2" s="1"/>
  <c r="GT184" i="2" a="1"/>
  <c r="GT184" i="2" s="1"/>
  <c r="GT181" i="2" a="1"/>
  <c r="GT181" i="2" s="1"/>
  <c r="GT68" i="2" a="1"/>
  <c r="GT68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CS66" i="2" a="1"/>
  <c r="CS66" i="2" s="1"/>
  <c r="DN124" i="2" a="1"/>
  <c r="DN124" i="2" s="1"/>
  <c r="CS116" i="2" a="1"/>
  <c r="CS116" i="2" s="1"/>
  <c r="EI195" i="2" a="1"/>
  <c r="EI195" i="2" s="1"/>
  <c r="CS137" i="2" a="1"/>
  <c r="CS137" i="2" s="1"/>
  <c r="AH151" i="2" a="1"/>
  <c r="AH151" i="2" s="1"/>
  <c r="CS77" i="2" a="1"/>
  <c r="CS77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42" i="2" a="1"/>
  <c r="FY42" i="2" s="1"/>
  <c r="FY30" i="2" a="1"/>
  <c r="FY30" i="2" s="1"/>
  <c r="FY80" i="2" a="1"/>
  <c r="FY80" i="2" s="1"/>
  <c r="FD14" i="2" a="1"/>
  <c r="FD14" i="2" s="1"/>
  <c r="FD189" i="2" a="1"/>
  <c r="FD189" i="2" s="1"/>
  <c r="FD187" i="2" a="1"/>
  <c r="FD187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67" i="2" a="1"/>
  <c r="EI67" i="2" s="1"/>
  <c r="EI139" i="2" a="1"/>
  <c r="EI139" i="2" s="1"/>
  <c r="EI35" i="2" a="1"/>
  <c r="EI35" i="2" s="1"/>
  <c r="EI37" i="2" a="1"/>
  <c r="EI37" i="2" s="1"/>
  <c r="CS185" i="2" a="1"/>
  <c r="CS185" i="2" s="1"/>
  <c r="CS56" i="2" a="1"/>
  <c r="CS56" i="2" s="1"/>
  <c r="CS114" i="2" a="1"/>
  <c r="CS114" i="2" s="1"/>
  <c r="DN110" i="2" a="1"/>
  <c r="DN110" i="2" s="1"/>
  <c r="DN6" i="2" a="1"/>
  <c r="DN6" i="2" s="1"/>
  <c r="DO6" i="2" s="1"/>
  <c r="CS24" i="2" a="1"/>
  <c r="CS24" i="2" s="1"/>
  <c r="CS134" i="2" a="1"/>
  <c r="CS134" i="2" s="1"/>
  <c r="CS72" i="2" a="1"/>
  <c r="CS72" i="2" s="1"/>
  <c r="AX200" i="2"/>
  <c r="KU200" i="2" l="1" a="1"/>
  <c r="KU200" i="2" s="1"/>
  <c r="KU182" i="2" a="1"/>
  <c r="KU182" i="2" s="1"/>
  <c r="KU198" i="2" a="1"/>
  <c r="KU198" i="2" s="1"/>
  <c r="KU63" i="2" a="1"/>
  <c r="KU63" i="2" s="1"/>
  <c r="LJ203" i="2"/>
  <c r="JE173" i="2" a="1"/>
  <c r="JE173" i="2" s="1"/>
  <c r="JE110" i="2" a="1"/>
  <c r="JE110" i="2" s="1"/>
  <c r="JE193" i="2" a="1"/>
  <c r="JE193" i="2" s="1"/>
  <c r="JE156" i="2" a="1"/>
  <c r="JE156" i="2" s="1"/>
  <c r="JE138" i="2" a="1"/>
  <c r="JE138" i="2" s="1"/>
  <c r="JE116" i="2" a="1"/>
  <c r="JE116" i="2" s="1"/>
  <c r="JE9" i="2" a="1"/>
  <c r="JE9" i="2" s="1"/>
  <c r="DN31" i="2" a="1"/>
  <c r="DN31" i="2" s="1"/>
  <c r="DN167" i="2" a="1"/>
  <c r="DN167" i="2" s="1"/>
  <c r="DN155" i="2" a="1"/>
  <c r="DN155" i="2" s="1"/>
  <c r="DN16" i="2" a="1"/>
  <c r="DN16" i="2" s="1"/>
  <c r="DN162" i="2" a="1"/>
  <c r="DN162" i="2" s="1"/>
  <c r="DN153" i="2" a="1"/>
  <c r="DN153" i="2" s="1"/>
  <c r="DN135" i="2" a="1"/>
  <c r="DN135" i="2" s="1"/>
  <c r="DN132" i="2" a="1"/>
  <c r="DN132" i="2" s="1"/>
  <c r="DN129" i="2" a="1"/>
  <c r="DN129" i="2" s="1"/>
  <c r="DN103" i="2" a="1"/>
  <c r="DN103" i="2" s="1"/>
  <c r="DN46" i="2" a="1"/>
  <c r="DN46" i="2" s="1"/>
  <c r="DN184" i="2" a="1"/>
  <c r="DN184" i="2" s="1"/>
  <c r="DN168" i="2" a="1"/>
  <c r="DN168" i="2" s="1"/>
  <c r="DN123" i="2" a="1"/>
  <c r="DN123" i="2" s="1"/>
  <c r="DN186" i="2" a="1"/>
  <c r="DN186" i="2" s="1"/>
  <c r="DN192" i="2" a="1"/>
  <c r="DN192" i="2" s="1"/>
  <c r="DN177" i="2" a="1"/>
  <c r="DN177" i="2" s="1"/>
  <c r="DN45" i="2" a="1"/>
  <c r="DN45" i="2" s="1"/>
  <c r="DN115" i="2" a="1"/>
  <c r="DN115" i="2" s="1"/>
  <c r="DN56" i="2" a="1"/>
  <c r="DN56" i="2" s="1"/>
  <c r="DN170" i="2" a="1"/>
  <c r="DN170" i="2" s="1"/>
  <c r="DN114" i="2" a="1"/>
  <c r="DN114" i="2" s="1"/>
  <c r="DN30" i="2" a="1"/>
  <c r="DN30" i="2" s="1"/>
  <c r="DN50" i="2" a="1"/>
  <c r="DN50" i="2" s="1"/>
  <c r="DN80" i="2" a="1"/>
  <c r="DN80" i="2" s="1"/>
  <c r="DN43" i="2" a="1"/>
  <c r="DN43" i="2" s="1"/>
  <c r="DN190" i="2" a="1"/>
  <c r="DN190" i="2" s="1"/>
  <c r="DN55" i="2" a="1"/>
  <c r="DN55" i="2" s="1"/>
  <c r="DN137" i="2" a="1"/>
  <c r="DN137" i="2" s="1"/>
  <c r="GT189" i="2" a="1"/>
  <c r="GT189" i="2" s="1"/>
  <c r="GT121" i="2" a="1"/>
  <c r="GT121" i="2" s="1"/>
  <c r="GT15" i="2" a="1"/>
  <c r="GT15" i="2" s="1"/>
  <c r="GT21" i="2" a="1"/>
  <c r="GT21" i="2" s="1"/>
  <c r="GT122" i="2" a="1"/>
  <c r="GT122" i="2" s="1"/>
  <c r="GT133" i="2" a="1"/>
  <c r="GT133" i="2" s="1"/>
  <c r="GT198" i="2" a="1"/>
  <c r="GT198" i="2" s="1"/>
  <c r="GT138" i="2" a="1"/>
  <c r="GT138" i="2" s="1"/>
  <c r="GT12" i="2" a="1"/>
  <c r="GT12" i="2" s="1"/>
  <c r="GT51" i="2" a="1"/>
  <c r="GT51" i="2" s="1"/>
  <c r="JE50" i="2" a="1"/>
  <c r="JE50" i="2" s="1"/>
  <c r="JE40" i="2" a="1"/>
  <c r="JE40" i="2" s="1"/>
  <c r="JE84" i="2" a="1"/>
  <c r="JE84" i="2" s="1"/>
  <c r="JE141" i="2" a="1"/>
  <c r="JE141" i="2" s="1"/>
  <c r="JE65" i="2" a="1"/>
  <c r="JE65" i="2" s="1"/>
  <c r="JE35" i="2" a="1"/>
  <c r="JE35" i="2" s="1"/>
  <c r="JE53" i="2" a="1"/>
  <c r="JE53" i="2" s="1"/>
  <c r="JE37" i="2" a="1"/>
  <c r="JE37" i="2" s="1"/>
  <c r="JE88" i="2" a="1"/>
  <c r="JE88" i="2" s="1"/>
  <c r="JE183" i="2" a="1"/>
  <c r="JE183" i="2" s="1"/>
  <c r="JE147" i="2" a="1"/>
  <c r="JE147" i="2" s="1"/>
  <c r="JE41" i="2" a="1"/>
  <c r="JE41" i="2" s="1"/>
  <c r="JE186" i="2" a="1"/>
  <c r="JE186" i="2" s="1"/>
  <c r="JE63" i="2" a="1"/>
  <c r="JE63" i="2" s="1"/>
  <c r="LP168" i="2" a="1"/>
  <c r="LP168" i="2" s="1"/>
  <c r="LP202" i="2" a="1"/>
  <c r="LP202" i="2" s="1"/>
  <c r="LP200" i="2" a="1"/>
  <c r="LP200" i="2" s="1"/>
  <c r="LP167" i="2" a="1"/>
  <c r="LP167" i="2" s="1"/>
  <c r="LP103" i="2" a="1"/>
  <c r="LP103" i="2" s="1"/>
  <c r="LP185" i="2" a="1"/>
  <c r="LP185" i="2" s="1"/>
  <c r="LP148" i="2" a="1"/>
  <c r="LP148" i="2" s="1"/>
  <c r="LP96" i="2" a="1"/>
  <c r="LP96" i="2" s="1"/>
  <c r="LP164" i="2" a="1"/>
  <c r="LP164" i="2" s="1"/>
  <c r="LP160" i="2" a="1"/>
  <c r="LP160" i="2" s="1"/>
  <c r="LP172" i="2" a="1"/>
  <c r="LP172" i="2" s="1"/>
  <c r="LP146" i="2" a="1"/>
  <c r="LP146" i="2" s="1"/>
  <c r="LP110" i="2" a="1"/>
  <c r="LP110" i="2" s="1"/>
  <c r="LP176" i="2" a="1"/>
  <c r="LP176" i="2" s="1"/>
  <c r="LP123" i="2" a="1"/>
  <c r="LP123" i="2" s="1"/>
  <c r="LP51" i="2" a="1"/>
  <c r="LP51" i="2" s="1"/>
  <c r="LP49" i="2" a="1"/>
  <c r="LP49" i="2" s="1"/>
  <c r="LP70" i="2" a="1"/>
  <c r="LP70" i="2" s="1"/>
  <c r="LP27" i="2" a="1"/>
  <c r="LP27" i="2" s="1"/>
  <c r="LI203" i="2"/>
  <c r="KU202" i="2" a="1"/>
  <c r="KU202" i="2" s="1"/>
  <c r="KU196" i="2" a="1"/>
  <c r="KU196" i="2" s="1"/>
  <c r="JZ79" i="2" a="1"/>
  <c r="JZ79" i="2" s="1"/>
  <c r="JZ97" i="2" a="1"/>
  <c r="JZ97" i="2" s="1"/>
  <c r="JZ90" i="2" a="1"/>
  <c r="JZ90" i="2" s="1"/>
  <c r="JZ158" i="2" a="1"/>
  <c r="JZ158" i="2" s="1"/>
  <c r="JZ26" i="2" a="1"/>
  <c r="JZ26" i="2" s="1"/>
  <c r="JZ60" i="2" a="1"/>
  <c r="JZ60" i="2" s="1"/>
  <c r="JZ82" i="2" a="1"/>
  <c r="JZ82" i="2" s="1"/>
  <c r="JZ174" i="2" a="1"/>
  <c r="JZ174" i="2" s="1"/>
  <c r="JZ124" i="2" a="1"/>
  <c r="JZ124" i="2" s="1"/>
  <c r="JZ96" i="2" a="1"/>
  <c r="JZ96" i="2" s="1"/>
  <c r="JZ21" i="2" a="1"/>
  <c r="JZ21" i="2" s="1"/>
  <c r="JZ162" i="2" a="1"/>
  <c r="JZ162" i="2" s="1"/>
  <c r="JZ55" i="2" a="1"/>
  <c r="JZ55" i="2" s="1"/>
  <c r="JZ182" i="2" a="1"/>
  <c r="JZ182" i="2" s="1"/>
  <c r="JZ95" i="2" a="1"/>
  <c r="JZ95" i="2" s="1"/>
  <c r="JZ193" i="2" a="1"/>
  <c r="JZ193" i="2" s="1"/>
  <c r="JZ49" i="2" a="1"/>
  <c r="JZ49" i="2" s="1"/>
  <c r="JZ75" i="2" a="1"/>
  <c r="JZ75" i="2" s="1"/>
  <c r="JZ48" i="2" a="1"/>
  <c r="JZ48" i="2" s="1"/>
  <c r="JZ194" i="2" a="1"/>
  <c r="JZ194" i="2" s="1"/>
  <c r="JZ156" i="2" a="1"/>
  <c r="JZ156" i="2" s="1"/>
  <c r="JZ114" i="2" a="1"/>
  <c r="JZ114" i="2" s="1"/>
  <c r="JZ166" i="2" a="1"/>
  <c r="JZ166" i="2" s="1"/>
  <c r="JZ52" i="2" a="1"/>
  <c r="JZ52" i="2" s="1"/>
  <c r="JZ201" i="2" a="1"/>
  <c r="JZ201" i="2" s="1"/>
  <c r="JZ86" i="2" a="1"/>
  <c r="JZ86" i="2" s="1"/>
  <c r="JZ16" i="2" a="1"/>
  <c r="JZ16" i="2" s="1"/>
  <c r="JZ72" i="2" a="1"/>
  <c r="JZ72" i="2" s="1"/>
  <c r="JZ122" i="2" a="1"/>
  <c r="JZ122" i="2" s="1"/>
  <c r="JZ153" i="2" a="1"/>
  <c r="JZ153" i="2" s="1"/>
  <c r="JZ118" i="2" a="1"/>
  <c r="JZ118" i="2" s="1"/>
  <c r="JZ129" i="2" a="1"/>
  <c r="JZ129" i="2" s="1"/>
  <c r="JZ192" i="2" a="1"/>
  <c r="JZ192" i="2" s="1"/>
  <c r="JZ181" i="2" a="1"/>
  <c r="JZ181" i="2" s="1"/>
  <c r="JZ33" i="2" a="1"/>
  <c r="JZ33" i="2" s="1"/>
  <c r="JZ69" i="2" a="1"/>
  <c r="JZ69" i="2" s="1"/>
  <c r="JZ180" i="2" a="1"/>
  <c r="JZ180" i="2" s="1"/>
  <c r="JZ183" i="2" a="1"/>
  <c r="JZ183" i="2" s="1"/>
  <c r="JZ199" i="2" a="1"/>
  <c r="JZ199" i="2" s="1"/>
  <c r="JZ168" i="2" a="1"/>
  <c r="JZ168" i="2" s="1"/>
  <c r="JZ136" i="2" a="1"/>
  <c r="JZ136" i="2" s="1"/>
  <c r="JZ172" i="2" a="1"/>
  <c r="JZ172" i="2" s="1"/>
  <c r="JZ80" i="2" a="1"/>
  <c r="JZ80" i="2" s="1"/>
  <c r="JZ74" i="2" a="1"/>
  <c r="JZ74" i="2" s="1"/>
  <c r="JZ173" i="2" a="1"/>
  <c r="JZ173" i="2" s="1"/>
  <c r="MD203" i="2"/>
  <c r="JT203" i="2"/>
  <c r="IJ200" i="2" a="1"/>
  <c r="IJ200" i="2" s="1"/>
  <c r="IY203" i="2"/>
  <c r="HO60" i="2" a="1"/>
  <c r="HO60" i="2" s="1"/>
  <c r="HO98" i="2" a="1"/>
  <c r="HO98" i="2" s="1"/>
  <c r="HO94" i="2" a="1"/>
  <c r="HO94" i="2" s="1"/>
  <c r="HO146" i="2" a="1"/>
  <c r="HO146" i="2" s="1"/>
  <c r="HO118" i="2" a="1"/>
  <c r="HO118" i="2" s="1"/>
  <c r="HO54" i="2" a="1"/>
  <c r="HO54" i="2" s="1"/>
  <c r="HO34" i="2" a="1"/>
  <c r="HO34" i="2" s="1"/>
  <c r="HO108" i="2" a="1"/>
  <c r="HO108" i="2" s="1"/>
  <c r="HO35" i="2" a="1"/>
  <c r="HO35" i="2" s="1"/>
  <c r="HO144" i="2" a="1"/>
  <c r="HO144" i="2" s="1"/>
  <c r="HO132" i="2" a="1"/>
  <c r="HO132" i="2" s="1"/>
  <c r="HO141" i="2" a="1"/>
  <c r="HO141" i="2" s="1"/>
  <c r="HO51" i="2" a="1"/>
  <c r="HO51" i="2" s="1"/>
  <c r="HO22" i="2" a="1"/>
  <c r="HO22" i="2" s="1"/>
  <c r="HO75" i="2" a="1"/>
  <c r="HO75" i="2" s="1"/>
  <c r="HO73" i="2" a="1"/>
  <c r="HO73" i="2" s="1"/>
  <c r="HO70" i="2" a="1"/>
  <c r="HO70" i="2" s="1"/>
  <c r="HO169" i="2" a="1"/>
  <c r="HO169" i="2" s="1"/>
  <c r="HO127" i="2" a="1"/>
  <c r="HO127" i="2" s="1"/>
  <c r="HO107" i="2" a="1"/>
  <c r="HO107" i="2" s="1"/>
  <c r="HO28" i="2" a="1"/>
  <c r="HO28" i="2" s="1"/>
  <c r="HO88" i="2" a="1"/>
  <c r="HO88" i="2" s="1"/>
  <c r="HO11" i="2" a="1"/>
  <c r="HO11" i="2" s="1"/>
  <c r="HO155" i="2" a="1"/>
  <c r="HO155" i="2" s="1"/>
  <c r="HO184" i="2" a="1"/>
  <c r="HO184" i="2" s="1"/>
  <c r="HO100" i="2" a="1"/>
  <c r="HO100" i="2" s="1"/>
  <c r="HO77" i="2" a="1"/>
  <c r="HO77" i="2" s="1"/>
  <c r="HO197" i="2" a="1"/>
  <c r="HO197" i="2" s="1"/>
  <c r="HO41" i="2" a="1"/>
  <c r="HO41" i="2" s="1"/>
  <c r="HO49" i="2" a="1"/>
  <c r="HO49" i="2" s="1"/>
  <c r="HO129" i="2" a="1"/>
  <c r="HO129" i="2" s="1"/>
  <c r="HO57" i="2" a="1"/>
  <c r="HO57" i="2" s="1"/>
  <c r="HO134" i="2" a="1"/>
  <c r="HO134" i="2" s="1"/>
  <c r="HO32" i="2" a="1"/>
  <c r="HO32" i="2" s="1"/>
  <c r="HO109" i="2" a="1"/>
  <c r="HO109" i="2" s="1"/>
  <c r="HO140" i="2" a="1"/>
  <c r="HO140" i="2" s="1"/>
  <c r="HO25" i="2" a="1"/>
  <c r="HO25" i="2" s="1"/>
  <c r="HO112" i="2" a="1"/>
  <c r="HO112" i="2" s="1"/>
  <c r="HO188" i="2" a="1"/>
  <c r="HO188" i="2" s="1"/>
  <c r="HO18" i="2" a="1"/>
  <c r="HO18" i="2" s="1"/>
  <c r="HO101" i="2" a="1"/>
  <c r="HO101" i="2" s="1"/>
  <c r="HO40" i="2" a="1"/>
  <c r="HO40" i="2" s="1"/>
  <c r="HO13" i="2" a="1"/>
  <c r="HO13" i="2" s="1"/>
  <c r="HO15" i="2" a="1"/>
  <c r="HO15" i="2" s="1"/>
  <c r="HO125" i="2" a="1"/>
  <c r="HO125" i="2" s="1"/>
  <c r="HO131" i="2" a="1"/>
  <c r="HO131" i="2" s="1"/>
  <c r="HO120" i="2" a="1"/>
  <c r="HO120" i="2" s="1"/>
  <c r="HO82" i="2" a="1"/>
  <c r="HO82" i="2" s="1"/>
  <c r="HO176" i="2" a="1"/>
  <c r="HO176" i="2" s="1"/>
  <c r="HO161" i="2" a="1"/>
  <c r="HO161" i="2" s="1"/>
  <c r="HO167" i="2" a="1"/>
  <c r="HO167" i="2" s="1"/>
  <c r="HO39" i="2" a="1"/>
  <c r="HO39" i="2" s="1"/>
  <c r="HO50" i="2" a="1"/>
  <c r="HO50" i="2" s="1"/>
  <c r="HO17" i="2" a="1"/>
  <c r="HO17" i="2" s="1"/>
  <c r="HO26" i="2" a="1"/>
  <c r="HO26" i="2" s="1"/>
  <c r="HO12" i="2" a="1"/>
  <c r="HO12" i="2" s="1"/>
  <c r="HO149" i="2" a="1"/>
  <c r="HO149" i="2" s="1"/>
  <c r="HO36" i="2" a="1"/>
  <c r="HO36" i="2" s="1"/>
  <c r="HO163" i="2" a="1"/>
  <c r="HO163" i="2" s="1"/>
  <c r="HO21" i="2" a="1"/>
  <c r="HO21" i="2" s="1"/>
  <c r="HO128" i="2" a="1"/>
  <c r="HO128" i="2" s="1"/>
  <c r="HO58" i="2" a="1"/>
  <c r="HO58" i="2" s="1"/>
  <c r="HO200" i="2" a="1"/>
  <c r="HO200" i="2" s="1"/>
  <c r="HO133" i="2" a="1"/>
  <c r="HO133" i="2" s="1"/>
  <c r="HO180" i="2" a="1"/>
  <c r="HO180" i="2" s="1"/>
  <c r="HO47" i="2" a="1"/>
  <c r="HO47" i="2" s="1"/>
  <c r="HO139" i="2" a="1"/>
  <c r="HO139" i="2" s="1"/>
  <c r="HO23" i="2" a="1"/>
  <c r="HO23" i="2" s="1"/>
  <c r="HO63" i="2" a="1"/>
  <c r="HO63" i="2" s="1"/>
  <c r="HO79" i="2" a="1"/>
  <c r="HO79" i="2" s="1"/>
  <c r="HO137" i="2" a="1"/>
  <c r="HO137" i="2" s="1"/>
  <c r="HO202" i="2" a="1"/>
  <c r="HO202" i="2" s="1"/>
  <c r="HO71" i="2" a="1"/>
  <c r="HO71" i="2" s="1"/>
  <c r="IC203" i="2"/>
  <c r="HJ202" i="2"/>
  <c r="FY196" i="2" a="1"/>
  <c r="FY196" i="2" s="1"/>
  <c r="FY102" i="2" a="1"/>
  <c r="FY102" i="2" s="1"/>
  <c r="FY92" i="2" a="1"/>
  <c r="FY92" i="2" s="1"/>
  <c r="FY182" i="2" a="1"/>
  <c r="FY182" i="2" s="1"/>
  <c r="FY66" i="2" a="1"/>
  <c r="FY66" i="2" s="1"/>
  <c r="FY120" i="2" a="1"/>
  <c r="FY120" i="2" s="1"/>
  <c r="FY152" i="2" a="1"/>
  <c r="FY152" i="2" s="1"/>
  <c r="FY58" i="2" a="1"/>
  <c r="FY58" i="2" s="1"/>
  <c r="FY186" i="2" a="1"/>
  <c r="FY186" i="2" s="1"/>
  <c r="FY121" i="2" a="1"/>
  <c r="FY121" i="2" s="1"/>
  <c r="FY104" i="2" a="1"/>
  <c r="FY104" i="2" s="1"/>
  <c r="FY126" i="2" a="1"/>
  <c r="FY126" i="2" s="1"/>
  <c r="FY173" i="2" a="1"/>
  <c r="FY173" i="2" s="1"/>
  <c r="FY133" i="2" a="1"/>
  <c r="FY133" i="2" s="1"/>
  <c r="FY169" i="2" a="1"/>
  <c r="FY169" i="2" s="1"/>
  <c r="FY32" i="2" a="1"/>
  <c r="FY32" i="2" s="1"/>
  <c r="FY62" i="2" a="1"/>
  <c r="FY62" i="2" s="1"/>
  <c r="FY22" i="2" a="1"/>
  <c r="FY22" i="2" s="1"/>
  <c r="FY190" i="2" a="1"/>
  <c r="FY190" i="2" s="1"/>
  <c r="FY90" i="2" a="1"/>
  <c r="FY90" i="2" s="1"/>
  <c r="FY72" i="2" a="1"/>
  <c r="FY72" i="2" s="1"/>
  <c r="FY73" i="2" a="1"/>
  <c r="FY73" i="2" s="1"/>
  <c r="FY86" i="2" a="1"/>
  <c r="FY86" i="2" s="1"/>
  <c r="FY178" i="2" a="1"/>
  <c r="FY178" i="2" s="1"/>
  <c r="FY50" i="2" a="1"/>
  <c r="FY50" i="2" s="1"/>
  <c r="FY55" i="2" a="1"/>
  <c r="FY55" i="2" s="1"/>
  <c r="FY47" i="2" a="1"/>
  <c r="FY47" i="2" s="1"/>
  <c r="FY167" i="2" a="1"/>
  <c r="FY167" i="2" s="1"/>
  <c r="FY34" i="2" a="1"/>
  <c r="FY34" i="2" s="1"/>
  <c r="FY188" i="2" a="1"/>
  <c r="FY188" i="2" s="1"/>
  <c r="FY159" i="2" a="1"/>
  <c r="FY159" i="2" s="1"/>
  <c r="FY140" i="2" a="1"/>
  <c r="FY140" i="2" s="1"/>
  <c r="FY116" i="2" a="1"/>
  <c r="FY116" i="2" s="1"/>
  <c r="FY82" i="2" a="1"/>
  <c r="FY82" i="2" s="1"/>
  <c r="FY69" i="2" a="1"/>
  <c r="FY69" i="2" s="1"/>
  <c r="FY111" i="2" a="1"/>
  <c r="FY111" i="2" s="1"/>
  <c r="FY115" i="2" a="1"/>
  <c r="FY115" i="2" s="1"/>
  <c r="FY54" i="2" a="1"/>
  <c r="FY54" i="2" s="1"/>
  <c r="FY71" i="2" a="1"/>
  <c r="FY71" i="2" s="1"/>
  <c r="FY172" i="2" a="1"/>
  <c r="FY172" i="2" s="1"/>
  <c r="FY18" i="2" a="1"/>
  <c r="FY18" i="2" s="1"/>
  <c r="FY142" i="2" a="1"/>
  <c r="FY142" i="2" s="1"/>
  <c r="FY164" i="2" a="1"/>
  <c r="FY164" i="2" s="1"/>
  <c r="FY28" i="2" a="1"/>
  <c r="FY28" i="2" s="1"/>
  <c r="FY143" i="2" a="1"/>
  <c r="FY143" i="2" s="1"/>
  <c r="FY29" i="2" a="1"/>
  <c r="FY29" i="2" s="1"/>
  <c r="FD194" i="2" a="1"/>
  <c r="FD194" i="2" s="1"/>
  <c r="FD60" i="2" a="1"/>
  <c r="FD60" i="2" s="1"/>
  <c r="FD21" i="2" a="1"/>
  <c r="FD21" i="2" s="1"/>
  <c r="FD19" i="2" a="1"/>
  <c r="FD19" i="2" s="1"/>
  <c r="FD188" i="2" a="1"/>
  <c r="FD188" i="2" s="1"/>
  <c r="FD144" i="2" a="1"/>
  <c r="FD144" i="2" s="1"/>
  <c r="FD167" i="2" a="1"/>
  <c r="FD167" i="2" s="1"/>
  <c r="FD44" i="2" a="1"/>
  <c r="FD44" i="2" s="1"/>
  <c r="FD160" i="2" a="1"/>
  <c r="FD160" i="2" s="1"/>
  <c r="FD159" i="2" a="1"/>
  <c r="FD159" i="2" s="1"/>
  <c r="FD131" i="2" a="1"/>
  <c r="FD131" i="2" s="1"/>
  <c r="FD137" i="2" a="1"/>
  <c r="FD137" i="2" s="1"/>
  <c r="FD43" i="2" a="1"/>
  <c r="FD43" i="2" s="1"/>
  <c r="FD48" i="2" a="1"/>
  <c r="FD48" i="2" s="1"/>
  <c r="FD82" i="2" a="1"/>
  <c r="FD82" i="2" s="1"/>
  <c r="FD59" i="2" a="1"/>
  <c r="FD59" i="2" s="1"/>
  <c r="FD107" i="2" a="1"/>
  <c r="FD107" i="2" s="1"/>
  <c r="FD64" i="2" a="1"/>
  <c r="FD64" i="2" s="1"/>
  <c r="HH203" i="2"/>
  <c r="EI38" i="2" a="1"/>
  <c r="EI38" i="2" s="1"/>
  <c r="EI142" i="2" a="1"/>
  <c r="EI142" i="2" s="1"/>
  <c r="EI145" i="2" a="1"/>
  <c r="EI145" i="2" s="1"/>
  <c r="EI20" i="2" a="1"/>
  <c r="EI20" i="2" s="1"/>
  <c r="EI34" i="2" a="1"/>
  <c r="EI34" i="2" s="1"/>
  <c r="EI150" i="2" a="1"/>
  <c r="EI150" i="2" s="1"/>
  <c r="EI170" i="2" a="1"/>
  <c r="EI170" i="2" s="1"/>
  <c r="EI16" i="2" a="1"/>
  <c r="EI16" i="2" s="1"/>
  <c r="EI113" i="2" a="1"/>
  <c r="EI113" i="2" s="1"/>
  <c r="EI178" i="2" a="1"/>
  <c r="EI178" i="2" s="1"/>
  <c r="EI128" i="2" a="1"/>
  <c r="EI128" i="2" s="1"/>
  <c r="EI162" i="2" a="1"/>
  <c r="EI162" i="2" s="1"/>
  <c r="EI165" i="2" a="1"/>
  <c r="EI165" i="2" s="1"/>
  <c r="EI29" i="2" a="1"/>
  <c r="EI29" i="2" s="1"/>
  <c r="DN49" i="2" a="1"/>
  <c r="DN49" i="2" s="1"/>
  <c r="DN113" i="2" a="1"/>
  <c r="DN113" i="2" s="1"/>
  <c r="DN176" i="2" a="1"/>
  <c r="DN176" i="2" s="1"/>
  <c r="DN164" i="2" a="1"/>
  <c r="DN164" i="2" s="1"/>
  <c r="DN150" i="2" a="1"/>
  <c r="DN150" i="2" s="1"/>
  <c r="DN25" i="2" a="1"/>
  <c r="DN25" i="2" s="1"/>
  <c r="DN187" i="2" a="1"/>
  <c r="DN187" i="2" s="1"/>
  <c r="DN38" i="2" a="1"/>
  <c r="DN38" i="2" s="1"/>
  <c r="DN152" i="2" a="1"/>
  <c r="DN152" i="2" s="1"/>
  <c r="DN65" i="2" a="1"/>
  <c r="DN65" i="2" s="1"/>
  <c r="DN63" i="2" a="1"/>
  <c r="DN63" i="2" s="1"/>
  <c r="DN188" i="2" a="1"/>
  <c r="DN188" i="2" s="1"/>
  <c r="DN29" i="2" a="1"/>
  <c r="DN29" i="2" s="1"/>
  <c r="DN133" i="2" a="1"/>
  <c r="DN133" i="2" s="1"/>
  <c r="DN66" i="2" a="1"/>
  <c r="DN66" i="2" s="1"/>
  <c r="DN70" i="2" a="1"/>
  <c r="DN70" i="2" s="1"/>
  <c r="DN86" i="2" a="1"/>
  <c r="DN86" i="2" s="1"/>
  <c r="DN41" i="2" a="1"/>
  <c r="DN41" i="2" s="1"/>
  <c r="BX107" i="2" a="1"/>
  <c r="BX107" i="2" s="1"/>
  <c r="BC38" i="2" a="1"/>
  <c r="BC38" i="2" s="1"/>
  <c r="BC126" i="2" a="1"/>
  <c r="BC126" i="2" s="1"/>
  <c r="BC82" i="2" a="1"/>
  <c r="BC82" i="2" s="1"/>
  <c r="BC130" i="2" a="1"/>
  <c r="BC130" i="2" s="1"/>
  <c r="BC83" i="2" a="1"/>
  <c r="BC83" i="2" s="1"/>
  <c r="BC47" i="2" a="1"/>
  <c r="BC47" i="2" s="1"/>
  <c r="BC7" i="2" a="1"/>
  <c r="BC7" i="2" s="1"/>
  <c r="BD7" i="2" s="1"/>
  <c r="BC185" i="2" a="1"/>
  <c r="BC185" i="2" s="1"/>
  <c r="BC143" i="2" a="1"/>
  <c r="BC143" i="2" s="1"/>
  <c r="BC31" i="2" a="1"/>
  <c r="BC31" i="2" s="1"/>
  <c r="BC32" i="2" a="1"/>
  <c r="BC32" i="2" s="1"/>
  <c r="BC164" i="2" a="1"/>
  <c r="BC164" i="2" s="1"/>
  <c r="BC192" i="2" a="1"/>
  <c r="BC192" i="2" s="1"/>
  <c r="BC65" i="2" a="1"/>
  <c r="BC65" i="2" s="1"/>
  <c r="BC151" i="2" a="1"/>
  <c r="BC151" i="2" s="1"/>
  <c r="BC68" i="2" a="1"/>
  <c r="BC68" i="2" s="1"/>
  <c r="BC58" i="2" a="1"/>
  <c r="BC58" i="2" s="1"/>
  <c r="BC34" i="2" a="1"/>
  <c r="BC34" i="2" s="1"/>
  <c r="BC84" i="2" a="1"/>
  <c r="BC84" i="2" s="1"/>
  <c r="BC117" i="2" a="1"/>
  <c r="BC117" i="2" s="1"/>
  <c r="BC181" i="2" a="1"/>
  <c r="BC181" i="2" s="1"/>
  <c r="BC18" i="2" a="1"/>
  <c r="BC18" i="2" s="1"/>
  <c r="BC55" i="2" a="1"/>
  <c r="BC55" i="2" s="1"/>
  <c r="BC114" i="2" a="1"/>
  <c r="BC114" i="2" s="1"/>
  <c r="AH19" i="2" a="1"/>
  <c r="AH19" i="2" s="1"/>
  <c r="AH90" i="2" a="1"/>
  <c r="AH90" i="2" s="1"/>
  <c r="ML7" i="2"/>
  <c r="MM6" i="2"/>
  <c r="MN6" i="2" s="1"/>
  <c r="MO6" i="2" s="1"/>
  <c r="MP6" i="2" s="1"/>
  <c r="OW7" i="2"/>
  <c r="OX6" i="2"/>
  <c r="OY6" i="2" s="1"/>
  <c r="OZ6" i="2" s="1"/>
  <c r="PA6" i="2" s="1"/>
  <c r="OB7" i="2"/>
  <c r="OC6" i="2"/>
  <c r="OD6" i="2" s="1"/>
  <c r="OE6" i="2" s="1"/>
  <c r="OF6" i="2" s="1"/>
  <c r="AH92" i="2" a="1"/>
  <c r="AH92" i="2" s="1"/>
  <c r="HG203" i="2"/>
  <c r="IW203" i="2"/>
  <c r="IZ203" i="2" s="1"/>
  <c r="IZ202" i="2"/>
  <c r="NH6" i="2"/>
  <c r="NI6" i="2" s="1"/>
  <c r="NJ6" i="2" s="1"/>
  <c r="NK6" i="2" s="1"/>
  <c r="JG6" i="2"/>
  <c r="JH6" i="2" s="1"/>
  <c r="JI6" i="2" s="1"/>
  <c r="JJ6" i="2" s="1"/>
  <c r="HO203" i="2" a="1"/>
  <c r="HO203" i="2" s="1"/>
  <c r="HO115" i="2" a="1"/>
  <c r="HO115" i="2" s="1"/>
  <c r="HO182" i="2" a="1"/>
  <c r="HO182" i="2" s="1"/>
  <c r="HO136" i="2" a="1"/>
  <c r="HO136" i="2" s="1"/>
  <c r="HO84" i="2" a="1"/>
  <c r="HO84" i="2" s="1"/>
  <c r="HO130" i="2" a="1"/>
  <c r="HO130" i="2" s="1"/>
  <c r="HO189" i="2" a="1"/>
  <c r="HO189" i="2" s="1"/>
  <c r="HO30" i="2" a="1"/>
  <c r="HO30" i="2" s="1"/>
  <c r="HO104" i="2" a="1"/>
  <c r="HO104" i="2" s="1"/>
  <c r="HO46" i="2" a="1"/>
  <c r="HO46" i="2" s="1"/>
  <c r="HO195" i="2" a="1"/>
  <c r="HO195" i="2" s="1"/>
  <c r="HO196" i="2" a="1"/>
  <c r="HO196" i="2" s="1"/>
  <c r="HO170" i="2" a="1"/>
  <c r="HO170" i="2" s="1"/>
  <c r="HO151" i="2" a="1"/>
  <c r="HO151" i="2" s="1"/>
  <c r="HO135" i="2" a="1"/>
  <c r="HO135" i="2" s="1"/>
  <c r="HO185" i="2" a="1"/>
  <c r="HO185" i="2" s="1"/>
  <c r="HO74" i="2" a="1"/>
  <c r="HO74" i="2" s="1"/>
  <c r="HO110" i="2" a="1"/>
  <c r="HO110" i="2" s="1"/>
  <c r="HO147" i="2" a="1"/>
  <c r="HO147" i="2" s="1"/>
  <c r="HO168" i="2" a="1"/>
  <c r="HO168" i="2" s="1"/>
  <c r="HO166" i="2" a="1"/>
  <c r="HO166" i="2" s="1"/>
  <c r="HO172" i="2" a="1"/>
  <c r="HO172" i="2" s="1"/>
  <c r="HO201" i="2" a="1"/>
  <c r="HO201" i="2" s="1"/>
  <c r="HO14" i="2" a="1"/>
  <c r="HO14" i="2" s="1"/>
  <c r="HO187" i="2" a="1"/>
  <c r="HO187" i="2" s="1"/>
  <c r="HO152" i="2" a="1"/>
  <c r="HO152" i="2" s="1"/>
  <c r="HO87" i="2" a="1"/>
  <c r="HO87" i="2" s="1"/>
  <c r="HO27" i="2" a="1"/>
  <c r="HO27" i="2" s="1"/>
  <c r="HO105" i="2" a="1"/>
  <c r="HO105" i="2" s="1"/>
  <c r="HO186" i="2" a="1"/>
  <c r="HO186" i="2" s="1"/>
  <c r="HO7" i="2" a="1"/>
  <c r="HO7" i="2" s="1"/>
  <c r="HO91" i="2" a="1"/>
  <c r="HO91" i="2" s="1"/>
  <c r="HO95" i="2" a="1"/>
  <c r="HO95" i="2" s="1"/>
  <c r="HO42" i="2" a="1"/>
  <c r="HO42" i="2" s="1"/>
  <c r="HO96" i="2" a="1"/>
  <c r="HO96" i="2" s="1"/>
  <c r="HO145" i="2" a="1"/>
  <c r="HO145" i="2" s="1"/>
  <c r="HO150" i="2" a="1"/>
  <c r="HO150" i="2" s="1"/>
  <c r="HO162" i="2" a="1"/>
  <c r="HO162" i="2" s="1"/>
  <c r="HO19" i="2" a="1"/>
  <c r="HO19" i="2" s="1"/>
  <c r="HO10" i="2" a="1"/>
  <c r="HO10" i="2" s="1"/>
  <c r="HO190" i="2" a="1"/>
  <c r="HO190" i="2" s="1"/>
  <c r="HO59" i="2" a="1"/>
  <c r="HO59" i="2" s="1"/>
  <c r="HO148" i="2" a="1"/>
  <c r="HO148" i="2" s="1"/>
  <c r="HO122" i="2" a="1"/>
  <c r="HO122" i="2" s="1"/>
  <c r="HO113" i="2" a="1"/>
  <c r="HO113" i="2" s="1"/>
  <c r="HO85" i="2" a="1"/>
  <c r="HO85" i="2" s="1"/>
  <c r="HO83" i="2" a="1"/>
  <c r="HO83" i="2" s="1"/>
  <c r="HO142" i="2" a="1"/>
  <c r="HO142" i="2" s="1"/>
  <c r="HO9" i="2" a="1"/>
  <c r="HO9" i="2" s="1"/>
  <c r="HO37" i="2" a="1"/>
  <c r="HO37" i="2" s="1"/>
  <c r="HO29" i="2" a="1"/>
  <c r="HO29" i="2" s="1"/>
  <c r="HO183" i="2" a="1"/>
  <c r="HO183" i="2" s="1"/>
  <c r="HO44" i="2" a="1"/>
  <c r="HO44" i="2" s="1"/>
  <c r="HO92" i="2" a="1"/>
  <c r="HO92" i="2" s="1"/>
  <c r="HO86" i="2" a="1"/>
  <c r="HO86" i="2" s="1"/>
  <c r="HO33" i="2" a="1"/>
  <c r="HO33" i="2" s="1"/>
  <c r="HO177" i="2" a="1"/>
  <c r="HO177" i="2" s="1"/>
  <c r="HO174" i="2" a="1"/>
  <c r="HO174" i="2" s="1"/>
  <c r="HO93" i="2" a="1"/>
  <c r="HO93" i="2" s="1"/>
  <c r="HO138" i="2" a="1"/>
  <c r="HO138" i="2" s="1"/>
  <c r="HO56" i="2" a="1"/>
  <c r="HO56" i="2" s="1"/>
  <c r="HO193" i="2" a="1"/>
  <c r="HO193" i="2" s="1"/>
  <c r="HO158" i="2" a="1"/>
  <c r="HO158" i="2" s="1"/>
  <c r="HO78" i="2" a="1"/>
  <c r="HO78" i="2" s="1"/>
  <c r="HO102" i="2" a="1"/>
  <c r="HO102" i="2" s="1"/>
  <c r="HO143" i="2" a="1"/>
  <c r="HO143" i="2" s="1"/>
  <c r="HO159" i="2" a="1"/>
  <c r="HO159" i="2" s="1"/>
  <c r="HO65" i="2" a="1"/>
  <c r="HO65" i="2" s="1"/>
  <c r="HO80" i="2" a="1"/>
  <c r="HO80" i="2" s="1"/>
  <c r="HO45" i="2" a="1"/>
  <c r="HO45" i="2" s="1"/>
  <c r="HO81" i="2" a="1"/>
  <c r="HO81" i="2" s="1"/>
  <c r="HO153" i="2" a="1"/>
  <c r="HO153" i="2" s="1"/>
  <c r="HO72" i="2" a="1"/>
  <c r="HO72" i="2" s="1"/>
  <c r="HO69" i="2" a="1"/>
  <c r="HO69" i="2" s="1"/>
  <c r="HO119" i="2" a="1"/>
  <c r="HO119" i="2" s="1"/>
  <c r="HO116" i="2" a="1"/>
  <c r="HO116" i="2" s="1"/>
  <c r="HO38" i="2" a="1"/>
  <c r="HO38" i="2" s="1"/>
  <c r="HO157" i="2" a="1"/>
  <c r="HO157" i="2" s="1"/>
  <c r="HO16" i="2" a="1"/>
  <c r="HO16" i="2" s="1"/>
  <c r="HO156" i="2" a="1"/>
  <c r="HO156" i="2" s="1"/>
  <c r="HO31" i="2" a="1"/>
  <c r="HO31" i="2" s="1"/>
  <c r="HO154" i="2" a="1"/>
  <c r="HO154" i="2" s="1"/>
  <c r="NF203" i="2" a="1"/>
  <c r="NF203" i="2" s="1"/>
  <c r="NF112" i="2" a="1"/>
  <c r="NF112" i="2" s="1"/>
  <c r="NF98" i="2" a="1"/>
  <c r="NF98" i="2" s="1"/>
  <c r="NF72" i="2" a="1"/>
  <c r="NF72" i="2" s="1"/>
  <c r="NF113" i="2" a="1"/>
  <c r="NF113" i="2" s="1"/>
  <c r="NF23" i="2" a="1"/>
  <c r="NF23" i="2" s="1"/>
  <c r="NF61" i="2" a="1"/>
  <c r="NF61" i="2" s="1"/>
  <c r="NF151" i="2" a="1"/>
  <c r="NF151" i="2" s="1"/>
  <c r="NF150" i="2" a="1"/>
  <c r="NF150" i="2" s="1"/>
  <c r="NF34" i="2" a="1"/>
  <c r="NF34" i="2" s="1"/>
  <c r="NF174" i="2" a="1"/>
  <c r="NF174" i="2" s="1"/>
  <c r="NF143" i="2" a="1"/>
  <c r="NF143" i="2" s="1"/>
  <c r="NF128" i="2" a="1"/>
  <c r="NF128" i="2" s="1"/>
  <c r="NF114" i="2" a="1"/>
  <c r="NF114" i="2" s="1"/>
  <c r="NF86" i="2" a="1"/>
  <c r="NF86" i="2" s="1"/>
  <c r="NF195" i="2" a="1"/>
  <c r="NF195" i="2" s="1"/>
  <c r="NF158" i="2" a="1"/>
  <c r="NF158" i="2" s="1"/>
  <c r="NF122" i="2" a="1"/>
  <c r="NF122" i="2" s="1"/>
  <c r="NF76" i="2" a="1"/>
  <c r="NF76" i="2" s="1"/>
  <c r="NF50" i="2" a="1"/>
  <c r="NF50" i="2" s="1"/>
  <c r="NF116" i="2" a="1"/>
  <c r="NF116" i="2" s="1"/>
  <c r="NF13" i="2" a="1"/>
  <c r="NF13" i="2" s="1"/>
  <c r="NF188" i="2" a="1"/>
  <c r="NF188" i="2" s="1"/>
  <c r="NF82" i="2" a="1"/>
  <c r="NF82" i="2" s="1"/>
  <c r="NF171" i="2" a="1"/>
  <c r="NF171" i="2" s="1"/>
  <c r="NF123" i="2" a="1"/>
  <c r="NF123" i="2" s="1"/>
  <c r="NF198" i="2" a="1"/>
  <c r="NF198" i="2" s="1"/>
  <c r="NF95" i="2" a="1"/>
  <c r="NF95" i="2" s="1"/>
  <c r="NF32" i="2" a="1"/>
  <c r="NF32" i="2" s="1"/>
  <c r="NF33" i="2" a="1"/>
  <c r="NF33" i="2" s="1"/>
  <c r="NF52" i="2" a="1"/>
  <c r="NF52" i="2" s="1"/>
  <c r="NF67" i="2" a="1"/>
  <c r="NF67" i="2" s="1"/>
  <c r="NF7" i="2" a="1"/>
  <c r="NF7" i="2" s="1"/>
  <c r="NG7" i="2" s="1"/>
  <c r="NF30" i="2" a="1"/>
  <c r="NF30" i="2" s="1"/>
  <c r="NF79" i="2" a="1"/>
  <c r="NF79" i="2" s="1"/>
  <c r="NF147" i="2" a="1"/>
  <c r="NF147" i="2" s="1"/>
  <c r="NF162" i="2" a="1"/>
  <c r="NF162" i="2" s="1"/>
  <c r="NF187" i="2" a="1"/>
  <c r="NF187" i="2" s="1"/>
  <c r="NF81" i="2" a="1"/>
  <c r="NF81" i="2" s="1"/>
  <c r="NF25" i="2" a="1"/>
  <c r="NF25" i="2" s="1"/>
  <c r="NF201" i="2" a="1"/>
  <c r="NF201" i="2" s="1"/>
  <c r="NF12" i="2" a="1"/>
  <c r="NF12" i="2" s="1"/>
  <c r="NF77" i="2" a="1"/>
  <c r="NF77" i="2" s="1"/>
  <c r="NF173" i="2" a="1"/>
  <c r="NF173" i="2" s="1"/>
  <c r="NF170" i="2" a="1"/>
  <c r="NF170" i="2" s="1"/>
  <c r="NF22" i="2" a="1"/>
  <c r="NF22" i="2" s="1"/>
  <c r="NF193" i="2" a="1"/>
  <c r="NF193" i="2" s="1"/>
  <c r="NF110" i="2" a="1"/>
  <c r="NF110" i="2" s="1"/>
  <c r="NF182" i="2" a="1"/>
  <c r="NF182" i="2" s="1"/>
  <c r="NF45" i="2" a="1"/>
  <c r="NF45" i="2" s="1"/>
  <c r="NF160" i="2" a="1"/>
  <c r="NF160" i="2" s="1"/>
  <c r="NF156" i="2" a="1"/>
  <c r="NF156" i="2" s="1"/>
  <c r="NF73" i="2" a="1"/>
  <c r="NF73" i="2" s="1"/>
  <c r="NF172" i="2" a="1"/>
  <c r="NF172" i="2" s="1"/>
  <c r="NF149" i="2" a="1"/>
  <c r="NF149" i="2" s="1"/>
  <c r="NF28" i="2" a="1"/>
  <c r="NF28" i="2" s="1"/>
  <c r="NF177" i="2" a="1"/>
  <c r="NF177" i="2" s="1"/>
  <c r="NF136" i="2" a="1"/>
  <c r="NF136" i="2" s="1"/>
  <c r="NF119" i="2" a="1"/>
  <c r="NF119" i="2" s="1"/>
  <c r="NF197" i="2" a="1"/>
  <c r="NF197" i="2" s="1"/>
  <c r="NF100" i="2" a="1"/>
  <c r="NF100" i="2" s="1"/>
  <c r="NF179" i="2" a="1"/>
  <c r="NF179" i="2" s="1"/>
  <c r="NF91" i="2" a="1"/>
  <c r="NF91" i="2" s="1"/>
  <c r="NF60" i="2" a="1"/>
  <c r="NF60" i="2" s="1"/>
  <c r="NF104" i="2" a="1"/>
  <c r="NF104" i="2" s="1"/>
  <c r="NF117" i="2" a="1"/>
  <c r="NF117" i="2" s="1"/>
  <c r="NF9" i="2" a="1"/>
  <c r="NF9" i="2" s="1"/>
  <c r="NF102" i="2" a="1"/>
  <c r="NF102" i="2" s="1"/>
  <c r="NF49" i="2" a="1"/>
  <c r="NF49" i="2" s="1"/>
  <c r="NF29" i="2" a="1"/>
  <c r="NF29" i="2" s="1"/>
  <c r="NF39" i="2" a="1"/>
  <c r="NF39" i="2" s="1"/>
  <c r="NF17" i="2" a="1"/>
  <c r="NF17" i="2" s="1"/>
  <c r="NF118" i="2" a="1"/>
  <c r="NF118" i="2" s="1"/>
  <c r="NF58" i="2" a="1"/>
  <c r="NF58" i="2" s="1"/>
  <c r="NF36" i="2" a="1"/>
  <c r="NF36" i="2" s="1"/>
  <c r="NF14" i="2" a="1"/>
  <c r="NF14" i="2" s="1"/>
  <c r="NF44" i="2" a="1"/>
  <c r="NF44" i="2" s="1"/>
  <c r="NF66" i="2" a="1"/>
  <c r="NF66" i="2" s="1"/>
  <c r="NF64" i="2" a="1"/>
  <c r="NF64" i="2" s="1"/>
  <c r="NF20" i="2" a="1"/>
  <c r="NF20" i="2" s="1"/>
  <c r="NF56" i="2" a="1"/>
  <c r="NF56" i="2" s="1"/>
  <c r="NF176" i="2" a="1"/>
  <c r="NF176" i="2" s="1"/>
  <c r="OV203" i="2" a="1"/>
  <c r="OV203" i="2" s="1"/>
  <c r="OV17" i="2" a="1"/>
  <c r="OV17" i="2" s="1"/>
  <c r="OV36" i="2" a="1"/>
  <c r="OV36" i="2" s="1"/>
  <c r="OV172" i="2" a="1"/>
  <c r="OV172" i="2" s="1"/>
  <c r="OV18" i="2" a="1"/>
  <c r="OV18" i="2" s="1"/>
  <c r="OV30" i="2" a="1"/>
  <c r="OV30" i="2" s="1"/>
  <c r="OV120" i="2" a="1"/>
  <c r="OV120" i="2" s="1"/>
  <c r="OV80" i="2" a="1"/>
  <c r="OV80" i="2" s="1"/>
  <c r="OV29" i="2" a="1"/>
  <c r="OV29" i="2" s="1"/>
  <c r="OV122" i="2" a="1"/>
  <c r="OV122" i="2" s="1"/>
  <c r="OV200" i="2" a="1"/>
  <c r="OV200" i="2" s="1"/>
  <c r="OV181" i="2" a="1"/>
  <c r="OV181" i="2" s="1"/>
  <c r="OV121" i="2" a="1"/>
  <c r="OV121" i="2" s="1"/>
  <c r="OV11" i="2" a="1"/>
  <c r="OV11" i="2" s="1"/>
  <c r="OV193" i="2" a="1"/>
  <c r="OV193" i="2" s="1"/>
  <c r="OV95" i="2" a="1"/>
  <c r="OV95" i="2" s="1"/>
  <c r="OV129" i="2" a="1"/>
  <c r="OV129" i="2" s="1"/>
  <c r="OV33" i="2" a="1"/>
  <c r="OV33" i="2" s="1"/>
  <c r="OV104" i="2" a="1"/>
  <c r="OV104" i="2" s="1"/>
  <c r="OV55" i="2" a="1"/>
  <c r="OV55" i="2" s="1"/>
  <c r="OV23" i="2" a="1"/>
  <c r="OV23" i="2" s="1"/>
  <c r="OV73" i="2" a="1"/>
  <c r="OV73" i="2" s="1"/>
  <c r="OV171" i="2" a="1"/>
  <c r="OV171" i="2" s="1"/>
  <c r="OV164" i="2" a="1"/>
  <c r="OV164" i="2" s="1"/>
  <c r="OV71" i="2" a="1"/>
  <c r="OV71" i="2" s="1"/>
  <c r="OV183" i="2" a="1"/>
  <c r="OV183" i="2" s="1"/>
  <c r="OV34" i="2" a="1"/>
  <c r="OV34" i="2" s="1"/>
  <c r="OV57" i="2" a="1"/>
  <c r="OV57" i="2" s="1"/>
  <c r="OV175" i="2" a="1"/>
  <c r="OV175" i="2" s="1"/>
  <c r="OV180" i="2" a="1"/>
  <c r="OV180" i="2" s="1"/>
  <c r="OV100" i="2" a="1"/>
  <c r="OV100" i="2" s="1"/>
  <c r="OV109" i="2" a="1"/>
  <c r="OV109" i="2" s="1"/>
  <c r="OV153" i="2" a="1"/>
  <c r="OV153" i="2" s="1"/>
  <c r="OV136" i="2" a="1"/>
  <c r="OV136" i="2" s="1"/>
  <c r="OV82" i="2" a="1"/>
  <c r="OV82" i="2" s="1"/>
  <c r="OV174" i="2" a="1"/>
  <c r="OV174" i="2" s="1"/>
  <c r="OV132" i="2" a="1"/>
  <c r="OV132" i="2" s="1"/>
  <c r="OV91" i="2" a="1"/>
  <c r="OV91" i="2" s="1"/>
  <c r="OV56" i="2" a="1"/>
  <c r="OV56" i="2" s="1"/>
  <c r="OV92" i="2" a="1"/>
  <c r="OV92" i="2" s="1"/>
  <c r="OV195" i="2" a="1"/>
  <c r="OV195" i="2" s="1"/>
  <c r="OV108" i="2" a="1"/>
  <c r="OV108" i="2" s="1"/>
  <c r="OV105" i="2" a="1"/>
  <c r="OV105" i="2" s="1"/>
  <c r="OV157" i="2" a="1"/>
  <c r="OV157" i="2" s="1"/>
  <c r="OV133" i="2" a="1"/>
  <c r="OV133" i="2" s="1"/>
  <c r="OV81" i="2" a="1"/>
  <c r="OV81" i="2" s="1"/>
  <c r="OV83" i="2" a="1"/>
  <c r="OV83" i="2" s="1"/>
  <c r="OV20" i="2" a="1"/>
  <c r="OV20" i="2" s="1"/>
  <c r="OV13" i="2" a="1"/>
  <c r="OV13" i="2" s="1"/>
  <c r="OV147" i="2" a="1"/>
  <c r="OV147" i="2" s="1"/>
  <c r="OV162" i="2" a="1"/>
  <c r="OV162" i="2" s="1"/>
  <c r="OV61" i="2" a="1"/>
  <c r="OV61" i="2" s="1"/>
  <c r="OV113" i="2" a="1"/>
  <c r="OV113" i="2" s="1"/>
  <c r="OV143" i="2" a="1"/>
  <c r="OV143" i="2" s="1"/>
  <c r="OV141" i="2" a="1"/>
  <c r="OV141" i="2" s="1"/>
  <c r="OV24" i="2" a="1"/>
  <c r="OV24" i="2" s="1"/>
  <c r="OV40" i="2" a="1"/>
  <c r="OV40" i="2" s="1"/>
  <c r="OV10" i="2" a="1"/>
  <c r="OV10" i="2" s="1"/>
  <c r="OV110" i="2" a="1"/>
  <c r="OV110" i="2" s="1"/>
  <c r="OV85" i="2" a="1"/>
  <c r="OV85" i="2" s="1"/>
  <c r="OV37" i="2" a="1"/>
  <c r="OV37" i="2" s="1"/>
  <c r="OV78" i="2" a="1"/>
  <c r="OV78" i="2" s="1"/>
  <c r="OV26" i="2" a="1"/>
  <c r="OV26" i="2" s="1"/>
  <c r="OV131" i="2" a="1"/>
  <c r="OV131" i="2" s="1"/>
  <c r="OV140" i="2" a="1"/>
  <c r="OV140" i="2" s="1"/>
  <c r="OV32" i="2" a="1"/>
  <c r="OV32" i="2" s="1"/>
  <c r="OV21" i="2" a="1"/>
  <c r="OV21" i="2" s="1"/>
  <c r="OV22" i="2" a="1"/>
  <c r="OV22" i="2" s="1"/>
  <c r="OV165" i="2" a="1"/>
  <c r="OV165" i="2" s="1"/>
  <c r="OV97" i="2" a="1"/>
  <c r="OV97" i="2" s="1"/>
  <c r="OV177" i="2" a="1"/>
  <c r="OV177" i="2" s="1"/>
  <c r="OV167" i="2" a="1"/>
  <c r="OV167" i="2" s="1"/>
  <c r="OV41" i="2" a="1"/>
  <c r="OV41" i="2" s="1"/>
  <c r="OV107" i="2" a="1"/>
  <c r="OV107" i="2" s="1"/>
  <c r="OV119" i="2" a="1"/>
  <c r="OV119" i="2" s="1"/>
  <c r="OV114" i="2" a="1"/>
  <c r="OV114" i="2" s="1"/>
  <c r="JZ111" i="2" a="1"/>
  <c r="JZ111" i="2" s="1"/>
  <c r="JZ39" i="2" a="1"/>
  <c r="JZ39" i="2" s="1"/>
  <c r="JZ152" i="2" a="1"/>
  <c r="JZ152" i="2" s="1"/>
  <c r="JZ44" i="2" a="1"/>
  <c r="JZ44" i="2" s="1"/>
  <c r="JZ188" i="2" a="1"/>
  <c r="JZ188" i="2" s="1"/>
  <c r="JZ119" i="2" a="1"/>
  <c r="JZ119" i="2" s="1"/>
  <c r="MK71" i="2" a="1"/>
  <c r="MK71" i="2" s="1"/>
  <c r="MK70" i="2" a="1"/>
  <c r="MK70" i="2" s="1"/>
  <c r="MK175" i="2" a="1"/>
  <c r="MK175" i="2" s="1"/>
  <c r="MK86" i="2" a="1"/>
  <c r="MK86" i="2" s="1"/>
  <c r="MK193" i="2" a="1"/>
  <c r="MK193" i="2" s="1"/>
  <c r="MK51" i="2" a="1"/>
  <c r="MK51" i="2" s="1"/>
  <c r="MK38" i="2" a="1"/>
  <c r="MK38" i="2" s="1"/>
  <c r="MK95" i="2" a="1"/>
  <c r="MK95" i="2" s="1"/>
  <c r="MK118" i="2" a="1"/>
  <c r="MK118" i="2" s="1"/>
  <c r="MK149" i="2" a="1"/>
  <c r="MK149" i="2" s="1"/>
  <c r="MK146" i="2" a="1"/>
  <c r="MK146" i="2" s="1"/>
  <c r="MK117" i="2" a="1"/>
  <c r="MK117" i="2" s="1"/>
  <c r="HO103" i="2" a="1"/>
  <c r="HO103" i="2" s="1"/>
  <c r="JE75" i="2" a="1"/>
  <c r="JE75" i="2" s="1"/>
  <c r="LP177" i="2" a="1"/>
  <c r="LP177" i="2" s="1"/>
  <c r="HO192" i="2" a="1"/>
  <c r="HO192" i="2" s="1"/>
  <c r="JZ65" i="2" a="1"/>
  <c r="JZ65" i="2" s="1"/>
  <c r="NF75" i="2" a="1"/>
  <c r="NF75" i="2" s="1"/>
  <c r="JE14" i="2" a="1"/>
  <c r="JE14" i="2" s="1"/>
  <c r="OV102" i="2" a="1"/>
  <c r="OV102" i="2" s="1"/>
  <c r="NF184" i="2" a="1"/>
  <c r="NF184" i="2" s="1"/>
  <c r="HO178" i="2" a="1"/>
  <c r="HO178" i="2" s="1"/>
  <c r="JE98" i="2" a="1"/>
  <c r="JE98" i="2" s="1"/>
  <c r="LP112" i="2" a="1"/>
  <c r="LP112" i="2" s="1"/>
  <c r="JE177" i="2" a="1"/>
  <c r="JE177" i="2" s="1"/>
  <c r="LP24" i="2" a="1"/>
  <c r="LP24" i="2" s="1"/>
  <c r="OA64" i="2" a="1"/>
  <c r="OA64" i="2" s="1"/>
  <c r="OA183" i="2" a="1"/>
  <c r="OA183" i="2" s="1"/>
  <c r="OA132" i="2" a="1"/>
  <c r="OA132" i="2" s="1"/>
  <c r="OA145" i="2" a="1"/>
  <c r="OA145" i="2" s="1"/>
  <c r="OA122" i="2" a="1"/>
  <c r="OA122" i="2" s="1"/>
  <c r="OA190" i="2" a="1"/>
  <c r="OA190" i="2" s="1"/>
  <c r="OA68" i="2" a="1"/>
  <c r="OA68" i="2" s="1"/>
  <c r="OA51" i="2" a="1"/>
  <c r="OA51" i="2" s="1"/>
  <c r="OA128" i="2" a="1"/>
  <c r="OA128" i="2" s="1"/>
  <c r="OA24" i="2" a="1"/>
  <c r="OA24" i="2" s="1"/>
  <c r="OA72" i="2" a="1"/>
  <c r="OA72" i="2" s="1"/>
  <c r="NF101" i="2" a="1"/>
  <c r="NF101" i="2" s="1"/>
  <c r="LP186" i="2" a="1"/>
  <c r="LP186" i="2" s="1"/>
  <c r="OV118" i="2" a="1"/>
  <c r="OV118" i="2" s="1"/>
  <c r="HO61" i="2" a="1"/>
  <c r="HO61" i="2" s="1"/>
  <c r="NF106" i="2" a="1"/>
  <c r="NF106" i="2" s="1"/>
  <c r="JE166" i="2" a="1"/>
  <c r="JE166" i="2" s="1"/>
  <c r="OV54" i="2" a="1"/>
  <c r="OV54" i="2" s="1"/>
  <c r="NF93" i="2" a="1"/>
  <c r="NF93" i="2" s="1"/>
  <c r="HO126" i="2" a="1"/>
  <c r="HO126" i="2" s="1"/>
  <c r="JE118" i="2" a="1"/>
  <c r="JE118" i="2" s="1"/>
  <c r="LP155" i="2" a="1"/>
  <c r="LP155" i="2" s="1"/>
  <c r="JE15" i="2" a="1"/>
  <c r="JE15" i="2" s="1"/>
  <c r="JZ28" i="2" a="1"/>
  <c r="JZ28" i="2" s="1"/>
  <c r="JZ73" i="2" a="1"/>
  <c r="JZ73" i="2" s="1"/>
  <c r="JZ197" i="2" a="1"/>
  <c r="JZ197" i="2" s="1"/>
  <c r="JZ108" i="2" a="1"/>
  <c r="JZ108" i="2" s="1"/>
  <c r="JZ131" i="2" a="1"/>
  <c r="JZ131" i="2" s="1"/>
  <c r="JZ40" i="2" a="1"/>
  <c r="JZ40" i="2" s="1"/>
  <c r="JZ100" i="2" a="1"/>
  <c r="JZ100" i="2" s="1"/>
  <c r="JZ17" i="2" a="1"/>
  <c r="JZ17" i="2" s="1"/>
  <c r="JZ37" i="2" a="1"/>
  <c r="JZ37" i="2" s="1"/>
  <c r="JZ31" i="2" a="1"/>
  <c r="JZ31" i="2" s="1"/>
  <c r="JZ66" i="2" a="1"/>
  <c r="JZ66" i="2" s="1"/>
  <c r="HO67" i="2" a="1"/>
  <c r="HO67" i="2" s="1"/>
  <c r="JZ43" i="2" a="1"/>
  <c r="JZ43" i="2" s="1"/>
  <c r="JZ29" i="2" a="1"/>
  <c r="JZ29" i="2" s="1"/>
  <c r="JZ91" i="2" a="1"/>
  <c r="JZ91" i="2" s="1"/>
  <c r="JZ144" i="2" a="1"/>
  <c r="JZ144" i="2" s="1"/>
  <c r="JZ67" i="2" a="1"/>
  <c r="JZ67" i="2" s="1"/>
  <c r="JZ22" i="2" a="1"/>
  <c r="JZ22" i="2" s="1"/>
  <c r="MK9" i="2" a="1"/>
  <c r="MK9" i="2" s="1"/>
  <c r="MK194" i="2" a="1"/>
  <c r="MK194" i="2" s="1"/>
  <c r="MK44" i="2" a="1"/>
  <c r="MK44" i="2" s="1"/>
  <c r="MK98" i="2" a="1"/>
  <c r="MK98" i="2" s="1"/>
  <c r="MK174" i="2" a="1"/>
  <c r="MK174" i="2" s="1"/>
  <c r="MK55" i="2" a="1"/>
  <c r="MK55" i="2" s="1"/>
  <c r="MK184" i="2" a="1"/>
  <c r="MK184" i="2" s="1"/>
  <c r="MK110" i="2" a="1"/>
  <c r="MK110" i="2" s="1"/>
  <c r="MK111" i="2" a="1"/>
  <c r="MK111" i="2" s="1"/>
  <c r="MK56" i="2" a="1"/>
  <c r="MK56" i="2" s="1"/>
  <c r="MK26" i="2" a="1"/>
  <c r="MK26" i="2" s="1"/>
  <c r="MK165" i="2" a="1"/>
  <c r="MK165" i="2" s="1"/>
  <c r="MC203" i="2"/>
  <c r="MF203" i="2" s="1"/>
  <c r="MF202" i="2"/>
  <c r="NF192" i="2" a="1"/>
  <c r="NF192" i="2" s="1"/>
  <c r="JE133" i="2" a="1"/>
  <c r="JE133" i="2" s="1"/>
  <c r="OV69" i="2" a="1"/>
  <c r="OV69" i="2" s="1"/>
  <c r="HO117" i="2" a="1"/>
  <c r="HO117" i="2" s="1"/>
  <c r="JZ113" i="2" a="1"/>
  <c r="JZ113" i="2" s="1"/>
  <c r="NF131" i="2" a="1"/>
  <c r="NF131" i="2" s="1"/>
  <c r="LP76" i="2" a="1"/>
  <c r="LP76" i="2" s="1"/>
  <c r="OV154" i="2" a="1"/>
  <c r="OV154" i="2" s="1"/>
  <c r="NF21" i="2" a="1"/>
  <c r="NF21" i="2" s="1"/>
  <c r="HO64" i="2" a="1"/>
  <c r="HO64" i="2" s="1"/>
  <c r="JE127" i="2" a="1"/>
  <c r="JE127" i="2" s="1"/>
  <c r="LP57" i="2" a="1"/>
  <c r="LP57" i="2" s="1"/>
  <c r="JE105" i="2" a="1"/>
  <c r="JE105" i="2" s="1"/>
  <c r="LP143" i="2" a="1"/>
  <c r="LP143" i="2" s="1"/>
  <c r="OA11" i="2" a="1"/>
  <c r="OA11" i="2" s="1"/>
  <c r="OA169" i="2" a="1"/>
  <c r="OA169" i="2" s="1"/>
  <c r="OA38" i="2" a="1"/>
  <c r="OA38" i="2" s="1"/>
  <c r="OA182" i="2" a="1"/>
  <c r="OA182" i="2" s="1"/>
  <c r="OA180" i="2" a="1"/>
  <c r="OA180" i="2" s="1"/>
  <c r="OA114" i="2" a="1"/>
  <c r="OA114" i="2" s="1"/>
  <c r="OA75" i="2" a="1"/>
  <c r="OA75" i="2" s="1"/>
  <c r="OA67" i="2" a="1"/>
  <c r="OA67" i="2" s="1"/>
  <c r="OA195" i="2" a="1"/>
  <c r="OA195" i="2" s="1"/>
  <c r="OA197" i="2" a="1"/>
  <c r="OA197" i="2" s="1"/>
  <c r="OA123" i="2" a="1"/>
  <c r="OA123" i="2" s="1"/>
  <c r="OA34" i="2" a="1"/>
  <c r="OA34" i="2" s="1"/>
  <c r="OV15" i="2" a="1"/>
  <c r="OV15" i="2" s="1"/>
  <c r="HO43" i="2" a="1"/>
  <c r="HO43" i="2" s="1"/>
  <c r="JZ190" i="2" a="1"/>
  <c r="JZ190" i="2" s="1"/>
  <c r="MK48" i="2" a="1"/>
  <c r="MK48" i="2" s="1"/>
  <c r="OV156" i="2" a="1"/>
  <c r="OV156" i="2" s="1"/>
  <c r="NF109" i="2" a="1"/>
  <c r="NF109" i="2" s="1"/>
  <c r="HO181" i="2" a="1"/>
  <c r="HO181" i="2" s="1"/>
  <c r="JE7" i="2" a="1"/>
  <c r="JE7" i="2" s="1"/>
  <c r="JF7" i="2" s="1"/>
  <c r="OA52" i="2" a="1"/>
  <c r="OA52" i="2" s="1"/>
  <c r="OA17" i="2" a="1"/>
  <c r="OA17" i="2" s="1"/>
  <c r="OA200" i="2" a="1"/>
  <c r="OA200" i="2" s="1"/>
  <c r="NF11" i="2" a="1"/>
  <c r="NF11" i="2" s="1"/>
  <c r="NF26" i="2" a="1"/>
  <c r="NF26" i="2" s="1"/>
  <c r="NF54" i="2" a="1"/>
  <c r="NF54" i="2" s="1"/>
  <c r="NF83" i="2" a="1"/>
  <c r="NF83" i="2" s="1"/>
  <c r="NF194" i="2" a="1"/>
  <c r="NF194" i="2" s="1"/>
  <c r="NF133" i="2" a="1"/>
  <c r="NF133" i="2" s="1"/>
  <c r="NF89" i="2" a="1"/>
  <c r="NF89" i="2" s="1"/>
  <c r="NF138" i="2" a="1"/>
  <c r="NF138" i="2" s="1"/>
  <c r="NF40" i="2" a="1"/>
  <c r="NF40" i="2" s="1"/>
  <c r="JE149" i="2" a="1"/>
  <c r="JE149" i="2" s="1"/>
  <c r="JE57" i="2" a="1"/>
  <c r="JE57" i="2" s="1"/>
  <c r="JE165" i="2" a="1"/>
  <c r="JE165" i="2" s="1"/>
  <c r="JE61" i="2" a="1"/>
  <c r="JE61" i="2" s="1"/>
  <c r="JE150" i="2" a="1"/>
  <c r="JE150" i="2" s="1"/>
  <c r="JE171" i="2" a="1"/>
  <c r="JE171" i="2" s="1"/>
  <c r="JE115" i="2" a="1"/>
  <c r="JE115" i="2" s="1"/>
  <c r="JE113" i="2" a="1"/>
  <c r="JE113" i="2" s="1"/>
  <c r="JE103" i="2" a="1"/>
  <c r="JE103" i="2" s="1"/>
  <c r="JE109" i="2" a="1"/>
  <c r="JE109" i="2" s="1"/>
  <c r="IJ202" i="2" a="1"/>
  <c r="IJ202" i="2" s="1"/>
  <c r="MX203" i="2"/>
  <c r="NA203" i="2" s="1"/>
  <c r="NA202" i="2"/>
  <c r="LQ7" i="2"/>
  <c r="LR6" i="2"/>
  <c r="LS6" i="2" s="1"/>
  <c r="LT6" i="2" s="1"/>
  <c r="LU6" i="2" s="1"/>
  <c r="JE203" i="2" a="1"/>
  <c r="JE203" i="2" s="1"/>
  <c r="JE42" i="2" a="1"/>
  <c r="JE42" i="2" s="1"/>
  <c r="JE64" i="2" a="1"/>
  <c r="JE64" i="2" s="1"/>
  <c r="JE187" i="2" a="1"/>
  <c r="JE187" i="2" s="1"/>
  <c r="JE23" i="2" a="1"/>
  <c r="JE23" i="2" s="1"/>
  <c r="JE131" i="2" a="1"/>
  <c r="JE131" i="2" s="1"/>
  <c r="JE25" i="2" a="1"/>
  <c r="JE25" i="2" s="1"/>
  <c r="JE160" i="2" a="1"/>
  <c r="JE160" i="2" s="1"/>
  <c r="JE17" i="2" a="1"/>
  <c r="JE17" i="2" s="1"/>
  <c r="JE46" i="2" a="1"/>
  <c r="JE46" i="2" s="1"/>
  <c r="JE104" i="2" a="1"/>
  <c r="JE104" i="2" s="1"/>
  <c r="JE159" i="2" a="1"/>
  <c r="JE159" i="2" s="1"/>
  <c r="JE67" i="2" a="1"/>
  <c r="JE67" i="2" s="1"/>
  <c r="JE80" i="2" a="1"/>
  <c r="JE80" i="2" s="1"/>
  <c r="JE47" i="2" a="1"/>
  <c r="JE47" i="2" s="1"/>
  <c r="JE128" i="2" a="1"/>
  <c r="JE128" i="2" s="1"/>
  <c r="JE59" i="2" a="1"/>
  <c r="JE59" i="2" s="1"/>
  <c r="JE94" i="2" a="1"/>
  <c r="JE94" i="2" s="1"/>
  <c r="JE170" i="2" a="1"/>
  <c r="JE170" i="2" s="1"/>
  <c r="JE157" i="2" a="1"/>
  <c r="JE157" i="2" s="1"/>
  <c r="JE101" i="2" a="1"/>
  <c r="JE101" i="2" s="1"/>
  <c r="JE122" i="2" a="1"/>
  <c r="JE122" i="2" s="1"/>
  <c r="JE102" i="2" a="1"/>
  <c r="JE102" i="2" s="1"/>
  <c r="JE194" i="2" a="1"/>
  <c r="JE194" i="2" s="1"/>
  <c r="JE132" i="2" a="1"/>
  <c r="JE132" i="2" s="1"/>
  <c r="JE199" i="2" a="1"/>
  <c r="JE199" i="2" s="1"/>
  <c r="JE22" i="2" a="1"/>
  <c r="JE22" i="2" s="1"/>
  <c r="JE11" i="2" a="1"/>
  <c r="JE11" i="2" s="1"/>
  <c r="JE191" i="2" a="1"/>
  <c r="JE191" i="2" s="1"/>
  <c r="JE140" i="2" a="1"/>
  <c r="JE140" i="2" s="1"/>
  <c r="JE184" i="2" a="1"/>
  <c r="JE184" i="2" s="1"/>
  <c r="JE148" i="2" a="1"/>
  <c r="JE148" i="2" s="1"/>
  <c r="JE178" i="2" a="1"/>
  <c r="JE178" i="2" s="1"/>
  <c r="JE197" i="2" a="1"/>
  <c r="JE197" i="2" s="1"/>
  <c r="JE29" i="2" a="1"/>
  <c r="JE29" i="2" s="1"/>
  <c r="JE36" i="2" a="1"/>
  <c r="JE36" i="2" s="1"/>
  <c r="JE90" i="2" a="1"/>
  <c r="JE90" i="2" s="1"/>
  <c r="JE43" i="2" a="1"/>
  <c r="JE43" i="2" s="1"/>
  <c r="JE51" i="2" a="1"/>
  <c r="JE51" i="2" s="1"/>
  <c r="JE69" i="2" a="1"/>
  <c r="JE69" i="2" s="1"/>
  <c r="JE92" i="2" a="1"/>
  <c r="JE92" i="2" s="1"/>
  <c r="JE85" i="2" a="1"/>
  <c r="JE85" i="2" s="1"/>
  <c r="JE21" i="2" a="1"/>
  <c r="JE21" i="2" s="1"/>
  <c r="JE119" i="2" a="1"/>
  <c r="JE119" i="2" s="1"/>
  <c r="JE62" i="2" a="1"/>
  <c r="JE62" i="2" s="1"/>
  <c r="JE154" i="2" a="1"/>
  <c r="JE154" i="2" s="1"/>
  <c r="JE152" i="2" a="1"/>
  <c r="JE152" i="2" s="1"/>
  <c r="JE18" i="2" a="1"/>
  <c r="JE18" i="2" s="1"/>
  <c r="JE198" i="2" a="1"/>
  <c r="JE198" i="2" s="1"/>
  <c r="JE201" i="2" a="1"/>
  <c r="JE201" i="2" s="1"/>
  <c r="JE16" i="2" a="1"/>
  <c r="JE16" i="2" s="1"/>
  <c r="JE158" i="2" a="1"/>
  <c r="JE158" i="2" s="1"/>
  <c r="JE185" i="2" a="1"/>
  <c r="JE185" i="2" s="1"/>
  <c r="JE58" i="2" a="1"/>
  <c r="JE58" i="2" s="1"/>
  <c r="JE146" i="2" a="1"/>
  <c r="JE146" i="2" s="1"/>
  <c r="JE107" i="2" a="1"/>
  <c r="JE107" i="2" s="1"/>
  <c r="JE161" i="2" a="1"/>
  <c r="JE161" i="2" s="1"/>
  <c r="JE181" i="2" a="1"/>
  <c r="JE181" i="2" s="1"/>
  <c r="JE108" i="2" a="1"/>
  <c r="JE108" i="2" s="1"/>
  <c r="JE168" i="2" a="1"/>
  <c r="JE168" i="2" s="1"/>
  <c r="JE76" i="2" a="1"/>
  <c r="JE76" i="2" s="1"/>
  <c r="JE87" i="2" a="1"/>
  <c r="JE87" i="2" s="1"/>
  <c r="JE34" i="2" a="1"/>
  <c r="JE34" i="2" s="1"/>
  <c r="JE111" i="2" a="1"/>
  <c r="JE111" i="2" s="1"/>
  <c r="JE174" i="2" a="1"/>
  <c r="JE174" i="2" s="1"/>
  <c r="JE137" i="2" a="1"/>
  <c r="JE137" i="2" s="1"/>
  <c r="JE164" i="2" a="1"/>
  <c r="JE164" i="2" s="1"/>
  <c r="JE151" i="2" a="1"/>
  <c r="JE151" i="2" s="1"/>
  <c r="JE188" i="2" a="1"/>
  <c r="JE188" i="2" s="1"/>
  <c r="JE117" i="2" a="1"/>
  <c r="JE117" i="2" s="1"/>
  <c r="JE130" i="2" a="1"/>
  <c r="JE130" i="2" s="1"/>
  <c r="JE169" i="2" a="1"/>
  <c r="JE169" i="2" s="1"/>
  <c r="JE95" i="2" a="1"/>
  <c r="JE95" i="2" s="1"/>
  <c r="JE155" i="2" a="1"/>
  <c r="JE155" i="2" s="1"/>
  <c r="JE32" i="2" a="1"/>
  <c r="JE32" i="2" s="1"/>
  <c r="JE91" i="2" a="1"/>
  <c r="JE91" i="2" s="1"/>
  <c r="LP203" i="2" a="1"/>
  <c r="LP203" i="2" s="1"/>
  <c r="LP89" i="2" a="1"/>
  <c r="LP89" i="2" s="1"/>
  <c r="LP37" i="2" a="1"/>
  <c r="LP37" i="2" s="1"/>
  <c r="LP73" i="2" a="1"/>
  <c r="LP73" i="2" s="1"/>
  <c r="LP150" i="2" a="1"/>
  <c r="LP150" i="2" s="1"/>
  <c r="LP109" i="2" a="1"/>
  <c r="LP109" i="2" s="1"/>
  <c r="LP111" i="2" a="1"/>
  <c r="LP111" i="2" s="1"/>
  <c r="LP47" i="2" a="1"/>
  <c r="LP47" i="2" s="1"/>
  <c r="LP166" i="2" a="1"/>
  <c r="LP166" i="2" s="1"/>
  <c r="LP105" i="2" a="1"/>
  <c r="LP105" i="2" s="1"/>
  <c r="LP21" i="2" a="1"/>
  <c r="LP21" i="2" s="1"/>
  <c r="LP193" i="2" a="1"/>
  <c r="LP193" i="2" s="1"/>
  <c r="LP133" i="2" a="1"/>
  <c r="LP133" i="2" s="1"/>
  <c r="LP15" i="2" a="1"/>
  <c r="LP15" i="2" s="1"/>
  <c r="LP199" i="2" a="1"/>
  <c r="LP199" i="2" s="1"/>
  <c r="LP48" i="2" a="1"/>
  <c r="LP48" i="2" s="1"/>
  <c r="LP59" i="2" a="1"/>
  <c r="LP59" i="2" s="1"/>
  <c r="LP29" i="2" a="1"/>
  <c r="LP29" i="2" s="1"/>
  <c r="LP180" i="2" a="1"/>
  <c r="LP180" i="2" s="1"/>
  <c r="LP84" i="2" a="1"/>
  <c r="LP84" i="2" s="1"/>
  <c r="LP144" i="2" a="1"/>
  <c r="LP144" i="2" s="1"/>
  <c r="LP184" i="2" a="1"/>
  <c r="LP184" i="2" s="1"/>
  <c r="LP8" i="2" a="1"/>
  <c r="LP8" i="2" s="1"/>
  <c r="LP25" i="2" a="1"/>
  <c r="LP25" i="2" s="1"/>
  <c r="LP33" i="2" a="1"/>
  <c r="LP33" i="2" s="1"/>
  <c r="LP136" i="2" a="1"/>
  <c r="LP136" i="2" s="1"/>
  <c r="LP115" i="2" a="1"/>
  <c r="LP115" i="2" s="1"/>
  <c r="LP175" i="2" a="1"/>
  <c r="LP175" i="2" s="1"/>
  <c r="LP94" i="2" a="1"/>
  <c r="LP94" i="2" s="1"/>
  <c r="LP157" i="2" a="1"/>
  <c r="LP157" i="2" s="1"/>
  <c r="LP56" i="2" a="1"/>
  <c r="LP56" i="2" s="1"/>
  <c r="LP124" i="2" a="1"/>
  <c r="LP124" i="2" s="1"/>
  <c r="LP23" i="2" a="1"/>
  <c r="LP23" i="2" s="1"/>
  <c r="LP53" i="2" a="1"/>
  <c r="LP53" i="2" s="1"/>
  <c r="LP121" i="2" a="1"/>
  <c r="LP121" i="2" s="1"/>
  <c r="LP85" i="2" a="1"/>
  <c r="LP85" i="2" s="1"/>
  <c r="LP80" i="2" a="1"/>
  <c r="LP80" i="2" s="1"/>
  <c r="LP64" i="2" a="1"/>
  <c r="LP64" i="2" s="1"/>
  <c r="LP131" i="2" a="1"/>
  <c r="LP131" i="2" s="1"/>
  <c r="LP126" i="2" a="1"/>
  <c r="LP126" i="2" s="1"/>
  <c r="LP97" i="2" a="1"/>
  <c r="LP97" i="2" s="1"/>
  <c r="LP113" i="2" a="1"/>
  <c r="LP113" i="2" s="1"/>
  <c r="LP162" i="2" a="1"/>
  <c r="LP162" i="2" s="1"/>
  <c r="LP158" i="2" a="1"/>
  <c r="LP158" i="2" s="1"/>
  <c r="LP77" i="2" a="1"/>
  <c r="LP77" i="2" s="1"/>
  <c r="LP104" i="2" a="1"/>
  <c r="LP104" i="2" s="1"/>
  <c r="LP171" i="2" a="1"/>
  <c r="LP171" i="2" s="1"/>
  <c r="LP101" i="2" a="1"/>
  <c r="LP101" i="2" s="1"/>
  <c r="LP50" i="2" a="1"/>
  <c r="LP50" i="2" s="1"/>
  <c r="LP100" i="2" a="1"/>
  <c r="LP100" i="2" s="1"/>
  <c r="LP66" i="2" a="1"/>
  <c r="LP66" i="2" s="1"/>
  <c r="LP54" i="2" a="1"/>
  <c r="LP54" i="2" s="1"/>
  <c r="LP34" i="2" a="1"/>
  <c r="LP34" i="2" s="1"/>
  <c r="LP156" i="2" a="1"/>
  <c r="LP156" i="2" s="1"/>
  <c r="LP192" i="2" a="1"/>
  <c r="LP192" i="2" s="1"/>
  <c r="LP102" i="2" a="1"/>
  <c r="LP102" i="2" s="1"/>
  <c r="LP88" i="2" a="1"/>
  <c r="LP88" i="2" s="1"/>
  <c r="LP71" i="2" a="1"/>
  <c r="LP71" i="2" s="1"/>
  <c r="LP72" i="2" a="1"/>
  <c r="LP72" i="2" s="1"/>
  <c r="LP139" i="2" a="1"/>
  <c r="LP139" i="2" s="1"/>
  <c r="LP58" i="2" a="1"/>
  <c r="LP58" i="2" s="1"/>
  <c r="LP98" i="2" a="1"/>
  <c r="LP98" i="2" s="1"/>
  <c r="LP11" i="2" a="1"/>
  <c r="LP11" i="2" s="1"/>
  <c r="LP135" i="2" a="1"/>
  <c r="LP135" i="2" s="1"/>
  <c r="LP142" i="2" a="1"/>
  <c r="LP142" i="2" s="1"/>
  <c r="LP9" i="2" a="1"/>
  <c r="LP9" i="2" s="1"/>
  <c r="LP128" i="2" a="1"/>
  <c r="LP128" i="2" s="1"/>
  <c r="LP52" i="2" a="1"/>
  <c r="LP52" i="2" s="1"/>
  <c r="LP120" i="2" a="1"/>
  <c r="LP120" i="2" s="1"/>
  <c r="LP68" i="2" a="1"/>
  <c r="LP68" i="2" s="1"/>
  <c r="LP18" i="2" a="1"/>
  <c r="LP18" i="2" s="1"/>
  <c r="LP63" i="2" a="1"/>
  <c r="LP63" i="2" s="1"/>
  <c r="MK203" i="2" a="1"/>
  <c r="MK203" i="2" s="1"/>
  <c r="MK167" i="2" a="1"/>
  <c r="MK167" i="2" s="1"/>
  <c r="JZ170" i="2" a="1"/>
  <c r="JZ170" i="2" s="1"/>
  <c r="JZ98" i="2" a="1"/>
  <c r="JZ98" i="2" s="1"/>
  <c r="JZ184" i="2" a="1"/>
  <c r="JZ184" i="2" s="1"/>
  <c r="JZ195" i="2" a="1"/>
  <c r="JZ195" i="2" s="1"/>
  <c r="JZ53" i="2" a="1"/>
  <c r="JZ53" i="2" s="1"/>
  <c r="JZ58" i="2" a="1"/>
  <c r="JZ58" i="2" s="1"/>
  <c r="MK35" i="2" a="1"/>
  <c r="MK35" i="2" s="1"/>
  <c r="MK29" i="2" a="1"/>
  <c r="MK29" i="2" s="1"/>
  <c r="MK12" i="2" a="1"/>
  <c r="MK12" i="2" s="1"/>
  <c r="MK162" i="2" a="1"/>
  <c r="MK162" i="2" s="1"/>
  <c r="MK172" i="2" a="1"/>
  <c r="MK172" i="2" s="1"/>
  <c r="MK92" i="2" a="1"/>
  <c r="MK92" i="2" s="1"/>
  <c r="MK59" i="2" a="1"/>
  <c r="MK59" i="2" s="1"/>
  <c r="MK34" i="2" a="1"/>
  <c r="MK34" i="2" s="1"/>
  <c r="MK141" i="2" a="1"/>
  <c r="MK141" i="2" s="1"/>
  <c r="MK31" i="2" a="1"/>
  <c r="MK31" i="2" s="1"/>
  <c r="MK13" i="2" a="1"/>
  <c r="MK13" i="2" s="1"/>
  <c r="MK180" i="2" a="1"/>
  <c r="MK180" i="2" s="1"/>
  <c r="HO160" i="2" a="1"/>
  <c r="HO160" i="2" s="1"/>
  <c r="JE112" i="2" a="1"/>
  <c r="JE112" i="2" s="1"/>
  <c r="OV168" i="2" a="1"/>
  <c r="OV168" i="2" s="1"/>
  <c r="HO66" i="2" a="1"/>
  <c r="HO66" i="2" s="1"/>
  <c r="JZ154" i="2" a="1"/>
  <c r="JZ154" i="2" s="1"/>
  <c r="LP196" i="2" a="1"/>
  <c r="LP196" i="2" s="1"/>
  <c r="LP152" i="2" a="1"/>
  <c r="LP152" i="2" s="1"/>
  <c r="OV58" i="2" a="1"/>
  <c r="OV58" i="2" s="1"/>
  <c r="NF59" i="2" a="1"/>
  <c r="NF59" i="2" s="1"/>
  <c r="HO24" i="2" a="1"/>
  <c r="HO24" i="2" s="1"/>
  <c r="JE31" i="2" a="1"/>
  <c r="JE31" i="2" s="1"/>
  <c r="OV49" i="2" a="1"/>
  <c r="OV49" i="2" s="1"/>
  <c r="IJ191" i="2" a="1"/>
  <c r="IJ191" i="2" s="1"/>
  <c r="LP179" i="2" a="1"/>
  <c r="LP179" i="2" s="1"/>
  <c r="OA192" i="2" a="1"/>
  <c r="OA192" i="2" s="1"/>
  <c r="OA188" i="2" a="1"/>
  <c r="OA188" i="2" s="1"/>
  <c r="OA48" i="2" a="1"/>
  <c r="OA48" i="2" s="1"/>
  <c r="OA163" i="2" a="1"/>
  <c r="OA163" i="2" s="1"/>
  <c r="OA109" i="2" a="1"/>
  <c r="OA109" i="2" s="1"/>
  <c r="OA94" i="2" a="1"/>
  <c r="OA94" i="2" s="1"/>
  <c r="OA155" i="2" a="1"/>
  <c r="OA155" i="2" s="1"/>
  <c r="OA8" i="2" a="1"/>
  <c r="OA8" i="2" s="1"/>
  <c r="OA80" i="2" a="1"/>
  <c r="OA80" i="2" s="1"/>
  <c r="OA135" i="2" a="1"/>
  <c r="OA135" i="2" s="1"/>
  <c r="OA107" i="2" a="1"/>
  <c r="OA107" i="2" s="1"/>
  <c r="JZ25" i="2" a="1"/>
  <c r="JZ25" i="2" s="1"/>
  <c r="LP28" i="2" a="1"/>
  <c r="LP28" i="2" s="1"/>
  <c r="OV44" i="2" a="1"/>
  <c r="OV44" i="2" s="1"/>
  <c r="HO20" i="2" a="1"/>
  <c r="HO20" i="2" s="1"/>
  <c r="JR203" i="2"/>
  <c r="JU202" i="2"/>
  <c r="NF107" i="2" a="1"/>
  <c r="NF107" i="2" s="1"/>
  <c r="LP36" i="2" a="1"/>
  <c r="LP36" i="2" s="1"/>
  <c r="OV90" i="2" a="1"/>
  <c r="OV90" i="2" s="1"/>
  <c r="NF88" i="2" a="1"/>
  <c r="NF88" i="2" s="1"/>
  <c r="NF71" i="2" a="1"/>
  <c r="NF71" i="2" s="1"/>
  <c r="JE189" i="2" a="1"/>
  <c r="JE189" i="2" s="1"/>
  <c r="OV146" i="2" a="1"/>
  <c r="OV146" i="2" s="1"/>
  <c r="IJ64" i="2" a="1"/>
  <c r="IJ64" i="2" s="1"/>
  <c r="JZ107" i="2" a="1"/>
  <c r="JZ107" i="2" s="1"/>
  <c r="JZ164" i="2" a="1"/>
  <c r="JZ164" i="2" s="1"/>
  <c r="JZ77" i="2" a="1"/>
  <c r="JZ77" i="2" s="1"/>
  <c r="JZ104" i="2" a="1"/>
  <c r="JZ104" i="2" s="1"/>
  <c r="JZ177" i="2" a="1"/>
  <c r="JZ177" i="2" s="1"/>
  <c r="JZ105" i="2" a="1"/>
  <c r="JZ105" i="2" s="1"/>
  <c r="JZ32" i="2" a="1"/>
  <c r="JZ32" i="2" s="1"/>
  <c r="JZ103" i="2" a="1"/>
  <c r="JZ103" i="2" s="1"/>
  <c r="JZ84" i="2" a="1"/>
  <c r="JZ84" i="2" s="1"/>
  <c r="JZ116" i="2" a="1"/>
  <c r="JZ116" i="2" s="1"/>
  <c r="JZ123" i="2" a="1"/>
  <c r="JZ123" i="2" s="1"/>
  <c r="HO175" i="2" a="1"/>
  <c r="HO175" i="2" s="1"/>
  <c r="JZ63" i="2" a="1"/>
  <c r="JZ63" i="2" s="1"/>
  <c r="JZ143" i="2" a="1"/>
  <c r="JZ143" i="2" s="1"/>
  <c r="JZ61" i="2" a="1"/>
  <c r="JZ61" i="2" s="1"/>
  <c r="JZ34" i="2" a="1"/>
  <c r="JZ34" i="2" s="1"/>
  <c r="JZ130" i="2" a="1"/>
  <c r="JZ130" i="2" s="1"/>
  <c r="MK106" i="2" a="1"/>
  <c r="MK106" i="2" s="1"/>
  <c r="MK87" i="2" a="1"/>
  <c r="MK87" i="2" s="1"/>
  <c r="MK60" i="2" a="1"/>
  <c r="MK60" i="2" s="1"/>
  <c r="MK10" i="2" a="1"/>
  <c r="MK10" i="2" s="1"/>
  <c r="MK168" i="2" a="1"/>
  <c r="MK168" i="2" s="1"/>
  <c r="MK119" i="2" a="1"/>
  <c r="MK119" i="2" s="1"/>
  <c r="MK15" i="2" a="1"/>
  <c r="MK15" i="2" s="1"/>
  <c r="MK163" i="2" a="1"/>
  <c r="MK163" i="2" s="1"/>
  <c r="MK185" i="2" a="1"/>
  <c r="MK185" i="2" s="1"/>
  <c r="MK103" i="2" a="1"/>
  <c r="MK103" i="2" s="1"/>
  <c r="MK116" i="2" a="1"/>
  <c r="MK116" i="2" s="1"/>
  <c r="MK130" i="2" a="1"/>
  <c r="MK130" i="2" s="1"/>
  <c r="NF178" i="2" a="1"/>
  <c r="NF178" i="2" s="1"/>
  <c r="LP69" i="2" a="1"/>
  <c r="LP69" i="2" s="1"/>
  <c r="OV53" i="2" a="1"/>
  <c r="OV53" i="2" s="1"/>
  <c r="HO165" i="2" a="1"/>
  <c r="HO165" i="2" s="1"/>
  <c r="HO114" i="2" a="1"/>
  <c r="HO114" i="2" s="1"/>
  <c r="HO198" i="2" a="1"/>
  <c r="HO198" i="2" s="1"/>
  <c r="LP74" i="2" a="1"/>
  <c r="LP74" i="2" s="1"/>
  <c r="OV191" i="2" a="1"/>
  <c r="OV191" i="2" s="1"/>
  <c r="NF99" i="2" a="1"/>
  <c r="NF99" i="2" s="1"/>
  <c r="HO121" i="2" a="1"/>
  <c r="HO121" i="2" s="1"/>
  <c r="JE39" i="2" a="1"/>
  <c r="JE39" i="2" s="1"/>
  <c r="OV65" i="2" a="1"/>
  <c r="OV65" i="2" s="1"/>
  <c r="LP19" i="2" a="1"/>
  <c r="LP19" i="2" s="1"/>
  <c r="OA175" i="2" a="1"/>
  <c r="OA175" i="2" s="1"/>
  <c r="OA168" i="2" a="1"/>
  <c r="OA168" i="2" s="1"/>
  <c r="OA165" i="2" a="1"/>
  <c r="OA165" i="2" s="1"/>
  <c r="OA71" i="2" a="1"/>
  <c r="OA71" i="2" s="1"/>
  <c r="OA22" i="2" a="1"/>
  <c r="OA22" i="2" s="1"/>
  <c r="OA172" i="2" a="1"/>
  <c r="OA172" i="2" s="1"/>
  <c r="OA27" i="2" a="1"/>
  <c r="OA27" i="2" s="1"/>
  <c r="OA147" i="2" a="1"/>
  <c r="OA147" i="2" s="1"/>
  <c r="OA199" i="2" a="1"/>
  <c r="OA199" i="2" s="1"/>
  <c r="OA191" i="2" a="1"/>
  <c r="OA191" i="2" s="1"/>
  <c r="OA56" i="2" a="1"/>
  <c r="OA56" i="2" s="1"/>
  <c r="NF85" i="2" a="1"/>
  <c r="NF85" i="2" s="1"/>
  <c r="LP159" i="2" a="1"/>
  <c r="LP159" i="2" s="1"/>
  <c r="OV25" i="2" a="1"/>
  <c r="OV25" i="2" s="1"/>
  <c r="HO106" i="2" a="1"/>
  <c r="HO106" i="2" s="1"/>
  <c r="HO164" i="2" a="1"/>
  <c r="HO164" i="2" s="1"/>
  <c r="JE163" i="2" a="1"/>
  <c r="JE163" i="2" s="1"/>
  <c r="LP14" i="2" a="1"/>
  <c r="LP14" i="2" s="1"/>
  <c r="MK200" i="2" a="1"/>
  <c r="MK200" i="2" s="1"/>
  <c r="NF108" i="2" a="1"/>
  <c r="NF108" i="2" s="1"/>
  <c r="NF190" i="2" a="1"/>
  <c r="NF190" i="2" s="1"/>
  <c r="JE144" i="2" a="1"/>
  <c r="JE144" i="2" s="1"/>
  <c r="OA90" i="2" a="1"/>
  <c r="OA90" i="2" s="1"/>
  <c r="OA137" i="2" a="1"/>
  <c r="OA137" i="2" s="1"/>
  <c r="OA198" i="2" a="1"/>
  <c r="OA198" i="2" s="1"/>
  <c r="OA202" i="2" a="1"/>
  <c r="OA202" i="2" s="1"/>
  <c r="NF121" i="2" a="1"/>
  <c r="NF121" i="2" s="1"/>
  <c r="NF51" i="2" a="1"/>
  <c r="NF51" i="2" s="1"/>
  <c r="NF68" i="2" a="1"/>
  <c r="NF68" i="2" s="1"/>
  <c r="NF132" i="2" a="1"/>
  <c r="NF132" i="2" s="1"/>
  <c r="NF166" i="2" a="1"/>
  <c r="NF166" i="2" s="1"/>
  <c r="NF137" i="2" a="1"/>
  <c r="NF137" i="2" s="1"/>
  <c r="NF69" i="2" a="1"/>
  <c r="NF69" i="2" s="1"/>
  <c r="NF127" i="2" a="1"/>
  <c r="NF127" i="2" s="1"/>
  <c r="NF202" i="2" a="1"/>
  <c r="NF202" i="2" s="1"/>
  <c r="JE55" i="2" a="1"/>
  <c r="JE55" i="2" s="1"/>
  <c r="JE172" i="2" a="1"/>
  <c r="JE172" i="2" s="1"/>
  <c r="JE13" i="2" a="1"/>
  <c r="JE13" i="2" s="1"/>
  <c r="JE33" i="2" a="1"/>
  <c r="JE33" i="2" s="1"/>
  <c r="JE12" i="2" a="1"/>
  <c r="JE12" i="2" s="1"/>
  <c r="JE56" i="2" a="1"/>
  <c r="JE56" i="2" s="1"/>
  <c r="JE30" i="2" a="1"/>
  <c r="JE30" i="2" s="1"/>
  <c r="JE97" i="2" a="1"/>
  <c r="JE97" i="2" s="1"/>
  <c r="JE82" i="2" a="1"/>
  <c r="JE82" i="2" s="1"/>
  <c r="JE24" i="2" a="1"/>
  <c r="JE24" i="2" s="1"/>
  <c r="JE179" i="2" a="1"/>
  <c r="JE179" i="2" s="1"/>
  <c r="ID203" i="2"/>
  <c r="HO111" i="2" a="1"/>
  <c r="HO111" i="2" s="1"/>
  <c r="IB203" i="2"/>
  <c r="IE203" i="2" s="1"/>
  <c r="IE202" i="2"/>
  <c r="ON203" i="2"/>
  <c r="OQ203" i="2" s="1"/>
  <c r="OQ202" i="2"/>
  <c r="JZ203" i="2" a="1"/>
  <c r="JZ203" i="2" s="1"/>
  <c r="JZ112" i="2" a="1"/>
  <c r="JZ112" i="2" s="1"/>
  <c r="JZ27" i="2" a="1"/>
  <c r="JZ27" i="2" s="1"/>
  <c r="JZ176" i="2" a="1"/>
  <c r="JZ176" i="2" s="1"/>
  <c r="JZ155" i="2" a="1"/>
  <c r="JZ155" i="2" s="1"/>
  <c r="JZ169" i="2" a="1"/>
  <c r="JZ169" i="2" s="1"/>
  <c r="JZ110" i="2" a="1"/>
  <c r="JZ110" i="2" s="1"/>
  <c r="JZ70" i="2" a="1"/>
  <c r="JZ70" i="2" s="1"/>
  <c r="JZ200" i="2" a="1"/>
  <c r="JZ200" i="2" s="1"/>
  <c r="JZ198" i="2" a="1"/>
  <c r="JZ198" i="2" s="1"/>
  <c r="JZ150" i="2" a="1"/>
  <c r="JZ150" i="2" s="1"/>
  <c r="JZ11" i="2" a="1"/>
  <c r="JZ11" i="2" s="1"/>
  <c r="JZ148" i="2" a="1"/>
  <c r="JZ148" i="2" s="1"/>
  <c r="JZ146" i="2" a="1"/>
  <c r="JZ146" i="2" s="1"/>
  <c r="JZ14" i="2" a="1"/>
  <c r="JZ14" i="2" s="1"/>
  <c r="JZ109" i="2" a="1"/>
  <c r="JZ109" i="2" s="1"/>
  <c r="JZ117" i="2" a="1"/>
  <c r="JZ117" i="2" s="1"/>
  <c r="JZ137" i="2" a="1"/>
  <c r="JZ137" i="2" s="1"/>
  <c r="JZ140" i="2" a="1"/>
  <c r="JZ140" i="2" s="1"/>
  <c r="JZ10" i="2" a="1"/>
  <c r="JZ10" i="2" s="1"/>
  <c r="JZ38" i="2" a="1"/>
  <c r="JZ38" i="2" s="1"/>
  <c r="JZ35" i="2" a="1"/>
  <c r="JZ35" i="2" s="1"/>
  <c r="JZ165" i="2" a="1"/>
  <c r="JZ165" i="2" s="1"/>
  <c r="JZ8" i="2" a="1"/>
  <c r="JZ8" i="2" s="1"/>
  <c r="JZ13" i="2" a="1"/>
  <c r="JZ13" i="2" s="1"/>
  <c r="JZ81" i="2" a="1"/>
  <c r="JZ81" i="2" s="1"/>
  <c r="JZ89" i="2" a="1"/>
  <c r="JZ89" i="2" s="1"/>
  <c r="JZ134" i="2" a="1"/>
  <c r="JZ134" i="2" s="1"/>
  <c r="JZ189" i="2" a="1"/>
  <c r="JZ189" i="2" s="1"/>
  <c r="JZ151" i="2" a="1"/>
  <c r="JZ151" i="2" s="1"/>
  <c r="KU203" i="2" a="1"/>
  <c r="KU203" i="2" s="1"/>
  <c r="KU199" i="2" a="1"/>
  <c r="KU199" i="2" s="1"/>
  <c r="KU175" i="2" a="1"/>
  <c r="KU175" i="2" s="1"/>
  <c r="KU10" i="2" a="1"/>
  <c r="KU10" i="2" s="1"/>
  <c r="KU141" i="2" a="1"/>
  <c r="KU141" i="2" s="1"/>
  <c r="KU71" i="2" a="1"/>
  <c r="KU71" i="2" s="1"/>
  <c r="KU54" i="2" a="1"/>
  <c r="KU54" i="2" s="1"/>
  <c r="KU31" i="2" a="1"/>
  <c r="KU31" i="2" s="1"/>
  <c r="KU108" i="2" a="1"/>
  <c r="KU108" i="2" s="1"/>
  <c r="KU177" i="2" a="1"/>
  <c r="KU177" i="2" s="1"/>
  <c r="KU68" i="2" a="1"/>
  <c r="KU68" i="2" s="1"/>
  <c r="KU23" i="2" a="1"/>
  <c r="KU23" i="2" s="1"/>
  <c r="KU142" i="2" a="1"/>
  <c r="KU142" i="2" s="1"/>
  <c r="KU38" i="2" a="1"/>
  <c r="KU38" i="2" s="1"/>
  <c r="KU77" i="2" a="1"/>
  <c r="KU77" i="2" s="1"/>
  <c r="KU126" i="2" a="1"/>
  <c r="KU126" i="2" s="1"/>
  <c r="KU176" i="2" a="1"/>
  <c r="KU176" i="2" s="1"/>
  <c r="KU185" i="2" a="1"/>
  <c r="KU185" i="2" s="1"/>
  <c r="KU28" i="2" a="1"/>
  <c r="KU28" i="2" s="1"/>
  <c r="KU87" i="2" a="1"/>
  <c r="KU87" i="2" s="1"/>
  <c r="KU34" i="2" a="1"/>
  <c r="KU34" i="2" s="1"/>
  <c r="KU169" i="2" a="1"/>
  <c r="KU169" i="2" s="1"/>
  <c r="KU160" i="2" a="1"/>
  <c r="KU160" i="2" s="1"/>
  <c r="KU62" i="2" a="1"/>
  <c r="KU62" i="2" s="1"/>
  <c r="KU165" i="2" a="1"/>
  <c r="KU165" i="2" s="1"/>
  <c r="KU9" i="2" a="1"/>
  <c r="KU9" i="2" s="1"/>
  <c r="KU42" i="2" a="1"/>
  <c r="KU42" i="2" s="1"/>
  <c r="KU121" i="2" a="1"/>
  <c r="KU121" i="2" s="1"/>
  <c r="KU60" i="2" a="1"/>
  <c r="KU60" i="2" s="1"/>
  <c r="KU91" i="2" a="1"/>
  <c r="KU91" i="2" s="1"/>
  <c r="KU14" i="2" a="1"/>
  <c r="KU14" i="2" s="1"/>
  <c r="KU134" i="2" a="1"/>
  <c r="KU134" i="2" s="1"/>
  <c r="KU162" i="2" a="1"/>
  <c r="KU162" i="2" s="1"/>
  <c r="KU44" i="2" a="1"/>
  <c r="KU44" i="2" s="1"/>
  <c r="KU85" i="2" a="1"/>
  <c r="KU85" i="2" s="1"/>
  <c r="KU21" i="2" a="1"/>
  <c r="KU21" i="2" s="1"/>
  <c r="KU122" i="2" a="1"/>
  <c r="KU122" i="2" s="1"/>
  <c r="KU151" i="2" a="1"/>
  <c r="KU151" i="2" s="1"/>
  <c r="KU24" i="2" a="1"/>
  <c r="KU24" i="2" s="1"/>
  <c r="KU124" i="2" a="1"/>
  <c r="KU124" i="2" s="1"/>
  <c r="KU50" i="2" a="1"/>
  <c r="KU50" i="2" s="1"/>
  <c r="KU113" i="2" a="1"/>
  <c r="KU113" i="2" s="1"/>
  <c r="KU66" i="2" a="1"/>
  <c r="KU66" i="2" s="1"/>
  <c r="KU167" i="2" a="1"/>
  <c r="KU167" i="2" s="1"/>
  <c r="KU130" i="2" a="1"/>
  <c r="KU130" i="2" s="1"/>
  <c r="KU19" i="2" a="1"/>
  <c r="KU19" i="2" s="1"/>
  <c r="KU163" i="2" a="1"/>
  <c r="KU163" i="2" s="1"/>
  <c r="KU48" i="2" a="1"/>
  <c r="KU48" i="2" s="1"/>
  <c r="KU33" i="2" a="1"/>
  <c r="KU33" i="2" s="1"/>
  <c r="KU168" i="2" a="1"/>
  <c r="KU168" i="2" s="1"/>
  <c r="KU84" i="2" a="1"/>
  <c r="KU84" i="2" s="1"/>
  <c r="KU61" i="2" a="1"/>
  <c r="KU61" i="2" s="1"/>
  <c r="KU139" i="2" a="1"/>
  <c r="KU139" i="2" s="1"/>
  <c r="KU157" i="2" a="1"/>
  <c r="KU157" i="2" s="1"/>
  <c r="KU104" i="2" a="1"/>
  <c r="KU104" i="2" s="1"/>
  <c r="KU99" i="2" a="1"/>
  <c r="KU99" i="2" s="1"/>
  <c r="KU156" i="2" a="1"/>
  <c r="KU156" i="2" s="1"/>
  <c r="KU102" i="2" a="1"/>
  <c r="KU102" i="2" s="1"/>
  <c r="KU100" i="2" a="1"/>
  <c r="KU100" i="2" s="1"/>
  <c r="KU147" i="2" a="1"/>
  <c r="KU147" i="2" s="1"/>
  <c r="KU32" i="2" a="1"/>
  <c r="KU32" i="2" s="1"/>
  <c r="KU181" i="2" a="1"/>
  <c r="KU181" i="2" s="1"/>
  <c r="KU109" i="2" a="1"/>
  <c r="KU109" i="2" s="1"/>
  <c r="KU110" i="2" a="1"/>
  <c r="KU110" i="2" s="1"/>
  <c r="KU184" i="2" a="1"/>
  <c r="KU184" i="2" s="1"/>
  <c r="KU41" i="2" a="1"/>
  <c r="KU41" i="2" s="1"/>
  <c r="KU115" i="2" a="1"/>
  <c r="KU115" i="2" s="1"/>
  <c r="KU35" i="2" a="1"/>
  <c r="KU35" i="2" s="1"/>
  <c r="KU145" i="2" a="1"/>
  <c r="KU145" i="2" s="1"/>
  <c r="KU171" i="2" a="1"/>
  <c r="KU171" i="2" s="1"/>
  <c r="KU154" i="2" a="1"/>
  <c r="KU154" i="2" s="1"/>
  <c r="KU13" i="2" a="1"/>
  <c r="KU13" i="2" s="1"/>
  <c r="KU191" i="2" a="1"/>
  <c r="KU191" i="2" s="1"/>
  <c r="KU69" i="2" a="1"/>
  <c r="KU69" i="2" s="1"/>
  <c r="KU53" i="2" a="1"/>
  <c r="KU53" i="2" s="1"/>
  <c r="KU152" i="2" a="1"/>
  <c r="KU152" i="2" s="1"/>
  <c r="KU78" i="2" a="1"/>
  <c r="KU78" i="2" s="1"/>
  <c r="KU18" i="2" a="1"/>
  <c r="KU18" i="2" s="1"/>
  <c r="KU57" i="2" a="1"/>
  <c r="KU57" i="2" s="1"/>
  <c r="KU107" i="2" a="1"/>
  <c r="KU107" i="2" s="1"/>
  <c r="KU189" i="2" a="1"/>
  <c r="KU189" i="2" s="1"/>
  <c r="KU164" i="2" a="1"/>
  <c r="KU164" i="2" s="1"/>
  <c r="KU132" i="2" a="1"/>
  <c r="KU132" i="2" s="1"/>
  <c r="KU194" i="2" a="1"/>
  <c r="KU194" i="2" s="1"/>
  <c r="KU193" i="2" a="1"/>
  <c r="KU193" i="2" s="1"/>
  <c r="KU74" i="2" a="1"/>
  <c r="KU74" i="2" s="1"/>
  <c r="KU39" i="2" a="1"/>
  <c r="KU39" i="2" s="1"/>
  <c r="KU92" i="2" a="1"/>
  <c r="KU92" i="2" s="1"/>
  <c r="KU37" i="2" a="1"/>
  <c r="KU37" i="2" s="1"/>
  <c r="KU52" i="2" a="1"/>
  <c r="KU52" i="2" s="1"/>
  <c r="KU118" i="2" a="1"/>
  <c r="KU118" i="2" s="1"/>
  <c r="KU95" i="2" a="1"/>
  <c r="KU95" i="2" s="1"/>
  <c r="KU80" i="2" a="1"/>
  <c r="KU80" i="2" s="1"/>
  <c r="KU20" i="2" a="1"/>
  <c r="KU20" i="2" s="1"/>
  <c r="KU40" i="2" a="1"/>
  <c r="KU40" i="2" s="1"/>
  <c r="KU65" i="2" a="1"/>
  <c r="KU65" i="2" s="1"/>
  <c r="KU45" i="2" a="1"/>
  <c r="KU45" i="2" s="1"/>
  <c r="KU22" i="2" a="1"/>
  <c r="KU22" i="2" s="1"/>
  <c r="KU88" i="2" a="1"/>
  <c r="KU88" i="2" s="1"/>
  <c r="KU173" i="2" a="1"/>
  <c r="KU173" i="2" s="1"/>
  <c r="KU86" i="2" a="1"/>
  <c r="KU86" i="2" s="1"/>
  <c r="KU114" i="2" a="1"/>
  <c r="KU114" i="2" s="1"/>
  <c r="KU59" i="2" a="1"/>
  <c r="KU59" i="2" s="1"/>
  <c r="KU116" i="2" a="1"/>
  <c r="KU116" i="2" s="1"/>
  <c r="KU106" i="2" a="1"/>
  <c r="KU106" i="2" s="1"/>
  <c r="KU174" i="2" a="1"/>
  <c r="KU174" i="2" s="1"/>
  <c r="KU120" i="2" a="1"/>
  <c r="KU120" i="2" s="1"/>
  <c r="KU188" i="2" a="1"/>
  <c r="KU188" i="2" s="1"/>
  <c r="KU131" i="2" a="1"/>
  <c r="KU131" i="2" s="1"/>
  <c r="KU129" i="2" a="1"/>
  <c r="KU129" i="2" s="1"/>
  <c r="KU96" i="2" a="1"/>
  <c r="KU96" i="2" s="1"/>
  <c r="KU133" i="2" a="1"/>
  <c r="KU133" i="2" s="1"/>
  <c r="KU111" i="2" a="1"/>
  <c r="KU111" i="2" s="1"/>
  <c r="KU135" i="2" a="1"/>
  <c r="KU135" i="2" s="1"/>
  <c r="KU47" i="2" a="1"/>
  <c r="KU47" i="2" s="1"/>
  <c r="KU153" i="2" a="1"/>
  <c r="KU153" i="2" s="1"/>
  <c r="KU97" i="2" a="1"/>
  <c r="KU97" i="2" s="1"/>
  <c r="KU192" i="2" a="1"/>
  <c r="KU192" i="2" s="1"/>
  <c r="KU140" i="2" a="1"/>
  <c r="KU140" i="2" s="1"/>
  <c r="KU146" i="2" a="1"/>
  <c r="KU146" i="2" s="1"/>
  <c r="KU137" i="2" a="1"/>
  <c r="KU137" i="2" s="1"/>
  <c r="KU79" i="2" a="1"/>
  <c r="KU79" i="2" s="1"/>
  <c r="KU128" i="2" a="1"/>
  <c r="KU128" i="2" s="1"/>
  <c r="KU103" i="2" a="1"/>
  <c r="KU103" i="2" s="1"/>
  <c r="KU90" i="2" a="1"/>
  <c r="KU90" i="2" s="1"/>
  <c r="KU15" i="2" a="1"/>
  <c r="KU15" i="2" s="1"/>
  <c r="KU143" i="2" a="1"/>
  <c r="KU143" i="2" s="1"/>
  <c r="KU16" i="2" a="1"/>
  <c r="KU16" i="2" s="1"/>
  <c r="KU178" i="2" a="1"/>
  <c r="KU178" i="2" s="1"/>
  <c r="KU158" i="2" a="1"/>
  <c r="KU158" i="2" s="1"/>
  <c r="KU43" i="2" a="1"/>
  <c r="KU43" i="2" s="1"/>
  <c r="KU161" i="2" a="1"/>
  <c r="KU161" i="2" s="1"/>
  <c r="KU136" i="2" a="1"/>
  <c r="KU136" i="2" s="1"/>
  <c r="KU58" i="2" a="1"/>
  <c r="KU58" i="2" s="1"/>
  <c r="KU125" i="2" a="1"/>
  <c r="KU125" i="2" s="1"/>
  <c r="KU12" i="2" a="1"/>
  <c r="KU12" i="2" s="1"/>
  <c r="KU94" i="2" a="1"/>
  <c r="KU94" i="2" s="1"/>
  <c r="KU8" i="2" a="1"/>
  <c r="KU8" i="2" s="1"/>
  <c r="KU186" i="2" a="1"/>
  <c r="KU186" i="2" s="1"/>
  <c r="KU138" i="2" a="1"/>
  <c r="KU138" i="2" s="1"/>
  <c r="KU197" i="2" a="1"/>
  <c r="KU197" i="2" s="1"/>
  <c r="KU70" i="2" a="1"/>
  <c r="KU70" i="2" s="1"/>
  <c r="KU73" i="2" a="1"/>
  <c r="KU73" i="2" s="1"/>
  <c r="KU201" i="2" a="1"/>
  <c r="KU201" i="2" s="1"/>
  <c r="KU75" i="2" a="1"/>
  <c r="KU75" i="2" s="1"/>
  <c r="KU56" i="2" a="1"/>
  <c r="KU56" i="2" s="1"/>
  <c r="KU172" i="2" a="1"/>
  <c r="KU172" i="2" s="1"/>
  <c r="KU149" i="2" a="1"/>
  <c r="KU149" i="2" s="1"/>
  <c r="KU148" i="2" a="1"/>
  <c r="KU148" i="2" s="1"/>
  <c r="KU105" i="2" a="1"/>
  <c r="KU105" i="2" s="1"/>
  <c r="KU127" i="2" a="1"/>
  <c r="KU127" i="2" s="1"/>
  <c r="KU101" i="2" a="1"/>
  <c r="KU101" i="2" s="1"/>
  <c r="KU72" i="2" a="1"/>
  <c r="KU72" i="2" s="1"/>
  <c r="KU25" i="2" a="1"/>
  <c r="KU25" i="2" s="1"/>
  <c r="KU190" i="2" a="1"/>
  <c r="KU190" i="2" s="1"/>
  <c r="KU144" i="2" a="1"/>
  <c r="KU144" i="2" s="1"/>
  <c r="KU195" i="2" a="1"/>
  <c r="KU195" i="2" s="1"/>
  <c r="KU76" i="2" a="1"/>
  <c r="KU76" i="2" s="1"/>
  <c r="KU11" i="2" a="1"/>
  <c r="KU11" i="2" s="1"/>
  <c r="KU30" i="2" a="1"/>
  <c r="KU30" i="2" s="1"/>
  <c r="KU82" i="2" a="1"/>
  <c r="KU82" i="2" s="1"/>
  <c r="KU26" i="2" a="1"/>
  <c r="KU26" i="2" s="1"/>
  <c r="KU119" i="2" a="1"/>
  <c r="KU119" i="2" s="1"/>
  <c r="KU64" i="2" a="1"/>
  <c r="KU64" i="2" s="1"/>
  <c r="KU170" i="2" a="1"/>
  <c r="KU170" i="2" s="1"/>
  <c r="KU155" i="2" a="1"/>
  <c r="KU155" i="2" s="1"/>
  <c r="KU29" i="2" a="1"/>
  <c r="KU29" i="2" s="1"/>
  <c r="KU150" i="2" a="1"/>
  <c r="KU150" i="2" s="1"/>
  <c r="KU55" i="2" a="1"/>
  <c r="KU55" i="2" s="1"/>
  <c r="KU166" i="2" a="1"/>
  <c r="KU166" i="2" s="1"/>
  <c r="KU46" i="2" a="1"/>
  <c r="KU46" i="2" s="1"/>
  <c r="KU93" i="2" a="1"/>
  <c r="KU93" i="2" s="1"/>
  <c r="KU51" i="2" a="1"/>
  <c r="KU51" i="2" s="1"/>
  <c r="KU27" i="2" a="1"/>
  <c r="KU27" i="2" s="1"/>
  <c r="KU159" i="2" a="1"/>
  <c r="KU159" i="2" s="1"/>
  <c r="KU180" i="2" a="1"/>
  <c r="KU180" i="2" s="1"/>
  <c r="KU67" i="2" a="1"/>
  <c r="KU67" i="2" s="1"/>
  <c r="KU179" i="2" a="1"/>
  <c r="KU179" i="2" s="1"/>
  <c r="KU98" i="2" a="1"/>
  <c r="KU98" i="2" s="1"/>
  <c r="KU112" i="2" a="1"/>
  <c r="KU112" i="2" s="1"/>
  <c r="KU117" i="2" a="1"/>
  <c r="KU117" i="2" s="1"/>
  <c r="KU81" i="2" a="1"/>
  <c r="KU81" i="2" s="1"/>
  <c r="KU89" i="2" a="1"/>
  <c r="KU89" i="2" s="1"/>
  <c r="KU49" i="2" a="1"/>
  <c r="KU49" i="2" s="1"/>
  <c r="KU17" i="2" a="1"/>
  <c r="KU17" i="2" s="1"/>
  <c r="KU83" i="2" a="1"/>
  <c r="KU83" i="2" s="1"/>
  <c r="KU36" i="2" a="1"/>
  <c r="KU36" i="2" s="1"/>
  <c r="KU183" i="2" a="1"/>
  <c r="KU183" i="2" s="1"/>
  <c r="KU123" i="2" a="1"/>
  <c r="KU123" i="2" s="1"/>
  <c r="KU187" i="2" a="1"/>
  <c r="KU187" i="2" s="1"/>
  <c r="NF155" i="2" a="1"/>
  <c r="NF155" i="2" s="1"/>
  <c r="JZ94" i="2" a="1"/>
  <c r="JZ94" i="2" s="1"/>
  <c r="JZ101" i="2" a="1"/>
  <c r="JZ101" i="2" s="1"/>
  <c r="JZ71" i="2" a="1"/>
  <c r="JZ71" i="2" s="1"/>
  <c r="JZ57" i="2" a="1"/>
  <c r="JZ57" i="2" s="1"/>
  <c r="JZ7" i="2" a="1"/>
  <c r="JZ7" i="2" s="1"/>
  <c r="KA7" i="2" s="1"/>
  <c r="JZ187" i="2" a="1"/>
  <c r="JZ187" i="2" s="1"/>
  <c r="MK133" i="2" a="1"/>
  <c r="MK133" i="2" s="1"/>
  <c r="MK76" i="2" a="1"/>
  <c r="MK76" i="2" s="1"/>
  <c r="MK177" i="2" a="1"/>
  <c r="MK177" i="2" s="1"/>
  <c r="MK190" i="2" a="1"/>
  <c r="MK190" i="2" s="1"/>
  <c r="MK57" i="2" a="1"/>
  <c r="MK57" i="2" s="1"/>
  <c r="MK120" i="2" a="1"/>
  <c r="MK120" i="2" s="1"/>
  <c r="MK64" i="2" a="1"/>
  <c r="MK64" i="2" s="1"/>
  <c r="MK139" i="2" a="1"/>
  <c r="MK139" i="2" s="1"/>
  <c r="MK158" i="2" a="1"/>
  <c r="MK158" i="2" s="1"/>
  <c r="MK153" i="2" a="1"/>
  <c r="MK153" i="2" s="1"/>
  <c r="MK157" i="2" a="1"/>
  <c r="MK157" i="2" s="1"/>
  <c r="MK160" i="2" a="1"/>
  <c r="MK160" i="2" s="1"/>
  <c r="NF15" i="2" a="1"/>
  <c r="NF15" i="2" s="1"/>
  <c r="JE74" i="2" a="1"/>
  <c r="JE74" i="2" s="1"/>
  <c r="OV16" i="2" a="1"/>
  <c r="OV16" i="2" s="1"/>
  <c r="HO89" i="2" a="1"/>
  <c r="HO89" i="2" s="1"/>
  <c r="HO124" i="2" a="1"/>
  <c r="HO124" i="2" s="1"/>
  <c r="JE45" i="2" a="1"/>
  <c r="JE45" i="2" s="1"/>
  <c r="LP60" i="2" a="1"/>
  <c r="LP60" i="2" s="1"/>
  <c r="JS203" i="2"/>
  <c r="NF74" i="2" a="1"/>
  <c r="NF74" i="2" s="1"/>
  <c r="NF103" i="2" a="1"/>
  <c r="NF103" i="2" s="1"/>
  <c r="LP138" i="2" a="1"/>
  <c r="LP138" i="2" s="1"/>
  <c r="OV126" i="2" a="1"/>
  <c r="OV126" i="2" s="1"/>
  <c r="HO199" i="2" a="1"/>
  <c r="HO199" i="2" s="1"/>
  <c r="OA120" i="2" a="1"/>
  <c r="OA120" i="2" s="1"/>
  <c r="OA105" i="2" a="1"/>
  <c r="OA105" i="2" s="1"/>
  <c r="OA35" i="2" a="1"/>
  <c r="OA35" i="2" s="1"/>
  <c r="OA156" i="2" a="1"/>
  <c r="OA156" i="2" s="1"/>
  <c r="OA134" i="2" a="1"/>
  <c r="OA134" i="2" s="1"/>
  <c r="OA69" i="2" a="1"/>
  <c r="OA69" i="2" s="1"/>
  <c r="OA46" i="2" a="1"/>
  <c r="OA46" i="2" s="1"/>
  <c r="OA79" i="2" a="1"/>
  <c r="OA79" i="2" s="1"/>
  <c r="OA144" i="2" a="1"/>
  <c r="OA144" i="2" s="1"/>
  <c r="OA158" i="2" a="1"/>
  <c r="OA158" i="2" s="1"/>
  <c r="OA111" i="2" a="1"/>
  <c r="OA111" i="2" s="1"/>
  <c r="OA28" i="2" a="1"/>
  <c r="OA28" i="2" s="1"/>
  <c r="JE81" i="2" a="1"/>
  <c r="JE81" i="2" s="1"/>
  <c r="LP197" i="2" a="1"/>
  <c r="LP197" i="2" s="1"/>
  <c r="HO68" i="2" a="1"/>
  <c r="HO68" i="2" s="1"/>
  <c r="JZ87" i="2" a="1"/>
  <c r="JZ87" i="2" s="1"/>
  <c r="HO171" i="2" a="1"/>
  <c r="HO171" i="2" s="1"/>
  <c r="JE123" i="2" a="1"/>
  <c r="JE123" i="2" s="1"/>
  <c r="LP62" i="2" a="1"/>
  <c r="LP62" i="2" s="1"/>
  <c r="OV189" i="2" a="1"/>
  <c r="OV189" i="2" s="1"/>
  <c r="NF153" i="2" a="1"/>
  <c r="NF153" i="2" s="1"/>
  <c r="NF125" i="2" a="1"/>
  <c r="NF125" i="2" s="1"/>
  <c r="LP165" i="2" a="1"/>
  <c r="LP165" i="2" s="1"/>
  <c r="OV70" i="2" a="1"/>
  <c r="OV70" i="2" s="1"/>
  <c r="JZ45" i="2" a="1"/>
  <c r="JZ45" i="2" s="1"/>
  <c r="JZ178" i="2" a="1"/>
  <c r="JZ178" i="2" s="1"/>
  <c r="JZ56" i="2" a="1"/>
  <c r="JZ56" i="2" s="1"/>
  <c r="JZ175" i="2" a="1"/>
  <c r="JZ175" i="2" s="1"/>
  <c r="KB6" i="2"/>
  <c r="KC6" i="2" s="1"/>
  <c r="KD6" i="2" s="1"/>
  <c r="KE6" i="2" s="1"/>
  <c r="JZ51" i="2" a="1"/>
  <c r="JZ51" i="2" s="1"/>
  <c r="JZ127" i="2" a="1"/>
  <c r="JZ127" i="2" s="1"/>
  <c r="JZ30" i="2" a="1"/>
  <c r="JZ30" i="2" s="1"/>
  <c r="JZ83" i="2" a="1"/>
  <c r="JZ83" i="2" s="1"/>
  <c r="JZ145" i="2" a="1"/>
  <c r="JZ145" i="2" s="1"/>
  <c r="JZ142" i="2" a="1"/>
  <c r="JZ142" i="2" s="1"/>
  <c r="JZ76" i="2" a="1"/>
  <c r="JZ76" i="2" s="1"/>
  <c r="LP86" i="2" a="1"/>
  <c r="LP86" i="2" s="1"/>
  <c r="JZ85" i="2" a="1"/>
  <c r="JZ85" i="2" s="1"/>
  <c r="JZ102" i="2" a="1"/>
  <c r="JZ102" i="2" s="1"/>
  <c r="JZ47" i="2" a="1"/>
  <c r="JZ47" i="2" s="1"/>
  <c r="JZ161" i="2" a="1"/>
  <c r="JZ161" i="2" s="1"/>
  <c r="JZ12" i="2" a="1"/>
  <c r="JZ12" i="2" s="1"/>
  <c r="MK201" i="2" a="1"/>
  <c r="MK201" i="2" s="1"/>
  <c r="MK142" i="2" a="1"/>
  <c r="MK142" i="2" s="1"/>
  <c r="MK101" i="2" a="1"/>
  <c r="MK101" i="2" s="1"/>
  <c r="MK196" i="2" a="1"/>
  <c r="MK196" i="2" s="1"/>
  <c r="MK155" i="2" a="1"/>
  <c r="MK155" i="2" s="1"/>
  <c r="MK115" i="2" a="1"/>
  <c r="MK115" i="2" s="1"/>
  <c r="MK156" i="2" a="1"/>
  <c r="MK156" i="2" s="1"/>
  <c r="MK135" i="2" a="1"/>
  <c r="MK135" i="2" s="1"/>
  <c r="MK62" i="2" a="1"/>
  <c r="MK62" i="2" s="1"/>
  <c r="MK152" i="2" a="1"/>
  <c r="MK152" i="2" s="1"/>
  <c r="MK129" i="2" a="1"/>
  <c r="MK129" i="2" s="1"/>
  <c r="MK137" i="2" a="1"/>
  <c r="MK137" i="2" s="1"/>
  <c r="HO173" i="2" a="1"/>
  <c r="HO173" i="2" s="1"/>
  <c r="JE60" i="2" a="1"/>
  <c r="JE60" i="2" s="1"/>
  <c r="LP39" i="2" a="1"/>
  <c r="LP39" i="2" s="1"/>
  <c r="OV99" i="2" a="1"/>
  <c r="OV99" i="2" s="1"/>
  <c r="JZ88" i="2" a="1"/>
  <c r="JZ88" i="2" s="1"/>
  <c r="HO194" i="2" a="1"/>
  <c r="HO194" i="2" s="1"/>
  <c r="JE54" i="2" a="1"/>
  <c r="JE54" i="2" s="1"/>
  <c r="LP81" i="2" a="1"/>
  <c r="LP81" i="2" s="1"/>
  <c r="NF115" i="2" a="1"/>
  <c r="NF115" i="2" s="1"/>
  <c r="NF37" i="2" a="1"/>
  <c r="NF37" i="2" s="1"/>
  <c r="NF169" i="2" a="1"/>
  <c r="NF169" i="2" s="1"/>
  <c r="LP42" i="2" a="1"/>
  <c r="LP42" i="2" s="1"/>
  <c r="OV150" i="2" a="1"/>
  <c r="OV150" i="2" s="1"/>
  <c r="LP198" i="2" a="1"/>
  <c r="LP198" i="2" s="1"/>
  <c r="OA88" i="2" a="1"/>
  <c r="OA88" i="2" s="1"/>
  <c r="OA186" i="2" a="1"/>
  <c r="OA186" i="2" s="1"/>
  <c r="OA30" i="2" a="1"/>
  <c r="OA30" i="2" s="1"/>
  <c r="OA59" i="2" a="1"/>
  <c r="OA59" i="2" s="1"/>
  <c r="OA108" i="2" a="1"/>
  <c r="OA108" i="2" s="1"/>
  <c r="OA146" i="2" a="1"/>
  <c r="OA146" i="2" s="1"/>
  <c r="OA150" i="2" a="1"/>
  <c r="OA150" i="2" s="1"/>
  <c r="OA14" i="2" a="1"/>
  <c r="OA14" i="2" s="1"/>
  <c r="OA53" i="2" a="1"/>
  <c r="OA53" i="2" s="1"/>
  <c r="OA141" i="2" a="1"/>
  <c r="OA141" i="2" s="1"/>
  <c r="OA116" i="2" a="1"/>
  <c r="OA116" i="2" s="1"/>
  <c r="JE100" i="2" a="1"/>
  <c r="JE100" i="2" s="1"/>
  <c r="LP13" i="2" a="1"/>
  <c r="LP13" i="2" s="1"/>
  <c r="OV48" i="2" a="1"/>
  <c r="OV48" i="2" s="1"/>
  <c r="JZ23" i="2" a="1"/>
  <c r="JZ23" i="2" s="1"/>
  <c r="HO52" i="2" a="1"/>
  <c r="HO52" i="2" s="1"/>
  <c r="JE78" i="2" a="1"/>
  <c r="JE78" i="2" s="1"/>
  <c r="OV186" i="2" a="1"/>
  <c r="OV186" i="2" s="1"/>
  <c r="NF10" i="2" a="1"/>
  <c r="NF10" i="2" s="1"/>
  <c r="NF200" i="2" a="1"/>
  <c r="NF200" i="2" s="1"/>
  <c r="NT203" i="2"/>
  <c r="JE145" i="2" a="1"/>
  <c r="JE145" i="2" s="1"/>
  <c r="OA43" i="2" a="1"/>
  <c r="OA43" i="2" s="1"/>
  <c r="OA42" i="2" a="1"/>
  <c r="OA42" i="2" s="1"/>
  <c r="OA104" i="2" a="1"/>
  <c r="OA104" i="2" s="1"/>
  <c r="NF199" i="2" a="1"/>
  <c r="NF199" i="2" s="1"/>
  <c r="NF175" i="2" a="1"/>
  <c r="NF175" i="2" s="1"/>
  <c r="NF167" i="2" a="1"/>
  <c r="NF167" i="2" s="1"/>
  <c r="NF18" i="2" a="1"/>
  <c r="NF18" i="2" s="1"/>
  <c r="NF165" i="2" a="1"/>
  <c r="NF165" i="2" s="1"/>
  <c r="NF183" i="2" a="1"/>
  <c r="NF183" i="2" s="1"/>
  <c r="NF94" i="2" a="1"/>
  <c r="NF94" i="2" s="1"/>
  <c r="NF185" i="2" a="1"/>
  <c r="NF185" i="2" s="1"/>
  <c r="NF105" i="2" a="1"/>
  <c r="NF105" i="2" s="1"/>
  <c r="JE114" i="2" a="1"/>
  <c r="JE114" i="2" s="1"/>
  <c r="JE28" i="2" a="1"/>
  <c r="JE28" i="2" s="1"/>
  <c r="JE49" i="2" a="1"/>
  <c r="JE49" i="2" s="1"/>
  <c r="JE27" i="2" a="1"/>
  <c r="JE27" i="2" s="1"/>
  <c r="JE134" i="2" a="1"/>
  <c r="JE134" i="2" s="1"/>
  <c r="JE72" i="2" a="1"/>
  <c r="JE72" i="2" s="1"/>
  <c r="JE8" i="2" a="1"/>
  <c r="JE8" i="2" s="1"/>
  <c r="JE89" i="2" a="1"/>
  <c r="JE89" i="2" s="1"/>
  <c r="JE77" i="2" a="1"/>
  <c r="JE77" i="2" s="1"/>
  <c r="JE139" i="2" a="1"/>
  <c r="JE139" i="2" s="1"/>
  <c r="JE175" i="2" a="1"/>
  <c r="JE175" i="2" s="1"/>
  <c r="JE86" i="2" a="1"/>
  <c r="JE86" i="2" s="1"/>
  <c r="PI203" i="2"/>
  <c r="PL203" i="2" s="1"/>
  <c r="PL202" i="2"/>
  <c r="OP203" i="2"/>
  <c r="JZ191" i="2" a="1"/>
  <c r="JZ191" i="2" s="1"/>
  <c r="HP7" i="2"/>
  <c r="HQ6" i="2"/>
  <c r="HR6" i="2" s="1"/>
  <c r="HS6" i="2" s="1"/>
  <c r="HT6" i="2" s="1"/>
  <c r="OV196" i="2" a="1"/>
  <c r="OV196" i="2" s="1"/>
  <c r="IL6" i="2"/>
  <c r="IM6" i="2" s="1"/>
  <c r="IN6" i="2" s="1"/>
  <c r="IO6" i="2" s="1"/>
  <c r="LH203" i="2"/>
  <c r="LK203" i="2" s="1"/>
  <c r="LK202" i="2"/>
  <c r="LP154" i="2" a="1"/>
  <c r="LP154" i="2" s="1"/>
  <c r="LP35" i="2" a="1"/>
  <c r="LP35" i="2" s="1"/>
  <c r="LP43" i="2" a="1"/>
  <c r="LP43" i="2" s="1"/>
  <c r="LP118" i="2" a="1"/>
  <c r="LP118" i="2" s="1"/>
  <c r="LP87" i="2" a="1"/>
  <c r="LP87" i="2" s="1"/>
  <c r="IJ203" i="2" a="1"/>
  <c r="IJ203" i="2" s="1"/>
  <c r="IJ198" i="2" a="1"/>
  <c r="IJ198" i="2" s="1"/>
  <c r="IJ157" i="2" a="1"/>
  <c r="IJ157" i="2" s="1"/>
  <c r="IJ66" i="2" a="1"/>
  <c r="IJ66" i="2" s="1"/>
  <c r="IJ81" i="2" a="1"/>
  <c r="IJ81" i="2" s="1"/>
  <c r="IJ85" i="2" a="1"/>
  <c r="IJ85" i="2" s="1"/>
  <c r="IJ145" i="2" a="1"/>
  <c r="IJ145" i="2" s="1"/>
  <c r="IJ60" i="2" a="1"/>
  <c r="IJ60" i="2" s="1"/>
  <c r="IJ128" i="2" a="1"/>
  <c r="IJ128" i="2" s="1"/>
  <c r="IJ17" i="2" a="1"/>
  <c r="IJ17" i="2" s="1"/>
  <c r="IJ80" i="2" a="1"/>
  <c r="IJ80" i="2" s="1"/>
  <c r="IJ156" i="2" a="1"/>
  <c r="IJ156" i="2" s="1"/>
  <c r="IJ53" i="2" a="1"/>
  <c r="IJ53" i="2" s="1"/>
  <c r="IJ129" i="2" a="1"/>
  <c r="IJ129" i="2" s="1"/>
  <c r="IJ130" i="2" a="1"/>
  <c r="IJ130" i="2" s="1"/>
  <c r="IJ11" i="2" a="1"/>
  <c r="IJ11" i="2" s="1"/>
  <c r="IJ52" i="2" a="1"/>
  <c r="IJ52" i="2" s="1"/>
  <c r="IJ193" i="2" a="1"/>
  <c r="IJ193" i="2" s="1"/>
  <c r="IJ19" i="2" a="1"/>
  <c r="IJ19" i="2" s="1"/>
  <c r="IJ26" i="2" a="1"/>
  <c r="IJ26" i="2" s="1"/>
  <c r="IJ111" i="2" a="1"/>
  <c r="IJ111" i="2" s="1"/>
  <c r="IJ32" i="2" a="1"/>
  <c r="IJ32" i="2" s="1"/>
  <c r="IJ22" i="2" a="1"/>
  <c r="IJ22" i="2" s="1"/>
  <c r="IJ93" i="2" a="1"/>
  <c r="IJ93" i="2" s="1"/>
  <c r="IJ21" i="2" a="1"/>
  <c r="IJ21" i="2" s="1"/>
  <c r="IJ163" i="2" a="1"/>
  <c r="IJ163" i="2" s="1"/>
  <c r="IJ88" i="2" a="1"/>
  <c r="IJ88" i="2" s="1"/>
  <c r="IJ140" i="2" a="1"/>
  <c r="IJ140" i="2" s="1"/>
  <c r="IJ170" i="2" a="1"/>
  <c r="IJ170" i="2" s="1"/>
  <c r="IJ72" i="2" a="1"/>
  <c r="IJ72" i="2" s="1"/>
  <c r="IJ172" i="2" a="1"/>
  <c r="IJ172" i="2" s="1"/>
  <c r="IJ117" i="2" a="1"/>
  <c r="IJ117" i="2" s="1"/>
  <c r="IJ101" i="2" a="1"/>
  <c r="IJ101" i="2" s="1"/>
  <c r="IJ61" i="2" a="1"/>
  <c r="IJ61" i="2" s="1"/>
  <c r="IJ67" i="2" a="1"/>
  <c r="IJ67" i="2" s="1"/>
  <c r="IJ54" i="2" a="1"/>
  <c r="IJ54" i="2" s="1"/>
  <c r="IJ167" i="2" a="1"/>
  <c r="IJ167" i="2" s="1"/>
  <c r="IJ89" i="2" a="1"/>
  <c r="IJ89" i="2" s="1"/>
  <c r="IJ166" i="2" a="1"/>
  <c r="IJ166" i="2" s="1"/>
  <c r="IJ49" i="2" a="1"/>
  <c r="IJ49" i="2" s="1"/>
  <c r="IJ165" i="2" a="1"/>
  <c r="IJ165" i="2" s="1"/>
  <c r="IJ46" i="2" a="1"/>
  <c r="IJ46" i="2" s="1"/>
  <c r="IJ10" i="2" a="1"/>
  <c r="IJ10" i="2" s="1"/>
  <c r="IJ195" i="2" a="1"/>
  <c r="IJ195" i="2" s="1"/>
  <c r="IJ115" i="2" a="1"/>
  <c r="IJ115" i="2" s="1"/>
  <c r="IJ159" i="2" a="1"/>
  <c r="IJ159" i="2" s="1"/>
  <c r="IJ42" i="2" a="1"/>
  <c r="IJ42" i="2" s="1"/>
  <c r="IJ28" i="2" a="1"/>
  <c r="IJ28" i="2" s="1"/>
  <c r="IJ124" i="2" a="1"/>
  <c r="IJ124" i="2" s="1"/>
  <c r="IJ31" i="2" a="1"/>
  <c r="IJ31" i="2" s="1"/>
  <c r="IJ110" i="2" a="1"/>
  <c r="IJ110" i="2" s="1"/>
  <c r="IJ23" i="2" a="1"/>
  <c r="IJ23" i="2" s="1"/>
  <c r="IJ62" i="2" a="1"/>
  <c r="IJ62" i="2" s="1"/>
  <c r="IJ123" i="2" a="1"/>
  <c r="IJ123" i="2" s="1"/>
  <c r="IJ63" i="2" a="1"/>
  <c r="IJ63" i="2" s="1"/>
  <c r="IJ148" i="2" a="1"/>
  <c r="IJ148" i="2" s="1"/>
  <c r="IJ104" i="2" a="1"/>
  <c r="IJ104" i="2" s="1"/>
  <c r="IJ143" i="2" a="1"/>
  <c r="IJ143" i="2" s="1"/>
  <c r="IJ12" i="2" a="1"/>
  <c r="IJ12" i="2" s="1"/>
  <c r="IJ189" i="2" a="1"/>
  <c r="IJ189" i="2" s="1"/>
  <c r="IJ73" i="2" a="1"/>
  <c r="IJ73" i="2" s="1"/>
  <c r="IJ199" i="2" a="1"/>
  <c r="IJ199" i="2" s="1"/>
  <c r="IJ183" i="2" a="1"/>
  <c r="IJ183" i="2" s="1"/>
  <c r="IJ188" i="2" a="1"/>
  <c r="IJ188" i="2" s="1"/>
  <c r="IJ132" i="2" a="1"/>
  <c r="IJ132" i="2" s="1"/>
  <c r="IJ181" i="2" a="1"/>
  <c r="IJ181" i="2" s="1"/>
  <c r="IJ113" i="2" a="1"/>
  <c r="IJ113" i="2" s="1"/>
  <c r="IJ55" i="2" a="1"/>
  <c r="IJ55" i="2" s="1"/>
  <c r="IJ84" i="2" a="1"/>
  <c r="IJ84" i="2" s="1"/>
  <c r="IJ174" i="2" a="1"/>
  <c r="IJ174" i="2" s="1"/>
  <c r="IJ151" i="2" a="1"/>
  <c r="IJ151" i="2" s="1"/>
  <c r="IJ79" i="2" a="1"/>
  <c r="IJ79" i="2" s="1"/>
  <c r="IJ75" i="2" a="1"/>
  <c r="IJ75" i="2" s="1"/>
  <c r="IJ56" i="2" a="1"/>
  <c r="IJ56" i="2" s="1"/>
  <c r="IJ30" i="2" a="1"/>
  <c r="IJ30" i="2" s="1"/>
  <c r="IJ33" i="2" a="1"/>
  <c r="IJ33" i="2" s="1"/>
  <c r="IJ36" i="2" a="1"/>
  <c r="IJ36" i="2" s="1"/>
  <c r="IJ127" i="2" a="1"/>
  <c r="IJ127" i="2" s="1"/>
  <c r="IJ108" i="2" a="1"/>
  <c r="IJ108" i="2" s="1"/>
  <c r="IJ179" i="2" a="1"/>
  <c r="IJ179" i="2" s="1"/>
  <c r="IJ194" i="2" a="1"/>
  <c r="IJ194" i="2" s="1"/>
  <c r="IJ87" i="2" a="1"/>
  <c r="IJ87" i="2" s="1"/>
  <c r="IJ40" i="2" a="1"/>
  <c r="IJ40" i="2" s="1"/>
  <c r="IJ82" i="2" a="1"/>
  <c r="IJ82" i="2" s="1"/>
  <c r="IJ14" i="2" a="1"/>
  <c r="IJ14" i="2" s="1"/>
  <c r="IJ69" i="2" a="1"/>
  <c r="IJ69" i="2" s="1"/>
  <c r="IJ39" i="2" a="1"/>
  <c r="IJ39" i="2" s="1"/>
  <c r="IJ180" i="2" a="1"/>
  <c r="IJ180" i="2" s="1"/>
  <c r="IJ175" i="2" a="1"/>
  <c r="IJ175" i="2" s="1"/>
  <c r="IJ57" i="2" a="1"/>
  <c r="IJ57" i="2" s="1"/>
  <c r="IJ162" i="2" a="1"/>
  <c r="IJ162" i="2" s="1"/>
  <c r="IJ182" i="2" a="1"/>
  <c r="IJ182" i="2" s="1"/>
  <c r="IJ187" i="2" a="1"/>
  <c r="IJ187" i="2" s="1"/>
  <c r="IJ25" i="2" a="1"/>
  <c r="IJ25" i="2" s="1"/>
  <c r="IJ120" i="2" a="1"/>
  <c r="IJ120" i="2" s="1"/>
  <c r="IJ186" i="2" a="1"/>
  <c r="IJ186" i="2" s="1"/>
  <c r="IJ76" i="2" a="1"/>
  <c r="IJ76" i="2" s="1"/>
  <c r="IJ43" i="2" a="1"/>
  <c r="IJ43" i="2" s="1"/>
  <c r="IJ70" i="2" a="1"/>
  <c r="IJ70" i="2" s="1"/>
  <c r="IJ100" i="2" a="1"/>
  <c r="IJ100" i="2" s="1"/>
  <c r="IJ37" i="2" a="1"/>
  <c r="IJ37" i="2" s="1"/>
  <c r="IJ107" i="2" a="1"/>
  <c r="IJ107" i="2" s="1"/>
  <c r="IJ15" i="2" a="1"/>
  <c r="IJ15" i="2" s="1"/>
  <c r="IJ134" i="2" a="1"/>
  <c r="IJ134" i="2" s="1"/>
  <c r="IJ158" i="2" a="1"/>
  <c r="IJ158" i="2" s="1"/>
  <c r="IJ105" i="2" a="1"/>
  <c r="IJ105" i="2" s="1"/>
  <c r="IJ103" i="2" a="1"/>
  <c r="IJ103" i="2" s="1"/>
  <c r="IJ83" i="2" a="1"/>
  <c r="IJ83" i="2" s="1"/>
  <c r="IJ155" i="2" a="1"/>
  <c r="IJ155" i="2" s="1"/>
  <c r="IJ178" i="2" a="1"/>
  <c r="IJ178" i="2" s="1"/>
  <c r="IJ139" i="2" a="1"/>
  <c r="IJ139" i="2" s="1"/>
  <c r="IJ29" i="2" a="1"/>
  <c r="IJ29" i="2" s="1"/>
  <c r="IJ109" i="2" a="1"/>
  <c r="IJ109" i="2" s="1"/>
  <c r="IJ78" i="2" a="1"/>
  <c r="IJ78" i="2" s="1"/>
  <c r="IJ86" i="2" a="1"/>
  <c r="IJ86" i="2" s="1"/>
  <c r="IJ119" i="2" a="1"/>
  <c r="IJ119" i="2" s="1"/>
  <c r="IJ160" i="2" a="1"/>
  <c r="IJ160" i="2" s="1"/>
  <c r="IJ122" i="2" a="1"/>
  <c r="IJ122" i="2" s="1"/>
  <c r="IJ138" i="2" a="1"/>
  <c r="IJ138" i="2" s="1"/>
  <c r="IJ168" i="2" a="1"/>
  <c r="IJ168" i="2" s="1"/>
  <c r="IJ98" i="2" a="1"/>
  <c r="IJ98" i="2" s="1"/>
  <c r="IJ125" i="2" a="1"/>
  <c r="IJ125" i="2" s="1"/>
  <c r="IJ121" i="2" a="1"/>
  <c r="IJ121" i="2" s="1"/>
  <c r="IJ41" i="2" a="1"/>
  <c r="IJ41" i="2" s="1"/>
  <c r="IJ177" i="2" a="1"/>
  <c r="IJ177" i="2" s="1"/>
  <c r="IJ13" i="2" a="1"/>
  <c r="IJ13" i="2" s="1"/>
  <c r="IJ99" i="2" a="1"/>
  <c r="IJ99" i="2" s="1"/>
  <c r="IJ92" i="2" a="1"/>
  <c r="IJ92" i="2" s="1"/>
  <c r="IJ184" i="2" a="1"/>
  <c r="IJ184" i="2" s="1"/>
  <c r="IJ102" i="2" a="1"/>
  <c r="IJ102" i="2" s="1"/>
  <c r="IJ48" i="2" a="1"/>
  <c r="IJ48" i="2" s="1"/>
  <c r="IJ137" i="2" a="1"/>
  <c r="IJ137" i="2" s="1"/>
  <c r="IJ154" i="2" a="1"/>
  <c r="IJ154" i="2" s="1"/>
  <c r="IJ47" i="2" a="1"/>
  <c r="IJ47" i="2" s="1"/>
  <c r="IJ131" i="2" a="1"/>
  <c r="IJ131" i="2" s="1"/>
  <c r="IJ65" i="2" a="1"/>
  <c r="IJ65" i="2" s="1"/>
  <c r="IJ147" i="2" a="1"/>
  <c r="IJ147" i="2" s="1"/>
  <c r="IJ196" i="2" a="1"/>
  <c r="IJ196" i="2" s="1"/>
  <c r="IJ96" i="2" a="1"/>
  <c r="IJ96" i="2" s="1"/>
  <c r="IJ58" i="2" a="1"/>
  <c r="IJ58" i="2" s="1"/>
  <c r="IJ91" i="2" a="1"/>
  <c r="IJ91" i="2" s="1"/>
  <c r="IJ171" i="2" a="1"/>
  <c r="IJ171" i="2" s="1"/>
  <c r="IJ95" i="2" a="1"/>
  <c r="IJ95" i="2" s="1"/>
  <c r="IJ201" i="2" a="1"/>
  <c r="IJ201" i="2" s="1"/>
  <c r="IJ8" i="2" a="1"/>
  <c r="IJ8" i="2" s="1"/>
  <c r="IJ51" i="2" a="1"/>
  <c r="IJ51" i="2" s="1"/>
  <c r="IJ144" i="2" a="1"/>
  <c r="IJ144" i="2" s="1"/>
  <c r="IJ97" i="2" a="1"/>
  <c r="IJ97" i="2" s="1"/>
  <c r="IJ71" i="2" a="1"/>
  <c r="IJ71" i="2" s="1"/>
  <c r="IJ16" i="2" a="1"/>
  <c r="IJ16" i="2" s="1"/>
  <c r="IJ106" i="2" a="1"/>
  <c r="IJ106" i="2" s="1"/>
  <c r="IJ164" i="2" a="1"/>
  <c r="IJ164" i="2" s="1"/>
  <c r="IJ45" i="2" a="1"/>
  <c r="IJ45" i="2" s="1"/>
  <c r="IJ176" i="2" a="1"/>
  <c r="IJ176" i="2" s="1"/>
  <c r="IJ153" i="2" a="1"/>
  <c r="IJ153" i="2" s="1"/>
  <c r="IJ114" i="2" a="1"/>
  <c r="IJ114" i="2" s="1"/>
  <c r="IJ126" i="2" a="1"/>
  <c r="IJ126" i="2" s="1"/>
  <c r="IJ34" i="2" a="1"/>
  <c r="IJ34" i="2" s="1"/>
  <c r="IJ112" i="2" a="1"/>
  <c r="IJ112" i="2" s="1"/>
  <c r="IJ94" i="2" a="1"/>
  <c r="IJ94" i="2" s="1"/>
  <c r="IJ27" i="2" a="1"/>
  <c r="IJ27" i="2" s="1"/>
  <c r="IJ135" i="2" a="1"/>
  <c r="IJ135" i="2" s="1"/>
  <c r="IJ68" i="2" a="1"/>
  <c r="IJ68" i="2" s="1"/>
  <c r="IJ173" i="2" a="1"/>
  <c r="IJ173" i="2" s="1"/>
  <c r="IJ90" i="2" a="1"/>
  <c r="IJ90" i="2" s="1"/>
  <c r="IJ152" i="2" a="1"/>
  <c r="IJ152" i="2" s="1"/>
  <c r="IJ20" i="2" a="1"/>
  <c r="IJ20" i="2" s="1"/>
  <c r="IJ77" i="2" a="1"/>
  <c r="IJ77" i="2" s="1"/>
  <c r="IJ136" i="2" a="1"/>
  <c r="IJ136" i="2" s="1"/>
  <c r="IJ74" i="2" a="1"/>
  <c r="IJ74" i="2" s="1"/>
  <c r="IJ7" i="2" a="1"/>
  <c r="IJ7" i="2" s="1"/>
  <c r="IK7" i="2" s="1"/>
  <c r="IJ185" i="2" a="1"/>
  <c r="IJ185" i="2" s="1"/>
  <c r="IJ142" i="2" a="1"/>
  <c r="IJ142" i="2" s="1"/>
  <c r="IJ116" i="2" a="1"/>
  <c r="IJ116" i="2" s="1"/>
  <c r="IJ133" i="2" a="1"/>
  <c r="IJ133" i="2" s="1"/>
  <c r="IJ38" i="2" a="1"/>
  <c r="IJ38" i="2" s="1"/>
  <c r="IJ169" i="2" a="1"/>
  <c r="IJ169" i="2" s="1"/>
  <c r="IJ35" i="2" a="1"/>
  <c r="IJ35" i="2" s="1"/>
  <c r="IJ197" i="2" a="1"/>
  <c r="IJ197" i="2" s="1"/>
  <c r="IJ141" i="2" a="1"/>
  <c r="IJ141" i="2" s="1"/>
  <c r="IJ192" i="2" a="1"/>
  <c r="IJ192" i="2" s="1"/>
  <c r="IJ146" i="2" a="1"/>
  <c r="IJ146" i="2" s="1"/>
  <c r="IJ149" i="2" a="1"/>
  <c r="IJ149" i="2" s="1"/>
  <c r="IJ18" i="2" a="1"/>
  <c r="IJ18" i="2" s="1"/>
  <c r="IJ24" i="2" a="1"/>
  <c r="IJ24" i="2" s="1"/>
  <c r="IJ9" i="2" a="1"/>
  <c r="IJ9" i="2" s="1"/>
  <c r="IJ118" i="2" a="1"/>
  <c r="IJ118" i="2" s="1"/>
  <c r="IJ59" i="2" a="1"/>
  <c r="IJ59" i="2" s="1"/>
  <c r="IJ50" i="2" a="1"/>
  <c r="IJ50" i="2" s="1"/>
  <c r="IJ161" i="2" a="1"/>
  <c r="IJ161" i="2" s="1"/>
  <c r="JZ139" i="2" a="1"/>
  <c r="JZ139" i="2" s="1"/>
  <c r="JZ121" i="2" a="1"/>
  <c r="JZ121" i="2" s="1"/>
  <c r="JZ133" i="2" a="1"/>
  <c r="JZ133" i="2" s="1"/>
  <c r="JZ185" i="2" a="1"/>
  <c r="JZ185" i="2" s="1"/>
  <c r="JZ147" i="2" a="1"/>
  <c r="JZ147" i="2" s="1"/>
  <c r="JZ64" i="2" a="1"/>
  <c r="JZ64" i="2" s="1"/>
  <c r="JZ196" i="2" a="1"/>
  <c r="JZ196" i="2" s="1"/>
  <c r="MK58" i="2" a="1"/>
  <c r="MK58" i="2" s="1"/>
  <c r="MK192" i="2" a="1"/>
  <c r="MK192" i="2" s="1"/>
  <c r="MK186" i="2" a="1"/>
  <c r="MK186" i="2" s="1"/>
  <c r="MK84" i="2" a="1"/>
  <c r="MK84" i="2" s="1"/>
  <c r="MK161" i="2" a="1"/>
  <c r="MK161" i="2" s="1"/>
  <c r="MK89" i="2" a="1"/>
  <c r="MK89" i="2" s="1"/>
  <c r="MK32" i="2" a="1"/>
  <c r="MK32" i="2" s="1"/>
  <c r="MK173" i="2" a="1"/>
  <c r="MK173" i="2" s="1"/>
  <c r="MK8" i="2" a="1"/>
  <c r="MK8" i="2" s="1"/>
  <c r="MK154" i="2" a="1"/>
  <c r="MK154" i="2" s="1"/>
  <c r="MK145" i="2" a="1"/>
  <c r="MK145" i="2" s="1"/>
  <c r="MK164" i="2" a="1"/>
  <c r="MK164" i="2" s="1"/>
  <c r="NF161" i="2" a="1"/>
  <c r="NF161" i="2" s="1"/>
  <c r="LP91" i="2" a="1"/>
  <c r="LP91" i="2" s="1"/>
  <c r="OV148" i="2" a="1"/>
  <c r="OV148" i="2" s="1"/>
  <c r="JZ18" i="2" a="1"/>
  <c r="JZ18" i="2" s="1"/>
  <c r="HO76" i="2" a="1"/>
  <c r="HO76" i="2" s="1"/>
  <c r="JE38" i="2" a="1"/>
  <c r="JE38" i="2" s="1"/>
  <c r="OV144" i="2" a="1"/>
  <c r="OV144" i="2" s="1"/>
  <c r="NF129" i="2" a="1"/>
  <c r="NF129" i="2" s="1"/>
  <c r="NF27" i="2" a="1"/>
  <c r="NF27" i="2" s="1"/>
  <c r="NF55" i="2" a="1"/>
  <c r="NF55" i="2" s="1"/>
  <c r="LP195" i="2" a="1"/>
  <c r="LP195" i="2" s="1"/>
  <c r="OV115" i="2" a="1"/>
  <c r="OV115" i="2" s="1"/>
  <c r="LP201" i="2" a="1"/>
  <c r="LP201" i="2" s="1"/>
  <c r="OA171" i="2" a="1"/>
  <c r="OA171" i="2" s="1"/>
  <c r="OA25" i="2" a="1"/>
  <c r="OA25" i="2" s="1"/>
  <c r="OA157" i="2" a="1"/>
  <c r="OA157" i="2" s="1"/>
  <c r="OA170" i="2" a="1"/>
  <c r="OA170" i="2" s="1"/>
  <c r="OA184" i="2" a="1"/>
  <c r="OA184" i="2" s="1"/>
  <c r="OA63" i="2" a="1"/>
  <c r="OA63" i="2" s="1"/>
  <c r="OA98" i="2" a="1"/>
  <c r="OA98" i="2" s="1"/>
  <c r="OA36" i="2" a="1"/>
  <c r="OA36" i="2" s="1"/>
  <c r="OA154" i="2" a="1"/>
  <c r="OA154" i="2" s="1"/>
  <c r="OA103" i="2" a="1"/>
  <c r="OA103" i="2" s="1"/>
  <c r="OA101" i="2" a="1"/>
  <c r="OA101" i="2" s="1"/>
  <c r="OA74" i="2" a="1"/>
  <c r="OA74" i="2" s="1"/>
  <c r="JE73" i="2" a="1"/>
  <c r="JE73" i="2" s="1"/>
  <c r="OV169" i="2" a="1"/>
  <c r="OV169" i="2" s="1"/>
  <c r="HO191" i="2" a="1"/>
  <c r="HO191" i="2" s="1"/>
  <c r="JZ20" i="2" a="1"/>
  <c r="JZ20" i="2" s="1"/>
  <c r="HO99" i="2" a="1"/>
  <c r="HO99" i="2" s="1"/>
  <c r="JE93" i="2" a="1"/>
  <c r="JE93" i="2" s="1"/>
  <c r="LP182" i="2" a="1"/>
  <c r="LP182" i="2" s="1"/>
  <c r="NF31" i="2" a="1"/>
  <c r="NF31" i="2" s="1"/>
  <c r="NF124" i="2" a="1"/>
  <c r="NF124" i="2" s="1"/>
  <c r="JE52" i="2" a="1"/>
  <c r="JE52" i="2" s="1"/>
  <c r="LP107" i="2" a="1"/>
  <c r="LP107" i="2" s="1"/>
  <c r="OV63" i="2" a="1"/>
  <c r="OV63" i="2" s="1"/>
  <c r="JZ36" i="2" a="1"/>
  <c r="JZ36" i="2" s="1"/>
  <c r="JZ167" i="2" a="1"/>
  <c r="JZ167" i="2" s="1"/>
  <c r="JZ125" i="2" a="1"/>
  <c r="JZ125" i="2" s="1"/>
  <c r="JZ171" i="2" a="1"/>
  <c r="JZ171" i="2" s="1"/>
  <c r="JZ179" i="2" a="1"/>
  <c r="JZ179" i="2" s="1"/>
  <c r="JZ159" i="2" a="1"/>
  <c r="JZ159" i="2" s="1"/>
  <c r="JZ141" i="2" a="1"/>
  <c r="JZ141" i="2" s="1"/>
  <c r="JZ99" i="2" a="1"/>
  <c r="JZ99" i="2" s="1"/>
  <c r="JZ41" i="2" a="1"/>
  <c r="JZ41" i="2" s="1"/>
  <c r="JZ24" i="2" a="1"/>
  <c r="JZ24" i="2" s="1"/>
  <c r="JZ50" i="2" a="1"/>
  <c r="JZ50" i="2" s="1"/>
  <c r="JZ202" i="2" a="1"/>
  <c r="JZ202" i="2" s="1"/>
  <c r="JZ157" i="2" a="1"/>
  <c r="JZ157" i="2" s="1"/>
  <c r="JZ132" i="2" a="1"/>
  <c r="JZ132" i="2" s="1"/>
  <c r="JZ93" i="2" a="1"/>
  <c r="JZ93" i="2" s="1"/>
  <c r="JZ62" i="2" a="1"/>
  <c r="JZ62" i="2" s="1"/>
  <c r="JZ128" i="2" a="1"/>
  <c r="JZ128" i="2" s="1"/>
  <c r="JZ78" i="2" a="1"/>
  <c r="JZ78" i="2" s="1"/>
  <c r="MK100" i="2" a="1"/>
  <c r="MK100" i="2" s="1"/>
  <c r="MK67" i="2" a="1"/>
  <c r="MK67" i="2" s="1"/>
  <c r="MK39" i="2" a="1"/>
  <c r="MK39" i="2" s="1"/>
  <c r="MK171" i="2" a="1"/>
  <c r="MK171" i="2" s="1"/>
  <c r="MK47" i="2" a="1"/>
  <c r="MK47" i="2" s="1"/>
  <c r="MK66" i="2" a="1"/>
  <c r="MK66" i="2" s="1"/>
  <c r="MK148" i="2" a="1"/>
  <c r="MK148" i="2" s="1"/>
  <c r="MK179" i="2" a="1"/>
  <c r="MK179" i="2" s="1"/>
  <c r="MK123" i="2" a="1"/>
  <c r="MK123" i="2" s="1"/>
  <c r="MK131" i="2" a="1"/>
  <c r="MK131" i="2" s="1"/>
  <c r="MK16" i="2" a="1"/>
  <c r="MK16" i="2" s="1"/>
  <c r="MK128" i="2" a="1"/>
  <c r="MK128" i="2" s="1"/>
  <c r="HO90" i="2" a="1"/>
  <c r="HO90" i="2" s="1"/>
  <c r="JE135" i="2" a="1"/>
  <c r="JE135" i="2" s="1"/>
  <c r="LP75" i="2" a="1"/>
  <c r="LP75" i="2" s="1"/>
  <c r="HO97" i="2" a="1"/>
  <c r="HO97" i="2" s="1"/>
  <c r="JZ59" i="2" a="1"/>
  <c r="JZ59" i="2" s="1"/>
  <c r="NF92" i="2" a="1"/>
  <c r="NF92" i="2" s="1"/>
  <c r="JE129" i="2" a="1"/>
  <c r="JE129" i="2" s="1"/>
  <c r="OV68" i="2" a="1"/>
  <c r="OV68" i="2" s="1"/>
  <c r="NF57" i="2" a="1"/>
  <c r="NF57" i="2" s="1"/>
  <c r="PK203" i="2"/>
  <c r="JE66" i="2" a="1"/>
  <c r="JE66" i="2" s="1"/>
  <c r="LP20" i="2" a="1"/>
  <c r="LP20" i="2" s="1"/>
  <c r="OV127" i="2" a="1"/>
  <c r="OV127" i="2" s="1"/>
  <c r="NS203" i="2"/>
  <c r="NV203" i="2" s="1"/>
  <c r="NV202" i="2"/>
  <c r="OA152" i="2" a="1"/>
  <c r="OA152" i="2" s="1"/>
  <c r="OA37" i="2" a="1"/>
  <c r="OA37" i="2" s="1"/>
  <c r="OA10" i="2" a="1"/>
  <c r="OA10" i="2" s="1"/>
  <c r="OA176" i="2" a="1"/>
  <c r="OA176" i="2" s="1"/>
  <c r="OA55" i="2" a="1"/>
  <c r="OA55" i="2" s="1"/>
  <c r="OA139" i="2" a="1"/>
  <c r="OA139" i="2" s="1"/>
  <c r="OA76" i="2" a="1"/>
  <c r="OA76" i="2" s="1"/>
  <c r="OA196" i="2" a="1"/>
  <c r="OA196" i="2" s="1"/>
  <c r="OA161" i="2" a="1"/>
  <c r="OA161" i="2" s="1"/>
  <c r="OA77" i="2" a="1"/>
  <c r="OA77" i="2" s="1"/>
  <c r="OA19" i="2" a="1"/>
  <c r="OA19" i="2" s="1"/>
  <c r="OA60" i="2" a="1"/>
  <c r="OA60" i="2" s="1"/>
  <c r="JE136" i="2" a="1"/>
  <c r="JE136" i="2" s="1"/>
  <c r="LP122" i="2" a="1"/>
  <c r="LP122" i="2" s="1"/>
  <c r="HO48" i="2" a="1"/>
  <c r="HO48" i="2" s="1"/>
  <c r="JZ46" i="2" a="1"/>
  <c r="JZ46" i="2" s="1"/>
  <c r="NF168" i="2" a="1"/>
  <c r="NF168" i="2" s="1"/>
  <c r="JE126" i="2" a="1"/>
  <c r="JE126" i="2" s="1"/>
  <c r="OV96" i="2" a="1"/>
  <c r="OV96" i="2" s="1"/>
  <c r="NF120" i="2" a="1"/>
  <c r="NF120" i="2" s="1"/>
  <c r="HO62" i="2" a="1"/>
  <c r="HO62" i="2" s="1"/>
  <c r="JE19" i="2" a="1"/>
  <c r="JE19" i="2" s="1"/>
  <c r="MK198" i="2" a="1"/>
  <c r="MK198" i="2" s="1"/>
  <c r="OA29" i="2" a="1"/>
  <c r="OA29" i="2" s="1"/>
  <c r="OA178" i="2" a="1"/>
  <c r="OA178" i="2" s="1"/>
  <c r="OA159" i="2" a="1"/>
  <c r="OA159" i="2" s="1"/>
  <c r="NF142" i="2" a="1"/>
  <c r="NF142" i="2" s="1"/>
  <c r="NF65" i="2" a="1"/>
  <c r="NF65" i="2" s="1"/>
  <c r="NF16" i="2" a="1"/>
  <c r="NF16" i="2" s="1"/>
  <c r="NF144" i="2" a="1"/>
  <c r="NF144" i="2" s="1"/>
  <c r="NF186" i="2" a="1"/>
  <c r="NF186" i="2" s="1"/>
  <c r="NF141" i="2" a="1"/>
  <c r="NF141" i="2" s="1"/>
  <c r="NF191" i="2" a="1"/>
  <c r="NF191" i="2" s="1"/>
  <c r="NF47" i="2" a="1"/>
  <c r="NF47" i="2" s="1"/>
  <c r="NF111" i="2" a="1"/>
  <c r="NF111" i="2" s="1"/>
  <c r="JE153" i="2" a="1"/>
  <c r="JE153" i="2" s="1"/>
  <c r="JE176" i="2" a="1"/>
  <c r="JE176" i="2" s="1"/>
  <c r="JE44" i="2" a="1"/>
  <c r="JE44" i="2" s="1"/>
  <c r="JE196" i="2" a="1"/>
  <c r="JE196" i="2" s="1"/>
  <c r="JE71" i="2" a="1"/>
  <c r="JE71" i="2" s="1"/>
  <c r="JE180" i="2" a="1"/>
  <c r="JE180" i="2" s="1"/>
  <c r="JE125" i="2" a="1"/>
  <c r="JE125" i="2" s="1"/>
  <c r="JE195" i="2" a="1"/>
  <c r="JE195" i="2" s="1"/>
  <c r="JE190" i="2" a="1"/>
  <c r="JE190" i="2" s="1"/>
  <c r="JE20" i="2" a="1"/>
  <c r="JE20" i="2" s="1"/>
  <c r="JE83" i="2" a="1"/>
  <c r="JE83" i="2" s="1"/>
  <c r="JE202" i="2" a="1"/>
  <c r="JE202" i="2" s="1"/>
  <c r="KW6" i="2"/>
  <c r="KX6" i="2" s="1"/>
  <c r="KY6" i="2" s="1"/>
  <c r="KZ6" i="2" s="1"/>
  <c r="KV7" i="2"/>
  <c r="LP132" i="2" a="1"/>
  <c r="LP132" i="2" s="1"/>
  <c r="CS129" i="2" a="1"/>
  <c r="CS129" i="2" s="1"/>
  <c r="CS52" i="2" a="1"/>
  <c r="CS52" i="2" s="1"/>
  <c r="CS120" i="2" a="1"/>
  <c r="CS120" i="2" s="1"/>
  <c r="FY109" i="2" a="1"/>
  <c r="FY109" i="2" s="1"/>
  <c r="FY79" i="2" a="1"/>
  <c r="FY79" i="2" s="1"/>
  <c r="FY57" i="2" a="1"/>
  <c r="FY57" i="2" s="1"/>
  <c r="FS203" i="2"/>
  <c r="KO203" i="2"/>
  <c r="KM202" i="2"/>
  <c r="KP201" i="2"/>
  <c r="HI203" i="2"/>
  <c r="BP203" i="2"/>
  <c r="FR203" i="2"/>
  <c r="EC203" i="2"/>
  <c r="EX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W6" i="2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V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JU203" i="2" l="1"/>
  <c r="FT203" i="2"/>
  <c r="EY203" i="2"/>
  <c r="CN203" i="2"/>
  <c r="NG8" i="2"/>
  <c r="NH7" i="2"/>
  <c r="NI7" i="2" s="1"/>
  <c r="NJ7" i="2" s="1"/>
  <c r="NK7" i="2" s="1"/>
  <c r="IL7" i="2"/>
  <c r="IM7" i="2" s="1"/>
  <c r="IN7" i="2" s="1"/>
  <c r="IO7" i="2" s="1"/>
  <c r="IK8" i="2"/>
  <c r="JF8" i="2"/>
  <c r="JG7" i="2"/>
  <c r="JH7" i="2" s="1"/>
  <c r="JI7" i="2" s="1"/>
  <c r="JJ7" i="2" s="1"/>
  <c r="KA8" i="2"/>
  <c r="KB7" i="2"/>
  <c r="KC7" i="2" s="1"/>
  <c r="KD7" i="2" s="1"/>
  <c r="KE7" i="2" s="1"/>
  <c r="HP8" i="2"/>
  <c r="HQ7" i="2"/>
  <c r="HR7" i="2" s="1"/>
  <c r="HS7" i="2" s="1"/>
  <c r="HT7" i="2" s="1"/>
  <c r="OW8" i="2"/>
  <c r="OX7" i="2"/>
  <c r="OY7" i="2" s="1"/>
  <c r="OZ7" i="2" s="1"/>
  <c r="PA7" i="2" s="1"/>
  <c r="KW7" i="2"/>
  <c r="KX7" i="2" s="1"/>
  <c r="KY7" i="2" s="1"/>
  <c r="KZ7" i="2" s="1"/>
  <c r="KV8" i="2"/>
  <c r="LQ8" i="2"/>
  <c r="LR7" i="2"/>
  <c r="LS7" i="2" s="1"/>
  <c r="LT7" i="2" s="1"/>
  <c r="LU7" i="2" s="1"/>
  <c r="OB8" i="2"/>
  <c r="OC7" i="2"/>
  <c r="OD7" i="2" s="1"/>
  <c r="OE7" i="2" s="1"/>
  <c r="OF7" i="2" s="1"/>
  <c r="ML8" i="2"/>
  <c r="MM7" i="2"/>
  <c r="MN7" i="2" s="1"/>
  <c r="MO7" i="2" s="1"/>
  <c r="MP7" i="2" s="1"/>
  <c r="ED203" i="2"/>
  <c r="KM203" i="2"/>
  <c r="KP202" i="2"/>
  <c r="KN203" i="2"/>
  <c r="FZ12" i="2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W7" i="2"/>
  <c r="GX7" i="2" s="1"/>
  <c r="GY7" i="2" s="1"/>
  <c r="AC203" i="2"/>
  <c r="AJ7" i="2"/>
  <c r="AK7" i="2" s="1"/>
  <c r="AL7" i="2" s="1"/>
  <c r="AM7" i="2" s="1"/>
  <c r="AX203" i="2"/>
  <c r="AX202" i="2"/>
  <c r="IL8" i="2" l="1"/>
  <c r="IM8" i="2" s="1"/>
  <c r="IN8" i="2" s="1"/>
  <c r="IO8" i="2" s="1"/>
  <c r="IK9" i="2"/>
  <c r="ML9" i="2"/>
  <c r="MM8" i="2"/>
  <c r="MN8" i="2" s="1"/>
  <c r="MO8" i="2" s="1"/>
  <c r="MP8" i="2" s="1"/>
  <c r="LQ9" i="2"/>
  <c r="LR8" i="2"/>
  <c r="LS8" i="2" s="1"/>
  <c r="LT8" i="2" s="1"/>
  <c r="LU8" i="2" s="1"/>
  <c r="OW9" i="2"/>
  <c r="OX8" i="2"/>
  <c r="OY8" i="2" s="1"/>
  <c r="OZ8" i="2" s="1"/>
  <c r="PA8" i="2" s="1"/>
  <c r="KA9" i="2"/>
  <c r="KB8" i="2"/>
  <c r="KC8" i="2" s="1"/>
  <c r="KD8" i="2" s="1"/>
  <c r="KE8" i="2" s="1"/>
  <c r="KW8" i="2"/>
  <c r="KX8" i="2" s="1"/>
  <c r="KY8" i="2" s="1"/>
  <c r="KZ8" i="2" s="1"/>
  <c r="KV9" i="2"/>
  <c r="OB9" i="2"/>
  <c r="OC8" i="2"/>
  <c r="OD8" i="2" s="1"/>
  <c r="OE8" i="2" s="1"/>
  <c r="OF8" i="2" s="1"/>
  <c r="HP9" i="2"/>
  <c r="HQ8" i="2"/>
  <c r="HR8" i="2" s="1"/>
  <c r="HS8" i="2" s="1"/>
  <c r="HT8" i="2" s="1"/>
  <c r="JF9" i="2"/>
  <c r="JG8" i="2"/>
  <c r="JH8" i="2" s="1"/>
  <c r="JI8" i="2" s="1"/>
  <c r="JJ8" i="2" s="1"/>
  <c r="NG9" i="2"/>
  <c r="NH8" i="2"/>
  <c r="NI8" i="2" s="1"/>
  <c r="NJ8" i="2" s="1"/>
  <c r="NK8" i="2" s="1"/>
  <c r="KP203" i="2"/>
  <c r="GU9" i="2"/>
  <c r="GV8" i="2"/>
  <c r="GW8" i="2" s="1"/>
  <c r="GX8" i="2" s="1"/>
  <c r="GY8" i="2" s="1"/>
  <c r="FE9" i="2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AJ8" i="2"/>
  <c r="AK8" i="2" s="1"/>
  <c r="AL8" i="2" s="1"/>
  <c r="AM8" i="2" s="1"/>
  <c r="KW9" i="2" l="1"/>
  <c r="KX9" i="2" s="1"/>
  <c r="KY9" i="2" s="1"/>
  <c r="KZ9" i="2" s="1"/>
  <c r="KV10" i="2"/>
  <c r="NG10" i="2"/>
  <c r="NH9" i="2"/>
  <c r="NI9" i="2" s="1"/>
  <c r="NJ9" i="2" s="1"/>
  <c r="NK9" i="2" s="1"/>
  <c r="HP10" i="2"/>
  <c r="HQ9" i="2"/>
  <c r="HR9" i="2" s="1"/>
  <c r="HS9" i="2" s="1"/>
  <c r="HT9" i="2" s="1"/>
  <c r="OW10" i="2"/>
  <c r="OX9" i="2"/>
  <c r="OY9" i="2" s="1"/>
  <c r="OZ9" i="2" s="1"/>
  <c r="PA9" i="2" s="1"/>
  <c r="ML10" i="2"/>
  <c r="MM9" i="2"/>
  <c r="MN9" i="2" s="1"/>
  <c r="MO9" i="2" s="1"/>
  <c r="MP9" i="2" s="1"/>
  <c r="IL9" i="2"/>
  <c r="IM9" i="2" s="1"/>
  <c r="IN9" i="2" s="1"/>
  <c r="IO9" i="2" s="1"/>
  <c r="IK10" i="2"/>
  <c r="JF10" i="2"/>
  <c r="JG9" i="2"/>
  <c r="JH9" i="2" s="1"/>
  <c r="JI9" i="2" s="1"/>
  <c r="JJ9" i="2" s="1"/>
  <c r="OB10" i="2"/>
  <c r="OC9" i="2"/>
  <c r="OD9" i="2" s="1"/>
  <c r="OE9" i="2" s="1"/>
  <c r="OF9" i="2" s="1"/>
  <c r="KB9" i="2"/>
  <c r="KC9" i="2" s="1"/>
  <c r="KD9" i="2" s="1"/>
  <c r="KE9" i="2" s="1"/>
  <c r="KA10" i="2"/>
  <c r="LQ10" i="2"/>
  <c r="LR9" i="2"/>
  <c r="LS9" i="2" s="1"/>
  <c r="LT9" i="2" s="1"/>
  <c r="LU9" i="2" s="1"/>
  <c r="GU10" i="2"/>
  <c r="GV9" i="2"/>
  <c r="GW9" i="2" s="1"/>
  <c r="GX9" i="2" s="1"/>
  <c r="GY9" i="2" s="1"/>
  <c r="FE10" i="2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AJ9" i="2"/>
  <c r="AK9" i="2" s="1"/>
  <c r="AL9" i="2" s="1"/>
  <c r="AM9" i="2" s="1"/>
  <c r="IL10" i="2" l="1"/>
  <c r="IM10" i="2" s="1"/>
  <c r="IN10" i="2" s="1"/>
  <c r="IO10" i="2" s="1"/>
  <c r="IK11" i="2"/>
  <c r="LQ11" i="2"/>
  <c r="LR10" i="2"/>
  <c r="LS10" i="2" s="1"/>
  <c r="LT10" i="2" s="1"/>
  <c r="LU10" i="2" s="1"/>
  <c r="OB11" i="2"/>
  <c r="OC10" i="2"/>
  <c r="OD10" i="2" s="1"/>
  <c r="OE10" i="2" s="1"/>
  <c r="OF10" i="2" s="1"/>
  <c r="OW11" i="2"/>
  <c r="OX10" i="2"/>
  <c r="OY10" i="2" s="1"/>
  <c r="OZ10" i="2" s="1"/>
  <c r="PA10" i="2" s="1"/>
  <c r="NG11" i="2"/>
  <c r="NH10" i="2"/>
  <c r="NI10" i="2" s="1"/>
  <c r="NJ10" i="2" s="1"/>
  <c r="NK10" i="2" s="1"/>
  <c r="KA11" i="2"/>
  <c r="KB10" i="2"/>
  <c r="KC10" i="2" s="1"/>
  <c r="KD10" i="2" s="1"/>
  <c r="KE10" i="2" s="1"/>
  <c r="KW10" i="2"/>
  <c r="KX10" i="2" s="1"/>
  <c r="KY10" i="2" s="1"/>
  <c r="KZ10" i="2" s="1"/>
  <c r="KV11" i="2"/>
  <c r="JF11" i="2"/>
  <c r="JG10" i="2"/>
  <c r="JH10" i="2" s="1"/>
  <c r="JI10" i="2" s="1"/>
  <c r="JJ10" i="2" s="1"/>
  <c r="ML11" i="2"/>
  <c r="MM10" i="2"/>
  <c r="MN10" i="2" s="1"/>
  <c r="MO10" i="2" s="1"/>
  <c r="MP10" i="2" s="1"/>
  <c r="HP11" i="2"/>
  <c r="HQ10" i="2"/>
  <c r="HR10" i="2" s="1"/>
  <c r="HS10" i="2" s="1"/>
  <c r="HT10" i="2" s="1"/>
  <c r="GU11" i="2"/>
  <c r="GV10" i="2"/>
  <c r="GW10" i="2" s="1"/>
  <c r="GX10" i="2" s="1"/>
  <c r="GY10" i="2" s="1"/>
  <c r="FE11" i="2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AJ10" i="2"/>
  <c r="AK10" i="2" s="1"/>
  <c r="AL10" i="2" s="1"/>
  <c r="AM10" i="2" s="1"/>
  <c r="HP12" i="2" l="1"/>
  <c r="HQ11" i="2"/>
  <c r="HR11" i="2" s="1"/>
  <c r="HS11" i="2" s="1"/>
  <c r="HT11" i="2" s="1"/>
  <c r="JG11" i="2"/>
  <c r="JH11" i="2" s="1"/>
  <c r="JI11" i="2" s="1"/>
  <c r="JJ11" i="2" s="1"/>
  <c r="JF12" i="2"/>
  <c r="KA12" i="2"/>
  <c r="KB11" i="2"/>
  <c r="KC11" i="2" s="1"/>
  <c r="KD11" i="2" s="1"/>
  <c r="KE11" i="2" s="1"/>
  <c r="OW12" i="2"/>
  <c r="OX11" i="2"/>
  <c r="OY11" i="2" s="1"/>
  <c r="OZ11" i="2" s="1"/>
  <c r="PA11" i="2" s="1"/>
  <c r="LQ12" i="2"/>
  <c r="LR11" i="2"/>
  <c r="LS11" i="2" s="1"/>
  <c r="LT11" i="2" s="1"/>
  <c r="LU11" i="2" s="1"/>
  <c r="KW11" i="2"/>
  <c r="KX11" i="2" s="1"/>
  <c r="KY11" i="2" s="1"/>
  <c r="KZ11" i="2" s="1"/>
  <c r="KV12" i="2"/>
  <c r="IL11" i="2"/>
  <c r="IM11" i="2" s="1"/>
  <c r="IN11" i="2" s="1"/>
  <c r="IO11" i="2" s="1"/>
  <c r="IK12" i="2"/>
  <c r="ML12" i="2"/>
  <c r="MM11" i="2"/>
  <c r="MN11" i="2" s="1"/>
  <c r="MO11" i="2" s="1"/>
  <c r="MP11" i="2" s="1"/>
  <c r="NG12" i="2"/>
  <c r="NH11" i="2"/>
  <c r="NI11" i="2" s="1"/>
  <c r="NJ11" i="2" s="1"/>
  <c r="NK11" i="2" s="1"/>
  <c r="OC11" i="2"/>
  <c r="OD11" i="2" s="1"/>
  <c r="OE11" i="2" s="1"/>
  <c r="OF11" i="2" s="1"/>
  <c r="OB12" i="2"/>
  <c r="GU12" i="2"/>
  <c r="GV11" i="2"/>
  <c r="GW11" i="2" s="1"/>
  <c r="GX11" i="2" s="1"/>
  <c r="GY11" i="2" s="1"/>
  <c r="FE12" i="2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AJ11" i="2"/>
  <c r="AK11" i="2" s="1"/>
  <c r="AL11" i="2" s="1"/>
  <c r="AM11" i="2" s="1"/>
  <c r="OC12" i="2" l="1"/>
  <c r="OD12" i="2" s="1"/>
  <c r="OE12" i="2" s="1"/>
  <c r="OF12" i="2" s="1"/>
  <c r="OB13" i="2"/>
  <c r="KW12" i="2"/>
  <c r="KX12" i="2" s="1"/>
  <c r="KY12" i="2" s="1"/>
  <c r="KZ12" i="2" s="1"/>
  <c r="KV13" i="2"/>
  <c r="JF13" i="2"/>
  <c r="JG12" i="2"/>
  <c r="JH12" i="2" s="1"/>
  <c r="JI12" i="2" s="1"/>
  <c r="JJ12" i="2" s="1"/>
  <c r="ML13" i="2"/>
  <c r="MM12" i="2"/>
  <c r="MN12" i="2" s="1"/>
  <c r="MO12" i="2" s="1"/>
  <c r="MP12" i="2" s="1"/>
  <c r="OW13" i="2"/>
  <c r="OX12" i="2"/>
  <c r="OY12" i="2" s="1"/>
  <c r="OZ12" i="2" s="1"/>
  <c r="PA12" i="2" s="1"/>
  <c r="IL12" i="2"/>
  <c r="IM12" i="2" s="1"/>
  <c r="IN12" i="2" s="1"/>
  <c r="IO12" i="2" s="1"/>
  <c r="IK13" i="2"/>
  <c r="NG13" i="2"/>
  <c r="NH12" i="2"/>
  <c r="NI12" i="2" s="1"/>
  <c r="NJ12" i="2" s="1"/>
  <c r="NK12" i="2" s="1"/>
  <c r="LQ13" i="2"/>
  <c r="LR12" i="2"/>
  <c r="LS12" i="2" s="1"/>
  <c r="LT12" i="2" s="1"/>
  <c r="LU12" i="2" s="1"/>
  <c r="KA13" i="2"/>
  <c r="KB12" i="2"/>
  <c r="KC12" i="2" s="1"/>
  <c r="KD12" i="2" s="1"/>
  <c r="KE12" i="2" s="1"/>
  <c r="HP13" i="2"/>
  <c r="HQ12" i="2"/>
  <c r="HR12" i="2" s="1"/>
  <c r="HS12" i="2" s="1"/>
  <c r="HT12" i="2" s="1"/>
  <c r="GU13" i="2"/>
  <c r="GV12" i="2"/>
  <c r="GW12" i="2" s="1"/>
  <c r="GX12" i="2" s="1"/>
  <c r="GY12" i="2" s="1"/>
  <c r="FE13" i="2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AJ12" i="2"/>
  <c r="AK12" i="2" s="1"/>
  <c r="AL12" i="2" s="1"/>
  <c r="AM12" i="2" s="1"/>
  <c r="IL13" i="2" l="1"/>
  <c r="IM13" i="2" s="1"/>
  <c r="IN13" i="2" s="1"/>
  <c r="IO13" i="2" s="1"/>
  <c r="IK14" i="2"/>
  <c r="KW13" i="2"/>
  <c r="KX13" i="2" s="1"/>
  <c r="KY13" i="2" s="1"/>
  <c r="KZ13" i="2" s="1"/>
  <c r="KV14" i="2"/>
  <c r="HP14" i="2"/>
  <c r="HQ13" i="2"/>
  <c r="HR13" i="2" s="1"/>
  <c r="HS13" i="2" s="1"/>
  <c r="HT13" i="2" s="1"/>
  <c r="LQ14" i="2"/>
  <c r="LR13" i="2"/>
  <c r="LS13" i="2" s="1"/>
  <c r="LT13" i="2" s="1"/>
  <c r="LU13" i="2" s="1"/>
  <c r="ML14" i="2"/>
  <c r="MM13" i="2"/>
  <c r="MN13" i="2" s="1"/>
  <c r="MO13" i="2" s="1"/>
  <c r="MP13" i="2" s="1"/>
  <c r="OC13" i="2"/>
  <c r="OD13" i="2" s="1"/>
  <c r="OE13" i="2" s="1"/>
  <c r="OF13" i="2" s="1"/>
  <c r="OB14" i="2"/>
  <c r="KA14" i="2"/>
  <c r="KB13" i="2"/>
  <c r="KC13" i="2" s="1"/>
  <c r="KD13" i="2" s="1"/>
  <c r="KE13" i="2" s="1"/>
  <c r="NH13" i="2"/>
  <c r="NI13" i="2" s="1"/>
  <c r="NJ13" i="2" s="1"/>
  <c r="NK13" i="2" s="1"/>
  <c r="NG14" i="2"/>
  <c r="OW14" i="2"/>
  <c r="OX13" i="2"/>
  <c r="OY13" i="2" s="1"/>
  <c r="OZ13" i="2" s="1"/>
  <c r="PA13" i="2" s="1"/>
  <c r="JF14" i="2"/>
  <c r="JG13" i="2"/>
  <c r="JH13" i="2" s="1"/>
  <c r="JI13" i="2" s="1"/>
  <c r="JJ13" i="2" s="1"/>
  <c r="GU14" i="2"/>
  <c r="GV13" i="2"/>
  <c r="GW13" i="2" s="1"/>
  <c r="GX13" i="2" s="1"/>
  <c r="GY13" i="2" s="1"/>
  <c r="FE14" i="2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AJ13" i="2"/>
  <c r="AK13" i="2" s="1"/>
  <c r="AL13" i="2" s="1"/>
  <c r="AM13" i="2" s="1"/>
  <c r="NH14" i="2" l="1"/>
  <c r="NI14" i="2" s="1"/>
  <c r="NJ14" i="2" s="1"/>
  <c r="NK14" i="2" s="1"/>
  <c r="NG15" i="2"/>
  <c r="OC14" i="2"/>
  <c r="OD14" i="2" s="1"/>
  <c r="OE14" i="2" s="1"/>
  <c r="OF14" i="2" s="1"/>
  <c r="OB15" i="2"/>
  <c r="KW14" i="2"/>
  <c r="KX14" i="2" s="1"/>
  <c r="KY14" i="2" s="1"/>
  <c r="KZ14" i="2" s="1"/>
  <c r="KV15" i="2"/>
  <c r="JF15" i="2"/>
  <c r="JG14" i="2"/>
  <c r="JH14" i="2" s="1"/>
  <c r="JI14" i="2" s="1"/>
  <c r="JJ14" i="2" s="1"/>
  <c r="LR14" i="2"/>
  <c r="LS14" i="2" s="1"/>
  <c r="LT14" i="2" s="1"/>
  <c r="LU14" i="2" s="1"/>
  <c r="LQ15" i="2"/>
  <c r="IL14" i="2"/>
  <c r="IM14" i="2" s="1"/>
  <c r="IN14" i="2" s="1"/>
  <c r="IO14" i="2" s="1"/>
  <c r="IK15" i="2"/>
  <c r="OW15" i="2"/>
  <c r="OX14" i="2"/>
  <c r="OY14" i="2" s="1"/>
  <c r="OZ14" i="2" s="1"/>
  <c r="PA14" i="2" s="1"/>
  <c r="KB14" i="2"/>
  <c r="KC14" i="2" s="1"/>
  <c r="KD14" i="2" s="1"/>
  <c r="KE14" i="2" s="1"/>
  <c r="KA15" i="2"/>
  <c r="ML15" i="2"/>
  <c r="MM14" i="2"/>
  <c r="MN14" i="2" s="1"/>
  <c r="MO14" i="2" s="1"/>
  <c r="MP14" i="2" s="1"/>
  <c r="HP15" i="2"/>
  <c r="HQ14" i="2"/>
  <c r="HR14" i="2" s="1"/>
  <c r="HS14" i="2" s="1"/>
  <c r="HT14" i="2" s="1"/>
  <c r="GU15" i="2"/>
  <c r="GV14" i="2"/>
  <c r="GW14" i="2" s="1"/>
  <c r="GX14" i="2" s="1"/>
  <c r="GY14" i="2" s="1"/>
  <c r="FE15" i="2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AJ14" i="2"/>
  <c r="AK14" i="2" s="1"/>
  <c r="AL14" i="2" s="1"/>
  <c r="AM14" i="2" s="1"/>
  <c r="KB15" i="2" l="1"/>
  <c r="KC15" i="2" s="1"/>
  <c r="KD15" i="2" s="1"/>
  <c r="KE15" i="2" s="1"/>
  <c r="KA16" i="2"/>
  <c r="IL15" i="2"/>
  <c r="IM15" i="2" s="1"/>
  <c r="IN15" i="2" s="1"/>
  <c r="IO15" i="2" s="1"/>
  <c r="IK16" i="2"/>
  <c r="OC15" i="2"/>
  <c r="OD15" i="2" s="1"/>
  <c r="OE15" i="2" s="1"/>
  <c r="OF15" i="2" s="1"/>
  <c r="OB16" i="2"/>
  <c r="HP16" i="2"/>
  <c r="HQ15" i="2"/>
  <c r="HR15" i="2" s="1"/>
  <c r="HS15" i="2" s="1"/>
  <c r="HT15" i="2" s="1"/>
  <c r="JG15" i="2"/>
  <c r="JH15" i="2" s="1"/>
  <c r="JI15" i="2" s="1"/>
  <c r="JJ15" i="2" s="1"/>
  <c r="JF16" i="2"/>
  <c r="LQ16" i="2"/>
  <c r="LR15" i="2"/>
  <c r="LS15" i="2" s="1"/>
  <c r="LT15" i="2" s="1"/>
  <c r="LU15" i="2" s="1"/>
  <c r="KW15" i="2"/>
  <c r="KX15" i="2" s="1"/>
  <c r="KY15" i="2" s="1"/>
  <c r="KZ15" i="2" s="1"/>
  <c r="KV16" i="2"/>
  <c r="NG16" i="2"/>
  <c r="NH15" i="2"/>
  <c r="NI15" i="2" s="1"/>
  <c r="NJ15" i="2" s="1"/>
  <c r="NK15" i="2" s="1"/>
  <c r="ML16" i="2"/>
  <c r="MM15" i="2"/>
  <c r="MN15" i="2" s="1"/>
  <c r="MO15" i="2" s="1"/>
  <c r="MP15" i="2" s="1"/>
  <c r="OW16" i="2"/>
  <c r="OX15" i="2"/>
  <c r="OY15" i="2" s="1"/>
  <c r="OZ15" i="2" s="1"/>
  <c r="PA15" i="2" s="1"/>
  <c r="GU16" i="2"/>
  <c r="GV15" i="2"/>
  <c r="GW15" i="2" s="1"/>
  <c r="GX15" i="2" s="1"/>
  <c r="GY15" i="2" s="1"/>
  <c r="FE16" i="2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AJ15" i="2"/>
  <c r="AK15" i="2" s="1"/>
  <c r="AL15" i="2" s="1"/>
  <c r="AM15" i="2" s="1"/>
  <c r="IL16" i="2" l="1"/>
  <c r="IM16" i="2" s="1"/>
  <c r="IN16" i="2" s="1"/>
  <c r="IO16" i="2" s="1"/>
  <c r="IK17" i="2"/>
  <c r="OW17" i="2"/>
  <c r="OX16" i="2"/>
  <c r="OY16" i="2" s="1"/>
  <c r="OZ16" i="2" s="1"/>
  <c r="PA16" i="2" s="1"/>
  <c r="NG17" i="2"/>
  <c r="NH16" i="2"/>
  <c r="NI16" i="2" s="1"/>
  <c r="NJ16" i="2" s="1"/>
  <c r="NK16" i="2" s="1"/>
  <c r="LQ17" i="2"/>
  <c r="LR16" i="2"/>
  <c r="LS16" i="2" s="1"/>
  <c r="LT16" i="2" s="1"/>
  <c r="LU16" i="2" s="1"/>
  <c r="HP17" i="2"/>
  <c r="HQ16" i="2"/>
  <c r="HR16" i="2" s="1"/>
  <c r="HS16" i="2" s="1"/>
  <c r="HT16" i="2" s="1"/>
  <c r="KW16" i="2"/>
  <c r="KX16" i="2" s="1"/>
  <c r="KY16" i="2" s="1"/>
  <c r="KZ16" i="2" s="1"/>
  <c r="KV17" i="2"/>
  <c r="JF17" i="2"/>
  <c r="JG16" i="2"/>
  <c r="JH16" i="2" s="1"/>
  <c r="JI16" i="2" s="1"/>
  <c r="JJ16" i="2" s="1"/>
  <c r="OC16" i="2"/>
  <c r="OD16" i="2" s="1"/>
  <c r="OE16" i="2" s="1"/>
  <c r="OF16" i="2" s="1"/>
  <c r="OB17" i="2"/>
  <c r="KB16" i="2"/>
  <c r="KC16" i="2" s="1"/>
  <c r="KD16" i="2" s="1"/>
  <c r="KE16" i="2" s="1"/>
  <c r="KA17" i="2"/>
  <c r="ML17" i="2"/>
  <c r="MM16" i="2"/>
  <c r="MN16" i="2" s="1"/>
  <c r="MO16" i="2" s="1"/>
  <c r="MP16" i="2" s="1"/>
  <c r="GU17" i="2"/>
  <c r="GV16" i="2"/>
  <c r="GW16" i="2" s="1"/>
  <c r="GX16" i="2" s="1"/>
  <c r="GY16" i="2" s="1"/>
  <c r="FE17" i="2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AJ16" i="2"/>
  <c r="AK16" i="2" s="1"/>
  <c r="AL16" i="2" s="1"/>
  <c r="AM16" i="2" s="1"/>
  <c r="OB18" i="2" l="1"/>
  <c r="OC17" i="2"/>
  <c r="OD17" i="2" s="1"/>
  <c r="OE17" i="2" s="1"/>
  <c r="OF17" i="2" s="1"/>
  <c r="KW17" i="2"/>
  <c r="KX17" i="2" s="1"/>
  <c r="KY17" i="2" s="1"/>
  <c r="KZ17" i="2" s="1"/>
  <c r="KV18" i="2"/>
  <c r="ML18" i="2"/>
  <c r="MM17" i="2"/>
  <c r="MN17" i="2" s="1"/>
  <c r="MO17" i="2" s="1"/>
  <c r="MP17" i="2" s="1"/>
  <c r="LR17" i="2"/>
  <c r="LS17" i="2" s="1"/>
  <c r="LT17" i="2" s="1"/>
  <c r="LU17" i="2" s="1"/>
  <c r="LQ18" i="2"/>
  <c r="OW18" i="2"/>
  <c r="OX17" i="2"/>
  <c r="OY17" i="2" s="1"/>
  <c r="OZ17" i="2" s="1"/>
  <c r="PA17" i="2" s="1"/>
  <c r="KA18" i="2"/>
  <c r="KB17" i="2"/>
  <c r="KC17" i="2" s="1"/>
  <c r="KD17" i="2" s="1"/>
  <c r="KE17" i="2" s="1"/>
  <c r="IL17" i="2"/>
  <c r="IM17" i="2" s="1"/>
  <c r="IN17" i="2" s="1"/>
  <c r="IO17" i="2" s="1"/>
  <c r="IK18" i="2"/>
  <c r="JG17" i="2"/>
  <c r="JH17" i="2" s="1"/>
  <c r="JI17" i="2" s="1"/>
  <c r="JJ17" i="2" s="1"/>
  <c r="JF18" i="2"/>
  <c r="HP18" i="2"/>
  <c r="HQ17" i="2"/>
  <c r="HR17" i="2" s="1"/>
  <c r="HS17" i="2" s="1"/>
  <c r="HT17" i="2" s="1"/>
  <c r="NG18" i="2"/>
  <c r="NH17" i="2"/>
  <c r="NI17" i="2" s="1"/>
  <c r="NJ17" i="2" s="1"/>
  <c r="NK17" i="2" s="1"/>
  <c r="GU18" i="2"/>
  <c r="GV17" i="2"/>
  <c r="GW17" i="2" s="1"/>
  <c r="GX17" i="2" s="1"/>
  <c r="GY17" i="2" s="1"/>
  <c r="FE18" i="2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AJ17" i="2"/>
  <c r="AK17" i="2" s="1"/>
  <c r="AL17" i="2" s="1"/>
  <c r="AM17" i="2" s="1"/>
  <c r="JG18" i="2" l="1"/>
  <c r="JH18" i="2" s="1"/>
  <c r="JI18" i="2" s="1"/>
  <c r="JJ18" i="2" s="1"/>
  <c r="JF19" i="2"/>
  <c r="LR18" i="2"/>
  <c r="LS18" i="2" s="1"/>
  <c r="LT18" i="2" s="1"/>
  <c r="LU18" i="2" s="1"/>
  <c r="LQ19" i="2"/>
  <c r="KW18" i="2"/>
  <c r="KX18" i="2" s="1"/>
  <c r="KY18" i="2" s="1"/>
  <c r="KZ18" i="2" s="1"/>
  <c r="KV19" i="2"/>
  <c r="NG19" i="2"/>
  <c r="NH18" i="2"/>
  <c r="NI18" i="2" s="1"/>
  <c r="NJ18" i="2" s="1"/>
  <c r="NK18" i="2" s="1"/>
  <c r="KB18" i="2"/>
  <c r="KC18" i="2" s="1"/>
  <c r="KD18" i="2" s="1"/>
  <c r="KE18" i="2" s="1"/>
  <c r="KA19" i="2"/>
  <c r="IL18" i="2"/>
  <c r="IM18" i="2" s="1"/>
  <c r="IN18" i="2" s="1"/>
  <c r="IO18" i="2" s="1"/>
  <c r="IK19" i="2"/>
  <c r="HP19" i="2"/>
  <c r="HQ18" i="2"/>
  <c r="HR18" i="2" s="1"/>
  <c r="HS18" i="2" s="1"/>
  <c r="HT18" i="2" s="1"/>
  <c r="OW19" i="2"/>
  <c r="OX18" i="2"/>
  <c r="OY18" i="2" s="1"/>
  <c r="OZ18" i="2" s="1"/>
  <c r="PA18" i="2" s="1"/>
  <c r="ML19" i="2"/>
  <c r="MM18" i="2"/>
  <c r="MN18" i="2" s="1"/>
  <c r="MO18" i="2" s="1"/>
  <c r="MP18" i="2" s="1"/>
  <c r="OB19" i="2"/>
  <c r="OC18" i="2"/>
  <c r="OD18" i="2" s="1"/>
  <c r="OE18" i="2" s="1"/>
  <c r="OF18" i="2" s="1"/>
  <c r="GU19" i="2"/>
  <c r="GV18" i="2"/>
  <c r="GW18" i="2" s="1"/>
  <c r="GX18" i="2" s="1"/>
  <c r="GY18" i="2" s="1"/>
  <c r="FE19" i="2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AJ18" i="2"/>
  <c r="AK18" i="2" s="1"/>
  <c r="AL18" i="2" s="1"/>
  <c r="AM18" i="2" s="1"/>
  <c r="IL19" i="2" l="1"/>
  <c r="IM19" i="2" s="1"/>
  <c r="IN19" i="2" s="1"/>
  <c r="IO19" i="2" s="1"/>
  <c r="IK20" i="2"/>
  <c r="LQ20" i="2"/>
  <c r="LR19" i="2"/>
  <c r="LS19" i="2" s="1"/>
  <c r="LT19" i="2" s="1"/>
  <c r="LU19" i="2" s="1"/>
  <c r="OC19" i="2"/>
  <c r="OD19" i="2" s="1"/>
  <c r="OE19" i="2" s="1"/>
  <c r="OF19" i="2" s="1"/>
  <c r="OB20" i="2"/>
  <c r="OW20" i="2"/>
  <c r="OX19" i="2"/>
  <c r="OY19" i="2" s="1"/>
  <c r="OZ19" i="2" s="1"/>
  <c r="PA19" i="2" s="1"/>
  <c r="NG20" i="2"/>
  <c r="NH19" i="2"/>
  <c r="NI19" i="2" s="1"/>
  <c r="NJ19" i="2" s="1"/>
  <c r="NK19" i="2" s="1"/>
  <c r="KB19" i="2"/>
  <c r="KC19" i="2" s="1"/>
  <c r="KD19" i="2" s="1"/>
  <c r="KE19" i="2" s="1"/>
  <c r="KA20" i="2"/>
  <c r="KW19" i="2"/>
  <c r="KX19" i="2" s="1"/>
  <c r="KY19" i="2" s="1"/>
  <c r="KZ19" i="2" s="1"/>
  <c r="KV20" i="2"/>
  <c r="JF20" i="2"/>
  <c r="JG19" i="2"/>
  <c r="JH19" i="2" s="1"/>
  <c r="JI19" i="2" s="1"/>
  <c r="JJ19" i="2" s="1"/>
  <c r="ML20" i="2"/>
  <c r="MM19" i="2"/>
  <c r="MN19" i="2" s="1"/>
  <c r="MO19" i="2" s="1"/>
  <c r="MP19" i="2" s="1"/>
  <c r="HP20" i="2"/>
  <c r="HQ19" i="2"/>
  <c r="HR19" i="2" s="1"/>
  <c r="HS19" i="2" s="1"/>
  <c r="HT19" i="2" s="1"/>
  <c r="GU20" i="2"/>
  <c r="GV19" i="2"/>
  <c r="GW19" i="2" s="1"/>
  <c r="GX19" i="2" s="1"/>
  <c r="GY19" i="2" s="1"/>
  <c r="FE20" i="2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AJ19" i="2"/>
  <c r="AK19" i="2" s="1"/>
  <c r="AL19" i="2" s="1"/>
  <c r="AM19" i="2" s="1"/>
  <c r="KB20" i="2" l="1"/>
  <c r="KC20" i="2" s="1"/>
  <c r="KD20" i="2" s="1"/>
  <c r="KE20" i="2" s="1"/>
  <c r="KA21" i="2"/>
  <c r="HP21" i="2"/>
  <c r="HQ20" i="2"/>
  <c r="HR20" i="2" s="1"/>
  <c r="HS20" i="2" s="1"/>
  <c r="HT20" i="2" s="1"/>
  <c r="JG20" i="2"/>
  <c r="JH20" i="2" s="1"/>
  <c r="JI20" i="2" s="1"/>
  <c r="JJ20" i="2" s="1"/>
  <c r="JF21" i="2"/>
  <c r="OW21" i="2"/>
  <c r="OX20" i="2"/>
  <c r="OY20" i="2" s="1"/>
  <c r="OZ20" i="2" s="1"/>
  <c r="PA20" i="2" s="1"/>
  <c r="LR20" i="2"/>
  <c r="LS20" i="2" s="1"/>
  <c r="LT20" i="2" s="1"/>
  <c r="LU20" i="2" s="1"/>
  <c r="LQ21" i="2"/>
  <c r="KW20" i="2"/>
  <c r="KX20" i="2" s="1"/>
  <c r="KY20" i="2" s="1"/>
  <c r="KZ20" i="2" s="1"/>
  <c r="KV21" i="2"/>
  <c r="OB21" i="2"/>
  <c r="OC20" i="2"/>
  <c r="OD20" i="2" s="1"/>
  <c r="OE20" i="2" s="1"/>
  <c r="OF20" i="2" s="1"/>
  <c r="IL20" i="2"/>
  <c r="IM20" i="2" s="1"/>
  <c r="IN20" i="2" s="1"/>
  <c r="IO20" i="2" s="1"/>
  <c r="IK21" i="2"/>
  <c r="ML21" i="2"/>
  <c r="MM20" i="2"/>
  <c r="MN20" i="2" s="1"/>
  <c r="MO20" i="2" s="1"/>
  <c r="MP20" i="2" s="1"/>
  <c r="NH20" i="2"/>
  <c r="NI20" i="2" s="1"/>
  <c r="NJ20" i="2" s="1"/>
  <c r="NK20" i="2" s="1"/>
  <c r="NG21" i="2"/>
  <c r="GU21" i="2"/>
  <c r="GV20" i="2"/>
  <c r="GW20" i="2" s="1"/>
  <c r="GX20" i="2" s="1"/>
  <c r="GY20" i="2" s="1"/>
  <c r="FE21" i="2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AJ20" i="2"/>
  <c r="AK20" i="2" s="1"/>
  <c r="AL20" i="2" s="1"/>
  <c r="AM20" i="2" s="1"/>
  <c r="NG22" i="2" l="1"/>
  <c r="NH21" i="2"/>
  <c r="NI21" i="2" s="1"/>
  <c r="NJ21" i="2" s="1"/>
  <c r="NK21" i="2" s="1"/>
  <c r="IL21" i="2"/>
  <c r="IM21" i="2" s="1"/>
  <c r="IN21" i="2" s="1"/>
  <c r="IO21" i="2" s="1"/>
  <c r="IK22" i="2"/>
  <c r="KW21" i="2"/>
  <c r="KX21" i="2" s="1"/>
  <c r="KY21" i="2" s="1"/>
  <c r="KZ21" i="2" s="1"/>
  <c r="KV22" i="2"/>
  <c r="OW22" i="2"/>
  <c r="OX21" i="2"/>
  <c r="OY21" i="2" s="1"/>
  <c r="OZ21" i="2" s="1"/>
  <c r="PA21" i="2" s="1"/>
  <c r="HP22" i="2"/>
  <c r="HQ21" i="2"/>
  <c r="HR21" i="2" s="1"/>
  <c r="HS21" i="2" s="1"/>
  <c r="HT21" i="2" s="1"/>
  <c r="LR21" i="2"/>
  <c r="LS21" i="2" s="1"/>
  <c r="LT21" i="2" s="1"/>
  <c r="LU21" i="2" s="1"/>
  <c r="LQ22" i="2"/>
  <c r="JG21" i="2"/>
  <c r="JH21" i="2" s="1"/>
  <c r="JI21" i="2" s="1"/>
  <c r="JJ21" i="2" s="1"/>
  <c r="JF22" i="2"/>
  <c r="KA22" i="2"/>
  <c r="KB21" i="2"/>
  <c r="KC21" i="2" s="1"/>
  <c r="KD21" i="2" s="1"/>
  <c r="KE21" i="2" s="1"/>
  <c r="ML22" i="2"/>
  <c r="MM21" i="2"/>
  <c r="MN21" i="2" s="1"/>
  <c r="MO21" i="2" s="1"/>
  <c r="MP21" i="2" s="1"/>
  <c r="OC21" i="2"/>
  <c r="OD21" i="2" s="1"/>
  <c r="OE21" i="2" s="1"/>
  <c r="OF21" i="2" s="1"/>
  <c r="OB22" i="2"/>
  <c r="GU22" i="2"/>
  <c r="GV21" i="2"/>
  <c r="GW21" i="2" s="1"/>
  <c r="GX21" i="2" s="1"/>
  <c r="GY21" i="2" s="1"/>
  <c r="FE22" i="2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AJ21" i="2"/>
  <c r="AK21" i="2" s="1"/>
  <c r="AL21" i="2" s="1"/>
  <c r="AM21" i="2" s="1"/>
  <c r="OC22" i="2" l="1"/>
  <c r="OD22" i="2" s="1"/>
  <c r="OE22" i="2" s="1"/>
  <c r="OF22" i="2" s="1"/>
  <c r="OB23" i="2"/>
  <c r="LQ23" i="2"/>
  <c r="LR22" i="2"/>
  <c r="LS22" i="2" s="1"/>
  <c r="LT22" i="2" s="1"/>
  <c r="LU22" i="2" s="1"/>
  <c r="IL22" i="2"/>
  <c r="IM22" i="2" s="1"/>
  <c r="IN22" i="2" s="1"/>
  <c r="IO22" i="2" s="1"/>
  <c r="IK23" i="2"/>
  <c r="KB22" i="2"/>
  <c r="KC22" i="2" s="1"/>
  <c r="KD22" i="2" s="1"/>
  <c r="KE22" i="2" s="1"/>
  <c r="KA23" i="2"/>
  <c r="OW23" i="2"/>
  <c r="OX22" i="2"/>
  <c r="OY22" i="2" s="1"/>
  <c r="OZ22" i="2" s="1"/>
  <c r="PA22" i="2" s="1"/>
  <c r="JF23" i="2"/>
  <c r="JG22" i="2"/>
  <c r="JH22" i="2" s="1"/>
  <c r="JI22" i="2" s="1"/>
  <c r="JJ22" i="2" s="1"/>
  <c r="KW22" i="2"/>
  <c r="KX22" i="2" s="1"/>
  <c r="KY22" i="2" s="1"/>
  <c r="KZ22" i="2" s="1"/>
  <c r="KV23" i="2"/>
  <c r="ML23" i="2"/>
  <c r="MM22" i="2"/>
  <c r="MN22" i="2" s="1"/>
  <c r="MO22" i="2" s="1"/>
  <c r="MP22" i="2" s="1"/>
  <c r="HP23" i="2"/>
  <c r="HQ22" i="2"/>
  <c r="HR22" i="2" s="1"/>
  <c r="HS22" i="2" s="1"/>
  <c r="HT22" i="2" s="1"/>
  <c r="NG23" i="2"/>
  <c r="NH22" i="2"/>
  <c r="NI22" i="2" s="1"/>
  <c r="NJ22" i="2" s="1"/>
  <c r="NK22" i="2" s="1"/>
  <c r="GU23" i="2"/>
  <c r="GV22" i="2"/>
  <c r="GW22" i="2" s="1"/>
  <c r="GX22" i="2" s="1"/>
  <c r="GY22" i="2" s="1"/>
  <c r="FE23" i="2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AJ22" i="2"/>
  <c r="AK22" i="2" s="1"/>
  <c r="AL22" i="2" s="1"/>
  <c r="AM22" i="2" s="1"/>
  <c r="KB23" i="2" l="1"/>
  <c r="KC23" i="2" s="1"/>
  <c r="KD23" i="2" s="1"/>
  <c r="KE23" i="2" s="1"/>
  <c r="KA24" i="2"/>
  <c r="NG24" i="2"/>
  <c r="NH23" i="2"/>
  <c r="NI23" i="2" s="1"/>
  <c r="NJ23" i="2" s="1"/>
  <c r="NK23" i="2" s="1"/>
  <c r="ML24" i="2"/>
  <c r="MM23" i="2"/>
  <c r="MN23" i="2" s="1"/>
  <c r="MO23" i="2" s="1"/>
  <c r="MP23" i="2" s="1"/>
  <c r="JG23" i="2"/>
  <c r="JH23" i="2" s="1"/>
  <c r="JI23" i="2" s="1"/>
  <c r="JJ23" i="2" s="1"/>
  <c r="JF24" i="2"/>
  <c r="LR23" i="2"/>
  <c r="LS23" i="2" s="1"/>
  <c r="LT23" i="2" s="1"/>
  <c r="LU23" i="2" s="1"/>
  <c r="LQ24" i="2"/>
  <c r="KW23" i="2"/>
  <c r="KX23" i="2" s="1"/>
  <c r="KY23" i="2" s="1"/>
  <c r="KZ23" i="2" s="1"/>
  <c r="KV24" i="2"/>
  <c r="IL23" i="2"/>
  <c r="IM23" i="2" s="1"/>
  <c r="IN23" i="2" s="1"/>
  <c r="IO23" i="2" s="1"/>
  <c r="IK24" i="2"/>
  <c r="OB24" i="2"/>
  <c r="OC23" i="2"/>
  <c r="OD23" i="2" s="1"/>
  <c r="OE23" i="2" s="1"/>
  <c r="OF23" i="2" s="1"/>
  <c r="HP24" i="2"/>
  <c r="HQ23" i="2"/>
  <c r="HR23" i="2" s="1"/>
  <c r="HS23" i="2" s="1"/>
  <c r="HT23" i="2" s="1"/>
  <c r="OW24" i="2"/>
  <c r="OX23" i="2"/>
  <c r="OY23" i="2" s="1"/>
  <c r="OZ23" i="2" s="1"/>
  <c r="PA23" i="2" s="1"/>
  <c r="GU24" i="2"/>
  <c r="GV23" i="2"/>
  <c r="GW23" i="2" s="1"/>
  <c r="GX23" i="2" s="1"/>
  <c r="GY23" i="2" s="1"/>
  <c r="FE24" i="2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AJ23" i="2"/>
  <c r="AK23" i="2" s="1"/>
  <c r="AL23" i="2" s="1"/>
  <c r="AM23" i="2" s="1"/>
  <c r="HV3" i="2" l="1"/>
  <c r="HU159" i="2"/>
  <c r="HU176" i="2"/>
  <c r="HU149" i="2"/>
  <c r="HU57" i="2"/>
  <c r="HU111" i="2"/>
  <c r="HU157" i="2"/>
  <c r="HU144" i="2"/>
  <c r="HU40" i="2"/>
  <c r="HU92" i="2"/>
  <c r="HU179" i="2"/>
  <c r="HU175" i="2"/>
  <c r="HU62" i="2"/>
  <c r="HU155" i="2"/>
  <c r="HU75" i="2"/>
  <c r="HU63" i="2"/>
  <c r="HU74" i="2"/>
  <c r="HU66" i="2"/>
  <c r="HU124" i="2"/>
  <c r="HU202" i="2"/>
  <c r="HU64" i="2"/>
  <c r="HU196" i="2"/>
  <c r="HU107" i="2"/>
  <c r="HU13" i="2"/>
  <c r="HU85" i="2"/>
  <c r="HU153" i="2"/>
  <c r="HU6" i="2"/>
  <c r="HU140" i="2"/>
  <c r="HU36" i="2"/>
  <c r="HU50" i="2"/>
  <c r="HU22" i="2"/>
  <c r="HU190" i="2"/>
  <c r="HU38" i="2"/>
  <c r="HU30" i="2"/>
  <c r="HU12" i="2"/>
  <c r="HU73" i="2"/>
  <c r="HU17" i="2"/>
  <c r="HU132" i="2"/>
  <c r="HU164" i="2"/>
  <c r="HU127" i="2"/>
  <c r="HU47" i="2"/>
  <c r="HU105" i="2"/>
  <c r="HU167" i="2"/>
  <c r="HU25" i="2"/>
  <c r="HU23" i="2"/>
  <c r="HU97" i="2"/>
  <c r="HU41" i="2"/>
  <c r="HU163" i="2"/>
  <c r="HU103" i="2"/>
  <c r="HU28" i="2"/>
  <c r="HU32" i="2"/>
  <c r="HU160" i="2"/>
  <c r="HU186" i="2"/>
  <c r="HU199" i="2"/>
  <c r="HU93" i="2"/>
  <c r="HU112" i="2"/>
  <c r="HU116" i="2"/>
  <c r="HU95" i="2"/>
  <c r="HU46" i="2"/>
  <c r="HU165" i="2"/>
  <c r="HU60" i="2"/>
  <c r="HU177" i="2"/>
  <c r="HU14" i="2"/>
  <c r="HU193" i="2"/>
  <c r="HU26" i="2"/>
  <c r="HU138" i="2"/>
  <c r="HU173" i="2"/>
  <c r="HU162" i="2"/>
  <c r="HU152" i="2"/>
  <c r="HU108" i="2"/>
  <c r="HU154" i="2"/>
  <c r="HU114" i="2"/>
  <c r="HU183" i="2"/>
  <c r="HU84" i="2"/>
  <c r="HU48" i="2"/>
  <c r="HU148" i="2"/>
  <c r="HU8" i="2"/>
  <c r="HU65" i="2"/>
  <c r="HU169" i="2"/>
  <c r="HU21" i="2"/>
  <c r="HU170" i="2"/>
  <c r="HU110" i="2"/>
  <c r="HU49" i="2"/>
  <c r="HU58" i="2"/>
  <c r="HU104" i="2"/>
  <c r="HU122" i="2"/>
  <c r="HU172" i="2"/>
  <c r="HU139" i="2"/>
  <c r="HU3" i="2"/>
  <c r="C16" i="4" s="1"/>
  <c r="HU198" i="2"/>
  <c r="HU39" i="2"/>
  <c r="HU120" i="2"/>
  <c r="HU184" i="2"/>
  <c r="HU188" i="2"/>
  <c r="HU11" i="2"/>
  <c r="HU158" i="2"/>
  <c r="HU79" i="2"/>
  <c r="HU67" i="2"/>
  <c r="HU7" i="2"/>
  <c r="HU20" i="2"/>
  <c r="HU185" i="2"/>
  <c r="HU200" i="2"/>
  <c r="HU126" i="2"/>
  <c r="HU10" i="2"/>
  <c r="HU15" i="2"/>
  <c r="HU18" i="2"/>
  <c r="HU117" i="2"/>
  <c r="HU113" i="2"/>
  <c r="HU9" i="2"/>
  <c r="HU145" i="2"/>
  <c r="HU119" i="2"/>
  <c r="HU146" i="2"/>
  <c r="HU54" i="2"/>
  <c r="HU42" i="2"/>
  <c r="HU189" i="2"/>
  <c r="HU4" i="2"/>
  <c r="HU161" i="2"/>
  <c r="HU135" i="2"/>
  <c r="HU130" i="2"/>
  <c r="HU168" i="2"/>
  <c r="HU187" i="2"/>
  <c r="HU118" i="2"/>
  <c r="HU81" i="2"/>
  <c r="HU136" i="2"/>
  <c r="HU16" i="2"/>
  <c r="HU5" i="2"/>
  <c r="HU166" i="2"/>
  <c r="HU134" i="2"/>
  <c r="HU178" i="2"/>
  <c r="HU44" i="2"/>
  <c r="HU151" i="2"/>
  <c r="HU192" i="2"/>
  <c r="HU82" i="2"/>
  <c r="HU33" i="2"/>
  <c r="HU201" i="2"/>
  <c r="HU195" i="2"/>
  <c r="HU72" i="2"/>
  <c r="HU55" i="2"/>
  <c r="HU24" i="2"/>
  <c r="HU171" i="2"/>
  <c r="HU100" i="2"/>
  <c r="HU43" i="2"/>
  <c r="HU115" i="2"/>
  <c r="HU174" i="2"/>
  <c r="HU76" i="2"/>
  <c r="HU53" i="2"/>
  <c r="HU197" i="2"/>
  <c r="HU31" i="2"/>
  <c r="HU180" i="2"/>
  <c r="HU45" i="2"/>
  <c r="HU133" i="2"/>
  <c r="HU88" i="2"/>
  <c r="HU129" i="2"/>
  <c r="HU131" i="2"/>
  <c r="HU27" i="2"/>
  <c r="HU52" i="2"/>
  <c r="HU142" i="2"/>
  <c r="HU29" i="2"/>
  <c r="HU61" i="2"/>
  <c r="HU59" i="2"/>
  <c r="HU68" i="2"/>
  <c r="HU128" i="2"/>
  <c r="HU96" i="2"/>
  <c r="HU70" i="2"/>
  <c r="HU143" i="2"/>
  <c r="HU89" i="2"/>
  <c r="HU125" i="2"/>
  <c r="HU94" i="2"/>
  <c r="HU141" i="2"/>
  <c r="HU87" i="2"/>
  <c r="HU83" i="2"/>
  <c r="HU194" i="2"/>
  <c r="HU56" i="2"/>
  <c r="HU101" i="2"/>
  <c r="HU121" i="2"/>
  <c r="HU98" i="2"/>
  <c r="HU123" i="2"/>
  <c r="HU182" i="2"/>
  <c r="HU90" i="2"/>
  <c r="HU77" i="2"/>
  <c r="HU147" i="2"/>
  <c r="HU35" i="2"/>
  <c r="HU71" i="2"/>
  <c r="HU102" i="2"/>
  <c r="HU51" i="2"/>
  <c r="HU99" i="2"/>
  <c r="HU137" i="2"/>
  <c r="HU69" i="2"/>
  <c r="HU191" i="2"/>
  <c r="HU109" i="2"/>
  <c r="HU78" i="2"/>
  <c r="HU203" i="2"/>
  <c r="HU19" i="2"/>
  <c r="HU34" i="2"/>
  <c r="HU181" i="2"/>
  <c r="HU156" i="2"/>
  <c r="HU80" i="2"/>
  <c r="HU86" i="2"/>
  <c r="HU106" i="2"/>
  <c r="HU37" i="2"/>
  <c r="HU91" i="2"/>
  <c r="HU150" i="2"/>
  <c r="IQ3" i="2"/>
  <c r="D17" i="4" s="1"/>
  <c r="IP166" i="2"/>
  <c r="IP24" i="2"/>
  <c r="IP160" i="2"/>
  <c r="IP121" i="2"/>
  <c r="IP158" i="2"/>
  <c r="IP136" i="2"/>
  <c r="IP120" i="2"/>
  <c r="IP139" i="2"/>
  <c r="IP128" i="2"/>
  <c r="IP17" i="2"/>
  <c r="IP182" i="2"/>
  <c r="IP111" i="2"/>
  <c r="IP61" i="2"/>
  <c r="IP34" i="2"/>
  <c r="IP149" i="2"/>
  <c r="IP11" i="2"/>
  <c r="IP44" i="2"/>
  <c r="IP92" i="2"/>
  <c r="IP115" i="2"/>
  <c r="IP133" i="2"/>
  <c r="IP47" i="2"/>
  <c r="IP72" i="2"/>
  <c r="IP12" i="2"/>
  <c r="IP22" i="2"/>
  <c r="IP102" i="2"/>
  <c r="IP150" i="2"/>
  <c r="IP122" i="2"/>
  <c r="IP84" i="2"/>
  <c r="IP180" i="2"/>
  <c r="IP49" i="2"/>
  <c r="IP172" i="2"/>
  <c r="IP55" i="2"/>
  <c r="IP154" i="2"/>
  <c r="IP173" i="2"/>
  <c r="IP5" i="2"/>
  <c r="IP14" i="2"/>
  <c r="IP137" i="2"/>
  <c r="IP134" i="2"/>
  <c r="IP40" i="2"/>
  <c r="IP141" i="2"/>
  <c r="IP195" i="2"/>
  <c r="IP16" i="2"/>
  <c r="IP179" i="2"/>
  <c r="IP90" i="2"/>
  <c r="IP201" i="2"/>
  <c r="IP6" i="2"/>
  <c r="IP81" i="2"/>
  <c r="IP38" i="2"/>
  <c r="IP3" i="2"/>
  <c r="C17" i="4" s="1"/>
  <c r="IP19" i="2"/>
  <c r="IP146" i="2"/>
  <c r="IP177" i="2"/>
  <c r="IP171" i="2"/>
  <c r="IP26" i="2"/>
  <c r="IP152" i="2"/>
  <c r="IP20" i="2"/>
  <c r="IP45" i="2"/>
  <c r="IP129" i="2"/>
  <c r="IP163" i="2"/>
  <c r="IP8" i="2"/>
  <c r="IP155" i="2"/>
  <c r="IP59" i="2"/>
  <c r="IP94" i="2"/>
  <c r="IP56" i="2"/>
  <c r="IP117" i="2"/>
  <c r="IP108" i="2"/>
  <c r="IP165" i="2"/>
  <c r="IP89" i="2"/>
  <c r="IP18" i="2"/>
  <c r="IP153" i="2"/>
  <c r="IP60" i="2"/>
  <c r="IP30" i="2"/>
  <c r="IP27" i="2"/>
  <c r="IP106" i="2"/>
  <c r="IP157" i="2"/>
  <c r="IP23" i="2"/>
  <c r="IP190" i="2"/>
  <c r="IP91" i="2"/>
  <c r="IP167" i="2"/>
  <c r="IP170" i="2"/>
  <c r="IP130" i="2"/>
  <c r="IP164" i="2"/>
  <c r="IP69" i="2"/>
  <c r="IP116" i="2"/>
  <c r="IP191" i="2"/>
  <c r="IP31" i="2"/>
  <c r="IP87" i="2"/>
  <c r="IP202" i="2"/>
  <c r="IP104" i="2"/>
  <c r="IP77" i="2"/>
  <c r="IP197" i="2"/>
  <c r="IP78" i="2"/>
  <c r="IP98" i="2"/>
  <c r="IP162" i="2"/>
  <c r="IP83" i="2"/>
  <c r="IP97" i="2"/>
  <c r="IP53" i="2"/>
  <c r="IP188" i="2"/>
  <c r="IP151" i="2"/>
  <c r="IP37" i="2"/>
  <c r="IP123" i="2"/>
  <c r="IP196" i="2"/>
  <c r="IP143" i="2"/>
  <c r="IP174" i="2"/>
  <c r="IP62" i="2"/>
  <c r="IP135" i="2"/>
  <c r="IP50" i="2"/>
  <c r="IP114" i="2"/>
  <c r="IP36" i="2"/>
  <c r="IP124" i="2"/>
  <c r="IP52" i="2"/>
  <c r="IP107" i="2"/>
  <c r="IP203" i="2"/>
  <c r="IP93" i="2"/>
  <c r="IP140" i="2"/>
  <c r="IP48" i="2"/>
  <c r="IP194" i="2"/>
  <c r="IP73" i="2"/>
  <c r="IP181" i="2"/>
  <c r="IP142" i="2"/>
  <c r="IP159" i="2"/>
  <c r="IP138" i="2"/>
  <c r="IP57" i="2"/>
  <c r="IP13" i="2"/>
  <c r="IP86" i="2"/>
  <c r="IP147" i="2"/>
  <c r="IP185" i="2"/>
  <c r="IP66" i="2"/>
  <c r="IP68" i="2"/>
  <c r="IP176" i="2"/>
  <c r="IP126" i="2"/>
  <c r="IP80" i="2"/>
  <c r="IP112" i="2"/>
  <c r="IP131" i="2"/>
  <c r="IP25" i="2"/>
  <c r="IP82" i="2"/>
  <c r="IP105" i="2"/>
  <c r="IP41" i="2"/>
  <c r="IP192" i="2"/>
  <c r="IP168" i="2"/>
  <c r="IP51" i="2"/>
  <c r="IP125" i="2"/>
  <c r="IP39" i="2"/>
  <c r="IP99" i="2"/>
  <c r="IP101" i="2"/>
  <c r="IP193" i="2"/>
  <c r="IP103" i="2"/>
  <c r="IP43" i="2"/>
  <c r="IP145" i="2"/>
  <c r="IP119" i="2"/>
  <c r="IP100" i="2"/>
  <c r="IP161" i="2"/>
  <c r="IP65" i="2"/>
  <c r="IP46" i="2"/>
  <c r="IP28" i="2"/>
  <c r="IP33" i="2"/>
  <c r="IP85" i="2"/>
  <c r="IP156" i="2"/>
  <c r="IP186" i="2"/>
  <c r="IP15" i="2"/>
  <c r="IP70" i="2"/>
  <c r="IP127" i="2"/>
  <c r="IP95" i="2"/>
  <c r="IP7" i="2"/>
  <c r="IP113" i="2"/>
  <c r="IP79" i="2"/>
  <c r="IP189" i="2"/>
  <c r="IP148" i="2"/>
  <c r="IP200" i="2"/>
  <c r="IP54" i="2"/>
  <c r="IP118" i="2"/>
  <c r="IP71" i="2"/>
  <c r="IP29" i="2"/>
  <c r="IP32" i="2"/>
  <c r="IP42" i="2"/>
  <c r="IP67" i="2"/>
  <c r="IP4" i="2"/>
  <c r="IP184" i="2"/>
  <c r="IP175" i="2"/>
  <c r="IP35" i="2"/>
  <c r="IP75" i="2"/>
  <c r="IP109" i="2"/>
  <c r="IP10" i="2"/>
  <c r="IP187" i="2"/>
  <c r="IP132" i="2"/>
  <c r="IP110" i="2"/>
  <c r="IP183" i="2"/>
  <c r="IP144" i="2"/>
  <c r="IP58" i="2"/>
  <c r="IP63" i="2"/>
  <c r="IP76" i="2"/>
  <c r="IP21" i="2"/>
  <c r="IP198" i="2"/>
  <c r="IP9" i="2"/>
  <c r="IP64" i="2"/>
  <c r="IP88" i="2"/>
  <c r="IP96" i="2"/>
  <c r="IP199" i="2"/>
  <c r="IP178" i="2"/>
  <c r="IP169" i="2"/>
  <c r="IP74" i="2"/>
  <c r="KW24" i="2"/>
  <c r="KX24" i="2" s="1"/>
  <c r="KY24" i="2" s="1"/>
  <c r="KZ24" i="2" s="1"/>
  <c r="KV25" i="2"/>
  <c r="JG24" i="2"/>
  <c r="JH24" i="2" s="1"/>
  <c r="JI24" i="2" s="1"/>
  <c r="JJ24" i="2" s="1"/>
  <c r="JF25" i="2"/>
  <c r="OW25" i="2"/>
  <c r="OX24" i="2"/>
  <c r="OY24" i="2" s="1"/>
  <c r="OZ24" i="2" s="1"/>
  <c r="PA24" i="2" s="1"/>
  <c r="OC24" i="2"/>
  <c r="OD24" i="2" s="1"/>
  <c r="OE24" i="2" s="1"/>
  <c r="OF24" i="2" s="1"/>
  <c r="OB25" i="2"/>
  <c r="NG25" i="2"/>
  <c r="NH24" i="2"/>
  <c r="NI24" i="2" s="1"/>
  <c r="NJ24" i="2" s="1"/>
  <c r="NK24" i="2" s="1"/>
  <c r="IL24" i="2"/>
  <c r="IM24" i="2" s="1"/>
  <c r="IN24" i="2" s="1"/>
  <c r="IO24" i="2" s="1"/>
  <c r="IK25" i="2"/>
  <c r="LQ25" i="2"/>
  <c r="LR24" i="2"/>
  <c r="LS24" i="2" s="1"/>
  <c r="LT24" i="2" s="1"/>
  <c r="LU24" i="2" s="1"/>
  <c r="KA25" i="2"/>
  <c r="KB24" i="2"/>
  <c r="KC24" i="2" s="1"/>
  <c r="KD24" i="2" s="1"/>
  <c r="KE24" i="2" s="1"/>
  <c r="HP25" i="2"/>
  <c r="HQ24" i="2"/>
  <c r="HR24" i="2" s="1"/>
  <c r="HS24" i="2" s="1"/>
  <c r="HT24" i="2" s="1"/>
  <c r="ML25" i="2"/>
  <c r="MM24" i="2"/>
  <c r="MN24" i="2" s="1"/>
  <c r="MO24" i="2" s="1"/>
  <c r="MP24" i="2" s="1"/>
  <c r="GU25" i="2"/>
  <c r="GV24" i="2"/>
  <c r="GW24" i="2" s="1"/>
  <c r="GX24" i="2" s="1"/>
  <c r="GY24" i="2" s="1"/>
  <c r="FE25" i="2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AJ24" i="2"/>
  <c r="AK24" i="2" s="1"/>
  <c r="AL24" i="2" s="1"/>
  <c r="AM24" i="2" s="1"/>
  <c r="D16" i="4" l="1"/>
  <c r="IQ172" i="2"/>
  <c r="IQ141" i="2"/>
  <c r="IQ110" i="2"/>
  <c r="IQ23" i="2"/>
  <c r="HV17" i="2"/>
  <c r="HV59" i="2"/>
  <c r="HV38" i="2"/>
  <c r="HV16" i="2"/>
  <c r="IQ177" i="2"/>
  <c r="IQ107" i="2"/>
  <c r="IQ84" i="2"/>
  <c r="IQ53" i="2"/>
  <c r="IQ165" i="2"/>
  <c r="HV70" i="2"/>
  <c r="HV136" i="2"/>
  <c r="HV72" i="2"/>
  <c r="HV44" i="2"/>
  <c r="IQ191" i="2"/>
  <c r="IQ5" i="2"/>
  <c r="IQ37" i="2"/>
  <c r="HV82" i="2"/>
  <c r="HV152" i="2"/>
  <c r="IQ149" i="2"/>
  <c r="IQ118" i="2"/>
  <c r="IQ95" i="2"/>
  <c r="IQ8" i="2"/>
  <c r="HV126" i="2"/>
  <c r="HV46" i="2"/>
  <c r="HV78" i="2"/>
  <c r="HV179" i="2"/>
  <c r="IQ76" i="2"/>
  <c r="HV48" i="2"/>
  <c r="HV102" i="2"/>
  <c r="IQ115" i="2"/>
  <c r="IQ92" i="2"/>
  <c r="IQ61" i="2"/>
  <c r="IQ173" i="2"/>
  <c r="HV203" i="2"/>
  <c r="HV118" i="2"/>
  <c r="HV13" i="2"/>
  <c r="HV140" i="2"/>
  <c r="IQ122" i="2"/>
  <c r="IQ81" i="2"/>
  <c r="IQ27" i="2"/>
  <c r="IQ203" i="2"/>
  <c r="IQ116" i="2"/>
  <c r="HV101" i="2"/>
  <c r="HV43" i="2"/>
  <c r="HV172" i="2"/>
  <c r="HV130" i="2"/>
  <c r="IQ134" i="2"/>
  <c r="IQ97" i="2"/>
  <c r="HV147" i="2"/>
  <c r="HV127" i="2"/>
  <c r="HV79" i="2"/>
  <c r="IQ100" i="2"/>
  <c r="IQ69" i="2"/>
  <c r="IQ38" i="2"/>
  <c r="IQ150" i="2"/>
  <c r="HV29" i="2"/>
  <c r="HV21" i="2"/>
  <c r="HV20" i="2"/>
  <c r="HV160" i="2"/>
  <c r="IQ146" i="2"/>
  <c r="HV168" i="2"/>
  <c r="HV121" i="2"/>
  <c r="IQ129" i="2"/>
  <c r="IQ35" i="2"/>
  <c r="IQ12" i="2"/>
  <c r="IQ124" i="2"/>
  <c r="HV162" i="2"/>
  <c r="HV186" i="2"/>
  <c r="HV184" i="2"/>
  <c r="HV197" i="2"/>
  <c r="IQ64" i="2"/>
  <c r="IQ42" i="2"/>
  <c r="IQ121" i="2"/>
  <c r="IQ153" i="2"/>
  <c r="IQ59" i="2"/>
  <c r="HV50" i="2"/>
  <c r="HV153" i="2"/>
  <c r="HV143" i="2"/>
  <c r="HV198" i="2"/>
  <c r="IQ85" i="2"/>
  <c r="IQ32" i="2"/>
  <c r="HV81" i="2"/>
  <c r="IQ127" i="2"/>
  <c r="IQ104" i="2"/>
  <c r="IQ82" i="2"/>
  <c r="IQ194" i="2"/>
  <c r="HV104" i="2"/>
  <c r="HV199" i="2"/>
  <c r="HV138" i="2"/>
  <c r="HV88" i="2"/>
  <c r="IQ157" i="2"/>
  <c r="IQ126" i="2"/>
  <c r="IQ103" i="2"/>
  <c r="IQ16" i="2"/>
  <c r="HV28" i="2"/>
  <c r="HV62" i="2"/>
  <c r="HV196" i="2"/>
  <c r="HV49" i="2"/>
  <c r="IQ193" i="2"/>
  <c r="IQ105" i="2"/>
  <c r="IQ19" i="2"/>
  <c r="HV201" i="2"/>
  <c r="HV80" i="2"/>
  <c r="IQ199" i="2"/>
  <c r="IQ176" i="2"/>
  <c r="IQ154" i="2"/>
  <c r="IQ73" i="2"/>
  <c r="HV12" i="2"/>
  <c r="HV93" i="2"/>
  <c r="HV57" i="2"/>
  <c r="HV195" i="2"/>
  <c r="HV6" i="2"/>
  <c r="IQ75" i="2"/>
  <c r="HV52" i="2"/>
  <c r="HV134" i="2"/>
  <c r="IQ70" i="2"/>
  <c r="IQ47" i="2"/>
  <c r="IQ24" i="2"/>
  <c r="IQ136" i="2"/>
  <c r="HV173" i="2"/>
  <c r="HV174" i="2"/>
  <c r="HV167" i="2"/>
  <c r="HV22" i="2"/>
  <c r="IQ108" i="2"/>
  <c r="IQ77" i="2"/>
  <c r="IQ46" i="2"/>
  <c r="IQ158" i="2"/>
  <c r="HV176" i="2"/>
  <c r="HV194" i="2"/>
  <c r="HV60" i="2"/>
  <c r="HV183" i="2"/>
  <c r="IQ192" i="2"/>
  <c r="IQ170" i="2"/>
  <c r="IQ88" i="2"/>
  <c r="HV37" i="2"/>
  <c r="HV185" i="2"/>
  <c r="IQ142" i="2"/>
  <c r="IQ119" i="2"/>
  <c r="IQ96" i="2"/>
  <c r="IQ10" i="2"/>
  <c r="HV170" i="2"/>
  <c r="HV122" i="2"/>
  <c r="HV191" i="2"/>
  <c r="HV74" i="2"/>
  <c r="HV108" i="2"/>
  <c r="IQ202" i="2"/>
  <c r="HV26" i="2"/>
  <c r="HV115" i="2"/>
  <c r="IQ21" i="2"/>
  <c r="IQ197" i="2"/>
  <c r="IQ166" i="2"/>
  <c r="IQ79" i="2"/>
  <c r="HV89" i="2"/>
  <c r="HV149" i="2"/>
  <c r="HV53" i="2"/>
  <c r="HV58" i="2"/>
  <c r="IQ51" i="2"/>
  <c r="IQ28" i="2"/>
  <c r="IQ4" i="2"/>
  <c r="IQ109" i="2"/>
  <c r="HV139" i="2"/>
  <c r="HV188" i="2"/>
  <c r="HV107" i="2"/>
  <c r="HV158" i="2"/>
  <c r="IQ135" i="2"/>
  <c r="IQ112" i="2"/>
  <c r="IQ132" i="2"/>
  <c r="IQ184" i="2"/>
  <c r="IQ33" i="2"/>
  <c r="HV137" i="2"/>
  <c r="HV86" i="2"/>
  <c r="IQ7" i="2"/>
  <c r="IQ160" i="2"/>
  <c r="HV19" i="2"/>
  <c r="HV24" i="2"/>
  <c r="HV165" i="2"/>
  <c r="IQ125" i="2"/>
  <c r="HV177" i="2"/>
  <c r="IQ44" i="2"/>
  <c r="IQ175" i="2"/>
  <c r="IQ94" i="2"/>
  <c r="HV27" i="2"/>
  <c r="HV141" i="2"/>
  <c r="HV47" i="2"/>
  <c r="IQ131" i="2"/>
  <c r="HV200" i="2"/>
  <c r="HV77" i="2"/>
  <c r="HV66" i="2"/>
  <c r="IQ200" i="2"/>
  <c r="IQ68" i="2"/>
  <c r="HV109" i="2"/>
  <c r="IQ137" i="2"/>
  <c r="HV189" i="2"/>
  <c r="IQ87" i="2"/>
  <c r="IQ114" i="2"/>
  <c r="IQ195" i="2"/>
  <c r="HV111" i="2"/>
  <c r="IQ86" i="2"/>
  <c r="IQ106" i="2"/>
  <c r="HV157" i="2"/>
  <c r="IQ63" i="2"/>
  <c r="HV40" i="2"/>
  <c r="IQ179" i="2"/>
  <c r="HV156" i="2"/>
  <c r="IQ39" i="2"/>
  <c r="HV100" i="2"/>
  <c r="IQ156" i="2"/>
  <c r="HV96" i="2"/>
  <c r="IQ48" i="2"/>
  <c r="HV67" i="2"/>
  <c r="IQ6" i="2"/>
  <c r="HV144" i="2"/>
  <c r="IQ145" i="2"/>
  <c r="HV132" i="2"/>
  <c r="IQ189" i="2"/>
  <c r="HV114" i="2"/>
  <c r="IQ168" i="2"/>
  <c r="HV30" i="2"/>
  <c r="IQ80" i="2"/>
  <c r="HV129" i="2"/>
  <c r="IQ102" i="2"/>
  <c r="HV171" i="2"/>
  <c r="IQ143" i="2"/>
  <c r="IQ43" i="2"/>
  <c r="IQ101" i="2"/>
  <c r="HV31" i="2"/>
  <c r="HV95" i="2"/>
  <c r="IQ162" i="2"/>
  <c r="HV65" i="2"/>
  <c r="IQ183" i="2"/>
  <c r="HV202" i="2"/>
  <c r="IQ36" i="2"/>
  <c r="HV41" i="2"/>
  <c r="IQ83" i="2"/>
  <c r="HV10" i="2"/>
  <c r="IQ155" i="2"/>
  <c r="HV148" i="2"/>
  <c r="IQ22" i="2"/>
  <c r="HV103" i="2"/>
  <c r="IQ60" i="2"/>
  <c r="HV133" i="2"/>
  <c r="HV76" i="2"/>
  <c r="IQ62" i="2"/>
  <c r="HV145" i="2"/>
  <c r="HV192" i="2"/>
  <c r="HV155" i="2"/>
  <c r="IQ91" i="2"/>
  <c r="HV123" i="2"/>
  <c r="IQ98" i="2"/>
  <c r="HV36" i="2"/>
  <c r="HV4" i="2"/>
  <c r="HV164" i="2"/>
  <c r="IQ152" i="2"/>
  <c r="HV71" i="2"/>
  <c r="IQ174" i="2"/>
  <c r="HV97" i="2"/>
  <c r="IQ201" i="2"/>
  <c r="HV180" i="2"/>
  <c r="IQ40" i="2"/>
  <c r="HV135" i="2"/>
  <c r="IQ99" i="2"/>
  <c r="IQ25" i="2"/>
  <c r="IQ196" i="2"/>
  <c r="HV182" i="2"/>
  <c r="IQ31" i="2"/>
  <c r="IQ71" i="2"/>
  <c r="HV83" i="2"/>
  <c r="HV151" i="2"/>
  <c r="IQ72" i="2"/>
  <c r="HV125" i="2"/>
  <c r="HV161" i="2"/>
  <c r="IQ17" i="2"/>
  <c r="HV34" i="2"/>
  <c r="HV69" i="2"/>
  <c r="HV68" i="2"/>
  <c r="IQ167" i="2"/>
  <c r="HV63" i="2"/>
  <c r="IQ133" i="2"/>
  <c r="HV85" i="2"/>
  <c r="IQ111" i="2"/>
  <c r="IQ93" i="2"/>
  <c r="IQ151" i="2"/>
  <c r="HV166" i="2"/>
  <c r="IQ30" i="2"/>
  <c r="IQ171" i="2"/>
  <c r="IQ117" i="2"/>
  <c r="HV159" i="2"/>
  <c r="HV25" i="2"/>
  <c r="IQ178" i="2"/>
  <c r="IQ147" i="2"/>
  <c r="HV98" i="2"/>
  <c r="HV8" i="2"/>
  <c r="IQ78" i="2"/>
  <c r="IQ144" i="2"/>
  <c r="IQ113" i="2"/>
  <c r="IQ20" i="2"/>
  <c r="IQ45" i="2"/>
  <c r="HV45" i="2"/>
  <c r="HV14" i="2"/>
  <c r="HV99" i="2"/>
  <c r="IQ49" i="2"/>
  <c r="HV190" i="2"/>
  <c r="IQ120" i="2"/>
  <c r="HV73" i="2"/>
  <c r="IQ29" i="2"/>
  <c r="HV84" i="2"/>
  <c r="IQ41" i="2"/>
  <c r="HV18" i="2"/>
  <c r="HV105" i="2"/>
  <c r="HV181" i="2"/>
  <c r="IQ11" i="2"/>
  <c r="HV169" i="2"/>
  <c r="IQ18" i="2"/>
  <c r="HV193" i="2"/>
  <c r="IQ188" i="2"/>
  <c r="IQ56" i="2"/>
  <c r="IQ89" i="2"/>
  <c r="HV61" i="2"/>
  <c r="IQ187" i="2"/>
  <c r="IQ138" i="2"/>
  <c r="HV35" i="2"/>
  <c r="IQ159" i="2"/>
  <c r="HV39" i="2"/>
  <c r="IQ9" i="2"/>
  <c r="IQ198" i="2"/>
  <c r="IQ66" i="2"/>
  <c r="HV33" i="2"/>
  <c r="HV106" i="2"/>
  <c r="IQ190" i="2"/>
  <c r="HV64" i="2"/>
  <c r="IQ164" i="2"/>
  <c r="HV15" i="2"/>
  <c r="IQ50" i="2"/>
  <c r="HV55" i="2"/>
  <c r="IQ140" i="2"/>
  <c r="HV131" i="2"/>
  <c r="IQ54" i="2"/>
  <c r="HV5" i="2"/>
  <c r="IQ67" i="2"/>
  <c r="HV187" i="2"/>
  <c r="IQ74" i="2"/>
  <c r="HV154" i="2"/>
  <c r="HV11" i="2"/>
  <c r="IQ65" i="2"/>
  <c r="IQ52" i="2"/>
  <c r="HV87" i="2"/>
  <c r="HV142" i="2"/>
  <c r="IQ148" i="2"/>
  <c r="HV23" i="2"/>
  <c r="IQ161" i="2"/>
  <c r="HV90" i="2"/>
  <c r="IQ55" i="2"/>
  <c r="HV150" i="2"/>
  <c r="IQ57" i="2"/>
  <c r="HV128" i="2"/>
  <c r="IQ90" i="2"/>
  <c r="HV117" i="2"/>
  <c r="IQ186" i="2"/>
  <c r="IQ180" i="2"/>
  <c r="HV91" i="2"/>
  <c r="IQ169" i="2"/>
  <c r="HV146" i="2"/>
  <c r="HV163" i="2"/>
  <c r="IQ13" i="2"/>
  <c r="HV112" i="2"/>
  <c r="HV119" i="2"/>
  <c r="HV51" i="2"/>
  <c r="IQ128" i="2"/>
  <c r="IQ123" i="2"/>
  <c r="HV124" i="2"/>
  <c r="IQ130" i="2"/>
  <c r="HV175" i="2"/>
  <c r="HV56" i="2"/>
  <c r="IQ163" i="2"/>
  <c r="HV75" i="2"/>
  <c r="HV94" i="2"/>
  <c r="HV32" i="2"/>
  <c r="IQ26" i="2"/>
  <c r="HV120" i="2"/>
  <c r="IQ182" i="2"/>
  <c r="HV110" i="2"/>
  <c r="IQ185" i="2"/>
  <c r="IQ58" i="2"/>
  <c r="IQ139" i="2"/>
  <c r="HV178" i="2"/>
  <c r="IQ181" i="2"/>
  <c r="IQ14" i="2"/>
  <c r="HV42" i="2"/>
  <c r="HV54" i="2"/>
  <c r="IQ15" i="2"/>
  <c r="HV113" i="2"/>
  <c r="HV7" i="2"/>
  <c r="IQ34" i="2"/>
  <c r="HV9" i="2"/>
  <c r="HV92" i="2"/>
  <c r="HV116" i="2"/>
  <c r="IL25" i="2"/>
  <c r="IM25" i="2" s="1"/>
  <c r="IN25" i="2" s="1"/>
  <c r="IO25" i="2" s="1"/>
  <c r="IK26" i="2"/>
  <c r="OC25" i="2"/>
  <c r="OD25" i="2" s="1"/>
  <c r="OE25" i="2" s="1"/>
  <c r="OF25" i="2" s="1"/>
  <c r="OB26" i="2"/>
  <c r="JF26" i="2"/>
  <c r="JG25" i="2"/>
  <c r="JH25" i="2" s="1"/>
  <c r="JI25" i="2" s="1"/>
  <c r="JJ25" i="2" s="1"/>
  <c r="ML26" i="2"/>
  <c r="MM25" i="2"/>
  <c r="MN25" i="2" s="1"/>
  <c r="MO25" i="2" s="1"/>
  <c r="MP25" i="2" s="1"/>
  <c r="KB25" i="2"/>
  <c r="KC25" i="2" s="1"/>
  <c r="KD25" i="2" s="1"/>
  <c r="KE25" i="2" s="1"/>
  <c r="KA26" i="2"/>
  <c r="KW25" i="2"/>
  <c r="KX25" i="2" s="1"/>
  <c r="KY25" i="2" s="1"/>
  <c r="KZ25" i="2" s="1"/>
  <c r="KV26" i="2"/>
  <c r="HP26" i="2"/>
  <c r="HQ25" i="2"/>
  <c r="HR25" i="2" s="1"/>
  <c r="HS25" i="2" s="1"/>
  <c r="HT25" i="2" s="1"/>
  <c r="LQ26" i="2"/>
  <c r="LR25" i="2"/>
  <c r="LS25" i="2" s="1"/>
  <c r="LT25" i="2" s="1"/>
  <c r="LU25" i="2" s="1"/>
  <c r="NH25" i="2"/>
  <c r="NI25" i="2" s="1"/>
  <c r="NJ25" i="2" s="1"/>
  <c r="NK25" i="2" s="1"/>
  <c r="NG26" i="2"/>
  <c r="OW26" i="2"/>
  <c r="OX25" i="2"/>
  <c r="OY25" i="2" s="1"/>
  <c r="OZ25" i="2" s="1"/>
  <c r="PA25" i="2" s="1"/>
  <c r="GU26" i="2"/>
  <c r="GV25" i="2"/>
  <c r="GW25" i="2" s="1"/>
  <c r="GX25" i="2" s="1"/>
  <c r="GY25" i="2" s="1"/>
  <c r="FE26" i="2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AJ25" i="2"/>
  <c r="AK25" i="2" s="1"/>
  <c r="AL25" i="2" s="1"/>
  <c r="AM25" i="2" s="1"/>
  <c r="KW26" i="2" l="1"/>
  <c r="KX26" i="2" s="1"/>
  <c r="KY26" i="2" s="1"/>
  <c r="KZ26" i="2" s="1"/>
  <c r="KV27" i="2"/>
  <c r="OC26" i="2"/>
  <c r="OD26" i="2" s="1"/>
  <c r="OE26" i="2" s="1"/>
  <c r="OF26" i="2" s="1"/>
  <c r="OB27" i="2"/>
  <c r="OW27" i="2"/>
  <c r="OX26" i="2"/>
  <c r="OY26" i="2" s="1"/>
  <c r="OZ26" i="2" s="1"/>
  <c r="PA26" i="2" s="1"/>
  <c r="LQ27" i="2"/>
  <c r="LR26" i="2"/>
  <c r="LS26" i="2" s="1"/>
  <c r="LT26" i="2" s="1"/>
  <c r="LU26" i="2" s="1"/>
  <c r="ML27" i="2"/>
  <c r="MM26" i="2"/>
  <c r="MN26" i="2" s="1"/>
  <c r="MO26" i="2" s="1"/>
  <c r="MP26" i="2" s="1"/>
  <c r="NG27" i="2"/>
  <c r="NH26" i="2"/>
  <c r="NI26" i="2" s="1"/>
  <c r="NJ26" i="2" s="1"/>
  <c r="NK26" i="2" s="1"/>
  <c r="KA27" i="2"/>
  <c r="KB26" i="2"/>
  <c r="KC26" i="2" s="1"/>
  <c r="KD26" i="2" s="1"/>
  <c r="KE26" i="2" s="1"/>
  <c r="IL26" i="2"/>
  <c r="IM26" i="2" s="1"/>
  <c r="IN26" i="2" s="1"/>
  <c r="IO26" i="2" s="1"/>
  <c r="IK27" i="2"/>
  <c r="HP27" i="2"/>
  <c r="HQ26" i="2"/>
  <c r="HR26" i="2" s="1"/>
  <c r="HS26" i="2" s="1"/>
  <c r="HT26" i="2" s="1"/>
  <c r="JF27" i="2"/>
  <c r="JG26" i="2"/>
  <c r="JH26" i="2" s="1"/>
  <c r="JI26" i="2" s="1"/>
  <c r="JJ26" i="2" s="1"/>
  <c r="GU27" i="2"/>
  <c r="GV26" i="2"/>
  <c r="GW26" i="2" s="1"/>
  <c r="GX26" i="2" s="1"/>
  <c r="GY26" i="2" s="1"/>
  <c r="FE27" i="2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AJ26" i="2"/>
  <c r="AK26" i="2" s="1"/>
  <c r="AL26" i="2" s="1"/>
  <c r="AM26" i="2" s="1"/>
  <c r="IL27" i="2" l="1"/>
  <c r="IM27" i="2" s="1"/>
  <c r="IN27" i="2" s="1"/>
  <c r="IO27" i="2" s="1"/>
  <c r="IK28" i="2"/>
  <c r="OC27" i="2"/>
  <c r="OD27" i="2" s="1"/>
  <c r="OE27" i="2" s="1"/>
  <c r="OF27" i="2" s="1"/>
  <c r="OB28" i="2"/>
  <c r="JF28" i="2"/>
  <c r="JG27" i="2"/>
  <c r="JH27" i="2" s="1"/>
  <c r="JI27" i="2" s="1"/>
  <c r="JJ27" i="2" s="1"/>
  <c r="NG28" i="2"/>
  <c r="NH27" i="2"/>
  <c r="NI27" i="2" s="1"/>
  <c r="NJ27" i="2" s="1"/>
  <c r="NK27" i="2" s="1"/>
  <c r="LQ28" i="2"/>
  <c r="LR27" i="2"/>
  <c r="LS27" i="2" s="1"/>
  <c r="LT27" i="2" s="1"/>
  <c r="LU27" i="2" s="1"/>
  <c r="KW27" i="2"/>
  <c r="KX27" i="2" s="1"/>
  <c r="KY27" i="2" s="1"/>
  <c r="KZ27" i="2" s="1"/>
  <c r="KV28" i="2"/>
  <c r="HP28" i="2"/>
  <c r="HQ27" i="2"/>
  <c r="HR27" i="2" s="1"/>
  <c r="HS27" i="2" s="1"/>
  <c r="HT27" i="2" s="1"/>
  <c r="KA28" i="2"/>
  <c r="KB27" i="2"/>
  <c r="KC27" i="2" s="1"/>
  <c r="KD27" i="2" s="1"/>
  <c r="KE27" i="2" s="1"/>
  <c r="ML28" i="2"/>
  <c r="MM27" i="2"/>
  <c r="MN27" i="2" s="1"/>
  <c r="MO27" i="2" s="1"/>
  <c r="MP27" i="2" s="1"/>
  <c r="OW28" i="2"/>
  <c r="OX27" i="2"/>
  <c r="OY27" i="2" s="1"/>
  <c r="OZ27" i="2" s="1"/>
  <c r="PA27" i="2" s="1"/>
  <c r="GU28" i="2"/>
  <c r="GV27" i="2"/>
  <c r="GW27" i="2" s="1"/>
  <c r="GX27" i="2" s="1"/>
  <c r="GY27" i="2" s="1"/>
  <c r="FE28" i="2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AJ27" i="2"/>
  <c r="AK27" i="2" s="1"/>
  <c r="AL27" i="2" s="1"/>
  <c r="AM27" i="2" s="1"/>
  <c r="KW28" i="2" l="1"/>
  <c r="KX28" i="2" s="1"/>
  <c r="KY28" i="2" s="1"/>
  <c r="KZ28" i="2" s="1"/>
  <c r="KV29" i="2"/>
  <c r="OC28" i="2"/>
  <c r="OD28" i="2" s="1"/>
  <c r="OE28" i="2" s="1"/>
  <c r="OF28" i="2" s="1"/>
  <c r="OB29" i="2"/>
  <c r="OW29" i="2"/>
  <c r="OX28" i="2"/>
  <c r="OY28" i="2" s="1"/>
  <c r="OZ28" i="2" s="1"/>
  <c r="PA28" i="2" s="1"/>
  <c r="KA29" i="2"/>
  <c r="KB28" i="2"/>
  <c r="KC28" i="2" s="1"/>
  <c r="KD28" i="2" s="1"/>
  <c r="KE28" i="2" s="1"/>
  <c r="NG29" i="2"/>
  <c r="NH28" i="2"/>
  <c r="NI28" i="2" s="1"/>
  <c r="NJ28" i="2" s="1"/>
  <c r="NK28" i="2" s="1"/>
  <c r="IL28" i="2"/>
  <c r="IM28" i="2" s="1"/>
  <c r="IN28" i="2" s="1"/>
  <c r="IO28" i="2" s="1"/>
  <c r="IK29" i="2"/>
  <c r="ML29" i="2"/>
  <c r="MM28" i="2"/>
  <c r="MN28" i="2" s="1"/>
  <c r="MO28" i="2" s="1"/>
  <c r="MP28" i="2" s="1"/>
  <c r="HP29" i="2"/>
  <c r="HQ28" i="2"/>
  <c r="HR28" i="2" s="1"/>
  <c r="HS28" i="2" s="1"/>
  <c r="HT28" i="2" s="1"/>
  <c r="LQ29" i="2"/>
  <c r="LR28" i="2"/>
  <c r="LS28" i="2" s="1"/>
  <c r="LT28" i="2" s="1"/>
  <c r="LU28" i="2" s="1"/>
  <c r="JF29" i="2"/>
  <c r="JG28" i="2"/>
  <c r="JH28" i="2" s="1"/>
  <c r="JI28" i="2" s="1"/>
  <c r="JJ28" i="2" s="1"/>
  <c r="GU29" i="2"/>
  <c r="GV28" i="2"/>
  <c r="GW28" i="2" s="1"/>
  <c r="GX28" i="2" s="1"/>
  <c r="GY28" i="2" s="1"/>
  <c r="FE29" i="2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AJ28" i="2"/>
  <c r="AK28" i="2" s="1"/>
  <c r="AL28" i="2" s="1"/>
  <c r="AM28" i="2" s="1"/>
  <c r="IL29" i="2" l="1"/>
  <c r="IM29" i="2" s="1"/>
  <c r="IN29" i="2" s="1"/>
  <c r="IO29" i="2" s="1"/>
  <c r="IK30" i="2"/>
  <c r="OC29" i="2"/>
  <c r="OD29" i="2" s="1"/>
  <c r="OE29" i="2" s="1"/>
  <c r="OF29" i="2" s="1"/>
  <c r="OB30" i="2"/>
  <c r="JG29" i="2"/>
  <c r="JH29" i="2" s="1"/>
  <c r="JI29" i="2" s="1"/>
  <c r="JJ29" i="2" s="1"/>
  <c r="JF30" i="2"/>
  <c r="HP30" i="2"/>
  <c r="HQ29" i="2"/>
  <c r="HR29" i="2" s="1"/>
  <c r="HS29" i="2" s="1"/>
  <c r="HT29" i="2" s="1"/>
  <c r="KB29" i="2"/>
  <c r="KC29" i="2" s="1"/>
  <c r="KD29" i="2" s="1"/>
  <c r="KE29" i="2" s="1"/>
  <c r="KA30" i="2"/>
  <c r="KW29" i="2"/>
  <c r="KX29" i="2" s="1"/>
  <c r="KY29" i="2" s="1"/>
  <c r="KZ29" i="2" s="1"/>
  <c r="KV30" i="2"/>
  <c r="LQ30" i="2"/>
  <c r="LR29" i="2"/>
  <c r="LS29" i="2" s="1"/>
  <c r="LT29" i="2" s="1"/>
  <c r="LU29" i="2" s="1"/>
  <c r="ML30" i="2"/>
  <c r="MM29" i="2"/>
  <c r="MN29" i="2" s="1"/>
  <c r="MO29" i="2" s="1"/>
  <c r="MP29" i="2" s="1"/>
  <c r="NG30" i="2"/>
  <c r="NH29" i="2"/>
  <c r="NI29" i="2" s="1"/>
  <c r="NJ29" i="2" s="1"/>
  <c r="NK29" i="2" s="1"/>
  <c r="OW30" i="2"/>
  <c r="OX29" i="2"/>
  <c r="OY29" i="2" s="1"/>
  <c r="OZ29" i="2" s="1"/>
  <c r="PA29" i="2" s="1"/>
  <c r="GU30" i="2"/>
  <c r="GV29" i="2"/>
  <c r="GW29" i="2" s="1"/>
  <c r="GX29" i="2" s="1"/>
  <c r="GY29" i="2" s="1"/>
  <c r="FE30" i="2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AJ29" i="2"/>
  <c r="AK29" i="2" s="1"/>
  <c r="AL29" i="2" s="1"/>
  <c r="AM29" i="2" s="1"/>
  <c r="KV31" i="2" l="1"/>
  <c r="KW30" i="2"/>
  <c r="KX30" i="2" s="1"/>
  <c r="KY30" i="2" s="1"/>
  <c r="KZ30" i="2" s="1"/>
  <c r="OC30" i="2"/>
  <c r="OD30" i="2" s="1"/>
  <c r="OE30" i="2" s="1"/>
  <c r="OF30" i="2" s="1"/>
  <c r="OB31" i="2"/>
  <c r="OW31" i="2"/>
  <c r="OX30" i="2"/>
  <c r="OY30" i="2" s="1"/>
  <c r="OZ30" i="2" s="1"/>
  <c r="PA30" i="2" s="1"/>
  <c r="ML31" i="2"/>
  <c r="MM30" i="2"/>
  <c r="MN30" i="2" s="1"/>
  <c r="MO30" i="2" s="1"/>
  <c r="MP30" i="2" s="1"/>
  <c r="HP31" i="2"/>
  <c r="HQ30" i="2"/>
  <c r="HR30" i="2" s="1"/>
  <c r="HS30" i="2" s="1"/>
  <c r="HT30" i="2" s="1"/>
  <c r="KB30" i="2"/>
  <c r="KC30" i="2" s="1"/>
  <c r="KD30" i="2" s="1"/>
  <c r="KE30" i="2" s="1"/>
  <c r="KA31" i="2"/>
  <c r="JG30" i="2"/>
  <c r="JH30" i="2" s="1"/>
  <c r="JI30" i="2" s="1"/>
  <c r="JJ30" i="2" s="1"/>
  <c r="JF31" i="2"/>
  <c r="IL30" i="2"/>
  <c r="IM30" i="2" s="1"/>
  <c r="IN30" i="2" s="1"/>
  <c r="IO30" i="2" s="1"/>
  <c r="IK31" i="2"/>
  <c r="NH30" i="2"/>
  <c r="NI30" i="2" s="1"/>
  <c r="NJ30" i="2" s="1"/>
  <c r="NK30" i="2" s="1"/>
  <c r="NG31" i="2"/>
  <c r="LQ31" i="2"/>
  <c r="LR30" i="2"/>
  <c r="LS30" i="2" s="1"/>
  <c r="LT30" i="2" s="1"/>
  <c r="LU30" i="2" s="1"/>
  <c r="GU31" i="2"/>
  <c r="GV30" i="2"/>
  <c r="GW30" i="2" s="1"/>
  <c r="GX30" i="2" s="1"/>
  <c r="GY30" i="2" s="1"/>
  <c r="FE31" i="2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AJ30" i="2"/>
  <c r="AK30" i="2" s="1"/>
  <c r="AL30" i="2" s="1"/>
  <c r="AM30" i="2" s="1"/>
  <c r="IL31" i="2" l="1"/>
  <c r="IM31" i="2" s="1"/>
  <c r="IN31" i="2" s="1"/>
  <c r="IO31" i="2" s="1"/>
  <c r="IK32" i="2"/>
  <c r="KB31" i="2"/>
  <c r="KC31" i="2" s="1"/>
  <c r="KD31" i="2" s="1"/>
  <c r="KE31" i="2" s="1"/>
  <c r="KA32" i="2"/>
  <c r="OC31" i="2"/>
  <c r="OD31" i="2" s="1"/>
  <c r="OE31" i="2" s="1"/>
  <c r="OF31" i="2" s="1"/>
  <c r="OB32" i="2"/>
  <c r="LQ32" i="2"/>
  <c r="LR31" i="2"/>
  <c r="LS31" i="2" s="1"/>
  <c r="LT31" i="2" s="1"/>
  <c r="LU31" i="2" s="1"/>
  <c r="ML32" i="2"/>
  <c r="MM31" i="2"/>
  <c r="MN31" i="2" s="1"/>
  <c r="MO31" i="2" s="1"/>
  <c r="MP31" i="2" s="1"/>
  <c r="NG32" i="2"/>
  <c r="NH31" i="2"/>
  <c r="NI31" i="2" s="1"/>
  <c r="NJ31" i="2" s="1"/>
  <c r="NK31" i="2" s="1"/>
  <c r="JG31" i="2"/>
  <c r="JH31" i="2" s="1"/>
  <c r="JI31" i="2" s="1"/>
  <c r="JJ31" i="2" s="1"/>
  <c r="JF32" i="2"/>
  <c r="HP32" i="2"/>
  <c r="HQ31" i="2"/>
  <c r="HR31" i="2" s="1"/>
  <c r="HS31" i="2" s="1"/>
  <c r="HT31" i="2" s="1"/>
  <c r="OW32" i="2"/>
  <c r="OX31" i="2"/>
  <c r="OY31" i="2" s="1"/>
  <c r="OZ31" i="2" s="1"/>
  <c r="PA31" i="2" s="1"/>
  <c r="KW31" i="2"/>
  <c r="KX31" i="2" s="1"/>
  <c r="KY31" i="2" s="1"/>
  <c r="KZ31" i="2" s="1"/>
  <c r="KV32" i="2"/>
  <c r="GU32" i="2"/>
  <c r="GV31" i="2"/>
  <c r="GW31" i="2" s="1"/>
  <c r="GX31" i="2" s="1"/>
  <c r="GY31" i="2" s="1"/>
  <c r="FE32" i="2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AJ31" i="2"/>
  <c r="AK31" i="2" s="1"/>
  <c r="AL31" i="2" s="1"/>
  <c r="AM31" i="2" s="1"/>
  <c r="KW32" i="2" l="1"/>
  <c r="KX32" i="2" s="1"/>
  <c r="KY32" i="2" s="1"/>
  <c r="KZ32" i="2" s="1"/>
  <c r="KV33" i="2"/>
  <c r="KB32" i="2"/>
  <c r="KC32" i="2" s="1"/>
  <c r="KD32" i="2" s="1"/>
  <c r="KE32" i="2" s="1"/>
  <c r="KA33" i="2"/>
  <c r="HP33" i="2"/>
  <c r="HQ32" i="2"/>
  <c r="HR32" i="2" s="1"/>
  <c r="HS32" i="2" s="1"/>
  <c r="HT32" i="2" s="1"/>
  <c r="NG33" i="2"/>
  <c r="NH32" i="2"/>
  <c r="NI32" i="2" s="1"/>
  <c r="NJ32" i="2" s="1"/>
  <c r="NK32" i="2" s="1"/>
  <c r="LQ33" i="2"/>
  <c r="LR32" i="2"/>
  <c r="LS32" i="2" s="1"/>
  <c r="LT32" i="2" s="1"/>
  <c r="LU32" i="2" s="1"/>
  <c r="JF33" i="2"/>
  <c r="JG32" i="2"/>
  <c r="JH32" i="2" s="1"/>
  <c r="JI32" i="2" s="1"/>
  <c r="JJ32" i="2" s="1"/>
  <c r="OC32" i="2"/>
  <c r="OD32" i="2" s="1"/>
  <c r="OE32" i="2" s="1"/>
  <c r="OF32" i="2" s="1"/>
  <c r="OB33" i="2"/>
  <c r="IL32" i="2"/>
  <c r="IM32" i="2" s="1"/>
  <c r="IN32" i="2" s="1"/>
  <c r="IO32" i="2" s="1"/>
  <c r="IK33" i="2"/>
  <c r="OW33" i="2"/>
  <c r="OX32" i="2"/>
  <c r="OY32" i="2" s="1"/>
  <c r="OZ32" i="2" s="1"/>
  <c r="PA32" i="2" s="1"/>
  <c r="ML33" i="2"/>
  <c r="MM32" i="2"/>
  <c r="MN32" i="2" s="1"/>
  <c r="MO32" i="2" s="1"/>
  <c r="MP32" i="2" s="1"/>
  <c r="GU33" i="2"/>
  <c r="GV32" i="2"/>
  <c r="GW32" i="2" s="1"/>
  <c r="GX32" i="2" s="1"/>
  <c r="GY32" i="2" s="1"/>
  <c r="FE33" i="2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AJ32" i="2"/>
  <c r="AK32" i="2" s="1"/>
  <c r="AL32" i="2" s="1"/>
  <c r="AM32" i="2" s="1"/>
  <c r="IL33" i="2" l="1"/>
  <c r="IM33" i="2" s="1"/>
  <c r="IN33" i="2" s="1"/>
  <c r="IO33" i="2" s="1"/>
  <c r="IK34" i="2"/>
  <c r="KB33" i="2"/>
  <c r="KC33" i="2" s="1"/>
  <c r="KD33" i="2" s="1"/>
  <c r="KE33" i="2" s="1"/>
  <c r="KG3" i="2" s="1"/>
  <c r="KA34" i="2"/>
  <c r="ML34" i="2"/>
  <c r="MM33" i="2"/>
  <c r="MN33" i="2" s="1"/>
  <c r="MO33" i="2" s="1"/>
  <c r="MP33" i="2" s="1"/>
  <c r="JF34" i="2"/>
  <c r="JG33" i="2"/>
  <c r="JH33" i="2" s="1"/>
  <c r="JI33" i="2" s="1"/>
  <c r="JJ33" i="2" s="1"/>
  <c r="JL3" i="2" s="1"/>
  <c r="D18" i="4" s="1"/>
  <c r="NG34" i="2"/>
  <c r="NH33" i="2"/>
  <c r="NI33" i="2" s="1"/>
  <c r="NJ33" i="2" s="1"/>
  <c r="NK33" i="2" s="1"/>
  <c r="OC33" i="2"/>
  <c r="OD33" i="2" s="1"/>
  <c r="OE33" i="2" s="1"/>
  <c r="OF33" i="2" s="1"/>
  <c r="OB34" i="2"/>
  <c r="KW33" i="2"/>
  <c r="KX33" i="2" s="1"/>
  <c r="KY33" i="2" s="1"/>
  <c r="KZ33" i="2" s="1"/>
  <c r="LB3" i="2" s="1"/>
  <c r="D20" i="4" s="1"/>
  <c r="KV34" i="2"/>
  <c r="OW34" i="2"/>
  <c r="OX33" i="2"/>
  <c r="OY33" i="2" s="1"/>
  <c r="OZ33" i="2" s="1"/>
  <c r="PA33" i="2" s="1"/>
  <c r="LQ34" i="2"/>
  <c r="LR33" i="2"/>
  <c r="LS33" i="2" s="1"/>
  <c r="LT33" i="2" s="1"/>
  <c r="LU33" i="2" s="1"/>
  <c r="LW3" i="2" s="1"/>
  <c r="D21" i="4" s="1"/>
  <c r="HP34" i="2"/>
  <c r="HQ33" i="2"/>
  <c r="HR33" i="2" s="1"/>
  <c r="HS33" i="2" s="1"/>
  <c r="HT33" i="2" s="1"/>
  <c r="GU34" i="2"/>
  <c r="GV33" i="2"/>
  <c r="GW33" i="2" s="1"/>
  <c r="GX33" i="2" s="1"/>
  <c r="GY33" i="2" s="1"/>
  <c r="FE34" i="2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AJ33" i="2"/>
  <c r="AK33" i="2" s="1"/>
  <c r="AL33" i="2" s="1"/>
  <c r="AM33" i="2" s="1"/>
  <c r="AO3" i="2" s="1"/>
  <c r="KG4" i="2" l="1"/>
  <c r="D19" i="4"/>
  <c r="JL46" i="2"/>
  <c r="JL117" i="2"/>
  <c r="JL188" i="2"/>
  <c r="JL115" i="2"/>
  <c r="JL42" i="2"/>
  <c r="JL106" i="2"/>
  <c r="JL168" i="2"/>
  <c r="JL43" i="2"/>
  <c r="JL96" i="2"/>
  <c r="JL92" i="2"/>
  <c r="JL160" i="2"/>
  <c r="JL200" i="2"/>
  <c r="JL40" i="2"/>
  <c r="JL162" i="2"/>
  <c r="JL121" i="2"/>
  <c r="JL178" i="2"/>
  <c r="JL89" i="2"/>
  <c r="JL148" i="2"/>
  <c r="JL171" i="2"/>
  <c r="JL51" i="2"/>
  <c r="JL45" i="2"/>
  <c r="JL103" i="2"/>
  <c r="JL55" i="2"/>
  <c r="JL102" i="2"/>
  <c r="JL70" i="2"/>
  <c r="JL52" i="2"/>
  <c r="JL191" i="2"/>
  <c r="JL15" i="2"/>
  <c r="JL150" i="2"/>
  <c r="JL189" i="2"/>
  <c r="JL53" i="2"/>
  <c r="JL126" i="2"/>
  <c r="JL85" i="2"/>
  <c r="JL74" i="2"/>
  <c r="JL91" i="2"/>
  <c r="JL185" i="2"/>
  <c r="JL182" i="2"/>
  <c r="JL54" i="2"/>
  <c r="JL157" i="2"/>
  <c r="JL29" i="2"/>
  <c r="JL108" i="2"/>
  <c r="JL97" i="2"/>
  <c r="JL88" i="2"/>
  <c r="JL11" i="2"/>
  <c r="JL77" i="2"/>
  <c r="JL132" i="2"/>
  <c r="JL28" i="2"/>
  <c r="JL8" i="2"/>
  <c r="JL155" i="2"/>
  <c r="JL195" i="2"/>
  <c r="JL16" i="2"/>
  <c r="JL201" i="2"/>
  <c r="JL159" i="2"/>
  <c r="JL35" i="2"/>
  <c r="JL9" i="2"/>
  <c r="JL84" i="2"/>
  <c r="JL75" i="2"/>
  <c r="JL73" i="2"/>
  <c r="JL68" i="2"/>
  <c r="JL44" i="2"/>
  <c r="JL202" i="2"/>
  <c r="JL20" i="2"/>
  <c r="JL41" i="2"/>
  <c r="JL50" i="2"/>
  <c r="JL107" i="2"/>
  <c r="JL34" i="2"/>
  <c r="JL26" i="2"/>
  <c r="JL158" i="2"/>
  <c r="JL152" i="2"/>
  <c r="JL109" i="2"/>
  <c r="JL112" i="2"/>
  <c r="JL10" i="2"/>
  <c r="JL27" i="2"/>
  <c r="JL98" i="2"/>
  <c r="JL173" i="2"/>
  <c r="JL37" i="2"/>
  <c r="JL48" i="2"/>
  <c r="JL144" i="2"/>
  <c r="JL113" i="2"/>
  <c r="JL184" i="2"/>
  <c r="JL172" i="2"/>
  <c r="JL179" i="2"/>
  <c r="JL141" i="2"/>
  <c r="JL128" i="2"/>
  <c r="JL12" i="2"/>
  <c r="JL143" i="2"/>
  <c r="JL170" i="2"/>
  <c r="JL169" i="2"/>
  <c r="JL118" i="2"/>
  <c r="JL67" i="2"/>
  <c r="JL187" i="2"/>
  <c r="JL13" i="2"/>
  <c r="JL131" i="2"/>
  <c r="JL145" i="2"/>
  <c r="JL38" i="2"/>
  <c r="JL177" i="2"/>
  <c r="JL4" i="2"/>
  <c r="JL23" i="2"/>
  <c r="JL22" i="2"/>
  <c r="JL120" i="2"/>
  <c r="JL71" i="2"/>
  <c r="JL105" i="2"/>
  <c r="JL93" i="2"/>
  <c r="JL119" i="2"/>
  <c r="JL122" i="2"/>
  <c r="JL5" i="2"/>
  <c r="JL90" i="2"/>
  <c r="JL60" i="2"/>
  <c r="JL161" i="2"/>
  <c r="JL24" i="2"/>
  <c r="JL58" i="2"/>
  <c r="JL140" i="2"/>
  <c r="JL176" i="2"/>
  <c r="JL99" i="2"/>
  <c r="JL165" i="2"/>
  <c r="JL153" i="2"/>
  <c r="JL62" i="2"/>
  <c r="JL14" i="2"/>
  <c r="JL18" i="2"/>
  <c r="JL139" i="2"/>
  <c r="JL61" i="2"/>
  <c r="JL64" i="2"/>
  <c r="JL147" i="2"/>
  <c r="JL39" i="2"/>
  <c r="JL66" i="2"/>
  <c r="JL95" i="2"/>
  <c r="JL133" i="2"/>
  <c r="JL199" i="2"/>
  <c r="JL83" i="2"/>
  <c r="JL110" i="2"/>
  <c r="JL136" i="2"/>
  <c r="JL129" i="2"/>
  <c r="JL6" i="2"/>
  <c r="JL130" i="2"/>
  <c r="JL49" i="2"/>
  <c r="JL82" i="2"/>
  <c r="JL123" i="2"/>
  <c r="JL7" i="2"/>
  <c r="JL33" i="2"/>
  <c r="JL196" i="2"/>
  <c r="JL190" i="2"/>
  <c r="JL76" i="2"/>
  <c r="JL32" i="2"/>
  <c r="JL142" i="2"/>
  <c r="JL65" i="2"/>
  <c r="JL116" i="2"/>
  <c r="JL86" i="2"/>
  <c r="JL192" i="2"/>
  <c r="JL25" i="2"/>
  <c r="JL183" i="2"/>
  <c r="JL167" i="2"/>
  <c r="JL31" i="2"/>
  <c r="JL111" i="2"/>
  <c r="JL149" i="2"/>
  <c r="JL104" i="2"/>
  <c r="JL59" i="2"/>
  <c r="JL180" i="2"/>
  <c r="JL146" i="2"/>
  <c r="JL203" i="2"/>
  <c r="JL17" i="2"/>
  <c r="JL166" i="2"/>
  <c r="JL81" i="2"/>
  <c r="JL100" i="2"/>
  <c r="JL78" i="2"/>
  <c r="JL197" i="2"/>
  <c r="JL125" i="2"/>
  <c r="JL127" i="2"/>
  <c r="JL156" i="2"/>
  <c r="JL30" i="2"/>
  <c r="JL114" i="2"/>
  <c r="JL124" i="2"/>
  <c r="JL198" i="2"/>
  <c r="JL193" i="2"/>
  <c r="JL154" i="2"/>
  <c r="JL69" i="2"/>
  <c r="JL174" i="2"/>
  <c r="JL72" i="2"/>
  <c r="JL36" i="2"/>
  <c r="JL151" i="2"/>
  <c r="JL87" i="2"/>
  <c r="JL63" i="2"/>
  <c r="JL94" i="2"/>
  <c r="JL137" i="2"/>
  <c r="JL57" i="2"/>
  <c r="JL181" i="2"/>
  <c r="JL56" i="2"/>
  <c r="JL175" i="2"/>
  <c r="JL101" i="2"/>
  <c r="JL47" i="2"/>
  <c r="JL134" i="2"/>
  <c r="JL186" i="2"/>
  <c r="JL21" i="2"/>
  <c r="JL79" i="2"/>
  <c r="JL163" i="2"/>
  <c r="JL135" i="2"/>
  <c r="JL138" i="2"/>
  <c r="JL194" i="2"/>
  <c r="JL80" i="2"/>
  <c r="JL164" i="2"/>
  <c r="JL19" i="2"/>
  <c r="LW90" i="2"/>
  <c r="LW94" i="2"/>
  <c r="LW65" i="2"/>
  <c r="LW195" i="2"/>
  <c r="LW21" i="2"/>
  <c r="LW64" i="2"/>
  <c r="LW91" i="2"/>
  <c r="LW99" i="2"/>
  <c r="LW165" i="2"/>
  <c r="LW193" i="2"/>
  <c r="LW46" i="2"/>
  <c r="LW138" i="2"/>
  <c r="LW52" i="2"/>
  <c r="LW28" i="2"/>
  <c r="LW128" i="2"/>
  <c r="LW70" i="2"/>
  <c r="LW20" i="2"/>
  <c r="LW32" i="2"/>
  <c r="LW156" i="2"/>
  <c r="LW97" i="2"/>
  <c r="LW89" i="2"/>
  <c r="LW17" i="2"/>
  <c r="LW189" i="2"/>
  <c r="LW137" i="2"/>
  <c r="LW158" i="2"/>
  <c r="LW157" i="2"/>
  <c r="LW129" i="2"/>
  <c r="LW188" i="2"/>
  <c r="LW87" i="2"/>
  <c r="LW202" i="2"/>
  <c r="LW166" i="2"/>
  <c r="LW37" i="2"/>
  <c r="LW16" i="2"/>
  <c r="LW148" i="2"/>
  <c r="LW151" i="2"/>
  <c r="LW19" i="2"/>
  <c r="LW174" i="2"/>
  <c r="LW145" i="2"/>
  <c r="LW42" i="2"/>
  <c r="LW136" i="2"/>
  <c r="LW191" i="2"/>
  <c r="LW139" i="2"/>
  <c r="LW11" i="2"/>
  <c r="LW200" i="2"/>
  <c r="LW196" i="2"/>
  <c r="LW201" i="2"/>
  <c r="LW131" i="2"/>
  <c r="LW108" i="2"/>
  <c r="LW135" i="2"/>
  <c r="LW9" i="2"/>
  <c r="LW34" i="2"/>
  <c r="LW115" i="2"/>
  <c r="LW49" i="2"/>
  <c r="LW75" i="2"/>
  <c r="LW107" i="2"/>
  <c r="LW192" i="2"/>
  <c r="LW154" i="2"/>
  <c r="LW119" i="2"/>
  <c r="LW102" i="2"/>
  <c r="LW152" i="2"/>
  <c r="LW121" i="2"/>
  <c r="LW88" i="2"/>
  <c r="LW169" i="2"/>
  <c r="LW92" i="2"/>
  <c r="LW178" i="2"/>
  <c r="LW80" i="2"/>
  <c r="LW72" i="2"/>
  <c r="LW141" i="2"/>
  <c r="LW171" i="2"/>
  <c r="LW26" i="2"/>
  <c r="LW14" i="2"/>
  <c r="LW58" i="2"/>
  <c r="LW114" i="2"/>
  <c r="LW77" i="2"/>
  <c r="LW10" i="2"/>
  <c r="LW30" i="2"/>
  <c r="LW181" i="2"/>
  <c r="LW155" i="2"/>
  <c r="LW122" i="2"/>
  <c r="LW186" i="2"/>
  <c r="LW125" i="2"/>
  <c r="LW40" i="2"/>
  <c r="LW53" i="2"/>
  <c r="LW199" i="2"/>
  <c r="LW41" i="2"/>
  <c r="LW8" i="2"/>
  <c r="LW33" i="2"/>
  <c r="LW50" i="2"/>
  <c r="LW103" i="2"/>
  <c r="LW134" i="2"/>
  <c r="LW78" i="2"/>
  <c r="LW173" i="2"/>
  <c r="LW113" i="2"/>
  <c r="LW117" i="2"/>
  <c r="LW104" i="2"/>
  <c r="LW183" i="2"/>
  <c r="LW198" i="2"/>
  <c r="LW109" i="2"/>
  <c r="LW66" i="2"/>
  <c r="LW112" i="2"/>
  <c r="LW100" i="2"/>
  <c r="LW143" i="2"/>
  <c r="LW185" i="2"/>
  <c r="LW194" i="2"/>
  <c r="LW130" i="2"/>
  <c r="LW85" i="2"/>
  <c r="LW170" i="2"/>
  <c r="LW203" i="2"/>
  <c r="LW105" i="2"/>
  <c r="LW4" i="2"/>
  <c r="LW43" i="2"/>
  <c r="LW197" i="2"/>
  <c r="LW106" i="2"/>
  <c r="LW12" i="2"/>
  <c r="LW142" i="2"/>
  <c r="LW39" i="2"/>
  <c r="LW44" i="2"/>
  <c r="LW164" i="2"/>
  <c r="LW83" i="2"/>
  <c r="LW127" i="2"/>
  <c r="LW172" i="2"/>
  <c r="LW133" i="2"/>
  <c r="LW167" i="2"/>
  <c r="LW31" i="2"/>
  <c r="LW22" i="2"/>
  <c r="LW29" i="2"/>
  <c r="LW71" i="2"/>
  <c r="LW149" i="2"/>
  <c r="LW23" i="2"/>
  <c r="LW110" i="2"/>
  <c r="LW73" i="2"/>
  <c r="LW60" i="2"/>
  <c r="LW54" i="2"/>
  <c r="LW126" i="2"/>
  <c r="LW45" i="2"/>
  <c r="LW59" i="2"/>
  <c r="LW15" i="2"/>
  <c r="LW140" i="2"/>
  <c r="LW175" i="2"/>
  <c r="LW93" i="2"/>
  <c r="LW176" i="2"/>
  <c r="LW56" i="2"/>
  <c r="LW63" i="2"/>
  <c r="LW35" i="2"/>
  <c r="LW55" i="2"/>
  <c r="LW150" i="2"/>
  <c r="LW168" i="2"/>
  <c r="LW69" i="2"/>
  <c r="LW51" i="2"/>
  <c r="LW13" i="2"/>
  <c r="LW118" i="2"/>
  <c r="LW18" i="2"/>
  <c r="LW98" i="2"/>
  <c r="LW120" i="2"/>
  <c r="LW6" i="2"/>
  <c r="LW62" i="2"/>
  <c r="LW86" i="2"/>
  <c r="LW101" i="2"/>
  <c r="LW48" i="2"/>
  <c r="LW79" i="2"/>
  <c r="LW38" i="2"/>
  <c r="LW153" i="2"/>
  <c r="LW124" i="2"/>
  <c r="LW74" i="2"/>
  <c r="LW5" i="2"/>
  <c r="LW27" i="2"/>
  <c r="LW36" i="2"/>
  <c r="LW96" i="2"/>
  <c r="LW146" i="2"/>
  <c r="LW190" i="2"/>
  <c r="LW82" i="2"/>
  <c r="LW147" i="2"/>
  <c r="LW95" i="2"/>
  <c r="LW162" i="2"/>
  <c r="LW187" i="2"/>
  <c r="LW68" i="2"/>
  <c r="LW7" i="2"/>
  <c r="LW24" i="2"/>
  <c r="LW57" i="2"/>
  <c r="LW163" i="2"/>
  <c r="LW67" i="2"/>
  <c r="LW61" i="2"/>
  <c r="LW76" i="2"/>
  <c r="LW47" i="2"/>
  <c r="LW81" i="2"/>
  <c r="LW180" i="2"/>
  <c r="LW132" i="2"/>
  <c r="LW25" i="2"/>
  <c r="LW123" i="2"/>
  <c r="LW111" i="2"/>
  <c r="LW160" i="2"/>
  <c r="LW184" i="2"/>
  <c r="LW144" i="2"/>
  <c r="LW159" i="2"/>
  <c r="LW161" i="2"/>
  <c r="LW116" i="2"/>
  <c r="LW177" i="2"/>
  <c r="LW182" i="2"/>
  <c r="LW179" i="2"/>
  <c r="LW84" i="2"/>
  <c r="LB169" i="2"/>
  <c r="LB107" i="2"/>
  <c r="LB195" i="2"/>
  <c r="LB110" i="2"/>
  <c r="LB182" i="2"/>
  <c r="LB15" i="2"/>
  <c r="LB51" i="2"/>
  <c r="LB172" i="2"/>
  <c r="LB103" i="2"/>
  <c r="LB63" i="2"/>
  <c r="LB11" i="2"/>
  <c r="LB36" i="2"/>
  <c r="LB21" i="2"/>
  <c r="LB135" i="2"/>
  <c r="LB34" i="2"/>
  <c r="LB171" i="2"/>
  <c r="LB90" i="2"/>
  <c r="LB4" i="2"/>
  <c r="LB147" i="2"/>
  <c r="LB201" i="2"/>
  <c r="LB57" i="2"/>
  <c r="LB154" i="2"/>
  <c r="LB10" i="2"/>
  <c r="LB60" i="2"/>
  <c r="LB122" i="2"/>
  <c r="LB157" i="2"/>
  <c r="LB112" i="2"/>
  <c r="LB81" i="2"/>
  <c r="LB53" i="2"/>
  <c r="LB106" i="2"/>
  <c r="LB33" i="2"/>
  <c r="LB25" i="2"/>
  <c r="LB129" i="2"/>
  <c r="LB69" i="2"/>
  <c r="LB132" i="2"/>
  <c r="LB65" i="2"/>
  <c r="LB156" i="2"/>
  <c r="LB119" i="2"/>
  <c r="LB128" i="2"/>
  <c r="LB120" i="2"/>
  <c r="LB152" i="2"/>
  <c r="LB199" i="2"/>
  <c r="LB158" i="2"/>
  <c r="LB178" i="2"/>
  <c r="LB41" i="2"/>
  <c r="LB100" i="2"/>
  <c r="LB133" i="2"/>
  <c r="LB48" i="2"/>
  <c r="LB73" i="2"/>
  <c r="LB188" i="2"/>
  <c r="LB82" i="2"/>
  <c r="LB176" i="2"/>
  <c r="LB175" i="2"/>
  <c r="LB19" i="2"/>
  <c r="LB137" i="2"/>
  <c r="LB142" i="2"/>
  <c r="LB40" i="2"/>
  <c r="LB180" i="2"/>
  <c r="LB88" i="2"/>
  <c r="LB30" i="2"/>
  <c r="LB7" i="2"/>
  <c r="LB109" i="2"/>
  <c r="LB44" i="2"/>
  <c r="LB20" i="2"/>
  <c r="LB123" i="2"/>
  <c r="LB168" i="2"/>
  <c r="LB76" i="2"/>
  <c r="LB31" i="2"/>
  <c r="LB181" i="2"/>
  <c r="LB97" i="2"/>
  <c r="LB96" i="2"/>
  <c r="LB17" i="2"/>
  <c r="LB138" i="2"/>
  <c r="LB117" i="2"/>
  <c r="LB162" i="2"/>
  <c r="LB71" i="2"/>
  <c r="LB12" i="2"/>
  <c r="LB23" i="2"/>
  <c r="LB46" i="2"/>
  <c r="LB28" i="2"/>
  <c r="LB148" i="2"/>
  <c r="LB89" i="2"/>
  <c r="LB37" i="2"/>
  <c r="LB77" i="2"/>
  <c r="LB66" i="2"/>
  <c r="LB101" i="2"/>
  <c r="LB8" i="2"/>
  <c r="LB83" i="2"/>
  <c r="LB95" i="2"/>
  <c r="LB62" i="2"/>
  <c r="LB84" i="2"/>
  <c r="LB127" i="2"/>
  <c r="LB105" i="2"/>
  <c r="LB43" i="2"/>
  <c r="LB161" i="2"/>
  <c r="LB197" i="2"/>
  <c r="LB141" i="2"/>
  <c r="LB56" i="2"/>
  <c r="LB24" i="2"/>
  <c r="LB39" i="2"/>
  <c r="LB125" i="2"/>
  <c r="LB144" i="2"/>
  <c r="LB18" i="2"/>
  <c r="LB67" i="2"/>
  <c r="LB115" i="2"/>
  <c r="LB145" i="2"/>
  <c r="LB29" i="2"/>
  <c r="LB102" i="2"/>
  <c r="LB87" i="2"/>
  <c r="LB198" i="2"/>
  <c r="LB52" i="2"/>
  <c r="LB45" i="2"/>
  <c r="LB194" i="2"/>
  <c r="LB202" i="2"/>
  <c r="LB173" i="2"/>
  <c r="LB64" i="2"/>
  <c r="LB5" i="2"/>
  <c r="LB189" i="2"/>
  <c r="LB191" i="2"/>
  <c r="LB35" i="2"/>
  <c r="LB187" i="2"/>
  <c r="LB91" i="2"/>
  <c r="LB151" i="2"/>
  <c r="LB185" i="2"/>
  <c r="LB14" i="2"/>
  <c r="LB50" i="2"/>
  <c r="LB184" i="2"/>
  <c r="LB9" i="2"/>
  <c r="LB79" i="2"/>
  <c r="LB32" i="2"/>
  <c r="LB80" i="2"/>
  <c r="LB70" i="2"/>
  <c r="LB177" i="2"/>
  <c r="LB118" i="2"/>
  <c r="LB200" i="2"/>
  <c r="LB26" i="2"/>
  <c r="LB149" i="2"/>
  <c r="LB134" i="2"/>
  <c r="LB193" i="2"/>
  <c r="LB150" i="2"/>
  <c r="LB68" i="2"/>
  <c r="LB143" i="2"/>
  <c r="LB164" i="2"/>
  <c r="LB160" i="2"/>
  <c r="LB72" i="2"/>
  <c r="LB47" i="2"/>
  <c r="LB92" i="2"/>
  <c r="LB93" i="2"/>
  <c r="LB186" i="2"/>
  <c r="LB86" i="2"/>
  <c r="LB38" i="2"/>
  <c r="LB124" i="2"/>
  <c r="LB192" i="2"/>
  <c r="LB61" i="2"/>
  <c r="LB146" i="2"/>
  <c r="LB58" i="2"/>
  <c r="LB104" i="2"/>
  <c r="LB131" i="2"/>
  <c r="LB75" i="2"/>
  <c r="LB155" i="2"/>
  <c r="LB166" i="2"/>
  <c r="LB85" i="2"/>
  <c r="LB121" i="2"/>
  <c r="LB94" i="2"/>
  <c r="LB159" i="2"/>
  <c r="LB111" i="2"/>
  <c r="LB203" i="2"/>
  <c r="LB126" i="2"/>
  <c r="LB74" i="2"/>
  <c r="LB167" i="2"/>
  <c r="LB114" i="2"/>
  <c r="LB136" i="2"/>
  <c r="LB116" i="2"/>
  <c r="LB113" i="2"/>
  <c r="LB54" i="2"/>
  <c r="LB179" i="2"/>
  <c r="LB13" i="2"/>
  <c r="LB139" i="2"/>
  <c r="LB59" i="2"/>
  <c r="LB163" i="2"/>
  <c r="LB165" i="2"/>
  <c r="LB108" i="2"/>
  <c r="LB42" i="2"/>
  <c r="LB55" i="2"/>
  <c r="LB22" i="2"/>
  <c r="LB27" i="2"/>
  <c r="LB130" i="2"/>
  <c r="LB98" i="2"/>
  <c r="LB78" i="2"/>
  <c r="LB49" i="2"/>
  <c r="LB190" i="2"/>
  <c r="LB153" i="2"/>
  <c r="LB174" i="2"/>
  <c r="LB99" i="2"/>
  <c r="LB196" i="2"/>
  <c r="LB170" i="2"/>
  <c r="LB16" i="2"/>
  <c r="LB183" i="2"/>
  <c r="LB140" i="2"/>
  <c r="LB6" i="2"/>
  <c r="OC34" i="2"/>
  <c r="OD34" i="2" s="1"/>
  <c r="OE34" i="2" s="1"/>
  <c r="OF34" i="2" s="1"/>
  <c r="OB35" i="2"/>
  <c r="KB34" i="2"/>
  <c r="KC34" i="2" s="1"/>
  <c r="KD34" i="2" s="1"/>
  <c r="KE34" i="2" s="1"/>
  <c r="KA35" i="2"/>
  <c r="HP35" i="2"/>
  <c r="HQ34" i="2"/>
  <c r="HR34" i="2" s="1"/>
  <c r="HS34" i="2" s="1"/>
  <c r="HT34" i="2" s="1"/>
  <c r="OW35" i="2"/>
  <c r="OX34" i="2"/>
  <c r="OY34" i="2" s="1"/>
  <c r="OZ34" i="2" s="1"/>
  <c r="PA34" i="2" s="1"/>
  <c r="JG34" i="2"/>
  <c r="JH34" i="2" s="1"/>
  <c r="JI34" i="2" s="1"/>
  <c r="JJ34" i="2" s="1"/>
  <c r="JF35" i="2"/>
  <c r="KW34" i="2"/>
  <c r="KX34" i="2" s="1"/>
  <c r="KY34" i="2" s="1"/>
  <c r="KZ34" i="2" s="1"/>
  <c r="KV35" i="2"/>
  <c r="IL34" i="2"/>
  <c r="IM34" i="2" s="1"/>
  <c r="IN34" i="2" s="1"/>
  <c r="IO34" i="2" s="1"/>
  <c r="IK35" i="2"/>
  <c r="LQ35" i="2"/>
  <c r="LR34" i="2"/>
  <c r="LS34" i="2" s="1"/>
  <c r="LT34" i="2" s="1"/>
  <c r="LU34" i="2" s="1"/>
  <c r="NG35" i="2"/>
  <c r="NH34" i="2"/>
  <c r="NI34" i="2" s="1"/>
  <c r="NJ34" i="2" s="1"/>
  <c r="NK34" i="2" s="1"/>
  <c r="ML35" i="2"/>
  <c r="MM34" i="2"/>
  <c r="MN34" i="2" s="1"/>
  <c r="MO34" i="2" s="1"/>
  <c r="MP34" i="2" s="1"/>
  <c r="CZ3" i="2"/>
  <c r="HA3" i="2"/>
  <c r="D15" i="4" s="1"/>
  <c r="GU35" i="2"/>
  <c r="GV34" i="2"/>
  <c r="GW34" i="2" s="1"/>
  <c r="GX34" i="2" s="1"/>
  <c r="GY34" i="2" s="1"/>
  <c r="T85" i="2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AJ34" i="2"/>
  <c r="AK34" i="2" s="1"/>
  <c r="AL34" i="2" s="1"/>
  <c r="AM34" i="2" s="1"/>
  <c r="D7" i="4"/>
  <c r="KW35" i="2" l="1"/>
  <c r="KX35" i="2" s="1"/>
  <c r="KY35" i="2" s="1"/>
  <c r="KZ35" i="2" s="1"/>
  <c r="KV36" i="2"/>
  <c r="KB35" i="2"/>
  <c r="KC35" i="2" s="1"/>
  <c r="KD35" i="2" s="1"/>
  <c r="KE35" i="2" s="1"/>
  <c r="KA36" i="2"/>
  <c r="ML36" i="2"/>
  <c r="MM35" i="2"/>
  <c r="MN35" i="2" s="1"/>
  <c r="MO35" i="2" s="1"/>
  <c r="MP35" i="2" s="1"/>
  <c r="LQ36" i="2"/>
  <c r="LR35" i="2"/>
  <c r="LS35" i="2" s="1"/>
  <c r="LT35" i="2" s="1"/>
  <c r="LU35" i="2" s="1"/>
  <c r="OW36" i="2"/>
  <c r="OX35" i="2"/>
  <c r="OY35" i="2" s="1"/>
  <c r="OZ35" i="2" s="1"/>
  <c r="PA35" i="2" s="1"/>
  <c r="IL35" i="2"/>
  <c r="IM35" i="2" s="1"/>
  <c r="IN35" i="2" s="1"/>
  <c r="IO35" i="2" s="1"/>
  <c r="IK36" i="2"/>
  <c r="JG35" i="2"/>
  <c r="JH35" i="2" s="1"/>
  <c r="JI35" i="2" s="1"/>
  <c r="JJ35" i="2" s="1"/>
  <c r="JF36" i="2"/>
  <c r="OC35" i="2"/>
  <c r="OD35" i="2" s="1"/>
  <c r="OE35" i="2" s="1"/>
  <c r="OF35" i="2" s="1"/>
  <c r="OB36" i="2"/>
  <c r="NH35" i="2"/>
  <c r="NI35" i="2" s="1"/>
  <c r="NJ35" i="2" s="1"/>
  <c r="NK35" i="2" s="1"/>
  <c r="NG36" i="2"/>
  <c r="HP36" i="2"/>
  <c r="HQ35" i="2"/>
  <c r="HR35" i="2" s="1"/>
  <c r="HS35" i="2" s="1"/>
  <c r="HT35" i="2" s="1"/>
  <c r="KG13" i="2"/>
  <c r="KG139" i="2"/>
  <c r="KG74" i="2"/>
  <c r="KG41" i="2"/>
  <c r="KG167" i="2"/>
  <c r="KG102" i="2"/>
  <c r="KG69" i="2"/>
  <c r="KG197" i="2"/>
  <c r="KG130" i="2"/>
  <c r="KG97" i="2"/>
  <c r="KG32" i="2"/>
  <c r="KG158" i="2"/>
  <c r="KG125" i="2"/>
  <c r="KG60" i="2"/>
  <c r="KG186" i="2"/>
  <c r="KG153" i="2"/>
  <c r="KG88" i="2"/>
  <c r="KG23" i="2"/>
  <c r="KG181" i="2"/>
  <c r="KG116" i="2"/>
  <c r="KG51" i="2"/>
  <c r="KG199" i="2"/>
  <c r="KG144" i="2"/>
  <c r="KG79" i="2"/>
  <c r="KG14" i="2"/>
  <c r="KG73" i="2"/>
  <c r="KG134" i="2"/>
  <c r="KG36" i="2"/>
  <c r="KG129" i="2"/>
  <c r="KG190" i="2"/>
  <c r="KG185" i="2"/>
  <c r="KG195" i="2"/>
  <c r="KG18" i="2"/>
  <c r="KG46" i="2"/>
  <c r="KG172" i="2"/>
  <c r="KG107" i="2"/>
  <c r="KG42" i="2"/>
  <c r="KG9" i="2"/>
  <c r="KG135" i="2"/>
  <c r="KG70" i="2"/>
  <c r="KG37" i="2"/>
  <c r="KG163" i="2"/>
  <c r="KG98" i="2"/>
  <c r="KG65" i="2"/>
  <c r="KG191" i="2"/>
  <c r="KG126" i="2"/>
  <c r="KG93" i="2"/>
  <c r="KG28" i="2"/>
  <c r="KG154" i="2"/>
  <c r="KG121" i="2"/>
  <c r="KG56" i="2"/>
  <c r="KG182" i="2"/>
  <c r="KG149" i="2"/>
  <c r="KG84" i="2"/>
  <c r="KG19" i="2"/>
  <c r="KG177" i="2"/>
  <c r="KG112" i="2"/>
  <c r="KG47" i="2"/>
  <c r="KG203" i="2"/>
  <c r="KG27" i="2"/>
  <c r="KG140" i="2"/>
  <c r="KG75" i="2"/>
  <c r="KG10" i="2"/>
  <c r="KG168" i="2"/>
  <c r="KG103" i="2"/>
  <c r="KG38" i="2"/>
  <c r="KG5" i="2"/>
  <c r="KG131" i="2"/>
  <c r="KG66" i="2"/>
  <c r="KG33" i="2"/>
  <c r="KG159" i="2"/>
  <c r="KG94" i="2"/>
  <c r="KG61" i="2"/>
  <c r="KG187" i="2"/>
  <c r="KG122" i="2"/>
  <c r="KG89" i="2"/>
  <c r="KG24" i="2"/>
  <c r="KG150" i="2"/>
  <c r="KG117" i="2"/>
  <c r="KG52" i="2"/>
  <c r="KG178" i="2"/>
  <c r="KG145" i="2"/>
  <c r="KG80" i="2"/>
  <c r="KG15" i="2"/>
  <c r="KG106" i="2"/>
  <c r="KG176" i="2"/>
  <c r="KG173" i="2"/>
  <c r="KG108" i="2"/>
  <c r="KG43" i="2"/>
  <c r="KG196" i="2"/>
  <c r="KG136" i="2"/>
  <c r="KG71" i="2"/>
  <c r="KG6" i="2"/>
  <c r="KG164" i="2"/>
  <c r="KG99" i="2"/>
  <c r="KG34" i="2"/>
  <c r="KG192" i="2"/>
  <c r="KG127" i="2"/>
  <c r="KG62" i="2"/>
  <c r="KG29" i="2"/>
  <c r="KG155" i="2"/>
  <c r="KG90" i="2"/>
  <c r="KG57" i="2"/>
  <c r="KG183" i="2"/>
  <c r="KG118" i="2"/>
  <c r="KG85" i="2"/>
  <c r="KG20" i="2"/>
  <c r="KG146" i="2"/>
  <c r="KG113" i="2"/>
  <c r="KG48" i="2"/>
  <c r="KG174" i="2"/>
  <c r="KG55" i="2"/>
  <c r="KG141" i="2"/>
  <c r="KG76" i="2"/>
  <c r="KG11" i="2"/>
  <c r="KG169" i="2"/>
  <c r="KG104" i="2"/>
  <c r="KG39" i="2"/>
  <c r="KG200" i="2"/>
  <c r="KG132" i="2"/>
  <c r="KG67" i="2"/>
  <c r="KG194" i="2"/>
  <c r="KG160" i="2"/>
  <c r="KG95" i="2"/>
  <c r="KG30" i="2"/>
  <c r="KG188" i="2"/>
  <c r="KG123" i="2"/>
  <c r="KG58" i="2"/>
  <c r="KG25" i="2"/>
  <c r="KG151" i="2"/>
  <c r="KG86" i="2"/>
  <c r="KG53" i="2"/>
  <c r="KG179" i="2"/>
  <c r="KG114" i="2"/>
  <c r="KG81" i="2"/>
  <c r="KG16" i="2"/>
  <c r="KG142" i="2"/>
  <c r="KG171" i="2"/>
  <c r="KG8" i="2"/>
  <c r="KG101" i="2"/>
  <c r="KG162" i="2"/>
  <c r="KG64" i="2"/>
  <c r="KG157" i="2"/>
  <c r="KG120" i="2"/>
  <c r="KG148" i="2"/>
  <c r="KG111" i="2"/>
  <c r="KG109" i="2"/>
  <c r="KG44" i="2"/>
  <c r="KG170" i="2"/>
  <c r="KG137" i="2"/>
  <c r="KG72" i="2"/>
  <c r="KG7" i="2"/>
  <c r="KG165" i="2"/>
  <c r="KG100" i="2"/>
  <c r="KG35" i="2"/>
  <c r="KG193" i="2"/>
  <c r="KG128" i="2"/>
  <c r="KG63" i="2"/>
  <c r="KG198" i="2"/>
  <c r="KG156" i="2"/>
  <c r="KG91" i="2"/>
  <c r="KG26" i="2"/>
  <c r="KG184" i="2"/>
  <c r="KG119" i="2"/>
  <c r="KG54" i="2"/>
  <c r="KG21" i="2"/>
  <c r="KG147" i="2"/>
  <c r="KG82" i="2"/>
  <c r="KG49" i="2"/>
  <c r="KG175" i="2"/>
  <c r="KG110" i="2"/>
  <c r="KG92" i="2"/>
  <c r="KG77" i="2"/>
  <c r="KG12" i="2"/>
  <c r="KG138" i="2"/>
  <c r="KG105" i="2"/>
  <c r="KG40" i="2"/>
  <c r="KG166" i="2"/>
  <c r="KG133" i="2"/>
  <c r="KG68" i="2"/>
  <c r="KG201" i="2"/>
  <c r="KG161" i="2"/>
  <c r="KG96" i="2"/>
  <c r="KG31" i="2"/>
  <c r="KG189" i="2"/>
  <c r="KG124" i="2"/>
  <c r="KG59" i="2"/>
  <c r="KG202" i="2"/>
  <c r="KG152" i="2"/>
  <c r="KG87" i="2"/>
  <c r="KG22" i="2"/>
  <c r="KG180" i="2"/>
  <c r="KG115" i="2"/>
  <c r="KG50" i="2"/>
  <c r="KG17" i="2"/>
  <c r="KG143" i="2"/>
  <c r="KG78" i="2"/>
  <c r="KG45" i="2"/>
  <c r="KG83" i="2"/>
  <c r="D10" i="4"/>
  <c r="GU36" i="2"/>
  <c r="GV35" i="2"/>
  <c r="GW35" i="2" s="1"/>
  <c r="GX35" i="2" s="1"/>
  <c r="GY35" i="2" s="1"/>
  <c r="FE36" i="2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AJ35" i="2"/>
  <c r="AK35" i="2" s="1"/>
  <c r="AL35" i="2" s="1"/>
  <c r="AM35" i="2" s="1"/>
  <c r="OC36" i="2" l="1"/>
  <c r="OD36" i="2" s="1"/>
  <c r="OE36" i="2" s="1"/>
  <c r="OF36" i="2" s="1"/>
  <c r="OB37" i="2"/>
  <c r="IL36" i="2"/>
  <c r="IM36" i="2" s="1"/>
  <c r="IN36" i="2" s="1"/>
  <c r="IO36" i="2" s="1"/>
  <c r="IK37" i="2"/>
  <c r="KB36" i="2"/>
  <c r="KC36" i="2" s="1"/>
  <c r="KD36" i="2" s="1"/>
  <c r="KE36" i="2" s="1"/>
  <c r="KA37" i="2"/>
  <c r="HP37" i="2"/>
  <c r="HQ36" i="2"/>
  <c r="HR36" i="2" s="1"/>
  <c r="HS36" i="2" s="1"/>
  <c r="HT36" i="2" s="1"/>
  <c r="LQ37" i="2"/>
  <c r="LR36" i="2"/>
  <c r="LS36" i="2" s="1"/>
  <c r="LT36" i="2" s="1"/>
  <c r="LU36" i="2" s="1"/>
  <c r="NG37" i="2"/>
  <c r="NH36" i="2"/>
  <c r="NI36" i="2" s="1"/>
  <c r="NJ36" i="2" s="1"/>
  <c r="NK36" i="2" s="1"/>
  <c r="JF37" i="2"/>
  <c r="JG36" i="2"/>
  <c r="JH36" i="2" s="1"/>
  <c r="JI36" i="2" s="1"/>
  <c r="JJ36" i="2" s="1"/>
  <c r="KW36" i="2"/>
  <c r="KX36" i="2" s="1"/>
  <c r="KY36" i="2" s="1"/>
  <c r="KZ36" i="2" s="1"/>
  <c r="KV37" i="2"/>
  <c r="OW37" i="2"/>
  <c r="OX36" i="2"/>
  <c r="OY36" i="2" s="1"/>
  <c r="OZ36" i="2" s="1"/>
  <c r="PA36" i="2" s="1"/>
  <c r="ML37" i="2"/>
  <c r="MM36" i="2"/>
  <c r="MN36" i="2" s="1"/>
  <c r="MO36" i="2" s="1"/>
  <c r="MP36" i="2" s="1"/>
  <c r="GU37" i="2"/>
  <c r="GV36" i="2"/>
  <c r="GW36" i="2" s="1"/>
  <c r="GX36" i="2" s="1"/>
  <c r="GY36" i="2" s="1"/>
  <c r="FE37" i="2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AJ36" i="2"/>
  <c r="AK36" i="2" s="1"/>
  <c r="AL36" i="2" s="1"/>
  <c r="AM36" i="2" s="1"/>
  <c r="KW37" i="2" l="1"/>
  <c r="KX37" i="2" s="1"/>
  <c r="KY37" i="2" s="1"/>
  <c r="KZ37" i="2" s="1"/>
  <c r="KV38" i="2"/>
  <c r="IL37" i="2"/>
  <c r="IM37" i="2" s="1"/>
  <c r="IN37" i="2" s="1"/>
  <c r="IO37" i="2" s="1"/>
  <c r="IK38" i="2"/>
  <c r="ML38" i="2"/>
  <c r="MM37" i="2"/>
  <c r="MN37" i="2" s="1"/>
  <c r="MO37" i="2" s="1"/>
  <c r="MP37" i="2" s="1"/>
  <c r="NG38" i="2"/>
  <c r="NH37" i="2"/>
  <c r="NI37" i="2" s="1"/>
  <c r="NJ37" i="2" s="1"/>
  <c r="NK37" i="2" s="1"/>
  <c r="HP38" i="2"/>
  <c r="HQ37" i="2"/>
  <c r="HR37" i="2" s="1"/>
  <c r="HS37" i="2" s="1"/>
  <c r="HT37" i="2" s="1"/>
  <c r="KA38" i="2"/>
  <c r="KB37" i="2"/>
  <c r="KC37" i="2" s="1"/>
  <c r="KD37" i="2" s="1"/>
  <c r="KE37" i="2" s="1"/>
  <c r="OB38" i="2"/>
  <c r="OC37" i="2"/>
  <c r="OD37" i="2" s="1"/>
  <c r="OE37" i="2" s="1"/>
  <c r="OF37" i="2" s="1"/>
  <c r="OW38" i="2"/>
  <c r="OX37" i="2"/>
  <c r="OY37" i="2" s="1"/>
  <c r="OZ37" i="2" s="1"/>
  <c r="PA37" i="2" s="1"/>
  <c r="JF38" i="2"/>
  <c r="JG37" i="2"/>
  <c r="JH37" i="2" s="1"/>
  <c r="JI37" i="2" s="1"/>
  <c r="JJ37" i="2" s="1"/>
  <c r="LQ38" i="2"/>
  <c r="LR37" i="2"/>
  <c r="LS37" i="2" s="1"/>
  <c r="LT37" i="2" s="1"/>
  <c r="LU37" i="2" s="1"/>
  <c r="GU38" i="2"/>
  <c r="GV37" i="2"/>
  <c r="GW37" i="2" s="1"/>
  <c r="GX37" i="2" s="1"/>
  <c r="GY37" i="2" s="1"/>
  <c r="FE38" i="2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AJ37" i="2"/>
  <c r="AK37" i="2" s="1"/>
  <c r="AL37" i="2" s="1"/>
  <c r="AM37" i="2" s="1"/>
  <c r="IL38" i="2" l="1"/>
  <c r="IM38" i="2" s="1"/>
  <c r="IN38" i="2" s="1"/>
  <c r="IO38" i="2" s="1"/>
  <c r="IK39" i="2"/>
  <c r="LQ39" i="2"/>
  <c r="LR38" i="2"/>
  <c r="LS38" i="2" s="1"/>
  <c r="LT38" i="2" s="1"/>
  <c r="LU38" i="2" s="1"/>
  <c r="OW39" i="2"/>
  <c r="OX38" i="2"/>
  <c r="OY38" i="2" s="1"/>
  <c r="OZ38" i="2" s="1"/>
  <c r="PA38" i="2" s="1"/>
  <c r="KB38" i="2"/>
  <c r="KC38" i="2" s="1"/>
  <c r="KD38" i="2" s="1"/>
  <c r="KE38" i="2" s="1"/>
  <c r="KA39" i="2"/>
  <c r="NG39" i="2"/>
  <c r="NH38" i="2"/>
  <c r="NI38" i="2" s="1"/>
  <c r="NJ38" i="2" s="1"/>
  <c r="NK38" i="2" s="1"/>
  <c r="KW38" i="2"/>
  <c r="KX38" i="2" s="1"/>
  <c r="KY38" i="2" s="1"/>
  <c r="KZ38" i="2" s="1"/>
  <c r="KV39" i="2"/>
  <c r="JG38" i="2"/>
  <c r="JH38" i="2" s="1"/>
  <c r="JI38" i="2" s="1"/>
  <c r="JJ38" i="2" s="1"/>
  <c r="JF39" i="2"/>
  <c r="OC38" i="2"/>
  <c r="OD38" i="2" s="1"/>
  <c r="OE38" i="2" s="1"/>
  <c r="OF38" i="2" s="1"/>
  <c r="OB39" i="2"/>
  <c r="HP39" i="2"/>
  <c r="HQ38" i="2"/>
  <c r="HR38" i="2" s="1"/>
  <c r="HS38" i="2" s="1"/>
  <c r="HT38" i="2" s="1"/>
  <c r="ML39" i="2"/>
  <c r="MM38" i="2"/>
  <c r="MN38" i="2" s="1"/>
  <c r="MO38" i="2" s="1"/>
  <c r="MP38" i="2" s="1"/>
  <c r="GU39" i="2"/>
  <c r="GV38" i="2"/>
  <c r="GW38" i="2" s="1"/>
  <c r="GX38" i="2" s="1"/>
  <c r="GY38" i="2" s="1"/>
  <c r="FE39" i="2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AJ38" i="2"/>
  <c r="AK38" i="2" s="1"/>
  <c r="AL38" i="2" s="1"/>
  <c r="AM38" i="2" s="1"/>
  <c r="OC39" i="2" l="1"/>
  <c r="OD39" i="2" s="1"/>
  <c r="OE39" i="2" s="1"/>
  <c r="OF39" i="2" s="1"/>
  <c r="OB40" i="2"/>
  <c r="KW39" i="2"/>
  <c r="KX39" i="2" s="1"/>
  <c r="KY39" i="2" s="1"/>
  <c r="KZ39" i="2" s="1"/>
  <c r="KV40" i="2"/>
  <c r="KA40" i="2"/>
  <c r="KB39" i="2"/>
  <c r="KC39" i="2" s="1"/>
  <c r="KD39" i="2" s="1"/>
  <c r="KE39" i="2" s="1"/>
  <c r="ML40" i="2"/>
  <c r="MM39" i="2"/>
  <c r="MN39" i="2" s="1"/>
  <c r="MO39" i="2" s="1"/>
  <c r="MP39" i="2" s="1"/>
  <c r="LQ40" i="2"/>
  <c r="LR39" i="2"/>
  <c r="LS39" i="2" s="1"/>
  <c r="LT39" i="2" s="1"/>
  <c r="LU39" i="2" s="1"/>
  <c r="JF40" i="2"/>
  <c r="JG39" i="2"/>
  <c r="JH39" i="2" s="1"/>
  <c r="JI39" i="2" s="1"/>
  <c r="JJ39" i="2" s="1"/>
  <c r="IL39" i="2"/>
  <c r="IM39" i="2" s="1"/>
  <c r="IN39" i="2" s="1"/>
  <c r="IO39" i="2" s="1"/>
  <c r="IK40" i="2"/>
  <c r="HP40" i="2"/>
  <c r="HQ39" i="2"/>
  <c r="HR39" i="2" s="1"/>
  <c r="HS39" i="2" s="1"/>
  <c r="HT39" i="2" s="1"/>
  <c r="NG40" i="2"/>
  <c r="NH39" i="2"/>
  <c r="NI39" i="2" s="1"/>
  <c r="NJ39" i="2" s="1"/>
  <c r="NK39" i="2" s="1"/>
  <c r="OW40" i="2"/>
  <c r="OX39" i="2"/>
  <c r="OY39" i="2" s="1"/>
  <c r="OZ39" i="2" s="1"/>
  <c r="PA39" i="2" s="1"/>
  <c r="GU40" i="2"/>
  <c r="GV39" i="2"/>
  <c r="GW39" i="2" s="1"/>
  <c r="GX39" i="2" s="1"/>
  <c r="GY39" i="2" s="1"/>
  <c r="FE40" i="2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AJ39" i="2"/>
  <c r="AK39" i="2" s="1"/>
  <c r="AL39" i="2" s="1"/>
  <c r="AM39" i="2" s="1"/>
  <c r="KW40" i="2" l="1"/>
  <c r="KX40" i="2" s="1"/>
  <c r="KY40" i="2" s="1"/>
  <c r="KZ40" i="2" s="1"/>
  <c r="KV41" i="2"/>
  <c r="OW41" i="2"/>
  <c r="OX40" i="2"/>
  <c r="OY40" i="2" s="1"/>
  <c r="OZ40" i="2" s="1"/>
  <c r="PA40" i="2" s="1"/>
  <c r="HP41" i="2"/>
  <c r="HQ40" i="2"/>
  <c r="HR40" i="2" s="1"/>
  <c r="HS40" i="2" s="1"/>
  <c r="HT40" i="2" s="1"/>
  <c r="JG40" i="2"/>
  <c r="JH40" i="2" s="1"/>
  <c r="JI40" i="2" s="1"/>
  <c r="JJ40" i="2" s="1"/>
  <c r="JF41" i="2"/>
  <c r="ML41" i="2"/>
  <c r="MM40" i="2"/>
  <c r="MN40" i="2" s="1"/>
  <c r="MO40" i="2" s="1"/>
  <c r="MP40" i="2" s="1"/>
  <c r="IL40" i="2"/>
  <c r="IM40" i="2" s="1"/>
  <c r="IN40" i="2" s="1"/>
  <c r="IO40" i="2" s="1"/>
  <c r="IK41" i="2"/>
  <c r="OC40" i="2"/>
  <c r="OD40" i="2" s="1"/>
  <c r="OE40" i="2" s="1"/>
  <c r="OF40" i="2" s="1"/>
  <c r="OB41" i="2"/>
  <c r="NH40" i="2"/>
  <c r="NI40" i="2" s="1"/>
  <c r="NJ40" i="2" s="1"/>
  <c r="NK40" i="2" s="1"/>
  <c r="NG41" i="2"/>
  <c r="LQ41" i="2"/>
  <c r="LR40" i="2"/>
  <c r="LS40" i="2" s="1"/>
  <c r="LT40" i="2" s="1"/>
  <c r="LU40" i="2" s="1"/>
  <c r="KB40" i="2"/>
  <c r="KC40" i="2" s="1"/>
  <c r="KD40" i="2" s="1"/>
  <c r="KE40" i="2" s="1"/>
  <c r="KA41" i="2"/>
  <c r="GU41" i="2"/>
  <c r="GV40" i="2"/>
  <c r="GW40" i="2" s="1"/>
  <c r="GX40" i="2" s="1"/>
  <c r="GY40" i="2" s="1"/>
  <c r="FE41" i="2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AJ40" i="2"/>
  <c r="AK40" i="2" s="1"/>
  <c r="AL40" i="2" s="1"/>
  <c r="AM40" i="2" s="1"/>
  <c r="KA42" i="2" l="1"/>
  <c r="KB41" i="2"/>
  <c r="KC41" i="2" s="1"/>
  <c r="KD41" i="2" s="1"/>
  <c r="KE41" i="2" s="1"/>
  <c r="NG42" i="2"/>
  <c r="NH41" i="2"/>
  <c r="NI41" i="2" s="1"/>
  <c r="NJ41" i="2" s="1"/>
  <c r="NK41" i="2" s="1"/>
  <c r="IL41" i="2"/>
  <c r="IM41" i="2" s="1"/>
  <c r="IN41" i="2" s="1"/>
  <c r="IO41" i="2" s="1"/>
  <c r="IK42" i="2"/>
  <c r="JG41" i="2"/>
  <c r="JH41" i="2" s="1"/>
  <c r="JI41" i="2" s="1"/>
  <c r="JJ41" i="2" s="1"/>
  <c r="JF42" i="2"/>
  <c r="OW42" i="2"/>
  <c r="OX41" i="2"/>
  <c r="OY41" i="2" s="1"/>
  <c r="OZ41" i="2" s="1"/>
  <c r="PA41" i="2" s="1"/>
  <c r="OC41" i="2"/>
  <c r="OD41" i="2" s="1"/>
  <c r="OE41" i="2" s="1"/>
  <c r="OF41" i="2" s="1"/>
  <c r="OB42" i="2"/>
  <c r="KW41" i="2"/>
  <c r="KX41" i="2" s="1"/>
  <c r="KY41" i="2" s="1"/>
  <c r="KZ41" i="2" s="1"/>
  <c r="KV42" i="2"/>
  <c r="LQ42" i="2"/>
  <c r="LR41" i="2"/>
  <c r="LS41" i="2" s="1"/>
  <c r="LT41" i="2" s="1"/>
  <c r="LU41" i="2" s="1"/>
  <c r="ML42" i="2"/>
  <c r="MM41" i="2"/>
  <c r="MN41" i="2" s="1"/>
  <c r="MO41" i="2" s="1"/>
  <c r="MP41" i="2" s="1"/>
  <c r="HP42" i="2"/>
  <c r="HQ41" i="2"/>
  <c r="HR41" i="2" s="1"/>
  <c r="HS41" i="2" s="1"/>
  <c r="HT41" i="2" s="1"/>
  <c r="GU42" i="2"/>
  <c r="GV41" i="2"/>
  <c r="GW41" i="2" s="1"/>
  <c r="GX41" i="2" s="1"/>
  <c r="GY41" i="2" s="1"/>
  <c r="FE42" i="2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AJ41" i="2"/>
  <c r="AK41" i="2" s="1"/>
  <c r="AL41" i="2" s="1"/>
  <c r="AM41" i="2" s="1"/>
  <c r="OC42" i="2" l="1"/>
  <c r="OD42" i="2" s="1"/>
  <c r="OE42" i="2" s="1"/>
  <c r="OF42" i="2" s="1"/>
  <c r="OB43" i="2"/>
  <c r="JF43" i="2"/>
  <c r="JG42" i="2"/>
  <c r="JH42" i="2" s="1"/>
  <c r="JI42" i="2" s="1"/>
  <c r="JJ42" i="2" s="1"/>
  <c r="HP43" i="2"/>
  <c r="HQ42" i="2"/>
  <c r="HR42" i="2" s="1"/>
  <c r="HS42" i="2" s="1"/>
  <c r="HT42" i="2" s="1"/>
  <c r="LQ43" i="2"/>
  <c r="LR42" i="2"/>
  <c r="LS42" i="2" s="1"/>
  <c r="LT42" i="2" s="1"/>
  <c r="LU42" i="2" s="1"/>
  <c r="NG43" i="2"/>
  <c r="NH42" i="2"/>
  <c r="NI42" i="2" s="1"/>
  <c r="NJ42" i="2" s="1"/>
  <c r="NK42" i="2" s="1"/>
  <c r="KW42" i="2"/>
  <c r="KX42" i="2" s="1"/>
  <c r="KY42" i="2" s="1"/>
  <c r="KZ42" i="2" s="1"/>
  <c r="KV43" i="2"/>
  <c r="IL42" i="2"/>
  <c r="IM42" i="2" s="1"/>
  <c r="IN42" i="2" s="1"/>
  <c r="IO42" i="2" s="1"/>
  <c r="IK43" i="2"/>
  <c r="ML43" i="2"/>
  <c r="MM42" i="2"/>
  <c r="MN42" i="2" s="1"/>
  <c r="MO42" i="2" s="1"/>
  <c r="MP42" i="2" s="1"/>
  <c r="OW43" i="2"/>
  <c r="OX42" i="2"/>
  <c r="OY42" i="2" s="1"/>
  <c r="OZ42" i="2" s="1"/>
  <c r="PA42" i="2" s="1"/>
  <c r="KB42" i="2"/>
  <c r="KC42" i="2" s="1"/>
  <c r="KD42" i="2" s="1"/>
  <c r="KE42" i="2" s="1"/>
  <c r="KA43" i="2"/>
  <c r="GU43" i="2"/>
  <c r="GV42" i="2"/>
  <c r="GW42" i="2" s="1"/>
  <c r="GX42" i="2" s="1"/>
  <c r="GY42" i="2" s="1"/>
  <c r="FE43" i="2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AJ42" i="2"/>
  <c r="AK42" i="2" s="1"/>
  <c r="AL42" i="2" s="1"/>
  <c r="AM42" i="2" s="1"/>
  <c r="KW43" i="2" l="1"/>
  <c r="KX43" i="2" s="1"/>
  <c r="KY43" i="2" s="1"/>
  <c r="KZ43" i="2" s="1"/>
  <c r="KV44" i="2"/>
  <c r="KB43" i="2"/>
  <c r="KC43" i="2" s="1"/>
  <c r="KD43" i="2" s="1"/>
  <c r="KE43" i="2" s="1"/>
  <c r="KA44" i="2"/>
  <c r="ML44" i="2"/>
  <c r="MM43" i="2"/>
  <c r="MN43" i="2" s="1"/>
  <c r="MO43" i="2" s="1"/>
  <c r="MP43" i="2" s="1"/>
  <c r="LQ44" i="2"/>
  <c r="LR43" i="2"/>
  <c r="LS43" i="2" s="1"/>
  <c r="LT43" i="2" s="1"/>
  <c r="LU43" i="2" s="1"/>
  <c r="JG43" i="2"/>
  <c r="JH43" i="2" s="1"/>
  <c r="JI43" i="2" s="1"/>
  <c r="JJ43" i="2" s="1"/>
  <c r="JF44" i="2"/>
  <c r="IL43" i="2"/>
  <c r="IM43" i="2" s="1"/>
  <c r="IN43" i="2" s="1"/>
  <c r="IO43" i="2" s="1"/>
  <c r="IK44" i="2"/>
  <c r="OC43" i="2"/>
  <c r="OD43" i="2" s="1"/>
  <c r="OE43" i="2" s="1"/>
  <c r="OF43" i="2" s="1"/>
  <c r="OB44" i="2"/>
  <c r="OW44" i="2"/>
  <c r="OX43" i="2"/>
  <c r="OY43" i="2" s="1"/>
  <c r="OZ43" i="2" s="1"/>
  <c r="PA43" i="2" s="1"/>
  <c r="NG44" i="2"/>
  <c r="NH43" i="2"/>
  <c r="NI43" i="2" s="1"/>
  <c r="NJ43" i="2" s="1"/>
  <c r="NK43" i="2" s="1"/>
  <c r="HP44" i="2"/>
  <c r="HQ43" i="2"/>
  <c r="HR43" i="2" s="1"/>
  <c r="HS43" i="2" s="1"/>
  <c r="HT43" i="2" s="1"/>
  <c r="GU44" i="2"/>
  <c r="GV43" i="2"/>
  <c r="GW43" i="2" s="1"/>
  <c r="GX43" i="2" s="1"/>
  <c r="GY43" i="2" s="1"/>
  <c r="FE44" i="2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AJ43" i="2"/>
  <c r="AK43" i="2" s="1"/>
  <c r="AL43" i="2" s="1"/>
  <c r="AM43" i="2" s="1"/>
  <c r="IL44" i="2" l="1"/>
  <c r="IM44" i="2" s="1"/>
  <c r="IN44" i="2" s="1"/>
  <c r="IO44" i="2" s="1"/>
  <c r="IK45" i="2"/>
  <c r="KA45" i="2"/>
  <c r="KB44" i="2"/>
  <c r="KC44" i="2" s="1"/>
  <c r="KD44" i="2" s="1"/>
  <c r="KE44" i="2" s="1"/>
  <c r="HP45" i="2"/>
  <c r="HQ44" i="2"/>
  <c r="HR44" i="2" s="1"/>
  <c r="HS44" i="2" s="1"/>
  <c r="HT44" i="2" s="1"/>
  <c r="OW45" i="2"/>
  <c r="OX44" i="2"/>
  <c r="OY44" i="2" s="1"/>
  <c r="OZ44" i="2" s="1"/>
  <c r="PA44" i="2" s="1"/>
  <c r="LQ45" i="2"/>
  <c r="LR44" i="2"/>
  <c r="LS44" i="2" s="1"/>
  <c r="LT44" i="2" s="1"/>
  <c r="LU44" i="2" s="1"/>
  <c r="OC44" i="2"/>
  <c r="OD44" i="2" s="1"/>
  <c r="OE44" i="2" s="1"/>
  <c r="OF44" i="2" s="1"/>
  <c r="OB45" i="2"/>
  <c r="JF45" i="2"/>
  <c r="JG44" i="2"/>
  <c r="JH44" i="2" s="1"/>
  <c r="JI44" i="2" s="1"/>
  <c r="JJ44" i="2" s="1"/>
  <c r="KV45" i="2"/>
  <c r="KW44" i="2"/>
  <c r="KX44" i="2" s="1"/>
  <c r="KY44" i="2" s="1"/>
  <c r="KZ44" i="2" s="1"/>
  <c r="NH44" i="2"/>
  <c r="NI44" i="2" s="1"/>
  <c r="NJ44" i="2" s="1"/>
  <c r="NK44" i="2" s="1"/>
  <c r="NG45" i="2"/>
  <c r="ML45" i="2"/>
  <c r="MM44" i="2"/>
  <c r="MN44" i="2" s="1"/>
  <c r="MO44" i="2" s="1"/>
  <c r="MP44" i="2" s="1"/>
  <c r="GU45" i="2"/>
  <c r="GV44" i="2"/>
  <c r="GW44" i="2" s="1"/>
  <c r="GX44" i="2" s="1"/>
  <c r="GY44" i="2" s="1"/>
  <c r="FE45" i="2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AJ44" i="2"/>
  <c r="AK44" i="2" s="1"/>
  <c r="AL44" i="2" s="1"/>
  <c r="AM44" i="2" s="1"/>
  <c r="OB46" i="2" l="1"/>
  <c r="OC45" i="2"/>
  <c r="OD45" i="2" s="1"/>
  <c r="OE45" i="2" s="1"/>
  <c r="OF45" i="2" s="1"/>
  <c r="ML46" i="2"/>
  <c r="MM45" i="2"/>
  <c r="MN45" i="2" s="1"/>
  <c r="MO45" i="2" s="1"/>
  <c r="MP45" i="2" s="1"/>
  <c r="KV46" i="2"/>
  <c r="KW45" i="2"/>
  <c r="KX45" i="2" s="1"/>
  <c r="KY45" i="2" s="1"/>
  <c r="KZ45" i="2" s="1"/>
  <c r="OW46" i="2"/>
  <c r="OX45" i="2"/>
  <c r="OY45" i="2" s="1"/>
  <c r="OZ45" i="2" s="1"/>
  <c r="PA45" i="2" s="1"/>
  <c r="KA46" i="2"/>
  <c r="KB45" i="2"/>
  <c r="KC45" i="2" s="1"/>
  <c r="KD45" i="2" s="1"/>
  <c r="KE45" i="2" s="1"/>
  <c r="NH45" i="2"/>
  <c r="NI45" i="2" s="1"/>
  <c r="NJ45" i="2" s="1"/>
  <c r="NK45" i="2" s="1"/>
  <c r="NG46" i="2"/>
  <c r="IL45" i="2"/>
  <c r="IM45" i="2" s="1"/>
  <c r="IN45" i="2" s="1"/>
  <c r="IO45" i="2" s="1"/>
  <c r="IK46" i="2"/>
  <c r="JG45" i="2"/>
  <c r="JH45" i="2" s="1"/>
  <c r="JI45" i="2" s="1"/>
  <c r="JJ45" i="2" s="1"/>
  <c r="JF46" i="2"/>
  <c r="LR45" i="2"/>
  <c r="LS45" i="2" s="1"/>
  <c r="LT45" i="2" s="1"/>
  <c r="LU45" i="2" s="1"/>
  <c r="LQ46" i="2"/>
  <c r="HP46" i="2"/>
  <c r="HQ45" i="2"/>
  <c r="HR45" i="2" s="1"/>
  <c r="HS45" i="2" s="1"/>
  <c r="HT45" i="2" s="1"/>
  <c r="GU46" i="2"/>
  <c r="GV45" i="2"/>
  <c r="GW45" i="2" s="1"/>
  <c r="GX45" i="2" s="1"/>
  <c r="GY45" i="2" s="1"/>
  <c r="FE46" i="2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AJ45" i="2"/>
  <c r="AK45" i="2" s="1"/>
  <c r="AL45" i="2" s="1"/>
  <c r="AM45" i="2" s="1"/>
  <c r="JG46" i="2" l="1"/>
  <c r="JH46" i="2" s="1"/>
  <c r="JI46" i="2" s="1"/>
  <c r="JJ46" i="2" s="1"/>
  <c r="JF47" i="2"/>
  <c r="NG47" i="2"/>
  <c r="NH46" i="2"/>
  <c r="NI46" i="2" s="1"/>
  <c r="NJ46" i="2" s="1"/>
  <c r="NK46" i="2" s="1"/>
  <c r="HP47" i="2"/>
  <c r="HQ46" i="2"/>
  <c r="HR46" i="2" s="1"/>
  <c r="HS46" i="2" s="1"/>
  <c r="HT46" i="2" s="1"/>
  <c r="OW47" i="2"/>
  <c r="OX46" i="2"/>
  <c r="OY46" i="2" s="1"/>
  <c r="OZ46" i="2" s="1"/>
  <c r="PA46" i="2" s="1"/>
  <c r="ML47" i="2"/>
  <c r="MM46" i="2"/>
  <c r="MN46" i="2" s="1"/>
  <c r="MO46" i="2" s="1"/>
  <c r="MP46" i="2" s="1"/>
  <c r="LQ47" i="2"/>
  <c r="LR46" i="2"/>
  <c r="LS46" i="2" s="1"/>
  <c r="LT46" i="2" s="1"/>
  <c r="LU46" i="2" s="1"/>
  <c r="IL46" i="2"/>
  <c r="IM46" i="2" s="1"/>
  <c r="IN46" i="2" s="1"/>
  <c r="IO46" i="2" s="1"/>
  <c r="IK47" i="2"/>
  <c r="KB46" i="2"/>
  <c r="KC46" i="2" s="1"/>
  <c r="KD46" i="2" s="1"/>
  <c r="KE46" i="2" s="1"/>
  <c r="KA47" i="2"/>
  <c r="KV47" i="2"/>
  <c r="KW46" i="2"/>
  <c r="KX46" i="2" s="1"/>
  <c r="KY46" i="2" s="1"/>
  <c r="KZ46" i="2" s="1"/>
  <c r="OC46" i="2"/>
  <c r="OD46" i="2" s="1"/>
  <c r="OE46" i="2" s="1"/>
  <c r="OF46" i="2" s="1"/>
  <c r="OB47" i="2"/>
  <c r="GU47" i="2"/>
  <c r="GV46" i="2"/>
  <c r="GW46" i="2" s="1"/>
  <c r="GX46" i="2" s="1"/>
  <c r="GY46" i="2" s="1"/>
  <c r="FE47" i="2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AJ46" i="2"/>
  <c r="AK46" i="2" s="1"/>
  <c r="AL46" i="2" s="1"/>
  <c r="AM46" i="2" s="1"/>
  <c r="OC47" i="2" l="1"/>
  <c r="OD47" i="2" s="1"/>
  <c r="OE47" i="2" s="1"/>
  <c r="OF47" i="2" s="1"/>
  <c r="OB48" i="2"/>
  <c r="KB47" i="2"/>
  <c r="KC47" i="2" s="1"/>
  <c r="KD47" i="2" s="1"/>
  <c r="KE47" i="2" s="1"/>
  <c r="KA48" i="2"/>
  <c r="LQ48" i="2"/>
  <c r="LR47" i="2"/>
  <c r="LS47" i="2" s="1"/>
  <c r="LT47" i="2" s="1"/>
  <c r="LU47" i="2" s="1"/>
  <c r="OW48" i="2"/>
  <c r="OX47" i="2"/>
  <c r="OY47" i="2" s="1"/>
  <c r="OZ47" i="2" s="1"/>
  <c r="PA47" i="2" s="1"/>
  <c r="NH47" i="2"/>
  <c r="NI47" i="2" s="1"/>
  <c r="NJ47" i="2" s="1"/>
  <c r="NK47" i="2" s="1"/>
  <c r="NG48" i="2"/>
  <c r="IL47" i="2"/>
  <c r="IM47" i="2" s="1"/>
  <c r="IN47" i="2" s="1"/>
  <c r="IO47" i="2" s="1"/>
  <c r="IK48" i="2"/>
  <c r="JG47" i="2"/>
  <c r="JH47" i="2" s="1"/>
  <c r="JI47" i="2" s="1"/>
  <c r="JJ47" i="2" s="1"/>
  <c r="JF48" i="2"/>
  <c r="KV48" i="2"/>
  <c r="KW47" i="2"/>
  <c r="KX47" i="2" s="1"/>
  <c r="KY47" i="2" s="1"/>
  <c r="KZ47" i="2" s="1"/>
  <c r="ML48" i="2"/>
  <c r="MM47" i="2"/>
  <c r="MN47" i="2" s="1"/>
  <c r="MO47" i="2" s="1"/>
  <c r="MP47" i="2" s="1"/>
  <c r="HP48" i="2"/>
  <c r="HQ47" i="2"/>
  <c r="HR47" i="2" s="1"/>
  <c r="HS47" i="2" s="1"/>
  <c r="HT47" i="2" s="1"/>
  <c r="GU48" i="2"/>
  <c r="GV47" i="2"/>
  <c r="GW47" i="2" s="1"/>
  <c r="GX47" i="2" s="1"/>
  <c r="GY47" i="2" s="1"/>
  <c r="FE48" i="2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AJ47" i="2"/>
  <c r="AK47" i="2" s="1"/>
  <c r="AL47" i="2" s="1"/>
  <c r="AM47" i="2" s="1"/>
  <c r="IL48" i="2" l="1"/>
  <c r="IM48" i="2" s="1"/>
  <c r="IN48" i="2" s="1"/>
  <c r="IO48" i="2" s="1"/>
  <c r="IK49" i="2"/>
  <c r="KB48" i="2"/>
  <c r="KC48" i="2" s="1"/>
  <c r="KD48" i="2" s="1"/>
  <c r="KE48" i="2" s="1"/>
  <c r="KA49" i="2"/>
  <c r="HP49" i="2"/>
  <c r="HQ48" i="2"/>
  <c r="HR48" i="2" s="1"/>
  <c r="HS48" i="2" s="1"/>
  <c r="HT48" i="2" s="1"/>
  <c r="KW48" i="2"/>
  <c r="KX48" i="2" s="1"/>
  <c r="KY48" i="2" s="1"/>
  <c r="KZ48" i="2" s="1"/>
  <c r="KV49" i="2"/>
  <c r="OW49" i="2"/>
  <c r="OX48" i="2"/>
  <c r="OY48" i="2" s="1"/>
  <c r="OZ48" i="2" s="1"/>
  <c r="PA48" i="2" s="1"/>
  <c r="JF49" i="2"/>
  <c r="JG48" i="2"/>
  <c r="JH48" i="2" s="1"/>
  <c r="JI48" i="2" s="1"/>
  <c r="JJ48" i="2" s="1"/>
  <c r="NG49" i="2"/>
  <c r="NH48" i="2"/>
  <c r="NI48" i="2" s="1"/>
  <c r="NJ48" i="2" s="1"/>
  <c r="NK48" i="2" s="1"/>
  <c r="OC48" i="2"/>
  <c r="OD48" i="2" s="1"/>
  <c r="OE48" i="2" s="1"/>
  <c r="OF48" i="2" s="1"/>
  <c r="OB49" i="2"/>
  <c r="ML49" i="2"/>
  <c r="MM48" i="2"/>
  <c r="MN48" i="2" s="1"/>
  <c r="MO48" i="2" s="1"/>
  <c r="MP48" i="2" s="1"/>
  <c r="LQ49" i="2"/>
  <c r="LR48" i="2"/>
  <c r="LS48" i="2" s="1"/>
  <c r="LT48" i="2" s="1"/>
  <c r="LU48" i="2" s="1"/>
  <c r="GU49" i="2"/>
  <c r="GV48" i="2"/>
  <c r="GW48" i="2" s="1"/>
  <c r="GX48" i="2" s="1"/>
  <c r="GY48" i="2" s="1"/>
  <c r="FE49" i="2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AJ48" i="2"/>
  <c r="AK48" i="2" s="1"/>
  <c r="AL48" i="2" s="1"/>
  <c r="AM48" i="2" s="1"/>
  <c r="OC49" i="2" l="1"/>
  <c r="OD49" i="2" s="1"/>
  <c r="OE49" i="2" s="1"/>
  <c r="OF49" i="2" s="1"/>
  <c r="OB50" i="2"/>
  <c r="KV50" i="2"/>
  <c r="KW49" i="2"/>
  <c r="KX49" i="2" s="1"/>
  <c r="KY49" i="2" s="1"/>
  <c r="KZ49" i="2" s="1"/>
  <c r="KB49" i="2"/>
  <c r="KC49" i="2" s="1"/>
  <c r="KD49" i="2" s="1"/>
  <c r="KE49" i="2" s="1"/>
  <c r="KA50" i="2"/>
  <c r="LQ50" i="2"/>
  <c r="LR49" i="2"/>
  <c r="LS49" i="2" s="1"/>
  <c r="LT49" i="2" s="1"/>
  <c r="LU49" i="2" s="1"/>
  <c r="JF50" i="2"/>
  <c r="JG49" i="2"/>
  <c r="JH49" i="2" s="1"/>
  <c r="JI49" i="2" s="1"/>
  <c r="JJ49" i="2" s="1"/>
  <c r="IL49" i="2"/>
  <c r="IM49" i="2" s="1"/>
  <c r="IN49" i="2" s="1"/>
  <c r="IO49" i="2" s="1"/>
  <c r="IK50" i="2"/>
  <c r="ML50" i="2"/>
  <c r="MM49" i="2"/>
  <c r="MN49" i="2" s="1"/>
  <c r="MO49" i="2" s="1"/>
  <c r="MP49" i="2" s="1"/>
  <c r="NH49" i="2"/>
  <c r="NI49" i="2" s="1"/>
  <c r="NJ49" i="2" s="1"/>
  <c r="NK49" i="2" s="1"/>
  <c r="NG50" i="2"/>
  <c r="OW50" i="2"/>
  <c r="OX49" i="2"/>
  <c r="OY49" i="2" s="1"/>
  <c r="OZ49" i="2" s="1"/>
  <c r="PA49" i="2" s="1"/>
  <c r="HP50" i="2"/>
  <c r="HQ49" i="2"/>
  <c r="HR49" i="2" s="1"/>
  <c r="HS49" i="2" s="1"/>
  <c r="HT49" i="2" s="1"/>
  <c r="GU50" i="2"/>
  <c r="GV49" i="2"/>
  <c r="GW49" i="2" s="1"/>
  <c r="GX49" i="2" s="1"/>
  <c r="GY49" i="2" s="1"/>
  <c r="FE50" i="2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AJ49" i="2"/>
  <c r="AK49" i="2" s="1"/>
  <c r="AL49" i="2" s="1"/>
  <c r="AM49" i="2" s="1"/>
  <c r="NH50" i="2" l="1"/>
  <c r="NI50" i="2" s="1"/>
  <c r="NJ50" i="2" s="1"/>
  <c r="NK50" i="2" s="1"/>
  <c r="NG51" i="2"/>
  <c r="IL50" i="2"/>
  <c r="IM50" i="2" s="1"/>
  <c r="IN50" i="2" s="1"/>
  <c r="IO50" i="2" s="1"/>
  <c r="IK51" i="2"/>
  <c r="HP51" i="2"/>
  <c r="HQ50" i="2"/>
  <c r="HR50" i="2" s="1"/>
  <c r="HS50" i="2" s="1"/>
  <c r="HT50" i="2" s="1"/>
  <c r="LQ51" i="2"/>
  <c r="LR50" i="2"/>
  <c r="LS50" i="2" s="1"/>
  <c r="LT50" i="2" s="1"/>
  <c r="LU50" i="2" s="1"/>
  <c r="KW50" i="2"/>
  <c r="KX50" i="2" s="1"/>
  <c r="KY50" i="2" s="1"/>
  <c r="KZ50" i="2" s="1"/>
  <c r="KV51" i="2"/>
  <c r="KA51" i="2"/>
  <c r="KB50" i="2"/>
  <c r="KC50" i="2" s="1"/>
  <c r="KD50" i="2" s="1"/>
  <c r="KE50" i="2" s="1"/>
  <c r="OC50" i="2"/>
  <c r="OD50" i="2" s="1"/>
  <c r="OE50" i="2" s="1"/>
  <c r="OF50" i="2" s="1"/>
  <c r="OB51" i="2"/>
  <c r="OW51" i="2"/>
  <c r="OX50" i="2"/>
  <c r="OY50" i="2" s="1"/>
  <c r="OZ50" i="2" s="1"/>
  <c r="PA50" i="2" s="1"/>
  <c r="ML51" i="2"/>
  <c r="MM50" i="2"/>
  <c r="MN50" i="2" s="1"/>
  <c r="MO50" i="2" s="1"/>
  <c r="MP50" i="2" s="1"/>
  <c r="JG50" i="2"/>
  <c r="JH50" i="2" s="1"/>
  <c r="JI50" i="2" s="1"/>
  <c r="JJ50" i="2" s="1"/>
  <c r="JF51" i="2"/>
  <c r="GU51" i="2"/>
  <c r="GV50" i="2"/>
  <c r="GW50" i="2" s="1"/>
  <c r="GX50" i="2" s="1"/>
  <c r="GY50" i="2" s="1"/>
  <c r="FE51" i="2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AJ50" i="2"/>
  <c r="AK50" i="2" s="1"/>
  <c r="AL50" i="2" s="1"/>
  <c r="AM50" i="2" s="1"/>
  <c r="JG51" i="2" l="1"/>
  <c r="JH51" i="2" s="1"/>
  <c r="JI51" i="2" s="1"/>
  <c r="JJ51" i="2" s="1"/>
  <c r="JF52" i="2"/>
  <c r="IL51" i="2"/>
  <c r="IM51" i="2" s="1"/>
  <c r="IN51" i="2" s="1"/>
  <c r="IO51" i="2" s="1"/>
  <c r="IK52" i="2"/>
  <c r="OW52" i="2"/>
  <c r="OX51" i="2"/>
  <c r="OY51" i="2" s="1"/>
  <c r="OZ51" i="2" s="1"/>
  <c r="PA51" i="2" s="1"/>
  <c r="KA52" i="2"/>
  <c r="KB51" i="2"/>
  <c r="KC51" i="2" s="1"/>
  <c r="KD51" i="2" s="1"/>
  <c r="KE51" i="2" s="1"/>
  <c r="LQ52" i="2"/>
  <c r="LR51" i="2"/>
  <c r="LS51" i="2" s="1"/>
  <c r="LT51" i="2" s="1"/>
  <c r="LU51" i="2" s="1"/>
  <c r="OC51" i="2"/>
  <c r="OD51" i="2" s="1"/>
  <c r="OE51" i="2" s="1"/>
  <c r="OF51" i="2" s="1"/>
  <c r="OB52" i="2"/>
  <c r="KV52" i="2"/>
  <c r="KW51" i="2"/>
  <c r="KX51" i="2" s="1"/>
  <c r="KY51" i="2" s="1"/>
  <c r="KZ51" i="2" s="1"/>
  <c r="NH51" i="2"/>
  <c r="NI51" i="2" s="1"/>
  <c r="NJ51" i="2" s="1"/>
  <c r="NK51" i="2" s="1"/>
  <c r="NG52" i="2"/>
  <c r="ML52" i="2"/>
  <c r="MM51" i="2"/>
  <c r="MN51" i="2" s="1"/>
  <c r="MO51" i="2" s="1"/>
  <c r="MP51" i="2" s="1"/>
  <c r="HP52" i="2"/>
  <c r="HQ51" i="2"/>
  <c r="HR51" i="2" s="1"/>
  <c r="HS51" i="2" s="1"/>
  <c r="HT51" i="2" s="1"/>
  <c r="GU52" i="2"/>
  <c r="GV51" i="2"/>
  <c r="GW51" i="2" s="1"/>
  <c r="GX51" i="2" s="1"/>
  <c r="GY51" i="2" s="1"/>
  <c r="FE52" i="2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AJ51" i="2"/>
  <c r="AK51" i="2" s="1"/>
  <c r="AL51" i="2" s="1"/>
  <c r="AM51" i="2" s="1"/>
  <c r="NG53" i="2" l="1"/>
  <c r="NH52" i="2"/>
  <c r="NI52" i="2" s="1"/>
  <c r="NJ52" i="2" s="1"/>
  <c r="NK52" i="2" s="1"/>
  <c r="OC52" i="2"/>
  <c r="OD52" i="2" s="1"/>
  <c r="OE52" i="2" s="1"/>
  <c r="OF52" i="2" s="1"/>
  <c r="OB53" i="2"/>
  <c r="IL52" i="2"/>
  <c r="IM52" i="2" s="1"/>
  <c r="IN52" i="2" s="1"/>
  <c r="IO52" i="2" s="1"/>
  <c r="IK53" i="2"/>
  <c r="HP53" i="2"/>
  <c r="HQ52" i="2"/>
  <c r="HR52" i="2" s="1"/>
  <c r="HS52" i="2" s="1"/>
  <c r="HT52" i="2" s="1"/>
  <c r="KB52" i="2"/>
  <c r="KC52" i="2" s="1"/>
  <c r="KD52" i="2" s="1"/>
  <c r="KE52" i="2" s="1"/>
  <c r="KA53" i="2"/>
  <c r="JF53" i="2"/>
  <c r="JG52" i="2"/>
  <c r="JH52" i="2" s="1"/>
  <c r="JI52" i="2" s="1"/>
  <c r="JJ52" i="2" s="1"/>
  <c r="ML53" i="2"/>
  <c r="MM52" i="2"/>
  <c r="MN52" i="2" s="1"/>
  <c r="MO52" i="2" s="1"/>
  <c r="MP52" i="2" s="1"/>
  <c r="KV53" i="2"/>
  <c r="KW52" i="2"/>
  <c r="KX52" i="2" s="1"/>
  <c r="KY52" i="2" s="1"/>
  <c r="KZ52" i="2" s="1"/>
  <c r="LQ53" i="2"/>
  <c r="LR52" i="2"/>
  <c r="LS52" i="2" s="1"/>
  <c r="LT52" i="2" s="1"/>
  <c r="LU52" i="2" s="1"/>
  <c r="OW53" i="2"/>
  <c r="OX52" i="2"/>
  <c r="OY52" i="2" s="1"/>
  <c r="OZ52" i="2" s="1"/>
  <c r="PA52" i="2" s="1"/>
  <c r="GU53" i="2"/>
  <c r="GV52" i="2"/>
  <c r="GW52" i="2" s="1"/>
  <c r="GX52" i="2" s="1"/>
  <c r="GY52" i="2" s="1"/>
  <c r="FE53" i="2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AJ52" i="2"/>
  <c r="AK52" i="2" s="1"/>
  <c r="AL52" i="2" s="1"/>
  <c r="AM52" i="2" s="1"/>
  <c r="OB54" i="2" l="1"/>
  <c r="OC53" i="2"/>
  <c r="OD53" i="2" s="1"/>
  <c r="OE53" i="2" s="1"/>
  <c r="OF53" i="2" s="1"/>
  <c r="OW54" i="2"/>
  <c r="OX53" i="2"/>
  <c r="OY53" i="2" s="1"/>
  <c r="OZ53" i="2" s="1"/>
  <c r="PA53" i="2" s="1"/>
  <c r="KW53" i="2"/>
  <c r="KX53" i="2" s="1"/>
  <c r="KY53" i="2" s="1"/>
  <c r="KZ53" i="2" s="1"/>
  <c r="KV54" i="2"/>
  <c r="JF54" i="2"/>
  <c r="JG53" i="2"/>
  <c r="JH53" i="2" s="1"/>
  <c r="JI53" i="2" s="1"/>
  <c r="JJ53" i="2" s="1"/>
  <c r="HP54" i="2"/>
  <c r="HQ53" i="2"/>
  <c r="HR53" i="2" s="1"/>
  <c r="HS53" i="2" s="1"/>
  <c r="HT53" i="2" s="1"/>
  <c r="KB53" i="2"/>
  <c r="KC53" i="2" s="1"/>
  <c r="KD53" i="2" s="1"/>
  <c r="KE53" i="2" s="1"/>
  <c r="KA54" i="2"/>
  <c r="IL53" i="2"/>
  <c r="IM53" i="2" s="1"/>
  <c r="IN53" i="2" s="1"/>
  <c r="IO53" i="2" s="1"/>
  <c r="IK54" i="2"/>
  <c r="LQ54" i="2"/>
  <c r="LR53" i="2"/>
  <c r="LS53" i="2" s="1"/>
  <c r="LT53" i="2" s="1"/>
  <c r="LU53" i="2" s="1"/>
  <c r="ML54" i="2"/>
  <c r="MM53" i="2"/>
  <c r="MN53" i="2" s="1"/>
  <c r="MO53" i="2" s="1"/>
  <c r="MP53" i="2" s="1"/>
  <c r="NG54" i="2"/>
  <c r="NH53" i="2"/>
  <c r="NI53" i="2" s="1"/>
  <c r="NJ53" i="2" s="1"/>
  <c r="NK53" i="2" s="1"/>
  <c r="GU54" i="2"/>
  <c r="GV53" i="2"/>
  <c r="GW53" i="2" s="1"/>
  <c r="GX53" i="2" s="1"/>
  <c r="GY53" i="2" s="1"/>
  <c r="FE54" i="2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AJ53" i="2"/>
  <c r="AK53" i="2" s="1"/>
  <c r="AL53" i="2" s="1"/>
  <c r="AM53" i="2" s="1"/>
  <c r="KA55" i="2" l="1"/>
  <c r="KB54" i="2"/>
  <c r="KC54" i="2" s="1"/>
  <c r="KD54" i="2" s="1"/>
  <c r="KE54" i="2" s="1"/>
  <c r="NG55" i="2"/>
  <c r="NH54" i="2"/>
  <c r="NI54" i="2" s="1"/>
  <c r="NJ54" i="2" s="1"/>
  <c r="NK54" i="2" s="1"/>
  <c r="LR54" i="2"/>
  <c r="LS54" i="2" s="1"/>
  <c r="LT54" i="2" s="1"/>
  <c r="LU54" i="2" s="1"/>
  <c r="LQ55" i="2"/>
  <c r="JF55" i="2"/>
  <c r="JG54" i="2"/>
  <c r="JH54" i="2" s="1"/>
  <c r="JI54" i="2" s="1"/>
  <c r="JJ54" i="2" s="1"/>
  <c r="OW55" i="2"/>
  <c r="OX54" i="2"/>
  <c r="OY54" i="2" s="1"/>
  <c r="OZ54" i="2" s="1"/>
  <c r="PA54" i="2" s="1"/>
  <c r="IL54" i="2"/>
  <c r="IM54" i="2" s="1"/>
  <c r="IN54" i="2" s="1"/>
  <c r="IO54" i="2" s="1"/>
  <c r="IK55" i="2"/>
  <c r="KW54" i="2"/>
  <c r="KX54" i="2" s="1"/>
  <c r="KY54" i="2" s="1"/>
  <c r="KZ54" i="2" s="1"/>
  <c r="KV55" i="2"/>
  <c r="ML55" i="2"/>
  <c r="MM54" i="2"/>
  <c r="MN54" i="2" s="1"/>
  <c r="MO54" i="2" s="1"/>
  <c r="MP54" i="2" s="1"/>
  <c r="HP55" i="2"/>
  <c r="HQ54" i="2"/>
  <c r="HR54" i="2" s="1"/>
  <c r="HS54" i="2" s="1"/>
  <c r="HT54" i="2" s="1"/>
  <c r="OB55" i="2"/>
  <c r="OC54" i="2"/>
  <c r="OD54" i="2" s="1"/>
  <c r="OE54" i="2" s="1"/>
  <c r="OF54" i="2" s="1"/>
  <c r="GU55" i="2"/>
  <c r="GV54" i="2"/>
  <c r="GW54" i="2" s="1"/>
  <c r="GX54" i="2" s="1"/>
  <c r="GY54" i="2" s="1"/>
  <c r="FE55" i="2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AJ54" i="2"/>
  <c r="AK54" i="2" s="1"/>
  <c r="AL54" i="2" s="1"/>
  <c r="AM54" i="2" s="1"/>
  <c r="IL55" i="2" l="1"/>
  <c r="IM55" i="2" s="1"/>
  <c r="IN55" i="2" s="1"/>
  <c r="IO55" i="2" s="1"/>
  <c r="IK56" i="2"/>
  <c r="OC55" i="2"/>
  <c r="OD55" i="2" s="1"/>
  <c r="OE55" i="2" s="1"/>
  <c r="OF55" i="2" s="1"/>
  <c r="OB56" i="2"/>
  <c r="ML56" i="2"/>
  <c r="MM55" i="2"/>
  <c r="MN55" i="2" s="1"/>
  <c r="MO55" i="2" s="1"/>
  <c r="MP55" i="2" s="1"/>
  <c r="JG55" i="2"/>
  <c r="JH55" i="2" s="1"/>
  <c r="JI55" i="2" s="1"/>
  <c r="JJ55" i="2" s="1"/>
  <c r="JF56" i="2"/>
  <c r="NH55" i="2"/>
  <c r="NI55" i="2" s="1"/>
  <c r="NJ55" i="2" s="1"/>
  <c r="NK55" i="2" s="1"/>
  <c r="NG56" i="2"/>
  <c r="KV56" i="2"/>
  <c r="KW55" i="2"/>
  <c r="KX55" i="2" s="1"/>
  <c r="KY55" i="2" s="1"/>
  <c r="KZ55" i="2" s="1"/>
  <c r="LQ56" i="2"/>
  <c r="LR55" i="2"/>
  <c r="LS55" i="2" s="1"/>
  <c r="LT55" i="2" s="1"/>
  <c r="LU55" i="2" s="1"/>
  <c r="HP56" i="2"/>
  <c r="HQ55" i="2"/>
  <c r="HR55" i="2" s="1"/>
  <c r="HS55" i="2" s="1"/>
  <c r="HT55" i="2" s="1"/>
  <c r="OW56" i="2"/>
  <c r="OX55" i="2"/>
  <c r="OY55" i="2" s="1"/>
  <c r="OZ55" i="2" s="1"/>
  <c r="PA55" i="2" s="1"/>
  <c r="KA56" i="2"/>
  <c r="KB55" i="2"/>
  <c r="KC55" i="2" s="1"/>
  <c r="KD55" i="2" s="1"/>
  <c r="KE55" i="2" s="1"/>
  <c r="GU56" i="2"/>
  <c r="GV55" i="2"/>
  <c r="GW55" i="2" s="1"/>
  <c r="GX55" i="2" s="1"/>
  <c r="GY55" i="2" s="1"/>
  <c r="FE56" i="2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AJ55" i="2"/>
  <c r="AK55" i="2" s="1"/>
  <c r="AL55" i="2" s="1"/>
  <c r="AM55" i="2" s="1"/>
  <c r="JG56" i="2" l="1"/>
  <c r="JH56" i="2" s="1"/>
  <c r="JI56" i="2" s="1"/>
  <c r="JJ56" i="2" s="1"/>
  <c r="JF57" i="2"/>
  <c r="OC56" i="2"/>
  <c r="OD56" i="2" s="1"/>
  <c r="OE56" i="2" s="1"/>
  <c r="OF56" i="2" s="1"/>
  <c r="OB57" i="2"/>
  <c r="KA57" i="2"/>
  <c r="KB56" i="2"/>
  <c r="KC56" i="2" s="1"/>
  <c r="KD56" i="2" s="1"/>
  <c r="KE56" i="2" s="1"/>
  <c r="HP57" i="2"/>
  <c r="HQ56" i="2"/>
  <c r="HR56" i="2" s="1"/>
  <c r="HS56" i="2" s="1"/>
  <c r="HT56" i="2" s="1"/>
  <c r="KW56" i="2"/>
  <c r="KX56" i="2" s="1"/>
  <c r="KY56" i="2" s="1"/>
  <c r="KZ56" i="2" s="1"/>
  <c r="KV57" i="2"/>
  <c r="NH56" i="2"/>
  <c r="NI56" i="2" s="1"/>
  <c r="NJ56" i="2" s="1"/>
  <c r="NK56" i="2" s="1"/>
  <c r="NG57" i="2"/>
  <c r="IL56" i="2"/>
  <c r="IM56" i="2" s="1"/>
  <c r="IN56" i="2" s="1"/>
  <c r="IO56" i="2" s="1"/>
  <c r="IK57" i="2"/>
  <c r="OW57" i="2"/>
  <c r="OX56" i="2"/>
  <c r="OY56" i="2" s="1"/>
  <c r="OZ56" i="2" s="1"/>
  <c r="PA56" i="2" s="1"/>
  <c r="LQ57" i="2"/>
  <c r="LR56" i="2"/>
  <c r="LS56" i="2" s="1"/>
  <c r="LT56" i="2" s="1"/>
  <c r="LU56" i="2" s="1"/>
  <c r="ML57" i="2"/>
  <c r="MM56" i="2"/>
  <c r="MN56" i="2" s="1"/>
  <c r="MO56" i="2" s="1"/>
  <c r="MP56" i="2" s="1"/>
  <c r="GU57" i="2"/>
  <c r="GV56" i="2"/>
  <c r="GW56" i="2" s="1"/>
  <c r="GX56" i="2" s="1"/>
  <c r="GY56" i="2" s="1"/>
  <c r="FE57" i="2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AJ56" i="2"/>
  <c r="AK56" i="2" s="1"/>
  <c r="AL56" i="2" s="1"/>
  <c r="AM56" i="2" s="1"/>
  <c r="E25" i="4"/>
  <c r="F25" i="4" s="1"/>
  <c r="G25" i="4" s="1"/>
  <c r="L25" i="4" s="1"/>
  <c r="NH57" i="2" l="1"/>
  <c r="NI57" i="2" s="1"/>
  <c r="NJ57" i="2" s="1"/>
  <c r="NK57" i="2" s="1"/>
  <c r="NG58" i="2"/>
  <c r="OC57" i="2"/>
  <c r="OD57" i="2" s="1"/>
  <c r="OE57" i="2" s="1"/>
  <c r="OF57" i="2" s="1"/>
  <c r="OB58" i="2"/>
  <c r="ML58" i="2"/>
  <c r="MM57" i="2"/>
  <c r="MN57" i="2" s="1"/>
  <c r="MO57" i="2" s="1"/>
  <c r="MP57" i="2" s="1"/>
  <c r="OW58" i="2"/>
  <c r="OX57" i="2"/>
  <c r="OY57" i="2" s="1"/>
  <c r="OZ57" i="2" s="1"/>
  <c r="PA57" i="2" s="1"/>
  <c r="HP58" i="2"/>
  <c r="HQ57" i="2"/>
  <c r="HR57" i="2" s="1"/>
  <c r="HS57" i="2" s="1"/>
  <c r="HT57" i="2" s="1"/>
  <c r="IL57" i="2"/>
  <c r="IM57" i="2" s="1"/>
  <c r="IN57" i="2" s="1"/>
  <c r="IO57" i="2" s="1"/>
  <c r="IK58" i="2"/>
  <c r="KW57" i="2"/>
  <c r="KX57" i="2" s="1"/>
  <c r="KY57" i="2" s="1"/>
  <c r="KZ57" i="2" s="1"/>
  <c r="KV58" i="2"/>
  <c r="JG57" i="2"/>
  <c r="JH57" i="2" s="1"/>
  <c r="JI57" i="2" s="1"/>
  <c r="JJ57" i="2" s="1"/>
  <c r="JF58" i="2"/>
  <c r="LQ58" i="2"/>
  <c r="LR57" i="2"/>
  <c r="LS57" i="2" s="1"/>
  <c r="LT57" i="2" s="1"/>
  <c r="LU57" i="2" s="1"/>
  <c r="KA58" i="2"/>
  <c r="KB57" i="2"/>
  <c r="KC57" i="2" s="1"/>
  <c r="KD57" i="2" s="1"/>
  <c r="KE57" i="2" s="1"/>
  <c r="GU58" i="2"/>
  <c r="GV57" i="2"/>
  <c r="GW57" i="2" s="1"/>
  <c r="GX57" i="2" s="1"/>
  <c r="GY57" i="2" s="1"/>
  <c r="FE58" i="2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AJ57" i="2"/>
  <c r="AK57" i="2" s="1"/>
  <c r="AL57" i="2" s="1"/>
  <c r="AM57" i="2" s="1"/>
  <c r="JG58" i="2" l="1"/>
  <c r="JH58" i="2" s="1"/>
  <c r="JI58" i="2" s="1"/>
  <c r="JJ58" i="2" s="1"/>
  <c r="JF59" i="2"/>
  <c r="IL58" i="2"/>
  <c r="IM58" i="2" s="1"/>
  <c r="IN58" i="2" s="1"/>
  <c r="IO58" i="2" s="1"/>
  <c r="IK59" i="2"/>
  <c r="OC58" i="2"/>
  <c r="OD58" i="2" s="1"/>
  <c r="OE58" i="2" s="1"/>
  <c r="OF58" i="2" s="1"/>
  <c r="OB59" i="2"/>
  <c r="KB58" i="2"/>
  <c r="KC58" i="2" s="1"/>
  <c r="KD58" i="2" s="1"/>
  <c r="KE58" i="2" s="1"/>
  <c r="KA59" i="2"/>
  <c r="OW59" i="2"/>
  <c r="OX58" i="2"/>
  <c r="OY58" i="2" s="1"/>
  <c r="OZ58" i="2" s="1"/>
  <c r="PA58" i="2" s="1"/>
  <c r="KV59" i="2"/>
  <c r="KW58" i="2"/>
  <c r="KX58" i="2" s="1"/>
  <c r="KY58" i="2" s="1"/>
  <c r="KZ58" i="2" s="1"/>
  <c r="NH58" i="2"/>
  <c r="NI58" i="2" s="1"/>
  <c r="NJ58" i="2" s="1"/>
  <c r="NK58" i="2" s="1"/>
  <c r="NG59" i="2"/>
  <c r="LQ59" i="2"/>
  <c r="LR58" i="2"/>
  <c r="LS58" i="2" s="1"/>
  <c r="LT58" i="2" s="1"/>
  <c r="LU58" i="2" s="1"/>
  <c r="HP59" i="2"/>
  <c r="HQ58" i="2"/>
  <c r="HR58" i="2" s="1"/>
  <c r="HS58" i="2" s="1"/>
  <c r="HT58" i="2" s="1"/>
  <c r="ML59" i="2"/>
  <c r="MM58" i="2"/>
  <c r="MN58" i="2" s="1"/>
  <c r="MO58" i="2" s="1"/>
  <c r="MP58" i="2" s="1"/>
  <c r="GU59" i="2"/>
  <c r="GV58" i="2"/>
  <c r="GW58" i="2" s="1"/>
  <c r="GX58" i="2" s="1"/>
  <c r="GY58" i="2" s="1"/>
  <c r="FE59" i="2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AJ58" i="2"/>
  <c r="AK58" i="2" s="1"/>
  <c r="AL58" i="2" s="1"/>
  <c r="AM58" i="2" s="1"/>
  <c r="KB59" i="2" l="1"/>
  <c r="KC59" i="2" s="1"/>
  <c r="KD59" i="2" s="1"/>
  <c r="KE59" i="2" s="1"/>
  <c r="KA60" i="2"/>
  <c r="IL59" i="2"/>
  <c r="IM59" i="2" s="1"/>
  <c r="IN59" i="2" s="1"/>
  <c r="IO59" i="2" s="1"/>
  <c r="IK60" i="2"/>
  <c r="ML60" i="2"/>
  <c r="MM59" i="2"/>
  <c r="MN59" i="2" s="1"/>
  <c r="MO59" i="2" s="1"/>
  <c r="MP59" i="2" s="1"/>
  <c r="LQ60" i="2"/>
  <c r="LR59" i="2"/>
  <c r="LS59" i="2" s="1"/>
  <c r="LT59" i="2" s="1"/>
  <c r="LU59" i="2" s="1"/>
  <c r="KV60" i="2"/>
  <c r="KW59" i="2"/>
  <c r="KX59" i="2" s="1"/>
  <c r="KY59" i="2" s="1"/>
  <c r="KZ59" i="2" s="1"/>
  <c r="NG60" i="2"/>
  <c r="NH59" i="2"/>
  <c r="NI59" i="2" s="1"/>
  <c r="NJ59" i="2" s="1"/>
  <c r="NK59" i="2" s="1"/>
  <c r="OB60" i="2"/>
  <c r="OC59" i="2"/>
  <c r="OD59" i="2" s="1"/>
  <c r="OE59" i="2" s="1"/>
  <c r="OF59" i="2" s="1"/>
  <c r="JG59" i="2"/>
  <c r="JH59" i="2" s="1"/>
  <c r="JI59" i="2" s="1"/>
  <c r="JJ59" i="2" s="1"/>
  <c r="JF60" i="2"/>
  <c r="HP60" i="2"/>
  <c r="HQ59" i="2"/>
  <c r="HR59" i="2" s="1"/>
  <c r="HS59" i="2" s="1"/>
  <c r="HT59" i="2" s="1"/>
  <c r="OW60" i="2"/>
  <c r="OX59" i="2"/>
  <c r="OY59" i="2" s="1"/>
  <c r="OZ59" i="2" s="1"/>
  <c r="PA59" i="2" s="1"/>
  <c r="GU60" i="2"/>
  <c r="GV59" i="2"/>
  <c r="GW59" i="2" s="1"/>
  <c r="GX59" i="2" s="1"/>
  <c r="GY59" i="2" s="1"/>
  <c r="FE60" i="2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AJ59" i="2"/>
  <c r="AK59" i="2" s="1"/>
  <c r="AL59" i="2" s="1"/>
  <c r="AM59" i="2" s="1"/>
  <c r="JF61" i="2" l="1"/>
  <c r="JG60" i="2"/>
  <c r="JH60" i="2" s="1"/>
  <c r="JI60" i="2" s="1"/>
  <c r="JJ60" i="2" s="1"/>
  <c r="IL60" i="2"/>
  <c r="IM60" i="2" s="1"/>
  <c r="IN60" i="2" s="1"/>
  <c r="IO60" i="2" s="1"/>
  <c r="IK61" i="2"/>
  <c r="OW61" i="2"/>
  <c r="OX60" i="2"/>
  <c r="OY60" i="2" s="1"/>
  <c r="OZ60" i="2" s="1"/>
  <c r="PA60" i="2" s="1"/>
  <c r="NG61" i="2"/>
  <c r="NH60" i="2"/>
  <c r="NI60" i="2" s="1"/>
  <c r="NJ60" i="2" s="1"/>
  <c r="NK60" i="2" s="1"/>
  <c r="LR60" i="2"/>
  <c r="LS60" i="2" s="1"/>
  <c r="LT60" i="2" s="1"/>
  <c r="LU60" i="2" s="1"/>
  <c r="LQ61" i="2"/>
  <c r="KA61" i="2"/>
  <c r="KB60" i="2"/>
  <c r="KC60" i="2" s="1"/>
  <c r="KD60" i="2" s="1"/>
  <c r="KE60" i="2" s="1"/>
  <c r="HP61" i="2"/>
  <c r="HQ60" i="2"/>
  <c r="HR60" i="2" s="1"/>
  <c r="HS60" i="2" s="1"/>
  <c r="HT60" i="2" s="1"/>
  <c r="OB61" i="2"/>
  <c r="OC60" i="2"/>
  <c r="OD60" i="2" s="1"/>
  <c r="OE60" i="2" s="1"/>
  <c r="OF60" i="2" s="1"/>
  <c r="KW60" i="2"/>
  <c r="KX60" i="2" s="1"/>
  <c r="KY60" i="2" s="1"/>
  <c r="KZ60" i="2" s="1"/>
  <c r="KV61" i="2"/>
  <c r="ML61" i="2"/>
  <c r="MM60" i="2"/>
  <c r="MN60" i="2" s="1"/>
  <c r="MO60" i="2" s="1"/>
  <c r="MP60" i="2" s="1"/>
  <c r="GU61" i="2"/>
  <c r="GV60" i="2"/>
  <c r="GW60" i="2" s="1"/>
  <c r="GX60" i="2" s="1"/>
  <c r="GY60" i="2" s="1"/>
  <c r="FE61" i="2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AJ60" i="2"/>
  <c r="AK60" i="2" s="1"/>
  <c r="AL60" i="2" s="1"/>
  <c r="AM60" i="2" s="1"/>
  <c r="IL61" i="2" l="1"/>
  <c r="IM61" i="2" s="1"/>
  <c r="IN61" i="2" s="1"/>
  <c r="IO61" i="2" s="1"/>
  <c r="IK62" i="2"/>
  <c r="ML62" i="2"/>
  <c r="MM61" i="2"/>
  <c r="MN61" i="2" s="1"/>
  <c r="MO61" i="2" s="1"/>
  <c r="MP61" i="2" s="1"/>
  <c r="OB62" i="2"/>
  <c r="OC61" i="2"/>
  <c r="OD61" i="2" s="1"/>
  <c r="OE61" i="2" s="1"/>
  <c r="OF61" i="2" s="1"/>
  <c r="KB61" i="2"/>
  <c r="KC61" i="2" s="1"/>
  <c r="KD61" i="2" s="1"/>
  <c r="KE61" i="2" s="1"/>
  <c r="KA62" i="2"/>
  <c r="NH61" i="2"/>
  <c r="NI61" i="2" s="1"/>
  <c r="NJ61" i="2" s="1"/>
  <c r="NK61" i="2" s="1"/>
  <c r="NG62" i="2"/>
  <c r="KV62" i="2"/>
  <c r="KW61" i="2"/>
  <c r="KX61" i="2" s="1"/>
  <c r="KY61" i="2" s="1"/>
  <c r="KZ61" i="2" s="1"/>
  <c r="LR61" i="2"/>
  <c r="LS61" i="2" s="1"/>
  <c r="LT61" i="2" s="1"/>
  <c r="LU61" i="2" s="1"/>
  <c r="LQ62" i="2"/>
  <c r="HP62" i="2"/>
  <c r="HQ61" i="2"/>
  <c r="HR61" i="2" s="1"/>
  <c r="HS61" i="2" s="1"/>
  <c r="HT61" i="2" s="1"/>
  <c r="OW62" i="2"/>
  <c r="OX61" i="2"/>
  <c r="OY61" i="2" s="1"/>
  <c r="OZ61" i="2" s="1"/>
  <c r="PA61" i="2" s="1"/>
  <c r="JF62" i="2"/>
  <c r="JG61" i="2"/>
  <c r="JH61" i="2" s="1"/>
  <c r="JI61" i="2" s="1"/>
  <c r="JJ61" i="2" s="1"/>
  <c r="GU62" i="2"/>
  <c r="GV61" i="2"/>
  <c r="GW61" i="2" s="1"/>
  <c r="GX61" i="2" s="1"/>
  <c r="GY61" i="2" s="1"/>
  <c r="FE62" i="2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AJ61" i="2"/>
  <c r="AK61" i="2" s="1"/>
  <c r="AL61" i="2" s="1"/>
  <c r="AM61" i="2" s="1"/>
  <c r="KA63" i="2" l="1"/>
  <c r="KB62" i="2"/>
  <c r="KC62" i="2" s="1"/>
  <c r="KD62" i="2" s="1"/>
  <c r="KE62" i="2" s="1"/>
  <c r="JG62" i="2"/>
  <c r="JH62" i="2" s="1"/>
  <c r="JI62" i="2" s="1"/>
  <c r="JJ62" i="2" s="1"/>
  <c r="JF63" i="2"/>
  <c r="HP63" i="2"/>
  <c r="HQ62" i="2"/>
  <c r="HR62" i="2" s="1"/>
  <c r="HS62" i="2" s="1"/>
  <c r="HT62" i="2" s="1"/>
  <c r="KW62" i="2"/>
  <c r="KX62" i="2" s="1"/>
  <c r="KY62" i="2" s="1"/>
  <c r="KZ62" i="2" s="1"/>
  <c r="KV63" i="2"/>
  <c r="ML63" i="2"/>
  <c r="MM62" i="2"/>
  <c r="MN62" i="2" s="1"/>
  <c r="MO62" i="2" s="1"/>
  <c r="MP62" i="2" s="1"/>
  <c r="LQ63" i="2"/>
  <c r="LR62" i="2"/>
  <c r="LS62" i="2" s="1"/>
  <c r="LT62" i="2" s="1"/>
  <c r="LU62" i="2" s="1"/>
  <c r="NH62" i="2"/>
  <c r="NI62" i="2" s="1"/>
  <c r="NJ62" i="2" s="1"/>
  <c r="NK62" i="2" s="1"/>
  <c r="NG63" i="2"/>
  <c r="IL62" i="2"/>
  <c r="IM62" i="2" s="1"/>
  <c r="IN62" i="2" s="1"/>
  <c r="IO62" i="2" s="1"/>
  <c r="IK63" i="2"/>
  <c r="OW63" i="2"/>
  <c r="OX62" i="2"/>
  <c r="OY62" i="2" s="1"/>
  <c r="OZ62" i="2" s="1"/>
  <c r="PA62" i="2" s="1"/>
  <c r="OC62" i="2"/>
  <c r="OD62" i="2" s="1"/>
  <c r="OE62" i="2" s="1"/>
  <c r="OF62" i="2" s="1"/>
  <c r="OB63" i="2"/>
  <c r="GU63" i="2"/>
  <c r="GV62" i="2"/>
  <c r="GW62" i="2" s="1"/>
  <c r="GX62" i="2" s="1"/>
  <c r="GY62" i="2" s="1"/>
  <c r="FE63" i="2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AJ62" i="2"/>
  <c r="AK62" i="2" s="1"/>
  <c r="AL62" i="2" s="1"/>
  <c r="AM62" i="2" s="1"/>
  <c r="OB64" i="2" l="1"/>
  <c r="OC63" i="2"/>
  <c r="OD63" i="2" s="1"/>
  <c r="OE63" i="2" s="1"/>
  <c r="OF63" i="2" s="1"/>
  <c r="IL63" i="2"/>
  <c r="IM63" i="2" s="1"/>
  <c r="IN63" i="2" s="1"/>
  <c r="IO63" i="2" s="1"/>
  <c r="IK64" i="2"/>
  <c r="KV64" i="2"/>
  <c r="KW63" i="2"/>
  <c r="KX63" i="2" s="1"/>
  <c r="KY63" i="2" s="1"/>
  <c r="KZ63" i="2" s="1"/>
  <c r="JG63" i="2"/>
  <c r="JH63" i="2" s="1"/>
  <c r="JI63" i="2" s="1"/>
  <c r="JJ63" i="2" s="1"/>
  <c r="JF64" i="2"/>
  <c r="LR63" i="2"/>
  <c r="LS63" i="2" s="1"/>
  <c r="LT63" i="2" s="1"/>
  <c r="LU63" i="2" s="1"/>
  <c r="LQ64" i="2"/>
  <c r="NH63" i="2"/>
  <c r="NI63" i="2" s="1"/>
  <c r="NJ63" i="2" s="1"/>
  <c r="NK63" i="2" s="1"/>
  <c r="NG64" i="2"/>
  <c r="OW64" i="2"/>
  <c r="OX63" i="2"/>
  <c r="OY63" i="2" s="1"/>
  <c r="OZ63" i="2" s="1"/>
  <c r="PA63" i="2" s="1"/>
  <c r="ML64" i="2"/>
  <c r="MM63" i="2"/>
  <c r="MN63" i="2" s="1"/>
  <c r="MO63" i="2" s="1"/>
  <c r="MP63" i="2" s="1"/>
  <c r="HP64" i="2"/>
  <c r="HQ63" i="2"/>
  <c r="HR63" i="2" s="1"/>
  <c r="HS63" i="2" s="1"/>
  <c r="HT63" i="2" s="1"/>
  <c r="KB63" i="2"/>
  <c r="KC63" i="2" s="1"/>
  <c r="KD63" i="2" s="1"/>
  <c r="KE63" i="2" s="1"/>
  <c r="KA64" i="2"/>
  <c r="GU64" i="2"/>
  <c r="GV63" i="2"/>
  <c r="GW63" i="2" s="1"/>
  <c r="GX63" i="2" s="1"/>
  <c r="GY63" i="2" s="1"/>
  <c r="FE64" i="2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AJ63" i="2"/>
  <c r="AK63" i="2" s="1"/>
  <c r="AL63" i="2" s="1"/>
  <c r="AM63" i="2" s="1"/>
  <c r="KB64" i="2" l="1"/>
  <c r="KC64" i="2" s="1"/>
  <c r="KD64" i="2" s="1"/>
  <c r="KE64" i="2" s="1"/>
  <c r="KA65" i="2"/>
  <c r="NG65" i="2"/>
  <c r="NH64" i="2"/>
  <c r="NI64" i="2" s="1"/>
  <c r="NJ64" i="2" s="1"/>
  <c r="NK64" i="2" s="1"/>
  <c r="JF65" i="2"/>
  <c r="JG64" i="2"/>
  <c r="JH64" i="2" s="1"/>
  <c r="JI64" i="2" s="1"/>
  <c r="JJ64" i="2" s="1"/>
  <c r="IL64" i="2"/>
  <c r="IM64" i="2" s="1"/>
  <c r="IN64" i="2" s="1"/>
  <c r="IO64" i="2" s="1"/>
  <c r="IK65" i="2"/>
  <c r="ML65" i="2"/>
  <c r="MM64" i="2"/>
  <c r="MN64" i="2" s="1"/>
  <c r="MO64" i="2" s="1"/>
  <c r="MP64" i="2" s="1"/>
  <c r="LQ65" i="2"/>
  <c r="LR64" i="2"/>
  <c r="LS64" i="2" s="1"/>
  <c r="LT64" i="2" s="1"/>
  <c r="LU64" i="2" s="1"/>
  <c r="HP65" i="2"/>
  <c r="HQ64" i="2"/>
  <c r="HR64" i="2" s="1"/>
  <c r="HS64" i="2" s="1"/>
  <c r="HT64" i="2" s="1"/>
  <c r="OW65" i="2"/>
  <c r="OX64" i="2"/>
  <c r="OY64" i="2" s="1"/>
  <c r="OZ64" i="2" s="1"/>
  <c r="PA64" i="2" s="1"/>
  <c r="KW64" i="2"/>
  <c r="KX64" i="2" s="1"/>
  <c r="KY64" i="2" s="1"/>
  <c r="KZ64" i="2" s="1"/>
  <c r="KV65" i="2"/>
  <c r="OC64" i="2"/>
  <c r="OD64" i="2" s="1"/>
  <c r="OE64" i="2" s="1"/>
  <c r="OF64" i="2" s="1"/>
  <c r="OB65" i="2"/>
  <c r="GU65" i="2"/>
  <c r="GV64" i="2"/>
  <c r="GW64" i="2" s="1"/>
  <c r="GX64" i="2" s="1"/>
  <c r="GY64" i="2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AJ64" i="2"/>
  <c r="AK64" i="2" s="1"/>
  <c r="AL64" i="2" s="1"/>
  <c r="AM64" i="2" s="1"/>
  <c r="OB66" i="2" l="1"/>
  <c r="OC65" i="2"/>
  <c r="OD65" i="2" s="1"/>
  <c r="OE65" i="2" s="1"/>
  <c r="OF65" i="2" s="1"/>
  <c r="IL65" i="2"/>
  <c r="IM65" i="2" s="1"/>
  <c r="IN65" i="2" s="1"/>
  <c r="IO65" i="2" s="1"/>
  <c r="IK66" i="2"/>
  <c r="OW66" i="2"/>
  <c r="OX65" i="2"/>
  <c r="OY65" i="2" s="1"/>
  <c r="OZ65" i="2" s="1"/>
  <c r="PA65" i="2" s="1"/>
  <c r="LR65" i="2"/>
  <c r="LS65" i="2" s="1"/>
  <c r="LT65" i="2" s="1"/>
  <c r="LU65" i="2" s="1"/>
  <c r="LQ66" i="2"/>
  <c r="NG66" i="2"/>
  <c r="NH65" i="2"/>
  <c r="NI65" i="2" s="1"/>
  <c r="NJ65" i="2" s="1"/>
  <c r="NK65" i="2" s="1"/>
  <c r="KW65" i="2"/>
  <c r="KX65" i="2" s="1"/>
  <c r="KY65" i="2" s="1"/>
  <c r="KZ65" i="2" s="1"/>
  <c r="KV66" i="2"/>
  <c r="KB65" i="2"/>
  <c r="KC65" i="2" s="1"/>
  <c r="KD65" i="2" s="1"/>
  <c r="KE65" i="2" s="1"/>
  <c r="KA66" i="2"/>
  <c r="HP66" i="2"/>
  <c r="HQ65" i="2"/>
  <c r="HR65" i="2" s="1"/>
  <c r="HS65" i="2" s="1"/>
  <c r="HT65" i="2" s="1"/>
  <c r="ML66" i="2"/>
  <c r="MM65" i="2"/>
  <c r="MN65" i="2" s="1"/>
  <c r="MO65" i="2" s="1"/>
  <c r="MP65" i="2" s="1"/>
  <c r="JF66" i="2"/>
  <c r="JG65" i="2"/>
  <c r="JH65" i="2" s="1"/>
  <c r="JI65" i="2" s="1"/>
  <c r="JJ65" i="2" s="1"/>
  <c r="GU66" i="2"/>
  <c r="GV65" i="2"/>
  <c r="GW65" i="2" s="1"/>
  <c r="GX65" i="2" s="1"/>
  <c r="GY65" i="2" s="1"/>
  <c r="E24" i="4"/>
  <c r="F24" i="4" s="1"/>
  <c r="G24" i="4" s="1"/>
  <c r="L24" i="4" s="1"/>
  <c r="FE66" i="2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AJ65" i="2"/>
  <c r="AK65" i="2" s="1"/>
  <c r="AL65" i="2" s="1"/>
  <c r="AM65" i="2" s="1"/>
  <c r="JF67" i="2" l="1"/>
  <c r="JG66" i="2"/>
  <c r="JH66" i="2" s="1"/>
  <c r="JI66" i="2" s="1"/>
  <c r="JJ66" i="2" s="1"/>
  <c r="HP67" i="2"/>
  <c r="HQ66" i="2"/>
  <c r="HR66" i="2" s="1"/>
  <c r="HS66" i="2" s="1"/>
  <c r="HT66" i="2" s="1"/>
  <c r="KW66" i="2"/>
  <c r="KX66" i="2" s="1"/>
  <c r="KY66" i="2" s="1"/>
  <c r="KZ66" i="2" s="1"/>
  <c r="KV67" i="2"/>
  <c r="LQ67" i="2"/>
  <c r="LR66" i="2"/>
  <c r="LS66" i="2" s="1"/>
  <c r="LT66" i="2" s="1"/>
  <c r="LU66" i="2" s="1"/>
  <c r="IL66" i="2"/>
  <c r="IM66" i="2" s="1"/>
  <c r="IN66" i="2" s="1"/>
  <c r="IO66" i="2" s="1"/>
  <c r="IK67" i="2"/>
  <c r="KB66" i="2"/>
  <c r="KC66" i="2" s="1"/>
  <c r="KD66" i="2" s="1"/>
  <c r="KE66" i="2" s="1"/>
  <c r="KA67" i="2"/>
  <c r="ML67" i="2"/>
  <c r="MM66" i="2"/>
  <c r="MN66" i="2" s="1"/>
  <c r="MO66" i="2" s="1"/>
  <c r="MP66" i="2" s="1"/>
  <c r="NH66" i="2"/>
  <c r="NI66" i="2" s="1"/>
  <c r="NJ66" i="2" s="1"/>
  <c r="NK66" i="2" s="1"/>
  <c r="NG67" i="2"/>
  <c r="OW67" i="2"/>
  <c r="OX66" i="2"/>
  <c r="OY66" i="2" s="1"/>
  <c r="OZ66" i="2" s="1"/>
  <c r="PA66" i="2" s="1"/>
  <c r="OC66" i="2"/>
  <c r="OD66" i="2" s="1"/>
  <c r="OE66" i="2" s="1"/>
  <c r="OF66" i="2" s="1"/>
  <c r="OB67" i="2"/>
  <c r="GU67" i="2"/>
  <c r="GV66" i="2"/>
  <c r="GW66" i="2" s="1"/>
  <c r="GX66" i="2" s="1"/>
  <c r="GY66" i="2" s="1"/>
  <c r="FE67" i="2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AJ66" i="2"/>
  <c r="AK66" i="2" s="1"/>
  <c r="AL66" i="2" s="1"/>
  <c r="AM66" i="2" s="1"/>
  <c r="OC67" i="2" l="1"/>
  <c r="OD67" i="2" s="1"/>
  <c r="OE67" i="2" s="1"/>
  <c r="OF67" i="2" s="1"/>
  <c r="OB68" i="2"/>
  <c r="NG68" i="2"/>
  <c r="NH67" i="2"/>
  <c r="NI67" i="2" s="1"/>
  <c r="NJ67" i="2" s="1"/>
  <c r="NK67" i="2" s="1"/>
  <c r="KB67" i="2"/>
  <c r="KC67" i="2" s="1"/>
  <c r="KD67" i="2" s="1"/>
  <c r="KE67" i="2" s="1"/>
  <c r="KA68" i="2"/>
  <c r="LQ68" i="2"/>
  <c r="LR67" i="2"/>
  <c r="LS67" i="2" s="1"/>
  <c r="LT67" i="2" s="1"/>
  <c r="LU67" i="2" s="1"/>
  <c r="HP68" i="2"/>
  <c r="HQ67" i="2"/>
  <c r="HR67" i="2" s="1"/>
  <c r="HS67" i="2" s="1"/>
  <c r="HT67" i="2" s="1"/>
  <c r="IL67" i="2"/>
  <c r="IM67" i="2" s="1"/>
  <c r="IN67" i="2" s="1"/>
  <c r="IO67" i="2" s="1"/>
  <c r="IK68" i="2"/>
  <c r="KW67" i="2"/>
  <c r="KX67" i="2" s="1"/>
  <c r="KY67" i="2" s="1"/>
  <c r="KZ67" i="2" s="1"/>
  <c r="KV68" i="2"/>
  <c r="OW68" i="2"/>
  <c r="OX67" i="2"/>
  <c r="OY67" i="2" s="1"/>
  <c r="OZ67" i="2" s="1"/>
  <c r="PA67" i="2" s="1"/>
  <c r="ML68" i="2"/>
  <c r="MM67" i="2"/>
  <c r="MN67" i="2" s="1"/>
  <c r="MO67" i="2" s="1"/>
  <c r="MP67" i="2" s="1"/>
  <c r="JF68" i="2"/>
  <c r="JG67" i="2"/>
  <c r="JH67" i="2" s="1"/>
  <c r="JI67" i="2" s="1"/>
  <c r="JJ67" i="2" s="1"/>
  <c r="GU68" i="2"/>
  <c r="GV67" i="2"/>
  <c r="GW67" i="2" s="1"/>
  <c r="GX67" i="2" s="1"/>
  <c r="GY67" i="2" s="1"/>
  <c r="FE68" i="2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AJ67" i="2"/>
  <c r="AK67" i="2" s="1"/>
  <c r="AL67" i="2" s="1"/>
  <c r="AM67" i="2" s="1"/>
  <c r="IL68" i="2" l="1"/>
  <c r="IM68" i="2" s="1"/>
  <c r="IN68" i="2" s="1"/>
  <c r="IO68" i="2" s="1"/>
  <c r="IK69" i="2"/>
  <c r="JF69" i="2"/>
  <c r="JG68" i="2"/>
  <c r="JH68" i="2" s="1"/>
  <c r="JI68" i="2" s="1"/>
  <c r="JJ68" i="2" s="1"/>
  <c r="OW69" i="2"/>
  <c r="OX68" i="2"/>
  <c r="OY68" i="2" s="1"/>
  <c r="OZ68" i="2" s="1"/>
  <c r="PA68" i="2" s="1"/>
  <c r="LQ69" i="2"/>
  <c r="LR68" i="2"/>
  <c r="LS68" i="2" s="1"/>
  <c r="LT68" i="2" s="1"/>
  <c r="LU68" i="2" s="1"/>
  <c r="NG69" i="2"/>
  <c r="NH68" i="2"/>
  <c r="NI68" i="2" s="1"/>
  <c r="NJ68" i="2" s="1"/>
  <c r="NK68" i="2" s="1"/>
  <c r="KV69" i="2"/>
  <c r="KW68" i="2"/>
  <c r="KX68" i="2" s="1"/>
  <c r="KY68" i="2" s="1"/>
  <c r="KZ68" i="2" s="1"/>
  <c r="KA69" i="2"/>
  <c r="KB68" i="2"/>
  <c r="KC68" i="2" s="1"/>
  <c r="KD68" i="2" s="1"/>
  <c r="KE68" i="2" s="1"/>
  <c r="OC68" i="2"/>
  <c r="OD68" i="2" s="1"/>
  <c r="OE68" i="2" s="1"/>
  <c r="OF68" i="2" s="1"/>
  <c r="OB69" i="2"/>
  <c r="ML69" i="2"/>
  <c r="MM68" i="2"/>
  <c r="MN68" i="2" s="1"/>
  <c r="MO68" i="2" s="1"/>
  <c r="MP68" i="2" s="1"/>
  <c r="HP69" i="2"/>
  <c r="HQ68" i="2"/>
  <c r="HR68" i="2" s="1"/>
  <c r="HS68" i="2" s="1"/>
  <c r="HT68" i="2" s="1"/>
  <c r="GU69" i="2"/>
  <c r="GV68" i="2"/>
  <c r="GW68" i="2" s="1"/>
  <c r="GX68" i="2" s="1"/>
  <c r="GY68" i="2" s="1"/>
  <c r="FE69" i="2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AJ68" i="2"/>
  <c r="AK68" i="2" s="1"/>
  <c r="AL68" i="2" s="1"/>
  <c r="AM68" i="2" s="1"/>
  <c r="OC69" i="2" l="1"/>
  <c r="OD69" i="2" s="1"/>
  <c r="OE69" i="2" s="1"/>
  <c r="OF69" i="2" s="1"/>
  <c r="OB70" i="2"/>
  <c r="HP70" i="2"/>
  <c r="HQ69" i="2"/>
  <c r="HR69" i="2" s="1"/>
  <c r="HS69" i="2" s="1"/>
  <c r="HT69" i="2" s="1"/>
  <c r="KW69" i="2"/>
  <c r="KX69" i="2" s="1"/>
  <c r="KY69" i="2" s="1"/>
  <c r="KZ69" i="2" s="1"/>
  <c r="KV70" i="2"/>
  <c r="LQ70" i="2"/>
  <c r="LR69" i="2"/>
  <c r="LS69" i="2" s="1"/>
  <c r="LT69" i="2" s="1"/>
  <c r="LU69" i="2" s="1"/>
  <c r="JF70" i="2"/>
  <c r="JG69" i="2"/>
  <c r="JH69" i="2" s="1"/>
  <c r="JI69" i="2" s="1"/>
  <c r="JJ69" i="2" s="1"/>
  <c r="IL69" i="2"/>
  <c r="IM69" i="2" s="1"/>
  <c r="IN69" i="2" s="1"/>
  <c r="IO69" i="2" s="1"/>
  <c r="IK70" i="2"/>
  <c r="ML70" i="2"/>
  <c r="MM69" i="2"/>
  <c r="MN69" i="2" s="1"/>
  <c r="MO69" i="2" s="1"/>
  <c r="MP69" i="2" s="1"/>
  <c r="KB69" i="2"/>
  <c r="KC69" i="2" s="1"/>
  <c r="KD69" i="2" s="1"/>
  <c r="KE69" i="2" s="1"/>
  <c r="KA70" i="2"/>
  <c r="NG70" i="2"/>
  <c r="NH69" i="2"/>
  <c r="NI69" i="2" s="1"/>
  <c r="NJ69" i="2" s="1"/>
  <c r="NK69" i="2" s="1"/>
  <c r="OW70" i="2"/>
  <c r="OX69" i="2"/>
  <c r="OY69" i="2" s="1"/>
  <c r="OZ69" i="2" s="1"/>
  <c r="PA69" i="2" s="1"/>
  <c r="GU70" i="2"/>
  <c r="GV69" i="2"/>
  <c r="GW69" i="2" s="1"/>
  <c r="GX69" i="2" s="1"/>
  <c r="GY69" i="2" s="1"/>
  <c r="FE70" i="2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AJ69" i="2"/>
  <c r="AK69" i="2" s="1"/>
  <c r="AL69" i="2" s="1"/>
  <c r="AM69" i="2" s="1"/>
  <c r="KB70" i="2" l="1"/>
  <c r="KC70" i="2" s="1"/>
  <c r="KD70" i="2" s="1"/>
  <c r="KE70" i="2" s="1"/>
  <c r="KA71" i="2"/>
  <c r="IL70" i="2"/>
  <c r="IM70" i="2" s="1"/>
  <c r="IN70" i="2" s="1"/>
  <c r="IO70" i="2" s="1"/>
  <c r="IK71" i="2"/>
  <c r="OW71" i="2"/>
  <c r="OX70" i="2"/>
  <c r="OY70" i="2" s="1"/>
  <c r="OZ70" i="2" s="1"/>
  <c r="PA70" i="2" s="1"/>
  <c r="LQ71" i="2"/>
  <c r="LR70" i="2"/>
  <c r="LS70" i="2" s="1"/>
  <c r="LT70" i="2" s="1"/>
  <c r="LU70" i="2" s="1"/>
  <c r="HP71" i="2"/>
  <c r="HQ70" i="2"/>
  <c r="HR70" i="2" s="1"/>
  <c r="HS70" i="2" s="1"/>
  <c r="HT70" i="2" s="1"/>
  <c r="KW70" i="2"/>
  <c r="KX70" i="2" s="1"/>
  <c r="KY70" i="2" s="1"/>
  <c r="KZ70" i="2" s="1"/>
  <c r="KV71" i="2"/>
  <c r="OC70" i="2"/>
  <c r="OD70" i="2" s="1"/>
  <c r="OE70" i="2" s="1"/>
  <c r="OF70" i="2" s="1"/>
  <c r="OB71" i="2"/>
  <c r="NG71" i="2"/>
  <c r="NH70" i="2"/>
  <c r="NI70" i="2" s="1"/>
  <c r="NJ70" i="2" s="1"/>
  <c r="NK70" i="2" s="1"/>
  <c r="ML71" i="2"/>
  <c r="MM70" i="2"/>
  <c r="MN70" i="2" s="1"/>
  <c r="MO70" i="2" s="1"/>
  <c r="MP70" i="2" s="1"/>
  <c r="JF71" i="2"/>
  <c r="JG70" i="2"/>
  <c r="JH70" i="2" s="1"/>
  <c r="JI70" i="2" s="1"/>
  <c r="JJ70" i="2" s="1"/>
  <c r="GU71" i="2"/>
  <c r="GV70" i="2"/>
  <c r="GW70" i="2" s="1"/>
  <c r="GX70" i="2" s="1"/>
  <c r="GY70" i="2" s="1"/>
  <c r="FE71" i="2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AJ70" i="2"/>
  <c r="AK70" i="2" s="1"/>
  <c r="AL70" i="2" s="1"/>
  <c r="AM70" i="2" s="1"/>
  <c r="KV72" i="2" l="1"/>
  <c r="KW71" i="2"/>
  <c r="KX71" i="2" s="1"/>
  <c r="KY71" i="2" s="1"/>
  <c r="KZ71" i="2" s="1"/>
  <c r="IL71" i="2"/>
  <c r="IM71" i="2" s="1"/>
  <c r="IN71" i="2" s="1"/>
  <c r="IO71" i="2" s="1"/>
  <c r="IK72" i="2"/>
  <c r="JG71" i="2"/>
  <c r="JH71" i="2" s="1"/>
  <c r="JI71" i="2" s="1"/>
  <c r="JJ71" i="2" s="1"/>
  <c r="JF72" i="2"/>
  <c r="NH71" i="2"/>
  <c r="NI71" i="2" s="1"/>
  <c r="NJ71" i="2" s="1"/>
  <c r="NK71" i="2" s="1"/>
  <c r="NG72" i="2"/>
  <c r="LR71" i="2"/>
  <c r="LS71" i="2" s="1"/>
  <c r="LT71" i="2" s="1"/>
  <c r="LU71" i="2" s="1"/>
  <c r="LQ72" i="2"/>
  <c r="OB72" i="2"/>
  <c r="OC71" i="2"/>
  <c r="OD71" i="2" s="1"/>
  <c r="OE71" i="2" s="1"/>
  <c r="OF71" i="2" s="1"/>
  <c r="KA72" i="2"/>
  <c r="KB71" i="2"/>
  <c r="KC71" i="2" s="1"/>
  <c r="KD71" i="2" s="1"/>
  <c r="KE71" i="2" s="1"/>
  <c r="ML72" i="2"/>
  <c r="MM71" i="2"/>
  <c r="MN71" i="2" s="1"/>
  <c r="MO71" i="2" s="1"/>
  <c r="MP71" i="2" s="1"/>
  <c r="HP72" i="2"/>
  <c r="HQ71" i="2"/>
  <c r="HR71" i="2" s="1"/>
  <c r="HS71" i="2" s="1"/>
  <c r="HT71" i="2" s="1"/>
  <c r="OW72" i="2"/>
  <c r="OX71" i="2"/>
  <c r="OY71" i="2" s="1"/>
  <c r="OZ71" i="2" s="1"/>
  <c r="PA71" i="2" s="1"/>
  <c r="GU72" i="2"/>
  <c r="GV71" i="2"/>
  <c r="GW71" i="2" s="1"/>
  <c r="GX71" i="2" s="1"/>
  <c r="GY71" i="2" s="1"/>
  <c r="FE72" i="2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AJ71" i="2"/>
  <c r="AK71" i="2" s="1"/>
  <c r="AL71" i="2" s="1"/>
  <c r="AM71" i="2" s="1"/>
  <c r="NG73" i="2" l="1"/>
  <c r="NH72" i="2"/>
  <c r="NI72" i="2" s="1"/>
  <c r="NJ72" i="2" s="1"/>
  <c r="NK72" i="2" s="1"/>
  <c r="IL72" i="2"/>
  <c r="IM72" i="2" s="1"/>
  <c r="IN72" i="2" s="1"/>
  <c r="IO72" i="2" s="1"/>
  <c r="IK73" i="2"/>
  <c r="OW73" i="2"/>
  <c r="OX72" i="2"/>
  <c r="OY72" i="2" s="1"/>
  <c r="OZ72" i="2" s="1"/>
  <c r="PA72" i="2" s="1"/>
  <c r="ML73" i="2"/>
  <c r="MM72" i="2"/>
  <c r="MN72" i="2" s="1"/>
  <c r="MO72" i="2" s="1"/>
  <c r="MP72" i="2" s="1"/>
  <c r="OC72" i="2"/>
  <c r="OD72" i="2" s="1"/>
  <c r="OE72" i="2" s="1"/>
  <c r="OF72" i="2" s="1"/>
  <c r="OB73" i="2"/>
  <c r="LQ73" i="2"/>
  <c r="LR72" i="2"/>
  <c r="LS72" i="2" s="1"/>
  <c r="LT72" i="2" s="1"/>
  <c r="LU72" i="2" s="1"/>
  <c r="JF73" i="2"/>
  <c r="JG72" i="2"/>
  <c r="JH72" i="2" s="1"/>
  <c r="JI72" i="2" s="1"/>
  <c r="JJ72" i="2" s="1"/>
  <c r="HP73" i="2"/>
  <c r="HQ72" i="2"/>
  <c r="HR72" i="2" s="1"/>
  <c r="HS72" i="2" s="1"/>
  <c r="HT72" i="2" s="1"/>
  <c r="KB72" i="2"/>
  <c r="KC72" i="2" s="1"/>
  <c r="KD72" i="2" s="1"/>
  <c r="KE72" i="2" s="1"/>
  <c r="KA73" i="2"/>
  <c r="KW72" i="2"/>
  <c r="KX72" i="2" s="1"/>
  <c r="KY72" i="2" s="1"/>
  <c r="KZ72" i="2" s="1"/>
  <c r="KV73" i="2"/>
  <c r="GU73" i="2"/>
  <c r="GV72" i="2"/>
  <c r="GW72" i="2" s="1"/>
  <c r="GX72" i="2" s="1"/>
  <c r="GY72" i="2" s="1"/>
  <c r="FE73" i="2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AJ72" i="2"/>
  <c r="AK72" i="2" s="1"/>
  <c r="AL72" i="2" s="1"/>
  <c r="AM72" i="2" s="1"/>
  <c r="KV74" i="2" l="1"/>
  <c r="KW73" i="2"/>
  <c r="KX73" i="2" s="1"/>
  <c r="KY73" i="2" s="1"/>
  <c r="KZ73" i="2" s="1"/>
  <c r="IL73" i="2"/>
  <c r="IM73" i="2" s="1"/>
  <c r="IN73" i="2" s="1"/>
  <c r="IO73" i="2" s="1"/>
  <c r="IK74" i="2"/>
  <c r="HP74" i="2"/>
  <c r="HQ73" i="2"/>
  <c r="HR73" i="2" s="1"/>
  <c r="HS73" i="2" s="1"/>
  <c r="HT73" i="2" s="1"/>
  <c r="LQ74" i="2"/>
  <c r="LR73" i="2"/>
  <c r="LS73" i="2" s="1"/>
  <c r="LT73" i="2" s="1"/>
  <c r="LU73" i="2" s="1"/>
  <c r="ML74" i="2"/>
  <c r="MM73" i="2"/>
  <c r="MN73" i="2" s="1"/>
  <c r="MO73" i="2" s="1"/>
  <c r="MP73" i="2" s="1"/>
  <c r="OC73" i="2"/>
  <c r="OD73" i="2" s="1"/>
  <c r="OE73" i="2" s="1"/>
  <c r="OF73" i="2" s="1"/>
  <c r="OB74" i="2"/>
  <c r="KB73" i="2"/>
  <c r="KC73" i="2" s="1"/>
  <c r="KD73" i="2" s="1"/>
  <c r="KE73" i="2" s="1"/>
  <c r="KA74" i="2"/>
  <c r="JF74" i="2"/>
  <c r="JG73" i="2"/>
  <c r="JH73" i="2" s="1"/>
  <c r="JI73" i="2" s="1"/>
  <c r="JJ73" i="2" s="1"/>
  <c r="OW74" i="2"/>
  <c r="OX73" i="2"/>
  <c r="OY73" i="2" s="1"/>
  <c r="OZ73" i="2" s="1"/>
  <c r="PA73" i="2" s="1"/>
  <c r="NH73" i="2"/>
  <c r="NI73" i="2" s="1"/>
  <c r="NJ73" i="2" s="1"/>
  <c r="NK73" i="2" s="1"/>
  <c r="NG74" i="2"/>
  <c r="GU74" i="2"/>
  <c r="GV73" i="2"/>
  <c r="GW73" i="2" s="1"/>
  <c r="GX73" i="2" s="1"/>
  <c r="GY73" i="2" s="1"/>
  <c r="FE74" i="2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AJ73" i="2"/>
  <c r="AK73" i="2" s="1"/>
  <c r="AL73" i="2" s="1"/>
  <c r="AM73" i="2" s="1"/>
  <c r="NG75" i="2" l="1"/>
  <c r="NH74" i="2"/>
  <c r="NI74" i="2" s="1"/>
  <c r="NJ74" i="2" s="1"/>
  <c r="NK74" i="2" s="1"/>
  <c r="OB75" i="2"/>
  <c r="OC74" i="2"/>
  <c r="OD74" i="2" s="1"/>
  <c r="OE74" i="2" s="1"/>
  <c r="OF74" i="2" s="1"/>
  <c r="IL74" i="2"/>
  <c r="IM74" i="2" s="1"/>
  <c r="IN74" i="2" s="1"/>
  <c r="IO74" i="2" s="1"/>
  <c r="IK75" i="2"/>
  <c r="JF75" i="2"/>
  <c r="JG74" i="2"/>
  <c r="JH74" i="2" s="1"/>
  <c r="JI74" i="2" s="1"/>
  <c r="JJ74" i="2" s="1"/>
  <c r="LR74" i="2"/>
  <c r="LS74" i="2" s="1"/>
  <c r="LT74" i="2" s="1"/>
  <c r="LU74" i="2" s="1"/>
  <c r="LQ75" i="2"/>
  <c r="KB74" i="2"/>
  <c r="KC74" i="2" s="1"/>
  <c r="KD74" i="2" s="1"/>
  <c r="KE74" i="2" s="1"/>
  <c r="KA75" i="2"/>
  <c r="OW75" i="2"/>
  <c r="OX74" i="2"/>
  <c r="OY74" i="2" s="1"/>
  <c r="OZ74" i="2" s="1"/>
  <c r="PA74" i="2" s="1"/>
  <c r="ML75" i="2"/>
  <c r="MM74" i="2"/>
  <c r="MN74" i="2" s="1"/>
  <c r="MO74" i="2" s="1"/>
  <c r="MP74" i="2" s="1"/>
  <c r="HP75" i="2"/>
  <c r="HQ74" i="2"/>
  <c r="HR74" i="2" s="1"/>
  <c r="HS74" i="2" s="1"/>
  <c r="HT74" i="2" s="1"/>
  <c r="KW74" i="2"/>
  <c r="KX74" i="2" s="1"/>
  <c r="KY74" i="2" s="1"/>
  <c r="KZ74" i="2" s="1"/>
  <c r="KV75" i="2"/>
  <c r="GU75" i="2"/>
  <c r="GV74" i="2"/>
  <c r="GW74" i="2" s="1"/>
  <c r="GX74" i="2" s="1"/>
  <c r="GY74" i="2" s="1"/>
  <c r="FE75" i="2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AJ74" i="2"/>
  <c r="AK74" i="2" s="1"/>
  <c r="AL74" i="2" s="1"/>
  <c r="AM74" i="2" s="1"/>
  <c r="KW75" i="2" l="1"/>
  <c r="KX75" i="2" s="1"/>
  <c r="KY75" i="2" s="1"/>
  <c r="KZ75" i="2" s="1"/>
  <c r="KV76" i="2"/>
  <c r="KB75" i="2"/>
  <c r="KC75" i="2" s="1"/>
  <c r="KD75" i="2" s="1"/>
  <c r="KE75" i="2" s="1"/>
  <c r="KA76" i="2"/>
  <c r="ML76" i="2"/>
  <c r="MM75" i="2"/>
  <c r="MN75" i="2" s="1"/>
  <c r="MO75" i="2" s="1"/>
  <c r="MP75" i="2" s="1"/>
  <c r="JF76" i="2"/>
  <c r="JG75" i="2"/>
  <c r="JH75" i="2" s="1"/>
  <c r="JI75" i="2" s="1"/>
  <c r="JJ75" i="2" s="1"/>
  <c r="OC75" i="2"/>
  <c r="OD75" i="2" s="1"/>
  <c r="OE75" i="2" s="1"/>
  <c r="OF75" i="2" s="1"/>
  <c r="OB76" i="2"/>
  <c r="LQ76" i="2"/>
  <c r="LR75" i="2"/>
  <c r="LS75" i="2" s="1"/>
  <c r="LT75" i="2" s="1"/>
  <c r="LU75" i="2" s="1"/>
  <c r="IL75" i="2"/>
  <c r="IM75" i="2" s="1"/>
  <c r="IN75" i="2" s="1"/>
  <c r="IO75" i="2" s="1"/>
  <c r="IK76" i="2"/>
  <c r="HP76" i="2"/>
  <c r="HQ75" i="2"/>
  <c r="HR75" i="2" s="1"/>
  <c r="HS75" i="2" s="1"/>
  <c r="HT75" i="2" s="1"/>
  <c r="OW76" i="2"/>
  <c r="OX75" i="2"/>
  <c r="OY75" i="2" s="1"/>
  <c r="OZ75" i="2" s="1"/>
  <c r="PA75" i="2" s="1"/>
  <c r="NG76" i="2"/>
  <c r="NH75" i="2"/>
  <c r="NI75" i="2" s="1"/>
  <c r="NJ75" i="2" s="1"/>
  <c r="NK75" i="2" s="1"/>
  <c r="GU76" i="2"/>
  <c r="GV75" i="2"/>
  <c r="GW75" i="2" s="1"/>
  <c r="GX75" i="2" s="1"/>
  <c r="GY75" i="2" s="1"/>
  <c r="FE76" i="2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AJ75" i="2"/>
  <c r="AK75" i="2" s="1"/>
  <c r="AL75" i="2" s="1"/>
  <c r="AM75" i="2" s="1"/>
  <c r="KB76" i="2" l="1"/>
  <c r="KC76" i="2" s="1"/>
  <c r="KD76" i="2" s="1"/>
  <c r="KE76" i="2" s="1"/>
  <c r="KA77" i="2"/>
  <c r="NH76" i="2"/>
  <c r="NI76" i="2" s="1"/>
  <c r="NJ76" i="2" s="1"/>
  <c r="NK76" i="2" s="1"/>
  <c r="NG77" i="2"/>
  <c r="HP77" i="2"/>
  <c r="HQ76" i="2"/>
  <c r="HR76" i="2" s="1"/>
  <c r="HS76" i="2" s="1"/>
  <c r="HT76" i="2" s="1"/>
  <c r="LQ77" i="2"/>
  <c r="LR76" i="2"/>
  <c r="LS76" i="2" s="1"/>
  <c r="LT76" i="2" s="1"/>
  <c r="LU76" i="2" s="1"/>
  <c r="JF77" i="2"/>
  <c r="JG76" i="2"/>
  <c r="JH76" i="2" s="1"/>
  <c r="JI76" i="2" s="1"/>
  <c r="JJ76" i="2" s="1"/>
  <c r="IL76" i="2"/>
  <c r="IM76" i="2" s="1"/>
  <c r="IN76" i="2" s="1"/>
  <c r="IO76" i="2" s="1"/>
  <c r="IK77" i="2"/>
  <c r="OC76" i="2"/>
  <c r="OD76" i="2" s="1"/>
  <c r="OE76" i="2" s="1"/>
  <c r="OF76" i="2" s="1"/>
  <c r="OB77" i="2"/>
  <c r="KV77" i="2"/>
  <c r="KW76" i="2"/>
  <c r="KX76" i="2" s="1"/>
  <c r="KY76" i="2" s="1"/>
  <c r="KZ76" i="2" s="1"/>
  <c r="OW77" i="2"/>
  <c r="OX76" i="2"/>
  <c r="OY76" i="2" s="1"/>
  <c r="OZ76" i="2" s="1"/>
  <c r="PA76" i="2" s="1"/>
  <c r="ML77" i="2"/>
  <c r="MM76" i="2"/>
  <c r="MN76" i="2" s="1"/>
  <c r="MO76" i="2" s="1"/>
  <c r="MP76" i="2" s="1"/>
  <c r="GU77" i="2"/>
  <c r="GV76" i="2"/>
  <c r="GW76" i="2" s="1"/>
  <c r="GX76" i="2" s="1"/>
  <c r="GY76" i="2" s="1"/>
  <c r="FE77" i="2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AJ76" i="2"/>
  <c r="AK76" i="2" s="1"/>
  <c r="AL76" i="2" s="1"/>
  <c r="AM76" i="2" s="1"/>
  <c r="IL77" i="2" l="1"/>
  <c r="IM77" i="2" s="1"/>
  <c r="IN77" i="2" s="1"/>
  <c r="IO77" i="2" s="1"/>
  <c r="IK78" i="2"/>
  <c r="NG78" i="2"/>
  <c r="NH77" i="2"/>
  <c r="NI77" i="2" s="1"/>
  <c r="NJ77" i="2" s="1"/>
  <c r="NK77" i="2" s="1"/>
  <c r="ML78" i="2"/>
  <c r="MM77" i="2"/>
  <c r="MN77" i="2" s="1"/>
  <c r="MO77" i="2" s="1"/>
  <c r="MP77" i="2" s="1"/>
  <c r="KW77" i="2"/>
  <c r="KX77" i="2" s="1"/>
  <c r="KY77" i="2" s="1"/>
  <c r="KZ77" i="2" s="1"/>
  <c r="KV78" i="2"/>
  <c r="LQ78" i="2"/>
  <c r="LR77" i="2"/>
  <c r="LS77" i="2" s="1"/>
  <c r="LT77" i="2" s="1"/>
  <c r="LU77" i="2" s="1"/>
  <c r="OC77" i="2"/>
  <c r="OD77" i="2" s="1"/>
  <c r="OE77" i="2" s="1"/>
  <c r="OF77" i="2" s="1"/>
  <c r="OB78" i="2"/>
  <c r="KB77" i="2"/>
  <c r="KC77" i="2" s="1"/>
  <c r="KD77" i="2" s="1"/>
  <c r="KE77" i="2" s="1"/>
  <c r="KA78" i="2"/>
  <c r="OW78" i="2"/>
  <c r="OX77" i="2"/>
  <c r="OY77" i="2" s="1"/>
  <c r="OZ77" i="2" s="1"/>
  <c r="PA77" i="2" s="1"/>
  <c r="JF78" i="2"/>
  <c r="JG77" i="2"/>
  <c r="JH77" i="2" s="1"/>
  <c r="JI77" i="2" s="1"/>
  <c r="JJ77" i="2" s="1"/>
  <c r="HP78" i="2"/>
  <c r="HQ77" i="2"/>
  <c r="HR77" i="2" s="1"/>
  <c r="HS77" i="2" s="1"/>
  <c r="HT77" i="2" s="1"/>
  <c r="GU78" i="2"/>
  <c r="GV77" i="2"/>
  <c r="GW77" i="2" s="1"/>
  <c r="GX77" i="2" s="1"/>
  <c r="GY77" i="2" s="1"/>
  <c r="FE78" i="2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AJ77" i="2"/>
  <c r="AK77" i="2" s="1"/>
  <c r="AL77" i="2" s="1"/>
  <c r="AM77" i="2" s="1"/>
  <c r="OC78" i="2" l="1"/>
  <c r="OD78" i="2" s="1"/>
  <c r="OE78" i="2" s="1"/>
  <c r="OF78" i="2" s="1"/>
  <c r="OB79" i="2"/>
  <c r="KW78" i="2"/>
  <c r="KX78" i="2" s="1"/>
  <c r="KY78" i="2" s="1"/>
  <c r="KZ78" i="2" s="1"/>
  <c r="KV79" i="2"/>
  <c r="HP79" i="2"/>
  <c r="HQ78" i="2"/>
  <c r="HR78" i="2" s="1"/>
  <c r="HS78" i="2" s="1"/>
  <c r="HT78" i="2" s="1"/>
  <c r="OW79" i="2"/>
  <c r="OX78" i="2"/>
  <c r="OY78" i="2" s="1"/>
  <c r="OZ78" i="2" s="1"/>
  <c r="PA78" i="2" s="1"/>
  <c r="NH78" i="2"/>
  <c r="NI78" i="2" s="1"/>
  <c r="NJ78" i="2" s="1"/>
  <c r="NK78" i="2" s="1"/>
  <c r="NG79" i="2"/>
  <c r="KB78" i="2"/>
  <c r="KC78" i="2" s="1"/>
  <c r="KD78" i="2" s="1"/>
  <c r="KE78" i="2" s="1"/>
  <c r="KA79" i="2"/>
  <c r="IL78" i="2"/>
  <c r="IM78" i="2" s="1"/>
  <c r="IN78" i="2" s="1"/>
  <c r="IO78" i="2" s="1"/>
  <c r="IK79" i="2"/>
  <c r="JG78" i="2"/>
  <c r="JH78" i="2" s="1"/>
  <c r="JI78" i="2" s="1"/>
  <c r="JJ78" i="2" s="1"/>
  <c r="JF79" i="2"/>
  <c r="LR78" i="2"/>
  <c r="LS78" i="2" s="1"/>
  <c r="LT78" i="2" s="1"/>
  <c r="LU78" i="2" s="1"/>
  <c r="LQ79" i="2"/>
  <c r="ML79" i="2"/>
  <c r="MM78" i="2"/>
  <c r="MN78" i="2" s="1"/>
  <c r="MO78" i="2" s="1"/>
  <c r="MP78" i="2" s="1"/>
  <c r="GU79" i="2"/>
  <c r="GV78" i="2"/>
  <c r="GW78" i="2" s="1"/>
  <c r="GX78" i="2" s="1"/>
  <c r="GY78" i="2" s="1"/>
  <c r="FE79" i="2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AJ78" i="2"/>
  <c r="AK78" i="2" s="1"/>
  <c r="AL78" i="2" s="1"/>
  <c r="AM78" i="2" s="1"/>
  <c r="JF80" i="2" l="1"/>
  <c r="JG79" i="2"/>
  <c r="JH79" i="2" s="1"/>
  <c r="JI79" i="2" s="1"/>
  <c r="JJ79" i="2" s="1"/>
  <c r="KB79" i="2"/>
  <c r="KC79" i="2" s="1"/>
  <c r="KD79" i="2" s="1"/>
  <c r="KE79" i="2" s="1"/>
  <c r="KA80" i="2"/>
  <c r="KW79" i="2"/>
  <c r="KX79" i="2" s="1"/>
  <c r="KY79" i="2" s="1"/>
  <c r="KZ79" i="2" s="1"/>
  <c r="KV80" i="2"/>
  <c r="ML80" i="2"/>
  <c r="MM79" i="2"/>
  <c r="MN79" i="2" s="1"/>
  <c r="MO79" i="2" s="1"/>
  <c r="MP79" i="2" s="1"/>
  <c r="OW80" i="2"/>
  <c r="OX79" i="2"/>
  <c r="OY79" i="2" s="1"/>
  <c r="OZ79" i="2" s="1"/>
  <c r="PA79" i="2" s="1"/>
  <c r="LQ80" i="2"/>
  <c r="LR79" i="2"/>
  <c r="LS79" i="2" s="1"/>
  <c r="LT79" i="2" s="1"/>
  <c r="LU79" i="2" s="1"/>
  <c r="IL79" i="2"/>
  <c r="IM79" i="2" s="1"/>
  <c r="IN79" i="2" s="1"/>
  <c r="IO79" i="2" s="1"/>
  <c r="IK80" i="2"/>
  <c r="NG80" i="2"/>
  <c r="NH79" i="2"/>
  <c r="NI79" i="2" s="1"/>
  <c r="NJ79" i="2" s="1"/>
  <c r="NK79" i="2" s="1"/>
  <c r="OC79" i="2"/>
  <c r="OD79" i="2" s="1"/>
  <c r="OE79" i="2" s="1"/>
  <c r="OF79" i="2" s="1"/>
  <c r="OB80" i="2"/>
  <c r="HP80" i="2"/>
  <c r="HQ79" i="2"/>
  <c r="HR79" i="2" s="1"/>
  <c r="HS79" i="2" s="1"/>
  <c r="HT79" i="2" s="1"/>
  <c r="GU80" i="2"/>
  <c r="GV79" i="2"/>
  <c r="GW79" i="2" s="1"/>
  <c r="GX79" i="2" s="1"/>
  <c r="GY79" i="2" s="1"/>
  <c r="FE80" i="2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AJ79" i="2"/>
  <c r="AK79" i="2" s="1"/>
  <c r="AL79" i="2" s="1"/>
  <c r="AM79" i="2" s="1"/>
  <c r="KB80" i="2" l="1"/>
  <c r="KC80" i="2" s="1"/>
  <c r="KD80" i="2" s="1"/>
  <c r="KE80" i="2" s="1"/>
  <c r="KA81" i="2"/>
  <c r="HP81" i="2"/>
  <c r="HQ80" i="2"/>
  <c r="HR80" i="2" s="1"/>
  <c r="HS80" i="2" s="1"/>
  <c r="HT80" i="2" s="1"/>
  <c r="NG81" i="2"/>
  <c r="NH80" i="2"/>
  <c r="NI80" i="2" s="1"/>
  <c r="NJ80" i="2" s="1"/>
  <c r="NK80" i="2" s="1"/>
  <c r="LR80" i="2"/>
  <c r="LS80" i="2" s="1"/>
  <c r="LT80" i="2" s="1"/>
  <c r="LU80" i="2" s="1"/>
  <c r="LQ81" i="2"/>
  <c r="ML81" i="2"/>
  <c r="MM80" i="2"/>
  <c r="MN80" i="2" s="1"/>
  <c r="MO80" i="2" s="1"/>
  <c r="MP80" i="2" s="1"/>
  <c r="OB81" i="2"/>
  <c r="OC80" i="2"/>
  <c r="OD80" i="2" s="1"/>
  <c r="OE80" i="2" s="1"/>
  <c r="OF80" i="2" s="1"/>
  <c r="IL80" i="2"/>
  <c r="IM80" i="2" s="1"/>
  <c r="IN80" i="2" s="1"/>
  <c r="IO80" i="2" s="1"/>
  <c r="IK81" i="2"/>
  <c r="KW80" i="2"/>
  <c r="KX80" i="2" s="1"/>
  <c r="KY80" i="2" s="1"/>
  <c r="KZ80" i="2" s="1"/>
  <c r="KV81" i="2"/>
  <c r="OW81" i="2"/>
  <c r="OX80" i="2"/>
  <c r="OY80" i="2" s="1"/>
  <c r="OZ80" i="2" s="1"/>
  <c r="PA80" i="2" s="1"/>
  <c r="JG80" i="2"/>
  <c r="JH80" i="2" s="1"/>
  <c r="JI80" i="2" s="1"/>
  <c r="JJ80" i="2" s="1"/>
  <c r="JF81" i="2"/>
  <c r="GU81" i="2"/>
  <c r="GV80" i="2"/>
  <c r="GW80" i="2" s="1"/>
  <c r="GX80" i="2" s="1"/>
  <c r="GY80" i="2" s="1"/>
  <c r="FE81" i="2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AJ80" i="2"/>
  <c r="AK80" i="2" s="1"/>
  <c r="AL80" i="2" s="1"/>
  <c r="AM80" i="2" s="1"/>
  <c r="JF82" i="2" l="1"/>
  <c r="JG81" i="2"/>
  <c r="JH81" i="2" s="1"/>
  <c r="JI81" i="2" s="1"/>
  <c r="JJ81" i="2" s="1"/>
  <c r="KW81" i="2"/>
  <c r="KX81" i="2" s="1"/>
  <c r="KY81" i="2" s="1"/>
  <c r="KZ81" i="2" s="1"/>
  <c r="KV82" i="2"/>
  <c r="LQ82" i="2"/>
  <c r="LR81" i="2"/>
  <c r="LS81" i="2" s="1"/>
  <c r="LT81" i="2" s="1"/>
  <c r="LU81" i="2" s="1"/>
  <c r="OC81" i="2"/>
  <c r="OD81" i="2" s="1"/>
  <c r="OE81" i="2" s="1"/>
  <c r="OF81" i="2" s="1"/>
  <c r="OB82" i="2"/>
  <c r="HP82" i="2"/>
  <c r="HQ81" i="2"/>
  <c r="HR81" i="2" s="1"/>
  <c r="HS81" i="2" s="1"/>
  <c r="HT81" i="2" s="1"/>
  <c r="IL81" i="2"/>
  <c r="IM81" i="2" s="1"/>
  <c r="IN81" i="2" s="1"/>
  <c r="IO81" i="2" s="1"/>
  <c r="IK82" i="2"/>
  <c r="KB81" i="2"/>
  <c r="KC81" i="2" s="1"/>
  <c r="KD81" i="2" s="1"/>
  <c r="KE81" i="2" s="1"/>
  <c r="KA82" i="2"/>
  <c r="OW82" i="2"/>
  <c r="OX81" i="2"/>
  <c r="OY81" i="2" s="1"/>
  <c r="OZ81" i="2" s="1"/>
  <c r="PA81" i="2" s="1"/>
  <c r="ML82" i="2"/>
  <c r="MM81" i="2"/>
  <c r="MN81" i="2" s="1"/>
  <c r="MO81" i="2" s="1"/>
  <c r="MP81" i="2" s="1"/>
  <c r="NH81" i="2"/>
  <c r="NI81" i="2" s="1"/>
  <c r="NJ81" i="2" s="1"/>
  <c r="NK81" i="2" s="1"/>
  <c r="NG82" i="2"/>
  <c r="GU82" i="2"/>
  <c r="GV81" i="2"/>
  <c r="GW81" i="2" s="1"/>
  <c r="GX81" i="2" s="1"/>
  <c r="GY81" i="2" s="1"/>
  <c r="FE82" i="2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AJ81" i="2"/>
  <c r="AK81" i="2" s="1"/>
  <c r="AL81" i="2" s="1"/>
  <c r="AM81" i="2" s="1"/>
  <c r="NG83" i="2" l="1"/>
  <c r="NH82" i="2"/>
  <c r="NI82" i="2" s="1"/>
  <c r="NJ82" i="2" s="1"/>
  <c r="NK82" i="2" s="1"/>
  <c r="IL82" i="2"/>
  <c r="IM82" i="2" s="1"/>
  <c r="IN82" i="2" s="1"/>
  <c r="IO82" i="2" s="1"/>
  <c r="IK83" i="2"/>
  <c r="OC82" i="2"/>
  <c r="OD82" i="2" s="1"/>
  <c r="OE82" i="2" s="1"/>
  <c r="OF82" i="2" s="1"/>
  <c r="OB83" i="2"/>
  <c r="KW82" i="2"/>
  <c r="KX82" i="2" s="1"/>
  <c r="KY82" i="2" s="1"/>
  <c r="KZ82" i="2" s="1"/>
  <c r="KV83" i="2"/>
  <c r="OW83" i="2"/>
  <c r="OX82" i="2"/>
  <c r="OY82" i="2" s="1"/>
  <c r="OZ82" i="2" s="1"/>
  <c r="PA82" i="2" s="1"/>
  <c r="KB82" i="2"/>
  <c r="KC82" i="2" s="1"/>
  <c r="KD82" i="2" s="1"/>
  <c r="KE82" i="2" s="1"/>
  <c r="KA83" i="2"/>
  <c r="ML83" i="2"/>
  <c r="MM82" i="2"/>
  <c r="MN82" i="2" s="1"/>
  <c r="MO82" i="2" s="1"/>
  <c r="MP82" i="2" s="1"/>
  <c r="HP83" i="2"/>
  <c r="HQ82" i="2"/>
  <c r="HR82" i="2" s="1"/>
  <c r="HS82" i="2" s="1"/>
  <c r="HT82" i="2" s="1"/>
  <c r="LQ83" i="2"/>
  <c r="LR82" i="2"/>
  <c r="LS82" i="2" s="1"/>
  <c r="LT82" i="2" s="1"/>
  <c r="LU82" i="2" s="1"/>
  <c r="JF83" i="2"/>
  <c r="JG82" i="2"/>
  <c r="JH82" i="2" s="1"/>
  <c r="JI82" i="2" s="1"/>
  <c r="JJ82" i="2" s="1"/>
  <c r="GU83" i="2"/>
  <c r="GV82" i="2"/>
  <c r="GW82" i="2" s="1"/>
  <c r="GX82" i="2" s="1"/>
  <c r="GY82" i="2" s="1"/>
  <c r="FE83" i="2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AJ82" i="2"/>
  <c r="AK82" i="2" s="1"/>
  <c r="AL82" i="2" s="1"/>
  <c r="AM82" i="2" s="1"/>
  <c r="KB83" i="2" l="1"/>
  <c r="KC83" i="2" s="1"/>
  <c r="KD83" i="2" s="1"/>
  <c r="KE83" i="2" s="1"/>
  <c r="KA84" i="2"/>
  <c r="KW83" i="2"/>
  <c r="KX83" i="2" s="1"/>
  <c r="KY83" i="2" s="1"/>
  <c r="KZ83" i="2" s="1"/>
  <c r="KV84" i="2"/>
  <c r="IL83" i="2"/>
  <c r="IM83" i="2" s="1"/>
  <c r="IN83" i="2" s="1"/>
  <c r="IO83" i="2" s="1"/>
  <c r="IK84" i="2"/>
  <c r="JG83" i="2"/>
  <c r="JH83" i="2" s="1"/>
  <c r="JI83" i="2" s="1"/>
  <c r="JJ83" i="2" s="1"/>
  <c r="JF84" i="2"/>
  <c r="HP84" i="2"/>
  <c r="HQ83" i="2"/>
  <c r="HR83" i="2" s="1"/>
  <c r="HS83" i="2" s="1"/>
  <c r="HT83" i="2" s="1"/>
  <c r="OB84" i="2"/>
  <c r="OC83" i="2"/>
  <c r="OD83" i="2" s="1"/>
  <c r="OE83" i="2" s="1"/>
  <c r="OF83" i="2" s="1"/>
  <c r="LR83" i="2"/>
  <c r="LS83" i="2" s="1"/>
  <c r="LT83" i="2" s="1"/>
  <c r="LU83" i="2" s="1"/>
  <c r="LQ84" i="2"/>
  <c r="ML84" i="2"/>
  <c r="MM83" i="2"/>
  <c r="MN83" i="2" s="1"/>
  <c r="MO83" i="2" s="1"/>
  <c r="MP83" i="2" s="1"/>
  <c r="OW84" i="2"/>
  <c r="OX83" i="2"/>
  <c r="OY83" i="2" s="1"/>
  <c r="OZ83" i="2" s="1"/>
  <c r="PA83" i="2" s="1"/>
  <c r="NG84" i="2"/>
  <c r="NH83" i="2"/>
  <c r="NI83" i="2" s="1"/>
  <c r="NJ83" i="2" s="1"/>
  <c r="NK83" i="2" s="1"/>
  <c r="GU84" i="2"/>
  <c r="GV83" i="2"/>
  <c r="GW83" i="2" s="1"/>
  <c r="GX83" i="2" s="1"/>
  <c r="GY83" i="2" s="1"/>
  <c r="FE84" i="2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AJ83" i="2"/>
  <c r="AK83" i="2" s="1"/>
  <c r="AL83" i="2" s="1"/>
  <c r="AM83" i="2" s="1"/>
  <c r="LA52" i="2" l="1"/>
  <c r="LA64" i="2"/>
  <c r="LA7" i="2"/>
  <c r="LA188" i="2"/>
  <c r="LA112" i="2"/>
  <c r="LA15" i="2"/>
  <c r="LA173" i="2"/>
  <c r="LA6" i="2"/>
  <c r="LA193" i="2"/>
  <c r="LA72" i="2"/>
  <c r="LA22" i="2"/>
  <c r="LA165" i="2"/>
  <c r="LA9" i="2"/>
  <c r="LA196" i="2"/>
  <c r="LA30" i="2"/>
  <c r="LA149" i="2"/>
  <c r="LA60" i="2"/>
  <c r="LA133" i="2"/>
  <c r="LA68" i="2"/>
  <c r="LA84" i="2"/>
  <c r="LA3" i="2"/>
  <c r="C20" i="4" s="1"/>
  <c r="E20" i="4" s="1"/>
  <c r="F20" i="4" s="1"/>
  <c r="G20" i="4" s="1"/>
  <c r="L20" i="4" s="1"/>
  <c r="LA180" i="2"/>
  <c r="LA202" i="2"/>
  <c r="LA203" i="2"/>
  <c r="LA151" i="2"/>
  <c r="LA130" i="2"/>
  <c r="LA41" i="2"/>
  <c r="LA181" i="2"/>
  <c r="LA96" i="2"/>
  <c r="LA147" i="2"/>
  <c r="LA162" i="2"/>
  <c r="LA25" i="2"/>
  <c r="LA138" i="2"/>
  <c r="LA97" i="2"/>
  <c r="LA187" i="2"/>
  <c r="LA98" i="2"/>
  <c r="LA142" i="2"/>
  <c r="LA61" i="2"/>
  <c r="LA38" i="2"/>
  <c r="LA29" i="2"/>
  <c r="LA160" i="2"/>
  <c r="LA171" i="2"/>
  <c r="LA94" i="2"/>
  <c r="LA144" i="2"/>
  <c r="LA106" i="2"/>
  <c r="LA178" i="2"/>
  <c r="LA90" i="2"/>
  <c r="LA111" i="2"/>
  <c r="LA132" i="2"/>
  <c r="LA74" i="2"/>
  <c r="LA108" i="2"/>
  <c r="LA36" i="2"/>
  <c r="LA156" i="2"/>
  <c r="LA152" i="2"/>
  <c r="LA195" i="2"/>
  <c r="LA85" i="2"/>
  <c r="LA24" i="2"/>
  <c r="LA20" i="2"/>
  <c r="LA170" i="2"/>
  <c r="LA129" i="2"/>
  <c r="LA102" i="2"/>
  <c r="LA11" i="2"/>
  <c r="LA119" i="2"/>
  <c r="LA88" i="2"/>
  <c r="LA34" i="2"/>
  <c r="LA148" i="2"/>
  <c r="LA166" i="2"/>
  <c r="LA100" i="2"/>
  <c r="LA27" i="2"/>
  <c r="LA99" i="2"/>
  <c r="LA194" i="2"/>
  <c r="LA128" i="2"/>
  <c r="LA4" i="2"/>
  <c r="LA12" i="2"/>
  <c r="LA115" i="2"/>
  <c r="LA71" i="2"/>
  <c r="LA95" i="2"/>
  <c r="LA157" i="2"/>
  <c r="LA43" i="2"/>
  <c r="LA121" i="2"/>
  <c r="LA146" i="2"/>
  <c r="LA54" i="2"/>
  <c r="LA175" i="2"/>
  <c r="LA56" i="2"/>
  <c r="LA53" i="2"/>
  <c r="LA13" i="2"/>
  <c r="LA59" i="2"/>
  <c r="LA47" i="2"/>
  <c r="LA55" i="2"/>
  <c r="LA91" i="2"/>
  <c r="LA18" i="2"/>
  <c r="LA155" i="2"/>
  <c r="LA104" i="2"/>
  <c r="LA159" i="2"/>
  <c r="LA75" i="2"/>
  <c r="LA176" i="2"/>
  <c r="LA101" i="2"/>
  <c r="LA201" i="2"/>
  <c r="LA21" i="2"/>
  <c r="LA184" i="2"/>
  <c r="LA154" i="2"/>
  <c r="LA45" i="2"/>
  <c r="LA116" i="2"/>
  <c r="LA35" i="2"/>
  <c r="LA167" i="2"/>
  <c r="LA87" i="2"/>
  <c r="LA83" i="2"/>
  <c r="LA5" i="2"/>
  <c r="LA125" i="2"/>
  <c r="LA127" i="2"/>
  <c r="LA57" i="2"/>
  <c r="LA42" i="2"/>
  <c r="LA93" i="2"/>
  <c r="LA197" i="2"/>
  <c r="LA19" i="2"/>
  <c r="LA123" i="2"/>
  <c r="LA103" i="2"/>
  <c r="LA49" i="2"/>
  <c r="LA8" i="2"/>
  <c r="LA44" i="2"/>
  <c r="LA82" i="2"/>
  <c r="LA33" i="2"/>
  <c r="LA191" i="2"/>
  <c r="LA190" i="2"/>
  <c r="LA150" i="2"/>
  <c r="LA124" i="2"/>
  <c r="LA28" i="2"/>
  <c r="LA70" i="2"/>
  <c r="LA107" i="2"/>
  <c r="LA66" i="2"/>
  <c r="LA199" i="2"/>
  <c r="LA137" i="2"/>
  <c r="LA40" i="2"/>
  <c r="LA78" i="2"/>
  <c r="LA79" i="2"/>
  <c r="LA89" i="2"/>
  <c r="LA139" i="2"/>
  <c r="LA136" i="2"/>
  <c r="LA183" i="2"/>
  <c r="LA67" i="2"/>
  <c r="LA177" i="2"/>
  <c r="LA117" i="2"/>
  <c r="LA62" i="2"/>
  <c r="LA50" i="2"/>
  <c r="LA153" i="2"/>
  <c r="LA189" i="2"/>
  <c r="LA172" i="2"/>
  <c r="LA46" i="2"/>
  <c r="LA192" i="2"/>
  <c r="LA32" i="2"/>
  <c r="LA69" i="2"/>
  <c r="LA109" i="2"/>
  <c r="LA186" i="2"/>
  <c r="LA182" i="2"/>
  <c r="LA174" i="2"/>
  <c r="LA58" i="2"/>
  <c r="LA81" i="2"/>
  <c r="LA17" i="2"/>
  <c r="LA168" i="2"/>
  <c r="LA26" i="2"/>
  <c r="LA118" i="2"/>
  <c r="LA105" i="2"/>
  <c r="LA73" i="2"/>
  <c r="LA158" i="2"/>
  <c r="LA76" i="2"/>
  <c r="LA198" i="2"/>
  <c r="LA131" i="2"/>
  <c r="LA169" i="2"/>
  <c r="LA92" i="2"/>
  <c r="LA51" i="2"/>
  <c r="LA161" i="2"/>
  <c r="LA140" i="2"/>
  <c r="LA113" i="2"/>
  <c r="LA63" i="2"/>
  <c r="LA10" i="2"/>
  <c r="LA126" i="2"/>
  <c r="LA120" i="2"/>
  <c r="LA65" i="2"/>
  <c r="LA31" i="2"/>
  <c r="LA164" i="2"/>
  <c r="LA143" i="2"/>
  <c r="LA145" i="2"/>
  <c r="LA86" i="2"/>
  <c r="LA141" i="2"/>
  <c r="LA77" i="2"/>
  <c r="LA37" i="2"/>
  <c r="LA185" i="2"/>
  <c r="LA48" i="2"/>
  <c r="LA14" i="2"/>
  <c r="LA163" i="2"/>
  <c r="LA122" i="2"/>
  <c r="LA179" i="2"/>
  <c r="LA23" i="2"/>
  <c r="LA135" i="2"/>
  <c r="LA114" i="2"/>
  <c r="LA80" i="2"/>
  <c r="LA200" i="2"/>
  <c r="LA16" i="2"/>
  <c r="LA110" i="2"/>
  <c r="LA39" i="2"/>
  <c r="LA134" i="2"/>
  <c r="GE102" i="2"/>
  <c r="GE164" i="2"/>
  <c r="GE9" i="2"/>
  <c r="GE157" i="2"/>
  <c r="GE198" i="2"/>
  <c r="GE64" i="2"/>
  <c r="GE42" i="2"/>
  <c r="GE50" i="2"/>
  <c r="GE140" i="2"/>
  <c r="GE89" i="2"/>
  <c r="GE84" i="2"/>
  <c r="GE112" i="2"/>
  <c r="GE159" i="2"/>
  <c r="GE190" i="2"/>
  <c r="GE165" i="2"/>
  <c r="GE160" i="2"/>
  <c r="GE114" i="2"/>
  <c r="GE83" i="2"/>
  <c r="GE163" i="2"/>
  <c r="GE51" i="2"/>
  <c r="GE25" i="2"/>
  <c r="GE166" i="2"/>
  <c r="GE68" i="2"/>
  <c r="GE174" i="2"/>
  <c r="GE107" i="2"/>
  <c r="GE194" i="2"/>
  <c r="GE146" i="2"/>
  <c r="GE161" i="2"/>
  <c r="GE170" i="2"/>
  <c r="GE98" i="2"/>
  <c r="GE6" i="2"/>
  <c r="GE93" i="2"/>
  <c r="GE136" i="2"/>
  <c r="GE178" i="2"/>
  <c r="GE103" i="2"/>
  <c r="GE74" i="2"/>
  <c r="GE17" i="2"/>
  <c r="GE39" i="2"/>
  <c r="GE121" i="2"/>
  <c r="GE131" i="2"/>
  <c r="GE99" i="2"/>
  <c r="GE46" i="2"/>
  <c r="GE48" i="2"/>
  <c r="GE28" i="2"/>
  <c r="GE142" i="2"/>
  <c r="GE105" i="2"/>
  <c r="GE19" i="2"/>
  <c r="GE130" i="2"/>
  <c r="GE14" i="2"/>
  <c r="GE97" i="2"/>
  <c r="GE173" i="2"/>
  <c r="GE13" i="2"/>
  <c r="GE143" i="2"/>
  <c r="GE177" i="2"/>
  <c r="GE41" i="2"/>
  <c r="GE104" i="2"/>
  <c r="GE59" i="2"/>
  <c r="GE144" i="2"/>
  <c r="GE156" i="2"/>
  <c r="GE62" i="2"/>
  <c r="GE81" i="2"/>
  <c r="GE5" i="2"/>
  <c r="GE127" i="2"/>
  <c r="GE31" i="2"/>
  <c r="GE176" i="2"/>
  <c r="GE32" i="2"/>
  <c r="GE47" i="2"/>
  <c r="GE79" i="2"/>
  <c r="GE16" i="2"/>
  <c r="GE185" i="2"/>
  <c r="GE172" i="2"/>
  <c r="GE147" i="2"/>
  <c r="GE189" i="2"/>
  <c r="GE15" i="2"/>
  <c r="GE191" i="2"/>
  <c r="GE133" i="2"/>
  <c r="GE145" i="2"/>
  <c r="GE3" i="2"/>
  <c r="C14" i="4" s="1"/>
  <c r="GE111" i="2"/>
  <c r="GE106" i="2"/>
  <c r="GE70" i="2"/>
  <c r="GE200" i="2"/>
  <c r="GE20" i="2"/>
  <c r="GE188" i="2"/>
  <c r="GE152" i="2"/>
  <c r="GE148" i="2"/>
  <c r="GE120" i="2"/>
  <c r="GE10" i="2"/>
  <c r="GE115" i="2"/>
  <c r="GE110" i="2"/>
  <c r="GE78" i="2"/>
  <c r="GE75" i="2"/>
  <c r="GE126" i="2"/>
  <c r="GE72" i="2"/>
  <c r="GE184" i="2"/>
  <c r="GE53" i="2"/>
  <c r="GE135" i="2"/>
  <c r="GE71" i="2"/>
  <c r="GE109" i="2"/>
  <c r="GE202" i="2"/>
  <c r="GE43" i="2"/>
  <c r="GE18" i="2"/>
  <c r="GE44" i="2"/>
  <c r="GE52" i="2"/>
  <c r="GE183" i="2"/>
  <c r="GE169" i="2"/>
  <c r="GE203" i="2"/>
  <c r="GE49" i="2"/>
  <c r="GE201" i="2"/>
  <c r="GE186" i="2"/>
  <c r="GE21" i="2"/>
  <c r="GE122" i="2"/>
  <c r="GE180" i="2"/>
  <c r="GE187" i="2"/>
  <c r="GE108" i="2"/>
  <c r="GE80" i="2"/>
  <c r="GE137" i="2"/>
  <c r="GE87" i="2"/>
  <c r="GE118" i="2"/>
  <c r="GE33" i="2"/>
  <c r="GE116" i="2"/>
  <c r="GE36" i="2"/>
  <c r="GE154" i="2"/>
  <c r="GE76" i="2"/>
  <c r="GE196" i="2"/>
  <c r="GE38" i="2"/>
  <c r="GE171" i="2"/>
  <c r="GE45" i="2"/>
  <c r="GE179" i="2"/>
  <c r="GE153" i="2"/>
  <c r="GE82" i="2"/>
  <c r="GE40" i="2"/>
  <c r="GE92" i="2"/>
  <c r="GE61" i="2"/>
  <c r="GE155" i="2"/>
  <c r="GE95" i="2"/>
  <c r="GE119" i="2"/>
  <c r="GE94" i="2"/>
  <c r="GE26" i="2"/>
  <c r="GE86" i="2"/>
  <c r="GE149" i="2"/>
  <c r="GE4" i="2"/>
  <c r="GE139" i="2"/>
  <c r="GE192" i="2"/>
  <c r="GE58" i="2"/>
  <c r="GE100" i="2"/>
  <c r="GE91" i="2"/>
  <c r="GE22" i="2"/>
  <c r="GE123" i="2"/>
  <c r="GE167" i="2"/>
  <c r="GE27" i="2"/>
  <c r="GE8" i="2"/>
  <c r="GE128" i="2"/>
  <c r="GE29" i="2"/>
  <c r="GE158" i="2"/>
  <c r="GE162" i="2"/>
  <c r="GE67" i="2"/>
  <c r="GE7" i="2"/>
  <c r="GE168" i="2"/>
  <c r="GE175" i="2"/>
  <c r="GE124" i="2"/>
  <c r="GE90" i="2"/>
  <c r="GE56" i="2"/>
  <c r="GE125" i="2"/>
  <c r="GE30" i="2"/>
  <c r="GE73" i="2"/>
  <c r="GE66" i="2"/>
  <c r="GE65" i="2"/>
  <c r="GE96" i="2"/>
  <c r="GE55" i="2"/>
  <c r="GE35" i="2"/>
  <c r="GE34" i="2"/>
  <c r="GE85" i="2"/>
  <c r="GE88" i="2"/>
  <c r="GE113" i="2"/>
  <c r="GE193" i="2"/>
  <c r="GE134" i="2"/>
  <c r="GE150" i="2"/>
  <c r="GE138" i="2"/>
  <c r="GE12" i="2"/>
  <c r="GE54" i="2"/>
  <c r="GE11" i="2"/>
  <c r="GE63" i="2"/>
  <c r="GE57" i="2"/>
  <c r="GE24" i="2"/>
  <c r="GE182" i="2"/>
  <c r="GE69" i="2"/>
  <c r="GE199" i="2"/>
  <c r="GE129" i="2"/>
  <c r="GE132" i="2"/>
  <c r="GE117" i="2"/>
  <c r="GE101" i="2"/>
  <c r="GE37" i="2"/>
  <c r="GE60" i="2"/>
  <c r="GE181" i="2"/>
  <c r="GE195" i="2"/>
  <c r="GE197" i="2"/>
  <c r="GE141" i="2"/>
  <c r="GE23" i="2"/>
  <c r="GE151" i="2"/>
  <c r="GE77" i="2"/>
  <c r="GZ98" i="2"/>
  <c r="GZ89" i="2"/>
  <c r="GZ136" i="2"/>
  <c r="GZ169" i="2"/>
  <c r="GZ79" i="2"/>
  <c r="GZ47" i="2"/>
  <c r="GZ145" i="2"/>
  <c r="GZ161" i="2"/>
  <c r="GZ201" i="2"/>
  <c r="GZ25" i="2"/>
  <c r="GZ31" i="2"/>
  <c r="GZ124" i="2"/>
  <c r="GZ119" i="2"/>
  <c r="GZ27" i="2"/>
  <c r="GZ40" i="2"/>
  <c r="GZ37" i="2"/>
  <c r="GZ33" i="2"/>
  <c r="GZ96" i="2"/>
  <c r="GZ51" i="2"/>
  <c r="GZ48" i="2"/>
  <c r="GZ32" i="2"/>
  <c r="GZ198" i="2"/>
  <c r="GZ94" i="2"/>
  <c r="GZ46" i="2"/>
  <c r="GZ146" i="2"/>
  <c r="GZ153" i="2"/>
  <c r="GZ135" i="2"/>
  <c r="GZ162" i="2"/>
  <c r="GZ113" i="2"/>
  <c r="GZ137" i="2"/>
  <c r="GZ99" i="2"/>
  <c r="GZ195" i="2"/>
  <c r="GZ141" i="2"/>
  <c r="GZ29" i="2"/>
  <c r="GZ104" i="2"/>
  <c r="GZ82" i="2"/>
  <c r="GZ78" i="2"/>
  <c r="GZ143" i="2"/>
  <c r="GZ95" i="2"/>
  <c r="GZ11" i="2"/>
  <c r="GZ76" i="2"/>
  <c r="GZ127" i="2"/>
  <c r="GZ134" i="2"/>
  <c r="GZ22" i="2"/>
  <c r="GZ73" i="2"/>
  <c r="GZ38" i="2"/>
  <c r="GZ147" i="2"/>
  <c r="GZ115" i="2"/>
  <c r="GZ24" i="2"/>
  <c r="GZ109" i="2"/>
  <c r="GZ83" i="2"/>
  <c r="GZ88" i="2"/>
  <c r="GZ131" i="2"/>
  <c r="GZ101" i="2"/>
  <c r="GZ160" i="2"/>
  <c r="GZ17" i="2"/>
  <c r="GZ60" i="2"/>
  <c r="GZ140" i="2"/>
  <c r="GZ148" i="2"/>
  <c r="GZ108" i="2"/>
  <c r="GZ122" i="2"/>
  <c r="GZ58" i="2"/>
  <c r="GZ152" i="2"/>
  <c r="GZ54" i="2"/>
  <c r="GZ173" i="2"/>
  <c r="GZ166" i="2"/>
  <c r="GZ203" i="2"/>
  <c r="GZ178" i="2"/>
  <c r="GZ56" i="2"/>
  <c r="GZ149" i="2"/>
  <c r="GZ36" i="2"/>
  <c r="GZ120" i="2"/>
  <c r="GZ121" i="2"/>
  <c r="GZ18" i="2"/>
  <c r="GZ156" i="2"/>
  <c r="GZ61" i="2"/>
  <c r="GZ158" i="2"/>
  <c r="GZ200" i="2"/>
  <c r="GZ112" i="2"/>
  <c r="GZ41" i="2"/>
  <c r="GZ81" i="2"/>
  <c r="GZ142" i="2"/>
  <c r="GZ65" i="2"/>
  <c r="GZ163" i="2"/>
  <c r="GZ187" i="2"/>
  <c r="GZ68" i="2"/>
  <c r="GZ43" i="2"/>
  <c r="GZ183" i="2"/>
  <c r="GZ71" i="2"/>
  <c r="GZ77" i="2"/>
  <c r="GZ190" i="2"/>
  <c r="GZ19" i="2"/>
  <c r="GZ123" i="2"/>
  <c r="GZ193" i="2"/>
  <c r="GZ67" i="2"/>
  <c r="GZ172" i="2"/>
  <c r="GZ13" i="2"/>
  <c r="GZ69" i="2"/>
  <c r="GZ185" i="2"/>
  <c r="GZ23" i="2"/>
  <c r="GZ57" i="2"/>
  <c r="GZ35" i="2"/>
  <c r="GZ4" i="2"/>
  <c r="GZ167" i="2"/>
  <c r="GZ150" i="2"/>
  <c r="GZ62" i="2"/>
  <c r="GZ44" i="2"/>
  <c r="GZ66" i="2"/>
  <c r="GZ194" i="2"/>
  <c r="GZ110" i="2"/>
  <c r="GZ64" i="2"/>
  <c r="GZ159" i="2"/>
  <c r="GZ14" i="2"/>
  <c r="GZ91" i="2"/>
  <c r="GZ107" i="2"/>
  <c r="GZ138" i="2"/>
  <c r="GZ90" i="2"/>
  <c r="GZ155" i="2"/>
  <c r="GZ139" i="2"/>
  <c r="GZ93" i="2"/>
  <c r="GZ114" i="2"/>
  <c r="GZ118" i="2"/>
  <c r="GZ20" i="2"/>
  <c r="GZ105" i="2"/>
  <c r="GZ10" i="2"/>
  <c r="GZ16" i="2"/>
  <c r="GZ154" i="2"/>
  <c r="GZ151" i="2"/>
  <c r="GZ55" i="2"/>
  <c r="GZ191" i="2"/>
  <c r="GZ182" i="2"/>
  <c r="GZ157" i="2"/>
  <c r="GZ184" i="2"/>
  <c r="GZ28" i="2"/>
  <c r="GZ100" i="2"/>
  <c r="GZ42" i="2"/>
  <c r="GZ6" i="2"/>
  <c r="GZ165" i="2"/>
  <c r="GZ7" i="2"/>
  <c r="GZ30" i="2"/>
  <c r="GZ170" i="2"/>
  <c r="GZ12" i="2"/>
  <c r="GZ50" i="2"/>
  <c r="GZ199" i="2"/>
  <c r="GZ171" i="2"/>
  <c r="GZ26" i="2"/>
  <c r="GZ75" i="2"/>
  <c r="GZ116" i="2"/>
  <c r="GZ92" i="2"/>
  <c r="GZ21" i="2"/>
  <c r="GZ196" i="2"/>
  <c r="GZ117" i="2"/>
  <c r="GZ133" i="2"/>
  <c r="GZ202" i="2"/>
  <c r="GZ85" i="2"/>
  <c r="GZ179" i="2"/>
  <c r="GZ129" i="2"/>
  <c r="GZ188" i="2"/>
  <c r="GZ125" i="2"/>
  <c r="GZ5" i="2"/>
  <c r="GZ175" i="2"/>
  <c r="GZ53" i="2"/>
  <c r="GZ132" i="2"/>
  <c r="GZ176" i="2"/>
  <c r="GZ102" i="2"/>
  <c r="GZ86" i="2"/>
  <c r="GZ8" i="2"/>
  <c r="GZ74" i="2"/>
  <c r="GZ186" i="2"/>
  <c r="GZ52" i="2"/>
  <c r="GZ111" i="2"/>
  <c r="GZ126" i="2"/>
  <c r="GZ164" i="2"/>
  <c r="GZ180" i="2"/>
  <c r="GZ9" i="2"/>
  <c r="GZ80" i="2"/>
  <c r="GZ63" i="2"/>
  <c r="GZ87" i="2"/>
  <c r="GZ181" i="2"/>
  <c r="GZ45" i="2"/>
  <c r="GZ168" i="2"/>
  <c r="GZ39" i="2"/>
  <c r="GZ3" i="2"/>
  <c r="C15" i="4" s="1"/>
  <c r="GZ15" i="2"/>
  <c r="GZ97" i="2"/>
  <c r="GZ103" i="2"/>
  <c r="GZ70" i="2"/>
  <c r="GZ189" i="2"/>
  <c r="GZ177" i="2"/>
  <c r="GZ49" i="2"/>
  <c r="GZ192" i="2"/>
  <c r="GZ197" i="2"/>
  <c r="GZ84" i="2"/>
  <c r="GZ72" i="2"/>
  <c r="GZ130" i="2"/>
  <c r="GZ144" i="2"/>
  <c r="GZ34" i="2"/>
  <c r="GZ106" i="2"/>
  <c r="GZ174" i="2"/>
  <c r="GZ59" i="2"/>
  <c r="GZ128" i="2"/>
  <c r="JG84" i="2"/>
  <c r="JH84" i="2" s="1"/>
  <c r="JI84" i="2" s="1"/>
  <c r="JJ84" i="2" s="1"/>
  <c r="JF85" i="2"/>
  <c r="KV85" i="2"/>
  <c r="KW84" i="2"/>
  <c r="KX84" i="2" s="1"/>
  <c r="KY84" i="2" s="1"/>
  <c r="KZ84" i="2" s="1"/>
  <c r="NH84" i="2"/>
  <c r="NI84" i="2" s="1"/>
  <c r="NJ84" i="2" s="1"/>
  <c r="NK84" i="2" s="1"/>
  <c r="NG85" i="2"/>
  <c r="ML85" i="2"/>
  <c r="MM84" i="2"/>
  <c r="MN84" i="2" s="1"/>
  <c r="MO84" i="2" s="1"/>
  <c r="MP84" i="2" s="1"/>
  <c r="OB85" i="2"/>
  <c r="OC84" i="2"/>
  <c r="OD84" i="2" s="1"/>
  <c r="OE84" i="2" s="1"/>
  <c r="OF84" i="2" s="1"/>
  <c r="LR84" i="2"/>
  <c r="LS84" i="2" s="1"/>
  <c r="LT84" i="2" s="1"/>
  <c r="LU84" i="2" s="1"/>
  <c r="LQ85" i="2"/>
  <c r="IL84" i="2"/>
  <c r="IM84" i="2" s="1"/>
  <c r="IN84" i="2" s="1"/>
  <c r="IO84" i="2" s="1"/>
  <c r="IK85" i="2"/>
  <c r="KA85" i="2"/>
  <c r="KB84" i="2"/>
  <c r="KC84" i="2" s="1"/>
  <c r="KD84" i="2" s="1"/>
  <c r="KE84" i="2" s="1"/>
  <c r="OW85" i="2"/>
  <c r="OX84" i="2"/>
  <c r="OY84" i="2" s="1"/>
  <c r="OZ84" i="2" s="1"/>
  <c r="PA84" i="2" s="1"/>
  <c r="HP85" i="2"/>
  <c r="HQ84" i="2"/>
  <c r="HR84" i="2" s="1"/>
  <c r="HS84" i="2" s="1"/>
  <c r="HT84" i="2" s="1"/>
  <c r="GU85" i="2"/>
  <c r="GV84" i="2"/>
  <c r="GW84" i="2" s="1"/>
  <c r="GX84" i="2" s="1"/>
  <c r="GY84" i="2" s="1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AJ84" i="2"/>
  <c r="AK84" i="2" s="1"/>
  <c r="AL84" i="2" s="1"/>
  <c r="AM84" i="2" s="1"/>
  <c r="LQ86" i="2" l="1"/>
  <c r="LR85" i="2"/>
  <c r="LS85" i="2" s="1"/>
  <c r="LT85" i="2" s="1"/>
  <c r="LU85" i="2" s="1"/>
  <c r="HP86" i="2"/>
  <c r="HQ85" i="2"/>
  <c r="HR85" i="2" s="1"/>
  <c r="HS85" i="2" s="1"/>
  <c r="HT85" i="2" s="1"/>
  <c r="KB85" i="2"/>
  <c r="KC85" i="2" s="1"/>
  <c r="KD85" i="2" s="1"/>
  <c r="KE85" i="2" s="1"/>
  <c r="KA86" i="2"/>
  <c r="ML86" i="2"/>
  <c r="MM85" i="2"/>
  <c r="MN85" i="2" s="1"/>
  <c r="MO85" i="2" s="1"/>
  <c r="MP85" i="2" s="1"/>
  <c r="KV86" i="2"/>
  <c r="KW85" i="2"/>
  <c r="KX85" i="2" s="1"/>
  <c r="KY85" i="2" s="1"/>
  <c r="KZ85" i="2" s="1"/>
  <c r="IL85" i="2"/>
  <c r="IM85" i="2" s="1"/>
  <c r="IN85" i="2" s="1"/>
  <c r="IO85" i="2" s="1"/>
  <c r="IK86" i="2"/>
  <c r="NH85" i="2"/>
  <c r="NI85" i="2" s="1"/>
  <c r="NJ85" i="2" s="1"/>
  <c r="NK85" i="2" s="1"/>
  <c r="NG86" i="2"/>
  <c r="JF86" i="2"/>
  <c r="JG85" i="2"/>
  <c r="JH85" i="2" s="1"/>
  <c r="JI85" i="2" s="1"/>
  <c r="JJ85" i="2" s="1"/>
  <c r="OW86" i="2"/>
  <c r="OX85" i="2"/>
  <c r="OY85" i="2" s="1"/>
  <c r="OZ85" i="2" s="1"/>
  <c r="PA85" i="2" s="1"/>
  <c r="OC85" i="2"/>
  <c r="OD85" i="2" s="1"/>
  <c r="OE85" i="2" s="1"/>
  <c r="OF85" i="2" s="1"/>
  <c r="OB86" i="2"/>
  <c r="GU86" i="2"/>
  <c r="GV85" i="2"/>
  <c r="GW85" i="2" s="1"/>
  <c r="GX85" i="2" s="1"/>
  <c r="GY85" i="2" s="1"/>
  <c r="FE86" i="2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AJ85" i="2"/>
  <c r="AK85" i="2" s="1"/>
  <c r="AL85" i="2" s="1"/>
  <c r="AM85" i="2" s="1"/>
  <c r="OC86" i="2" l="1"/>
  <c r="OD86" i="2" s="1"/>
  <c r="OE86" i="2" s="1"/>
  <c r="OF86" i="2" s="1"/>
  <c r="OB87" i="2"/>
  <c r="IL86" i="2"/>
  <c r="IM86" i="2" s="1"/>
  <c r="IN86" i="2" s="1"/>
  <c r="IO86" i="2" s="1"/>
  <c r="IK87" i="2"/>
  <c r="JF87" i="2"/>
  <c r="JG86" i="2"/>
  <c r="JH86" i="2" s="1"/>
  <c r="JI86" i="2" s="1"/>
  <c r="JJ86" i="2" s="1"/>
  <c r="ML87" i="2"/>
  <c r="MM86" i="2"/>
  <c r="MN86" i="2" s="1"/>
  <c r="MO86" i="2" s="1"/>
  <c r="MP86" i="2" s="1"/>
  <c r="HP87" i="2"/>
  <c r="HQ86" i="2"/>
  <c r="HR86" i="2" s="1"/>
  <c r="HS86" i="2" s="1"/>
  <c r="HT86" i="2" s="1"/>
  <c r="NH86" i="2"/>
  <c r="NI86" i="2" s="1"/>
  <c r="NJ86" i="2" s="1"/>
  <c r="NK86" i="2" s="1"/>
  <c r="NG87" i="2"/>
  <c r="KA87" i="2"/>
  <c r="KB86" i="2"/>
  <c r="KC86" i="2" s="1"/>
  <c r="KD86" i="2" s="1"/>
  <c r="KE86" i="2" s="1"/>
  <c r="OW87" i="2"/>
  <c r="OX86" i="2"/>
  <c r="OY86" i="2" s="1"/>
  <c r="OZ86" i="2" s="1"/>
  <c r="PA86" i="2" s="1"/>
  <c r="KV87" i="2"/>
  <c r="KW86" i="2"/>
  <c r="KX86" i="2" s="1"/>
  <c r="KY86" i="2" s="1"/>
  <c r="KZ86" i="2" s="1"/>
  <c r="LQ87" i="2"/>
  <c r="LR86" i="2"/>
  <c r="LS86" i="2" s="1"/>
  <c r="LT86" i="2" s="1"/>
  <c r="LU86" i="2" s="1"/>
  <c r="GU87" i="2"/>
  <c r="GV86" i="2"/>
  <c r="GW86" i="2" s="1"/>
  <c r="GX86" i="2" s="1"/>
  <c r="GY86" i="2" s="1"/>
  <c r="FE87" i="2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AJ86" i="2"/>
  <c r="AK86" i="2" s="1"/>
  <c r="AL86" i="2" s="1"/>
  <c r="AM86" i="2" s="1"/>
  <c r="NH87" i="2" l="1"/>
  <c r="NI87" i="2" s="1"/>
  <c r="NJ87" i="2" s="1"/>
  <c r="NK87" i="2" s="1"/>
  <c r="NG88" i="2"/>
  <c r="IL87" i="2"/>
  <c r="IM87" i="2" s="1"/>
  <c r="IN87" i="2" s="1"/>
  <c r="IO87" i="2" s="1"/>
  <c r="IK88" i="2"/>
  <c r="LQ88" i="2"/>
  <c r="LR87" i="2"/>
  <c r="LS87" i="2" s="1"/>
  <c r="LT87" i="2" s="1"/>
  <c r="LU87" i="2" s="1"/>
  <c r="OW88" i="2"/>
  <c r="OX87" i="2"/>
  <c r="OY87" i="2" s="1"/>
  <c r="OZ87" i="2" s="1"/>
  <c r="PA87" i="2" s="1"/>
  <c r="ML88" i="2"/>
  <c r="MM87" i="2"/>
  <c r="MN87" i="2" s="1"/>
  <c r="MO87" i="2" s="1"/>
  <c r="MP87" i="2" s="1"/>
  <c r="OC87" i="2"/>
  <c r="OD87" i="2" s="1"/>
  <c r="OE87" i="2" s="1"/>
  <c r="OF87" i="2" s="1"/>
  <c r="OB88" i="2"/>
  <c r="KW87" i="2"/>
  <c r="KX87" i="2" s="1"/>
  <c r="KY87" i="2" s="1"/>
  <c r="KZ87" i="2" s="1"/>
  <c r="KV88" i="2"/>
  <c r="KB87" i="2"/>
  <c r="KC87" i="2" s="1"/>
  <c r="KD87" i="2" s="1"/>
  <c r="KE87" i="2" s="1"/>
  <c r="KA88" i="2"/>
  <c r="HP88" i="2"/>
  <c r="HQ87" i="2"/>
  <c r="HR87" i="2" s="1"/>
  <c r="HS87" i="2" s="1"/>
  <c r="HT87" i="2" s="1"/>
  <c r="JF88" i="2"/>
  <c r="JG87" i="2"/>
  <c r="JH87" i="2" s="1"/>
  <c r="JI87" i="2" s="1"/>
  <c r="JJ87" i="2" s="1"/>
  <c r="GU88" i="2"/>
  <c r="GV87" i="2"/>
  <c r="GW87" i="2" s="1"/>
  <c r="GX87" i="2" s="1"/>
  <c r="GY87" i="2" s="1"/>
  <c r="FE88" i="2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AJ87" i="2"/>
  <c r="AK87" i="2" s="1"/>
  <c r="AL87" i="2" s="1"/>
  <c r="AM87" i="2" s="1"/>
  <c r="KB88" i="2" l="1"/>
  <c r="KC88" i="2" s="1"/>
  <c r="KD88" i="2" s="1"/>
  <c r="KE88" i="2" s="1"/>
  <c r="KA89" i="2"/>
  <c r="OC88" i="2"/>
  <c r="OD88" i="2" s="1"/>
  <c r="OE88" i="2" s="1"/>
  <c r="OF88" i="2" s="1"/>
  <c r="OB89" i="2"/>
  <c r="IL88" i="2"/>
  <c r="IM88" i="2" s="1"/>
  <c r="IN88" i="2" s="1"/>
  <c r="IO88" i="2" s="1"/>
  <c r="IK89" i="2"/>
  <c r="JF89" i="2"/>
  <c r="JG88" i="2"/>
  <c r="JH88" i="2" s="1"/>
  <c r="JI88" i="2" s="1"/>
  <c r="JJ88" i="2" s="1"/>
  <c r="OW89" i="2"/>
  <c r="OX88" i="2"/>
  <c r="OY88" i="2" s="1"/>
  <c r="OZ88" i="2" s="1"/>
  <c r="PA88" i="2" s="1"/>
  <c r="KW88" i="2"/>
  <c r="KX88" i="2" s="1"/>
  <c r="KY88" i="2" s="1"/>
  <c r="KZ88" i="2" s="1"/>
  <c r="KV89" i="2"/>
  <c r="NH88" i="2"/>
  <c r="NI88" i="2" s="1"/>
  <c r="NJ88" i="2" s="1"/>
  <c r="NK88" i="2" s="1"/>
  <c r="NG89" i="2"/>
  <c r="HP89" i="2"/>
  <c r="HQ88" i="2"/>
  <c r="HR88" i="2" s="1"/>
  <c r="HS88" i="2" s="1"/>
  <c r="HT88" i="2" s="1"/>
  <c r="ML89" i="2"/>
  <c r="MM88" i="2"/>
  <c r="MN88" i="2" s="1"/>
  <c r="MO88" i="2" s="1"/>
  <c r="MP88" i="2" s="1"/>
  <c r="LQ89" i="2"/>
  <c r="LR88" i="2"/>
  <c r="LS88" i="2" s="1"/>
  <c r="LT88" i="2" s="1"/>
  <c r="LU88" i="2" s="1"/>
  <c r="GU89" i="2"/>
  <c r="GV88" i="2"/>
  <c r="GW88" i="2" s="1"/>
  <c r="GX88" i="2" s="1"/>
  <c r="GY88" i="2" s="1"/>
  <c r="FE89" i="2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AJ88" i="2"/>
  <c r="AK88" i="2" s="1"/>
  <c r="AL88" i="2" s="1"/>
  <c r="AM88" i="2" s="1"/>
  <c r="KV90" i="2" l="1"/>
  <c r="KW89" i="2"/>
  <c r="KX89" i="2" s="1"/>
  <c r="KY89" i="2" s="1"/>
  <c r="KZ89" i="2" s="1"/>
  <c r="OB90" i="2"/>
  <c r="OC89" i="2"/>
  <c r="OD89" i="2" s="1"/>
  <c r="OE89" i="2" s="1"/>
  <c r="OF89" i="2" s="1"/>
  <c r="LR89" i="2"/>
  <c r="LS89" i="2" s="1"/>
  <c r="LT89" i="2" s="1"/>
  <c r="LU89" i="2" s="1"/>
  <c r="LQ90" i="2"/>
  <c r="HP90" i="2"/>
  <c r="HQ89" i="2"/>
  <c r="HR89" i="2" s="1"/>
  <c r="HS89" i="2" s="1"/>
  <c r="HT89" i="2" s="1"/>
  <c r="NH89" i="2"/>
  <c r="NI89" i="2" s="1"/>
  <c r="NJ89" i="2" s="1"/>
  <c r="NK89" i="2" s="1"/>
  <c r="NG90" i="2"/>
  <c r="IL89" i="2"/>
  <c r="IM89" i="2" s="1"/>
  <c r="IN89" i="2" s="1"/>
  <c r="IO89" i="2" s="1"/>
  <c r="IK90" i="2"/>
  <c r="KB89" i="2"/>
  <c r="KC89" i="2" s="1"/>
  <c r="KD89" i="2" s="1"/>
  <c r="KE89" i="2" s="1"/>
  <c r="KA90" i="2"/>
  <c r="JG89" i="2"/>
  <c r="JH89" i="2" s="1"/>
  <c r="JI89" i="2" s="1"/>
  <c r="JJ89" i="2" s="1"/>
  <c r="JF90" i="2"/>
  <c r="ML90" i="2"/>
  <c r="MM89" i="2"/>
  <c r="MN89" i="2" s="1"/>
  <c r="MO89" i="2" s="1"/>
  <c r="MP89" i="2" s="1"/>
  <c r="OW90" i="2"/>
  <c r="OX89" i="2"/>
  <c r="OY89" i="2" s="1"/>
  <c r="OZ89" i="2" s="1"/>
  <c r="PA89" i="2" s="1"/>
  <c r="GU90" i="2"/>
  <c r="GV89" i="2"/>
  <c r="GW89" i="2" s="1"/>
  <c r="GX89" i="2" s="1"/>
  <c r="GY89" i="2" s="1"/>
  <c r="FE90" i="2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AJ89" i="2"/>
  <c r="AK89" i="2" s="1"/>
  <c r="AL89" i="2" s="1"/>
  <c r="AM89" i="2" s="1"/>
  <c r="JF91" i="2" l="1"/>
  <c r="JG90" i="2"/>
  <c r="JH90" i="2" s="1"/>
  <c r="JI90" i="2" s="1"/>
  <c r="JJ90" i="2" s="1"/>
  <c r="IL90" i="2"/>
  <c r="IM90" i="2" s="1"/>
  <c r="IN90" i="2" s="1"/>
  <c r="IO90" i="2" s="1"/>
  <c r="IK91" i="2"/>
  <c r="OW91" i="2"/>
  <c r="OX90" i="2"/>
  <c r="OY90" i="2" s="1"/>
  <c r="OZ90" i="2" s="1"/>
  <c r="PA90" i="2" s="1"/>
  <c r="HP91" i="2"/>
  <c r="HQ90" i="2"/>
  <c r="HR90" i="2" s="1"/>
  <c r="HS90" i="2" s="1"/>
  <c r="HT90" i="2" s="1"/>
  <c r="OC90" i="2"/>
  <c r="OD90" i="2" s="1"/>
  <c r="OE90" i="2" s="1"/>
  <c r="OF90" i="2" s="1"/>
  <c r="OB91" i="2"/>
  <c r="KB90" i="2"/>
  <c r="KC90" i="2" s="1"/>
  <c r="KD90" i="2" s="1"/>
  <c r="KE90" i="2" s="1"/>
  <c r="KA91" i="2"/>
  <c r="NG91" i="2"/>
  <c r="NH90" i="2"/>
  <c r="NI90" i="2" s="1"/>
  <c r="NJ90" i="2" s="1"/>
  <c r="NK90" i="2" s="1"/>
  <c r="LQ91" i="2"/>
  <c r="LR90" i="2"/>
  <c r="LS90" i="2" s="1"/>
  <c r="LT90" i="2" s="1"/>
  <c r="LU90" i="2" s="1"/>
  <c r="ML91" i="2"/>
  <c r="MM90" i="2"/>
  <c r="MN90" i="2" s="1"/>
  <c r="MO90" i="2" s="1"/>
  <c r="MP90" i="2" s="1"/>
  <c r="KW90" i="2"/>
  <c r="KX90" i="2" s="1"/>
  <c r="KY90" i="2" s="1"/>
  <c r="KZ90" i="2" s="1"/>
  <c r="KV91" i="2"/>
  <c r="GU91" i="2"/>
  <c r="GV90" i="2"/>
  <c r="GW90" i="2" s="1"/>
  <c r="GX90" i="2" s="1"/>
  <c r="GY90" i="2" s="1"/>
  <c r="FE91" i="2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AJ90" i="2"/>
  <c r="AK90" i="2" s="1"/>
  <c r="AL90" i="2" s="1"/>
  <c r="AM90" i="2" s="1"/>
  <c r="KW91" i="2" l="1"/>
  <c r="KX91" i="2" s="1"/>
  <c r="KY91" i="2" s="1"/>
  <c r="KZ91" i="2" s="1"/>
  <c r="KV92" i="2"/>
  <c r="KA92" i="2"/>
  <c r="KB91" i="2"/>
  <c r="KC91" i="2" s="1"/>
  <c r="KD91" i="2" s="1"/>
  <c r="KE91" i="2" s="1"/>
  <c r="IL91" i="2"/>
  <c r="IM91" i="2" s="1"/>
  <c r="IN91" i="2" s="1"/>
  <c r="IO91" i="2" s="1"/>
  <c r="IK92" i="2"/>
  <c r="LQ92" i="2"/>
  <c r="LR91" i="2"/>
  <c r="LS91" i="2" s="1"/>
  <c r="LT91" i="2" s="1"/>
  <c r="LU91" i="2" s="1"/>
  <c r="HP92" i="2"/>
  <c r="HQ91" i="2"/>
  <c r="HR91" i="2" s="1"/>
  <c r="HS91" i="2" s="1"/>
  <c r="HT91" i="2" s="1"/>
  <c r="OC91" i="2"/>
  <c r="OD91" i="2" s="1"/>
  <c r="OE91" i="2" s="1"/>
  <c r="OF91" i="2" s="1"/>
  <c r="OB92" i="2"/>
  <c r="ML92" i="2"/>
  <c r="MM91" i="2"/>
  <c r="MN91" i="2" s="1"/>
  <c r="MO91" i="2" s="1"/>
  <c r="MP91" i="2" s="1"/>
  <c r="NG92" i="2"/>
  <c r="NH91" i="2"/>
  <c r="NI91" i="2" s="1"/>
  <c r="NJ91" i="2" s="1"/>
  <c r="NK91" i="2" s="1"/>
  <c r="OW92" i="2"/>
  <c r="OX91" i="2"/>
  <c r="OY91" i="2" s="1"/>
  <c r="OZ91" i="2" s="1"/>
  <c r="PA91" i="2" s="1"/>
  <c r="JF92" i="2"/>
  <c r="JG91" i="2"/>
  <c r="JH91" i="2" s="1"/>
  <c r="JI91" i="2" s="1"/>
  <c r="JJ91" i="2" s="1"/>
  <c r="GU92" i="2"/>
  <c r="GV91" i="2"/>
  <c r="GW91" i="2" s="1"/>
  <c r="GX91" i="2" s="1"/>
  <c r="GY91" i="2" s="1"/>
  <c r="FE92" i="2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AJ91" i="2"/>
  <c r="AK91" i="2" s="1"/>
  <c r="AL91" i="2" s="1"/>
  <c r="AM91" i="2" s="1"/>
  <c r="OB93" i="2" l="1"/>
  <c r="OC92" i="2"/>
  <c r="OD92" i="2" s="1"/>
  <c r="OE92" i="2" s="1"/>
  <c r="OF92" i="2" s="1"/>
  <c r="JF93" i="2"/>
  <c r="JG92" i="2"/>
  <c r="JH92" i="2" s="1"/>
  <c r="JI92" i="2" s="1"/>
  <c r="JJ92" i="2" s="1"/>
  <c r="NH92" i="2"/>
  <c r="NI92" i="2" s="1"/>
  <c r="NJ92" i="2" s="1"/>
  <c r="NK92" i="2" s="1"/>
  <c r="NG93" i="2"/>
  <c r="LR92" i="2"/>
  <c r="LS92" i="2" s="1"/>
  <c r="LT92" i="2" s="1"/>
  <c r="LU92" i="2" s="1"/>
  <c r="LQ93" i="2"/>
  <c r="KB92" i="2"/>
  <c r="KC92" i="2" s="1"/>
  <c r="KD92" i="2" s="1"/>
  <c r="KE92" i="2" s="1"/>
  <c r="KA93" i="2"/>
  <c r="IL92" i="2"/>
  <c r="IM92" i="2" s="1"/>
  <c r="IN92" i="2" s="1"/>
  <c r="IO92" i="2" s="1"/>
  <c r="IK93" i="2"/>
  <c r="KV93" i="2"/>
  <c r="KW92" i="2"/>
  <c r="KX92" i="2" s="1"/>
  <c r="KY92" i="2" s="1"/>
  <c r="KZ92" i="2" s="1"/>
  <c r="OW93" i="2"/>
  <c r="OX92" i="2"/>
  <c r="OY92" i="2" s="1"/>
  <c r="OZ92" i="2" s="1"/>
  <c r="PA92" i="2" s="1"/>
  <c r="ML93" i="2"/>
  <c r="MM92" i="2"/>
  <c r="MN92" i="2" s="1"/>
  <c r="MO92" i="2" s="1"/>
  <c r="MP92" i="2" s="1"/>
  <c r="HP93" i="2"/>
  <c r="HQ92" i="2"/>
  <c r="HR92" i="2" s="1"/>
  <c r="HS92" i="2" s="1"/>
  <c r="HT92" i="2" s="1"/>
  <c r="GU93" i="2"/>
  <c r="GV92" i="2"/>
  <c r="GW92" i="2" s="1"/>
  <c r="GX92" i="2" s="1"/>
  <c r="GY92" i="2" s="1"/>
  <c r="FE93" i="2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AJ92" i="2"/>
  <c r="AK92" i="2" s="1"/>
  <c r="AL92" i="2" s="1"/>
  <c r="AM92" i="2" s="1"/>
  <c r="IL93" i="2" l="1"/>
  <c r="IK94" i="2"/>
  <c r="LQ94" i="2"/>
  <c r="LR93" i="2"/>
  <c r="LS93" i="2" s="1"/>
  <c r="LT93" i="2" s="1"/>
  <c r="LU93" i="2" s="1"/>
  <c r="HP94" i="2"/>
  <c r="HQ93" i="2"/>
  <c r="HR93" i="2" s="1"/>
  <c r="HS93" i="2" s="1"/>
  <c r="HT93" i="2" s="1"/>
  <c r="OW94" i="2"/>
  <c r="OX93" i="2"/>
  <c r="OY93" i="2" s="1"/>
  <c r="OZ93" i="2" s="1"/>
  <c r="PA93" i="2" s="1"/>
  <c r="JF94" i="2"/>
  <c r="JG93" i="2"/>
  <c r="JH93" i="2" s="1"/>
  <c r="JI93" i="2" s="1"/>
  <c r="JJ93" i="2" s="1"/>
  <c r="KB93" i="2"/>
  <c r="KC93" i="2" s="1"/>
  <c r="KD93" i="2" s="1"/>
  <c r="KE93" i="2" s="1"/>
  <c r="KA94" i="2"/>
  <c r="NG94" i="2"/>
  <c r="NH93" i="2"/>
  <c r="NI93" i="2" s="1"/>
  <c r="NJ93" i="2" s="1"/>
  <c r="NK93" i="2" s="1"/>
  <c r="ML94" i="2"/>
  <c r="MM93" i="2"/>
  <c r="MN93" i="2" s="1"/>
  <c r="MO93" i="2" s="1"/>
  <c r="MP93" i="2" s="1"/>
  <c r="KW93" i="2"/>
  <c r="KX93" i="2" s="1"/>
  <c r="KY93" i="2" s="1"/>
  <c r="KZ93" i="2" s="1"/>
  <c r="KV94" i="2"/>
  <c r="OC93" i="2"/>
  <c r="OD93" i="2" s="1"/>
  <c r="OE93" i="2" s="1"/>
  <c r="OF93" i="2" s="1"/>
  <c r="OB94" i="2"/>
  <c r="GU94" i="2"/>
  <c r="GV93" i="2"/>
  <c r="GW93" i="2" s="1"/>
  <c r="GX93" i="2" s="1"/>
  <c r="GY93" i="2" s="1"/>
  <c r="FE94" i="2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AJ93" i="2"/>
  <c r="AK93" i="2" s="1"/>
  <c r="AL93" i="2" s="1"/>
  <c r="AM93" i="2" s="1"/>
  <c r="OB95" i="2" l="1"/>
  <c r="OC94" i="2"/>
  <c r="OD94" i="2" s="1"/>
  <c r="OE94" i="2" s="1"/>
  <c r="OF94" i="2" s="1"/>
  <c r="KB94" i="2"/>
  <c r="KC94" i="2" s="1"/>
  <c r="KD94" i="2" s="1"/>
  <c r="KE94" i="2" s="1"/>
  <c r="KA95" i="2"/>
  <c r="ML95" i="2"/>
  <c r="MM94" i="2"/>
  <c r="MN94" i="2" s="1"/>
  <c r="MO94" i="2" s="1"/>
  <c r="MP94" i="2" s="1"/>
  <c r="OW95" i="2"/>
  <c r="OX94" i="2"/>
  <c r="OY94" i="2" s="1"/>
  <c r="OZ94" i="2" s="1"/>
  <c r="PA94" i="2" s="1"/>
  <c r="LR94" i="2"/>
  <c r="LS94" i="2" s="1"/>
  <c r="LT94" i="2" s="1"/>
  <c r="LU94" i="2" s="1"/>
  <c r="LQ95" i="2"/>
  <c r="IL94" i="2"/>
  <c r="IM94" i="2" s="1"/>
  <c r="IN94" i="2" s="1"/>
  <c r="IO94" i="2" s="1"/>
  <c r="IK95" i="2"/>
  <c r="KV95" i="2"/>
  <c r="KW94" i="2"/>
  <c r="KX94" i="2" s="1"/>
  <c r="KY94" i="2" s="1"/>
  <c r="KZ94" i="2" s="1"/>
  <c r="NH94" i="2"/>
  <c r="NI94" i="2" s="1"/>
  <c r="NJ94" i="2" s="1"/>
  <c r="NK94" i="2" s="1"/>
  <c r="NG95" i="2"/>
  <c r="JG94" i="2"/>
  <c r="JH94" i="2" s="1"/>
  <c r="JI94" i="2" s="1"/>
  <c r="JJ94" i="2" s="1"/>
  <c r="JF95" i="2"/>
  <c r="HP95" i="2"/>
  <c r="HQ94" i="2"/>
  <c r="HR94" i="2" s="1"/>
  <c r="HS94" i="2" s="1"/>
  <c r="HT94" i="2" s="1"/>
  <c r="IM93" i="2"/>
  <c r="IN93" i="2" s="1"/>
  <c r="IO93" i="2" s="1"/>
  <c r="GU95" i="2"/>
  <c r="GV94" i="2"/>
  <c r="GW94" i="2" s="1"/>
  <c r="GX94" i="2" s="1"/>
  <c r="GY94" i="2" s="1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AJ94" i="2"/>
  <c r="AK94" i="2" s="1"/>
  <c r="AL94" i="2" s="1"/>
  <c r="AM94" i="2" s="1"/>
  <c r="NG96" i="2" l="1"/>
  <c r="NH95" i="2"/>
  <c r="NI95" i="2" s="1"/>
  <c r="NJ95" i="2" s="1"/>
  <c r="NK95" i="2" s="1"/>
  <c r="IL95" i="2"/>
  <c r="IM95" i="2" s="1"/>
  <c r="IN95" i="2" s="1"/>
  <c r="IO95" i="2" s="1"/>
  <c r="IK96" i="2"/>
  <c r="KB95" i="2"/>
  <c r="KC95" i="2" s="1"/>
  <c r="KD95" i="2" s="1"/>
  <c r="KE95" i="2" s="1"/>
  <c r="KA96" i="2"/>
  <c r="HP96" i="2"/>
  <c r="HQ95" i="2"/>
  <c r="HR95" i="2" s="1"/>
  <c r="HS95" i="2" s="1"/>
  <c r="HT95" i="2" s="1"/>
  <c r="OW96" i="2"/>
  <c r="OX95" i="2"/>
  <c r="OY95" i="2" s="1"/>
  <c r="OZ95" i="2" s="1"/>
  <c r="PA95" i="2" s="1"/>
  <c r="JF96" i="2"/>
  <c r="JG95" i="2"/>
  <c r="JH95" i="2" s="1"/>
  <c r="JI95" i="2" s="1"/>
  <c r="JJ95" i="2" s="1"/>
  <c r="LQ96" i="2"/>
  <c r="LR95" i="2"/>
  <c r="LS95" i="2" s="1"/>
  <c r="LT95" i="2" s="1"/>
  <c r="LU95" i="2" s="1"/>
  <c r="KW95" i="2"/>
  <c r="KX95" i="2" s="1"/>
  <c r="KY95" i="2" s="1"/>
  <c r="KZ95" i="2" s="1"/>
  <c r="KV96" i="2"/>
  <c r="ML96" i="2"/>
  <c r="MM95" i="2"/>
  <c r="MN95" i="2" s="1"/>
  <c r="MO95" i="2" s="1"/>
  <c r="MP95" i="2" s="1"/>
  <c r="OC95" i="2"/>
  <c r="OD95" i="2" s="1"/>
  <c r="OE95" i="2" s="1"/>
  <c r="OF95" i="2" s="1"/>
  <c r="OB96" i="2"/>
  <c r="GU96" i="2"/>
  <c r="GV95" i="2"/>
  <c r="GW95" i="2" s="1"/>
  <c r="GX95" i="2" s="1"/>
  <c r="GY95" i="2" s="1"/>
  <c r="FE96" i="2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AJ95" i="2"/>
  <c r="AK95" i="2" s="1"/>
  <c r="AL95" i="2" s="1"/>
  <c r="AM95" i="2" s="1"/>
  <c r="OC96" i="2" l="1"/>
  <c r="OD96" i="2" s="1"/>
  <c r="OE96" i="2" s="1"/>
  <c r="OF96" i="2" s="1"/>
  <c r="OB97" i="2"/>
  <c r="KW96" i="2"/>
  <c r="KX96" i="2" s="1"/>
  <c r="KY96" i="2" s="1"/>
  <c r="KZ96" i="2" s="1"/>
  <c r="KV97" i="2"/>
  <c r="IL96" i="2"/>
  <c r="IM96" i="2" s="1"/>
  <c r="IN96" i="2" s="1"/>
  <c r="IO96" i="2" s="1"/>
  <c r="IK97" i="2"/>
  <c r="JF97" i="2"/>
  <c r="JG96" i="2"/>
  <c r="JH96" i="2" s="1"/>
  <c r="JI96" i="2" s="1"/>
  <c r="JJ96" i="2" s="1"/>
  <c r="HP97" i="2"/>
  <c r="HQ96" i="2"/>
  <c r="HR96" i="2" s="1"/>
  <c r="HS96" i="2" s="1"/>
  <c r="HT96" i="2" s="1"/>
  <c r="KB96" i="2"/>
  <c r="KC96" i="2" s="1"/>
  <c r="KD96" i="2" s="1"/>
  <c r="KE96" i="2" s="1"/>
  <c r="KA97" i="2"/>
  <c r="ML97" i="2"/>
  <c r="MM96" i="2"/>
  <c r="MN96" i="2" s="1"/>
  <c r="MO96" i="2" s="1"/>
  <c r="MP96" i="2" s="1"/>
  <c r="LQ97" i="2"/>
  <c r="LR96" i="2"/>
  <c r="LS96" i="2" s="1"/>
  <c r="LT96" i="2" s="1"/>
  <c r="LU96" i="2" s="1"/>
  <c r="OW97" i="2"/>
  <c r="OX96" i="2"/>
  <c r="OY96" i="2" s="1"/>
  <c r="OZ96" i="2" s="1"/>
  <c r="PA96" i="2" s="1"/>
  <c r="NG97" i="2"/>
  <c r="NH96" i="2"/>
  <c r="NI96" i="2" s="1"/>
  <c r="NJ96" i="2" s="1"/>
  <c r="NK96" i="2" s="1"/>
  <c r="GU97" i="2"/>
  <c r="GV96" i="2"/>
  <c r="GW96" i="2" s="1"/>
  <c r="GX96" i="2" s="1"/>
  <c r="GY96" i="2" s="1"/>
  <c r="FE97" i="2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AJ96" i="2"/>
  <c r="AK96" i="2" s="1"/>
  <c r="AL96" i="2" s="1"/>
  <c r="AM96" i="2" s="1"/>
  <c r="KA98" i="2" l="1"/>
  <c r="KB97" i="2"/>
  <c r="KC97" i="2" s="1"/>
  <c r="KD97" i="2" s="1"/>
  <c r="KE97" i="2" s="1"/>
  <c r="KW97" i="2"/>
  <c r="KX97" i="2" s="1"/>
  <c r="KY97" i="2" s="1"/>
  <c r="KZ97" i="2" s="1"/>
  <c r="KV98" i="2"/>
  <c r="NG98" i="2"/>
  <c r="NH97" i="2"/>
  <c r="NI97" i="2" s="1"/>
  <c r="NJ97" i="2" s="1"/>
  <c r="NK97" i="2" s="1"/>
  <c r="LQ98" i="2"/>
  <c r="LR97" i="2"/>
  <c r="LS97" i="2" s="1"/>
  <c r="LT97" i="2" s="1"/>
  <c r="LU97" i="2" s="1"/>
  <c r="JG97" i="2"/>
  <c r="JH97" i="2" s="1"/>
  <c r="JI97" i="2" s="1"/>
  <c r="JJ97" i="2" s="1"/>
  <c r="JF98" i="2"/>
  <c r="IL97" i="2"/>
  <c r="IM97" i="2" s="1"/>
  <c r="IN97" i="2" s="1"/>
  <c r="IO97" i="2" s="1"/>
  <c r="IK98" i="2"/>
  <c r="OC97" i="2"/>
  <c r="OD97" i="2" s="1"/>
  <c r="OE97" i="2" s="1"/>
  <c r="OF97" i="2" s="1"/>
  <c r="OB98" i="2"/>
  <c r="OW98" i="2"/>
  <c r="OX97" i="2"/>
  <c r="OY97" i="2" s="1"/>
  <c r="OZ97" i="2" s="1"/>
  <c r="PA97" i="2" s="1"/>
  <c r="ML98" i="2"/>
  <c r="MM97" i="2"/>
  <c r="MN97" i="2" s="1"/>
  <c r="MO97" i="2" s="1"/>
  <c r="MP97" i="2" s="1"/>
  <c r="HP98" i="2"/>
  <c r="HQ97" i="2"/>
  <c r="HR97" i="2" s="1"/>
  <c r="HS97" i="2" s="1"/>
  <c r="HT97" i="2" s="1"/>
  <c r="GU98" i="2"/>
  <c r="GV97" i="2"/>
  <c r="GW97" i="2" s="1"/>
  <c r="GX97" i="2" s="1"/>
  <c r="GY97" i="2" s="1"/>
  <c r="FE98" i="2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AJ97" i="2"/>
  <c r="AK97" i="2" s="1"/>
  <c r="AL97" i="2" s="1"/>
  <c r="AM97" i="2" s="1"/>
  <c r="IL98" i="2" l="1"/>
  <c r="IM98" i="2" s="1"/>
  <c r="IN98" i="2" s="1"/>
  <c r="IO98" i="2" s="1"/>
  <c r="IK99" i="2"/>
  <c r="KW98" i="2"/>
  <c r="KX98" i="2" s="1"/>
  <c r="KY98" i="2" s="1"/>
  <c r="KZ98" i="2" s="1"/>
  <c r="KV99" i="2"/>
  <c r="HP99" i="2"/>
  <c r="HQ98" i="2"/>
  <c r="HR98" i="2" s="1"/>
  <c r="HS98" i="2" s="1"/>
  <c r="HT98" i="2" s="1"/>
  <c r="OW99" i="2"/>
  <c r="OX98" i="2"/>
  <c r="OY98" i="2" s="1"/>
  <c r="OZ98" i="2" s="1"/>
  <c r="PA98" i="2" s="1"/>
  <c r="LQ99" i="2"/>
  <c r="LR98" i="2"/>
  <c r="LS98" i="2" s="1"/>
  <c r="LT98" i="2" s="1"/>
  <c r="LU98" i="2" s="1"/>
  <c r="OC98" i="2"/>
  <c r="OD98" i="2" s="1"/>
  <c r="OE98" i="2" s="1"/>
  <c r="OF98" i="2" s="1"/>
  <c r="OB99" i="2"/>
  <c r="JF99" i="2"/>
  <c r="JG98" i="2"/>
  <c r="JH98" i="2" s="1"/>
  <c r="JI98" i="2" s="1"/>
  <c r="JJ98" i="2" s="1"/>
  <c r="ML99" i="2"/>
  <c r="MM98" i="2"/>
  <c r="MN98" i="2" s="1"/>
  <c r="MO98" i="2" s="1"/>
  <c r="MP98" i="2" s="1"/>
  <c r="NG99" i="2"/>
  <c r="NH98" i="2"/>
  <c r="NI98" i="2" s="1"/>
  <c r="NJ98" i="2" s="1"/>
  <c r="NK98" i="2" s="1"/>
  <c r="KB98" i="2"/>
  <c r="KC98" i="2" s="1"/>
  <c r="KD98" i="2" s="1"/>
  <c r="KE98" i="2" s="1"/>
  <c r="KA99" i="2"/>
  <c r="GU99" i="2"/>
  <c r="GV98" i="2"/>
  <c r="GW98" i="2" s="1"/>
  <c r="GX98" i="2" s="1"/>
  <c r="GY98" i="2" s="1"/>
  <c r="FE99" i="2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AJ98" i="2"/>
  <c r="AK98" i="2" s="1"/>
  <c r="AL98" i="2" s="1"/>
  <c r="AM98" i="2" s="1"/>
  <c r="KB99" i="2" l="1"/>
  <c r="KC99" i="2" s="1"/>
  <c r="KD99" i="2" s="1"/>
  <c r="KE99" i="2" s="1"/>
  <c r="KA100" i="2"/>
  <c r="OB100" i="2"/>
  <c r="OC99" i="2"/>
  <c r="OD99" i="2" s="1"/>
  <c r="OE99" i="2" s="1"/>
  <c r="OF99" i="2" s="1"/>
  <c r="KW99" i="2"/>
  <c r="KX99" i="2" s="1"/>
  <c r="KY99" i="2" s="1"/>
  <c r="KZ99" i="2" s="1"/>
  <c r="KV100" i="2"/>
  <c r="ML100" i="2"/>
  <c r="MM99" i="2"/>
  <c r="MN99" i="2" s="1"/>
  <c r="MO99" i="2" s="1"/>
  <c r="MP99" i="2" s="1"/>
  <c r="OW100" i="2"/>
  <c r="OX99" i="2"/>
  <c r="OY99" i="2" s="1"/>
  <c r="OZ99" i="2" s="1"/>
  <c r="PA99" i="2" s="1"/>
  <c r="IL99" i="2"/>
  <c r="IM99" i="2" s="1"/>
  <c r="IN99" i="2" s="1"/>
  <c r="IO99" i="2" s="1"/>
  <c r="IK100" i="2"/>
  <c r="NG100" i="2"/>
  <c r="NH99" i="2"/>
  <c r="NI99" i="2" s="1"/>
  <c r="NJ99" i="2" s="1"/>
  <c r="NK99" i="2" s="1"/>
  <c r="JG99" i="2"/>
  <c r="JH99" i="2" s="1"/>
  <c r="JI99" i="2" s="1"/>
  <c r="JJ99" i="2" s="1"/>
  <c r="JF100" i="2"/>
  <c r="LR99" i="2"/>
  <c r="LS99" i="2" s="1"/>
  <c r="LT99" i="2" s="1"/>
  <c r="LU99" i="2" s="1"/>
  <c r="LQ100" i="2"/>
  <c r="HP100" i="2"/>
  <c r="HQ99" i="2"/>
  <c r="HR99" i="2" s="1"/>
  <c r="HS99" i="2" s="1"/>
  <c r="HT99" i="2" s="1"/>
  <c r="GU100" i="2"/>
  <c r="GV99" i="2"/>
  <c r="GW99" i="2" s="1"/>
  <c r="GX99" i="2" s="1"/>
  <c r="GY99" i="2" s="1"/>
  <c r="FE100" i="2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AJ99" i="2"/>
  <c r="AK99" i="2" s="1"/>
  <c r="AL99" i="2" s="1"/>
  <c r="AM99" i="2" s="1"/>
  <c r="JF101" i="2" l="1"/>
  <c r="JG100" i="2"/>
  <c r="JH100" i="2" s="1"/>
  <c r="JI100" i="2" s="1"/>
  <c r="JJ100" i="2" s="1"/>
  <c r="IL100" i="2"/>
  <c r="IM100" i="2" s="1"/>
  <c r="IN100" i="2" s="1"/>
  <c r="IO100" i="2" s="1"/>
  <c r="IK101" i="2"/>
  <c r="HP101" i="2"/>
  <c r="HQ100" i="2"/>
  <c r="HR100" i="2" s="1"/>
  <c r="HS100" i="2" s="1"/>
  <c r="HT100" i="2" s="1"/>
  <c r="ML101" i="2"/>
  <c r="MM100" i="2"/>
  <c r="MN100" i="2" s="1"/>
  <c r="MO100" i="2" s="1"/>
  <c r="MP100" i="2" s="1"/>
  <c r="OC100" i="2"/>
  <c r="OD100" i="2" s="1"/>
  <c r="OE100" i="2" s="1"/>
  <c r="OF100" i="2" s="1"/>
  <c r="OB101" i="2"/>
  <c r="LQ101" i="2"/>
  <c r="LR100" i="2"/>
  <c r="LS100" i="2" s="1"/>
  <c r="LT100" i="2" s="1"/>
  <c r="LU100" i="2" s="1"/>
  <c r="KW100" i="2"/>
  <c r="KX100" i="2" s="1"/>
  <c r="KY100" i="2" s="1"/>
  <c r="KZ100" i="2" s="1"/>
  <c r="KV101" i="2"/>
  <c r="KA101" i="2"/>
  <c r="KB100" i="2"/>
  <c r="KC100" i="2" s="1"/>
  <c r="KD100" i="2" s="1"/>
  <c r="KE100" i="2" s="1"/>
  <c r="NG101" i="2"/>
  <c r="NH100" i="2"/>
  <c r="NI100" i="2" s="1"/>
  <c r="NJ100" i="2" s="1"/>
  <c r="NK100" i="2" s="1"/>
  <c r="OW101" i="2"/>
  <c r="OX100" i="2"/>
  <c r="OY100" i="2" s="1"/>
  <c r="OZ100" i="2" s="1"/>
  <c r="PA100" i="2" s="1"/>
  <c r="GU101" i="2"/>
  <c r="GV100" i="2"/>
  <c r="GW100" i="2" s="1"/>
  <c r="GX100" i="2" s="1"/>
  <c r="GY100" i="2" s="1"/>
  <c r="FE101" i="2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AJ100" i="2"/>
  <c r="AK100" i="2" s="1"/>
  <c r="AL100" i="2" s="1"/>
  <c r="AM100" i="2" s="1"/>
  <c r="IL101" i="2" l="1"/>
  <c r="IM101" i="2" s="1"/>
  <c r="IN101" i="2" s="1"/>
  <c r="IO101" i="2" s="1"/>
  <c r="IK102" i="2"/>
  <c r="OW102" i="2"/>
  <c r="OX101" i="2"/>
  <c r="OY101" i="2" s="1"/>
  <c r="OZ101" i="2" s="1"/>
  <c r="PA101" i="2" s="1"/>
  <c r="KB101" i="2"/>
  <c r="KC101" i="2" s="1"/>
  <c r="KD101" i="2" s="1"/>
  <c r="KE101" i="2" s="1"/>
  <c r="KA102" i="2"/>
  <c r="LQ102" i="2"/>
  <c r="LR101" i="2"/>
  <c r="LS101" i="2" s="1"/>
  <c r="LT101" i="2" s="1"/>
  <c r="LU101" i="2" s="1"/>
  <c r="ML102" i="2"/>
  <c r="MM101" i="2"/>
  <c r="MN101" i="2" s="1"/>
  <c r="MO101" i="2" s="1"/>
  <c r="MP101" i="2" s="1"/>
  <c r="KW101" i="2"/>
  <c r="KX101" i="2" s="1"/>
  <c r="KY101" i="2" s="1"/>
  <c r="KZ101" i="2" s="1"/>
  <c r="KV102" i="2"/>
  <c r="OC101" i="2"/>
  <c r="OD101" i="2" s="1"/>
  <c r="OE101" i="2" s="1"/>
  <c r="OF101" i="2" s="1"/>
  <c r="OB102" i="2"/>
  <c r="NG102" i="2"/>
  <c r="NH101" i="2"/>
  <c r="NI101" i="2" s="1"/>
  <c r="NJ101" i="2" s="1"/>
  <c r="NK101" i="2" s="1"/>
  <c r="HP102" i="2"/>
  <c r="HQ101" i="2"/>
  <c r="HR101" i="2" s="1"/>
  <c r="HS101" i="2" s="1"/>
  <c r="HT101" i="2" s="1"/>
  <c r="JG101" i="2"/>
  <c r="JH101" i="2" s="1"/>
  <c r="JI101" i="2" s="1"/>
  <c r="JJ101" i="2" s="1"/>
  <c r="JF102" i="2"/>
  <c r="GU102" i="2"/>
  <c r="GV101" i="2"/>
  <c r="GW101" i="2" s="1"/>
  <c r="GX101" i="2" s="1"/>
  <c r="GY101" i="2" s="1"/>
  <c r="FE102" i="2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AJ101" i="2"/>
  <c r="AK101" i="2" s="1"/>
  <c r="AL101" i="2" s="1"/>
  <c r="AM101" i="2" s="1"/>
  <c r="JF103" i="2" l="1"/>
  <c r="JG102" i="2"/>
  <c r="JH102" i="2" s="1"/>
  <c r="JI102" i="2" s="1"/>
  <c r="JJ102" i="2" s="1"/>
  <c r="KW102" i="2"/>
  <c r="KX102" i="2" s="1"/>
  <c r="KY102" i="2" s="1"/>
  <c r="KZ102" i="2" s="1"/>
  <c r="KV103" i="2"/>
  <c r="NG103" i="2"/>
  <c r="NH102" i="2"/>
  <c r="NI102" i="2" s="1"/>
  <c r="NJ102" i="2" s="1"/>
  <c r="NK102" i="2" s="1"/>
  <c r="LR102" i="2"/>
  <c r="LS102" i="2" s="1"/>
  <c r="LT102" i="2" s="1"/>
  <c r="LU102" i="2" s="1"/>
  <c r="LQ103" i="2"/>
  <c r="OW103" i="2"/>
  <c r="OX102" i="2"/>
  <c r="OY102" i="2" s="1"/>
  <c r="OZ102" i="2" s="1"/>
  <c r="PA102" i="2" s="1"/>
  <c r="OC102" i="2"/>
  <c r="OD102" i="2" s="1"/>
  <c r="OE102" i="2" s="1"/>
  <c r="OF102" i="2" s="1"/>
  <c r="OB103" i="2"/>
  <c r="KB102" i="2"/>
  <c r="KC102" i="2" s="1"/>
  <c r="KD102" i="2" s="1"/>
  <c r="KE102" i="2" s="1"/>
  <c r="KA103" i="2"/>
  <c r="IL102" i="2"/>
  <c r="IM102" i="2" s="1"/>
  <c r="IN102" i="2" s="1"/>
  <c r="IO102" i="2" s="1"/>
  <c r="IK103" i="2"/>
  <c r="HP103" i="2"/>
  <c r="HQ102" i="2"/>
  <c r="HR102" i="2" s="1"/>
  <c r="HS102" i="2" s="1"/>
  <c r="HT102" i="2" s="1"/>
  <c r="ML103" i="2"/>
  <c r="MM102" i="2"/>
  <c r="MN102" i="2" s="1"/>
  <c r="MO102" i="2" s="1"/>
  <c r="MP102" i="2" s="1"/>
  <c r="GU103" i="2"/>
  <c r="GV102" i="2"/>
  <c r="GW102" i="2" s="1"/>
  <c r="GX102" i="2" s="1"/>
  <c r="GY102" i="2" s="1"/>
  <c r="FE103" i="2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AJ102" i="2"/>
  <c r="AK102" i="2" s="1"/>
  <c r="AL102" i="2" s="1"/>
  <c r="AM102" i="2" s="1"/>
  <c r="IL103" i="2" l="1"/>
  <c r="IM103" i="2" s="1"/>
  <c r="IN103" i="2" s="1"/>
  <c r="IO103" i="2" s="1"/>
  <c r="IK104" i="2"/>
  <c r="OC103" i="2"/>
  <c r="OD103" i="2" s="1"/>
  <c r="OE103" i="2" s="1"/>
  <c r="OF103" i="2" s="1"/>
  <c r="OB104" i="2"/>
  <c r="LQ104" i="2"/>
  <c r="LR103" i="2"/>
  <c r="LS103" i="2" s="1"/>
  <c r="LT103" i="2" s="1"/>
  <c r="LU103" i="2" s="1"/>
  <c r="KW103" i="2"/>
  <c r="KX103" i="2" s="1"/>
  <c r="KY103" i="2" s="1"/>
  <c r="KZ103" i="2" s="1"/>
  <c r="KV104" i="2"/>
  <c r="ML104" i="2"/>
  <c r="MM103" i="2"/>
  <c r="MN103" i="2" s="1"/>
  <c r="MO103" i="2" s="1"/>
  <c r="MP103" i="2" s="1"/>
  <c r="KB103" i="2"/>
  <c r="KC103" i="2" s="1"/>
  <c r="KD103" i="2" s="1"/>
  <c r="KE103" i="2" s="1"/>
  <c r="KA104" i="2"/>
  <c r="HP104" i="2"/>
  <c r="HQ103" i="2"/>
  <c r="HR103" i="2" s="1"/>
  <c r="HS103" i="2" s="1"/>
  <c r="HT103" i="2" s="1"/>
  <c r="OW104" i="2"/>
  <c r="OX103" i="2"/>
  <c r="OY103" i="2" s="1"/>
  <c r="OZ103" i="2" s="1"/>
  <c r="PA103" i="2" s="1"/>
  <c r="NG104" i="2"/>
  <c r="NH103" i="2"/>
  <c r="NI103" i="2" s="1"/>
  <c r="NJ103" i="2" s="1"/>
  <c r="NK103" i="2" s="1"/>
  <c r="JF104" i="2"/>
  <c r="JG103" i="2"/>
  <c r="JH103" i="2" s="1"/>
  <c r="JI103" i="2" s="1"/>
  <c r="JJ103" i="2" s="1"/>
  <c r="GU104" i="2"/>
  <c r="GV103" i="2"/>
  <c r="GW103" i="2" s="1"/>
  <c r="GX103" i="2" s="1"/>
  <c r="GY103" i="2" s="1"/>
  <c r="FE104" i="2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CD137" i="2" s="1"/>
  <c r="N104" i="2"/>
  <c r="O103" i="2"/>
  <c r="P103" i="2" s="1"/>
  <c r="Q103" i="2" s="1"/>
  <c r="R103" i="2" s="1"/>
  <c r="GA103" i="2"/>
  <c r="GB103" i="2" s="1"/>
  <c r="GC103" i="2" s="1"/>
  <c r="GD103" i="2" s="1"/>
  <c r="AJ103" i="2"/>
  <c r="AK103" i="2" s="1"/>
  <c r="AL103" i="2" s="1"/>
  <c r="AM103" i="2" s="1"/>
  <c r="CD109" i="2" l="1"/>
  <c r="CD110" i="2"/>
  <c r="CD30" i="2"/>
  <c r="CD198" i="2"/>
  <c r="CD50" i="2"/>
  <c r="CD167" i="2"/>
  <c r="CD46" i="2"/>
  <c r="CD7" i="2"/>
  <c r="CD171" i="2"/>
  <c r="CD106" i="2"/>
  <c r="CD51" i="2"/>
  <c r="CD85" i="2"/>
  <c r="CD84" i="2"/>
  <c r="CD24" i="2"/>
  <c r="CD126" i="2"/>
  <c r="CD170" i="2"/>
  <c r="CD191" i="2"/>
  <c r="CD93" i="2"/>
  <c r="CD163" i="2"/>
  <c r="CD185" i="2"/>
  <c r="CD80" i="2"/>
  <c r="CD101" i="2"/>
  <c r="CD174" i="2"/>
  <c r="CD12" i="2"/>
  <c r="CD136" i="2"/>
  <c r="CD31" i="2"/>
  <c r="CD82" i="2"/>
  <c r="CD141" i="2"/>
  <c r="CD181" i="2"/>
  <c r="CD199" i="2"/>
  <c r="CD144" i="2"/>
  <c r="CD133" i="2"/>
  <c r="CD34" i="2"/>
  <c r="CD182" i="2"/>
  <c r="CD175" i="2"/>
  <c r="CD29" i="2"/>
  <c r="CD203" i="2"/>
  <c r="CD69" i="2"/>
  <c r="CD102" i="2"/>
  <c r="CD19" i="2"/>
  <c r="CD11" i="2"/>
  <c r="CD184" i="2"/>
  <c r="CD27" i="2"/>
  <c r="CD166" i="2"/>
  <c r="CD18" i="2"/>
  <c r="CD193" i="2"/>
  <c r="CD113" i="2"/>
  <c r="CD201" i="2"/>
  <c r="CD122" i="2"/>
  <c r="CD75" i="2"/>
  <c r="CD40" i="2"/>
  <c r="CD25" i="2"/>
  <c r="CD20" i="2"/>
  <c r="CD91" i="2"/>
  <c r="CD44" i="2"/>
  <c r="CD153" i="2"/>
  <c r="CD200" i="2"/>
  <c r="CD156" i="2"/>
  <c r="CD130" i="2"/>
  <c r="CD87" i="2"/>
  <c r="CD53" i="2"/>
  <c r="CD129" i="2"/>
  <c r="CD194" i="2"/>
  <c r="CD154" i="2"/>
  <c r="CD23" i="2"/>
  <c r="CD165" i="2"/>
  <c r="CD96" i="2"/>
  <c r="CD177" i="2"/>
  <c r="CD125" i="2"/>
  <c r="CD39" i="2"/>
  <c r="CD169" i="2"/>
  <c r="CD74" i="2"/>
  <c r="CD135" i="2"/>
  <c r="CD3" i="2"/>
  <c r="C9" i="4" s="1"/>
  <c r="E9" i="4" s="1"/>
  <c r="F9" i="4" s="1"/>
  <c r="G9" i="4" s="1"/>
  <c r="L9" i="4" s="1"/>
  <c r="CD62" i="2"/>
  <c r="CD38" i="2"/>
  <c r="CD143" i="2"/>
  <c r="CD124" i="2"/>
  <c r="CD95" i="2"/>
  <c r="CD60" i="2"/>
  <c r="CD49" i="2"/>
  <c r="CD105" i="2"/>
  <c r="CD128" i="2"/>
  <c r="CD26" i="2"/>
  <c r="CD88" i="2"/>
  <c r="CD43" i="2"/>
  <c r="CD104" i="2"/>
  <c r="CD112" i="2"/>
  <c r="CD14" i="2"/>
  <c r="CD162" i="2"/>
  <c r="CD152" i="2"/>
  <c r="CD63" i="2"/>
  <c r="CD78" i="2"/>
  <c r="CD149" i="2"/>
  <c r="CD56" i="2"/>
  <c r="CD32" i="2"/>
  <c r="CD158" i="2"/>
  <c r="CD54" i="2"/>
  <c r="CD97" i="2"/>
  <c r="CD131" i="2"/>
  <c r="CD10" i="2"/>
  <c r="CD148" i="2"/>
  <c r="CD6" i="2"/>
  <c r="CD164" i="2"/>
  <c r="CD52" i="2"/>
  <c r="CD73" i="2"/>
  <c r="CD66" i="2"/>
  <c r="CD145" i="2"/>
  <c r="CD68" i="2"/>
  <c r="CD188" i="2"/>
  <c r="CD114" i="2"/>
  <c r="CD41" i="2"/>
  <c r="CD192" i="2"/>
  <c r="CD83" i="2"/>
  <c r="CD146" i="2"/>
  <c r="CD186" i="2"/>
  <c r="CD13" i="2"/>
  <c r="CD61" i="2"/>
  <c r="CD139" i="2"/>
  <c r="CD59" i="2"/>
  <c r="CD196" i="2"/>
  <c r="CD189" i="2"/>
  <c r="CD37" i="2"/>
  <c r="CD17" i="2"/>
  <c r="CD187" i="2"/>
  <c r="CD36" i="2"/>
  <c r="CD47" i="2"/>
  <c r="CD71" i="2"/>
  <c r="CD159" i="2"/>
  <c r="CD197" i="2"/>
  <c r="CD138" i="2"/>
  <c r="CD79" i="2"/>
  <c r="CD151" i="2"/>
  <c r="CD115" i="2"/>
  <c r="CD5" i="2"/>
  <c r="CD176" i="2"/>
  <c r="CD150" i="2"/>
  <c r="CD81" i="2"/>
  <c r="CD28" i="2"/>
  <c r="CD134" i="2"/>
  <c r="CD168" i="2"/>
  <c r="CD4" i="2"/>
  <c r="CD108" i="2"/>
  <c r="CD172" i="2"/>
  <c r="CD58" i="2"/>
  <c r="CD86" i="2"/>
  <c r="CD77" i="2"/>
  <c r="CD16" i="2"/>
  <c r="CD21" i="2"/>
  <c r="CD33" i="2"/>
  <c r="CD92" i="2"/>
  <c r="CD173" i="2"/>
  <c r="CD98" i="2"/>
  <c r="CD9" i="2"/>
  <c r="CD57" i="2"/>
  <c r="CD202" i="2"/>
  <c r="CD120" i="2"/>
  <c r="CD183" i="2"/>
  <c r="CD45" i="2"/>
  <c r="CD147" i="2"/>
  <c r="CD119" i="2"/>
  <c r="CD190" i="2"/>
  <c r="CD142" i="2"/>
  <c r="CD72" i="2"/>
  <c r="CD15" i="2"/>
  <c r="CD42" i="2"/>
  <c r="CD94" i="2"/>
  <c r="CD132" i="2"/>
  <c r="CD178" i="2"/>
  <c r="CD100" i="2"/>
  <c r="CD107" i="2"/>
  <c r="CD117" i="2"/>
  <c r="CD65" i="2"/>
  <c r="CD127" i="2"/>
  <c r="CD70" i="2"/>
  <c r="CD123" i="2"/>
  <c r="CD121" i="2"/>
  <c r="CD140" i="2"/>
  <c r="CD111" i="2"/>
  <c r="CD103" i="2"/>
  <c r="CD99" i="2"/>
  <c r="CD118" i="2"/>
  <c r="CD180" i="2"/>
  <c r="CD48" i="2"/>
  <c r="CD157" i="2"/>
  <c r="CD8" i="2"/>
  <c r="CD161" i="2"/>
  <c r="CD64" i="2"/>
  <c r="CD90" i="2"/>
  <c r="CD160" i="2"/>
  <c r="CD89" i="2"/>
  <c r="CD55" i="2"/>
  <c r="CD67" i="2"/>
  <c r="CD76" i="2"/>
  <c r="CD116" i="2"/>
  <c r="CD195" i="2"/>
  <c r="CD35" i="2"/>
  <c r="CD155" i="2"/>
  <c r="CD179" i="2"/>
  <c r="CD22" i="2"/>
  <c r="FJ106" i="2"/>
  <c r="FJ155" i="2"/>
  <c r="FJ36" i="2"/>
  <c r="FJ144" i="2"/>
  <c r="FJ91" i="2"/>
  <c r="FJ60" i="2"/>
  <c r="FJ54" i="2"/>
  <c r="FJ13" i="2"/>
  <c r="FJ105" i="2"/>
  <c r="FJ17" i="2"/>
  <c r="FJ132" i="2"/>
  <c r="FJ57" i="2"/>
  <c r="FJ68" i="2"/>
  <c r="FJ191" i="2"/>
  <c r="FJ100" i="2"/>
  <c r="FJ154" i="2"/>
  <c r="FJ79" i="2"/>
  <c r="FJ101" i="2"/>
  <c r="FJ10" i="2"/>
  <c r="FJ136" i="2"/>
  <c r="FJ90" i="2"/>
  <c r="FJ19" i="2"/>
  <c r="FJ88" i="2"/>
  <c r="FJ89" i="2"/>
  <c r="FJ62" i="2"/>
  <c r="FJ126" i="2"/>
  <c r="FJ29" i="2"/>
  <c r="FJ12" i="2"/>
  <c r="FJ82" i="2"/>
  <c r="FJ64" i="2"/>
  <c r="FJ61" i="2"/>
  <c r="FJ39" i="2"/>
  <c r="FJ113" i="2"/>
  <c r="FJ92" i="2"/>
  <c r="FJ73" i="2"/>
  <c r="FJ37" i="2"/>
  <c r="FJ34" i="2"/>
  <c r="FJ103" i="2"/>
  <c r="FJ22" i="2"/>
  <c r="FJ59" i="2"/>
  <c r="FJ43" i="2"/>
  <c r="FJ201" i="2"/>
  <c r="FJ198" i="2"/>
  <c r="FJ45" i="2"/>
  <c r="FJ58" i="2"/>
  <c r="FJ163" i="2"/>
  <c r="FJ178" i="2"/>
  <c r="FJ44" i="2"/>
  <c r="FJ195" i="2"/>
  <c r="FJ134" i="2"/>
  <c r="FJ80" i="2"/>
  <c r="FJ15" i="2"/>
  <c r="FJ31" i="2"/>
  <c r="FJ95" i="2"/>
  <c r="FJ42" i="2"/>
  <c r="FJ161" i="2"/>
  <c r="FJ24" i="2"/>
  <c r="FJ104" i="2"/>
  <c r="FJ5" i="2"/>
  <c r="FJ109" i="2"/>
  <c r="FJ25" i="2"/>
  <c r="FJ69" i="2"/>
  <c r="FJ6" i="2"/>
  <c r="FJ148" i="2"/>
  <c r="FJ76" i="2"/>
  <c r="FJ137" i="2"/>
  <c r="FJ160" i="2"/>
  <c r="FJ93" i="2"/>
  <c r="FJ157" i="2"/>
  <c r="FJ125" i="2"/>
  <c r="FJ168" i="2"/>
  <c r="FJ153" i="2"/>
  <c r="FJ8" i="2"/>
  <c r="FJ184" i="2"/>
  <c r="FJ171" i="2"/>
  <c r="FJ192" i="2"/>
  <c r="FJ23" i="2"/>
  <c r="FJ51" i="2"/>
  <c r="FJ197" i="2"/>
  <c r="FJ47" i="2"/>
  <c r="FJ142" i="2"/>
  <c r="FJ116" i="2"/>
  <c r="FJ165" i="2"/>
  <c r="FJ180" i="2"/>
  <c r="FJ84" i="2"/>
  <c r="FJ187" i="2"/>
  <c r="FJ182" i="2"/>
  <c r="FJ14" i="2"/>
  <c r="FJ179" i="2"/>
  <c r="FJ169" i="2"/>
  <c r="FJ67" i="2"/>
  <c r="FJ114" i="2"/>
  <c r="FJ135" i="2"/>
  <c r="FJ118" i="2"/>
  <c r="FJ139" i="2"/>
  <c r="FJ98" i="2"/>
  <c r="FJ111" i="2"/>
  <c r="FJ200" i="2"/>
  <c r="FJ119" i="2"/>
  <c r="FJ173" i="2"/>
  <c r="FJ96" i="2"/>
  <c r="FJ133" i="2"/>
  <c r="FJ115" i="2"/>
  <c r="FJ102" i="2"/>
  <c r="FJ129" i="2"/>
  <c r="FJ38" i="2"/>
  <c r="FJ50" i="2"/>
  <c r="FJ28" i="2"/>
  <c r="FJ122" i="2"/>
  <c r="FJ65" i="2"/>
  <c r="FJ167" i="2"/>
  <c r="FJ143" i="2"/>
  <c r="FJ27" i="2"/>
  <c r="FJ175" i="2"/>
  <c r="FJ81" i="2"/>
  <c r="FJ131" i="2"/>
  <c r="FJ117" i="2"/>
  <c r="FJ162" i="2"/>
  <c r="FJ196" i="2"/>
  <c r="FJ145" i="2"/>
  <c r="FJ26" i="2"/>
  <c r="FJ166" i="2"/>
  <c r="FJ52" i="2"/>
  <c r="FJ86" i="2"/>
  <c r="FJ110" i="2"/>
  <c r="FJ70" i="2"/>
  <c r="FJ53" i="2"/>
  <c r="FJ194" i="2"/>
  <c r="FJ140" i="2"/>
  <c r="FJ97" i="2"/>
  <c r="FJ123" i="2"/>
  <c r="FJ108" i="2"/>
  <c r="FJ20" i="2"/>
  <c r="FJ128" i="2"/>
  <c r="FJ158" i="2"/>
  <c r="FJ127" i="2"/>
  <c r="FJ188" i="2"/>
  <c r="FJ49" i="2"/>
  <c r="FJ183" i="2"/>
  <c r="FJ83" i="2"/>
  <c r="FJ4" i="2"/>
  <c r="FJ63" i="2"/>
  <c r="FJ41" i="2"/>
  <c r="FJ186" i="2"/>
  <c r="FJ141" i="2"/>
  <c r="FJ3" i="2"/>
  <c r="C13" i="4" s="1"/>
  <c r="E13" i="4" s="1"/>
  <c r="F13" i="4" s="1"/>
  <c r="G13" i="4" s="1"/>
  <c r="L13" i="4" s="1"/>
  <c r="FJ9" i="2"/>
  <c r="FJ55" i="2"/>
  <c r="FJ30" i="2"/>
  <c r="FJ146" i="2"/>
  <c r="FJ33" i="2"/>
  <c r="FJ35" i="2"/>
  <c r="FJ74" i="2"/>
  <c r="FJ66" i="2"/>
  <c r="FJ172" i="2"/>
  <c r="FJ177" i="2"/>
  <c r="FJ46" i="2"/>
  <c r="FJ11" i="2"/>
  <c r="FJ130" i="2"/>
  <c r="FJ199" i="2"/>
  <c r="FJ150" i="2"/>
  <c r="FJ193" i="2"/>
  <c r="FJ185" i="2"/>
  <c r="FJ85" i="2"/>
  <c r="FJ77" i="2"/>
  <c r="FJ112" i="2"/>
  <c r="FJ164" i="2"/>
  <c r="FJ40" i="2"/>
  <c r="FJ181" i="2"/>
  <c r="FJ151" i="2"/>
  <c r="FJ203" i="2"/>
  <c r="FJ72" i="2"/>
  <c r="FJ152" i="2"/>
  <c r="FJ107" i="2"/>
  <c r="FJ138" i="2"/>
  <c r="FJ159" i="2"/>
  <c r="FJ149" i="2"/>
  <c r="FJ121" i="2"/>
  <c r="FJ71" i="2"/>
  <c r="FJ16" i="2"/>
  <c r="FJ21" i="2"/>
  <c r="FJ87" i="2"/>
  <c r="FJ124" i="2"/>
  <c r="FJ75" i="2"/>
  <c r="FJ78" i="2"/>
  <c r="FJ120" i="2"/>
  <c r="FJ94" i="2"/>
  <c r="FJ147" i="2"/>
  <c r="FJ7" i="2"/>
  <c r="FJ176" i="2"/>
  <c r="FJ56" i="2"/>
  <c r="FJ156" i="2"/>
  <c r="FJ174" i="2"/>
  <c r="FJ48" i="2"/>
  <c r="FJ170" i="2"/>
  <c r="FJ18" i="2"/>
  <c r="FJ190" i="2"/>
  <c r="FJ202" i="2"/>
  <c r="FJ99" i="2"/>
  <c r="FJ189" i="2"/>
  <c r="FJ32" i="2"/>
  <c r="KB104" i="2"/>
  <c r="KC104" i="2" s="1"/>
  <c r="KD104" i="2" s="1"/>
  <c r="KE104" i="2" s="1"/>
  <c r="KA105" i="2"/>
  <c r="KW104" i="2"/>
  <c r="KX104" i="2" s="1"/>
  <c r="KY104" i="2" s="1"/>
  <c r="KZ104" i="2" s="1"/>
  <c r="KV105" i="2"/>
  <c r="OB105" i="2"/>
  <c r="OC104" i="2"/>
  <c r="OD104" i="2" s="1"/>
  <c r="OE104" i="2" s="1"/>
  <c r="OF104" i="2" s="1"/>
  <c r="JG104" i="2"/>
  <c r="JH104" i="2" s="1"/>
  <c r="JI104" i="2" s="1"/>
  <c r="JJ104" i="2" s="1"/>
  <c r="JF105" i="2"/>
  <c r="OW105" i="2"/>
  <c r="OX104" i="2"/>
  <c r="OY104" i="2" s="1"/>
  <c r="OZ104" i="2" s="1"/>
  <c r="PA104" i="2" s="1"/>
  <c r="IL104" i="2"/>
  <c r="IM104" i="2" s="1"/>
  <c r="IN104" i="2" s="1"/>
  <c r="IO104" i="2" s="1"/>
  <c r="IK105" i="2"/>
  <c r="NG105" i="2"/>
  <c r="NH104" i="2"/>
  <c r="NI104" i="2" s="1"/>
  <c r="NJ104" i="2" s="1"/>
  <c r="NK104" i="2" s="1"/>
  <c r="HP105" i="2"/>
  <c r="HQ104" i="2"/>
  <c r="HR104" i="2" s="1"/>
  <c r="HS104" i="2" s="1"/>
  <c r="HT104" i="2" s="1"/>
  <c r="ML105" i="2"/>
  <c r="MM104" i="2"/>
  <c r="MN104" i="2" s="1"/>
  <c r="MO104" i="2" s="1"/>
  <c r="MP104" i="2" s="1"/>
  <c r="LR104" i="2"/>
  <c r="LS104" i="2" s="1"/>
  <c r="LT104" i="2" s="1"/>
  <c r="LU104" i="2" s="1"/>
  <c r="LQ105" i="2"/>
  <c r="GU105" i="2"/>
  <c r="GV104" i="2"/>
  <c r="GW104" i="2" s="1"/>
  <c r="GX104" i="2" s="1"/>
  <c r="GY104" i="2" s="1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E22" i="4" s="1"/>
  <c r="F22" i="4" s="1"/>
  <c r="G22" i="4" s="1"/>
  <c r="L22" i="4" s="1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E14" i="4" s="1"/>
  <c r="F14" i="4" s="1"/>
  <c r="G14" i="4" s="1"/>
  <c r="L14" i="4" s="1"/>
  <c r="FK195" i="2"/>
  <c r="FK130" i="2"/>
  <c r="FK37" i="2"/>
  <c r="FK5" i="2"/>
  <c r="E15" i="4" s="1"/>
  <c r="F15" i="4" s="1"/>
  <c r="G15" i="4" s="1"/>
  <c r="L15" i="4" s="1"/>
  <c r="FK7" i="2"/>
  <c r="E17" i="4" s="1"/>
  <c r="F17" i="4" s="1"/>
  <c r="G17" i="4" s="1"/>
  <c r="L17" i="4" s="1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E16" i="4" s="1"/>
  <c r="F16" i="4" s="1"/>
  <c r="G16" i="4" s="1"/>
  <c r="L16" i="4" s="1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AJ104" i="2"/>
  <c r="AK104" i="2" s="1"/>
  <c r="AL104" i="2" s="1"/>
  <c r="AM104" i="2" s="1"/>
  <c r="LQ106" i="2" l="1"/>
  <c r="LR105" i="2"/>
  <c r="LS105" i="2" s="1"/>
  <c r="LT105" i="2" s="1"/>
  <c r="LU105" i="2" s="1"/>
  <c r="IL105" i="2"/>
  <c r="IM105" i="2" s="1"/>
  <c r="IN105" i="2" s="1"/>
  <c r="IO105" i="2" s="1"/>
  <c r="IK106" i="2"/>
  <c r="JG105" i="2"/>
  <c r="JH105" i="2" s="1"/>
  <c r="JI105" i="2" s="1"/>
  <c r="JJ105" i="2" s="1"/>
  <c r="JF106" i="2"/>
  <c r="KV106" i="2"/>
  <c r="KW105" i="2"/>
  <c r="KX105" i="2" s="1"/>
  <c r="KY105" i="2" s="1"/>
  <c r="KZ105" i="2" s="1"/>
  <c r="HP106" i="2"/>
  <c r="HQ105" i="2"/>
  <c r="HR105" i="2" s="1"/>
  <c r="HS105" i="2" s="1"/>
  <c r="HT105" i="2" s="1"/>
  <c r="KA106" i="2"/>
  <c r="KB105" i="2"/>
  <c r="KC105" i="2" s="1"/>
  <c r="KD105" i="2" s="1"/>
  <c r="KE105" i="2" s="1"/>
  <c r="ML106" i="2"/>
  <c r="MM105" i="2"/>
  <c r="MN105" i="2" s="1"/>
  <c r="MO105" i="2" s="1"/>
  <c r="MP105" i="2" s="1"/>
  <c r="NH105" i="2"/>
  <c r="NI105" i="2" s="1"/>
  <c r="NJ105" i="2" s="1"/>
  <c r="NK105" i="2" s="1"/>
  <c r="NG106" i="2"/>
  <c r="OW106" i="2"/>
  <c r="OX105" i="2"/>
  <c r="OY105" i="2" s="1"/>
  <c r="OZ105" i="2" s="1"/>
  <c r="PA105" i="2" s="1"/>
  <c r="OC105" i="2"/>
  <c r="OD105" i="2" s="1"/>
  <c r="OE105" i="2" s="1"/>
  <c r="OF105" i="2" s="1"/>
  <c r="OB106" i="2"/>
  <c r="GU106" i="2"/>
  <c r="GV105" i="2"/>
  <c r="GW105" i="2" s="1"/>
  <c r="GX105" i="2" s="1"/>
  <c r="GY105" i="2" s="1"/>
  <c r="FE106" i="2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AJ105" i="2"/>
  <c r="AK105" i="2" s="1"/>
  <c r="AL105" i="2" s="1"/>
  <c r="AM105" i="2" s="1"/>
  <c r="OC106" i="2" l="1"/>
  <c r="OD106" i="2" s="1"/>
  <c r="OE106" i="2" s="1"/>
  <c r="OF106" i="2" s="1"/>
  <c r="OB107" i="2"/>
  <c r="NG107" i="2"/>
  <c r="NH106" i="2"/>
  <c r="NI106" i="2" s="1"/>
  <c r="NJ106" i="2" s="1"/>
  <c r="NK106" i="2" s="1"/>
  <c r="IL106" i="2"/>
  <c r="IM106" i="2" s="1"/>
  <c r="IN106" i="2" s="1"/>
  <c r="IO106" i="2" s="1"/>
  <c r="IK107" i="2"/>
  <c r="KA107" i="2"/>
  <c r="KB106" i="2"/>
  <c r="KC106" i="2" s="1"/>
  <c r="KD106" i="2" s="1"/>
  <c r="KE106" i="2" s="1"/>
  <c r="KW106" i="2"/>
  <c r="KX106" i="2" s="1"/>
  <c r="KY106" i="2" s="1"/>
  <c r="KZ106" i="2" s="1"/>
  <c r="KV107" i="2"/>
  <c r="JF107" i="2"/>
  <c r="JG106" i="2"/>
  <c r="JH106" i="2" s="1"/>
  <c r="JI106" i="2" s="1"/>
  <c r="JJ106" i="2" s="1"/>
  <c r="OW107" i="2"/>
  <c r="OX106" i="2"/>
  <c r="OY106" i="2" s="1"/>
  <c r="OZ106" i="2" s="1"/>
  <c r="PA106" i="2" s="1"/>
  <c r="ML107" i="2"/>
  <c r="MM106" i="2"/>
  <c r="MN106" i="2" s="1"/>
  <c r="MO106" i="2" s="1"/>
  <c r="MP106" i="2" s="1"/>
  <c r="HP107" i="2"/>
  <c r="HQ106" i="2"/>
  <c r="HR106" i="2" s="1"/>
  <c r="HS106" i="2" s="1"/>
  <c r="HT106" i="2" s="1"/>
  <c r="LQ107" i="2"/>
  <c r="LR106" i="2"/>
  <c r="LS106" i="2" s="1"/>
  <c r="LT106" i="2" s="1"/>
  <c r="LU106" i="2" s="1"/>
  <c r="GU107" i="2"/>
  <c r="GV106" i="2"/>
  <c r="GW106" i="2" s="1"/>
  <c r="GX106" i="2" s="1"/>
  <c r="GY106" i="2" s="1"/>
  <c r="FE107" i="2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AJ106" i="2"/>
  <c r="AK106" i="2" s="1"/>
  <c r="AL106" i="2" s="1"/>
  <c r="AM106" i="2" s="1"/>
  <c r="J8" i="4"/>
  <c r="J26" i="4" s="1"/>
  <c r="LQ108" i="2" l="1"/>
  <c r="LR107" i="2"/>
  <c r="LS107" i="2" s="1"/>
  <c r="LT107" i="2" s="1"/>
  <c r="LU107" i="2" s="1"/>
  <c r="ML108" i="2"/>
  <c r="MM107" i="2"/>
  <c r="MN107" i="2" s="1"/>
  <c r="MO107" i="2" s="1"/>
  <c r="MP107" i="2" s="1"/>
  <c r="JG107" i="2"/>
  <c r="JH107" i="2" s="1"/>
  <c r="JI107" i="2" s="1"/>
  <c r="JJ107" i="2" s="1"/>
  <c r="JF108" i="2"/>
  <c r="KB107" i="2"/>
  <c r="KC107" i="2" s="1"/>
  <c r="KD107" i="2" s="1"/>
  <c r="KE107" i="2" s="1"/>
  <c r="KA108" i="2"/>
  <c r="NG108" i="2"/>
  <c r="NH107" i="2"/>
  <c r="NI107" i="2" s="1"/>
  <c r="NJ107" i="2" s="1"/>
  <c r="NK107" i="2" s="1"/>
  <c r="KW107" i="2"/>
  <c r="KX107" i="2" s="1"/>
  <c r="KY107" i="2" s="1"/>
  <c r="KZ107" i="2" s="1"/>
  <c r="KV108" i="2"/>
  <c r="IL107" i="2"/>
  <c r="IM107" i="2" s="1"/>
  <c r="IN107" i="2" s="1"/>
  <c r="IO107" i="2" s="1"/>
  <c r="IK108" i="2"/>
  <c r="OB108" i="2"/>
  <c r="OC107" i="2"/>
  <c r="OD107" i="2" s="1"/>
  <c r="OE107" i="2" s="1"/>
  <c r="OF107" i="2" s="1"/>
  <c r="HP108" i="2"/>
  <c r="HQ107" i="2"/>
  <c r="HR107" i="2" s="1"/>
  <c r="HS107" i="2" s="1"/>
  <c r="HT107" i="2" s="1"/>
  <c r="OW108" i="2"/>
  <c r="OX107" i="2"/>
  <c r="OY107" i="2" s="1"/>
  <c r="OZ107" i="2" s="1"/>
  <c r="PA107" i="2" s="1"/>
  <c r="GU108" i="2"/>
  <c r="GV107" i="2"/>
  <c r="GW107" i="2" s="1"/>
  <c r="GX107" i="2" s="1"/>
  <c r="GY107" i="2" s="1"/>
  <c r="FE108" i="2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AJ107" i="2"/>
  <c r="AK107" i="2" s="1"/>
  <c r="AL107" i="2" s="1"/>
  <c r="AM107" i="2" s="1"/>
  <c r="BS19" i="2"/>
  <c r="BE20" i="2"/>
  <c r="BF20" i="2" s="1"/>
  <c r="BE21" i="2"/>
  <c r="K8" i="4"/>
  <c r="K26" i="4" s="1"/>
  <c r="KV109" i="2" l="1"/>
  <c r="KW108" i="2"/>
  <c r="KX108" i="2" s="1"/>
  <c r="KY108" i="2" s="1"/>
  <c r="KZ108" i="2" s="1"/>
  <c r="KA109" i="2"/>
  <c r="KB108" i="2"/>
  <c r="KC108" i="2" s="1"/>
  <c r="KD108" i="2" s="1"/>
  <c r="KE108" i="2" s="1"/>
  <c r="OW109" i="2"/>
  <c r="OX108" i="2"/>
  <c r="OY108" i="2" s="1"/>
  <c r="OZ108" i="2" s="1"/>
  <c r="PA108" i="2" s="1"/>
  <c r="OC108" i="2"/>
  <c r="OD108" i="2" s="1"/>
  <c r="OE108" i="2" s="1"/>
  <c r="OF108" i="2" s="1"/>
  <c r="OB109" i="2"/>
  <c r="ML109" i="2"/>
  <c r="MM108" i="2"/>
  <c r="MN108" i="2" s="1"/>
  <c r="MO108" i="2" s="1"/>
  <c r="MP108" i="2" s="1"/>
  <c r="IL108" i="2"/>
  <c r="IM108" i="2" s="1"/>
  <c r="IN108" i="2" s="1"/>
  <c r="IO108" i="2" s="1"/>
  <c r="IK109" i="2"/>
  <c r="JF109" i="2"/>
  <c r="JG108" i="2"/>
  <c r="JH108" i="2" s="1"/>
  <c r="JI108" i="2" s="1"/>
  <c r="JJ108" i="2" s="1"/>
  <c r="HP109" i="2"/>
  <c r="HQ108" i="2"/>
  <c r="HR108" i="2" s="1"/>
  <c r="HS108" i="2" s="1"/>
  <c r="HT108" i="2" s="1"/>
  <c r="NH108" i="2"/>
  <c r="NI108" i="2" s="1"/>
  <c r="NJ108" i="2" s="1"/>
  <c r="NK108" i="2" s="1"/>
  <c r="NG109" i="2"/>
  <c r="LQ109" i="2"/>
  <c r="LR108" i="2"/>
  <c r="LS108" i="2" s="1"/>
  <c r="LT108" i="2" s="1"/>
  <c r="LU108" i="2" s="1"/>
  <c r="GU109" i="2"/>
  <c r="GV108" i="2"/>
  <c r="GW108" i="2" s="1"/>
  <c r="GX108" i="2" s="1"/>
  <c r="GY108" i="2" s="1"/>
  <c r="FE109" i="2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IL109" i="2" l="1"/>
  <c r="IM109" i="2" s="1"/>
  <c r="IN109" i="2" s="1"/>
  <c r="IO109" i="2" s="1"/>
  <c r="IK110" i="2"/>
  <c r="OB110" i="2"/>
  <c r="OC109" i="2"/>
  <c r="OD109" i="2" s="1"/>
  <c r="OE109" i="2" s="1"/>
  <c r="OF109" i="2" s="1"/>
  <c r="LR109" i="2"/>
  <c r="LS109" i="2" s="1"/>
  <c r="LT109" i="2" s="1"/>
  <c r="LU109" i="2" s="1"/>
  <c r="LQ110" i="2"/>
  <c r="HP110" i="2"/>
  <c r="HQ109" i="2"/>
  <c r="HR109" i="2" s="1"/>
  <c r="HS109" i="2" s="1"/>
  <c r="HT109" i="2" s="1"/>
  <c r="KB109" i="2"/>
  <c r="KC109" i="2" s="1"/>
  <c r="KD109" i="2" s="1"/>
  <c r="KE109" i="2" s="1"/>
  <c r="KA110" i="2"/>
  <c r="NG110" i="2"/>
  <c r="NH109" i="2"/>
  <c r="NI109" i="2" s="1"/>
  <c r="NJ109" i="2" s="1"/>
  <c r="NK109" i="2" s="1"/>
  <c r="JG109" i="2"/>
  <c r="JH109" i="2" s="1"/>
  <c r="JI109" i="2" s="1"/>
  <c r="JJ109" i="2" s="1"/>
  <c r="JF110" i="2"/>
  <c r="ML110" i="2"/>
  <c r="MM109" i="2"/>
  <c r="MN109" i="2" s="1"/>
  <c r="MO109" i="2" s="1"/>
  <c r="MP109" i="2" s="1"/>
  <c r="OW110" i="2"/>
  <c r="OX109" i="2"/>
  <c r="OY109" i="2" s="1"/>
  <c r="OZ109" i="2" s="1"/>
  <c r="PA109" i="2" s="1"/>
  <c r="KW109" i="2"/>
  <c r="KX109" i="2" s="1"/>
  <c r="KY109" i="2" s="1"/>
  <c r="KZ109" i="2" s="1"/>
  <c r="KV110" i="2"/>
  <c r="GU110" i="2"/>
  <c r="GV109" i="2"/>
  <c r="GW109" i="2" s="1"/>
  <c r="GX109" i="2" s="1"/>
  <c r="GY109" i="2" s="1"/>
  <c r="FE110" i="2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AJ109" i="2"/>
  <c r="AK109" i="2" s="1"/>
  <c r="AL109" i="2" s="1"/>
  <c r="AM109" i="2" s="1"/>
  <c r="BS21" i="2"/>
  <c r="BF22" i="2"/>
  <c r="BG22" i="2" s="1"/>
  <c r="BH22" i="2" s="1"/>
  <c r="BE23" i="2"/>
  <c r="KV111" i="2" l="1"/>
  <c r="KW110" i="2"/>
  <c r="KX110" i="2" s="1"/>
  <c r="KY110" i="2" s="1"/>
  <c r="KZ110" i="2" s="1"/>
  <c r="ML111" i="2"/>
  <c r="MM110" i="2"/>
  <c r="MN110" i="2" s="1"/>
  <c r="MO110" i="2" s="1"/>
  <c r="MP110" i="2" s="1"/>
  <c r="NH110" i="2"/>
  <c r="NI110" i="2" s="1"/>
  <c r="NJ110" i="2" s="1"/>
  <c r="NK110" i="2" s="1"/>
  <c r="NG111" i="2"/>
  <c r="HP111" i="2"/>
  <c r="HQ110" i="2"/>
  <c r="HR110" i="2" s="1"/>
  <c r="HS110" i="2" s="1"/>
  <c r="HT110" i="2" s="1"/>
  <c r="OC110" i="2"/>
  <c r="OD110" i="2" s="1"/>
  <c r="OE110" i="2" s="1"/>
  <c r="OF110" i="2" s="1"/>
  <c r="OB111" i="2"/>
  <c r="JF111" i="2"/>
  <c r="JG110" i="2"/>
  <c r="JH110" i="2" s="1"/>
  <c r="JI110" i="2" s="1"/>
  <c r="JJ110" i="2" s="1"/>
  <c r="KA111" i="2"/>
  <c r="KB110" i="2"/>
  <c r="KC110" i="2" s="1"/>
  <c r="KD110" i="2" s="1"/>
  <c r="KE110" i="2" s="1"/>
  <c r="LQ111" i="2"/>
  <c r="LR110" i="2"/>
  <c r="LS110" i="2" s="1"/>
  <c r="LT110" i="2" s="1"/>
  <c r="LU110" i="2" s="1"/>
  <c r="IL110" i="2"/>
  <c r="IM110" i="2" s="1"/>
  <c r="IN110" i="2" s="1"/>
  <c r="IO110" i="2" s="1"/>
  <c r="IK111" i="2"/>
  <c r="OW111" i="2"/>
  <c r="OX110" i="2"/>
  <c r="OY110" i="2" s="1"/>
  <c r="OZ110" i="2" s="1"/>
  <c r="PA110" i="2" s="1"/>
  <c r="GU111" i="2"/>
  <c r="GV110" i="2"/>
  <c r="GW110" i="2" s="1"/>
  <c r="GX110" i="2" s="1"/>
  <c r="GY110" i="2" s="1"/>
  <c r="FE111" i="2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AJ110" i="2"/>
  <c r="AK110" i="2" s="1"/>
  <c r="AL110" i="2" s="1"/>
  <c r="AM110" i="2" s="1"/>
  <c r="BS22" i="2"/>
  <c r="BE24" i="2"/>
  <c r="BF23" i="2"/>
  <c r="BG23" i="2" s="1"/>
  <c r="BH23" i="2" s="1"/>
  <c r="OW112" i="2" l="1"/>
  <c r="OX111" i="2"/>
  <c r="OY111" i="2" s="1"/>
  <c r="OZ111" i="2" s="1"/>
  <c r="PA111" i="2" s="1"/>
  <c r="LQ112" i="2"/>
  <c r="LR111" i="2"/>
  <c r="LS111" i="2" s="1"/>
  <c r="LT111" i="2" s="1"/>
  <c r="LU111" i="2" s="1"/>
  <c r="JF112" i="2"/>
  <c r="JG111" i="2"/>
  <c r="JH111" i="2" s="1"/>
  <c r="JI111" i="2" s="1"/>
  <c r="JJ111" i="2" s="1"/>
  <c r="HP112" i="2"/>
  <c r="HQ111" i="2"/>
  <c r="HR111" i="2" s="1"/>
  <c r="HS111" i="2" s="1"/>
  <c r="HT111" i="2" s="1"/>
  <c r="ML112" i="2"/>
  <c r="MM111" i="2"/>
  <c r="MN111" i="2" s="1"/>
  <c r="MO111" i="2" s="1"/>
  <c r="MP111" i="2" s="1"/>
  <c r="IL111" i="2"/>
  <c r="IM111" i="2" s="1"/>
  <c r="IN111" i="2" s="1"/>
  <c r="IO111" i="2" s="1"/>
  <c r="IK112" i="2"/>
  <c r="OC111" i="2"/>
  <c r="OD111" i="2" s="1"/>
  <c r="OE111" i="2" s="1"/>
  <c r="OF111" i="2" s="1"/>
  <c r="OB112" i="2"/>
  <c r="NH111" i="2"/>
  <c r="NI111" i="2" s="1"/>
  <c r="NJ111" i="2" s="1"/>
  <c r="NK111" i="2" s="1"/>
  <c r="NG112" i="2"/>
  <c r="KB111" i="2"/>
  <c r="KC111" i="2" s="1"/>
  <c r="KD111" i="2" s="1"/>
  <c r="KE111" i="2" s="1"/>
  <c r="KA112" i="2"/>
  <c r="KV112" i="2"/>
  <c r="KW111" i="2"/>
  <c r="KX111" i="2" s="1"/>
  <c r="KY111" i="2" s="1"/>
  <c r="KZ111" i="2" s="1"/>
  <c r="GU112" i="2"/>
  <c r="GV111" i="2"/>
  <c r="GW111" i="2" s="1"/>
  <c r="GX111" i="2" s="1"/>
  <c r="GY111" i="2" s="1"/>
  <c r="FE112" i="2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AJ111" i="2"/>
  <c r="AK111" i="2" s="1"/>
  <c r="AL111" i="2" s="1"/>
  <c r="AM111" i="2" s="1"/>
  <c r="BE25" i="2"/>
  <c r="BS23" i="2"/>
  <c r="BF24" i="2"/>
  <c r="BG24" i="2" s="1"/>
  <c r="BH24" i="2" s="1"/>
  <c r="NG113" i="2" l="1"/>
  <c r="NH112" i="2"/>
  <c r="NI112" i="2" s="1"/>
  <c r="NJ112" i="2" s="1"/>
  <c r="NK112" i="2" s="1"/>
  <c r="IL112" i="2"/>
  <c r="IM112" i="2" s="1"/>
  <c r="IN112" i="2" s="1"/>
  <c r="IO112" i="2" s="1"/>
  <c r="IK113" i="2"/>
  <c r="KW112" i="2"/>
  <c r="KX112" i="2" s="1"/>
  <c r="KY112" i="2" s="1"/>
  <c r="KZ112" i="2" s="1"/>
  <c r="KV113" i="2"/>
  <c r="HP113" i="2"/>
  <c r="HQ112" i="2"/>
  <c r="HR112" i="2" s="1"/>
  <c r="HS112" i="2" s="1"/>
  <c r="HT112" i="2" s="1"/>
  <c r="LQ113" i="2"/>
  <c r="LR112" i="2"/>
  <c r="LS112" i="2" s="1"/>
  <c r="LT112" i="2" s="1"/>
  <c r="LU112" i="2" s="1"/>
  <c r="KA113" i="2"/>
  <c r="KB112" i="2"/>
  <c r="KC112" i="2" s="1"/>
  <c r="KD112" i="2" s="1"/>
  <c r="KE112" i="2" s="1"/>
  <c r="OC112" i="2"/>
  <c r="OD112" i="2" s="1"/>
  <c r="OE112" i="2" s="1"/>
  <c r="OF112" i="2" s="1"/>
  <c r="OB113" i="2"/>
  <c r="ML113" i="2"/>
  <c r="MM112" i="2"/>
  <c r="MN112" i="2" s="1"/>
  <c r="MO112" i="2" s="1"/>
  <c r="MP112" i="2" s="1"/>
  <c r="JF113" i="2"/>
  <c r="JG112" i="2"/>
  <c r="JH112" i="2" s="1"/>
  <c r="JI112" i="2" s="1"/>
  <c r="JJ112" i="2" s="1"/>
  <c r="OW113" i="2"/>
  <c r="OX112" i="2"/>
  <c r="OY112" i="2" s="1"/>
  <c r="OZ112" i="2" s="1"/>
  <c r="PA112" i="2" s="1"/>
  <c r="GU113" i="2"/>
  <c r="GV112" i="2"/>
  <c r="GW112" i="2" s="1"/>
  <c r="GX112" i="2" s="1"/>
  <c r="GY112" i="2" s="1"/>
  <c r="FE113" i="2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AJ112" i="2"/>
  <c r="AK112" i="2" s="1"/>
  <c r="AL112" i="2" s="1"/>
  <c r="AM112" i="2" s="1"/>
  <c r="BS24" i="2"/>
  <c r="BE26" i="2"/>
  <c r="BF25" i="2"/>
  <c r="BG25" i="2" s="1"/>
  <c r="BH25" i="2" s="1"/>
  <c r="IL113" i="2" l="1"/>
  <c r="IM113" i="2" s="1"/>
  <c r="IN113" i="2" s="1"/>
  <c r="IO113" i="2" s="1"/>
  <c r="IK114" i="2"/>
  <c r="OW114" i="2"/>
  <c r="OX113" i="2"/>
  <c r="OY113" i="2" s="1"/>
  <c r="OZ113" i="2" s="1"/>
  <c r="PA113" i="2" s="1"/>
  <c r="ML114" i="2"/>
  <c r="MM113" i="2"/>
  <c r="MN113" i="2" s="1"/>
  <c r="MO113" i="2" s="1"/>
  <c r="MP113" i="2" s="1"/>
  <c r="KB113" i="2"/>
  <c r="KC113" i="2" s="1"/>
  <c r="KD113" i="2" s="1"/>
  <c r="KE113" i="2" s="1"/>
  <c r="KA114" i="2"/>
  <c r="HP114" i="2"/>
  <c r="HQ113" i="2"/>
  <c r="HR113" i="2" s="1"/>
  <c r="HS113" i="2" s="1"/>
  <c r="HT113" i="2" s="1"/>
  <c r="OC113" i="2"/>
  <c r="OD113" i="2" s="1"/>
  <c r="OE113" i="2" s="1"/>
  <c r="OF113" i="2" s="1"/>
  <c r="OB114" i="2"/>
  <c r="KV114" i="2"/>
  <c r="KW113" i="2"/>
  <c r="KX113" i="2" s="1"/>
  <c r="KY113" i="2" s="1"/>
  <c r="KZ113" i="2" s="1"/>
  <c r="JF114" i="2"/>
  <c r="JG113" i="2"/>
  <c r="JH113" i="2" s="1"/>
  <c r="JI113" i="2" s="1"/>
  <c r="JJ113" i="2" s="1"/>
  <c r="LQ114" i="2"/>
  <c r="LR113" i="2"/>
  <c r="LS113" i="2" s="1"/>
  <c r="LT113" i="2" s="1"/>
  <c r="LU113" i="2" s="1"/>
  <c r="NH113" i="2"/>
  <c r="NI113" i="2" s="1"/>
  <c r="NJ113" i="2" s="1"/>
  <c r="NK113" i="2" s="1"/>
  <c r="NG114" i="2"/>
  <c r="GU114" i="2"/>
  <c r="GV113" i="2"/>
  <c r="GW113" i="2" s="1"/>
  <c r="GX113" i="2" s="1"/>
  <c r="GY113" i="2" s="1"/>
  <c r="FE114" i="2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AJ113" i="2"/>
  <c r="AK113" i="2" s="1"/>
  <c r="AL113" i="2" s="1"/>
  <c r="AM113" i="2" s="1"/>
  <c r="BE27" i="2"/>
  <c r="BS25" i="2"/>
  <c r="BF26" i="2"/>
  <c r="BG26" i="2" s="1"/>
  <c r="BH26" i="2" s="1"/>
  <c r="NG115" i="2" l="1"/>
  <c r="NH114" i="2"/>
  <c r="NI114" i="2" s="1"/>
  <c r="NJ114" i="2" s="1"/>
  <c r="NK114" i="2" s="1"/>
  <c r="OC114" i="2"/>
  <c r="OD114" i="2" s="1"/>
  <c r="OE114" i="2" s="1"/>
  <c r="OF114" i="2" s="1"/>
  <c r="OB115" i="2"/>
  <c r="KA115" i="2"/>
  <c r="KB114" i="2"/>
  <c r="KC114" i="2" s="1"/>
  <c r="KD114" i="2" s="1"/>
  <c r="KE114" i="2" s="1"/>
  <c r="JF115" i="2"/>
  <c r="JG114" i="2"/>
  <c r="JH114" i="2" s="1"/>
  <c r="JI114" i="2" s="1"/>
  <c r="JJ114" i="2" s="1"/>
  <c r="OW115" i="2"/>
  <c r="OX114" i="2"/>
  <c r="OY114" i="2" s="1"/>
  <c r="OZ114" i="2" s="1"/>
  <c r="PA114" i="2" s="1"/>
  <c r="IL114" i="2"/>
  <c r="IM114" i="2" s="1"/>
  <c r="IN114" i="2" s="1"/>
  <c r="IO114" i="2" s="1"/>
  <c r="IK115" i="2"/>
  <c r="LQ115" i="2"/>
  <c r="LR114" i="2"/>
  <c r="LS114" i="2" s="1"/>
  <c r="LT114" i="2" s="1"/>
  <c r="LU114" i="2" s="1"/>
  <c r="KW114" i="2"/>
  <c r="KX114" i="2" s="1"/>
  <c r="KY114" i="2" s="1"/>
  <c r="KZ114" i="2" s="1"/>
  <c r="KV115" i="2"/>
  <c r="HP115" i="2"/>
  <c r="HQ114" i="2"/>
  <c r="HR114" i="2" s="1"/>
  <c r="HS114" i="2" s="1"/>
  <c r="HT114" i="2" s="1"/>
  <c r="ML115" i="2"/>
  <c r="MM114" i="2"/>
  <c r="MN114" i="2" s="1"/>
  <c r="MO114" i="2" s="1"/>
  <c r="MP114" i="2" s="1"/>
  <c r="GU115" i="2"/>
  <c r="GV114" i="2"/>
  <c r="GW114" i="2" s="1"/>
  <c r="GX114" i="2" s="1"/>
  <c r="GY114" i="2" s="1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AJ114" i="2"/>
  <c r="AK114" i="2" s="1"/>
  <c r="AL114" i="2" s="1"/>
  <c r="AM114" i="2" s="1"/>
  <c r="BS26" i="2"/>
  <c r="BE28" i="2"/>
  <c r="BF27" i="2"/>
  <c r="BG27" i="2" s="1"/>
  <c r="BH27" i="2" s="1"/>
  <c r="KW115" i="2" l="1"/>
  <c r="KX115" i="2" s="1"/>
  <c r="KY115" i="2" s="1"/>
  <c r="KZ115" i="2" s="1"/>
  <c r="KV116" i="2"/>
  <c r="IL115" i="2"/>
  <c r="IM115" i="2" s="1"/>
  <c r="IN115" i="2" s="1"/>
  <c r="IO115" i="2" s="1"/>
  <c r="IK116" i="2"/>
  <c r="OC115" i="2"/>
  <c r="OD115" i="2" s="1"/>
  <c r="OE115" i="2" s="1"/>
  <c r="OF115" i="2" s="1"/>
  <c r="OB116" i="2"/>
  <c r="ML116" i="2"/>
  <c r="MM115" i="2"/>
  <c r="MN115" i="2" s="1"/>
  <c r="MO115" i="2" s="1"/>
  <c r="MP115" i="2" s="1"/>
  <c r="JF116" i="2"/>
  <c r="JG115" i="2"/>
  <c r="JH115" i="2" s="1"/>
  <c r="JI115" i="2" s="1"/>
  <c r="JJ115" i="2" s="1"/>
  <c r="HP116" i="2"/>
  <c r="HQ115" i="2"/>
  <c r="HR115" i="2" s="1"/>
  <c r="HS115" i="2" s="1"/>
  <c r="HT115" i="2" s="1"/>
  <c r="LQ116" i="2"/>
  <c r="LR115" i="2"/>
  <c r="LS115" i="2" s="1"/>
  <c r="LT115" i="2" s="1"/>
  <c r="LU115" i="2" s="1"/>
  <c r="OW116" i="2"/>
  <c r="OX115" i="2"/>
  <c r="OY115" i="2" s="1"/>
  <c r="OZ115" i="2" s="1"/>
  <c r="PA115" i="2" s="1"/>
  <c r="KB115" i="2"/>
  <c r="KC115" i="2" s="1"/>
  <c r="KD115" i="2" s="1"/>
  <c r="KE115" i="2" s="1"/>
  <c r="KA116" i="2"/>
  <c r="NG116" i="2"/>
  <c r="NH115" i="2"/>
  <c r="NI115" i="2" s="1"/>
  <c r="NJ115" i="2" s="1"/>
  <c r="NK115" i="2" s="1"/>
  <c r="GU116" i="2"/>
  <c r="GV115" i="2"/>
  <c r="GW115" i="2" s="1"/>
  <c r="GX115" i="2" s="1"/>
  <c r="GY115" i="2" s="1"/>
  <c r="FE116" i="2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AJ115" i="2"/>
  <c r="AK115" i="2" s="1"/>
  <c r="AL115" i="2" s="1"/>
  <c r="AM115" i="2" s="1"/>
  <c r="BE29" i="2"/>
  <c r="BS27" i="2"/>
  <c r="BF28" i="2"/>
  <c r="BG28" i="2" s="1"/>
  <c r="BH28" i="2" s="1"/>
  <c r="IL116" i="2" l="1"/>
  <c r="IM116" i="2" s="1"/>
  <c r="IN116" i="2" s="1"/>
  <c r="IO116" i="2" s="1"/>
  <c r="IK117" i="2"/>
  <c r="NG117" i="2"/>
  <c r="NH116" i="2"/>
  <c r="NI116" i="2" s="1"/>
  <c r="NJ116" i="2" s="1"/>
  <c r="NK116" i="2" s="1"/>
  <c r="OW117" i="2"/>
  <c r="OX116" i="2"/>
  <c r="OY116" i="2" s="1"/>
  <c r="OZ116" i="2" s="1"/>
  <c r="PA116" i="2" s="1"/>
  <c r="HP117" i="2"/>
  <c r="HQ116" i="2"/>
  <c r="HR116" i="2" s="1"/>
  <c r="HS116" i="2" s="1"/>
  <c r="HT116" i="2" s="1"/>
  <c r="ML117" i="2"/>
  <c r="MM116" i="2"/>
  <c r="MN116" i="2" s="1"/>
  <c r="MO116" i="2" s="1"/>
  <c r="MP116" i="2" s="1"/>
  <c r="KB116" i="2"/>
  <c r="KC116" i="2" s="1"/>
  <c r="KD116" i="2" s="1"/>
  <c r="KE116" i="2" s="1"/>
  <c r="KA117" i="2"/>
  <c r="OC116" i="2"/>
  <c r="OD116" i="2" s="1"/>
  <c r="OE116" i="2" s="1"/>
  <c r="OF116" i="2" s="1"/>
  <c r="OB117" i="2"/>
  <c r="KW116" i="2"/>
  <c r="KX116" i="2" s="1"/>
  <c r="KY116" i="2" s="1"/>
  <c r="KZ116" i="2" s="1"/>
  <c r="KV117" i="2"/>
  <c r="LQ117" i="2"/>
  <c r="LR116" i="2"/>
  <c r="LS116" i="2" s="1"/>
  <c r="LT116" i="2" s="1"/>
  <c r="LU116" i="2" s="1"/>
  <c r="JF117" i="2"/>
  <c r="JG116" i="2"/>
  <c r="JH116" i="2" s="1"/>
  <c r="JI116" i="2" s="1"/>
  <c r="JJ116" i="2" s="1"/>
  <c r="GU117" i="2"/>
  <c r="GV116" i="2"/>
  <c r="GW116" i="2" s="1"/>
  <c r="GX116" i="2" s="1"/>
  <c r="GY116" i="2" s="1"/>
  <c r="FE117" i="2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AJ116" i="2"/>
  <c r="AK116" i="2" s="1"/>
  <c r="AL116" i="2" s="1"/>
  <c r="AM116" i="2" s="1"/>
  <c r="BS28" i="2"/>
  <c r="BE30" i="2"/>
  <c r="BF29" i="2"/>
  <c r="BG29" i="2" s="1"/>
  <c r="BH29" i="2" s="1"/>
  <c r="KW117" i="2" l="1"/>
  <c r="KX117" i="2" s="1"/>
  <c r="KY117" i="2" s="1"/>
  <c r="KZ117" i="2" s="1"/>
  <c r="KV118" i="2"/>
  <c r="KA118" i="2"/>
  <c r="KB117" i="2"/>
  <c r="KC117" i="2" s="1"/>
  <c r="KD117" i="2" s="1"/>
  <c r="KE117" i="2" s="1"/>
  <c r="JG117" i="2"/>
  <c r="JH117" i="2" s="1"/>
  <c r="JI117" i="2" s="1"/>
  <c r="JJ117" i="2" s="1"/>
  <c r="JF118" i="2"/>
  <c r="HP118" i="2"/>
  <c r="HQ117" i="2"/>
  <c r="HR117" i="2" s="1"/>
  <c r="HS117" i="2" s="1"/>
  <c r="HT117" i="2" s="1"/>
  <c r="NG118" i="2"/>
  <c r="NH117" i="2"/>
  <c r="NI117" i="2" s="1"/>
  <c r="NJ117" i="2" s="1"/>
  <c r="NK117" i="2" s="1"/>
  <c r="OB118" i="2"/>
  <c r="OC117" i="2"/>
  <c r="OD117" i="2" s="1"/>
  <c r="OE117" i="2" s="1"/>
  <c r="OF117" i="2" s="1"/>
  <c r="IL117" i="2"/>
  <c r="IM117" i="2" s="1"/>
  <c r="IN117" i="2" s="1"/>
  <c r="IO117" i="2" s="1"/>
  <c r="IK118" i="2"/>
  <c r="LR117" i="2"/>
  <c r="LS117" i="2" s="1"/>
  <c r="LT117" i="2" s="1"/>
  <c r="LU117" i="2" s="1"/>
  <c r="LQ118" i="2"/>
  <c r="ML118" i="2"/>
  <c r="MM117" i="2"/>
  <c r="MN117" i="2" s="1"/>
  <c r="MO117" i="2" s="1"/>
  <c r="MP117" i="2" s="1"/>
  <c r="OW118" i="2"/>
  <c r="OX117" i="2"/>
  <c r="OY117" i="2" s="1"/>
  <c r="OZ117" i="2" s="1"/>
  <c r="PA117" i="2" s="1"/>
  <c r="GU118" i="2"/>
  <c r="GV117" i="2"/>
  <c r="GW117" i="2" s="1"/>
  <c r="GX117" i="2" s="1"/>
  <c r="GY117" i="2" s="1"/>
  <c r="FE118" i="2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AJ117" i="2"/>
  <c r="AK117" i="2" s="1"/>
  <c r="AL117" i="2" s="1"/>
  <c r="AM117" i="2" s="1"/>
  <c r="BF30" i="2"/>
  <c r="BG30" i="2" s="1"/>
  <c r="BH30" i="2" s="1"/>
  <c r="BE31" i="2"/>
  <c r="BS29" i="2"/>
  <c r="LQ119" i="2" l="1"/>
  <c r="LR118" i="2"/>
  <c r="LS118" i="2" s="1"/>
  <c r="LT118" i="2" s="1"/>
  <c r="LU118" i="2" s="1"/>
  <c r="OW119" i="2"/>
  <c r="OX118" i="2"/>
  <c r="OY118" i="2" s="1"/>
  <c r="OZ118" i="2" s="1"/>
  <c r="PA118" i="2" s="1"/>
  <c r="OC118" i="2"/>
  <c r="OD118" i="2" s="1"/>
  <c r="OE118" i="2" s="1"/>
  <c r="OF118" i="2" s="1"/>
  <c r="OB119" i="2"/>
  <c r="HP119" i="2"/>
  <c r="HQ118" i="2"/>
  <c r="HR118" i="2" s="1"/>
  <c r="HS118" i="2" s="1"/>
  <c r="HT118" i="2" s="1"/>
  <c r="KA119" i="2"/>
  <c r="KB118" i="2"/>
  <c r="KC118" i="2" s="1"/>
  <c r="KD118" i="2" s="1"/>
  <c r="KE118" i="2" s="1"/>
  <c r="IL118" i="2"/>
  <c r="IM118" i="2" s="1"/>
  <c r="IN118" i="2" s="1"/>
  <c r="IO118" i="2" s="1"/>
  <c r="IK119" i="2"/>
  <c r="JF119" i="2"/>
  <c r="JG118" i="2"/>
  <c r="JH118" i="2" s="1"/>
  <c r="JI118" i="2" s="1"/>
  <c r="JJ118" i="2" s="1"/>
  <c r="KW118" i="2"/>
  <c r="KX118" i="2" s="1"/>
  <c r="KY118" i="2" s="1"/>
  <c r="KZ118" i="2" s="1"/>
  <c r="KV119" i="2"/>
  <c r="ML119" i="2"/>
  <c r="MM118" i="2"/>
  <c r="MN118" i="2" s="1"/>
  <c r="MO118" i="2" s="1"/>
  <c r="MP118" i="2" s="1"/>
  <c r="NG119" i="2"/>
  <c r="NH118" i="2"/>
  <c r="NI118" i="2" s="1"/>
  <c r="NJ118" i="2" s="1"/>
  <c r="NK118" i="2" s="1"/>
  <c r="GU119" i="2"/>
  <c r="GV118" i="2"/>
  <c r="GW118" i="2" s="1"/>
  <c r="GX118" i="2" s="1"/>
  <c r="GY118" i="2" s="1"/>
  <c r="FE119" i="2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AJ118" i="2"/>
  <c r="AK118" i="2" s="1"/>
  <c r="AL118" i="2" s="1"/>
  <c r="AM118" i="2" s="1"/>
  <c r="BF31" i="2"/>
  <c r="BG31" i="2" s="1"/>
  <c r="BH31" i="2" s="1"/>
  <c r="BS30" i="2"/>
  <c r="BE32" i="2"/>
  <c r="KW119" i="2" l="1"/>
  <c r="KX119" i="2" s="1"/>
  <c r="KY119" i="2" s="1"/>
  <c r="KZ119" i="2" s="1"/>
  <c r="KV120" i="2"/>
  <c r="IL119" i="2"/>
  <c r="IM119" i="2" s="1"/>
  <c r="IN119" i="2" s="1"/>
  <c r="IO119" i="2" s="1"/>
  <c r="IK120" i="2"/>
  <c r="NG120" i="2"/>
  <c r="NH119" i="2"/>
  <c r="NI119" i="2" s="1"/>
  <c r="NJ119" i="2" s="1"/>
  <c r="NK119" i="2" s="1"/>
  <c r="HP120" i="2"/>
  <c r="HQ119" i="2"/>
  <c r="HR119" i="2" s="1"/>
  <c r="HS119" i="2" s="1"/>
  <c r="HT119" i="2" s="1"/>
  <c r="OW120" i="2"/>
  <c r="OX119" i="2"/>
  <c r="OY119" i="2" s="1"/>
  <c r="OZ119" i="2" s="1"/>
  <c r="PA119" i="2" s="1"/>
  <c r="OC119" i="2"/>
  <c r="OD119" i="2" s="1"/>
  <c r="OE119" i="2" s="1"/>
  <c r="OF119" i="2" s="1"/>
  <c r="OB120" i="2"/>
  <c r="ML120" i="2"/>
  <c r="MM119" i="2"/>
  <c r="MN119" i="2" s="1"/>
  <c r="MO119" i="2" s="1"/>
  <c r="MP119" i="2" s="1"/>
  <c r="JF120" i="2"/>
  <c r="JG119" i="2"/>
  <c r="JH119" i="2" s="1"/>
  <c r="JI119" i="2" s="1"/>
  <c r="JJ119" i="2" s="1"/>
  <c r="KB119" i="2"/>
  <c r="KC119" i="2" s="1"/>
  <c r="KD119" i="2" s="1"/>
  <c r="KE119" i="2" s="1"/>
  <c r="KA120" i="2"/>
  <c r="LQ120" i="2"/>
  <c r="LR119" i="2"/>
  <c r="LS119" i="2" s="1"/>
  <c r="LT119" i="2" s="1"/>
  <c r="LU119" i="2" s="1"/>
  <c r="GU120" i="2"/>
  <c r="GV119" i="2"/>
  <c r="GW119" i="2" s="1"/>
  <c r="GX119" i="2" s="1"/>
  <c r="GY119" i="2" s="1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AJ119" i="2"/>
  <c r="AK119" i="2" s="1"/>
  <c r="AL119" i="2" s="1"/>
  <c r="AM119" i="2" s="1"/>
  <c r="BF32" i="2"/>
  <c r="BG32" i="2" s="1"/>
  <c r="BH32" i="2" s="1"/>
  <c r="BE33" i="2"/>
  <c r="BS31" i="2"/>
  <c r="OC120" i="2" l="1"/>
  <c r="OD120" i="2" s="1"/>
  <c r="OE120" i="2" s="1"/>
  <c r="OF120" i="2" s="1"/>
  <c r="OB121" i="2"/>
  <c r="IL120" i="2"/>
  <c r="IM120" i="2" s="1"/>
  <c r="IN120" i="2" s="1"/>
  <c r="IO120" i="2" s="1"/>
  <c r="IK121" i="2"/>
  <c r="LQ121" i="2"/>
  <c r="LR120" i="2"/>
  <c r="LS120" i="2" s="1"/>
  <c r="LT120" i="2" s="1"/>
  <c r="LU120" i="2" s="1"/>
  <c r="JF121" i="2"/>
  <c r="JG120" i="2"/>
  <c r="JH120" i="2" s="1"/>
  <c r="JI120" i="2" s="1"/>
  <c r="JJ120" i="2" s="1"/>
  <c r="HP121" i="2"/>
  <c r="HQ120" i="2"/>
  <c r="HR120" i="2" s="1"/>
  <c r="HS120" i="2" s="1"/>
  <c r="HT120" i="2" s="1"/>
  <c r="KA121" i="2"/>
  <c r="KB120" i="2"/>
  <c r="KC120" i="2" s="1"/>
  <c r="KD120" i="2" s="1"/>
  <c r="KE120" i="2" s="1"/>
  <c r="KW120" i="2"/>
  <c r="KX120" i="2" s="1"/>
  <c r="KY120" i="2" s="1"/>
  <c r="KZ120" i="2" s="1"/>
  <c r="KV121" i="2"/>
  <c r="ML121" i="2"/>
  <c r="MM120" i="2"/>
  <c r="MN120" i="2" s="1"/>
  <c r="MO120" i="2" s="1"/>
  <c r="MP120" i="2" s="1"/>
  <c r="OW121" i="2"/>
  <c r="OX120" i="2"/>
  <c r="OY120" i="2" s="1"/>
  <c r="OZ120" i="2" s="1"/>
  <c r="PA120" i="2" s="1"/>
  <c r="NG121" i="2"/>
  <c r="NH120" i="2"/>
  <c r="NI120" i="2" s="1"/>
  <c r="NJ120" i="2" s="1"/>
  <c r="NK120" i="2" s="1"/>
  <c r="GU121" i="2"/>
  <c r="GV120" i="2"/>
  <c r="GW120" i="2" s="1"/>
  <c r="GX120" i="2" s="1"/>
  <c r="GY120" i="2" s="1"/>
  <c r="FE121" i="2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IL121" i="2" l="1"/>
  <c r="IM121" i="2" s="1"/>
  <c r="IN121" i="2" s="1"/>
  <c r="IO121" i="2" s="1"/>
  <c r="IK122" i="2"/>
  <c r="NH121" i="2"/>
  <c r="NI121" i="2" s="1"/>
  <c r="NJ121" i="2" s="1"/>
  <c r="NK121" i="2" s="1"/>
  <c r="NG122" i="2"/>
  <c r="ML122" i="2"/>
  <c r="MM121" i="2"/>
  <c r="MN121" i="2" s="1"/>
  <c r="MO121" i="2" s="1"/>
  <c r="MP121" i="2" s="1"/>
  <c r="KA122" i="2"/>
  <c r="KB121" i="2"/>
  <c r="KC121" i="2" s="1"/>
  <c r="KD121" i="2" s="1"/>
  <c r="KE121" i="2" s="1"/>
  <c r="JF122" i="2"/>
  <c r="JG121" i="2"/>
  <c r="JH121" i="2" s="1"/>
  <c r="JI121" i="2" s="1"/>
  <c r="JJ121" i="2" s="1"/>
  <c r="KV122" i="2"/>
  <c r="KW121" i="2"/>
  <c r="KX121" i="2" s="1"/>
  <c r="KY121" i="2" s="1"/>
  <c r="KZ121" i="2" s="1"/>
  <c r="OC121" i="2"/>
  <c r="OD121" i="2" s="1"/>
  <c r="OE121" i="2" s="1"/>
  <c r="OF121" i="2" s="1"/>
  <c r="OB122" i="2"/>
  <c r="OW122" i="2"/>
  <c r="OX121" i="2"/>
  <c r="OY121" i="2" s="1"/>
  <c r="OZ121" i="2" s="1"/>
  <c r="PA121" i="2" s="1"/>
  <c r="HP122" i="2"/>
  <c r="HQ121" i="2"/>
  <c r="HR121" i="2" s="1"/>
  <c r="HS121" i="2" s="1"/>
  <c r="HT121" i="2" s="1"/>
  <c r="LQ122" i="2"/>
  <c r="LR121" i="2"/>
  <c r="LS121" i="2" s="1"/>
  <c r="LT121" i="2" s="1"/>
  <c r="LU121" i="2" s="1"/>
  <c r="GU122" i="2"/>
  <c r="GV121" i="2"/>
  <c r="GW121" i="2" s="1"/>
  <c r="GX121" i="2" s="1"/>
  <c r="GY121" i="2" s="1"/>
  <c r="FE122" i="2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26" i="4" s="1"/>
  <c r="NG123" i="2" l="1"/>
  <c r="NH122" i="2"/>
  <c r="NI122" i="2" s="1"/>
  <c r="NJ122" i="2" s="1"/>
  <c r="NK122" i="2" s="1"/>
  <c r="LQ123" i="2"/>
  <c r="LR122" i="2"/>
  <c r="LS122" i="2" s="1"/>
  <c r="LT122" i="2" s="1"/>
  <c r="LU122" i="2" s="1"/>
  <c r="OW123" i="2"/>
  <c r="OX122" i="2"/>
  <c r="OY122" i="2" s="1"/>
  <c r="OZ122" i="2" s="1"/>
  <c r="PA122" i="2" s="1"/>
  <c r="KW122" i="2"/>
  <c r="KX122" i="2" s="1"/>
  <c r="KY122" i="2" s="1"/>
  <c r="KZ122" i="2" s="1"/>
  <c r="KV123" i="2"/>
  <c r="KA123" i="2"/>
  <c r="KB122" i="2"/>
  <c r="KC122" i="2" s="1"/>
  <c r="KD122" i="2" s="1"/>
  <c r="KE122" i="2" s="1"/>
  <c r="OC122" i="2"/>
  <c r="OD122" i="2" s="1"/>
  <c r="OE122" i="2" s="1"/>
  <c r="OF122" i="2" s="1"/>
  <c r="OB123" i="2"/>
  <c r="IL122" i="2"/>
  <c r="IM122" i="2" s="1"/>
  <c r="IN122" i="2" s="1"/>
  <c r="IO122" i="2" s="1"/>
  <c r="IK123" i="2"/>
  <c r="HP123" i="2"/>
  <c r="HQ122" i="2"/>
  <c r="HR122" i="2" s="1"/>
  <c r="HS122" i="2" s="1"/>
  <c r="HT122" i="2" s="1"/>
  <c r="JF123" i="2"/>
  <c r="JG122" i="2"/>
  <c r="JH122" i="2" s="1"/>
  <c r="JI122" i="2" s="1"/>
  <c r="JJ122" i="2" s="1"/>
  <c r="ML123" i="2"/>
  <c r="MM122" i="2"/>
  <c r="MN122" i="2" s="1"/>
  <c r="MO122" i="2" s="1"/>
  <c r="MP122" i="2" s="1"/>
  <c r="GU123" i="2"/>
  <c r="GV122" i="2"/>
  <c r="GW122" i="2" s="1"/>
  <c r="GX122" i="2" s="1"/>
  <c r="GY122" i="2" s="1"/>
  <c r="FE123" i="2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AJ122" i="2"/>
  <c r="AK122" i="2" s="1"/>
  <c r="AL122" i="2" s="1"/>
  <c r="AM122" i="2" s="1"/>
  <c r="I8" i="4"/>
  <c r="BS34" i="2"/>
  <c r="BE36" i="2"/>
  <c r="BF35" i="2"/>
  <c r="BG35" i="2" s="1"/>
  <c r="BH35" i="2" s="1"/>
  <c r="OC123" i="2" l="1"/>
  <c r="OD123" i="2" s="1"/>
  <c r="OE123" i="2" s="1"/>
  <c r="OF123" i="2" s="1"/>
  <c r="OB124" i="2"/>
  <c r="KW123" i="2"/>
  <c r="KX123" i="2" s="1"/>
  <c r="KY123" i="2" s="1"/>
  <c r="KZ123" i="2" s="1"/>
  <c r="KV124" i="2"/>
  <c r="ML124" i="2"/>
  <c r="MM123" i="2"/>
  <c r="MN123" i="2" s="1"/>
  <c r="MO123" i="2" s="1"/>
  <c r="MP123" i="2" s="1"/>
  <c r="HP124" i="2"/>
  <c r="HQ123" i="2"/>
  <c r="HR123" i="2" s="1"/>
  <c r="HS123" i="2" s="1"/>
  <c r="HT123" i="2" s="1"/>
  <c r="LQ124" i="2"/>
  <c r="LR123" i="2"/>
  <c r="LS123" i="2" s="1"/>
  <c r="LT123" i="2" s="1"/>
  <c r="LU123" i="2" s="1"/>
  <c r="IL123" i="2"/>
  <c r="IM123" i="2" s="1"/>
  <c r="IN123" i="2" s="1"/>
  <c r="IO123" i="2" s="1"/>
  <c r="IK124" i="2"/>
  <c r="JF124" i="2"/>
  <c r="JG123" i="2"/>
  <c r="JH123" i="2" s="1"/>
  <c r="JI123" i="2" s="1"/>
  <c r="JJ123" i="2" s="1"/>
  <c r="KB123" i="2"/>
  <c r="KC123" i="2" s="1"/>
  <c r="KD123" i="2" s="1"/>
  <c r="KE123" i="2" s="1"/>
  <c r="KA124" i="2"/>
  <c r="OW124" i="2"/>
  <c r="OX123" i="2"/>
  <c r="OY123" i="2" s="1"/>
  <c r="OZ123" i="2" s="1"/>
  <c r="PA123" i="2" s="1"/>
  <c r="NG124" i="2"/>
  <c r="NH123" i="2"/>
  <c r="NI123" i="2" s="1"/>
  <c r="NJ123" i="2" s="1"/>
  <c r="NK123" i="2" s="1"/>
  <c r="GU124" i="2"/>
  <c r="GV123" i="2"/>
  <c r="GW123" i="2" s="1"/>
  <c r="GX123" i="2" s="1"/>
  <c r="GY123" i="2" s="1"/>
  <c r="FE124" i="2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AJ123" i="2"/>
  <c r="AK123" i="2" s="1"/>
  <c r="AL123" i="2" s="1"/>
  <c r="AM123" i="2" s="1"/>
  <c r="I26" i="4"/>
  <c r="BE37" i="2"/>
  <c r="BS35" i="2"/>
  <c r="BF36" i="2"/>
  <c r="BG36" i="2" s="1"/>
  <c r="BH36" i="2" s="1"/>
  <c r="KB124" i="2" l="1"/>
  <c r="KC124" i="2" s="1"/>
  <c r="KD124" i="2" s="1"/>
  <c r="KE124" i="2" s="1"/>
  <c r="KA125" i="2"/>
  <c r="IL124" i="2"/>
  <c r="IM124" i="2" s="1"/>
  <c r="IN124" i="2" s="1"/>
  <c r="IO124" i="2" s="1"/>
  <c r="IK125" i="2"/>
  <c r="KW124" i="2"/>
  <c r="KX124" i="2" s="1"/>
  <c r="KY124" i="2" s="1"/>
  <c r="KZ124" i="2" s="1"/>
  <c r="KV125" i="2"/>
  <c r="NG125" i="2"/>
  <c r="NH124" i="2"/>
  <c r="NI124" i="2" s="1"/>
  <c r="NJ124" i="2" s="1"/>
  <c r="NK124" i="2" s="1"/>
  <c r="HP125" i="2"/>
  <c r="HQ124" i="2"/>
  <c r="HR124" i="2" s="1"/>
  <c r="HS124" i="2" s="1"/>
  <c r="HT124" i="2" s="1"/>
  <c r="OC124" i="2"/>
  <c r="OD124" i="2" s="1"/>
  <c r="OE124" i="2" s="1"/>
  <c r="OF124" i="2" s="1"/>
  <c r="OB125" i="2"/>
  <c r="OW125" i="2"/>
  <c r="OX124" i="2"/>
  <c r="OY124" i="2" s="1"/>
  <c r="OZ124" i="2" s="1"/>
  <c r="PA124" i="2" s="1"/>
  <c r="JG124" i="2"/>
  <c r="JH124" i="2" s="1"/>
  <c r="JI124" i="2" s="1"/>
  <c r="JJ124" i="2" s="1"/>
  <c r="JF125" i="2"/>
  <c r="LQ125" i="2"/>
  <c r="LR124" i="2"/>
  <c r="LS124" i="2" s="1"/>
  <c r="LT124" i="2" s="1"/>
  <c r="LU124" i="2" s="1"/>
  <c r="ML125" i="2"/>
  <c r="MM124" i="2"/>
  <c r="MN124" i="2" s="1"/>
  <c r="MO124" i="2" s="1"/>
  <c r="MP124" i="2" s="1"/>
  <c r="GU125" i="2"/>
  <c r="GV124" i="2"/>
  <c r="GW124" i="2" s="1"/>
  <c r="GX124" i="2" s="1"/>
  <c r="GY124" i="2" s="1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AJ124" i="2"/>
  <c r="AK124" i="2" s="1"/>
  <c r="AL124" i="2" s="1"/>
  <c r="AM124" i="2" s="1"/>
  <c r="BS36" i="2"/>
  <c r="BE38" i="2"/>
  <c r="BF37" i="2"/>
  <c r="BG37" i="2" s="1"/>
  <c r="BH37" i="2" s="1"/>
  <c r="JF126" i="2" l="1"/>
  <c r="JG125" i="2"/>
  <c r="JH125" i="2" s="1"/>
  <c r="JI125" i="2" s="1"/>
  <c r="JJ125" i="2" s="1"/>
  <c r="OC125" i="2"/>
  <c r="OD125" i="2" s="1"/>
  <c r="OE125" i="2" s="1"/>
  <c r="OF125" i="2" s="1"/>
  <c r="OB126" i="2"/>
  <c r="IL125" i="2"/>
  <c r="IM125" i="2" s="1"/>
  <c r="IN125" i="2" s="1"/>
  <c r="IO125" i="2" s="1"/>
  <c r="IK126" i="2"/>
  <c r="ML126" i="2"/>
  <c r="MM125" i="2"/>
  <c r="MN125" i="2" s="1"/>
  <c r="MO125" i="2" s="1"/>
  <c r="MP125" i="2" s="1"/>
  <c r="NG126" i="2"/>
  <c r="NH125" i="2"/>
  <c r="NI125" i="2" s="1"/>
  <c r="NJ125" i="2" s="1"/>
  <c r="NK125" i="2" s="1"/>
  <c r="KW125" i="2"/>
  <c r="KX125" i="2" s="1"/>
  <c r="KY125" i="2" s="1"/>
  <c r="KZ125" i="2" s="1"/>
  <c r="KV126" i="2"/>
  <c r="KA126" i="2"/>
  <c r="KB125" i="2"/>
  <c r="KC125" i="2" s="1"/>
  <c r="KD125" i="2" s="1"/>
  <c r="KE125" i="2" s="1"/>
  <c r="LQ126" i="2"/>
  <c r="LR125" i="2"/>
  <c r="LS125" i="2" s="1"/>
  <c r="LT125" i="2" s="1"/>
  <c r="LU125" i="2" s="1"/>
  <c r="OW126" i="2"/>
  <c r="OX125" i="2"/>
  <c r="OY125" i="2" s="1"/>
  <c r="OZ125" i="2" s="1"/>
  <c r="PA125" i="2" s="1"/>
  <c r="HP126" i="2"/>
  <c r="HQ125" i="2"/>
  <c r="HR125" i="2" s="1"/>
  <c r="HS125" i="2" s="1"/>
  <c r="HT125" i="2" s="1"/>
  <c r="GU126" i="2"/>
  <c r="GV125" i="2"/>
  <c r="GW125" i="2" s="1"/>
  <c r="GX125" i="2" s="1"/>
  <c r="GY125" i="2" s="1"/>
  <c r="FE126" i="2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AJ125" i="2"/>
  <c r="AK125" i="2" s="1"/>
  <c r="AL125" i="2" s="1"/>
  <c r="AM125" i="2" s="1"/>
  <c r="BS37" i="2"/>
  <c r="BE39" i="2"/>
  <c r="BF38" i="2"/>
  <c r="BG38" i="2" s="1"/>
  <c r="BH38" i="2" s="1"/>
  <c r="KW126" i="2" l="1"/>
  <c r="KX126" i="2" s="1"/>
  <c r="KY126" i="2" s="1"/>
  <c r="KZ126" i="2" s="1"/>
  <c r="KV127" i="2"/>
  <c r="OC126" i="2"/>
  <c r="OD126" i="2" s="1"/>
  <c r="OE126" i="2" s="1"/>
  <c r="OF126" i="2" s="1"/>
  <c r="OB127" i="2"/>
  <c r="HP127" i="2"/>
  <c r="HQ126" i="2"/>
  <c r="HR126" i="2" s="1"/>
  <c r="HS126" i="2" s="1"/>
  <c r="HT126" i="2" s="1"/>
  <c r="LR126" i="2"/>
  <c r="LS126" i="2" s="1"/>
  <c r="LT126" i="2" s="1"/>
  <c r="LU126" i="2" s="1"/>
  <c r="LQ127" i="2"/>
  <c r="ML127" i="2"/>
  <c r="MM126" i="2"/>
  <c r="MN126" i="2" s="1"/>
  <c r="MO126" i="2" s="1"/>
  <c r="MP126" i="2" s="1"/>
  <c r="IL126" i="2"/>
  <c r="IM126" i="2" s="1"/>
  <c r="IN126" i="2" s="1"/>
  <c r="IO126" i="2" s="1"/>
  <c r="IK127" i="2"/>
  <c r="OW127" i="2"/>
  <c r="OX126" i="2"/>
  <c r="OY126" i="2" s="1"/>
  <c r="OZ126" i="2" s="1"/>
  <c r="PA126" i="2" s="1"/>
  <c r="KB126" i="2"/>
  <c r="KC126" i="2" s="1"/>
  <c r="KD126" i="2" s="1"/>
  <c r="KE126" i="2" s="1"/>
  <c r="KA127" i="2"/>
  <c r="NG127" i="2"/>
  <c r="NH126" i="2"/>
  <c r="NI126" i="2" s="1"/>
  <c r="NJ126" i="2" s="1"/>
  <c r="NK126" i="2" s="1"/>
  <c r="JG126" i="2"/>
  <c r="JH126" i="2" s="1"/>
  <c r="JI126" i="2" s="1"/>
  <c r="JJ126" i="2" s="1"/>
  <c r="JF127" i="2"/>
  <c r="GU127" i="2"/>
  <c r="GV126" i="2"/>
  <c r="GW126" i="2" s="1"/>
  <c r="GX126" i="2" s="1"/>
  <c r="GY126" i="2" s="1"/>
  <c r="FE127" i="2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AJ126" i="2"/>
  <c r="AK126" i="2" s="1"/>
  <c r="AL126" i="2" s="1"/>
  <c r="AM126" i="2" s="1"/>
  <c r="BS38" i="2"/>
  <c r="BE40" i="2"/>
  <c r="BF39" i="2"/>
  <c r="BG39" i="2" s="1"/>
  <c r="BH39" i="2" s="1"/>
  <c r="JF128" i="2" l="1"/>
  <c r="JG127" i="2"/>
  <c r="JH127" i="2" s="1"/>
  <c r="JI127" i="2" s="1"/>
  <c r="JJ127" i="2" s="1"/>
  <c r="KB127" i="2"/>
  <c r="KC127" i="2" s="1"/>
  <c r="KD127" i="2" s="1"/>
  <c r="KE127" i="2" s="1"/>
  <c r="KA128" i="2"/>
  <c r="IL127" i="2"/>
  <c r="IM127" i="2" s="1"/>
  <c r="IN127" i="2" s="1"/>
  <c r="IO127" i="2" s="1"/>
  <c r="IK128" i="2"/>
  <c r="LQ128" i="2"/>
  <c r="LR127" i="2"/>
  <c r="LS127" i="2" s="1"/>
  <c r="LT127" i="2" s="1"/>
  <c r="LU127" i="2" s="1"/>
  <c r="OC127" i="2"/>
  <c r="OD127" i="2" s="1"/>
  <c r="OE127" i="2" s="1"/>
  <c r="OF127" i="2" s="1"/>
  <c r="OB128" i="2"/>
  <c r="KV128" i="2"/>
  <c r="KW127" i="2"/>
  <c r="KX127" i="2" s="1"/>
  <c r="KY127" i="2" s="1"/>
  <c r="KZ127" i="2" s="1"/>
  <c r="NG128" i="2"/>
  <c r="NH127" i="2"/>
  <c r="NI127" i="2" s="1"/>
  <c r="NJ127" i="2" s="1"/>
  <c r="NK127" i="2" s="1"/>
  <c r="OW128" i="2"/>
  <c r="OX127" i="2"/>
  <c r="OY127" i="2" s="1"/>
  <c r="OZ127" i="2" s="1"/>
  <c r="PA127" i="2" s="1"/>
  <c r="ML128" i="2"/>
  <c r="MM127" i="2"/>
  <c r="MN127" i="2" s="1"/>
  <c r="MO127" i="2" s="1"/>
  <c r="MP127" i="2" s="1"/>
  <c r="HP128" i="2"/>
  <c r="HQ127" i="2"/>
  <c r="HR127" i="2" s="1"/>
  <c r="HS127" i="2" s="1"/>
  <c r="HT127" i="2" s="1"/>
  <c r="GU128" i="2"/>
  <c r="GV127" i="2"/>
  <c r="GW127" i="2" s="1"/>
  <c r="GX127" i="2" s="1"/>
  <c r="GY127" i="2" s="1"/>
  <c r="FE128" i="2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AJ127" i="2"/>
  <c r="AK127" i="2" s="1"/>
  <c r="AL127" i="2" s="1"/>
  <c r="AM127" i="2" s="1"/>
  <c r="BS39" i="2"/>
  <c r="BE41" i="2"/>
  <c r="BF40" i="2"/>
  <c r="BG40" i="2" s="1"/>
  <c r="BH40" i="2" s="1"/>
  <c r="KA129" i="2" l="1"/>
  <c r="KB128" i="2"/>
  <c r="KC128" i="2" s="1"/>
  <c r="KD128" i="2" s="1"/>
  <c r="KE128" i="2" s="1"/>
  <c r="HP129" i="2"/>
  <c r="HQ128" i="2"/>
  <c r="HR128" i="2" s="1"/>
  <c r="HS128" i="2" s="1"/>
  <c r="HT128" i="2" s="1"/>
  <c r="OW129" i="2"/>
  <c r="OX128" i="2"/>
  <c r="OY128" i="2" s="1"/>
  <c r="OZ128" i="2" s="1"/>
  <c r="PA128" i="2" s="1"/>
  <c r="KW128" i="2"/>
  <c r="KX128" i="2" s="1"/>
  <c r="KY128" i="2" s="1"/>
  <c r="KZ128" i="2" s="1"/>
  <c r="KV129" i="2"/>
  <c r="LQ129" i="2"/>
  <c r="LR128" i="2"/>
  <c r="LS128" i="2" s="1"/>
  <c r="LT128" i="2" s="1"/>
  <c r="LU128" i="2" s="1"/>
  <c r="OC128" i="2"/>
  <c r="OD128" i="2" s="1"/>
  <c r="OE128" i="2" s="1"/>
  <c r="OF128" i="2" s="1"/>
  <c r="OB129" i="2"/>
  <c r="IL128" i="2"/>
  <c r="IM128" i="2" s="1"/>
  <c r="IN128" i="2" s="1"/>
  <c r="IO128" i="2" s="1"/>
  <c r="IK129" i="2"/>
  <c r="ML129" i="2"/>
  <c r="MM128" i="2"/>
  <c r="MN128" i="2" s="1"/>
  <c r="MO128" i="2" s="1"/>
  <c r="MP128" i="2" s="1"/>
  <c r="NG129" i="2"/>
  <c r="NH128" i="2"/>
  <c r="NI128" i="2" s="1"/>
  <c r="NJ128" i="2" s="1"/>
  <c r="NK128" i="2" s="1"/>
  <c r="JG128" i="2"/>
  <c r="JH128" i="2" s="1"/>
  <c r="JI128" i="2" s="1"/>
  <c r="JJ128" i="2" s="1"/>
  <c r="JF129" i="2"/>
  <c r="GU129" i="2"/>
  <c r="GV128" i="2"/>
  <c r="GW128" i="2" s="1"/>
  <c r="GX128" i="2" s="1"/>
  <c r="GY128" i="2" s="1"/>
  <c r="FE129" i="2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AJ128" i="2"/>
  <c r="AK128" i="2" s="1"/>
  <c r="AL128" i="2" s="1"/>
  <c r="AM128" i="2" s="1"/>
  <c r="BS40" i="2"/>
  <c r="BE42" i="2"/>
  <c r="BF41" i="2"/>
  <c r="BG41" i="2" s="1"/>
  <c r="BH41" i="2" s="1"/>
  <c r="JG129" i="2" l="1"/>
  <c r="JH129" i="2" s="1"/>
  <c r="JI129" i="2" s="1"/>
  <c r="JJ129" i="2" s="1"/>
  <c r="JF130" i="2"/>
  <c r="OB130" i="2"/>
  <c r="OC129" i="2"/>
  <c r="OD129" i="2" s="1"/>
  <c r="OE129" i="2" s="1"/>
  <c r="OF129" i="2" s="1"/>
  <c r="KV130" i="2"/>
  <c r="KW129" i="2"/>
  <c r="KX129" i="2" s="1"/>
  <c r="KY129" i="2" s="1"/>
  <c r="KZ129" i="2" s="1"/>
  <c r="ML130" i="2"/>
  <c r="MM129" i="2"/>
  <c r="MN129" i="2" s="1"/>
  <c r="MO129" i="2" s="1"/>
  <c r="MP129" i="2" s="1"/>
  <c r="HP130" i="2"/>
  <c r="HQ129" i="2"/>
  <c r="HR129" i="2" s="1"/>
  <c r="HS129" i="2" s="1"/>
  <c r="HT129" i="2" s="1"/>
  <c r="IL129" i="2"/>
  <c r="IM129" i="2" s="1"/>
  <c r="IN129" i="2" s="1"/>
  <c r="IO129" i="2" s="1"/>
  <c r="IK130" i="2"/>
  <c r="NH129" i="2"/>
  <c r="NI129" i="2" s="1"/>
  <c r="NJ129" i="2" s="1"/>
  <c r="NK129" i="2" s="1"/>
  <c r="NG130" i="2"/>
  <c r="LR129" i="2"/>
  <c r="LS129" i="2" s="1"/>
  <c r="LT129" i="2" s="1"/>
  <c r="LU129" i="2" s="1"/>
  <c r="LQ130" i="2"/>
  <c r="OW130" i="2"/>
  <c r="OX129" i="2"/>
  <c r="OY129" i="2" s="1"/>
  <c r="OZ129" i="2" s="1"/>
  <c r="PA129" i="2" s="1"/>
  <c r="KA130" i="2"/>
  <c r="KB129" i="2"/>
  <c r="KC129" i="2" s="1"/>
  <c r="KD129" i="2" s="1"/>
  <c r="KE129" i="2" s="1"/>
  <c r="GU130" i="2"/>
  <c r="GV129" i="2"/>
  <c r="GW129" i="2" s="1"/>
  <c r="GX129" i="2" s="1"/>
  <c r="GY129" i="2" s="1"/>
  <c r="FE130" i="2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AJ129" i="2"/>
  <c r="AK129" i="2" s="1"/>
  <c r="AL129" i="2" s="1"/>
  <c r="AM129" i="2" s="1"/>
  <c r="BS41" i="2"/>
  <c r="BE43" i="2"/>
  <c r="BF42" i="2"/>
  <c r="BG42" i="2" s="1"/>
  <c r="BH42" i="2" s="1"/>
  <c r="LQ131" i="2" l="1"/>
  <c r="LR130" i="2"/>
  <c r="LS130" i="2" s="1"/>
  <c r="LT130" i="2" s="1"/>
  <c r="LU130" i="2" s="1"/>
  <c r="IL130" i="2"/>
  <c r="IM130" i="2" s="1"/>
  <c r="IN130" i="2" s="1"/>
  <c r="IO130" i="2" s="1"/>
  <c r="IK131" i="2"/>
  <c r="KB130" i="2"/>
  <c r="KC130" i="2" s="1"/>
  <c r="KD130" i="2" s="1"/>
  <c r="KE130" i="2" s="1"/>
  <c r="KA131" i="2"/>
  <c r="ML131" i="2"/>
  <c r="MM130" i="2"/>
  <c r="MN130" i="2" s="1"/>
  <c r="MO130" i="2" s="1"/>
  <c r="MP130" i="2" s="1"/>
  <c r="OB131" i="2"/>
  <c r="OC130" i="2"/>
  <c r="OD130" i="2" s="1"/>
  <c r="OE130" i="2" s="1"/>
  <c r="OF130" i="2" s="1"/>
  <c r="NG131" i="2"/>
  <c r="NH130" i="2"/>
  <c r="NI130" i="2" s="1"/>
  <c r="NJ130" i="2" s="1"/>
  <c r="NK130" i="2" s="1"/>
  <c r="JF131" i="2"/>
  <c r="JG130" i="2"/>
  <c r="JH130" i="2" s="1"/>
  <c r="JI130" i="2" s="1"/>
  <c r="JJ130" i="2" s="1"/>
  <c r="OW131" i="2"/>
  <c r="OX130" i="2"/>
  <c r="OY130" i="2" s="1"/>
  <c r="OZ130" i="2" s="1"/>
  <c r="PA130" i="2" s="1"/>
  <c r="HP131" i="2"/>
  <c r="HQ130" i="2"/>
  <c r="HR130" i="2" s="1"/>
  <c r="HS130" i="2" s="1"/>
  <c r="HT130" i="2" s="1"/>
  <c r="KV131" i="2"/>
  <c r="KW130" i="2"/>
  <c r="KX130" i="2" s="1"/>
  <c r="KY130" i="2" s="1"/>
  <c r="KZ130" i="2" s="1"/>
  <c r="GU131" i="2"/>
  <c r="GV130" i="2"/>
  <c r="GW130" i="2" s="1"/>
  <c r="GX130" i="2" s="1"/>
  <c r="GY130" i="2" s="1"/>
  <c r="FE131" i="2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AJ130" i="2"/>
  <c r="AK130" i="2" s="1"/>
  <c r="AL130" i="2" s="1"/>
  <c r="AM130" i="2" s="1"/>
  <c r="BS42" i="2"/>
  <c r="BE44" i="2"/>
  <c r="BF43" i="2"/>
  <c r="BG43" i="2" s="1"/>
  <c r="BH43" i="2" s="1"/>
  <c r="IL131" i="2" l="1"/>
  <c r="IM131" i="2" s="1"/>
  <c r="IN131" i="2" s="1"/>
  <c r="IO131" i="2" s="1"/>
  <c r="IK132" i="2"/>
  <c r="KW131" i="2"/>
  <c r="KX131" i="2" s="1"/>
  <c r="KY131" i="2" s="1"/>
  <c r="KZ131" i="2" s="1"/>
  <c r="KV132" i="2"/>
  <c r="OW132" i="2"/>
  <c r="OX131" i="2"/>
  <c r="OY131" i="2" s="1"/>
  <c r="OZ131" i="2" s="1"/>
  <c r="PA131" i="2" s="1"/>
  <c r="NG132" i="2"/>
  <c r="NH131" i="2"/>
  <c r="NI131" i="2" s="1"/>
  <c r="NJ131" i="2" s="1"/>
  <c r="NK131" i="2" s="1"/>
  <c r="ML132" i="2"/>
  <c r="MM131" i="2"/>
  <c r="MN131" i="2" s="1"/>
  <c r="MO131" i="2" s="1"/>
  <c r="MP131" i="2" s="1"/>
  <c r="KB131" i="2"/>
  <c r="KC131" i="2" s="1"/>
  <c r="KD131" i="2" s="1"/>
  <c r="KE131" i="2" s="1"/>
  <c r="KA132" i="2"/>
  <c r="HP132" i="2"/>
  <c r="HQ131" i="2"/>
  <c r="HR131" i="2" s="1"/>
  <c r="HS131" i="2" s="1"/>
  <c r="HT131" i="2" s="1"/>
  <c r="JF132" i="2"/>
  <c r="JG131" i="2"/>
  <c r="JH131" i="2" s="1"/>
  <c r="JI131" i="2" s="1"/>
  <c r="JJ131" i="2" s="1"/>
  <c r="OC131" i="2"/>
  <c r="OD131" i="2" s="1"/>
  <c r="OE131" i="2" s="1"/>
  <c r="OF131" i="2" s="1"/>
  <c r="OB132" i="2"/>
  <c r="LQ132" i="2"/>
  <c r="LR131" i="2"/>
  <c r="LS131" i="2" s="1"/>
  <c r="LT131" i="2" s="1"/>
  <c r="LU131" i="2" s="1"/>
  <c r="GU132" i="2"/>
  <c r="GV131" i="2"/>
  <c r="GW131" i="2" s="1"/>
  <c r="GX131" i="2" s="1"/>
  <c r="GY131" i="2" s="1"/>
  <c r="FE132" i="2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AJ131" i="2"/>
  <c r="AK131" i="2" s="1"/>
  <c r="AL131" i="2" s="1"/>
  <c r="AM131" i="2" s="1"/>
  <c r="BS43" i="2"/>
  <c r="BE45" i="2"/>
  <c r="BF44" i="2"/>
  <c r="BG44" i="2" s="1"/>
  <c r="BH44" i="2" s="1"/>
  <c r="KB132" i="2" l="1"/>
  <c r="KC132" i="2" s="1"/>
  <c r="KD132" i="2" s="1"/>
  <c r="KE132" i="2" s="1"/>
  <c r="KA133" i="2"/>
  <c r="KW132" i="2"/>
  <c r="KX132" i="2" s="1"/>
  <c r="KY132" i="2" s="1"/>
  <c r="KZ132" i="2" s="1"/>
  <c r="KV133" i="2"/>
  <c r="LR132" i="2"/>
  <c r="LS132" i="2" s="1"/>
  <c r="LT132" i="2" s="1"/>
  <c r="LU132" i="2" s="1"/>
  <c r="LQ133" i="2"/>
  <c r="JG132" i="2"/>
  <c r="JH132" i="2" s="1"/>
  <c r="JI132" i="2" s="1"/>
  <c r="JJ132" i="2" s="1"/>
  <c r="JF133" i="2"/>
  <c r="NG133" i="2"/>
  <c r="NH132" i="2"/>
  <c r="NI132" i="2" s="1"/>
  <c r="NJ132" i="2" s="1"/>
  <c r="NK132" i="2" s="1"/>
  <c r="OB133" i="2"/>
  <c r="OC132" i="2"/>
  <c r="OD132" i="2" s="1"/>
  <c r="OE132" i="2" s="1"/>
  <c r="OF132" i="2" s="1"/>
  <c r="IL132" i="2"/>
  <c r="IM132" i="2" s="1"/>
  <c r="IN132" i="2" s="1"/>
  <c r="IO132" i="2" s="1"/>
  <c r="IK133" i="2"/>
  <c r="HP133" i="2"/>
  <c r="HQ132" i="2"/>
  <c r="HR132" i="2" s="1"/>
  <c r="HS132" i="2" s="1"/>
  <c r="HT132" i="2" s="1"/>
  <c r="ML133" i="2"/>
  <c r="MM132" i="2"/>
  <c r="MN132" i="2" s="1"/>
  <c r="MO132" i="2" s="1"/>
  <c r="MP132" i="2" s="1"/>
  <c r="OW133" i="2"/>
  <c r="OX132" i="2"/>
  <c r="OY132" i="2" s="1"/>
  <c r="OZ132" i="2" s="1"/>
  <c r="PA132" i="2" s="1"/>
  <c r="GU133" i="2"/>
  <c r="GV132" i="2"/>
  <c r="GW132" i="2" s="1"/>
  <c r="GX132" i="2" s="1"/>
  <c r="GY132" i="2" s="1"/>
  <c r="FE133" i="2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AJ132" i="2"/>
  <c r="AK132" i="2" s="1"/>
  <c r="AL132" i="2" s="1"/>
  <c r="AM132" i="2" s="1"/>
  <c r="BS44" i="2"/>
  <c r="BE46" i="2"/>
  <c r="BF45" i="2"/>
  <c r="BG45" i="2" s="1"/>
  <c r="BH45" i="2" s="1"/>
  <c r="JG133" i="2" l="1"/>
  <c r="JH133" i="2" s="1"/>
  <c r="JI133" i="2" s="1"/>
  <c r="JJ133" i="2" s="1"/>
  <c r="JF134" i="2"/>
  <c r="KV134" i="2"/>
  <c r="KW133" i="2"/>
  <c r="KX133" i="2" s="1"/>
  <c r="KY133" i="2" s="1"/>
  <c r="KZ133" i="2" s="1"/>
  <c r="OW134" i="2"/>
  <c r="OX133" i="2"/>
  <c r="OY133" i="2" s="1"/>
  <c r="OZ133" i="2" s="1"/>
  <c r="PA133" i="2" s="1"/>
  <c r="HP134" i="2"/>
  <c r="HQ133" i="2"/>
  <c r="HR133" i="2" s="1"/>
  <c r="HS133" i="2" s="1"/>
  <c r="HT133" i="2" s="1"/>
  <c r="OC133" i="2"/>
  <c r="OD133" i="2" s="1"/>
  <c r="OE133" i="2" s="1"/>
  <c r="OF133" i="2" s="1"/>
  <c r="OB134" i="2"/>
  <c r="IL133" i="2"/>
  <c r="IM133" i="2" s="1"/>
  <c r="IN133" i="2" s="1"/>
  <c r="IO133" i="2" s="1"/>
  <c r="IK134" i="2"/>
  <c r="LQ134" i="2"/>
  <c r="LR133" i="2"/>
  <c r="LS133" i="2" s="1"/>
  <c r="LT133" i="2" s="1"/>
  <c r="LU133" i="2" s="1"/>
  <c r="KB133" i="2"/>
  <c r="KC133" i="2" s="1"/>
  <c r="KD133" i="2" s="1"/>
  <c r="KE133" i="2" s="1"/>
  <c r="KA134" i="2"/>
  <c r="ML134" i="2"/>
  <c r="MM133" i="2"/>
  <c r="MN133" i="2" s="1"/>
  <c r="MO133" i="2" s="1"/>
  <c r="MP133" i="2" s="1"/>
  <c r="NH133" i="2"/>
  <c r="NI133" i="2" s="1"/>
  <c r="NJ133" i="2" s="1"/>
  <c r="NK133" i="2" s="1"/>
  <c r="NG134" i="2"/>
  <c r="GU134" i="2"/>
  <c r="GV133" i="2"/>
  <c r="GW133" i="2" s="1"/>
  <c r="GX133" i="2" s="1"/>
  <c r="GY133" i="2" s="1"/>
  <c r="FE134" i="2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AJ133" i="2"/>
  <c r="AK133" i="2" s="1"/>
  <c r="AL133" i="2" s="1"/>
  <c r="AM133" i="2" s="1"/>
  <c r="BS45" i="2"/>
  <c r="BE47" i="2"/>
  <c r="BF46" i="2"/>
  <c r="BG46" i="2" s="1"/>
  <c r="BH46" i="2" s="1"/>
  <c r="NH134" i="2" l="1"/>
  <c r="NI134" i="2" s="1"/>
  <c r="NJ134" i="2" s="1"/>
  <c r="NK134" i="2" s="1"/>
  <c r="NG135" i="2"/>
  <c r="KB134" i="2"/>
  <c r="KC134" i="2" s="1"/>
  <c r="KD134" i="2" s="1"/>
  <c r="KE134" i="2" s="1"/>
  <c r="KA135" i="2"/>
  <c r="IL134" i="2"/>
  <c r="IM134" i="2" s="1"/>
  <c r="IN134" i="2" s="1"/>
  <c r="IO134" i="2" s="1"/>
  <c r="IK135" i="2"/>
  <c r="HP135" i="2"/>
  <c r="HQ134" i="2"/>
  <c r="HR134" i="2" s="1"/>
  <c r="HS134" i="2" s="1"/>
  <c r="HT134" i="2" s="1"/>
  <c r="KV135" i="2"/>
  <c r="KW134" i="2"/>
  <c r="KX134" i="2" s="1"/>
  <c r="KY134" i="2" s="1"/>
  <c r="KZ134" i="2" s="1"/>
  <c r="OC134" i="2"/>
  <c r="OD134" i="2" s="1"/>
  <c r="OE134" i="2" s="1"/>
  <c r="OF134" i="2" s="1"/>
  <c r="OB135" i="2"/>
  <c r="JF135" i="2"/>
  <c r="JG134" i="2"/>
  <c r="JH134" i="2" s="1"/>
  <c r="JI134" i="2" s="1"/>
  <c r="JJ134" i="2" s="1"/>
  <c r="ML135" i="2"/>
  <c r="MM134" i="2"/>
  <c r="MN134" i="2" s="1"/>
  <c r="MO134" i="2" s="1"/>
  <c r="MP134" i="2" s="1"/>
  <c r="LQ135" i="2"/>
  <c r="LR134" i="2"/>
  <c r="LS134" i="2" s="1"/>
  <c r="LT134" i="2" s="1"/>
  <c r="LU134" i="2" s="1"/>
  <c r="OW135" i="2"/>
  <c r="OX134" i="2"/>
  <c r="OY134" i="2" s="1"/>
  <c r="OZ134" i="2" s="1"/>
  <c r="PA134" i="2" s="1"/>
  <c r="GU135" i="2"/>
  <c r="GV134" i="2"/>
  <c r="GW134" i="2" s="1"/>
  <c r="GX134" i="2" s="1"/>
  <c r="GY134" i="2" s="1"/>
  <c r="FE135" i="2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AJ134" i="2"/>
  <c r="AK134" i="2" s="1"/>
  <c r="AL134" i="2" s="1"/>
  <c r="AM134" i="2" s="1"/>
  <c r="BS46" i="2"/>
  <c r="BE48" i="2"/>
  <c r="BF47" i="2"/>
  <c r="BG47" i="2" s="1"/>
  <c r="BH47" i="2" s="1"/>
  <c r="JK169" i="2" l="1"/>
  <c r="JK118" i="2"/>
  <c r="JK42" i="2"/>
  <c r="JK64" i="2"/>
  <c r="JK152" i="2"/>
  <c r="JK184" i="2"/>
  <c r="JK6" i="2"/>
  <c r="JK171" i="2"/>
  <c r="JK151" i="2"/>
  <c r="JK58" i="2"/>
  <c r="JK83" i="2"/>
  <c r="JK43" i="2"/>
  <c r="JK38" i="2"/>
  <c r="JK153" i="2"/>
  <c r="JK131" i="2"/>
  <c r="JK125" i="2"/>
  <c r="JK75" i="2"/>
  <c r="JK172" i="2"/>
  <c r="JK76" i="2"/>
  <c r="JK147" i="2"/>
  <c r="JK53" i="2"/>
  <c r="JK72" i="2"/>
  <c r="JK121" i="2"/>
  <c r="JK37" i="2"/>
  <c r="JK54" i="2"/>
  <c r="JK139" i="2"/>
  <c r="JK101" i="2"/>
  <c r="JK142" i="2"/>
  <c r="JK44" i="2"/>
  <c r="JK74" i="2"/>
  <c r="JK73" i="2"/>
  <c r="JK161" i="2"/>
  <c r="JK159" i="2"/>
  <c r="JK90" i="2"/>
  <c r="JK201" i="2"/>
  <c r="JK9" i="2"/>
  <c r="JK105" i="2"/>
  <c r="JK45" i="2"/>
  <c r="JK41" i="2"/>
  <c r="JK133" i="2"/>
  <c r="JK3" i="2"/>
  <c r="C18" i="4" s="1"/>
  <c r="E18" i="4" s="1"/>
  <c r="F18" i="4" s="1"/>
  <c r="G18" i="4" s="1"/>
  <c r="L18" i="4" s="1"/>
  <c r="JK4" i="2"/>
  <c r="JK21" i="2"/>
  <c r="JK130" i="2"/>
  <c r="JK33" i="2"/>
  <c r="JK113" i="2"/>
  <c r="JK98" i="2"/>
  <c r="JK182" i="2"/>
  <c r="JK195" i="2"/>
  <c r="JK52" i="2"/>
  <c r="JK60" i="2"/>
  <c r="JK116" i="2"/>
  <c r="JK10" i="2"/>
  <c r="JK193" i="2"/>
  <c r="JK203" i="2"/>
  <c r="JK35" i="2"/>
  <c r="JK77" i="2"/>
  <c r="JK55" i="2"/>
  <c r="JK22" i="2"/>
  <c r="JK16" i="2"/>
  <c r="JK5" i="2"/>
  <c r="JK12" i="2"/>
  <c r="JK166" i="2"/>
  <c r="JK85" i="2"/>
  <c r="JK48" i="2"/>
  <c r="JK128" i="2"/>
  <c r="JK70" i="2"/>
  <c r="JK165" i="2"/>
  <c r="JK168" i="2"/>
  <c r="JK190" i="2"/>
  <c r="JK68" i="2"/>
  <c r="JK129" i="2"/>
  <c r="JK189" i="2"/>
  <c r="JK92" i="2"/>
  <c r="JK89" i="2"/>
  <c r="JK157" i="2"/>
  <c r="JK114" i="2"/>
  <c r="JK183" i="2"/>
  <c r="JK94" i="2"/>
  <c r="JK154" i="2"/>
  <c r="JK61" i="2"/>
  <c r="JK175" i="2"/>
  <c r="JK155" i="2"/>
  <c r="JK143" i="2"/>
  <c r="JK57" i="2"/>
  <c r="JK31" i="2"/>
  <c r="JK199" i="2"/>
  <c r="JK158" i="2"/>
  <c r="JK100" i="2"/>
  <c r="JK46" i="2"/>
  <c r="JK108" i="2"/>
  <c r="JK137" i="2"/>
  <c r="JK167" i="2"/>
  <c r="JK8" i="2"/>
  <c r="JK202" i="2"/>
  <c r="JK140" i="2"/>
  <c r="JK156" i="2"/>
  <c r="JK103" i="2"/>
  <c r="JK14" i="2"/>
  <c r="JK25" i="2"/>
  <c r="JK27" i="2"/>
  <c r="JK110" i="2"/>
  <c r="JK29" i="2"/>
  <c r="JK91" i="2"/>
  <c r="JK126" i="2"/>
  <c r="JK18" i="2"/>
  <c r="JK138" i="2"/>
  <c r="JK59" i="2"/>
  <c r="JK56" i="2"/>
  <c r="JK146" i="2"/>
  <c r="JK119" i="2"/>
  <c r="JK149" i="2"/>
  <c r="JK112" i="2"/>
  <c r="JK109" i="2"/>
  <c r="JK132" i="2"/>
  <c r="JK50" i="2"/>
  <c r="JK127" i="2"/>
  <c r="JK191" i="2"/>
  <c r="JK30" i="2"/>
  <c r="JK185" i="2"/>
  <c r="JK95" i="2"/>
  <c r="JK84" i="2"/>
  <c r="JK49" i="2"/>
  <c r="JK36" i="2"/>
  <c r="JK180" i="2"/>
  <c r="JK123" i="2"/>
  <c r="JK178" i="2"/>
  <c r="JK78" i="2"/>
  <c r="JK194" i="2"/>
  <c r="JK192" i="2"/>
  <c r="JK141" i="2"/>
  <c r="JK120" i="2"/>
  <c r="JK34" i="2"/>
  <c r="JK93" i="2"/>
  <c r="JK174" i="2"/>
  <c r="JK66" i="2"/>
  <c r="JK173" i="2"/>
  <c r="JK106" i="2"/>
  <c r="JK99" i="2"/>
  <c r="JK117" i="2"/>
  <c r="JK79" i="2"/>
  <c r="JK47" i="2"/>
  <c r="JK40" i="2"/>
  <c r="JK65" i="2"/>
  <c r="JK11" i="2"/>
  <c r="JK7" i="2"/>
  <c r="JK82" i="2"/>
  <c r="JK15" i="2"/>
  <c r="JK163" i="2"/>
  <c r="JK51" i="2"/>
  <c r="JK69" i="2"/>
  <c r="JK71" i="2"/>
  <c r="JK28" i="2"/>
  <c r="JK107" i="2"/>
  <c r="JK136" i="2"/>
  <c r="JK63" i="2"/>
  <c r="JK23" i="2"/>
  <c r="JK124" i="2"/>
  <c r="JK86" i="2"/>
  <c r="JK181" i="2"/>
  <c r="JK62" i="2"/>
  <c r="JK104" i="2"/>
  <c r="JK80" i="2"/>
  <c r="JK148" i="2"/>
  <c r="JK160" i="2"/>
  <c r="JK115" i="2"/>
  <c r="JK39" i="2"/>
  <c r="JK19" i="2"/>
  <c r="JK177" i="2"/>
  <c r="JK32" i="2"/>
  <c r="JK200" i="2"/>
  <c r="JK67" i="2"/>
  <c r="JK135" i="2"/>
  <c r="JK176" i="2"/>
  <c r="JK164" i="2"/>
  <c r="JK111" i="2"/>
  <c r="JK145" i="2"/>
  <c r="JK81" i="2"/>
  <c r="JK179" i="2"/>
  <c r="JK96" i="2"/>
  <c r="JK162" i="2"/>
  <c r="JK13" i="2"/>
  <c r="JK88" i="2"/>
  <c r="JK102" i="2"/>
  <c r="JK87" i="2"/>
  <c r="JK188" i="2"/>
  <c r="JK187" i="2"/>
  <c r="JK26" i="2"/>
  <c r="JK170" i="2"/>
  <c r="JK196" i="2"/>
  <c r="JK97" i="2"/>
  <c r="JK134" i="2"/>
  <c r="JK24" i="2"/>
  <c r="JK186" i="2"/>
  <c r="JK20" i="2"/>
  <c r="JK197" i="2"/>
  <c r="JK144" i="2"/>
  <c r="JK122" i="2"/>
  <c r="JK150" i="2"/>
  <c r="JK17" i="2"/>
  <c r="JK198" i="2"/>
  <c r="KF129" i="2"/>
  <c r="KF91" i="2"/>
  <c r="KF71" i="2"/>
  <c r="KF123" i="2"/>
  <c r="KF98" i="2"/>
  <c r="KF125" i="2"/>
  <c r="KF120" i="2"/>
  <c r="KF104" i="2"/>
  <c r="KF168" i="2"/>
  <c r="KF6" i="2"/>
  <c r="KF4" i="2"/>
  <c r="KF89" i="2"/>
  <c r="KF7" i="2"/>
  <c r="KF192" i="2"/>
  <c r="KF191" i="2"/>
  <c r="KF24" i="2"/>
  <c r="KF31" i="2"/>
  <c r="KF197" i="2"/>
  <c r="KF37" i="2"/>
  <c r="KF13" i="2"/>
  <c r="KF152" i="2"/>
  <c r="KF59" i="2"/>
  <c r="KF18" i="2"/>
  <c r="KF84" i="2"/>
  <c r="KF46" i="2"/>
  <c r="KF73" i="2"/>
  <c r="KF145" i="2"/>
  <c r="KF82" i="2"/>
  <c r="KF169" i="2"/>
  <c r="KF187" i="2"/>
  <c r="KF159" i="2"/>
  <c r="KF179" i="2"/>
  <c r="KF74" i="2"/>
  <c r="KF41" i="2"/>
  <c r="KF164" i="2"/>
  <c r="KF170" i="2"/>
  <c r="KF158" i="2"/>
  <c r="KF78" i="2"/>
  <c r="KF161" i="2"/>
  <c r="KF35" i="2"/>
  <c r="KF70" i="2"/>
  <c r="KF127" i="2"/>
  <c r="KF115" i="2"/>
  <c r="KF39" i="2"/>
  <c r="KF160" i="2"/>
  <c r="KF166" i="2"/>
  <c r="KF62" i="2"/>
  <c r="KF61" i="2"/>
  <c r="KF156" i="2"/>
  <c r="KF193" i="2"/>
  <c r="KF44" i="2"/>
  <c r="KF185" i="2"/>
  <c r="KF64" i="2"/>
  <c r="KF5" i="2"/>
  <c r="KF162" i="2"/>
  <c r="KF105" i="2"/>
  <c r="KF45" i="2"/>
  <c r="KF47" i="2"/>
  <c r="KF92" i="2"/>
  <c r="KF122" i="2"/>
  <c r="KF76" i="2"/>
  <c r="KF27" i="2"/>
  <c r="KF140" i="2"/>
  <c r="KF118" i="2"/>
  <c r="KF50" i="2"/>
  <c r="KF153" i="2"/>
  <c r="KF93" i="2"/>
  <c r="KF157" i="2"/>
  <c r="KF96" i="2"/>
  <c r="KF186" i="2"/>
  <c r="KF53" i="2"/>
  <c r="KF99" i="2"/>
  <c r="KF33" i="2"/>
  <c r="KF26" i="2"/>
  <c r="KF178" i="2"/>
  <c r="KF181" i="2"/>
  <c r="KF198" i="2"/>
  <c r="KF19" i="2"/>
  <c r="KF69" i="2"/>
  <c r="KF101" i="2"/>
  <c r="KF108" i="2"/>
  <c r="KF190" i="2"/>
  <c r="KF139" i="2"/>
  <c r="KF58" i="2"/>
  <c r="KF116" i="2"/>
  <c r="KF48" i="2"/>
  <c r="KF103" i="2"/>
  <c r="KF11" i="2"/>
  <c r="KF130" i="2"/>
  <c r="KF154" i="2"/>
  <c r="KF43" i="2"/>
  <c r="KF10" i="2"/>
  <c r="KF77" i="2"/>
  <c r="KF106" i="2"/>
  <c r="KF14" i="2"/>
  <c r="KF146" i="2"/>
  <c r="KF117" i="2"/>
  <c r="KF28" i="2"/>
  <c r="KF95" i="2"/>
  <c r="KF184" i="2"/>
  <c r="KF22" i="2"/>
  <c r="KF148" i="2"/>
  <c r="KF110" i="2"/>
  <c r="KF34" i="2"/>
  <c r="KF121" i="2"/>
  <c r="KF54" i="2"/>
  <c r="KF137" i="2"/>
  <c r="KF147" i="2"/>
  <c r="KF88" i="2"/>
  <c r="KF36" i="2"/>
  <c r="KF171" i="2"/>
  <c r="KF201" i="2"/>
  <c r="KF149" i="2"/>
  <c r="KF29" i="2"/>
  <c r="KF12" i="2"/>
  <c r="KF136" i="2"/>
  <c r="KF52" i="2"/>
  <c r="KF80" i="2"/>
  <c r="KF176" i="2"/>
  <c r="KF189" i="2"/>
  <c r="KF195" i="2"/>
  <c r="KF151" i="2"/>
  <c r="KF9" i="2"/>
  <c r="KF199" i="2"/>
  <c r="KF94" i="2"/>
  <c r="KF196" i="2"/>
  <c r="KF57" i="2"/>
  <c r="KF97" i="2"/>
  <c r="KF188" i="2"/>
  <c r="KF138" i="2"/>
  <c r="KF150" i="2"/>
  <c r="KF30" i="2"/>
  <c r="KF142" i="2"/>
  <c r="KF60" i="2"/>
  <c r="KF8" i="2"/>
  <c r="KF141" i="2"/>
  <c r="KF144" i="2"/>
  <c r="KF111" i="2"/>
  <c r="KF107" i="2"/>
  <c r="KF66" i="2"/>
  <c r="KF23" i="2"/>
  <c r="KF63" i="2"/>
  <c r="KF90" i="2"/>
  <c r="KF21" i="2"/>
  <c r="KF165" i="2"/>
  <c r="KF75" i="2"/>
  <c r="KF167" i="2"/>
  <c r="KF128" i="2"/>
  <c r="KF134" i="2"/>
  <c r="KF17" i="2"/>
  <c r="KF135" i="2"/>
  <c r="KF16" i="2"/>
  <c r="KF133" i="2"/>
  <c r="KF86" i="2"/>
  <c r="KF65" i="2"/>
  <c r="KF79" i="2"/>
  <c r="KF32" i="2"/>
  <c r="KF119" i="2"/>
  <c r="KF112" i="2"/>
  <c r="KF182" i="2"/>
  <c r="KF203" i="2"/>
  <c r="KF25" i="2"/>
  <c r="KF200" i="2"/>
  <c r="KF100" i="2"/>
  <c r="KF180" i="2"/>
  <c r="KF68" i="2"/>
  <c r="KF155" i="2"/>
  <c r="KF85" i="2"/>
  <c r="KF172" i="2"/>
  <c r="KF174" i="2"/>
  <c r="KF49" i="2"/>
  <c r="KF56" i="2"/>
  <c r="KF132" i="2"/>
  <c r="KF40" i="2"/>
  <c r="KF102" i="2"/>
  <c r="KF177" i="2"/>
  <c r="KF81" i="2"/>
  <c r="KF124" i="2"/>
  <c r="KF51" i="2"/>
  <c r="KF72" i="2"/>
  <c r="KF143" i="2"/>
  <c r="KF3" i="2"/>
  <c r="C19" i="4" s="1"/>
  <c r="E19" i="4" s="1"/>
  <c r="F19" i="4" s="1"/>
  <c r="G19" i="4" s="1"/>
  <c r="L19" i="4" s="1"/>
  <c r="KF15" i="2"/>
  <c r="KF202" i="2"/>
  <c r="KF163" i="2"/>
  <c r="KF83" i="2"/>
  <c r="KF38" i="2"/>
  <c r="KF183" i="2"/>
  <c r="KF114" i="2"/>
  <c r="KF109" i="2"/>
  <c r="KF42" i="2"/>
  <c r="KF113" i="2"/>
  <c r="KF67" i="2"/>
  <c r="KF173" i="2"/>
  <c r="KF194" i="2"/>
  <c r="KF126" i="2"/>
  <c r="KF175" i="2"/>
  <c r="KF87" i="2"/>
  <c r="KF20" i="2"/>
  <c r="KF131" i="2"/>
  <c r="KF55" i="2"/>
  <c r="OC135" i="2"/>
  <c r="OD135" i="2" s="1"/>
  <c r="OE135" i="2" s="1"/>
  <c r="OF135" i="2" s="1"/>
  <c r="OB136" i="2"/>
  <c r="KB135" i="2"/>
  <c r="KC135" i="2" s="1"/>
  <c r="KD135" i="2" s="1"/>
  <c r="KE135" i="2" s="1"/>
  <c r="KA136" i="2"/>
  <c r="OW136" i="2"/>
  <c r="OX135" i="2"/>
  <c r="OY135" i="2" s="1"/>
  <c r="OZ135" i="2" s="1"/>
  <c r="PA135" i="2" s="1"/>
  <c r="ML136" i="2"/>
  <c r="MM135" i="2"/>
  <c r="MN135" i="2" s="1"/>
  <c r="MO135" i="2" s="1"/>
  <c r="MP135" i="2" s="1"/>
  <c r="HP136" i="2"/>
  <c r="HQ135" i="2"/>
  <c r="HR135" i="2" s="1"/>
  <c r="HS135" i="2" s="1"/>
  <c r="HT135" i="2" s="1"/>
  <c r="IL135" i="2"/>
  <c r="IM135" i="2" s="1"/>
  <c r="IN135" i="2" s="1"/>
  <c r="IO135" i="2" s="1"/>
  <c r="IK136" i="2"/>
  <c r="NH135" i="2"/>
  <c r="NI135" i="2" s="1"/>
  <c r="NJ135" i="2" s="1"/>
  <c r="NK135" i="2" s="1"/>
  <c r="NG136" i="2"/>
  <c r="LQ136" i="2"/>
  <c r="LR135" i="2"/>
  <c r="LS135" i="2" s="1"/>
  <c r="LT135" i="2" s="1"/>
  <c r="LU135" i="2" s="1"/>
  <c r="JF136" i="2"/>
  <c r="JG135" i="2"/>
  <c r="JH135" i="2" s="1"/>
  <c r="JI135" i="2" s="1"/>
  <c r="JJ135" i="2" s="1"/>
  <c r="KV136" i="2"/>
  <c r="KW135" i="2"/>
  <c r="KX135" i="2" s="1"/>
  <c r="KY135" i="2" s="1"/>
  <c r="KZ135" i="2" s="1"/>
  <c r="GU136" i="2"/>
  <c r="GV135" i="2"/>
  <c r="GW135" i="2" s="1"/>
  <c r="GX135" i="2" s="1"/>
  <c r="GY135" i="2" s="1"/>
  <c r="FE136" i="2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AJ135" i="2"/>
  <c r="AK135" i="2" s="1"/>
  <c r="AL135" i="2" s="1"/>
  <c r="AM135" i="2" s="1"/>
  <c r="BE49" i="2"/>
  <c r="BS47" i="2"/>
  <c r="BF48" i="2"/>
  <c r="BG48" i="2" s="1"/>
  <c r="BH48" i="2" s="1"/>
  <c r="IL136" i="2" l="1"/>
  <c r="IM136" i="2" s="1"/>
  <c r="IN136" i="2" s="1"/>
  <c r="IO136" i="2" s="1"/>
  <c r="IK137" i="2"/>
  <c r="KA137" i="2"/>
  <c r="KB136" i="2"/>
  <c r="KC136" i="2" s="1"/>
  <c r="KD136" i="2" s="1"/>
  <c r="KE136" i="2" s="1"/>
  <c r="KW136" i="2"/>
  <c r="KX136" i="2" s="1"/>
  <c r="KY136" i="2" s="1"/>
  <c r="KZ136" i="2" s="1"/>
  <c r="KV137" i="2"/>
  <c r="LQ137" i="2"/>
  <c r="LR136" i="2"/>
  <c r="LS136" i="2" s="1"/>
  <c r="LT136" i="2" s="1"/>
  <c r="LU136" i="2" s="1"/>
  <c r="ML137" i="2"/>
  <c r="MM136" i="2"/>
  <c r="MN136" i="2" s="1"/>
  <c r="MO136" i="2" s="1"/>
  <c r="MP136" i="2" s="1"/>
  <c r="NG137" i="2"/>
  <c r="NH136" i="2"/>
  <c r="NI136" i="2" s="1"/>
  <c r="NJ136" i="2" s="1"/>
  <c r="NK136" i="2" s="1"/>
  <c r="OC136" i="2"/>
  <c r="OD136" i="2" s="1"/>
  <c r="OE136" i="2" s="1"/>
  <c r="OF136" i="2" s="1"/>
  <c r="OB137" i="2"/>
  <c r="JF137" i="2"/>
  <c r="JG136" i="2"/>
  <c r="JH136" i="2" s="1"/>
  <c r="JI136" i="2" s="1"/>
  <c r="JJ136" i="2" s="1"/>
  <c r="HP137" i="2"/>
  <c r="HQ136" i="2"/>
  <c r="HR136" i="2" s="1"/>
  <c r="HS136" i="2" s="1"/>
  <c r="HT136" i="2" s="1"/>
  <c r="OW137" i="2"/>
  <c r="OX136" i="2"/>
  <c r="OY136" i="2" s="1"/>
  <c r="OZ136" i="2" s="1"/>
  <c r="PA136" i="2" s="1"/>
  <c r="GU137" i="2"/>
  <c r="GV136" i="2"/>
  <c r="GW136" i="2" s="1"/>
  <c r="GX136" i="2" s="1"/>
  <c r="GY136" i="2" s="1"/>
  <c r="FE137" i="2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AJ136" i="2"/>
  <c r="AK136" i="2" s="1"/>
  <c r="AL136" i="2" s="1"/>
  <c r="AM136" i="2" s="1"/>
  <c r="BS48" i="2"/>
  <c r="BE50" i="2"/>
  <c r="BF49" i="2"/>
  <c r="BG49" i="2" s="1"/>
  <c r="BH49" i="2" s="1"/>
  <c r="OW138" i="2" l="1"/>
  <c r="OX137" i="2"/>
  <c r="OY137" i="2" s="1"/>
  <c r="OZ137" i="2" s="1"/>
  <c r="PA137" i="2" s="1"/>
  <c r="JF138" i="2"/>
  <c r="JG137" i="2"/>
  <c r="JH137" i="2" s="1"/>
  <c r="JI137" i="2" s="1"/>
  <c r="JJ137" i="2" s="1"/>
  <c r="NG138" i="2"/>
  <c r="NH137" i="2"/>
  <c r="NI137" i="2" s="1"/>
  <c r="NJ137" i="2" s="1"/>
  <c r="NK137" i="2" s="1"/>
  <c r="LQ138" i="2"/>
  <c r="LR137" i="2"/>
  <c r="LS137" i="2" s="1"/>
  <c r="LT137" i="2" s="1"/>
  <c r="LU137" i="2" s="1"/>
  <c r="KA138" i="2"/>
  <c r="KB137" i="2"/>
  <c r="KC137" i="2" s="1"/>
  <c r="KD137" i="2" s="1"/>
  <c r="KE137" i="2" s="1"/>
  <c r="OC137" i="2"/>
  <c r="OD137" i="2" s="1"/>
  <c r="OE137" i="2" s="1"/>
  <c r="OF137" i="2" s="1"/>
  <c r="OB138" i="2"/>
  <c r="KW137" i="2"/>
  <c r="KX137" i="2" s="1"/>
  <c r="KY137" i="2" s="1"/>
  <c r="KZ137" i="2" s="1"/>
  <c r="KV138" i="2"/>
  <c r="IL137" i="2"/>
  <c r="IM137" i="2" s="1"/>
  <c r="IN137" i="2" s="1"/>
  <c r="IO137" i="2" s="1"/>
  <c r="IK138" i="2"/>
  <c r="HP138" i="2"/>
  <c r="HQ137" i="2"/>
  <c r="HR137" i="2" s="1"/>
  <c r="HS137" i="2" s="1"/>
  <c r="HT137" i="2" s="1"/>
  <c r="ML138" i="2"/>
  <c r="MM137" i="2"/>
  <c r="MN137" i="2" s="1"/>
  <c r="MO137" i="2" s="1"/>
  <c r="MP137" i="2" s="1"/>
  <c r="GU138" i="2"/>
  <c r="GV137" i="2"/>
  <c r="GW137" i="2" s="1"/>
  <c r="GX137" i="2" s="1"/>
  <c r="GY137" i="2" s="1"/>
  <c r="FE138" i="2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IL138" i="2" l="1"/>
  <c r="IM138" i="2" s="1"/>
  <c r="IN138" i="2" s="1"/>
  <c r="IO138" i="2" s="1"/>
  <c r="IK139" i="2"/>
  <c r="OB139" i="2"/>
  <c r="OC138" i="2"/>
  <c r="OD138" i="2" s="1"/>
  <c r="OE138" i="2" s="1"/>
  <c r="OF138" i="2" s="1"/>
  <c r="ML139" i="2"/>
  <c r="MM138" i="2"/>
  <c r="MN138" i="2" s="1"/>
  <c r="MO138" i="2" s="1"/>
  <c r="MP138" i="2" s="1"/>
  <c r="LR138" i="2"/>
  <c r="LS138" i="2" s="1"/>
  <c r="LT138" i="2" s="1"/>
  <c r="LU138" i="2" s="1"/>
  <c r="LQ139" i="2"/>
  <c r="JG138" i="2"/>
  <c r="JH138" i="2" s="1"/>
  <c r="JI138" i="2" s="1"/>
  <c r="JJ138" i="2" s="1"/>
  <c r="JF139" i="2"/>
  <c r="KV139" i="2"/>
  <c r="KW138" i="2"/>
  <c r="KX138" i="2" s="1"/>
  <c r="KY138" i="2" s="1"/>
  <c r="KZ138" i="2" s="1"/>
  <c r="HP139" i="2"/>
  <c r="HQ138" i="2"/>
  <c r="HR138" i="2" s="1"/>
  <c r="HS138" i="2" s="1"/>
  <c r="HT138" i="2" s="1"/>
  <c r="KB138" i="2"/>
  <c r="KC138" i="2" s="1"/>
  <c r="KD138" i="2" s="1"/>
  <c r="KE138" i="2" s="1"/>
  <c r="KA139" i="2"/>
  <c r="NG139" i="2"/>
  <c r="NH138" i="2"/>
  <c r="NI138" i="2" s="1"/>
  <c r="NJ138" i="2" s="1"/>
  <c r="NK138" i="2" s="1"/>
  <c r="OW139" i="2"/>
  <c r="OX138" i="2"/>
  <c r="OY138" i="2" s="1"/>
  <c r="OZ138" i="2" s="1"/>
  <c r="PA138" i="2" s="1"/>
  <c r="GU139" i="2"/>
  <c r="GV138" i="2"/>
  <c r="GW138" i="2" s="1"/>
  <c r="GX138" i="2" s="1"/>
  <c r="GY138" i="2" s="1"/>
  <c r="FE139" i="2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AJ138" i="2"/>
  <c r="AK138" i="2" s="1"/>
  <c r="AL138" i="2" s="1"/>
  <c r="AM138" i="2" s="1"/>
  <c r="BS50" i="2"/>
  <c r="BE52" i="2"/>
  <c r="BF51" i="2"/>
  <c r="BG51" i="2" s="1"/>
  <c r="BH51" i="2" s="1"/>
  <c r="KA140" i="2" l="1"/>
  <c r="KB139" i="2"/>
  <c r="KC139" i="2" s="1"/>
  <c r="KD139" i="2" s="1"/>
  <c r="KE139" i="2" s="1"/>
  <c r="LQ140" i="2"/>
  <c r="LR139" i="2"/>
  <c r="LS139" i="2" s="1"/>
  <c r="LT139" i="2" s="1"/>
  <c r="LU139" i="2" s="1"/>
  <c r="OW140" i="2"/>
  <c r="OX139" i="2"/>
  <c r="OY139" i="2" s="1"/>
  <c r="OZ139" i="2" s="1"/>
  <c r="PA139" i="2" s="1"/>
  <c r="KV140" i="2"/>
  <c r="KW139" i="2"/>
  <c r="KX139" i="2" s="1"/>
  <c r="KY139" i="2" s="1"/>
  <c r="KZ139" i="2" s="1"/>
  <c r="OC139" i="2"/>
  <c r="OD139" i="2" s="1"/>
  <c r="OE139" i="2" s="1"/>
  <c r="OF139" i="2" s="1"/>
  <c r="OB140" i="2"/>
  <c r="JF140" i="2"/>
  <c r="JG139" i="2"/>
  <c r="JH139" i="2" s="1"/>
  <c r="JI139" i="2" s="1"/>
  <c r="JJ139" i="2" s="1"/>
  <c r="IL139" i="2"/>
  <c r="IM139" i="2" s="1"/>
  <c r="IN139" i="2" s="1"/>
  <c r="IO139" i="2" s="1"/>
  <c r="IK140" i="2"/>
  <c r="NH139" i="2"/>
  <c r="NI139" i="2" s="1"/>
  <c r="NJ139" i="2" s="1"/>
  <c r="NK139" i="2" s="1"/>
  <c r="NG140" i="2"/>
  <c r="HP140" i="2"/>
  <c r="HQ139" i="2"/>
  <c r="HR139" i="2" s="1"/>
  <c r="HS139" i="2" s="1"/>
  <c r="HT139" i="2" s="1"/>
  <c r="ML140" i="2"/>
  <c r="MM139" i="2"/>
  <c r="MN139" i="2" s="1"/>
  <c r="MO139" i="2" s="1"/>
  <c r="MP139" i="2" s="1"/>
  <c r="GU140" i="2"/>
  <c r="GV139" i="2"/>
  <c r="GW139" i="2" s="1"/>
  <c r="GX139" i="2" s="1"/>
  <c r="GY139" i="2" s="1"/>
  <c r="FE140" i="2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AJ139" i="2"/>
  <c r="AK139" i="2" s="1"/>
  <c r="AL139" i="2" s="1"/>
  <c r="AM139" i="2" s="1"/>
  <c r="BE53" i="2"/>
  <c r="BS51" i="2"/>
  <c r="BF52" i="2"/>
  <c r="BG52" i="2" s="1"/>
  <c r="BH52" i="2" s="1"/>
  <c r="NH140" i="2" l="1"/>
  <c r="NI140" i="2" s="1"/>
  <c r="NJ140" i="2" s="1"/>
  <c r="NK140" i="2" s="1"/>
  <c r="NG141" i="2"/>
  <c r="ML141" i="2"/>
  <c r="MM140" i="2"/>
  <c r="MN140" i="2" s="1"/>
  <c r="MO140" i="2" s="1"/>
  <c r="MP140" i="2" s="1"/>
  <c r="JF141" i="2"/>
  <c r="JG140" i="2"/>
  <c r="JH140" i="2" s="1"/>
  <c r="JI140" i="2" s="1"/>
  <c r="JJ140" i="2" s="1"/>
  <c r="KV141" i="2"/>
  <c r="KW140" i="2"/>
  <c r="KX140" i="2" s="1"/>
  <c r="KY140" i="2" s="1"/>
  <c r="KZ140" i="2" s="1"/>
  <c r="LQ141" i="2"/>
  <c r="LR140" i="2"/>
  <c r="LS140" i="2" s="1"/>
  <c r="LT140" i="2" s="1"/>
  <c r="LU140" i="2" s="1"/>
  <c r="IL140" i="2"/>
  <c r="IM140" i="2" s="1"/>
  <c r="IN140" i="2" s="1"/>
  <c r="IO140" i="2" s="1"/>
  <c r="IK141" i="2"/>
  <c r="OC140" i="2"/>
  <c r="OD140" i="2" s="1"/>
  <c r="OE140" i="2" s="1"/>
  <c r="OF140" i="2" s="1"/>
  <c r="OB141" i="2"/>
  <c r="HP141" i="2"/>
  <c r="HQ140" i="2"/>
  <c r="HR140" i="2" s="1"/>
  <c r="HS140" i="2" s="1"/>
  <c r="HT140" i="2" s="1"/>
  <c r="OW141" i="2"/>
  <c r="OX140" i="2"/>
  <c r="OY140" i="2" s="1"/>
  <c r="OZ140" i="2" s="1"/>
  <c r="PA140" i="2" s="1"/>
  <c r="KA141" i="2"/>
  <c r="KB140" i="2"/>
  <c r="KC140" i="2" s="1"/>
  <c r="KD140" i="2" s="1"/>
  <c r="KE140" i="2" s="1"/>
  <c r="GU141" i="2"/>
  <c r="GV140" i="2"/>
  <c r="GW140" i="2" s="1"/>
  <c r="GX140" i="2" s="1"/>
  <c r="GY140" i="2" s="1"/>
  <c r="FE141" i="2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AJ140" i="2"/>
  <c r="AK140" i="2" s="1"/>
  <c r="AL140" i="2" s="1"/>
  <c r="AM140" i="2" s="1"/>
  <c r="BS52" i="2"/>
  <c r="BE54" i="2"/>
  <c r="BF53" i="2"/>
  <c r="BG53" i="2" s="1"/>
  <c r="BH53" i="2" s="1"/>
  <c r="IL141" i="2" l="1"/>
  <c r="IM141" i="2" s="1"/>
  <c r="IN141" i="2" s="1"/>
  <c r="IO141" i="2" s="1"/>
  <c r="IK142" i="2"/>
  <c r="KB141" i="2"/>
  <c r="KC141" i="2" s="1"/>
  <c r="KD141" i="2" s="1"/>
  <c r="KE141" i="2" s="1"/>
  <c r="KA142" i="2"/>
  <c r="HP142" i="2"/>
  <c r="HQ141" i="2"/>
  <c r="HR141" i="2" s="1"/>
  <c r="HS141" i="2" s="1"/>
  <c r="HT141" i="2" s="1"/>
  <c r="KW141" i="2"/>
  <c r="KX141" i="2" s="1"/>
  <c r="KY141" i="2" s="1"/>
  <c r="KZ141" i="2" s="1"/>
  <c r="KV142" i="2"/>
  <c r="ML142" i="2"/>
  <c r="MM141" i="2"/>
  <c r="MN141" i="2" s="1"/>
  <c r="MO141" i="2" s="1"/>
  <c r="MP141" i="2" s="1"/>
  <c r="OC141" i="2"/>
  <c r="OD141" i="2" s="1"/>
  <c r="OE141" i="2" s="1"/>
  <c r="OF141" i="2" s="1"/>
  <c r="OB142" i="2"/>
  <c r="NG142" i="2"/>
  <c r="NH141" i="2"/>
  <c r="NI141" i="2" s="1"/>
  <c r="NJ141" i="2" s="1"/>
  <c r="NK141" i="2" s="1"/>
  <c r="OW142" i="2"/>
  <c r="OX141" i="2"/>
  <c r="OY141" i="2" s="1"/>
  <c r="OZ141" i="2" s="1"/>
  <c r="PA141" i="2" s="1"/>
  <c r="LQ142" i="2"/>
  <c r="LR141" i="2"/>
  <c r="LS141" i="2" s="1"/>
  <c r="LT141" i="2" s="1"/>
  <c r="LU141" i="2" s="1"/>
  <c r="JF142" i="2"/>
  <c r="JG141" i="2"/>
  <c r="JH141" i="2" s="1"/>
  <c r="JI141" i="2" s="1"/>
  <c r="JJ141" i="2" s="1"/>
  <c r="GU142" i="2"/>
  <c r="GV141" i="2"/>
  <c r="GW141" i="2" s="1"/>
  <c r="GX141" i="2" s="1"/>
  <c r="GY141" i="2" s="1"/>
  <c r="FE142" i="2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AJ141" i="2"/>
  <c r="AK141" i="2" s="1"/>
  <c r="AL141" i="2" s="1"/>
  <c r="AM141" i="2" s="1"/>
  <c r="BE55" i="2"/>
  <c r="BS53" i="2"/>
  <c r="BF54" i="2"/>
  <c r="BG54" i="2" s="1"/>
  <c r="BH54" i="2" s="1"/>
  <c r="OC142" i="2" l="1"/>
  <c r="OD142" i="2" s="1"/>
  <c r="OE142" i="2" s="1"/>
  <c r="OF142" i="2" s="1"/>
  <c r="OB143" i="2"/>
  <c r="KV143" i="2"/>
  <c r="KW142" i="2"/>
  <c r="KX142" i="2" s="1"/>
  <c r="KY142" i="2" s="1"/>
  <c r="KZ142" i="2" s="1"/>
  <c r="KB142" i="2"/>
  <c r="KC142" i="2" s="1"/>
  <c r="KD142" i="2" s="1"/>
  <c r="KE142" i="2" s="1"/>
  <c r="KA143" i="2"/>
  <c r="JF143" i="2"/>
  <c r="JG142" i="2"/>
  <c r="JH142" i="2" s="1"/>
  <c r="JI142" i="2" s="1"/>
  <c r="JJ142" i="2" s="1"/>
  <c r="OW143" i="2"/>
  <c r="OX142" i="2"/>
  <c r="OY142" i="2" s="1"/>
  <c r="OZ142" i="2" s="1"/>
  <c r="PA142" i="2" s="1"/>
  <c r="IL142" i="2"/>
  <c r="IM142" i="2" s="1"/>
  <c r="IN142" i="2" s="1"/>
  <c r="IO142" i="2" s="1"/>
  <c r="IK143" i="2"/>
  <c r="LQ143" i="2"/>
  <c r="LR142" i="2"/>
  <c r="LS142" i="2" s="1"/>
  <c r="LT142" i="2" s="1"/>
  <c r="LU142" i="2" s="1"/>
  <c r="NH142" i="2"/>
  <c r="NI142" i="2" s="1"/>
  <c r="NJ142" i="2" s="1"/>
  <c r="NK142" i="2" s="1"/>
  <c r="NG143" i="2"/>
  <c r="ML143" i="2"/>
  <c r="MM142" i="2"/>
  <c r="MN142" i="2" s="1"/>
  <c r="MO142" i="2" s="1"/>
  <c r="MP142" i="2" s="1"/>
  <c r="HP143" i="2"/>
  <c r="HQ142" i="2"/>
  <c r="HR142" i="2" s="1"/>
  <c r="HS142" i="2" s="1"/>
  <c r="HT142" i="2" s="1"/>
  <c r="GU143" i="2"/>
  <c r="GV142" i="2"/>
  <c r="GW142" i="2" s="1"/>
  <c r="GX142" i="2" s="1"/>
  <c r="GY142" i="2" s="1"/>
  <c r="FE143" i="2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AJ142" i="2"/>
  <c r="AK142" i="2" s="1"/>
  <c r="AL142" i="2" s="1"/>
  <c r="AM142" i="2" s="1"/>
  <c r="BS54" i="2"/>
  <c r="BE56" i="2"/>
  <c r="BF55" i="2"/>
  <c r="BG55" i="2" s="1"/>
  <c r="BH55" i="2" s="1"/>
  <c r="NH143" i="2" l="1"/>
  <c r="NI143" i="2" s="1"/>
  <c r="NJ143" i="2" s="1"/>
  <c r="NK143" i="2" s="1"/>
  <c r="NG144" i="2"/>
  <c r="IL143" i="2"/>
  <c r="IM143" i="2" s="1"/>
  <c r="IN143" i="2" s="1"/>
  <c r="IO143" i="2" s="1"/>
  <c r="IK144" i="2"/>
  <c r="HP144" i="2"/>
  <c r="HQ143" i="2"/>
  <c r="HR143" i="2" s="1"/>
  <c r="HS143" i="2" s="1"/>
  <c r="HT143" i="2" s="1"/>
  <c r="JF144" i="2"/>
  <c r="JG143" i="2"/>
  <c r="JH143" i="2" s="1"/>
  <c r="JI143" i="2" s="1"/>
  <c r="JJ143" i="2" s="1"/>
  <c r="KV144" i="2"/>
  <c r="KW143" i="2"/>
  <c r="KX143" i="2" s="1"/>
  <c r="KY143" i="2" s="1"/>
  <c r="KZ143" i="2" s="1"/>
  <c r="KB143" i="2"/>
  <c r="KC143" i="2" s="1"/>
  <c r="KD143" i="2" s="1"/>
  <c r="KE143" i="2" s="1"/>
  <c r="KA144" i="2"/>
  <c r="OB144" i="2"/>
  <c r="OC143" i="2"/>
  <c r="OD143" i="2" s="1"/>
  <c r="OE143" i="2" s="1"/>
  <c r="OF143" i="2" s="1"/>
  <c r="ML144" i="2"/>
  <c r="MM143" i="2"/>
  <c r="MN143" i="2" s="1"/>
  <c r="MO143" i="2" s="1"/>
  <c r="MP143" i="2" s="1"/>
  <c r="LR143" i="2"/>
  <c r="LS143" i="2" s="1"/>
  <c r="LT143" i="2" s="1"/>
  <c r="LU143" i="2" s="1"/>
  <c r="LQ144" i="2"/>
  <c r="OW144" i="2"/>
  <c r="OX143" i="2"/>
  <c r="OY143" i="2" s="1"/>
  <c r="OZ143" i="2" s="1"/>
  <c r="PA143" i="2" s="1"/>
  <c r="GU144" i="2"/>
  <c r="GV143" i="2"/>
  <c r="GW143" i="2" s="1"/>
  <c r="GX143" i="2" s="1"/>
  <c r="GY143" i="2" s="1"/>
  <c r="FE144" i="2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AJ143" i="2"/>
  <c r="AK143" i="2" s="1"/>
  <c r="AL143" i="2" s="1"/>
  <c r="AM143" i="2" s="1"/>
  <c r="BE57" i="2"/>
  <c r="BS55" i="2"/>
  <c r="BF56" i="2"/>
  <c r="BG56" i="2" s="1"/>
  <c r="BH56" i="2" s="1"/>
  <c r="KB144" i="2" l="1"/>
  <c r="KC144" i="2" s="1"/>
  <c r="KD144" i="2" s="1"/>
  <c r="KE144" i="2" s="1"/>
  <c r="KA145" i="2"/>
  <c r="IL144" i="2"/>
  <c r="IM144" i="2" s="1"/>
  <c r="IN144" i="2" s="1"/>
  <c r="IO144" i="2" s="1"/>
  <c r="IK145" i="2"/>
  <c r="OW145" i="2"/>
  <c r="OX144" i="2"/>
  <c r="OY144" i="2" s="1"/>
  <c r="OZ144" i="2" s="1"/>
  <c r="PA144" i="2" s="1"/>
  <c r="ML145" i="2"/>
  <c r="MM144" i="2"/>
  <c r="MN144" i="2" s="1"/>
  <c r="MO144" i="2" s="1"/>
  <c r="MP144" i="2" s="1"/>
  <c r="JF145" i="2"/>
  <c r="JG144" i="2"/>
  <c r="JH144" i="2" s="1"/>
  <c r="JI144" i="2" s="1"/>
  <c r="JJ144" i="2" s="1"/>
  <c r="LQ145" i="2"/>
  <c r="LR144" i="2"/>
  <c r="LS144" i="2" s="1"/>
  <c r="LT144" i="2" s="1"/>
  <c r="LU144" i="2" s="1"/>
  <c r="NG145" i="2"/>
  <c r="NH144" i="2"/>
  <c r="NI144" i="2" s="1"/>
  <c r="NJ144" i="2" s="1"/>
  <c r="NK144" i="2" s="1"/>
  <c r="OC144" i="2"/>
  <c r="OD144" i="2" s="1"/>
  <c r="OE144" i="2" s="1"/>
  <c r="OF144" i="2" s="1"/>
  <c r="OB145" i="2"/>
  <c r="KW144" i="2"/>
  <c r="KX144" i="2" s="1"/>
  <c r="KY144" i="2" s="1"/>
  <c r="KZ144" i="2" s="1"/>
  <c r="KV145" i="2"/>
  <c r="HP145" i="2"/>
  <c r="HQ144" i="2"/>
  <c r="HR144" i="2" s="1"/>
  <c r="HS144" i="2" s="1"/>
  <c r="HT144" i="2" s="1"/>
  <c r="GU145" i="2"/>
  <c r="GV144" i="2"/>
  <c r="GW144" i="2" s="1"/>
  <c r="GX144" i="2" s="1"/>
  <c r="GY144" i="2" s="1"/>
  <c r="FE145" i="2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AJ144" i="2"/>
  <c r="AK144" i="2" s="1"/>
  <c r="AL144" i="2" s="1"/>
  <c r="AM144" i="2" s="1"/>
  <c r="BS56" i="2"/>
  <c r="BE58" i="2"/>
  <c r="BF57" i="2"/>
  <c r="BG57" i="2" s="1"/>
  <c r="BH57" i="2" s="1"/>
  <c r="OC145" i="2" l="1"/>
  <c r="OD145" i="2" s="1"/>
  <c r="OE145" i="2" s="1"/>
  <c r="OF145" i="2" s="1"/>
  <c r="OB146" i="2"/>
  <c r="IL145" i="2"/>
  <c r="IM145" i="2" s="1"/>
  <c r="IN145" i="2" s="1"/>
  <c r="IO145" i="2" s="1"/>
  <c r="IK146" i="2"/>
  <c r="HP146" i="2"/>
  <c r="HQ145" i="2"/>
  <c r="HR145" i="2" s="1"/>
  <c r="HS145" i="2" s="1"/>
  <c r="HT145" i="2" s="1"/>
  <c r="LQ146" i="2"/>
  <c r="LR145" i="2"/>
  <c r="LS145" i="2" s="1"/>
  <c r="LT145" i="2" s="1"/>
  <c r="LU145" i="2" s="1"/>
  <c r="ML146" i="2"/>
  <c r="MM145" i="2"/>
  <c r="MN145" i="2" s="1"/>
  <c r="MO145" i="2" s="1"/>
  <c r="MP145" i="2" s="1"/>
  <c r="KV146" i="2"/>
  <c r="KW145" i="2"/>
  <c r="KX145" i="2" s="1"/>
  <c r="KY145" i="2" s="1"/>
  <c r="KZ145" i="2" s="1"/>
  <c r="KA146" i="2"/>
  <c r="KB145" i="2"/>
  <c r="KC145" i="2" s="1"/>
  <c r="KD145" i="2" s="1"/>
  <c r="KE145" i="2" s="1"/>
  <c r="NG146" i="2"/>
  <c r="NH145" i="2"/>
  <c r="NI145" i="2" s="1"/>
  <c r="NJ145" i="2" s="1"/>
  <c r="NK145" i="2" s="1"/>
  <c r="JF146" i="2"/>
  <c r="JG145" i="2"/>
  <c r="JH145" i="2" s="1"/>
  <c r="JI145" i="2" s="1"/>
  <c r="JJ145" i="2" s="1"/>
  <c r="OW146" i="2"/>
  <c r="OX145" i="2"/>
  <c r="OY145" i="2" s="1"/>
  <c r="OZ145" i="2" s="1"/>
  <c r="PA145" i="2" s="1"/>
  <c r="GU146" i="2"/>
  <c r="GV145" i="2"/>
  <c r="GW145" i="2" s="1"/>
  <c r="GX145" i="2" s="1"/>
  <c r="GY145" i="2" s="1"/>
  <c r="FE146" i="2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AJ145" i="2"/>
  <c r="AK145" i="2" s="1"/>
  <c r="AL145" i="2" s="1"/>
  <c r="AM145" i="2" s="1"/>
  <c r="BE59" i="2"/>
  <c r="BS57" i="2"/>
  <c r="BF58" i="2"/>
  <c r="BG58" i="2" s="1"/>
  <c r="BH58" i="2" s="1"/>
  <c r="IL146" i="2" l="1"/>
  <c r="IM146" i="2" s="1"/>
  <c r="IN146" i="2" s="1"/>
  <c r="IO146" i="2" s="1"/>
  <c r="IK147" i="2"/>
  <c r="OW147" i="2"/>
  <c r="OX146" i="2"/>
  <c r="OY146" i="2" s="1"/>
  <c r="OZ146" i="2" s="1"/>
  <c r="PA146" i="2" s="1"/>
  <c r="NG147" i="2"/>
  <c r="NH146" i="2"/>
  <c r="NI146" i="2" s="1"/>
  <c r="NJ146" i="2" s="1"/>
  <c r="NK146" i="2" s="1"/>
  <c r="KW146" i="2"/>
  <c r="KX146" i="2" s="1"/>
  <c r="KY146" i="2" s="1"/>
  <c r="KZ146" i="2" s="1"/>
  <c r="KV147" i="2"/>
  <c r="LQ147" i="2"/>
  <c r="LR146" i="2"/>
  <c r="LS146" i="2" s="1"/>
  <c r="LT146" i="2" s="1"/>
  <c r="LU146" i="2" s="1"/>
  <c r="OC146" i="2"/>
  <c r="OD146" i="2" s="1"/>
  <c r="OE146" i="2" s="1"/>
  <c r="OF146" i="2" s="1"/>
  <c r="OB147" i="2"/>
  <c r="JF147" i="2"/>
  <c r="JG146" i="2"/>
  <c r="JH146" i="2" s="1"/>
  <c r="JI146" i="2" s="1"/>
  <c r="JJ146" i="2" s="1"/>
  <c r="KB146" i="2"/>
  <c r="KC146" i="2" s="1"/>
  <c r="KD146" i="2" s="1"/>
  <c r="KE146" i="2" s="1"/>
  <c r="KA147" i="2"/>
  <c r="ML147" i="2"/>
  <c r="MM146" i="2"/>
  <c r="MN146" i="2" s="1"/>
  <c r="MO146" i="2" s="1"/>
  <c r="MP146" i="2" s="1"/>
  <c r="HP147" i="2"/>
  <c r="HQ146" i="2"/>
  <c r="HR146" i="2" s="1"/>
  <c r="HS146" i="2" s="1"/>
  <c r="HT146" i="2" s="1"/>
  <c r="GU147" i="2"/>
  <c r="GV146" i="2"/>
  <c r="GW146" i="2" s="1"/>
  <c r="GX146" i="2" s="1"/>
  <c r="GY146" i="2" s="1"/>
  <c r="FE147" i="2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AJ146" i="2"/>
  <c r="AK146" i="2" s="1"/>
  <c r="AL146" i="2" s="1"/>
  <c r="AM146" i="2" s="1"/>
  <c r="BS58" i="2"/>
  <c r="BE60" i="2"/>
  <c r="BF59" i="2"/>
  <c r="BG59" i="2" s="1"/>
  <c r="BH59" i="2" s="1"/>
  <c r="KB147" i="2" l="1"/>
  <c r="KC147" i="2" s="1"/>
  <c r="KD147" i="2" s="1"/>
  <c r="KE147" i="2" s="1"/>
  <c r="KA148" i="2"/>
  <c r="OB148" i="2"/>
  <c r="OC147" i="2"/>
  <c r="OD147" i="2" s="1"/>
  <c r="OE147" i="2" s="1"/>
  <c r="OF147" i="2" s="1"/>
  <c r="KW147" i="2"/>
  <c r="KX147" i="2" s="1"/>
  <c r="KY147" i="2" s="1"/>
  <c r="KZ147" i="2" s="1"/>
  <c r="KV148" i="2"/>
  <c r="HP148" i="2"/>
  <c r="HQ147" i="2"/>
  <c r="HR147" i="2" s="1"/>
  <c r="HS147" i="2" s="1"/>
  <c r="HT147" i="2" s="1"/>
  <c r="OW148" i="2"/>
  <c r="OX147" i="2"/>
  <c r="OY147" i="2" s="1"/>
  <c r="OZ147" i="2" s="1"/>
  <c r="PA147" i="2" s="1"/>
  <c r="IL147" i="2"/>
  <c r="IM147" i="2" s="1"/>
  <c r="IN147" i="2" s="1"/>
  <c r="IO147" i="2" s="1"/>
  <c r="IK148" i="2"/>
  <c r="ML148" i="2"/>
  <c r="MM147" i="2"/>
  <c r="MN147" i="2" s="1"/>
  <c r="MO147" i="2" s="1"/>
  <c r="MP147" i="2" s="1"/>
  <c r="JG147" i="2"/>
  <c r="JH147" i="2" s="1"/>
  <c r="JI147" i="2" s="1"/>
  <c r="JJ147" i="2" s="1"/>
  <c r="JF148" i="2"/>
  <c r="LR147" i="2"/>
  <c r="LS147" i="2" s="1"/>
  <c r="LT147" i="2" s="1"/>
  <c r="LU147" i="2" s="1"/>
  <c r="LQ148" i="2"/>
  <c r="NG148" i="2"/>
  <c r="NH147" i="2"/>
  <c r="NI147" i="2" s="1"/>
  <c r="NJ147" i="2" s="1"/>
  <c r="NK147" i="2" s="1"/>
  <c r="GU148" i="2"/>
  <c r="GV147" i="2"/>
  <c r="GW147" i="2" s="1"/>
  <c r="GX147" i="2" s="1"/>
  <c r="GY147" i="2" s="1"/>
  <c r="FE148" i="2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AJ147" i="2"/>
  <c r="AK147" i="2" s="1"/>
  <c r="AL147" i="2" s="1"/>
  <c r="AM147" i="2" s="1"/>
  <c r="BE61" i="2"/>
  <c r="BS59" i="2"/>
  <c r="BF60" i="2"/>
  <c r="BG60" i="2" s="1"/>
  <c r="BH60" i="2" s="1"/>
  <c r="JF149" i="2" l="1"/>
  <c r="JG148" i="2"/>
  <c r="JH148" i="2" s="1"/>
  <c r="JI148" i="2" s="1"/>
  <c r="JJ148" i="2" s="1"/>
  <c r="IL148" i="2"/>
  <c r="IM148" i="2" s="1"/>
  <c r="IN148" i="2" s="1"/>
  <c r="IO148" i="2" s="1"/>
  <c r="IK149" i="2"/>
  <c r="NG149" i="2"/>
  <c r="NH148" i="2"/>
  <c r="NI148" i="2" s="1"/>
  <c r="NJ148" i="2" s="1"/>
  <c r="NK148" i="2" s="1"/>
  <c r="HP149" i="2"/>
  <c r="HQ148" i="2"/>
  <c r="HR148" i="2" s="1"/>
  <c r="HS148" i="2" s="1"/>
  <c r="HT148" i="2" s="1"/>
  <c r="OC148" i="2"/>
  <c r="OD148" i="2" s="1"/>
  <c r="OE148" i="2" s="1"/>
  <c r="OF148" i="2" s="1"/>
  <c r="OB149" i="2"/>
  <c r="LQ149" i="2"/>
  <c r="LR148" i="2"/>
  <c r="LS148" i="2" s="1"/>
  <c r="LT148" i="2" s="1"/>
  <c r="LU148" i="2" s="1"/>
  <c r="KW148" i="2"/>
  <c r="KX148" i="2" s="1"/>
  <c r="KY148" i="2" s="1"/>
  <c r="KZ148" i="2" s="1"/>
  <c r="KV149" i="2"/>
  <c r="KB148" i="2"/>
  <c r="KC148" i="2" s="1"/>
  <c r="KD148" i="2" s="1"/>
  <c r="KE148" i="2" s="1"/>
  <c r="KA149" i="2"/>
  <c r="ML149" i="2"/>
  <c r="MM148" i="2"/>
  <c r="MN148" i="2" s="1"/>
  <c r="MO148" i="2" s="1"/>
  <c r="MP148" i="2" s="1"/>
  <c r="OW149" i="2"/>
  <c r="OX148" i="2"/>
  <c r="OY148" i="2" s="1"/>
  <c r="OZ148" i="2" s="1"/>
  <c r="PA148" i="2" s="1"/>
  <c r="GU149" i="2"/>
  <c r="GV148" i="2"/>
  <c r="GW148" i="2" s="1"/>
  <c r="GX148" i="2" s="1"/>
  <c r="GY148" i="2" s="1"/>
  <c r="FE149" i="2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AJ148" i="2"/>
  <c r="AK148" i="2" s="1"/>
  <c r="AL148" i="2" s="1"/>
  <c r="AM148" i="2" s="1"/>
  <c r="BS60" i="2"/>
  <c r="BE62" i="2"/>
  <c r="BF61" i="2"/>
  <c r="BG61" i="2" s="1"/>
  <c r="BH61" i="2" s="1"/>
  <c r="KA150" i="2" l="1"/>
  <c r="KB149" i="2"/>
  <c r="KC149" i="2" s="1"/>
  <c r="KD149" i="2" s="1"/>
  <c r="KE149" i="2" s="1"/>
  <c r="IL149" i="2"/>
  <c r="IM149" i="2" s="1"/>
  <c r="IN149" i="2" s="1"/>
  <c r="IO149" i="2" s="1"/>
  <c r="IK150" i="2"/>
  <c r="OW150" i="2"/>
  <c r="OX149" i="2"/>
  <c r="OY149" i="2" s="1"/>
  <c r="OZ149" i="2" s="1"/>
  <c r="PA149" i="2" s="1"/>
  <c r="LQ150" i="2"/>
  <c r="LR149" i="2"/>
  <c r="LS149" i="2" s="1"/>
  <c r="LT149" i="2" s="1"/>
  <c r="LU149" i="2" s="1"/>
  <c r="HP150" i="2"/>
  <c r="HQ149" i="2"/>
  <c r="HR149" i="2" s="1"/>
  <c r="HS149" i="2" s="1"/>
  <c r="HT149" i="2" s="1"/>
  <c r="KW149" i="2"/>
  <c r="KX149" i="2" s="1"/>
  <c r="KY149" i="2" s="1"/>
  <c r="KZ149" i="2" s="1"/>
  <c r="KV150" i="2"/>
  <c r="OC149" i="2"/>
  <c r="OD149" i="2" s="1"/>
  <c r="OE149" i="2" s="1"/>
  <c r="OF149" i="2" s="1"/>
  <c r="OB150" i="2"/>
  <c r="ML150" i="2"/>
  <c r="MM149" i="2"/>
  <c r="MN149" i="2" s="1"/>
  <c r="MO149" i="2" s="1"/>
  <c r="MP149" i="2" s="1"/>
  <c r="NG150" i="2"/>
  <c r="NH149" i="2"/>
  <c r="NI149" i="2" s="1"/>
  <c r="NJ149" i="2" s="1"/>
  <c r="NK149" i="2" s="1"/>
  <c r="JF150" i="2"/>
  <c r="JG149" i="2"/>
  <c r="JH149" i="2" s="1"/>
  <c r="JI149" i="2" s="1"/>
  <c r="JJ149" i="2" s="1"/>
  <c r="GU150" i="2"/>
  <c r="GV149" i="2"/>
  <c r="GW149" i="2" s="1"/>
  <c r="GX149" i="2" s="1"/>
  <c r="GY149" i="2" s="1"/>
  <c r="FE150" i="2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AJ149" i="2"/>
  <c r="AK149" i="2" s="1"/>
  <c r="AL149" i="2" s="1"/>
  <c r="AM149" i="2" s="1"/>
  <c r="BE63" i="2"/>
  <c r="BS61" i="2"/>
  <c r="BF62" i="2"/>
  <c r="BG62" i="2" s="1"/>
  <c r="BH62" i="2" s="1"/>
  <c r="KV151" i="2" l="1"/>
  <c r="KW150" i="2"/>
  <c r="KX150" i="2" s="1"/>
  <c r="KY150" i="2" s="1"/>
  <c r="KZ150" i="2" s="1"/>
  <c r="IL150" i="2"/>
  <c r="IM150" i="2" s="1"/>
  <c r="IN150" i="2" s="1"/>
  <c r="IO150" i="2" s="1"/>
  <c r="IK151" i="2"/>
  <c r="JF151" i="2"/>
  <c r="JG150" i="2"/>
  <c r="JH150" i="2" s="1"/>
  <c r="JI150" i="2" s="1"/>
  <c r="JJ150" i="2" s="1"/>
  <c r="ML151" i="2"/>
  <c r="MM150" i="2"/>
  <c r="MN150" i="2" s="1"/>
  <c r="MO150" i="2" s="1"/>
  <c r="MP150" i="2" s="1"/>
  <c r="LR150" i="2"/>
  <c r="LS150" i="2" s="1"/>
  <c r="LT150" i="2" s="1"/>
  <c r="LU150" i="2" s="1"/>
  <c r="LQ151" i="2"/>
  <c r="OB151" i="2"/>
  <c r="OC150" i="2"/>
  <c r="OD150" i="2" s="1"/>
  <c r="OE150" i="2" s="1"/>
  <c r="OF150" i="2" s="1"/>
  <c r="NH150" i="2"/>
  <c r="NI150" i="2" s="1"/>
  <c r="NJ150" i="2" s="1"/>
  <c r="NK150" i="2" s="1"/>
  <c r="NG151" i="2"/>
  <c r="HP151" i="2"/>
  <c r="HQ150" i="2"/>
  <c r="HR150" i="2" s="1"/>
  <c r="HS150" i="2" s="1"/>
  <c r="HT150" i="2" s="1"/>
  <c r="OW151" i="2"/>
  <c r="OX150" i="2"/>
  <c r="OY150" i="2" s="1"/>
  <c r="OZ150" i="2" s="1"/>
  <c r="PA150" i="2" s="1"/>
  <c r="KB150" i="2"/>
  <c r="KC150" i="2" s="1"/>
  <c r="KD150" i="2" s="1"/>
  <c r="KE150" i="2" s="1"/>
  <c r="KA151" i="2"/>
  <c r="GU151" i="2"/>
  <c r="GV150" i="2"/>
  <c r="GW150" i="2" s="1"/>
  <c r="GX150" i="2" s="1"/>
  <c r="GY150" i="2" s="1"/>
  <c r="FE151" i="2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AJ150" i="2"/>
  <c r="AK150" i="2" s="1"/>
  <c r="AL150" i="2" s="1"/>
  <c r="AM150" i="2" s="1"/>
  <c r="BS62" i="2"/>
  <c r="BE64" i="2"/>
  <c r="BF63" i="2"/>
  <c r="BG63" i="2" s="1"/>
  <c r="BH63" i="2" s="1"/>
  <c r="KB151" i="2" l="1"/>
  <c r="KC151" i="2" s="1"/>
  <c r="KD151" i="2" s="1"/>
  <c r="KE151" i="2" s="1"/>
  <c r="KA152" i="2"/>
  <c r="IL151" i="2"/>
  <c r="IM151" i="2" s="1"/>
  <c r="IN151" i="2" s="1"/>
  <c r="IO151" i="2" s="1"/>
  <c r="IK152" i="2"/>
  <c r="HP152" i="2"/>
  <c r="HQ151" i="2"/>
  <c r="HR151" i="2" s="1"/>
  <c r="HS151" i="2" s="1"/>
  <c r="HT151" i="2" s="1"/>
  <c r="OB152" i="2"/>
  <c r="OC151" i="2"/>
  <c r="OD151" i="2" s="1"/>
  <c r="OE151" i="2" s="1"/>
  <c r="OF151" i="2" s="1"/>
  <c r="ML152" i="2"/>
  <c r="MM151" i="2"/>
  <c r="MN151" i="2" s="1"/>
  <c r="MO151" i="2" s="1"/>
  <c r="MP151" i="2" s="1"/>
  <c r="NG152" i="2"/>
  <c r="NH151" i="2"/>
  <c r="NI151" i="2" s="1"/>
  <c r="NJ151" i="2" s="1"/>
  <c r="NK151" i="2" s="1"/>
  <c r="LQ152" i="2"/>
  <c r="LR151" i="2"/>
  <c r="LS151" i="2" s="1"/>
  <c r="LT151" i="2" s="1"/>
  <c r="LU151" i="2" s="1"/>
  <c r="OW152" i="2"/>
  <c r="OX151" i="2"/>
  <c r="OY151" i="2" s="1"/>
  <c r="OZ151" i="2" s="1"/>
  <c r="PA151" i="2" s="1"/>
  <c r="JF152" i="2"/>
  <c r="JG151" i="2"/>
  <c r="JH151" i="2" s="1"/>
  <c r="JI151" i="2" s="1"/>
  <c r="JJ151" i="2" s="1"/>
  <c r="KW151" i="2"/>
  <c r="KX151" i="2" s="1"/>
  <c r="KY151" i="2" s="1"/>
  <c r="KZ151" i="2" s="1"/>
  <c r="KV152" i="2"/>
  <c r="GU152" i="2"/>
  <c r="GV151" i="2"/>
  <c r="GW151" i="2" s="1"/>
  <c r="GX151" i="2" s="1"/>
  <c r="GY151" i="2" s="1"/>
  <c r="FE152" i="2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AJ151" i="2"/>
  <c r="AK151" i="2" s="1"/>
  <c r="AL151" i="2" s="1"/>
  <c r="AM151" i="2" s="1"/>
  <c r="BE65" i="2"/>
  <c r="BS63" i="2"/>
  <c r="BF64" i="2"/>
  <c r="BG64" i="2" s="1"/>
  <c r="BH64" i="2" s="1"/>
  <c r="KW152" i="2" l="1"/>
  <c r="KX152" i="2" s="1"/>
  <c r="KY152" i="2" s="1"/>
  <c r="KZ152" i="2" s="1"/>
  <c r="KV153" i="2"/>
  <c r="IL152" i="2"/>
  <c r="IM152" i="2" s="1"/>
  <c r="IN152" i="2" s="1"/>
  <c r="IO152" i="2" s="1"/>
  <c r="IK153" i="2"/>
  <c r="OW153" i="2"/>
  <c r="OX152" i="2"/>
  <c r="OY152" i="2" s="1"/>
  <c r="OZ152" i="2" s="1"/>
  <c r="PA152" i="2" s="1"/>
  <c r="NG153" i="2"/>
  <c r="NH152" i="2"/>
  <c r="NI152" i="2" s="1"/>
  <c r="NJ152" i="2" s="1"/>
  <c r="NK152" i="2" s="1"/>
  <c r="OB153" i="2"/>
  <c r="OC152" i="2"/>
  <c r="OD152" i="2" s="1"/>
  <c r="OE152" i="2" s="1"/>
  <c r="OF152" i="2" s="1"/>
  <c r="KA153" i="2"/>
  <c r="KB152" i="2"/>
  <c r="KC152" i="2" s="1"/>
  <c r="KD152" i="2" s="1"/>
  <c r="KE152" i="2" s="1"/>
  <c r="JF153" i="2"/>
  <c r="JG152" i="2"/>
  <c r="JH152" i="2" s="1"/>
  <c r="JI152" i="2" s="1"/>
  <c r="JJ152" i="2" s="1"/>
  <c r="LR152" i="2"/>
  <c r="LS152" i="2" s="1"/>
  <c r="LT152" i="2" s="1"/>
  <c r="LU152" i="2" s="1"/>
  <c r="LQ153" i="2"/>
  <c r="ML153" i="2"/>
  <c r="MM152" i="2"/>
  <c r="MN152" i="2" s="1"/>
  <c r="MO152" i="2" s="1"/>
  <c r="MP152" i="2" s="1"/>
  <c r="HP153" i="2"/>
  <c r="HQ152" i="2"/>
  <c r="HR152" i="2" s="1"/>
  <c r="HS152" i="2" s="1"/>
  <c r="HT152" i="2" s="1"/>
  <c r="GU153" i="2"/>
  <c r="GV152" i="2"/>
  <c r="GW152" i="2" s="1"/>
  <c r="GX152" i="2" s="1"/>
  <c r="GY152" i="2" s="1"/>
  <c r="FE153" i="2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AJ152" i="2"/>
  <c r="AK152" i="2" s="1"/>
  <c r="AL152" i="2" s="1"/>
  <c r="AM152" i="2" s="1"/>
  <c r="BS64" i="2"/>
  <c r="BE66" i="2"/>
  <c r="BF65" i="2"/>
  <c r="BG65" i="2" s="1"/>
  <c r="BH65" i="2" s="1"/>
  <c r="LQ154" i="2" l="1"/>
  <c r="LR153" i="2"/>
  <c r="LS153" i="2" s="1"/>
  <c r="LT153" i="2" s="1"/>
  <c r="LU153" i="2" s="1"/>
  <c r="IL153" i="2"/>
  <c r="IM153" i="2" s="1"/>
  <c r="IN153" i="2" s="1"/>
  <c r="IO153" i="2" s="1"/>
  <c r="IK154" i="2"/>
  <c r="HP154" i="2"/>
  <c r="HQ153" i="2"/>
  <c r="HR153" i="2" s="1"/>
  <c r="HS153" i="2" s="1"/>
  <c r="HT153" i="2" s="1"/>
  <c r="KB153" i="2"/>
  <c r="KC153" i="2" s="1"/>
  <c r="KD153" i="2" s="1"/>
  <c r="KE153" i="2" s="1"/>
  <c r="KA154" i="2"/>
  <c r="NH153" i="2"/>
  <c r="NI153" i="2" s="1"/>
  <c r="NJ153" i="2" s="1"/>
  <c r="NK153" i="2" s="1"/>
  <c r="NG154" i="2"/>
  <c r="KV154" i="2"/>
  <c r="KW153" i="2"/>
  <c r="KX153" i="2" s="1"/>
  <c r="KY153" i="2" s="1"/>
  <c r="KZ153" i="2" s="1"/>
  <c r="ML154" i="2"/>
  <c r="MM153" i="2"/>
  <c r="MN153" i="2" s="1"/>
  <c r="MO153" i="2" s="1"/>
  <c r="MP153" i="2" s="1"/>
  <c r="JF154" i="2"/>
  <c r="JG153" i="2"/>
  <c r="JH153" i="2" s="1"/>
  <c r="JI153" i="2" s="1"/>
  <c r="JJ153" i="2" s="1"/>
  <c r="OC153" i="2"/>
  <c r="OD153" i="2" s="1"/>
  <c r="OE153" i="2" s="1"/>
  <c r="OF153" i="2" s="1"/>
  <c r="OB154" i="2"/>
  <c r="OW154" i="2"/>
  <c r="OX153" i="2"/>
  <c r="OY153" i="2" s="1"/>
  <c r="OZ153" i="2" s="1"/>
  <c r="PA153" i="2" s="1"/>
  <c r="GU154" i="2"/>
  <c r="GV153" i="2"/>
  <c r="GW153" i="2" s="1"/>
  <c r="GX153" i="2" s="1"/>
  <c r="GY153" i="2" s="1"/>
  <c r="FE154" i="2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AJ153" i="2"/>
  <c r="AK153" i="2" s="1"/>
  <c r="AL153" i="2" s="1"/>
  <c r="AM153" i="2" s="1"/>
  <c r="BE67" i="2"/>
  <c r="BS65" i="2"/>
  <c r="BF66" i="2"/>
  <c r="BG66" i="2" s="1"/>
  <c r="BH66" i="2" s="1"/>
  <c r="KB154" i="2" l="1"/>
  <c r="KC154" i="2" s="1"/>
  <c r="KD154" i="2" s="1"/>
  <c r="KE154" i="2" s="1"/>
  <c r="KA155" i="2"/>
  <c r="IL154" i="2"/>
  <c r="IM154" i="2" s="1"/>
  <c r="IN154" i="2" s="1"/>
  <c r="IO154" i="2" s="1"/>
  <c r="IK155" i="2"/>
  <c r="OW155" i="2"/>
  <c r="OX154" i="2"/>
  <c r="OY154" i="2" s="1"/>
  <c r="OZ154" i="2" s="1"/>
  <c r="PA154" i="2" s="1"/>
  <c r="JG154" i="2"/>
  <c r="JH154" i="2" s="1"/>
  <c r="JI154" i="2" s="1"/>
  <c r="JJ154" i="2" s="1"/>
  <c r="JF155" i="2"/>
  <c r="KW154" i="2"/>
  <c r="KX154" i="2" s="1"/>
  <c r="KY154" i="2" s="1"/>
  <c r="KZ154" i="2" s="1"/>
  <c r="KV155" i="2"/>
  <c r="OB155" i="2"/>
  <c r="OC154" i="2"/>
  <c r="OD154" i="2" s="1"/>
  <c r="OE154" i="2" s="1"/>
  <c r="OF154" i="2" s="1"/>
  <c r="NG155" i="2"/>
  <c r="NH154" i="2"/>
  <c r="NI154" i="2" s="1"/>
  <c r="NJ154" i="2" s="1"/>
  <c r="NK154" i="2" s="1"/>
  <c r="ML155" i="2"/>
  <c r="MM154" i="2"/>
  <c r="MN154" i="2" s="1"/>
  <c r="MO154" i="2" s="1"/>
  <c r="MP154" i="2" s="1"/>
  <c r="HP155" i="2"/>
  <c r="HQ154" i="2"/>
  <c r="HR154" i="2" s="1"/>
  <c r="HS154" i="2" s="1"/>
  <c r="HT154" i="2" s="1"/>
  <c r="LQ155" i="2"/>
  <c r="LR154" i="2"/>
  <c r="LS154" i="2" s="1"/>
  <c r="LT154" i="2" s="1"/>
  <c r="LU154" i="2" s="1"/>
  <c r="GU155" i="2"/>
  <c r="GV154" i="2"/>
  <c r="GW154" i="2" s="1"/>
  <c r="GX154" i="2" s="1"/>
  <c r="GY154" i="2" s="1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JG155" i="2" l="1"/>
  <c r="JH155" i="2" s="1"/>
  <c r="JI155" i="2" s="1"/>
  <c r="JJ155" i="2" s="1"/>
  <c r="JF156" i="2"/>
  <c r="IL155" i="2"/>
  <c r="IM155" i="2" s="1"/>
  <c r="IN155" i="2" s="1"/>
  <c r="IO155" i="2" s="1"/>
  <c r="IK156" i="2"/>
  <c r="LR155" i="2"/>
  <c r="LS155" i="2" s="1"/>
  <c r="LT155" i="2" s="1"/>
  <c r="LU155" i="2" s="1"/>
  <c r="LQ156" i="2"/>
  <c r="ML156" i="2"/>
  <c r="MM155" i="2"/>
  <c r="MN155" i="2" s="1"/>
  <c r="MO155" i="2" s="1"/>
  <c r="MP155" i="2" s="1"/>
  <c r="OB156" i="2"/>
  <c r="OC155" i="2"/>
  <c r="OD155" i="2" s="1"/>
  <c r="OE155" i="2" s="1"/>
  <c r="OF155" i="2" s="1"/>
  <c r="KW155" i="2"/>
  <c r="KX155" i="2" s="1"/>
  <c r="KY155" i="2" s="1"/>
  <c r="KZ155" i="2" s="1"/>
  <c r="KV156" i="2"/>
  <c r="KB155" i="2"/>
  <c r="KC155" i="2" s="1"/>
  <c r="KD155" i="2" s="1"/>
  <c r="KE155" i="2" s="1"/>
  <c r="KA156" i="2"/>
  <c r="HP156" i="2"/>
  <c r="HQ155" i="2"/>
  <c r="HR155" i="2" s="1"/>
  <c r="HS155" i="2" s="1"/>
  <c r="HT155" i="2" s="1"/>
  <c r="NH155" i="2"/>
  <c r="NI155" i="2" s="1"/>
  <c r="NJ155" i="2" s="1"/>
  <c r="NK155" i="2" s="1"/>
  <c r="NG156" i="2"/>
  <c r="OW156" i="2"/>
  <c r="OX155" i="2"/>
  <c r="OY155" i="2" s="1"/>
  <c r="OZ155" i="2" s="1"/>
  <c r="PA155" i="2" s="1"/>
  <c r="GU156" i="2"/>
  <c r="GV155" i="2"/>
  <c r="GW155" i="2" s="1"/>
  <c r="GX155" i="2" s="1"/>
  <c r="GY155" i="2" s="1"/>
  <c r="C7" i="4"/>
  <c r="E7" i="4" s="1"/>
  <c r="F7" i="4" s="1"/>
  <c r="G7" i="4" s="1"/>
  <c r="L7" i="4" s="1"/>
  <c r="FE156" i="2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AJ155" i="2"/>
  <c r="AK155" i="2" s="1"/>
  <c r="AL155" i="2" s="1"/>
  <c r="AM155" i="2" s="1"/>
  <c r="BE69" i="2"/>
  <c r="BS67" i="2"/>
  <c r="BF68" i="2"/>
  <c r="BG68" i="2" s="1"/>
  <c r="BH68" i="2" s="1"/>
  <c r="KV157" i="2" l="1"/>
  <c r="KW156" i="2"/>
  <c r="KX156" i="2" s="1"/>
  <c r="KY156" i="2" s="1"/>
  <c r="KZ156" i="2" s="1"/>
  <c r="IL156" i="2"/>
  <c r="IM156" i="2" s="1"/>
  <c r="IN156" i="2" s="1"/>
  <c r="IO156" i="2" s="1"/>
  <c r="IK157" i="2"/>
  <c r="OW157" i="2"/>
  <c r="OX156" i="2"/>
  <c r="OY156" i="2" s="1"/>
  <c r="OZ156" i="2" s="1"/>
  <c r="PA156" i="2" s="1"/>
  <c r="HP157" i="2"/>
  <c r="HQ156" i="2"/>
  <c r="HR156" i="2" s="1"/>
  <c r="HS156" i="2" s="1"/>
  <c r="HT156" i="2" s="1"/>
  <c r="ML157" i="2"/>
  <c r="MM156" i="2"/>
  <c r="MN156" i="2" s="1"/>
  <c r="MO156" i="2" s="1"/>
  <c r="MP156" i="2" s="1"/>
  <c r="NH156" i="2"/>
  <c r="NI156" i="2" s="1"/>
  <c r="NJ156" i="2" s="1"/>
  <c r="NK156" i="2" s="1"/>
  <c r="NG157" i="2"/>
  <c r="KB156" i="2"/>
  <c r="KC156" i="2" s="1"/>
  <c r="KD156" i="2" s="1"/>
  <c r="KE156" i="2" s="1"/>
  <c r="KA157" i="2"/>
  <c r="LQ157" i="2"/>
  <c r="LR156" i="2"/>
  <c r="LS156" i="2" s="1"/>
  <c r="LT156" i="2" s="1"/>
  <c r="LU156" i="2" s="1"/>
  <c r="JG156" i="2"/>
  <c r="JH156" i="2" s="1"/>
  <c r="JI156" i="2" s="1"/>
  <c r="JJ156" i="2" s="1"/>
  <c r="JF157" i="2"/>
  <c r="OC156" i="2"/>
  <c r="OD156" i="2" s="1"/>
  <c r="OE156" i="2" s="1"/>
  <c r="OF156" i="2" s="1"/>
  <c r="OB157" i="2"/>
  <c r="GU157" i="2"/>
  <c r="GV156" i="2"/>
  <c r="GW156" i="2" s="1"/>
  <c r="GX156" i="2" s="1"/>
  <c r="GY156" i="2" s="1"/>
  <c r="FE157" i="2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AJ156" i="2"/>
  <c r="AK156" i="2" s="1"/>
  <c r="AL156" i="2" s="1"/>
  <c r="AM156" i="2" s="1"/>
  <c r="BS68" i="2"/>
  <c r="BE70" i="2"/>
  <c r="BF69" i="2"/>
  <c r="BG69" i="2" s="1"/>
  <c r="BH69" i="2" s="1"/>
  <c r="OC157" i="2" l="1"/>
  <c r="OD157" i="2" s="1"/>
  <c r="OE157" i="2" s="1"/>
  <c r="OF157" i="2" s="1"/>
  <c r="OB158" i="2"/>
  <c r="NG158" i="2"/>
  <c r="NH157" i="2"/>
  <c r="NI157" i="2" s="1"/>
  <c r="NJ157" i="2" s="1"/>
  <c r="NK157" i="2" s="1"/>
  <c r="IL157" i="2"/>
  <c r="IM157" i="2" s="1"/>
  <c r="IN157" i="2" s="1"/>
  <c r="IO157" i="2" s="1"/>
  <c r="IK158" i="2"/>
  <c r="LQ158" i="2"/>
  <c r="LR157" i="2"/>
  <c r="LS157" i="2" s="1"/>
  <c r="LT157" i="2" s="1"/>
  <c r="LU157" i="2" s="1"/>
  <c r="HP158" i="2"/>
  <c r="HQ157" i="2"/>
  <c r="HR157" i="2" s="1"/>
  <c r="HS157" i="2" s="1"/>
  <c r="HT157" i="2" s="1"/>
  <c r="JF158" i="2"/>
  <c r="JG157" i="2"/>
  <c r="JH157" i="2" s="1"/>
  <c r="JI157" i="2" s="1"/>
  <c r="JJ157" i="2" s="1"/>
  <c r="KA158" i="2"/>
  <c r="KB157" i="2"/>
  <c r="KC157" i="2" s="1"/>
  <c r="KD157" i="2" s="1"/>
  <c r="KE157" i="2" s="1"/>
  <c r="ML158" i="2"/>
  <c r="MM157" i="2"/>
  <c r="MN157" i="2" s="1"/>
  <c r="MO157" i="2" s="1"/>
  <c r="MP157" i="2" s="1"/>
  <c r="OW158" i="2"/>
  <c r="OX157" i="2"/>
  <c r="OY157" i="2" s="1"/>
  <c r="OZ157" i="2" s="1"/>
  <c r="PA157" i="2" s="1"/>
  <c r="KW157" i="2"/>
  <c r="KX157" i="2" s="1"/>
  <c r="KY157" i="2" s="1"/>
  <c r="KZ157" i="2" s="1"/>
  <c r="KV158" i="2"/>
  <c r="GU158" i="2"/>
  <c r="GV157" i="2"/>
  <c r="GW157" i="2" s="1"/>
  <c r="GX157" i="2" s="1"/>
  <c r="GY157" i="2" s="1"/>
  <c r="FE158" i="2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AJ157" i="2"/>
  <c r="AK157" i="2" s="1"/>
  <c r="AL157" i="2" s="1"/>
  <c r="AM157" i="2" s="1"/>
  <c r="BE71" i="2"/>
  <c r="BS69" i="2"/>
  <c r="BF70" i="2"/>
  <c r="BG70" i="2" s="1"/>
  <c r="BH70" i="2" s="1"/>
  <c r="KW158" i="2" l="1"/>
  <c r="KX158" i="2" s="1"/>
  <c r="KY158" i="2" s="1"/>
  <c r="KZ158" i="2" s="1"/>
  <c r="KV159" i="2"/>
  <c r="ML159" i="2"/>
  <c r="MM158" i="2"/>
  <c r="MN158" i="2" s="1"/>
  <c r="MO158" i="2" s="1"/>
  <c r="MP158" i="2" s="1"/>
  <c r="JF159" i="2"/>
  <c r="JG158" i="2"/>
  <c r="JH158" i="2" s="1"/>
  <c r="JI158" i="2" s="1"/>
  <c r="JJ158" i="2" s="1"/>
  <c r="LR158" i="2"/>
  <c r="LS158" i="2" s="1"/>
  <c r="LT158" i="2" s="1"/>
  <c r="LU158" i="2" s="1"/>
  <c r="LQ159" i="2"/>
  <c r="NG159" i="2"/>
  <c r="NH158" i="2"/>
  <c r="NI158" i="2" s="1"/>
  <c r="NJ158" i="2" s="1"/>
  <c r="NK158" i="2" s="1"/>
  <c r="IL158" i="2"/>
  <c r="IM158" i="2" s="1"/>
  <c r="IN158" i="2" s="1"/>
  <c r="IO158" i="2" s="1"/>
  <c r="IK159" i="2"/>
  <c r="OB159" i="2"/>
  <c r="OC158" i="2"/>
  <c r="OD158" i="2" s="1"/>
  <c r="OE158" i="2" s="1"/>
  <c r="OF158" i="2" s="1"/>
  <c r="OW159" i="2"/>
  <c r="OX158" i="2"/>
  <c r="OY158" i="2" s="1"/>
  <c r="OZ158" i="2" s="1"/>
  <c r="PA158" i="2" s="1"/>
  <c r="KB158" i="2"/>
  <c r="KC158" i="2" s="1"/>
  <c r="KD158" i="2" s="1"/>
  <c r="KE158" i="2" s="1"/>
  <c r="KA159" i="2"/>
  <c r="HP159" i="2"/>
  <c r="HQ158" i="2"/>
  <c r="HR158" i="2" s="1"/>
  <c r="HS158" i="2" s="1"/>
  <c r="HT158" i="2" s="1"/>
  <c r="GU159" i="2"/>
  <c r="GV158" i="2"/>
  <c r="GW158" i="2" s="1"/>
  <c r="GX158" i="2" s="1"/>
  <c r="GY158" i="2" s="1"/>
  <c r="FE159" i="2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AJ158" i="2"/>
  <c r="AK158" i="2" s="1"/>
  <c r="AL158" i="2" s="1"/>
  <c r="AM158" i="2" s="1"/>
  <c r="BS70" i="2"/>
  <c r="BE72" i="2"/>
  <c r="BF71" i="2"/>
  <c r="BG71" i="2" s="1"/>
  <c r="BH71" i="2" s="1"/>
  <c r="IL159" i="2" l="1"/>
  <c r="IM159" i="2" s="1"/>
  <c r="IN159" i="2" s="1"/>
  <c r="IO159" i="2" s="1"/>
  <c r="IK160" i="2"/>
  <c r="LQ160" i="2"/>
  <c r="LR159" i="2"/>
  <c r="LS159" i="2" s="1"/>
  <c r="LT159" i="2" s="1"/>
  <c r="LU159" i="2" s="1"/>
  <c r="HP160" i="2"/>
  <c r="HQ159" i="2"/>
  <c r="HR159" i="2" s="1"/>
  <c r="HS159" i="2" s="1"/>
  <c r="HT159" i="2" s="1"/>
  <c r="OW160" i="2"/>
  <c r="OX159" i="2"/>
  <c r="OY159" i="2" s="1"/>
  <c r="OZ159" i="2" s="1"/>
  <c r="PA159" i="2" s="1"/>
  <c r="ML160" i="2"/>
  <c r="MM159" i="2"/>
  <c r="MN159" i="2" s="1"/>
  <c r="MO159" i="2" s="1"/>
  <c r="MP159" i="2" s="1"/>
  <c r="KA160" i="2"/>
  <c r="KB159" i="2"/>
  <c r="KC159" i="2" s="1"/>
  <c r="KD159" i="2" s="1"/>
  <c r="KE159" i="2" s="1"/>
  <c r="KW159" i="2"/>
  <c r="KX159" i="2" s="1"/>
  <c r="KY159" i="2" s="1"/>
  <c r="KZ159" i="2" s="1"/>
  <c r="KV160" i="2"/>
  <c r="OB160" i="2"/>
  <c r="OC159" i="2"/>
  <c r="OD159" i="2" s="1"/>
  <c r="OE159" i="2" s="1"/>
  <c r="OF159" i="2" s="1"/>
  <c r="NG160" i="2"/>
  <c r="NH159" i="2"/>
  <c r="NI159" i="2" s="1"/>
  <c r="NJ159" i="2" s="1"/>
  <c r="NK159" i="2" s="1"/>
  <c r="JF160" i="2"/>
  <c r="JG159" i="2"/>
  <c r="JH159" i="2" s="1"/>
  <c r="JI159" i="2" s="1"/>
  <c r="JJ159" i="2" s="1"/>
  <c r="GU160" i="2"/>
  <c r="GV159" i="2"/>
  <c r="GW159" i="2" s="1"/>
  <c r="GX159" i="2" s="1"/>
  <c r="GY159" i="2" s="1"/>
  <c r="FE160" i="2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AJ159" i="2"/>
  <c r="AK159" i="2" s="1"/>
  <c r="AL159" i="2" s="1"/>
  <c r="AM159" i="2" s="1"/>
  <c r="BE73" i="2"/>
  <c r="BS71" i="2"/>
  <c r="BF72" i="2"/>
  <c r="BG72" i="2" s="1"/>
  <c r="BH72" i="2" s="1"/>
  <c r="JF161" i="2" l="1"/>
  <c r="JG160" i="2"/>
  <c r="JH160" i="2" s="1"/>
  <c r="JI160" i="2" s="1"/>
  <c r="JJ160" i="2" s="1"/>
  <c r="OC160" i="2"/>
  <c r="OD160" i="2" s="1"/>
  <c r="OE160" i="2" s="1"/>
  <c r="OF160" i="2" s="1"/>
  <c r="OB161" i="2"/>
  <c r="KB160" i="2"/>
  <c r="KC160" i="2" s="1"/>
  <c r="KD160" i="2" s="1"/>
  <c r="KE160" i="2" s="1"/>
  <c r="KA161" i="2"/>
  <c r="OW161" i="2"/>
  <c r="OX160" i="2"/>
  <c r="OY160" i="2" s="1"/>
  <c r="OZ160" i="2" s="1"/>
  <c r="PA160" i="2" s="1"/>
  <c r="LQ161" i="2"/>
  <c r="LR160" i="2"/>
  <c r="LS160" i="2" s="1"/>
  <c r="LT160" i="2" s="1"/>
  <c r="LU160" i="2" s="1"/>
  <c r="KW160" i="2"/>
  <c r="KX160" i="2" s="1"/>
  <c r="KY160" i="2" s="1"/>
  <c r="KZ160" i="2" s="1"/>
  <c r="KV161" i="2"/>
  <c r="IL160" i="2"/>
  <c r="IM160" i="2" s="1"/>
  <c r="IN160" i="2" s="1"/>
  <c r="IO160" i="2" s="1"/>
  <c r="IK161" i="2"/>
  <c r="NG161" i="2"/>
  <c r="NH160" i="2"/>
  <c r="NI160" i="2" s="1"/>
  <c r="NJ160" i="2" s="1"/>
  <c r="NK160" i="2" s="1"/>
  <c r="ML161" i="2"/>
  <c r="MM160" i="2"/>
  <c r="MN160" i="2" s="1"/>
  <c r="MO160" i="2" s="1"/>
  <c r="MP160" i="2" s="1"/>
  <c r="HP161" i="2"/>
  <c r="HQ160" i="2"/>
  <c r="HR160" i="2" s="1"/>
  <c r="HS160" i="2" s="1"/>
  <c r="HT160" i="2" s="1"/>
  <c r="GU161" i="2"/>
  <c r="GV160" i="2"/>
  <c r="GW160" i="2" s="1"/>
  <c r="GX160" i="2" s="1"/>
  <c r="GY160" i="2" s="1"/>
  <c r="FE161" i="2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AJ160" i="2"/>
  <c r="AK160" i="2" s="1"/>
  <c r="AL160" i="2" s="1"/>
  <c r="AM160" i="2" s="1"/>
  <c r="BS72" i="2"/>
  <c r="BE74" i="2"/>
  <c r="BF73" i="2"/>
  <c r="BG73" i="2" s="1"/>
  <c r="BH73" i="2" s="1"/>
  <c r="KW161" i="2" l="1"/>
  <c r="KX161" i="2" s="1"/>
  <c r="KY161" i="2" s="1"/>
  <c r="KZ161" i="2" s="1"/>
  <c r="KV162" i="2"/>
  <c r="OC161" i="2"/>
  <c r="OD161" i="2" s="1"/>
  <c r="OE161" i="2" s="1"/>
  <c r="OF161" i="2" s="1"/>
  <c r="OB162" i="2"/>
  <c r="HP162" i="2"/>
  <c r="HQ161" i="2"/>
  <c r="HR161" i="2" s="1"/>
  <c r="HS161" i="2" s="1"/>
  <c r="HT161" i="2" s="1"/>
  <c r="NG162" i="2"/>
  <c r="NH161" i="2"/>
  <c r="NI161" i="2" s="1"/>
  <c r="NJ161" i="2" s="1"/>
  <c r="NK161" i="2" s="1"/>
  <c r="OW162" i="2"/>
  <c r="OX161" i="2"/>
  <c r="OY161" i="2" s="1"/>
  <c r="OZ161" i="2" s="1"/>
  <c r="PA161" i="2" s="1"/>
  <c r="IL161" i="2"/>
  <c r="IM161" i="2" s="1"/>
  <c r="IN161" i="2" s="1"/>
  <c r="IO161" i="2" s="1"/>
  <c r="IK162" i="2"/>
  <c r="KB161" i="2"/>
  <c r="KC161" i="2" s="1"/>
  <c r="KD161" i="2" s="1"/>
  <c r="KE161" i="2" s="1"/>
  <c r="KA162" i="2"/>
  <c r="ML162" i="2"/>
  <c r="MM161" i="2"/>
  <c r="MN161" i="2" s="1"/>
  <c r="MO161" i="2" s="1"/>
  <c r="MP161" i="2" s="1"/>
  <c r="LQ162" i="2"/>
  <c r="LR161" i="2"/>
  <c r="LS161" i="2" s="1"/>
  <c r="LT161" i="2" s="1"/>
  <c r="LU161" i="2" s="1"/>
  <c r="JF162" i="2"/>
  <c r="JG161" i="2"/>
  <c r="JH161" i="2" s="1"/>
  <c r="JI161" i="2" s="1"/>
  <c r="JJ161" i="2" s="1"/>
  <c r="GU162" i="2"/>
  <c r="GV161" i="2"/>
  <c r="GW161" i="2" s="1"/>
  <c r="GX161" i="2" s="1"/>
  <c r="GY161" i="2" s="1"/>
  <c r="FE162" i="2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AJ161" i="2"/>
  <c r="AK161" i="2" s="1"/>
  <c r="AL161" i="2" s="1"/>
  <c r="AM161" i="2" s="1"/>
  <c r="BE75" i="2"/>
  <c r="BS73" i="2"/>
  <c r="BF74" i="2"/>
  <c r="BG74" i="2" s="1"/>
  <c r="BH74" i="2" s="1"/>
  <c r="IL162" i="2" l="1"/>
  <c r="IM162" i="2" s="1"/>
  <c r="IN162" i="2" s="1"/>
  <c r="IO162" i="2" s="1"/>
  <c r="IK163" i="2"/>
  <c r="OB163" i="2"/>
  <c r="OC162" i="2"/>
  <c r="OD162" i="2" s="1"/>
  <c r="OE162" i="2" s="1"/>
  <c r="OF162" i="2" s="1"/>
  <c r="JG162" i="2"/>
  <c r="JH162" i="2" s="1"/>
  <c r="JI162" i="2" s="1"/>
  <c r="JJ162" i="2" s="1"/>
  <c r="JF163" i="2"/>
  <c r="ML163" i="2"/>
  <c r="MM162" i="2"/>
  <c r="MN162" i="2" s="1"/>
  <c r="MO162" i="2" s="1"/>
  <c r="MP162" i="2" s="1"/>
  <c r="NG163" i="2"/>
  <c r="NH162" i="2"/>
  <c r="NI162" i="2" s="1"/>
  <c r="NJ162" i="2" s="1"/>
  <c r="NK162" i="2" s="1"/>
  <c r="KB162" i="2"/>
  <c r="KC162" i="2" s="1"/>
  <c r="KD162" i="2" s="1"/>
  <c r="KE162" i="2" s="1"/>
  <c r="KA163" i="2"/>
  <c r="KV163" i="2"/>
  <c r="KW162" i="2"/>
  <c r="KX162" i="2" s="1"/>
  <c r="KY162" i="2" s="1"/>
  <c r="KZ162" i="2" s="1"/>
  <c r="LR162" i="2"/>
  <c r="LS162" i="2" s="1"/>
  <c r="LT162" i="2" s="1"/>
  <c r="LU162" i="2" s="1"/>
  <c r="LQ163" i="2"/>
  <c r="OW163" i="2"/>
  <c r="OX162" i="2"/>
  <c r="OY162" i="2" s="1"/>
  <c r="OZ162" i="2" s="1"/>
  <c r="PA162" i="2" s="1"/>
  <c r="HP163" i="2"/>
  <c r="HQ162" i="2"/>
  <c r="HR162" i="2" s="1"/>
  <c r="HS162" i="2" s="1"/>
  <c r="HT162" i="2" s="1"/>
  <c r="GU163" i="2"/>
  <c r="GV162" i="2"/>
  <c r="GW162" i="2" s="1"/>
  <c r="GX162" i="2" s="1"/>
  <c r="GY162" i="2" s="1"/>
  <c r="FE163" i="2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AJ162" i="2"/>
  <c r="AK162" i="2" s="1"/>
  <c r="AL162" i="2" s="1"/>
  <c r="AM162" i="2" s="1"/>
  <c r="BS74" i="2"/>
  <c r="BE76" i="2"/>
  <c r="BF75" i="2"/>
  <c r="BG75" i="2" s="1"/>
  <c r="BH75" i="2" s="1"/>
  <c r="LR163" i="2" l="1"/>
  <c r="LS163" i="2" s="1"/>
  <c r="LT163" i="2" s="1"/>
  <c r="LU163" i="2" s="1"/>
  <c r="LQ164" i="2"/>
  <c r="KA164" i="2"/>
  <c r="KB163" i="2"/>
  <c r="KC163" i="2" s="1"/>
  <c r="KD163" i="2" s="1"/>
  <c r="KE163" i="2" s="1"/>
  <c r="HP164" i="2"/>
  <c r="HQ163" i="2"/>
  <c r="HR163" i="2" s="1"/>
  <c r="HS163" i="2" s="1"/>
  <c r="HT163" i="2" s="1"/>
  <c r="ML164" i="2"/>
  <c r="MM163" i="2"/>
  <c r="MN163" i="2" s="1"/>
  <c r="MO163" i="2" s="1"/>
  <c r="MP163" i="2" s="1"/>
  <c r="OB164" i="2"/>
  <c r="OC163" i="2"/>
  <c r="OD163" i="2" s="1"/>
  <c r="OE163" i="2" s="1"/>
  <c r="OF163" i="2" s="1"/>
  <c r="JF164" i="2"/>
  <c r="JG163" i="2"/>
  <c r="JH163" i="2" s="1"/>
  <c r="JI163" i="2" s="1"/>
  <c r="JJ163" i="2" s="1"/>
  <c r="IL163" i="2"/>
  <c r="IM163" i="2" s="1"/>
  <c r="IN163" i="2" s="1"/>
  <c r="IO163" i="2" s="1"/>
  <c r="IK164" i="2"/>
  <c r="OW164" i="2"/>
  <c r="OX163" i="2"/>
  <c r="OY163" i="2" s="1"/>
  <c r="OZ163" i="2" s="1"/>
  <c r="PA163" i="2" s="1"/>
  <c r="KW163" i="2"/>
  <c r="KX163" i="2" s="1"/>
  <c r="KY163" i="2" s="1"/>
  <c r="KZ163" i="2" s="1"/>
  <c r="KV164" i="2"/>
  <c r="NG164" i="2"/>
  <c r="NH163" i="2"/>
  <c r="NI163" i="2" s="1"/>
  <c r="NJ163" i="2" s="1"/>
  <c r="NK163" i="2" s="1"/>
  <c r="GU164" i="2"/>
  <c r="GV163" i="2"/>
  <c r="GW163" i="2" s="1"/>
  <c r="GX163" i="2" s="1"/>
  <c r="GY163" i="2" s="1"/>
  <c r="FE164" i="2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AJ163" i="2"/>
  <c r="AK163" i="2" s="1"/>
  <c r="AL163" i="2" s="1"/>
  <c r="AM163" i="2" s="1"/>
  <c r="BE77" i="2"/>
  <c r="BS75" i="2"/>
  <c r="BF76" i="2"/>
  <c r="BG76" i="2" s="1"/>
  <c r="BH76" i="2" s="1"/>
  <c r="NG165" i="2" l="1"/>
  <c r="NH164" i="2"/>
  <c r="NI164" i="2" s="1"/>
  <c r="NJ164" i="2" s="1"/>
  <c r="NK164" i="2" s="1"/>
  <c r="OW165" i="2"/>
  <c r="OX164" i="2"/>
  <c r="OY164" i="2" s="1"/>
  <c r="OZ164" i="2" s="1"/>
  <c r="PA164" i="2" s="1"/>
  <c r="JG164" i="2"/>
  <c r="JH164" i="2" s="1"/>
  <c r="JI164" i="2" s="1"/>
  <c r="JJ164" i="2" s="1"/>
  <c r="JF165" i="2"/>
  <c r="ML165" i="2"/>
  <c r="MM164" i="2"/>
  <c r="MN164" i="2" s="1"/>
  <c r="MO164" i="2" s="1"/>
  <c r="MP164" i="2" s="1"/>
  <c r="KB164" i="2"/>
  <c r="KC164" i="2" s="1"/>
  <c r="KD164" i="2" s="1"/>
  <c r="KE164" i="2" s="1"/>
  <c r="KA165" i="2"/>
  <c r="KW164" i="2"/>
  <c r="KX164" i="2" s="1"/>
  <c r="KY164" i="2" s="1"/>
  <c r="KZ164" i="2" s="1"/>
  <c r="KV165" i="2"/>
  <c r="IL164" i="2"/>
  <c r="IM164" i="2" s="1"/>
  <c r="IN164" i="2" s="1"/>
  <c r="IO164" i="2" s="1"/>
  <c r="IK165" i="2"/>
  <c r="LR164" i="2"/>
  <c r="LS164" i="2" s="1"/>
  <c r="LT164" i="2" s="1"/>
  <c r="LU164" i="2" s="1"/>
  <c r="LQ165" i="2"/>
  <c r="OB165" i="2"/>
  <c r="OC164" i="2"/>
  <c r="OD164" i="2" s="1"/>
  <c r="OE164" i="2" s="1"/>
  <c r="OF164" i="2" s="1"/>
  <c r="HP165" i="2"/>
  <c r="HQ164" i="2"/>
  <c r="HR164" i="2" s="1"/>
  <c r="HS164" i="2" s="1"/>
  <c r="HT164" i="2" s="1"/>
  <c r="GU165" i="2"/>
  <c r="GV164" i="2"/>
  <c r="GW164" i="2" s="1"/>
  <c r="GX164" i="2" s="1"/>
  <c r="GY164" i="2" s="1"/>
  <c r="FE165" i="2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AJ164" i="2"/>
  <c r="AK164" i="2" s="1"/>
  <c r="AL164" i="2" s="1"/>
  <c r="AM164" i="2" s="1"/>
  <c r="BS76" i="2"/>
  <c r="BE78" i="2"/>
  <c r="BF77" i="2"/>
  <c r="BG77" i="2" s="1"/>
  <c r="BH77" i="2" s="1"/>
  <c r="CY146" i="2" l="1"/>
  <c r="CY127" i="2"/>
  <c r="CY130" i="2"/>
  <c r="CY29" i="2"/>
  <c r="CY37" i="2"/>
  <c r="CY24" i="2"/>
  <c r="CY113" i="2"/>
  <c r="CY81" i="2"/>
  <c r="CY16" i="2"/>
  <c r="CY119" i="2"/>
  <c r="CY182" i="2"/>
  <c r="CY102" i="2"/>
  <c r="CY83" i="2"/>
  <c r="CY8" i="2"/>
  <c r="CY101" i="2"/>
  <c r="CY191" i="2"/>
  <c r="CY165" i="2"/>
  <c r="CY33" i="2"/>
  <c r="CY109" i="2"/>
  <c r="CY115" i="2"/>
  <c r="CY197" i="2"/>
  <c r="CY41" i="2"/>
  <c r="CY5" i="2"/>
  <c r="CY56" i="2"/>
  <c r="CY53" i="2"/>
  <c r="CY144" i="2"/>
  <c r="CY176" i="2"/>
  <c r="CY180" i="2"/>
  <c r="CY10" i="2"/>
  <c r="CY18" i="2"/>
  <c r="CY198" i="2"/>
  <c r="CY86" i="2"/>
  <c r="CY141" i="2"/>
  <c r="CY90" i="2"/>
  <c r="CY126" i="2"/>
  <c r="CY35" i="2"/>
  <c r="CY152" i="2"/>
  <c r="CY129" i="2"/>
  <c r="CY151" i="2"/>
  <c r="CY124" i="2"/>
  <c r="CY193" i="2"/>
  <c r="CY125" i="2"/>
  <c r="CY20" i="2"/>
  <c r="CY97" i="2"/>
  <c r="CY42" i="2"/>
  <c r="CY4" i="2"/>
  <c r="CY84" i="2"/>
  <c r="CY201" i="2"/>
  <c r="CY82" i="2"/>
  <c r="CY103" i="2"/>
  <c r="CY11" i="2"/>
  <c r="CY199" i="2"/>
  <c r="CY99" i="2"/>
  <c r="CY134" i="2"/>
  <c r="CY174" i="2"/>
  <c r="CY63" i="2"/>
  <c r="CY142" i="2"/>
  <c r="CY61" i="2"/>
  <c r="CY190" i="2"/>
  <c r="CY3" i="2"/>
  <c r="C10" i="4" s="1"/>
  <c r="E10" i="4" s="1"/>
  <c r="F10" i="4" s="1"/>
  <c r="G10" i="4" s="1"/>
  <c r="L10" i="4" s="1"/>
  <c r="CY70" i="2"/>
  <c r="CY181" i="2"/>
  <c r="CY154" i="2"/>
  <c r="CY71" i="2"/>
  <c r="CY68" i="2"/>
  <c r="CY158" i="2"/>
  <c r="CY120" i="2"/>
  <c r="CY175" i="2"/>
  <c r="CY21" i="2"/>
  <c r="CY85" i="2"/>
  <c r="CY34" i="2"/>
  <c r="CY185" i="2"/>
  <c r="CY31" i="2"/>
  <c r="CY36" i="2"/>
  <c r="CY25" i="2"/>
  <c r="CY28" i="2"/>
  <c r="CY72" i="2"/>
  <c r="CY187" i="2"/>
  <c r="CY7" i="2"/>
  <c r="CY95" i="2"/>
  <c r="CY77" i="2"/>
  <c r="CY27" i="2"/>
  <c r="CY153" i="2"/>
  <c r="CY106" i="2"/>
  <c r="CY118" i="2"/>
  <c r="CY65" i="2"/>
  <c r="CY14" i="2"/>
  <c r="CY104" i="2"/>
  <c r="CY145" i="2"/>
  <c r="CY188" i="2"/>
  <c r="CY46" i="2"/>
  <c r="CY98" i="2"/>
  <c r="CY121" i="2"/>
  <c r="CY69" i="2"/>
  <c r="CY143" i="2"/>
  <c r="CY128" i="2"/>
  <c r="CY110" i="2"/>
  <c r="CY107" i="2"/>
  <c r="CY105" i="2"/>
  <c r="CY112" i="2"/>
  <c r="CY172" i="2"/>
  <c r="CY44" i="2"/>
  <c r="CY178" i="2"/>
  <c r="CY74" i="2"/>
  <c r="CY177" i="2"/>
  <c r="CY163" i="2"/>
  <c r="CY202" i="2"/>
  <c r="CY47" i="2"/>
  <c r="CY93" i="2"/>
  <c r="CY189" i="2"/>
  <c r="CY116" i="2"/>
  <c r="CY87" i="2"/>
  <c r="CY66" i="2"/>
  <c r="CY159" i="2"/>
  <c r="CY43" i="2"/>
  <c r="CY12" i="2"/>
  <c r="CY88" i="2"/>
  <c r="CY150" i="2"/>
  <c r="CY122" i="2"/>
  <c r="CY156" i="2"/>
  <c r="CY132" i="2"/>
  <c r="CY23" i="2"/>
  <c r="CY52" i="2"/>
  <c r="CY148" i="2"/>
  <c r="CY6" i="2"/>
  <c r="CY117" i="2"/>
  <c r="CY9" i="2"/>
  <c r="CY160" i="2"/>
  <c r="CY73" i="2"/>
  <c r="CY167" i="2"/>
  <c r="CY155" i="2"/>
  <c r="CY162" i="2"/>
  <c r="CY203" i="2"/>
  <c r="CY80" i="2"/>
  <c r="CY76" i="2"/>
  <c r="CY22" i="2"/>
  <c r="CY19" i="2"/>
  <c r="CY26" i="2"/>
  <c r="CY64" i="2"/>
  <c r="CY179" i="2"/>
  <c r="CY184" i="2"/>
  <c r="CY161" i="2"/>
  <c r="CY49" i="2"/>
  <c r="CY57" i="2"/>
  <c r="CY166" i="2"/>
  <c r="CY157" i="2"/>
  <c r="CY164" i="2"/>
  <c r="CY78" i="2"/>
  <c r="CY140" i="2"/>
  <c r="CY54" i="2"/>
  <c r="CY48" i="2"/>
  <c r="CY194" i="2"/>
  <c r="CY192" i="2"/>
  <c r="CY138" i="2"/>
  <c r="CY38" i="2"/>
  <c r="CY147" i="2"/>
  <c r="CY108" i="2"/>
  <c r="CY171" i="2"/>
  <c r="CY62" i="2"/>
  <c r="CY170" i="2"/>
  <c r="CY114" i="2"/>
  <c r="CY123" i="2"/>
  <c r="CY183" i="2"/>
  <c r="CY50" i="2"/>
  <c r="CY15" i="2"/>
  <c r="CY17" i="2"/>
  <c r="CY45" i="2"/>
  <c r="CY169" i="2"/>
  <c r="CY89" i="2"/>
  <c r="CY186" i="2"/>
  <c r="CY79" i="2"/>
  <c r="CY131" i="2"/>
  <c r="CY13" i="2"/>
  <c r="CY67" i="2"/>
  <c r="CY136" i="2"/>
  <c r="CY92" i="2"/>
  <c r="CY137" i="2"/>
  <c r="CY60" i="2"/>
  <c r="CY173" i="2"/>
  <c r="CY32" i="2"/>
  <c r="CY75" i="2"/>
  <c r="CY168" i="2"/>
  <c r="CY111" i="2"/>
  <c r="CY58" i="2"/>
  <c r="CY139" i="2"/>
  <c r="CY149" i="2"/>
  <c r="CY55" i="2"/>
  <c r="CY39" i="2"/>
  <c r="CY59" i="2"/>
  <c r="CY195" i="2"/>
  <c r="CY30" i="2"/>
  <c r="CY51" i="2"/>
  <c r="CY133" i="2"/>
  <c r="CY40" i="2"/>
  <c r="CY196" i="2"/>
  <c r="CY100" i="2"/>
  <c r="CY96" i="2"/>
  <c r="CY91" i="2"/>
  <c r="CY200" i="2"/>
  <c r="CY135" i="2"/>
  <c r="CY94" i="2"/>
  <c r="LV108" i="2"/>
  <c r="LV38" i="2"/>
  <c r="LV3" i="2"/>
  <c r="C21" i="4" s="1"/>
  <c r="E21" i="4" s="1"/>
  <c r="F21" i="4" s="1"/>
  <c r="G21" i="4" s="1"/>
  <c r="L21" i="4" s="1"/>
  <c r="LV87" i="2"/>
  <c r="LV83" i="2"/>
  <c r="LV125" i="2"/>
  <c r="LV129" i="2"/>
  <c r="LV118" i="2"/>
  <c r="LV58" i="2"/>
  <c r="LV146" i="2"/>
  <c r="LV123" i="2"/>
  <c r="LV121" i="2"/>
  <c r="LV157" i="2"/>
  <c r="LV116" i="2"/>
  <c r="LV151" i="2"/>
  <c r="LV69" i="2"/>
  <c r="LV166" i="2"/>
  <c r="LV199" i="2"/>
  <c r="LV43" i="2"/>
  <c r="LV99" i="2"/>
  <c r="LV75" i="2"/>
  <c r="LV143" i="2"/>
  <c r="LV141" i="2"/>
  <c r="LV59" i="2"/>
  <c r="LV184" i="2"/>
  <c r="LV56" i="2"/>
  <c r="LV165" i="2"/>
  <c r="LV179" i="2"/>
  <c r="LV61" i="2"/>
  <c r="LV31" i="2"/>
  <c r="LV51" i="2"/>
  <c r="LV180" i="2"/>
  <c r="LV95" i="2"/>
  <c r="LV131" i="2"/>
  <c r="LV42" i="2"/>
  <c r="LV25" i="2"/>
  <c r="LV101" i="2"/>
  <c r="LV97" i="2"/>
  <c r="LV198" i="2"/>
  <c r="LV52" i="2"/>
  <c r="LV174" i="2"/>
  <c r="LV46" i="2"/>
  <c r="LV158" i="2"/>
  <c r="LV65" i="2"/>
  <c r="LV115" i="2"/>
  <c r="LV74" i="2"/>
  <c r="LV147" i="2"/>
  <c r="LV6" i="2"/>
  <c r="LV156" i="2"/>
  <c r="LV35" i="2"/>
  <c r="LV137" i="2"/>
  <c r="LV16" i="2"/>
  <c r="LV190" i="2"/>
  <c r="LV15" i="2"/>
  <c r="LV30" i="2"/>
  <c r="LV203" i="2"/>
  <c r="LV126" i="2"/>
  <c r="LV76" i="2"/>
  <c r="LV120" i="2"/>
  <c r="LV188" i="2"/>
  <c r="LV167" i="2"/>
  <c r="LV63" i="2"/>
  <c r="LV20" i="2"/>
  <c r="LV28" i="2"/>
  <c r="LV53" i="2"/>
  <c r="LV88" i="2"/>
  <c r="LV68" i="2"/>
  <c r="LV197" i="2"/>
  <c r="LV173" i="2"/>
  <c r="LV202" i="2"/>
  <c r="LV19" i="2"/>
  <c r="LV193" i="2"/>
  <c r="LV163" i="2"/>
  <c r="LV13" i="2"/>
  <c r="LV41" i="2"/>
  <c r="LV194" i="2"/>
  <c r="LV172" i="2"/>
  <c r="LV170" i="2"/>
  <c r="LV107" i="2"/>
  <c r="LV81" i="2"/>
  <c r="LV142" i="2"/>
  <c r="LV4" i="2"/>
  <c r="LV32" i="2"/>
  <c r="LV66" i="2"/>
  <c r="LV169" i="2"/>
  <c r="LV21" i="2"/>
  <c r="LV133" i="2"/>
  <c r="LV93" i="2"/>
  <c r="LV79" i="2"/>
  <c r="LV178" i="2"/>
  <c r="LV132" i="2"/>
  <c r="LV168" i="2"/>
  <c r="LV187" i="2"/>
  <c r="LV49" i="2"/>
  <c r="LV27" i="2"/>
  <c r="LV139" i="2"/>
  <c r="LV45" i="2"/>
  <c r="LV155" i="2"/>
  <c r="LV8" i="2"/>
  <c r="LV104" i="2"/>
  <c r="LV14" i="2"/>
  <c r="LV36" i="2"/>
  <c r="LV176" i="2"/>
  <c r="LV5" i="2"/>
  <c r="LV100" i="2"/>
  <c r="LV119" i="2"/>
  <c r="LV182" i="2"/>
  <c r="LV77" i="2"/>
  <c r="LV18" i="2"/>
  <c r="LV109" i="2"/>
  <c r="LV103" i="2"/>
  <c r="LV71" i="2"/>
  <c r="LV7" i="2"/>
  <c r="LV24" i="2"/>
  <c r="LV26" i="2"/>
  <c r="LV10" i="2"/>
  <c r="LV162" i="2"/>
  <c r="LV55" i="2"/>
  <c r="LV82" i="2"/>
  <c r="LV54" i="2"/>
  <c r="LV84" i="2"/>
  <c r="LV144" i="2"/>
  <c r="LV23" i="2"/>
  <c r="LV122" i="2"/>
  <c r="LV57" i="2"/>
  <c r="LV78" i="2"/>
  <c r="LV37" i="2"/>
  <c r="LV89" i="2"/>
  <c r="LV80" i="2"/>
  <c r="LV72" i="2"/>
  <c r="LV64" i="2"/>
  <c r="LV22" i="2"/>
  <c r="LV91" i="2"/>
  <c r="LV160" i="2"/>
  <c r="LV189" i="2"/>
  <c r="LV11" i="2"/>
  <c r="LV67" i="2"/>
  <c r="LV127" i="2"/>
  <c r="LV90" i="2"/>
  <c r="LV94" i="2"/>
  <c r="LV150" i="2"/>
  <c r="LV140" i="2"/>
  <c r="LV113" i="2"/>
  <c r="LV192" i="2"/>
  <c r="LV96" i="2"/>
  <c r="LV196" i="2"/>
  <c r="LV148" i="2"/>
  <c r="LV161" i="2"/>
  <c r="LV175" i="2"/>
  <c r="LV177" i="2"/>
  <c r="LV73" i="2"/>
  <c r="LV201" i="2"/>
  <c r="LV124" i="2"/>
  <c r="LV29" i="2"/>
  <c r="LV134" i="2"/>
  <c r="LV138" i="2"/>
  <c r="LV164" i="2"/>
  <c r="LV39" i="2"/>
  <c r="LV62" i="2"/>
  <c r="LV106" i="2"/>
  <c r="LV152" i="2"/>
  <c r="LV12" i="2"/>
  <c r="LV128" i="2"/>
  <c r="LV92" i="2"/>
  <c r="LV40" i="2"/>
  <c r="LV114" i="2"/>
  <c r="LV145" i="2"/>
  <c r="LV181" i="2"/>
  <c r="LV195" i="2"/>
  <c r="LV9" i="2"/>
  <c r="LV185" i="2"/>
  <c r="LV70" i="2"/>
  <c r="LV200" i="2"/>
  <c r="LV135" i="2"/>
  <c r="LV60" i="2"/>
  <c r="LV136" i="2"/>
  <c r="LV44" i="2"/>
  <c r="LV117" i="2"/>
  <c r="LV171" i="2"/>
  <c r="LV34" i="2"/>
  <c r="LV85" i="2"/>
  <c r="LV17" i="2"/>
  <c r="LV130" i="2"/>
  <c r="LV149" i="2"/>
  <c r="LV110" i="2"/>
  <c r="LV102" i="2"/>
  <c r="LV153" i="2"/>
  <c r="LV48" i="2"/>
  <c r="LV33" i="2"/>
  <c r="LV186" i="2"/>
  <c r="LV111" i="2"/>
  <c r="LV98" i="2"/>
  <c r="LV191" i="2"/>
  <c r="LV86" i="2"/>
  <c r="LV50" i="2"/>
  <c r="LV183" i="2"/>
  <c r="LV159" i="2"/>
  <c r="LV154" i="2"/>
  <c r="LV47" i="2"/>
  <c r="LV105" i="2"/>
  <c r="LV112" i="2"/>
  <c r="LQ166" i="2"/>
  <c r="LR165" i="2"/>
  <c r="LS165" i="2" s="1"/>
  <c r="LT165" i="2" s="1"/>
  <c r="LU165" i="2" s="1"/>
  <c r="KW165" i="2"/>
  <c r="KX165" i="2" s="1"/>
  <c r="KY165" i="2" s="1"/>
  <c r="KZ165" i="2" s="1"/>
  <c r="KV166" i="2"/>
  <c r="HP166" i="2"/>
  <c r="HQ165" i="2"/>
  <c r="HR165" i="2" s="1"/>
  <c r="HS165" i="2" s="1"/>
  <c r="HT165" i="2" s="1"/>
  <c r="ML166" i="2"/>
  <c r="MM165" i="2"/>
  <c r="MN165" i="2" s="1"/>
  <c r="MO165" i="2" s="1"/>
  <c r="MP165" i="2" s="1"/>
  <c r="OW166" i="2"/>
  <c r="OX165" i="2"/>
  <c r="OY165" i="2" s="1"/>
  <c r="OZ165" i="2" s="1"/>
  <c r="PA165" i="2" s="1"/>
  <c r="IL165" i="2"/>
  <c r="IM165" i="2" s="1"/>
  <c r="IN165" i="2" s="1"/>
  <c r="IO165" i="2" s="1"/>
  <c r="IK166" i="2"/>
  <c r="KB165" i="2"/>
  <c r="KC165" i="2" s="1"/>
  <c r="KD165" i="2" s="1"/>
  <c r="KE165" i="2" s="1"/>
  <c r="KA166" i="2"/>
  <c r="JF166" i="2"/>
  <c r="JG165" i="2"/>
  <c r="JH165" i="2" s="1"/>
  <c r="JI165" i="2" s="1"/>
  <c r="JJ165" i="2" s="1"/>
  <c r="OC165" i="2"/>
  <c r="OD165" i="2" s="1"/>
  <c r="OE165" i="2" s="1"/>
  <c r="OF165" i="2" s="1"/>
  <c r="OB166" i="2"/>
  <c r="NG166" i="2"/>
  <c r="NH165" i="2"/>
  <c r="NI165" i="2" s="1"/>
  <c r="NJ165" i="2" s="1"/>
  <c r="NK165" i="2" s="1"/>
  <c r="GU166" i="2"/>
  <c r="GV165" i="2"/>
  <c r="GW165" i="2" s="1"/>
  <c r="GX165" i="2" s="1"/>
  <c r="GY165" i="2" s="1"/>
  <c r="FE166" i="2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AJ165" i="2"/>
  <c r="AK165" i="2" s="1"/>
  <c r="AL165" i="2" s="1"/>
  <c r="AM165" i="2" s="1"/>
  <c r="BE79" i="2"/>
  <c r="BS77" i="2"/>
  <c r="BF78" i="2"/>
  <c r="BG78" i="2" s="1"/>
  <c r="BH78" i="2" s="1"/>
  <c r="IL166" i="2" l="1"/>
  <c r="IM166" i="2" s="1"/>
  <c r="IN166" i="2" s="1"/>
  <c r="IO166" i="2" s="1"/>
  <c r="IK167" i="2"/>
  <c r="KW166" i="2"/>
  <c r="KX166" i="2" s="1"/>
  <c r="KY166" i="2" s="1"/>
  <c r="KZ166" i="2" s="1"/>
  <c r="KV167" i="2"/>
  <c r="NG167" i="2"/>
  <c r="NH166" i="2"/>
  <c r="NI166" i="2" s="1"/>
  <c r="NJ166" i="2" s="1"/>
  <c r="NK166" i="2" s="1"/>
  <c r="JG166" i="2"/>
  <c r="JH166" i="2" s="1"/>
  <c r="JI166" i="2" s="1"/>
  <c r="JJ166" i="2" s="1"/>
  <c r="JF167" i="2"/>
  <c r="ML167" i="2"/>
  <c r="MM166" i="2"/>
  <c r="MN166" i="2" s="1"/>
  <c r="MO166" i="2" s="1"/>
  <c r="MP166" i="2" s="1"/>
  <c r="OB167" i="2"/>
  <c r="OC166" i="2"/>
  <c r="OD166" i="2" s="1"/>
  <c r="OE166" i="2" s="1"/>
  <c r="OF166" i="2" s="1"/>
  <c r="KA167" i="2"/>
  <c r="KB166" i="2"/>
  <c r="KC166" i="2" s="1"/>
  <c r="KD166" i="2" s="1"/>
  <c r="KE166" i="2" s="1"/>
  <c r="OW167" i="2"/>
  <c r="OX166" i="2"/>
  <c r="OY166" i="2" s="1"/>
  <c r="OZ166" i="2" s="1"/>
  <c r="PA166" i="2" s="1"/>
  <c r="HP167" i="2"/>
  <c r="HQ166" i="2"/>
  <c r="HR166" i="2" s="1"/>
  <c r="HS166" i="2" s="1"/>
  <c r="HT166" i="2" s="1"/>
  <c r="LR166" i="2"/>
  <c r="LS166" i="2" s="1"/>
  <c r="LT166" i="2" s="1"/>
  <c r="LU166" i="2" s="1"/>
  <c r="LQ167" i="2"/>
  <c r="GU167" i="2"/>
  <c r="GV166" i="2"/>
  <c r="GW166" i="2" s="1"/>
  <c r="GX166" i="2" s="1"/>
  <c r="GY166" i="2" s="1"/>
  <c r="FE167" i="2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AJ166" i="2"/>
  <c r="AK166" i="2" s="1"/>
  <c r="AL166" i="2" s="1"/>
  <c r="AM166" i="2" s="1"/>
  <c r="BS78" i="2"/>
  <c r="BE80" i="2"/>
  <c r="BF79" i="2"/>
  <c r="BG79" i="2" s="1"/>
  <c r="BH79" i="2" s="1"/>
  <c r="JF168" i="2" l="1"/>
  <c r="JG167" i="2"/>
  <c r="JH167" i="2" s="1"/>
  <c r="JI167" i="2" s="1"/>
  <c r="JJ167" i="2" s="1"/>
  <c r="KW167" i="2"/>
  <c r="KX167" i="2" s="1"/>
  <c r="KY167" i="2" s="1"/>
  <c r="KZ167" i="2" s="1"/>
  <c r="KV168" i="2"/>
  <c r="OW168" i="2"/>
  <c r="OX167" i="2"/>
  <c r="OY167" i="2" s="1"/>
  <c r="OZ167" i="2" s="1"/>
  <c r="PA167" i="2" s="1"/>
  <c r="OC167" i="2"/>
  <c r="OD167" i="2" s="1"/>
  <c r="OE167" i="2" s="1"/>
  <c r="OF167" i="2" s="1"/>
  <c r="OB168" i="2"/>
  <c r="LQ168" i="2"/>
  <c r="LR167" i="2"/>
  <c r="LS167" i="2" s="1"/>
  <c r="LT167" i="2" s="1"/>
  <c r="LU167" i="2" s="1"/>
  <c r="IL167" i="2"/>
  <c r="IM167" i="2" s="1"/>
  <c r="IN167" i="2" s="1"/>
  <c r="IO167" i="2" s="1"/>
  <c r="IK168" i="2"/>
  <c r="HP168" i="2"/>
  <c r="HQ167" i="2"/>
  <c r="HR167" i="2" s="1"/>
  <c r="HS167" i="2" s="1"/>
  <c r="HT167" i="2" s="1"/>
  <c r="KB167" i="2"/>
  <c r="KC167" i="2" s="1"/>
  <c r="KD167" i="2" s="1"/>
  <c r="KE167" i="2" s="1"/>
  <c r="KA168" i="2"/>
  <c r="ML168" i="2"/>
  <c r="MM167" i="2"/>
  <c r="MN167" i="2" s="1"/>
  <c r="MO167" i="2" s="1"/>
  <c r="MP167" i="2" s="1"/>
  <c r="NG168" i="2"/>
  <c r="NH167" i="2"/>
  <c r="NI167" i="2" s="1"/>
  <c r="NJ167" i="2" s="1"/>
  <c r="NK167" i="2" s="1"/>
  <c r="GU168" i="2"/>
  <c r="GV167" i="2"/>
  <c r="GW167" i="2" s="1"/>
  <c r="GX167" i="2" s="1"/>
  <c r="GY167" i="2" s="1"/>
  <c r="FE168" i="2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AJ167" i="2"/>
  <c r="AK167" i="2" s="1"/>
  <c r="AL167" i="2" s="1"/>
  <c r="AM167" i="2" s="1"/>
  <c r="BE81" i="2"/>
  <c r="BS79" i="2"/>
  <c r="BF80" i="2"/>
  <c r="BG80" i="2" s="1"/>
  <c r="BH80" i="2" s="1"/>
  <c r="KA169" i="2" l="1"/>
  <c r="KB168" i="2"/>
  <c r="KC168" i="2" s="1"/>
  <c r="KD168" i="2" s="1"/>
  <c r="KE168" i="2" s="1"/>
  <c r="NG169" i="2"/>
  <c r="NH168" i="2"/>
  <c r="NI168" i="2" s="1"/>
  <c r="NJ168" i="2" s="1"/>
  <c r="NK168" i="2" s="1"/>
  <c r="OC168" i="2"/>
  <c r="OD168" i="2" s="1"/>
  <c r="OE168" i="2" s="1"/>
  <c r="OF168" i="2" s="1"/>
  <c r="OB169" i="2"/>
  <c r="IL168" i="2"/>
  <c r="IM168" i="2" s="1"/>
  <c r="IN168" i="2" s="1"/>
  <c r="IO168" i="2" s="1"/>
  <c r="IK169" i="2"/>
  <c r="KV169" i="2"/>
  <c r="KW168" i="2"/>
  <c r="KX168" i="2" s="1"/>
  <c r="KY168" i="2" s="1"/>
  <c r="KZ168" i="2" s="1"/>
  <c r="ML169" i="2"/>
  <c r="MM168" i="2"/>
  <c r="MN168" i="2" s="1"/>
  <c r="MO168" i="2" s="1"/>
  <c r="MP168" i="2" s="1"/>
  <c r="HP169" i="2"/>
  <c r="HQ168" i="2"/>
  <c r="HR168" i="2" s="1"/>
  <c r="HS168" i="2" s="1"/>
  <c r="HT168" i="2" s="1"/>
  <c r="LQ169" i="2"/>
  <c r="LR168" i="2"/>
  <c r="LS168" i="2" s="1"/>
  <c r="LT168" i="2" s="1"/>
  <c r="LU168" i="2" s="1"/>
  <c r="OW169" i="2"/>
  <c r="OX168" i="2"/>
  <c r="OY168" i="2" s="1"/>
  <c r="OZ168" i="2" s="1"/>
  <c r="PA168" i="2" s="1"/>
  <c r="JF169" i="2"/>
  <c r="JG168" i="2"/>
  <c r="JH168" i="2" s="1"/>
  <c r="JI168" i="2" s="1"/>
  <c r="JJ168" i="2" s="1"/>
  <c r="GU169" i="2"/>
  <c r="GV168" i="2"/>
  <c r="GW168" i="2" s="1"/>
  <c r="GX168" i="2" s="1"/>
  <c r="GY168" i="2" s="1"/>
  <c r="FE169" i="2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AJ168" i="2"/>
  <c r="AK168" i="2" s="1"/>
  <c r="AL168" i="2" s="1"/>
  <c r="AM168" i="2" s="1"/>
  <c r="BS80" i="2"/>
  <c r="BE82" i="2"/>
  <c r="BF81" i="2"/>
  <c r="BG81" i="2" s="1"/>
  <c r="BH81" i="2" s="1"/>
  <c r="IL169" i="2" l="1"/>
  <c r="IM169" i="2" s="1"/>
  <c r="IN169" i="2" s="1"/>
  <c r="IO169" i="2" s="1"/>
  <c r="IK170" i="2"/>
  <c r="JF170" i="2"/>
  <c r="JG169" i="2"/>
  <c r="JH169" i="2" s="1"/>
  <c r="JI169" i="2" s="1"/>
  <c r="JJ169" i="2" s="1"/>
  <c r="LQ170" i="2"/>
  <c r="LR169" i="2"/>
  <c r="LS169" i="2" s="1"/>
  <c r="LT169" i="2" s="1"/>
  <c r="LU169" i="2" s="1"/>
  <c r="ML170" i="2"/>
  <c r="MM169" i="2"/>
  <c r="MN169" i="2" s="1"/>
  <c r="MO169" i="2" s="1"/>
  <c r="MP169" i="2" s="1"/>
  <c r="NG170" i="2"/>
  <c r="NH169" i="2"/>
  <c r="NI169" i="2" s="1"/>
  <c r="NJ169" i="2" s="1"/>
  <c r="NK169" i="2" s="1"/>
  <c r="OC169" i="2"/>
  <c r="OD169" i="2" s="1"/>
  <c r="OE169" i="2" s="1"/>
  <c r="OF169" i="2" s="1"/>
  <c r="OB170" i="2"/>
  <c r="OW170" i="2"/>
  <c r="OX169" i="2"/>
  <c r="OY169" i="2" s="1"/>
  <c r="OZ169" i="2" s="1"/>
  <c r="PA169" i="2" s="1"/>
  <c r="HP170" i="2"/>
  <c r="HQ169" i="2"/>
  <c r="HR169" i="2" s="1"/>
  <c r="HS169" i="2" s="1"/>
  <c r="HT169" i="2" s="1"/>
  <c r="KW169" i="2"/>
  <c r="KX169" i="2" s="1"/>
  <c r="KY169" i="2" s="1"/>
  <c r="KZ169" i="2" s="1"/>
  <c r="KV170" i="2"/>
  <c r="KA170" i="2"/>
  <c r="KB169" i="2"/>
  <c r="KC169" i="2" s="1"/>
  <c r="KD169" i="2" s="1"/>
  <c r="KE169" i="2" s="1"/>
  <c r="GU170" i="2"/>
  <c r="GV169" i="2"/>
  <c r="GW169" i="2" s="1"/>
  <c r="GX169" i="2" s="1"/>
  <c r="GY169" i="2" s="1"/>
  <c r="FE170" i="2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AJ169" i="2"/>
  <c r="AK169" i="2" s="1"/>
  <c r="AL169" i="2" s="1"/>
  <c r="AM169" i="2" s="1"/>
  <c r="BE83" i="2"/>
  <c r="BS81" i="2"/>
  <c r="BF82" i="2"/>
  <c r="BG82" i="2" s="1"/>
  <c r="BH82" i="2" s="1"/>
  <c r="OB171" i="2" l="1"/>
  <c r="OC170" i="2"/>
  <c r="OD170" i="2" s="1"/>
  <c r="OE170" i="2" s="1"/>
  <c r="OF170" i="2" s="1"/>
  <c r="KA171" i="2"/>
  <c r="KB170" i="2"/>
  <c r="KC170" i="2" s="1"/>
  <c r="KD170" i="2" s="1"/>
  <c r="KE170" i="2" s="1"/>
  <c r="HP171" i="2"/>
  <c r="HQ170" i="2"/>
  <c r="HR170" i="2" s="1"/>
  <c r="HS170" i="2" s="1"/>
  <c r="HT170" i="2" s="1"/>
  <c r="ML171" i="2"/>
  <c r="MM170" i="2"/>
  <c r="MN170" i="2" s="1"/>
  <c r="MO170" i="2" s="1"/>
  <c r="MP170" i="2" s="1"/>
  <c r="JG170" i="2"/>
  <c r="JH170" i="2" s="1"/>
  <c r="JI170" i="2" s="1"/>
  <c r="JJ170" i="2" s="1"/>
  <c r="JF171" i="2"/>
  <c r="KW170" i="2"/>
  <c r="KX170" i="2" s="1"/>
  <c r="KY170" i="2" s="1"/>
  <c r="KZ170" i="2" s="1"/>
  <c r="KV171" i="2"/>
  <c r="IL170" i="2"/>
  <c r="IM170" i="2" s="1"/>
  <c r="IN170" i="2" s="1"/>
  <c r="IO170" i="2" s="1"/>
  <c r="IK171" i="2"/>
  <c r="OW171" i="2"/>
  <c r="OX170" i="2"/>
  <c r="OY170" i="2" s="1"/>
  <c r="OZ170" i="2" s="1"/>
  <c r="PA170" i="2" s="1"/>
  <c r="NH170" i="2"/>
  <c r="NI170" i="2" s="1"/>
  <c r="NJ170" i="2" s="1"/>
  <c r="NK170" i="2" s="1"/>
  <c r="NG171" i="2"/>
  <c r="LR170" i="2"/>
  <c r="LS170" i="2" s="1"/>
  <c r="LT170" i="2" s="1"/>
  <c r="LU170" i="2" s="1"/>
  <c r="LQ171" i="2"/>
  <c r="GU171" i="2"/>
  <c r="GV170" i="2"/>
  <c r="GW170" i="2" s="1"/>
  <c r="GX170" i="2" s="1"/>
  <c r="GY170" i="2" s="1"/>
  <c r="FE171" i="2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AJ170" i="2"/>
  <c r="AK170" i="2" s="1"/>
  <c r="AL170" i="2" s="1"/>
  <c r="AM170" i="2" s="1"/>
  <c r="BS82" i="2"/>
  <c r="BE84" i="2"/>
  <c r="BF83" i="2"/>
  <c r="BG83" i="2" s="1"/>
  <c r="BH83" i="2" s="1"/>
  <c r="LR171" i="2" l="1"/>
  <c r="LS171" i="2" s="1"/>
  <c r="LT171" i="2" s="1"/>
  <c r="LU171" i="2" s="1"/>
  <c r="LQ172" i="2"/>
  <c r="KV172" i="2"/>
  <c r="KW171" i="2"/>
  <c r="KX171" i="2" s="1"/>
  <c r="KY171" i="2" s="1"/>
  <c r="KZ171" i="2" s="1"/>
  <c r="OW172" i="2"/>
  <c r="OX171" i="2"/>
  <c r="OY171" i="2" s="1"/>
  <c r="OZ171" i="2" s="1"/>
  <c r="PA171" i="2" s="1"/>
  <c r="ML172" i="2"/>
  <c r="MM171" i="2"/>
  <c r="MN171" i="2" s="1"/>
  <c r="MO171" i="2" s="1"/>
  <c r="MP171" i="2" s="1"/>
  <c r="KA172" i="2"/>
  <c r="KB171" i="2"/>
  <c r="KC171" i="2" s="1"/>
  <c r="KD171" i="2" s="1"/>
  <c r="KE171" i="2" s="1"/>
  <c r="NG172" i="2"/>
  <c r="NH171" i="2"/>
  <c r="NI171" i="2" s="1"/>
  <c r="NJ171" i="2" s="1"/>
  <c r="NK171" i="2" s="1"/>
  <c r="IL171" i="2"/>
  <c r="IM171" i="2" s="1"/>
  <c r="IN171" i="2" s="1"/>
  <c r="IO171" i="2" s="1"/>
  <c r="IK172" i="2"/>
  <c r="JF172" i="2"/>
  <c r="JG171" i="2"/>
  <c r="JH171" i="2" s="1"/>
  <c r="JI171" i="2" s="1"/>
  <c r="JJ171" i="2" s="1"/>
  <c r="HP172" i="2"/>
  <c r="HQ171" i="2"/>
  <c r="HR171" i="2" s="1"/>
  <c r="HS171" i="2" s="1"/>
  <c r="HT171" i="2" s="1"/>
  <c r="OB172" i="2"/>
  <c r="OC171" i="2"/>
  <c r="OD171" i="2" s="1"/>
  <c r="OE171" i="2" s="1"/>
  <c r="OF171" i="2" s="1"/>
  <c r="GU172" i="2"/>
  <c r="GV171" i="2"/>
  <c r="GW171" i="2" s="1"/>
  <c r="GX171" i="2" s="1"/>
  <c r="GY171" i="2" s="1"/>
  <c r="FE172" i="2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AJ171" i="2"/>
  <c r="AK171" i="2" s="1"/>
  <c r="AL171" i="2" s="1"/>
  <c r="AM171" i="2" s="1"/>
  <c r="BF84" i="2"/>
  <c r="BG84" i="2" s="1"/>
  <c r="BH84" i="2" s="1"/>
  <c r="BE85" i="2"/>
  <c r="BS83" i="2"/>
  <c r="OC172" i="2" l="1"/>
  <c r="OD172" i="2" s="1"/>
  <c r="OE172" i="2" s="1"/>
  <c r="OF172" i="2" s="1"/>
  <c r="OB173" i="2"/>
  <c r="JF173" i="2"/>
  <c r="JG172" i="2"/>
  <c r="JH172" i="2" s="1"/>
  <c r="JI172" i="2" s="1"/>
  <c r="JJ172" i="2" s="1"/>
  <c r="NG173" i="2"/>
  <c r="NH172" i="2"/>
  <c r="NI172" i="2" s="1"/>
  <c r="NJ172" i="2" s="1"/>
  <c r="NK172" i="2" s="1"/>
  <c r="ML173" i="2"/>
  <c r="MM172" i="2"/>
  <c r="MN172" i="2" s="1"/>
  <c r="MO172" i="2" s="1"/>
  <c r="MP172" i="2" s="1"/>
  <c r="KW172" i="2"/>
  <c r="KX172" i="2" s="1"/>
  <c r="KY172" i="2" s="1"/>
  <c r="KZ172" i="2" s="1"/>
  <c r="KV173" i="2"/>
  <c r="IL172" i="2"/>
  <c r="IM172" i="2" s="1"/>
  <c r="IN172" i="2" s="1"/>
  <c r="IO172" i="2" s="1"/>
  <c r="IK173" i="2"/>
  <c r="LQ173" i="2"/>
  <c r="LR172" i="2"/>
  <c r="LS172" i="2" s="1"/>
  <c r="LT172" i="2" s="1"/>
  <c r="LU172" i="2" s="1"/>
  <c r="HP173" i="2"/>
  <c r="HQ172" i="2"/>
  <c r="HR172" i="2" s="1"/>
  <c r="HS172" i="2" s="1"/>
  <c r="HT172" i="2" s="1"/>
  <c r="KA173" i="2"/>
  <c r="KB172" i="2"/>
  <c r="KC172" i="2" s="1"/>
  <c r="KD172" i="2" s="1"/>
  <c r="KE172" i="2" s="1"/>
  <c r="OW173" i="2"/>
  <c r="OX172" i="2"/>
  <c r="OY172" i="2" s="1"/>
  <c r="OZ172" i="2" s="1"/>
  <c r="PA172" i="2" s="1"/>
  <c r="GU173" i="2"/>
  <c r="GV172" i="2"/>
  <c r="GW172" i="2" s="1"/>
  <c r="GX172" i="2" s="1"/>
  <c r="GY172" i="2" s="1"/>
  <c r="FE173" i="2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AJ172" i="2"/>
  <c r="AK172" i="2" s="1"/>
  <c r="AL172" i="2" s="1"/>
  <c r="AM172" i="2" s="1"/>
  <c r="BF85" i="2"/>
  <c r="BG85" i="2" s="1"/>
  <c r="BH85" i="2" s="1"/>
  <c r="BS84" i="2"/>
  <c r="BE86" i="2"/>
  <c r="IL173" i="2" l="1"/>
  <c r="IM173" i="2" s="1"/>
  <c r="IN173" i="2" s="1"/>
  <c r="IO173" i="2" s="1"/>
  <c r="IK174" i="2"/>
  <c r="OW174" i="2"/>
  <c r="OX173" i="2"/>
  <c r="OY173" i="2" s="1"/>
  <c r="OZ173" i="2" s="1"/>
  <c r="PA173" i="2" s="1"/>
  <c r="HP174" i="2"/>
  <c r="HQ173" i="2"/>
  <c r="HR173" i="2" s="1"/>
  <c r="HS173" i="2" s="1"/>
  <c r="HT173" i="2" s="1"/>
  <c r="ML174" i="2"/>
  <c r="MM173" i="2"/>
  <c r="MN173" i="2" s="1"/>
  <c r="MO173" i="2" s="1"/>
  <c r="MP173" i="2" s="1"/>
  <c r="JF174" i="2"/>
  <c r="JG173" i="2"/>
  <c r="JH173" i="2" s="1"/>
  <c r="JI173" i="2" s="1"/>
  <c r="JJ173" i="2" s="1"/>
  <c r="KW173" i="2"/>
  <c r="KX173" i="2" s="1"/>
  <c r="KY173" i="2" s="1"/>
  <c r="KZ173" i="2" s="1"/>
  <c r="KV174" i="2"/>
  <c r="OB174" i="2"/>
  <c r="OC173" i="2"/>
  <c r="OD173" i="2" s="1"/>
  <c r="OE173" i="2" s="1"/>
  <c r="OF173" i="2" s="1"/>
  <c r="KB173" i="2"/>
  <c r="KC173" i="2" s="1"/>
  <c r="KD173" i="2" s="1"/>
  <c r="KE173" i="2" s="1"/>
  <c r="KA174" i="2"/>
  <c r="LQ174" i="2"/>
  <c r="LR173" i="2"/>
  <c r="LS173" i="2" s="1"/>
  <c r="LT173" i="2" s="1"/>
  <c r="LU173" i="2" s="1"/>
  <c r="NG174" i="2"/>
  <c r="NH173" i="2"/>
  <c r="NI173" i="2" s="1"/>
  <c r="NJ173" i="2" s="1"/>
  <c r="NK173" i="2" s="1"/>
  <c r="GU174" i="2"/>
  <c r="GV173" i="2"/>
  <c r="GW173" i="2" s="1"/>
  <c r="GX173" i="2" s="1"/>
  <c r="GY173" i="2" s="1"/>
  <c r="FE174" i="2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AJ173" i="2"/>
  <c r="AK173" i="2" s="1"/>
  <c r="AL173" i="2" s="1"/>
  <c r="AM173" i="2" s="1"/>
  <c r="BF86" i="2"/>
  <c r="BG86" i="2" s="1"/>
  <c r="BH86" i="2" s="1"/>
  <c r="BE87" i="2"/>
  <c r="BS85" i="2"/>
  <c r="KB174" i="2" l="1"/>
  <c r="KC174" i="2" s="1"/>
  <c r="KD174" i="2" s="1"/>
  <c r="KE174" i="2" s="1"/>
  <c r="KA175" i="2"/>
  <c r="KV175" i="2"/>
  <c r="KW174" i="2"/>
  <c r="KX174" i="2" s="1"/>
  <c r="KY174" i="2" s="1"/>
  <c r="KZ174" i="2" s="1"/>
  <c r="NH174" i="2"/>
  <c r="NI174" i="2" s="1"/>
  <c r="NJ174" i="2" s="1"/>
  <c r="NK174" i="2" s="1"/>
  <c r="NG175" i="2"/>
  <c r="ML175" i="2"/>
  <c r="MM174" i="2"/>
  <c r="MN174" i="2" s="1"/>
  <c r="MO174" i="2" s="1"/>
  <c r="MP174" i="2" s="1"/>
  <c r="OW175" i="2"/>
  <c r="OX174" i="2"/>
  <c r="OY174" i="2" s="1"/>
  <c r="OZ174" i="2" s="1"/>
  <c r="PA174" i="2" s="1"/>
  <c r="IL174" i="2"/>
  <c r="IM174" i="2" s="1"/>
  <c r="IN174" i="2" s="1"/>
  <c r="IO174" i="2" s="1"/>
  <c r="IK175" i="2"/>
  <c r="LQ175" i="2"/>
  <c r="LR174" i="2"/>
  <c r="LS174" i="2" s="1"/>
  <c r="LT174" i="2" s="1"/>
  <c r="LU174" i="2" s="1"/>
  <c r="OC174" i="2"/>
  <c r="OD174" i="2" s="1"/>
  <c r="OE174" i="2" s="1"/>
  <c r="OF174" i="2" s="1"/>
  <c r="OB175" i="2"/>
  <c r="JF175" i="2"/>
  <c r="JG174" i="2"/>
  <c r="JH174" i="2" s="1"/>
  <c r="JI174" i="2" s="1"/>
  <c r="JJ174" i="2" s="1"/>
  <c r="HP175" i="2"/>
  <c r="HQ174" i="2"/>
  <c r="HR174" i="2" s="1"/>
  <c r="HS174" i="2" s="1"/>
  <c r="HT174" i="2" s="1"/>
  <c r="GU175" i="2"/>
  <c r="GV174" i="2"/>
  <c r="GW174" i="2" s="1"/>
  <c r="GX174" i="2" s="1"/>
  <c r="GY174" i="2" s="1"/>
  <c r="FE175" i="2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AJ174" i="2"/>
  <c r="AK174" i="2" s="1"/>
  <c r="AL174" i="2" s="1"/>
  <c r="AM174" i="2" s="1"/>
  <c r="BF87" i="2"/>
  <c r="BG87" i="2" s="1"/>
  <c r="BH87" i="2" s="1"/>
  <c r="BS86" i="2"/>
  <c r="BE88" i="2"/>
  <c r="OC175" i="2" l="1"/>
  <c r="OD175" i="2" s="1"/>
  <c r="OE175" i="2" s="1"/>
  <c r="OF175" i="2" s="1"/>
  <c r="OB176" i="2"/>
  <c r="IL175" i="2"/>
  <c r="IM175" i="2" s="1"/>
  <c r="IN175" i="2" s="1"/>
  <c r="IO175" i="2" s="1"/>
  <c r="IK176" i="2"/>
  <c r="HP176" i="2"/>
  <c r="HQ175" i="2"/>
  <c r="HR175" i="2" s="1"/>
  <c r="HS175" i="2" s="1"/>
  <c r="HT175" i="2" s="1"/>
  <c r="ML176" i="2"/>
  <c r="MM175" i="2"/>
  <c r="MN175" i="2" s="1"/>
  <c r="MO175" i="2" s="1"/>
  <c r="MP175" i="2" s="1"/>
  <c r="KW175" i="2"/>
  <c r="KX175" i="2" s="1"/>
  <c r="KY175" i="2" s="1"/>
  <c r="KZ175" i="2" s="1"/>
  <c r="KV176" i="2"/>
  <c r="NG176" i="2"/>
  <c r="NH175" i="2"/>
  <c r="NI175" i="2" s="1"/>
  <c r="NJ175" i="2" s="1"/>
  <c r="NK175" i="2" s="1"/>
  <c r="KB175" i="2"/>
  <c r="KC175" i="2" s="1"/>
  <c r="KD175" i="2" s="1"/>
  <c r="KE175" i="2" s="1"/>
  <c r="KA176" i="2"/>
  <c r="JF176" i="2"/>
  <c r="JG175" i="2"/>
  <c r="JH175" i="2" s="1"/>
  <c r="JI175" i="2" s="1"/>
  <c r="JJ175" i="2" s="1"/>
  <c r="LQ176" i="2"/>
  <c r="LR175" i="2"/>
  <c r="LS175" i="2" s="1"/>
  <c r="LT175" i="2" s="1"/>
  <c r="LU175" i="2" s="1"/>
  <c r="OW176" i="2"/>
  <c r="OX175" i="2"/>
  <c r="OY175" i="2" s="1"/>
  <c r="OZ175" i="2" s="1"/>
  <c r="PA175" i="2" s="1"/>
  <c r="GU176" i="2"/>
  <c r="GV175" i="2"/>
  <c r="GW175" i="2" s="1"/>
  <c r="GX175" i="2" s="1"/>
  <c r="GY175" i="2" s="1"/>
  <c r="FE176" i="2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AJ175" i="2"/>
  <c r="AK175" i="2" s="1"/>
  <c r="AL175" i="2" s="1"/>
  <c r="AM175" i="2" s="1"/>
  <c r="BF88" i="2"/>
  <c r="BG88" i="2" s="1"/>
  <c r="BH88" i="2" s="1"/>
  <c r="BE89" i="2"/>
  <c r="BS87" i="2"/>
  <c r="IL176" i="2" l="1"/>
  <c r="IM176" i="2" s="1"/>
  <c r="IN176" i="2" s="1"/>
  <c r="IO176" i="2" s="1"/>
  <c r="IK177" i="2"/>
  <c r="OW177" i="2"/>
  <c r="OX176" i="2"/>
  <c r="OY176" i="2" s="1"/>
  <c r="OZ176" i="2" s="1"/>
  <c r="PA176" i="2" s="1"/>
  <c r="JG176" i="2"/>
  <c r="JH176" i="2" s="1"/>
  <c r="JI176" i="2" s="1"/>
  <c r="JJ176" i="2" s="1"/>
  <c r="JF177" i="2"/>
  <c r="NG177" i="2"/>
  <c r="NH176" i="2"/>
  <c r="NI176" i="2" s="1"/>
  <c r="NJ176" i="2" s="1"/>
  <c r="NK176" i="2" s="1"/>
  <c r="ML177" i="2"/>
  <c r="MM176" i="2"/>
  <c r="MN176" i="2" s="1"/>
  <c r="MO176" i="2" s="1"/>
  <c r="MP176" i="2" s="1"/>
  <c r="KB176" i="2"/>
  <c r="KC176" i="2" s="1"/>
  <c r="KD176" i="2" s="1"/>
  <c r="KE176" i="2" s="1"/>
  <c r="KA177" i="2"/>
  <c r="KW176" i="2"/>
  <c r="KX176" i="2" s="1"/>
  <c r="KY176" i="2" s="1"/>
  <c r="KZ176" i="2" s="1"/>
  <c r="KV177" i="2"/>
  <c r="OC176" i="2"/>
  <c r="OD176" i="2" s="1"/>
  <c r="OE176" i="2" s="1"/>
  <c r="OF176" i="2" s="1"/>
  <c r="OB177" i="2"/>
  <c r="LQ177" i="2"/>
  <c r="LR176" i="2"/>
  <c r="LS176" i="2" s="1"/>
  <c r="LT176" i="2" s="1"/>
  <c r="LU176" i="2" s="1"/>
  <c r="HP177" i="2"/>
  <c r="HQ176" i="2"/>
  <c r="HR176" i="2" s="1"/>
  <c r="HS176" i="2" s="1"/>
  <c r="HT176" i="2" s="1"/>
  <c r="GU177" i="2"/>
  <c r="GV176" i="2"/>
  <c r="GW176" i="2" s="1"/>
  <c r="GX176" i="2" s="1"/>
  <c r="GY176" i="2" s="1"/>
  <c r="FE177" i="2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AJ176" i="2"/>
  <c r="AK176" i="2" s="1"/>
  <c r="AL176" i="2" s="1"/>
  <c r="AM176" i="2" s="1"/>
  <c r="BF89" i="2"/>
  <c r="BG89" i="2" s="1"/>
  <c r="BH89" i="2" s="1"/>
  <c r="BS88" i="2"/>
  <c r="BE90" i="2"/>
  <c r="OB178" i="2" l="1"/>
  <c r="OC177" i="2"/>
  <c r="OD177" i="2" s="1"/>
  <c r="OE177" i="2" s="1"/>
  <c r="OF177" i="2" s="1"/>
  <c r="KB177" i="2"/>
  <c r="KC177" i="2" s="1"/>
  <c r="KD177" i="2" s="1"/>
  <c r="KE177" i="2" s="1"/>
  <c r="KA178" i="2"/>
  <c r="HP178" i="2"/>
  <c r="HQ177" i="2"/>
  <c r="HR177" i="2" s="1"/>
  <c r="HS177" i="2" s="1"/>
  <c r="HT177" i="2" s="1"/>
  <c r="NG178" i="2"/>
  <c r="NH177" i="2"/>
  <c r="NI177" i="2" s="1"/>
  <c r="NJ177" i="2" s="1"/>
  <c r="NK177" i="2" s="1"/>
  <c r="OW178" i="2"/>
  <c r="OX177" i="2"/>
  <c r="OY177" i="2" s="1"/>
  <c r="OZ177" i="2" s="1"/>
  <c r="PA177" i="2" s="1"/>
  <c r="KW177" i="2"/>
  <c r="KX177" i="2" s="1"/>
  <c r="KY177" i="2" s="1"/>
  <c r="KZ177" i="2" s="1"/>
  <c r="KV178" i="2"/>
  <c r="JG177" i="2"/>
  <c r="JH177" i="2" s="1"/>
  <c r="JI177" i="2" s="1"/>
  <c r="JJ177" i="2" s="1"/>
  <c r="JF178" i="2"/>
  <c r="IL177" i="2"/>
  <c r="IM177" i="2" s="1"/>
  <c r="IN177" i="2" s="1"/>
  <c r="IO177" i="2" s="1"/>
  <c r="IK178" i="2"/>
  <c r="LQ178" i="2"/>
  <c r="LR177" i="2"/>
  <c r="LS177" i="2" s="1"/>
  <c r="LT177" i="2" s="1"/>
  <c r="LU177" i="2" s="1"/>
  <c r="ML178" i="2"/>
  <c r="MM177" i="2"/>
  <c r="MN177" i="2" s="1"/>
  <c r="MO177" i="2" s="1"/>
  <c r="MP177" i="2" s="1"/>
  <c r="GU178" i="2"/>
  <c r="GV177" i="2"/>
  <c r="GW177" i="2" s="1"/>
  <c r="GX177" i="2" s="1"/>
  <c r="GY177" i="2" s="1"/>
  <c r="FE178" i="2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AJ177" i="2"/>
  <c r="AK177" i="2" s="1"/>
  <c r="AL177" i="2" s="1"/>
  <c r="AM177" i="2" s="1"/>
  <c r="BF90" i="2"/>
  <c r="BG90" i="2" s="1"/>
  <c r="BH90" i="2" s="1"/>
  <c r="BE91" i="2"/>
  <c r="BS89" i="2"/>
  <c r="IL178" i="2" l="1"/>
  <c r="IM178" i="2" s="1"/>
  <c r="IN178" i="2" s="1"/>
  <c r="IO178" i="2" s="1"/>
  <c r="IK179" i="2"/>
  <c r="KW178" i="2"/>
  <c r="KX178" i="2" s="1"/>
  <c r="KY178" i="2" s="1"/>
  <c r="KZ178" i="2" s="1"/>
  <c r="KV179" i="2"/>
  <c r="KB178" i="2"/>
  <c r="KC178" i="2" s="1"/>
  <c r="KD178" i="2" s="1"/>
  <c r="KE178" i="2" s="1"/>
  <c r="KA179" i="2"/>
  <c r="ML179" i="2"/>
  <c r="MM178" i="2"/>
  <c r="MN178" i="2" s="1"/>
  <c r="MO178" i="2" s="1"/>
  <c r="MP178" i="2" s="1"/>
  <c r="NG179" i="2"/>
  <c r="NH178" i="2"/>
  <c r="NI178" i="2" s="1"/>
  <c r="NJ178" i="2" s="1"/>
  <c r="NK178" i="2" s="1"/>
  <c r="JF179" i="2"/>
  <c r="JG178" i="2"/>
  <c r="JH178" i="2" s="1"/>
  <c r="JI178" i="2" s="1"/>
  <c r="JJ178" i="2" s="1"/>
  <c r="LQ179" i="2"/>
  <c r="LR178" i="2"/>
  <c r="LS178" i="2" s="1"/>
  <c r="LT178" i="2" s="1"/>
  <c r="LU178" i="2" s="1"/>
  <c r="OW179" i="2"/>
  <c r="OX178" i="2"/>
  <c r="OY178" i="2" s="1"/>
  <c r="OZ178" i="2" s="1"/>
  <c r="PA178" i="2" s="1"/>
  <c r="HP179" i="2"/>
  <c r="HQ178" i="2"/>
  <c r="HR178" i="2" s="1"/>
  <c r="HS178" i="2" s="1"/>
  <c r="HT178" i="2" s="1"/>
  <c r="OC178" i="2"/>
  <c r="OD178" i="2" s="1"/>
  <c r="OE178" i="2" s="1"/>
  <c r="OF178" i="2" s="1"/>
  <c r="OB179" i="2"/>
  <c r="GU179" i="2"/>
  <c r="GV178" i="2"/>
  <c r="GW178" i="2" s="1"/>
  <c r="GX178" i="2" s="1"/>
  <c r="GY178" i="2" s="1"/>
  <c r="FE179" i="2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AJ178" i="2"/>
  <c r="AK178" i="2" s="1"/>
  <c r="AL178" i="2" s="1"/>
  <c r="AM178" i="2" s="1"/>
  <c r="BF91" i="2"/>
  <c r="BG91" i="2" s="1"/>
  <c r="BH91" i="2" s="1"/>
  <c r="BS90" i="2"/>
  <c r="BE92" i="2"/>
  <c r="OB180" i="2" l="1"/>
  <c r="OC179" i="2"/>
  <c r="OD179" i="2" s="1"/>
  <c r="OE179" i="2" s="1"/>
  <c r="OF179" i="2" s="1"/>
  <c r="KW179" i="2"/>
  <c r="KX179" i="2" s="1"/>
  <c r="KY179" i="2" s="1"/>
  <c r="KZ179" i="2" s="1"/>
  <c r="KV180" i="2"/>
  <c r="OW180" i="2"/>
  <c r="OX179" i="2"/>
  <c r="OY179" i="2" s="1"/>
  <c r="OZ179" i="2" s="1"/>
  <c r="PA179" i="2" s="1"/>
  <c r="JG179" i="2"/>
  <c r="JH179" i="2" s="1"/>
  <c r="JI179" i="2" s="1"/>
  <c r="JJ179" i="2" s="1"/>
  <c r="JF180" i="2"/>
  <c r="ML180" i="2"/>
  <c r="MM179" i="2"/>
  <c r="MN179" i="2" s="1"/>
  <c r="MO179" i="2" s="1"/>
  <c r="MP179" i="2" s="1"/>
  <c r="KA180" i="2"/>
  <c r="KB179" i="2"/>
  <c r="KC179" i="2" s="1"/>
  <c r="KD179" i="2" s="1"/>
  <c r="KE179" i="2" s="1"/>
  <c r="IL179" i="2"/>
  <c r="IM179" i="2" s="1"/>
  <c r="IN179" i="2" s="1"/>
  <c r="IO179" i="2" s="1"/>
  <c r="IK180" i="2"/>
  <c r="HP180" i="2"/>
  <c r="HQ179" i="2"/>
  <c r="HR179" i="2" s="1"/>
  <c r="HS179" i="2" s="1"/>
  <c r="HT179" i="2" s="1"/>
  <c r="LR179" i="2"/>
  <c r="LS179" i="2" s="1"/>
  <c r="LT179" i="2" s="1"/>
  <c r="LU179" i="2" s="1"/>
  <c r="LQ180" i="2"/>
  <c r="NG180" i="2"/>
  <c r="NH179" i="2"/>
  <c r="NI179" i="2" s="1"/>
  <c r="NJ179" i="2" s="1"/>
  <c r="NK179" i="2" s="1"/>
  <c r="GU180" i="2"/>
  <c r="GV179" i="2"/>
  <c r="GW179" i="2" s="1"/>
  <c r="GX179" i="2" s="1"/>
  <c r="GY179" i="2" s="1"/>
  <c r="FE180" i="2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AJ179" i="2"/>
  <c r="AK179" i="2" s="1"/>
  <c r="AL179" i="2" s="1"/>
  <c r="AM179" i="2" s="1"/>
  <c r="BF92" i="2"/>
  <c r="BG92" i="2" s="1"/>
  <c r="BH92" i="2" s="1"/>
  <c r="BE93" i="2"/>
  <c r="BS91" i="2"/>
  <c r="JF181" i="2" l="1"/>
  <c r="JG180" i="2"/>
  <c r="JH180" i="2" s="1"/>
  <c r="JI180" i="2" s="1"/>
  <c r="JJ180" i="2" s="1"/>
  <c r="KW180" i="2"/>
  <c r="KX180" i="2" s="1"/>
  <c r="KY180" i="2" s="1"/>
  <c r="KZ180" i="2" s="1"/>
  <c r="KV181" i="2"/>
  <c r="NG181" i="2"/>
  <c r="NH180" i="2"/>
  <c r="NI180" i="2" s="1"/>
  <c r="NJ180" i="2" s="1"/>
  <c r="NK180" i="2" s="1"/>
  <c r="HP181" i="2"/>
  <c r="HQ180" i="2"/>
  <c r="HR180" i="2" s="1"/>
  <c r="HS180" i="2" s="1"/>
  <c r="HT180" i="2" s="1"/>
  <c r="KA181" i="2"/>
  <c r="KB180" i="2"/>
  <c r="KC180" i="2" s="1"/>
  <c r="KD180" i="2" s="1"/>
  <c r="KE180" i="2" s="1"/>
  <c r="LQ181" i="2"/>
  <c r="LR180" i="2"/>
  <c r="LS180" i="2" s="1"/>
  <c r="LT180" i="2" s="1"/>
  <c r="LU180" i="2" s="1"/>
  <c r="IL180" i="2"/>
  <c r="IM180" i="2" s="1"/>
  <c r="IN180" i="2" s="1"/>
  <c r="IO180" i="2" s="1"/>
  <c r="IK181" i="2"/>
  <c r="ML181" i="2"/>
  <c r="MM180" i="2"/>
  <c r="MN180" i="2" s="1"/>
  <c r="MO180" i="2" s="1"/>
  <c r="MP180" i="2" s="1"/>
  <c r="OW181" i="2"/>
  <c r="OX180" i="2"/>
  <c r="OY180" i="2" s="1"/>
  <c r="OZ180" i="2" s="1"/>
  <c r="PA180" i="2" s="1"/>
  <c r="OC180" i="2"/>
  <c r="OD180" i="2" s="1"/>
  <c r="OE180" i="2" s="1"/>
  <c r="OF180" i="2" s="1"/>
  <c r="OB181" i="2"/>
  <c r="GU181" i="2"/>
  <c r="GV180" i="2"/>
  <c r="GW180" i="2" s="1"/>
  <c r="GX180" i="2" s="1"/>
  <c r="GY180" i="2" s="1"/>
  <c r="FE181" i="2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AJ180" i="2"/>
  <c r="AK180" i="2" s="1"/>
  <c r="AL180" i="2" s="1"/>
  <c r="AM180" i="2" s="1"/>
  <c r="BF93" i="2"/>
  <c r="BG93" i="2" s="1"/>
  <c r="BH93" i="2" s="1"/>
  <c r="BS92" i="2"/>
  <c r="BE94" i="2"/>
  <c r="OC181" i="2" l="1"/>
  <c r="OD181" i="2" s="1"/>
  <c r="OE181" i="2" s="1"/>
  <c r="OF181" i="2" s="1"/>
  <c r="OB182" i="2"/>
  <c r="KW181" i="2"/>
  <c r="KX181" i="2" s="1"/>
  <c r="KY181" i="2" s="1"/>
  <c r="KZ181" i="2" s="1"/>
  <c r="KV182" i="2"/>
  <c r="ML182" i="2"/>
  <c r="MM181" i="2"/>
  <c r="MN181" i="2" s="1"/>
  <c r="MO181" i="2" s="1"/>
  <c r="MP181" i="2" s="1"/>
  <c r="LQ182" i="2"/>
  <c r="LR181" i="2"/>
  <c r="LS181" i="2" s="1"/>
  <c r="LT181" i="2" s="1"/>
  <c r="LU181" i="2" s="1"/>
  <c r="HP182" i="2"/>
  <c r="HQ181" i="2"/>
  <c r="HR181" i="2" s="1"/>
  <c r="HS181" i="2" s="1"/>
  <c r="HT181" i="2" s="1"/>
  <c r="IL181" i="2"/>
  <c r="IM181" i="2" s="1"/>
  <c r="IN181" i="2" s="1"/>
  <c r="IO181" i="2" s="1"/>
  <c r="IK182" i="2"/>
  <c r="OW182" i="2"/>
  <c r="OX181" i="2"/>
  <c r="OY181" i="2" s="1"/>
  <c r="OZ181" i="2" s="1"/>
  <c r="PA181" i="2" s="1"/>
  <c r="KB181" i="2"/>
  <c r="KC181" i="2" s="1"/>
  <c r="KD181" i="2" s="1"/>
  <c r="KE181" i="2" s="1"/>
  <c r="KA182" i="2"/>
  <c r="NG182" i="2"/>
  <c r="NH181" i="2"/>
  <c r="NI181" i="2" s="1"/>
  <c r="NJ181" i="2" s="1"/>
  <c r="NK181" i="2" s="1"/>
  <c r="JF182" i="2"/>
  <c r="JG181" i="2"/>
  <c r="JH181" i="2" s="1"/>
  <c r="JI181" i="2" s="1"/>
  <c r="JJ181" i="2" s="1"/>
  <c r="GU182" i="2"/>
  <c r="GV181" i="2"/>
  <c r="GW181" i="2" s="1"/>
  <c r="GX181" i="2" s="1"/>
  <c r="GY181" i="2" s="1"/>
  <c r="FE182" i="2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AJ181" i="2"/>
  <c r="AK181" i="2" s="1"/>
  <c r="AL181" i="2" s="1"/>
  <c r="AM181" i="2" s="1"/>
  <c r="BF94" i="2"/>
  <c r="BG94" i="2" s="1"/>
  <c r="BH94" i="2" s="1"/>
  <c r="BE95" i="2"/>
  <c r="BS93" i="2"/>
  <c r="KB182" i="2" l="1"/>
  <c r="KC182" i="2" s="1"/>
  <c r="KD182" i="2" s="1"/>
  <c r="KE182" i="2" s="1"/>
  <c r="KA183" i="2"/>
  <c r="IL182" i="2"/>
  <c r="IM182" i="2" s="1"/>
  <c r="IN182" i="2" s="1"/>
  <c r="IO182" i="2" s="1"/>
  <c r="IK183" i="2"/>
  <c r="KW182" i="2"/>
  <c r="KX182" i="2" s="1"/>
  <c r="KY182" i="2" s="1"/>
  <c r="KZ182" i="2" s="1"/>
  <c r="KV183" i="2"/>
  <c r="JG182" i="2"/>
  <c r="JH182" i="2" s="1"/>
  <c r="JI182" i="2" s="1"/>
  <c r="JJ182" i="2" s="1"/>
  <c r="JF183" i="2"/>
  <c r="LQ183" i="2"/>
  <c r="LR182" i="2"/>
  <c r="LS182" i="2" s="1"/>
  <c r="LT182" i="2" s="1"/>
  <c r="LU182" i="2" s="1"/>
  <c r="OC182" i="2"/>
  <c r="OD182" i="2" s="1"/>
  <c r="OE182" i="2" s="1"/>
  <c r="OF182" i="2" s="1"/>
  <c r="OB183" i="2"/>
  <c r="NG183" i="2"/>
  <c r="NH182" i="2"/>
  <c r="NI182" i="2" s="1"/>
  <c r="NJ182" i="2" s="1"/>
  <c r="NK182" i="2" s="1"/>
  <c r="OW183" i="2"/>
  <c r="OX182" i="2"/>
  <c r="OY182" i="2" s="1"/>
  <c r="OZ182" i="2" s="1"/>
  <c r="PA182" i="2" s="1"/>
  <c r="HP183" i="2"/>
  <c r="HQ182" i="2"/>
  <c r="HR182" i="2" s="1"/>
  <c r="HS182" i="2" s="1"/>
  <c r="HT182" i="2" s="1"/>
  <c r="ML183" i="2"/>
  <c r="MM182" i="2"/>
  <c r="MN182" i="2" s="1"/>
  <c r="MO182" i="2" s="1"/>
  <c r="MP182" i="2" s="1"/>
  <c r="GU183" i="2"/>
  <c r="GV182" i="2"/>
  <c r="GW182" i="2" s="1"/>
  <c r="GX182" i="2" s="1"/>
  <c r="GY182" i="2" s="1"/>
  <c r="FE183" i="2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AJ182" i="2"/>
  <c r="AK182" i="2" s="1"/>
  <c r="AL182" i="2" s="1"/>
  <c r="AM182" i="2" s="1"/>
  <c r="BF95" i="2"/>
  <c r="BG95" i="2" s="1"/>
  <c r="BH95" i="2" s="1"/>
  <c r="BS94" i="2"/>
  <c r="BE96" i="2"/>
  <c r="OC183" i="2" l="1"/>
  <c r="OD183" i="2" s="1"/>
  <c r="OE183" i="2" s="1"/>
  <c r="OF183" i="2" s="1"/>
  <c r="OB184" i="2"/>
  <c r="JG183" i="2"/>
  <c r="JH183" i="2" s="1"/>
  <c r="JI183" i="2" s="1"/>
  <c r="JJ183" i="2" s="1"/>
  <c r="JF184" i="2"/>
  <c r="IL183" i="2"/>
  <c r="IM183" i="2" s="1"/>
  <c r="IN183" i="2" s="1"/>
  <c r="IO183" i="2" s="1"/>
  <c r="IK184" i="2"/>
  <c r="ML184" i="2"/>
  <c r="MM183" i="2"/>
  <c r="MN183" i="2" s="1"/>
  <c r="MO183" i="2" s="1"/>
  <c r="MP183" i="2" s="1"/>
  <c r="OW184" i="2"/>
  <c r="OX183" i="2"/>
  <c r="OY183" i="2" s="1"/>
  <c r="OZ183" i="2" s="1"/>
  <c r="PA183" i="2" s="1"/>
  <c r="KW183" i="2"/>
  <c r="KX183" i="2" s="1"/>
  <c r="KY183" i="2" s="1"/>
  <c r="KZ183" i="2" s="1"/>
  <c r="KV184" i="2"/>
  <c r="KA184" i="2"/>
  <c r="KB183" i="2"/>
  <c r="KC183" i="2" s="1"/>
  <c r="KD183" i="2" s="1"/>
  <c r="KE183" i="2" s="1"/>
  <c r="HP184" i="2"/>
  <c r="HQ183" i="2"/>
  <c r="HR183" i="2" s="1"/>
  <c r="HS183" i="2" s="1"/>
  <c r="HT183" i="2" s="1"/>
  <c r="NG184" i="2"/>
  <c r="NH183" i="2"/>
  <c r="NI183" i="2" s="1"/>
  <c r="NJ183" i="2" s="1"/>
  <c r="NK183" i="2" s="1"/>
  <c r="LQ184" i="2"/>
  <c r="LR183" i="2"/>
  <c r="LS183" i="2" s="1"/>
  <c r="LT183" i="2" s="1"/>
  <c r="LU183" i="2" s="1"/>
  <c r="GU184" i="2"/>
  <c r="GV183" i="2"/>
  <c r="GW183" i="2" s="1"/>
  <c r="GX183" i="2" s="1"/>
  <c r="GY183" i="2" s="1"/>
  <c r="FE184" i="2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AJ183" i="2"/>
  <c r="AK183" i="2" s="1"/>
  <c r="AL183" i="2" s="1"/>
  <c r="AM183" i="2" s="1"/>
  <c r="BF96" i="2"/>
  <c r="BG96" i="2" s="1"/>
  <c r="BH96" i="2" s="1"/>
  <c r="BE97" i="2"/>
  <c r="BS95" i="2"/>
  <c r="KW184" i="2" l="1"/>
  <c r="KX184" i="2" s="1"/>
  <c r="KY184" i="2" s="1"/>
  <c r="KZ184" i="2" s="1"/>
  <c r="KV185" i="2"/>
  <c r="JF185" i="2"/>
  <c r="JG184" i="2"/>
  <c r="JH184" i="2" s="1"/>
  <c r="JI184" i="2" s="1"/>
  <c r="JJ184" i="2" s="1"/>
  <c r="LQ185" i="2"/>
  <c r="LR184" i="2"/>
  <c r="LS184" i="2" s="1"/>
  <c r="LT184" i="2" s="1"/>
  <c r="LU184" i="2" s="1"/>
  <c r="HP185" i="2"/>
  <c r="HQ184" i="2"/>
  <c r="HR184" i="2" s="1"/>
  <c r="HS184" i="2" s="1"/>
  <c r="HT184" i="2" s="1"/>
  <c r="ML185" i="2"/>
  <c r="MM184" i="2"/>
  <c r="MN184" i="2" s="1"/>
  <c r="MO184" i="2" s="1"/>
  <c r="MP184" i="2" s="1"/>
  <c r="IL184" i="2"/>
  <c r="IM184" i="2" s="1"/>
  <c r="IN184" i="2" s="1"/>
  <c r="IO184" i="2" s="1"/>
  <c r="IK185" i="2"/>
  <c r="OC184" i="2"/>
  <c r="OD184" i="2" s="1"/>
  <c r="OE184" i="2" s="1"/>
  <c r="OF184" i="2" s="1"/>
  <c r="OB185" i="2"/>
  <c r="NG185" i="2"/>
  <c r="NH184" i="2"/>
  <c r="NI184" i="2" s="1"/>
  <c r="NJ184" i="2" s="1"/>
  <c r="NK184" i="2" s="1"/>
  <c r="KA185" i="2"/>
  <c r="KB184" i="2"/>
  <c r="KC184" i="2" s="1"/>
  <c r="KD184" i="2" s="1"/>
  <c r="KE184" i="2" s="1"/>
  <c r="OW185" i="2"/>
  <c r="OX184" i="2"/>
  <c r="OY184" i="2" s="1"/>
  <c r="OZ184" i="2" s="1"/>
  <c r="PA184" i="2" s="1"/>
  <c r="GU185" i="2"/>
  <c r="GV184" i="2"/>
  <c r="GW184" i="2" s="1"/>
  <c r="GX184" i="2" s="1"/>
  <c r="GY184" i="2" s="1"/>
  <c r="FE185" i="2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AJ184" i="2"/>
  <c r="AK184" i="2" s="1"/>
  <c r="AL184" i="2" s="1"/>
  <c r="AM184" i="2" s="1"/>
  <c r="BF97" i="2"/>
  <c r="BG97" i="2" s="1"/>
  <c r="BH97" i="2" s="1"/>
  <c r="BS96" i="2"/>
  <c r="BE98" i="2"/>
  <c r="IL185" i="2" l="1"/>
  <c r="IM185" i="2" s="1"/>
  <c r="IN185" i="2" s="1"/>
  <c r="IO185" i="2" s="1"/>
  <c r="IK186" i="2"/>
  <c r="OW186" i="2"/>
  <c r="OX185" i="2"/>
  <c r="OY185" i="2" s="1"/>
  <c r="OZ185" i="2" s="1"/>
  <c r="PA185" i="2" s="1"/>
  <c r="NG186" i="2"/>
  <c r="NH185" i="2"/>
  <c r="NI185" i="2" s="1"/>
  <c r="NJ185" i="2" s="1"/>
  <c r="NK185" i="2" s="1"/>
  <c r="HP186" i="2"/>
  <c r="HQ185" i="2"/>
  <c r="HR185" i="2" s="1"/>
  <c r="HS185" i="2" s="1"/>
  <c r="HT185" i="2" s="1"/>
  <c r="JG185" i="2"/>
  <c r="JH185" i="2" s="1"/>
  <c r="JI185" i="2" s="1"/>
  <c r="JJ185" i="2" s="1"/>
  <c r="JF186" i="2"/>
  <c r="OB186" i="2"/>
  <c r="OC185" i="2"/>
  <c r="OD185" i="2" s="1"/>
  <c r="OE185" i="2" s="1"/>
  <c r="OF185" i="2" s="1"/>
  <c r="KW185" i="2"/>
  <c r="KX185" i="2" s="1"/>
  <c r="KY185" i="2" s="1"/>
  <c r="KZ185" i="2" s="1"/>
  <c r="KV186" i="2"/>
  <c r="KA186" i="2"/>
  <c r="KB185" i="2"/>
  <c r="KC185" i="2" s="1"/>
  <c r="KD185" i="2" s="1"/>
  <c r="KE185" i="2" s="1"/>
  <c r="ML186" i="2"/>
  <c r="MM185" i="2"/>
  <c r="MN185" i="2" s="1"/>
  <c r="MO185" i="2" s="1"/>
  <c r="MP185" i="2" s="1"/>
  <c r="LR185" i="2"/>
  <c r="LS185" i="2" s="1"/>
  <c r="LT185" i="2" s="1"/>
  <c r="LU185" i="2" s="1"/>
  <c r="LQ186" i="2"/>
  <c r="GU186" i="2"/>
  <c r="GV185" i="2"/>
  <c r="GW185" i="2" s="1"/>
  <c r="GX185" i="2" s="1"/>
  <c r="GY185" i="2" s="1"/>
  <c r="FE186" i="2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AJ185" i="2"/>
  <c r="AK185" i="2" s="1"/>
  <c r="AL185" i="2" s="1"/>
  <c r="AM185" i="2" s="1"/>
  <c r="BF98" i="2"/>
  <c r="BG98" i="2" s="1"/>
  <c r="BH98" i="2" s="1"/>
  <c r="BE99" i="2"/>
  <c r="BS97" i="2"/>
  <c r="LQ187" i="2" l="1"/>
  <c r="LR186" i="2"/>
  <c r="LS186" i="2" s="1"/>
  <c r="LT186" i="2" s="1"/>
  <c r="LU186" i="2" s="1"/>
  <c r="KB186" i="2"/>
  <c r="KC186" i="2" s="1"/>
  <c r="KD186" i="2" s="1"/>
  <c r="KE186" i="2" s="1"/>
  <c r="KA187" i="2"/>
  <c r="OC186" i="2"/>
  <c r="OD186" i="2" s="1"/>
  <c r="OE186" i="2" s="1"/>
  <c r="OF186" i="2" s="1"/>
  <c r="OB187" i="2"/>
  <c r="HP187" i="2"/>
  <c r="HQ186" i="2"/>
  <c r="HR186" i="2" s="1"/>
  <c r="HS186" i="2" s="1"/>
  <c r="HT186" i="2" s="1"/>
  <c r="OW187" i="2"/>
  <c r="OX186" i="2"/>
  <c r="OY186" i="2" s="1"/>
  <c r="OZ186" i="2" s="1"/>
  <c r="PA186" i="2" s="1"/>
  <c r="KW186" i="2"/>
  <c r="KX186" i="2" s="1"/>
  <c r="KY186" i="2" s="1"/>
  <c r="KZ186" i="2" s="1"/>
  <c r="KV187" i="2"/>
  <c r="JF187" i="2"/>
  <c r="JG186" i="2"/>
  <c r="JH186" i="2" s="1"/>
  <c r="JI186" i="2" s="1"/>
  <c r="JJ186" i="2" s="1"/>
  <c r="IL186" i="2"/>
  <c r="IM186" i="2" s="1"/>
  <c r="IN186" i="2" s="1"/>
  <c r="IO186" i="2" s="1"/>
  <c r="IK187" i="2"/>
  <c r="ML187" i="2"/>
  <c r="MM186" i="2"/>
  <c r="MN186" i="2" s="1"/>
  <c r="MO186" i="2" s="1"/>
  <c r="MP186" i="2" s="1"/>
  <c r="NG187" i="2"/>
  <c r="NH186" i="2"/>
  <c r="NI186" i="2" s="1"/>
  <c r="NJ186" i="2" s="1"/>
  <c r="NK186" i="2" s="1"/>
  <c r="GU187" i="2"/>
  <c r="GV186" i="2"/>
  <c r="GW186" i="2" s="1"/>
  <c r="GX186" i="2" s="1"/>
  <c r="GY186" i="2" s="1"/>
  <c r="FE187" i="2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AJ186" i="2"/>
  <c r="AK186" i="2" s="1"/>
  <c r="AL186" i="2" s="1"/>
  <c r="AM186" i="2" s="1"/>
  <c r="BF99" i="2"/>
  <c r="BG99" i="2" s="1"/>
  <c r="BH99" i="2" s="1"/>
  <c r="BS98" i="2"/>
  <c r="BE100" i="2"/>
  <c r="IL187" i="2" l="1"/>
  <c r="IM187" i="2" s="1"/>
  <c r="IN187" i="2" s="1"/>
  <c r="IO187" i="2" s="1"/>
  <c r="IK188" i="2"/>
  <c r="KV188" i="2"/>
  <c r="KW187" i="2"/>
  <c r="KX187" i="2" s="1"/>
  <c r="KY187" i="2" s="1"/>
  <c r="KZ187" i="2" s="1"/>
  <c r="KB187" i="2"/>
  <c r="KC187" i="2" s="1"/>
  <c r="KD187" i="2" s="1"/>
  <c r="KE187" i="2" s="1"/>
  <c r="KA188" i="2"/>
  <c r="NG188" i="2"/>
  <c r="NH187" i="2"/>
  <c r="NI187" i="2" s="1"/>
  <c r="NJ187" i="2" s="1"/>
  <c r="NK187" i="2" s="1"/>
  <c r="HP188" i="2"/>
  <c r="HQ187" i="2"/>
  <c r="HR187" i="2" s="1"/>
  <c r="HS187" i="2" s="1"/>
  <c r="HT187" i="2" s="1"/>
  <c r="OB188" i="2"/>
  <c r="OC187" i="2"/>
  <c r="OD187" i="2" s="1"/>
  <c r="OE187" i="2" s="1"/>
  <c r="OF187" i="2" s="1"/>
  <c r="ML188" i="2"/>
  <c r="MM187" i="2"/>
  <c r="MN187" i="2" s="1"/>
  <c r="MO187" i="2" s="1"/>
  <c r="MP187" i="2" s="1"/>
  <c r="JG187" i="2"/>
  <c r="JH187" i="2" s="1"/>
  <c r="JI187" i="2" s="1"/>
  <c r="JJ187" i="2" s="1"/>
  <c r="JF188" i="2"/>
  <c r="OW188" i="2"/>
  <c r="OX187" i="2"/>
  <c r="OY187" i="2" s="1"/>
  <c r="OZ187" i="2" s="1"/>
  <c r="PA187" i="2" s="1"/>
  <c r="LR187" i="2"/>
  <c r="LS187" i="2" s="1"/>
  <c r="LT187" i="2" s="1"/>
  <c r="LU187" i="2" s="1"/>
  <c r="LQ188" i="2"/>
  <c r="GU188" i="2"/>
  <c r="GV187" i="2"/>
  <c r="GW187" i="2" s="1"/>
  <c r="GX187" i="2" s="1"/>
  <c r="GY187" i="2" s="1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AJ187" i="2"/>
  <c r="AK187" i="2" s="1"/>
  <c r="AL187" i="2" s="1"/>
  <c r="AM187" i="2" s="1"/>
  <c r="BF100" i="2"/>
  <c r="BG100" i="2" s="1"/>
  <c r="BH100" i="2" s="1"/>
  <c r="BE101" i="2"/>
  <c r="BS99" i="2"/>
  <c r="LQ189" i="2" l="1"/>
  <c r="LR188" i="2"/>
  <c r="LS188" i="2" s="1"/>
  <c r="LT188" i="2" s="1"/>
  <c r="LU188" i="2" s="1"/>
  <c r="JG188" i="2"/>
  <c r="JH188" i="2" s="1"/>
  <c r="JI188" i="2" s="1"/>
  <c r="JJ188" i="2" s="1"/>
  <c r="JF189" i="2"/>
  <c r="OC188" i="2"/>
  <c r="OD188" i="2" s="1"/>
  <c r="OE188" i="2" s="1"/>
  <c r="OF188" i="2" s="1"/>
  <c r="OB189" i="2"/>
  <c r="NG189" i="2"/>
  <c r="NH188" i="2"/>
  <c r="NI188" i="2" s="1"/>
  <c r="NJ188" i="2" s="1"/>
  <c r="NK188" i="2" s="1"/>
  <c r="KW188" i="2"/>
  <c r="KX188" i="2" s="1"/>
  <c r="KY188" i="2" s="1"/>
  <c r="KZ188" i="2" s="1"/>
  <c r="KV189" i="2"/>
  <c r="KB188" i="2"/>
  <c r="KC188" i="2" s="1"/>
  <c r="KD188" i="2" s="1"/>
  <c r="KE188" i="2" s="1"/>
  <c r="KA189" i="2"/>
  <c r="IL188" i="2"/>
  <c r="IM188" i="2" s="1"/>
  <c r="IN188" i="2" s="1"/>
  <c r="IO188" i="2" s="1"/>
  <c r="IK189" i="2"/>
  <c r="OW189" i="2"/>
  <c r="OX188" i="2"/>
  <c r="OY188" i="2" s="1"/>
  <c r="OZ188" i="2" s="1"/>
  <c r="PA188" i="2" s="1"/>
  <c r="ML189" i="2"/>
  <c r="MM188" i="2"/>
  <c r="MN188" i="2" s="1"/>
  <c r="MO188" i="2" s="1"/>
  <c r="MP188" i="2" s="1"/>
  <c r="HP189" i="2"/>
  <c r="HQ188" i="2"/>
  <c r="HR188" i="2" s="1"/>
  <c r="HS188" i="2" s="1"/>
  <c r="HT188" i="2" s="1"/>
  <c r="GU189" i="2"/>
  <c r="GV188" i="2"/>
  <c r="GW188" i="2" s="1"/>
  <c r="GX188" i="2" s="1"/>
  <c r="GY188" i="2" s="1"/>
  <c r="FE189" i="2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AJ188" i="2"/>
  <c r="AK188" i="2" s="1"/>
  <c r="AL188" i="2" s="1"/>
  <c r="AM188" i="2" s="1"/>
  <c r="BF101" i="2"/>
  <c r="BG101" i="2" s="1"/>
  <c r="BH101" i="2" s="1"/>
  <c r="BS100" i="2"/>
  <c r="BE102" i="2"/>
  <c r="KB189" i="2" l="1"/>
  <c r="KC189" i="2" s="1"/>
  <c r="KD189" i="2" s="1"/>
  <c r="KE189" i="2" s="1"/>
  <c r="KA190" i="2"/>
  <c r="JF190" i="2"/>
  <c r="JG189" i="2"/>
  <c r="JH189" i="2" s="1"/>
  <c r="JI189" i="2" s="1"/>
  <c r="JJ189" i="2" s="1"/>
  <c r="HP190" i="2"/>
  <c r="HQ189" i="2"/>
  <c r="HR189" i="2" s="1"/>
  <c r="HS189" i="2" s="1"/>
  <c r="HT189" i="2" s="1"/>
  <c r="OW190" i="2"/>
  <c r="OX189" i="2"/>
  <c r="OY189" i="2" s="1"/>
  <c r="OZ189" i="2" s="1"/>
  <c r="PA189" i="2" s="1"/>
  <c r="NG190" i="2"/>
  <c r="NH189" i="2"/>
  <c r="NI189" i="2" s="1"/>
  <c r="NJ189" i="2" s="1"/>
  <c r="NK189" i="2" s="1"/>
  <c r="IL189" i="2"/>
  <c r="IM189" i="2" s="1"/>
  <c r="IN189" i="2" s="1"/>
  <c r="IO189" i="2" s="1"/>
  <c r="IK190" i="2"/>
  <c r="KW189" i="2"/>
  <c r="KX189" i="2" s="1"/>
  <c r="KY189" i="2" s="1"/>
  <c r="KZ189" i="2" s="1"/>
  <c r="KV190" i="2"/>
  <c r="OC189" i="2"/>
  <c r="OD189" i="2" s="1"/>
  <c r="OE189" i="2" s="1"/>
  <c r="OF189" i="2" s="1"/>
  <c r="OB190" i="2"/>
  <c r="ML190" i="2"/>
  <c r="MM189" i="2"/>
  <c r="MN189" i="2" s="1"/>
  <c r="MO189" i="2" s="1"/>
  <c r="MP189" i="2" s="1"/>
  <c r="LQ190" i="2"/>
  <c r="LR189" i="2"/>
  <c r="LS189" i="2" s="1"/>
  <c r="LT189" i="2" s="1"/>
  <c r="LU189" i="2" s="1"/>
  <c r="GU190" i="2"/>
  <c r="GV189" i="2"/>
  <c r="GW189" i="2" s="1"/>
  <c r="GX189" i="2" s="1"/>
  <c r="GY189" i="2" s="1"/>
  <c r="FE190" i="2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AJ189" i="2"/>
  <c r="AK189" i="2" s="1"/>
  <c r="AL189" i="2" s="1"/>
  <c r="AM189" i="2" s="1"/>
  <c r="BF102" i="2"/>
  <c r="BG102" i="2" s="1"/>
  <c r="BH102" i="2" s="1"/>
  <c r="BE103" i="2"/>
  <c r="BS101" i="2"/>
  <c r="OC190" i="2" l="1"/>
  <c r="OD190" i="2" s="1"/>
  <c r="OE190" i="2" s="1"/>
  <c r="OF190" i="2" s="1"/>
  <c r="OB191" i="2"/>
  <c r="IL190" i="2"/>
  <c r="IM190" i="2" s="1"/>
  <c r="IN190" i="2" s="1"/>
  <c r="IO190" i="2" s="1"/>
  <c r="IK191" i="2"/>
  <c r="LQ191" i="2"/>
  <c r="LR190" i="2"/>
  <c r="LS190" i="2" s="1"/>
  <c r="LT190" i="2" s="1"/>
  <c r="LU190" i="2" s="1"/>
  <c r="OW191" i="2"/>
  <c r="OX190" i="2"/>
  <c r="OY190" i="2" s="1"/>
  <c r="OZ190" i="2" s="1"/>
  <c r="PA190" i="2" s="1"/>
  <c r="JG190" i="2"/>
  <c r="JH190" i="2" s="1"/>
  <c r="JI190" i="2" s="1"/>
  <c r="JJ190" i="2" s="1"/>
  <c r="JF191" i="2"/>
  <c r="KW190" i="2"/>
  <c r="KX190" i="2" s="1"/>
  <c r="KY190" i="2" s="1"/>
  <c r="KZ190" i="2" s="1"/>
  <c r="KV191" i="2"/>
  <c r="KA191" i="2"/>
  <c r="KB190" i="2"/>
  <c r="KC190" i="2" s="1"/>
  <c r="KD190" i="2" s="1"/>
  <c r="KE190" i="2" s="1"/>
  <c r="ML191" i="2"/>
  <c r="MM190" i="2"/>
  <c r="MN190" i="2" s="1"/>
  <c r="MO190" i="2" s="1"/>
  <c r="MP190" i="2" s="1"/>
  <c r="NG191" i="2"/>
  <c r="NH190" i="2"/>
  <c r="NI190" i="2" s="1"/>
  <c r="NJ190" i="2" s="1"/>
  <c r="NK190" i="2" s="1"/>
  <c r="HP191" i="2"/>
  <c r="HQ190" i="2"/>
  <c r="HR190" i="2" s="1"/>
  <c r="HS190" i="2" s="1"/>
  <c r="HT190" i="2" s="1"/>
  <c r="GU191" i="2"/>
  <c r="GV190" i="2"/>
  <c r="GW190" i="2" s="1"/>
  <c r="GX190" i="2" s="1"/>
  <c r="GY190" i="2" s="1"/>
  <c r="FE191" i="2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AJ190" i="2"/>
  <c r="AK190" i="2" s="1"/>
  <c r="AL190" i="2" s="1"/>
  <c r="AM190" i="2" s="1"/>
  <c r="BF103" i="2"/>
  <c r="BG103" i="2" s="1"/>
  <c r="BH103" i="2" s="1"/>
  <c r="BS102" i="2"/>
  <c r="BE104" i="2"/>
  <c r="KW191" i="2" l="1"/>
  <c r="KX191" i="2" s="1"/>
  <c r="KY191" i="2" s="1"/>
  <c r="KZ191" i="2" s="1"/>
  <c r="KV192" i="2"/>
  <c r="IL191" i="2"/>
  <c r="IM191" i="2" s="1"/>
  <c r="IN191" i="2" s="1"/>
  <c r="IO191" i="2" s="1"/>
  <c r="IK192" i="2"/>
  <c r="HP192" i="2"/>
  <c r="HQ191" i="2"/>
  <c r="HR191" i="2" s="1"/>
  <c r="HS191" i="2" s="1"/>
  <c r="HT191" i="2" s="1"/>
  <c r="ML192" i="2"/>
  <c r="MM191" i="2"/>
  <c r="MN191" i="2" s="1"/>
  <c r="MO191" i="2" s="1"/>
  <c r="MP191" i="2" s="1"/>
  <c r="OW192" i="2"/>
  <c r="OX191" i="2"/>
  <c r="OY191" i="2" s="1"/>
  <c r="OZ191" i="2" s="1"/>
  <c r="PA191" i="2" s="1"/>
  <c r="JG191" i="2"/>
  <c r="JH191" i="2" s="1"/>
  <c r="JI191" i="2" s="1"/>
  <c r="JJ191" i="2" s="1"/>
  <c r="JF192" i="2"/>
  <c r="OC191" i="2"/>
  <c r="OD191" i="2" s="1"/>
  <c r="OE191" i="2" s="1"/>
  <c r="OF191" i="2" s="1"/>
  <c r="OB192" i="2"/>
  <c r="NG192" i="2"/>
  <c r="NH191" i="2"/>
  <c r="NI191" i="2" s="1"/>
  <c r="NJ191" i="2" s="1"/>
  <c r="NK191" i="2" s="1"/>
  <c r="KA192" i="2"/>
  <c r="KB191" i="2"/>
  <c r="KC191" i="2" s="1"/>
  <c r="KD191" i="2" s="1"/>
  <c r="KE191" i="2" s="1"/>
  <c r="LQ192" i="2"/>
  <c r="LR191" i="2"/>
  <c r="LS191" i="2" s="1"/>
  <c r="LT191" i="2" s="1"/>
  <c r="LU191" i="2" s="1"/>
  <c r="GU192" i="2"/>
  <c r="GV191" i="2"/>
  <c r="GW191" i="2" s="1"/>
  <c r="GX191" i="2" s="1"/>
  <c r="GY191" i="2" s="1"/>
  <c r="BI47" i="2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AJ191" i="2"/>
  <c r="AK191" i="2" s="1"/>
  <c r="AL191" i="2" s="1"/>
  <c r="AM191" i="2" s="1"/>
  <c r="BF104" i="2"/>
  <c r="BG104" i="2" s="1"/>
  <c r="BH104" i="2" s="1"/>
  <c r="BE105" i="2"/>
  <c r="BS103" i="2"/>
  <c r="JF193" i="2" l="1"/>
  <c r="JG192" i="2"/>
  <c r="JH192" i="2" s="1"/>
  <c r="JI192" i="2" s="1"/>
  <c r="JJ192" i="2" s="1"/>
  <c r="IL192" i="2"/>
  <c r="IM192" i="2" s="1"/>
  <c r="IN192" i="2" s="1"/>
  <c r="IO192" i="2" s="1"/>
  <c r="IK193" i="2"/>
  <c r="LQ193" i="2"/>
  <c r="LR192" i="2"/>
  <c r="LS192" i="2" s="1"/>
  <c r="LT192" i="2" s="1"/>
  <c r="LU192" i="2" s="1"/>
  <c r="NH192" i="2"/>
  <c r="NI192" i="2" s="1"/>
  <c r="NJ192" i="2" s="1"/>
  <c r="NK192" i="2" s="1"/>
  <c r="NG193" i="2"/>
  <c r="ML193" i="2"/>
  <c r="MM192" i="2"/>
  <c r="MN192" i="2" s="1"/>
  <c r="MO192" i="2" s="1"/>
  <c r="MP192" i="2" s="1"/>
  <c r="OC192" i="2"/>
  <c r="OD192" i="2" s="1"/>
  <c r="OE192" i="2" s="1"/>
  <c r="OF192" i="2" s="1"/>
  <c r="OB193" i="2"/>
  <c r="KV193" i="2"/>
  <c r="KW192" i="2"/>
  <c r="KX192" i="2" s="1"/>
  <c r="KY192" i="2" s="1"/>
  <c r="KZ192" i="2" s="1"/>
  <c r="KB192" i="2"/>
  <c r="KC192" i="2" s="1"/>
  <c r="KD192" i="2" s="1"/>
  <c r="KE192" i="2" s="1"/>
  <c r="KA193" i="2"/>
  <c r="OW193" i="2"/>
  <c r="OX192" i="2"/>
  <c r="OY192" i="2" s="1"/>
  <c r="OZ192" i="2" s="1"/>
  <c r="PA192" i="2" s="1"/>
  <c r="HP193" i="2"/>
  <c r="HQ192" i="2"/>
  <c r="HR192" i="2" s="1"/>
  <c r="HS192" i="2" s="1"/>
  <c r="HT192" i="2" s="1"/>
  <c r="GU193" i="2"/>
  <c r="GV192" i="2"/>
  <c r="GW192" i="2" s="1"/>
  <c r="GX192" i="2" s="1"/>
  <c r="GY192" i="2" s="1"/>
  <c r="FE193" i="2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AJ192" i="2"/>
  <c r="AK192" i="2" s="1"/>
  <c r="AL192" i="2" s="1"/>
  <c r="AM192" i="2" s="1"/>
  <c r="BF105" i="2"/>
  <c r="BG105" i="2" s="1"/>
  <c r="BH105" i="2" s="1"/>
  <c r="BS104" i="2"/>
  <c r="BE106" i="2"/>
  <c r="KA194" i="2" l="1"/>
  <c r="KB193" i="2"/>
  <c r="KC193" i="2" s="1"/>
  <c r="KD193" i="2" s="1"/>
  <c r="KE193" i="2" s="1"/>
  <c r="OC193" i="2"/>
  <c r="OD193" i="2" s="1"/>
  <c r="OE193" i="2" s="1"/>
  <c r="OF193" i="2" s="1"/>
  <c r="OB194" i="2"/>
  <c r="NH193" i="2"/>
  <c r="NI193" i="2" s="1"/>
  <c r="NJ193" i="2" s="1"/>
  <c r="NK193" i="2" s="1"/>
  <c r="NG194" i="2"/>
  <c r="IL193" i="2"/>
  <c r="IM193" i="2" s="1"/>
  <c r="IN193" i="2" s="1"/>
  <c r="IO193" i="2" s="1"/>
  <c r="IK194" i="2"/>
  <c r="HP194" i="2"/>
  <c r="HQ193" i="2"/>
  <c r="HR193" i="2" s="1"/>
  <c r="HS193" i="2" s="1"/>
  <c r="HT193" i="2" s="1"/>
  <c r="OW194" i="2"/>
  <c r="OX193" i="2"/>
  <c r="OY193" i="2" s="1"/>
  <c r="OZ193" i="2" s="1"/>
  <c r="PA193" i="2" s="1"/>
  <c r="KW193" i="2"/>
  <c r="KX193" i="2" s="1"/>
  <c r="KY193" i="2" s="1"/>
  <c r="KZ193" i="2" s="1"/>
  <c r="KV194" i="2"/>
  <c r="ML194" i="2"/>
  <c r="MM193" i="2"/>
  <c r="MN193" i="2" s="1"/>
  <c r="MO193" i="2" s="1"/>
  <c r="MP193" i="2" s="1"/>
  <c r="LQ194" i="2"/>
  <c r="LR193" i="2"/>
  <c r="LS193" i="2" s="1"/>
  <c r="LT193" i="2" s="1"/>
  <c r="LU193" i="2" s="1"/>
  <c r="JF194" i="2"/>
  <c r="JG193" i="2"/>
  <c r="JH193" i="2" s="1"/>
  <c r="JI193" i="2" s="1"/>
  <c r="JJ193" i="2" s="1"/>
  <c r="GU194" i="2"/>
  <c r="GV193" i="2"/>
  <c r="GW193" i="2" s="1"/>
  <c r="GX193" i="2" s="1"/>
  <c r="GY193" i="2" s="1"/>
  <c r="FE194" i="2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AJ193" i="2"/>
  <c r="AK193" i="2" s="1"/>
  <c r="AL193" i="2" s="1"/>
  <c r="AM193" i="2" s="1"/>
  <c r="BF106" i="2"/>
  <c r="BG106" i="2" s="1"/>
  <c r="BH106" i="2" s="1"/>
  <c r="BE107" i="2"/>
  <c r="BS105" i="2"/>
  <c r="IL194" i="2" l="1"/>
  <c r="IM194" i="2" s="1"/>
  <c r="IN194" i="2" s="1"/>
  <c r="IO194" i="2" s="1"/>
  <c r="IK195" i="2"/>
  <c r="OB195" i="2"/>
  <c r="OC194" i="2"/>
  <c r="OD194" i="2" s="1"/>
  <c r="OE194" i="2" s="1"/>
  <c r="OF194" i="2" s="1"/>
  <c r="JF195" i="2"/>
  <c r="JG194" i="2"/>
  <c r="JH194" i="2" s="1"/>
  <c r="JI194" i="2" s="1"/>
  <c r="JJ194" i="2" s="1"/>
  <c r="ML195" i="2"/>
  <c r="MM194" i="2"/>
  <c r="MN194" i="2" s="1"/>
  <c r="MO194" i="2" s="1"/>
  <c r="MP194" i="2" s="1"/>
  <c r="OW195" i="2"/>
  <c r="OX194" i="2"/>
  <c r="OY194" i="2" s="1"/>
  <c r="OZ194" i="2" s="1"/>
  <c r="PA194" i="2" s="1"/>
  <c r="KW194" i="2"/>
  <c r="KX194" i="2" s="1"/>
  <c r="KY194" i="2" s="1"/>
  <c r="KZ194" i="2" s="1"/>
  <c r="KV195" i="2"/>
  <c r="NG195" i="2"/>
  <c r="NH194" i="2"/>
  <c r="NI194" i="2" s="1"/>
  <c r="NJ194" i="2" s="1"/>
  <c r="NK194" i="2" s="1"/>
  <c r="LQ195" i="2"/>
  <c r="LR194" i="2"/>
  <c r="LS194" i="2" s="1"/>
  <c r="LT194" i="2" s="1"/>
  <c r="LU194" i="2" s="1"/>
  <c r="HP195" i="2"/>
  <c r="HQ194" i="2"/>
  <c r="HR194" i="2" s="1"/>
  <c r="HS194" i="2" s="1"/>
  <c r="HT194" i="2" s="1"/>
  <c r="KA195" i="2"/>
  <c r="KB194" i="2"/>
  <c r="KC194" i="2" s="1"/>
  <c r="KD194" i="2" s="1"/>
  <c r="KE194" i="2" s="1"/>
  <c r="GU195" i="2"/>
  <c r="GV194" i="2"/>
  <c r="GW194" i="2" s="1"/>
  <c r="GX194" i="2" s="1"/>
  <c r="GY194" i="2" s="1"/>
  <c r="FE195" i="2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AJ194" i="2"/>
  <c r="AK194" i="2" s="1"/>
  <c r="AL194" i="2" s="1"/>
  <c r="AM194" i="2" s="1"/>
  <c r="BF107" i="2"/>
  <c r="BG107" i="2" s="1"/>
  <c r="BH107" i="2" s="1"/>
  <c r="BS106" i="2"/>
  <c r="BE108" i="2"/>
  <c r="KW195" i="2" l="1"/>
  <c r="KX195" i="2" s="1"/>
  <c r="KY195" i="2" s="1"/>
  <c r="KZ195" i="2" s="1"/>
  <c r="KV196" i="2"/>
  <c r="KB195" i="2"/>
  <c r="KC195" i="2" s="1"/>
  <c r="KD195" i="2" s="1"/>
  <c r="KE195" i="2" s="1"/>
  <c r="KA196" i="2"/>
  <c r="LQ196" i="2"/>
  <c r="LR195" i="2"/>
  <c r="LS195" i="2" s="1"/>
  <c r="LT195" i="2" s="1"/>
  <c r="LU195" i="2" s="1"/>
  <c r="ML196" i="2"/>
  <c r="MM195" i="2"/>
  <c r="MN195" i="2" s="1"/>
  <c r="MO195" i="2" s="1"/>
  <c r="MP195" i="2" s="1"/>
  <c r="OC195" i="2"/>
  <c r="OD195" i="2" s="1"/>
  <c r="OE195" i="2" s="1"/>
  <c r="OF195" i="2" s="1"/>
  <c r="OB196" i="2"/>
  <c r="IL195" i="2"/>
  <c r="IM195" i="2" s="1"/>
  <c r="IN195" i="2" s="1"/>
  <c r="IO195" i="2" s="1"/>
  <c r="IK196" i="2"/>
  <c r="HP196" i="2"/>
  <c r="HQ195" i="2"/>
  <c r="HR195" i="2" s="1"/>
  <c r="HS195" i="2" s="1"/>
  <c r="HT195" i="2" s="1"/>
  <c r="NG196" i="2"/>
  <c r="NH195" i="2"/>
  <c r="NI195" i="2" s="1"/>
  <c r="NJ195" i="2" s="1"/>
  <c r="NK195" i="2" s="1"/>
  <c r="OW196" i="2"/>
  <c r="OX195" i="2"/>
  <c r="OY195" i="2" s="1"/>
  <c r="OZ195" i="2" s="1"/>
  <c r="PA195" i="2" s="1"/>
  <c r="JF196" i="2"/>
  <c r="JG195" i="2"/>
  <c r="JH195" i="2" s="1"/>
  <c r="JI195" i="2" s="1"/>
  <c r="JJ195" i="2" s="1"/>
  <c r="GU196" i="2"/>
  <c r="GV195" i="2"/>
  <c r="GW195" i="2" s="1"/>
  <c r="GX195" i="2" s="1"/>
  <c r="GY195" i="2" s="1"/>
  <c r="FE196" i="2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AJ195" i="2"/>
  <c r="AK195" i="2" s="1"/>
  <c r="AL195" i="2" s="1"/>
  <c r="AM195" i="2" s="1"/>
  <c r="BF108" i="2"/>
  <c r="BG108" i="2" s="1"/>
  <c r="BH108" i="2" s="1"/>
  <c r="BE109" i="2"/>
  <c r="BS107" i="2"/>
  <c r="IL196" i="2" l="1"/>
  <c r="IM196" i="2" s="1"/>
  <c r="IN196" i="2" s="1"/>
  <c r="IO196" i="2" s="1"/>
  <c r="IK197" i="2"/>
  <c r="KA197" i="2"/>
  <c r="KB196" i="2"/>
  <c r="KC196" i="2" s="1"/>
  <c r="KD196" i="2" s="1"/>
  <c r="KE196" i="2" s="1"/>
  <c r="JF197" i="2"/>
  <c r="JG196" i="2"/>
  <c r="JH196" i="2" s="1"/>
  <c r="JI196" i="2" s="1"/>
  <c r="JJ196" i="2" s="1"/>
  <c r="NG197" i="2"/>
  <c r="NH196" i="2"/>
  <c r="NI196" i="2" s="1"/>
  <c r="NJ196" i="2" s="1"/>
  <c r="NK196" i="2" s="1"/>
  <c r="ML197" i="2"/>
  <c r="MM196" i="2"/>
  <c r="MN196" i="2" s="1"/>
  <c r="MO196" i="2" s="1"/>
  <c r="MP196" i="2" s="1"/>
  <c r="OC196" i="2"/>
  <c r="OD196" i="2" s="1"/>
  <c r="OE196" i="2" s="1"/>
  <c r="OF196" i="2" s="1"/>
  <c r="OB197" i="2"/>
  <c r="KW196" i="2"/>
  <c r="KX196" i="2" s="1"/>
  <c r="KY196" i="2" s="1"/>
  <c r="KZ196" i="2" s="1"/>
  <c r="KV197" i="2"/>
  <c r="OW197" i="2"/>
  <c r="OX196" i="2"/>
  <c r="OY196" i="2" s="1"/>
  <c r="OZ196" i="2" s="1"/>
  <c r="PA196" i="2" s="1"/>
  <c r="HP197" i="2"/>
  <c r="HQ196" i="2"/>
  <c r="HR196" i="2" s="1"/>
  <c r="HS196" i="2" s="1"/>
  <c r="HT196" i="2" s="1"/>
  <c r="LQ197" i="2"/>
  <c r="LR196" i="2"/>
  <c r="LS196" i="2" s="1"/>
  <c r="LT196" i="2" s="1"/>
  <c r="LU196" i="2" s="1"/>
  <c r="GU197" i="2"/>
  <c r="GV196" i="2"/>
  <c r="GW196" i="2" s="1"/>
  <c r="GX196" i="2" s="1"/>
  <c r="GY196" i="2" s="1"/>
  <c r="FE197" i="2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AJ196" i="2"/>
  <c r="AK196" i="2" s="1"/>
  <c r="AL196" i="2" s="1"/>
  <c r="AM196" i="2" s="1"/>
  <c r="BF109" i="2"/>
  <c r="BG109" i="2" s="1"/>
  <c r="BH109" i="2" s="1"/>
  <c r="BS108" i="2"/>
  <c r="BE110" i="2"/>
  <c r="OC197" i="2" l="1"/>
  <c r="OD197" i="2" s="1"/>
  <c r="OE197" i="2" s="1"/>
  <c r="OF197" i="2" s="1"/>
  <c r="OB198" i="2"/>
  <c r="LQ198" i="2"/>
  <c r="LR197" i="2"/>
  <c r="LS197" i="2" s="1"/>
  <c r="LT197" i="2" s="1"/>
  <c r="LU197" i="2" s="1"/>
  <c r="OW198" i="2"/>
  <c r="OX197" i="2"/>
  <c r="OY197" i="2" s="1"/>
  <c r="OZ197" i="2" s="1"/>
  <c r="PA197" i="2" s="1"/>
  <c r="NG198" i="2"/>
  <c r="NH197" i="2"/>
  <c r="NI197" i="2" s="1"/>
  <c r="NJ197" i="2" s="1"/>
  <c r="NK197" i="2" s="1"/>
  <c r="KB197" i="2"/>
  <c r="KC197" i="2" s="1"/>
  <c r="KD197" i="2" s="1"/>
  <c r="KE197" i="2" s="1"/>
  <c r="KA198" i="2"/>
  <c r="KW197" i="2"/>
  <c r="KX197" i="2" s="1"/>
  <c r="KY197" i="2" s="1"/>
  <c r="KZ197" i="2" s="1"/>
  <c r="KV198" i="2"/>
  <c r="IL197" i="2"/>
  <c r="IM197" i="2" s="1"/>
  <c r="IN197" i="2" s="1"/>
  <c r="IO197" i="2" s="1"/>
  <c r="IK198" i="2"/>
  <c r="HP198" i="2"/>
  <c r="HQ197" i="2"/>
  <c r="HR197" i="2" s="1"/>
  <c r="HS197" i="2" s="1"/>
  <c r="HT197" i="2" s="1"/>
  <c r="ML198" i="2"/>
  <c r="MM197" i="2"/>
  <c r="MN197" i="2" s="1"/>
  <c r="MO197" i="2" s="1"/>
  <c r="MP197" i="2" s="1"/>
  <c r="JF198" i="2"/>
  <c r="JG197" i="2"/>
  <c r="JH197" i="2" s="1"/>
  <c r="JI197" i="2" s="1"/>
  <c r="JJ197" i="2" s="1"/>
  <c r="GU198" i="2"/>
  <c r="GV197" i="2"/>
  <c r="GW197" i="2" s="1"/>
  <c r="GX197" i="2" s="1"/>
  <c r="GY197" i="2" s="1"/>
  <c r="FE198" i="2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AJ197" i="2"/>
  <c r="AK197" i="2" s="1"/>
  <c r="AL197" i="2" s="1"/>
  <c r="AM197" i="2" s="1"/>
  <c r="BF110" i="2"/>
  <c r="BG110" i="2" s="1"/>
  <c r="BH110" i="2" s="1"/>
  <c r="BE111" i="2"/>
  <c r="BS109" i="2"/>
  <c r="KW198" i="2" l="1"/>
  <c r="KX198" i="2" s="1"/>
  <c r="KY198" i="2" s="1"/>
  <c r="KZ198" i="2" s="1"/>
  <c r="KV199" i="2"/>
  <c r="JG198" i="2"/>
  <c r="JH198" i="2" s="1"/>
  <c r="JI198" i="2" s="1"/>
  <c r="JJ198" i="2" s="1"/>
  <c r="JF199" i="2"/>
  <c r="HP199" i="2"/>
  <c r="HQ198" i="2"/>
  <c r="HR198" i="2" s="1"/>
  <c r="HS198" i="2" s="1"/>
  <c r="HT198" i="2" s="1"/>
  <c r="NG199" i="2"/>
  <c r="NH198" i="2"/>
  <c r="NI198" i="2" s="1"/>
  <c r="NJ198" i="2" s="1"/>
  <c r="NK198" i="2" s="1"/>
  <c r="LR198" i="2"/>
  <c r="LS198" i="2" s="1"/>
  <c r="LT198" i="2" s="1"/>
  <c r="LU198" i="2" s="1"/>
  <c r="LQ199" i="2"/>
  <c r="IL198" i="2"/>
  <c r="IM198" i="2" s="1"/>
  <c r="IN198" i="2" s="1"/>
  <c r="IO198" i="2" s="1"/>
  <c r="IK199" i="2"/>
  <c r="KB198" i="2"/>
  <c r="KC198" i="2" s="1"/>
  <c r="KD198" i="2" s="1"/>
  <c r="KE198" i="2" s="1"/>
  <c r="KA199" i="2"/>
  <c r="OB199" i="2"/>
  <c r="OC198" i="2"/>
  <c r="OD198" i="2" s="1"/>
  <c r="OE198" i="2" s="1"/>
  <c r="OF198" i="2" s="1"/>
  <c r="ML199" i="2"/>
  <c r="MM198" i="2"/>
  <c r="MN198" i="2" s="1"/>
  <c r="MO198" i="2" s="1"/>
  <c r="MP198" i="2" s="1"/>
  <c r="OW199" i="2"/>
  <c r="OX198" i="2"/>
  <c r="OY198" i="2" s="1"/>
  <c r="OZ198" i="2" s="1"/>
  <c r="PA198" i="2" s="1"/>
  <c r="GU199" i="2"/>
  <c r="GV198" i="2"/>
  <c r="GW198" i="2" s="1"/>
  <c r="GX198" i="2" s="1"/>
  <c r="GY198" i="2" s="1"/>
  <c r="FE199" i="2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AJ198" i="2"/>
  <c r="AK198" i="2" s="1"/>
  <c r="AL198" i="2" s="1"/>
  <c r="AM198" i="2" s="1"/>
  <c r="BF111" i="2"/>
  <c r="BG111" i="2" s="1"/>
  <c r="BH111" i="2" s="1"/>
  <c r="BS110" i="2"/>
  <c r="BE112" i="2"/>
  <c r="IL199" i="2" l="1"/>
  <c r="IM199" i="2" s="1"/>
  <c r="IN199" i="2" s="1"/>
  <c r="IO199" i="2" s="1"/>
  <c r="IK200" i="2"/>
  <c r="JG199" i="2"/>
  <c r="JH199" i="2" s="1"/>
  <c r="JI199" i="2" s="1"/>
  <c r="JJ199" i="2" s="1"/>
  <c r="JF200" i="2"/>
  <c r="OW200" i="2"/>
  <c r="OX199" i="2"/>
  <c r="OY199" i="2" s="1"/>
  <c r="OZ199" i="2" s="1"/>
  <c r="PA199" i="2" s="1"/>
  <c r="OB200" i="2"/>
  <c r="OC199" i="2"/>
  <c r="OD199" i="2" s="1"/>
  <c r="OE199" i="2" s="1"/>
  <c r="OF199" i="2" s="1"/>
  <c r="NH199" i="2"/>
  <c r="NI199" i="2" s="1"/>
  <c r="NJ199" i="2" s="1"/>
  <c r="NK199" i="2" s="1"/>
  <c r="NG200" i="2"/>
  <c r="KA200" i="2"/>
  <c r="KB199" i="2"/>
  <c r="KC199" i="2" s="1"/>
  <c r="KD199" i="2" s="1"/>
  <c r="KE199" i="2" s="1"/>
  <c r="LR199" i="2"/>
  <c r="LS199" i="2" s="1"/>
  <c r="LT199" i="2" s="1"/>
  <c r="LU199" i="2" s="1"/>
  <c r="LQ200" i="2"/>
  <c r="KV200" i="2"/>
  <c r="KW199" i="2"/>
  <c r="KX199" i="2" s="1"/>
  <c r="KY199" i="2" s="1"/>
  <c r="KZ199" i="2" s="1"/>
  <c r="ML200" i="2"/>
  <c r="MM199" i="2"/>
  <c r="MN199" i="2" s="1"/>
  <c r="MO199" i="2" s="1"/>
  <c r="MP199" i="2" s="1"/>
  <c r="HP200" i="2"/>
  <c r="HQ199" i="2"/>
  <c r="HR199" i="2" s="1"/>
  <c r="HS199" i="2" s="1"/>
  <c r="HT199" i="2" s="1"/>
  <c r="GU200" i="2"/>
  <c r="GV199" i="2"/>
  <c r="GW199" i="2" s="1"/>
  <c r="GX199" i="2" s="1"/>
  <c r="GY199" i="2" s="1"/>
  <c r="FE200" i="2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AJ199" i="2"/>
  <c r="AK199" i="2" s="1"/>
  <c r="AL199" i="2" s="1"/>
  <c r="AM199" i="2" s="1"/>
  <c r="BF112" i="2"/>
  <c r="BG112" i="2" s="1"/>
  <c r="BH112" i="2" s="1"/>
  <c r="BE113" i="2"/>
  <c r="BS111" i="2"/>
  <c r="JF201" i="2" l="1"/>
  <c r="JG200" i="2"/>
  <c r="JH200" i="2" s="1"/>
  <c r="JI200" i="2" s="1"/>
  <c r="JJ200" i="2" s="1"/>
  <c r="HP201" i="2"/>
  <c r="HQ200" i="2"/>
  <c r="HR200" i="2" s="1"/>
  <c r="HS200" i="2" s="1"/>
  <c r="HT200" i="2" s="1"/>
  <c r="KW200" i="2"/>
  <c r="KX200" i="2" s="1"/>
  <c r="KY200" i="2" s="1"/>
  <c r="KZ200" i="2" s="1"/>
  <c r="KV201" i="2"/>
  <c r="KB200" i="2"/>
  <c r="KC200" i="2" s="1"/>
  <c r="KD200" i="2" s="1"/>
  <c r="KE200" i="2" s="1"/>
  <c r="KA201" i="2"/>
  <c r="OB201" i="2"/>
  <c r="OC200" i="2"/>
  <c r="OD200" i="2" s="1"/>
  <c r="OE200" i="2" s="1"/>
  <c r="OF200" i="2" s="1"/>
  <c r="LR200" i="2"/>
  <c r="LS200" i="2" s="1"/>
  <c r="LT200" i="2" s="1"/>
  <c r="LU200" i="2" s="1"/>
  <c r="LQ201" i="2"/>
  <c r="NG201" i="2"/>
  <c r="NH200" i="2"/>
  <c r="NI200" i="2" s="1"/>
  <c r="NJ200" i="2" s="1"/>
  <c r="NK200" i="2" s="1"/>
  <c r="IL200" i="2"/>
  <c r="IM200" i="2" s="1"/>
  <c r="IN200" i="2" s="1"/>
  <c r="IO200" i="2" s="1"/>
  <c r="IK201" i="2"/>
  <c r="ML201" i="2"/>
  <c r="MM200" i="2"/>
  <c r="MN200" i="2" s="1"/>
  <c r="MO200" i="2" s="1"/>
  <c r="MP200" i="2" s="1"/>
  <c r="OW201" i="2"/>
  <c r="OX200" i="2"/>
  <c r="OY200" i="2" s="1"/>
  <c r="OZ200" i="2" s="1"/>
  <c r="PA200" i="2" s="1"/>
  <c r="GU201" i="2"/>
  <c r="GV200" i="2"/>
  <c r="GW200" i="2" s="1"/>
  <c r="GX200" i="2" s="1"/>
  <c r="GY200" i="2" s="1"/>
  <c r="FE201" i="2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AJ200" i="2"/>
  <c r="AK200" i="2" s="1"/>
  <c r="AL200" i="2" s="1"/>
  <c r="AM200" i="2" s="1"/>
  <c r="BF113" i="2"/>
  <c r="BG113" i="2" s="1"/>
  <c r="BH113" i="2" s="1"/>
  <c r="BS112" i="2"/>
  <c r="BE114" i="2"/>
  <c r="IL201" i="2" l="1"/>
  <c r="IM201" i="2" s="1"/>
  <c r="IN201" i="2" s="1"/>
  <c r="IO201" i="2" s="1"/>
  <c r="IK202" i="2"/>
  <c r="LQ202" i="2"/>
  <c r="LR201" i="2"/>
  <c r="LS201" i="2" s="1"/>
  <c r="LT201" i="2" s="1"/>
  <c r="LU201" i="2" s="1"/>
  <c r="KB201" i="2"/>
  <c r="KC201" i="2" s="1"/>
  <c r="KD201" i="2" s="1"/>
  <c r="KE201" i="2" s="1"/>
  <c r="KA202" i="2"/>
  <c r="OW202" i="2"/>
  <c r="OX201" i="2"/>
  <c r="OY201" i="2" s="1"/>
  <c r="OZ201" i="2" s="1"/>
  <c r="PA201" i="2" s="1"/>
  <c r="HP202" i="2"/>
  <c r="HQ201" i="2"/>
  <c r="HR201" i="2" s="1"/>
  <c r="HS201" i="2" s="1"/>
  <c r="HT201" i="2" s="1"/>
  <c r="KW201" i="2"/>
  <c r="KX201" i="2" s="1"/>
  <c r="KY201" i="2" s="1"/>
  <c r="KZ201" i="2" s="1"/>
  <c r="KV202" i="2"/>
  <c r="ML202" i="2"/>
  <c r="MM201" i="2"/>
  <c r="MN201" i="2" s="1"/>
  <c r="MO201" i="2" s="1"/>
  <c r="MP201" i="2" s="1"/>
  <c r="NG202" i="2"/>
  <c r="NH201" i="2"/>
  <c r="NI201" i="2" s="1"/>
  <c r="NJ201" i="2" s="1"/>
  <c r="NK201" i="2" s="1"/>
  <c r="OC201" i="2"/>
  <c r="OD201" i="2" s="1"/>
  <c r="OE201" i="2" s="1"/>
  <c r="OF201" i="2" s="1"/>
  <c r="OB202" i="2"/>
  <c r="JF202" i="2"/>
  <c r="JG201" i="2"/>
  <c r="JH201" i="2" s="1"/>
  <c r="JI201" i="2" s="1"/>
  <c r="JJ201" i="2" s="1"/>
  <c r="GU202" i="2"/>
  <c r="GV201" i="2"/>
  <c r="GW201" i="2" s="1"/>
  <c r="GX201" i="2" s="1"/>
  <c r="GY201" i="2" s="1"/>
  <c r="FE202" i="2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AJ201" i="2"/>
  <c r="AK201" i="2" s="1"/>
  <c r="AL201" i="2" s="1"/>
  <c r="AM201" i="2" s="1"/>
  <c r="BF114" i="2"/>
  <c r="BG114" i="2" s="1"/>
  <c r="BH114" i="2" s="1"/>
  <c r="BE115" i="2"/>
  <c r="BS113" i="2"/>
  <c r="KW202" i="2" l="1"/>
  <c r="KX202" i="2" s="1"/>
  <c r="KY202" i="2" s="1"/>
  <c r="KZ202" i="2" s="1"/>
  <c r="KV203" i="2"/>
  <c r="KW203" i="2" s="1"/>
  <c r="KX203" i="2" s="1"/>
  <c r="KY203" i="2" s="1"/>
  <c r="KZ203" i="2" s="1"/>
  <c r="JG202" i="2"/>
  <c r="JH202" i="2" s="1"/>
  <c r="JI202" i="2" s="1"/>
  <c r="JJ202" i="2" s="1"/>
  <c r="JF203" i="2"/>
  <c r="JG203" i="2" s="1"/>
  <c r="JH203" i="2" s="1"/>
  <c r="JI203" i="2" s="1"/>
  <c r="JJ203" i="2" s="1"/>
  <c r="NG203" i="2"/>
  <c r="NH203" i="2" s="1"/>
  <c r="NI203" i="2" s="1"/>
  <c r="NJ203" i="2" s="1"/>
  <c r="NK203" i="2" s="1"/>
  <c r="NH202" i="2"/>
  <c r="NI202" i="2" s="1"/>
  <c r="NJ202" i="2" s="1"/>
  <c r="NK202" i="2" s="1"/>
  <c r="OW203" i="2"/>
  <c r="OX203" i="2" s="1"/>
  <c r="OY203" i="2" s="1"/>
  <c r="OZ203" i="2" s="1"/>
  <c r="PA203" i="2" s="1"/>
  <c r="OX202" i="2"/>
  <c r="OY202" i="2" s="1"/>
  <c r="OZ202" i="2" s="1"/>
  <c r="PA202" i="2" s="1"/>
  <c r="LQ203" i="2"/>
  <c r="LR203" i="2" s="1"/>
  <c r="LS203" i="2" s="1"/>
  <c r="LT203" i="2" s="1"/>
  <c r="LU203" i="2" s="1"/>
  <c r="LR202" i="2"/>
  <c r="LS202" i="2" s="1"/>
  <c r="LT202" i="2" s="1"/>
  <c r="LU202" i="2" s="1"/>
  <c r="OC202" i="2"/>
  <c r="OD202" i="2" s="1"/>
  <c r="OE202" i="2" s="1"/>
  <c r="OF202" i="2" s="1"/>
  <c r="OB203" i="2"/>
  <c r="OC203" i="2" s="1"/>
  <c r="OD203" i="2" s="1"/>
  <c r="OE203" i="2" s="1"/>
  <c r="OF203" i="2" s="1"/>
  <c r="KB202" i="2"/>
  <c r="KC202" i="2" s="1"/>
  <c r="KD202" i="2" s="1"/>
  <c r="KE202" i="2" s="1"/>
  <c r="KA203" i="2"/>
  <c r="KB203" i="2" s="1"/>
  <c r="KC203" i="2" s="1"/>
  <c r="KD203" i="2" s="1"/>
  <c r="KE203" i="2" s="1"/>
  <c r="IL202" i="2"/>
  <c r="IM202" i="2" s="1"/>
  <c r="IN202" i="2" s="1"/>
  <c r="IO202" i="2" s="1"/>
  <c r="IK203" i="2"/>
  <c r="IL203" i="2" s="1"/>
  <c r="IM203" i="2" s="1"/>
  <c r="IN203" i="2" s="1"/>
  <c r="IO203" i="2" s="1"/>
  <c r="ML203" i="2"/>
  <c r="MM203" i="2" s="1"/>
  <c r="MN203" i="2" s="1"/>
  <c r="MO203" i="2" s="1"/>
  <c r="MP203" i="2" s="1"/>
  <c r="MM202" i="2"/>
  <c r="MN202" i="2" s="1"/>
  <c r="MO202" i="2" s="1"/>
  <c r="MP202" i="2" s="1"/>
  <c r="HP203" i="2"/>
  <c r="HQ203" i="2" s="1"/>
  <c r="HR203" i="2" s="1"/>
  <c r="HS203" i="2" s="1"/>
  <c r="HT203" i="2" s="1"/>
  <c r="HQ202" i="2"/>
  <c r="HR202" i="2" s="1"/>
  <c r="HS202" i="2" s="1"/>
  <c r="HT202" i="2" s="1"/>
  <c r="GU203" i="2"/>
  <c r="GV203" i="2" s="1"/>
  <c r="GW203" i="2" s="1"/>
  <c r="GX203" i="2" s="1"/>
  <c r="GY203" i="2" s="1"/>
  <c r="GV202" i="2"/>
  <c r="GW202" i="2" s="1"/>
  <c r="GX202" i="2" s="1"/>
  <c r="GY202" i="2" s="1"/>
  <c r="FE203" i="2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4" i="2" l="1"/>
  <c r="S5" i="2"/>
  <c r="S6" i="2"/>
  <c r="S3" i="2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26" i="4"/>
  <c r="BS161" i="2" l="1"/>
  <c r="G26" i="4"/>
  <c r="L2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<sst xmlns="http://schemas.openxmlformats.org/spreadsheetml/2006/main" count="1825" uniqueCount="353">
  <si>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</si>
  <si>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</si>
  <si>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</si>
  <si>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</si>
  <si>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</si>
  <si>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</si>
  <si>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</si>
  <si>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</si>
  <si>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</si>
  <si>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</si>
  <si>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</si>
  <si>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</si>
  <si>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</si>
  <si>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</si>
  <si>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</si>
  <si>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</si>
  <si>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</si>
  <si>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</si>
  <si>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</si>
  <si>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</si>
  <si>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</si>
  <si>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</si>
  <si>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</si>
  <si>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</si>
  <si>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</si>
  <si>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</si>
  <si>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</si>
  <si>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</si>
  <si>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</si>
  <si>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</si>
  <si>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</si>
  <si>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</si>
  <si>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</si>
  <si>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</si>
  <si>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</si>
  <si>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</si>
  <si>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</si>
  <si>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</si>
  <si>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</si>
  <si>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</si>
  <si>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</si>
  <si>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</si>
  <si>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</si>
  <si>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</si>
  <si>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</si>
  <si>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</si>
  <si>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</si>
  <si>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</si>
  <si>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</si>
  <si>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</si>
  <si>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</si>
  <si>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</si>
  <si>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</si>
  <si>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</si>
  <si>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</si>
  <si>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</si>
  <si>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</si>
  <si>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</si>
  <si>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</si>
  <si>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</si>
  <si>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</si>
  <si>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</si>
  <si>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</si>
  <si>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</si>
  <si>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</si>
  <si>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</si>
  <si>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</si>
  <si>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</si>
  <si>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</si>
  <si>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</si>
  <si>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</si>
  <si>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</si>
  <si>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</si>
  <si>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</si>
  <si>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</si>
  <si>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</si>
  <si>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</si>
  <si>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</si>
  <si>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</si>
  <si>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</si>
  <si>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</si>
  <si>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</si>
  <si>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</si>
  <si>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</si>
  <si>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</si>
  <si>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</si>
  <si>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</si>
  <si>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</si>
  <si>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</si>
  <si>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</si>
  <si>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</si>
  <si>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</si>
  <si>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</si>
  <si>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</si>
  <si>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</si>
  <si>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</si>
  <si>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</si>
  <si>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</si>
  <si>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</si>
  <si>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</si>
  <si>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</si>
  <si>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</si>
  <si>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</si>
  <si>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</si>
  <si>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</si>
  <si>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</si>
  <si>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</si>
  <si>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</si>
  <si>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</si>
  <si>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</si>
  <si>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</si>
  <si>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</si>
  <si>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</si>
  <si>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</si>
  <si>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</si>
  <si>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</si>
  <si>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</si>
  <si>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</si>
  <si>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</si>
  <si>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</si>
  <si>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</si>
  <si>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</si>
  <si>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</si>
  <si>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</si>
  <si>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</si>
  <si>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</si>
  <si>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</si>
  <si>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</si>
  <si>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</si>
  <si>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</si>
  <si>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</si>
  <si>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</si>
  <si>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</si>
  <si>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</si>
  <si>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</si>
  <si>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</si>
  <si>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</si>
  <si>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</si>
  <si>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</si>
  <si>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</si>
  <si>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</si>
  <si>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</si>
  <si>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</si>
  <si>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</si>
  <si>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</si>
  <si>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</si>
  <si>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</si>
  <si>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</si>
  <si>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</si>
  <si>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</si>
  <si>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</si>
  <si>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</si>
  <si>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</si>
  <si>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</si>
  <si>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</si>
  <si>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</si>
  <si>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</si>
  <si>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</si>
  <si>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</si>
  <si>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</si>
  <si>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</si>
  <si>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</si>
  <si>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</si>
  <si>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</si>
  <si>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</si>
  <si>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</si>
  <si>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</si>
  <si>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</si>
  <si>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</si>
  <si>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</si>
  <si>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</si>
  <si>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</si>
  <si>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</si>
  <si>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</si>
  <si>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</si>
  <si>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</si>
  <si>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</si>
  <si>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</si>
  <si>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</si>
  <si>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</si>
  <si>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</si>
  <si>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</si>
  <si>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</si>
  <si>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</si>
  <si>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</si>
  <si>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</si>
  <si>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</si>
  <si>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</si>
  <si>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</si>
  <si>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</si>
  <si>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</si>
  <si>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</si>
  <si>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</si>
  <si>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</si>
  <si>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</si>
  <si>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</si>
  <si>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</si>
  <si>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</si>
  <si>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</si>
  <si>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</si>
  <si>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</si>
  <si>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</si>
  <si>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</si>
  <si>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</si>
  <si>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</si>
  <si>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</si>
  <si>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</si>
  <si>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</si>
  <si>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</si>
  <si>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</si>
  <si>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</si>
  <si>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</si>
  <si>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</si>
  <si>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</si>
  <si>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</si>
  <si>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</si>
  <si>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</si>
  <si>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</si>
  <si>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</si>
  <si>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</si>
  <si>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</si>
  <si>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</si>
  <si>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</si>
  <si>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</si>
  <si>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</si>
  <si>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</si>
  <si>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</si>
  <si>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</si>
  <si>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</si>
  <si>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</si>
  <si>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</si>
  <si>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</si>
  <si>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</si>
  <si>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</si>
  <si>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</si>
  <si>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</si>
  <si>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</si>
  <si>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</si>
  <si>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</si>
  <si>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</si>
  <si>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</si>
  <si>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</si>
  <si>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</si>
  <si>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</si>
  <si>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</si>
  <si>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</si>
  <si>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</si>
  <si>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</si>
  <si>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</si>
  <si>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</si>
  <si>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</si>
  <si>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</si>
  <si>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</si>
  <si>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</si>
  <si>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</si>
  <si>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</si>
  <si>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</si>
  <si>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</si>
  <si>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</si>
  <si>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</si>
  <si>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</si>
  <si>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</si>
  <si>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</si>
  <si>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</si>
  <si>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</si>
  <si>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</si>
  <si>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</si>
  <si>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</si>
  <si>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</si>
  <si>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</si>
  <si>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</si>
  <si>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</si>
  <si>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</si>
  <si>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</si>
  <si>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</si>
  <si>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</si>
  <si>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</si>
  <si>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</si>
  <si>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</si>
  <si>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</si>
  <si>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</si>
  <si>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</si>
  <si>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</si>
  <si>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</si>
  <si>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</si>
  <si>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</si>
  <si>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</si>
  <si>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</si>
  <si>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</si>
  <si>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</si>
  <si>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</si>
  <si>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</si>
  <si>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</si>
  <si>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</si>
  <si>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</si>
  <si>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</si>
  <si>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</si>
  <si>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</si>
  <si>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</si>
  <si>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</si>
  <si>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</si>
  <si>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</si>
  <si>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</si>
  <si>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</si>
  <si>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</si>
  <si>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</si>
  <si>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</si>
  <si>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</si>
  <si>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</si>
  <si>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</si>
  <si>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</si>
  <si>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</si>
  <si>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</si>
  <si>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</si>
  <si>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</si>
  <si>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</si>
  <si>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</si>
  <si>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</si>
  <si>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</si>
  <si>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</si>
  <si>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</si>
  <si>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</si>
  <si>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</si>
  <si>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</si>
  <si>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Essence 11</t>
  </si>
  <si>
    <t>Essence 12</t>
  </si>
  <si>
    <t>Essence 13</t>
  </si>
  <si>
    <t>Essence 14</t>
  </si>
  <si>
    <t>Essence 15</t>
  </si>
  <si>
    <t>Essence 16</t>
  </si>
  <si>
    <t>Essence 17</t>
  </si>
  <si>
    <t>Essence 18</t>
  </si>
  <si>
    <t>Essence 19</t>
  </si>
  <si>
    <t>Essence 20</t>
  </si>
  <si>
    <t>na</t>
  </si>
  <si>
    <t>54</t>
  </si>
  <si>
    <t>26</t>
  </si>
  <si>
    <t>27</t>
  </si>
  <si>
    <t>24</t>
  </si>
  <si>
    <t>23</t>
  </si>
  <si>
    <t>21</t>
  </si>
  <si>
    <t>20</t>
  </si>
  <si>
    <t>18</t>
  </si>
  <si>
    <t>16</t>
  </si>
  <si>
    <t>15</t>
  </si>
  <si>
    <t>14</t>
  </si>
  <si>
    <t>12</t>
  </si>
  <si>
    <t>29</t>
  </si>
  <si>
    <t>19</t>
  </si>
  <si>
    <t>17</t>
  </si>
  <si>
    <t>11</t>
  </si>
  <si>
    <t>10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</si>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</sst>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2" fontId="9" fillId="3" borderId="1" xfId="1" applyNumberFormat="1" applyFont="1" applyFill="1" applyBorder="1" applyAlignment="1" applyProtection="1">
      <alignment horizontal="center" vertical="center"/>
      <protection hidden="1"/>
    </xf>
    <xf numFmtId="0" fontId="9" fillId="3" borderId="1" xfId="1" applyNumberFormat="1" applyFont="1" applyFill="1" applyBorder="1" applyAlignment="1" applyProtection="1">
      <alignment horizontal="center" vertical="center"/>
      <protection hidden="1"/>
    </xf>
    <xf numFmtId="1" fontId="1" fillId="2" borderId="42" xfId="0" applyNumberFormat="1" applyFont="1" applyFill="1" applyBorder="1" applyAlignment="1" applyProtection="1">
      <alignment horizontal="center" vertical="center" wrapText="1"/>
      <protection hidden="1"/>
    </xf>
    <xf numFmtId="1" fontId="0" fillId="0" borderId="0" xfId="0" applyNumberFormat="1" applyProtection="1">
      <protection hidden="1"/>
    </xf>
    <xf numFmtId="0" fontId="17" fillId="0" borderId="0" xfId="0" applyFont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Protection="1">
      <protection hidden="1"/>
    </xf>
    <xf numFmtId="0" fontId="17" fillId="0" borderId="0" xfId="0" applyFont="1" applyProtection="1">
      <protection hidden="1"/>
    </xf>
    <xf numFmtId="0" fontId="0" fillId="4" borderId="1" xfId="0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1.9203140204213316</c:v>
                </c:pt>
                <c:pt idx="2">
                  <c:v>2.5373503253048804</c:v>
                </c:pt>
                <c:pt idx="3">
                  <c:v>3.3534746967259621</c:v>
                </c:pt>
                <c:pt idx="4">
                  <c:v>4.4331733568356464</c:v>
                </c:pt>
                <c:pt idx="5">
                  <c:v>5.8618959086463436</c:v>
                </c:pt>
                <c:pt idx="6">
                  <c:v>7.7528930524348363</c:v>
                </c:pt>
                <c:pt idx="7">
                  <c:v>10.256291470438329</c:v>
                </c:pt>
                <c:pt idx="8">
                  <c:v>13.571139900733398</c:v>
                </c:pt>
                <c:pt idx="9">
                  <c:v>17.961401871893774</c:v>
                </c:pt>
                <c:pt idx="10">
                  <c:v>23.777191627870639</c:v>
                </c:pt>
                <c:pt idx="11">
                  <c:v>31.482976738898202</c:v>
                </c:pt>
                <c:pt idx="12">
                  <c:v>41.695038776362409</c:v>
                </c:pt>
                <c:pt idx="13">
                  <c:v>55.231238827136707</c:v>
                </c:pt>
                <c:pt idx="14">
                  <c:v>73.177139572871184</c:v>
                </c:pt>
                <c:pt idx="15">
                  <c:v>96.97387275850123</c:v>
                </c:pt>
                <c:pt idx="16">
                  <c:v>128.53492010151578</c:v>
                </c:pt>
                <c:pt idx="17">
                  <c:v>170.40134350425296</c:v>
                </c:pt>
                <c:pt idx="18">
                  <c:v>225.9481518705777</c:v>
                </c:pt>
                <c:pt idx="19">
                  <c:v>167.1629650420995</c:v>
                </c:pt>
                <c:pt idx="20">
                  <c:v>192.18884671776516</c:v>
                </c:pt>
                <c:pt idx="21">
                  <c:v>217.13883006272945</c:v>
                </c:pt>
                <c:pt idx="22">
                  <c:v>242.02286551975575</c:v>
                </c:pt>
                <c:pt idx="23">
                  <c:v>266.84868654930165</c:v>
                </c:pt>
                <c:pt idx="24">
                  <c:v>291.62246862735793</c:v>
                </c:pt>
                <c:pt idx="25">
                  <c:v>267.83973843136442</c:v>
                </c:pt>
                <c:pt idx="26">
                  <c:v>295.20984437767919</c:v>
                </c:pt>
                <c:pt idx="27">
                  <c:v>322.52334410117277</c:v>
                </c:pt>
                <c:pt idx="28">
                  <c:v>349.785701644997</c:v>
                </c:pt>
                <c:pt idx="29">
                  <c:v>377.00145984165829</c:v>
                </c:pt>
                <c:pt idx="30">
                  <c:v>404.17445231612891</c:v>
                </c:pt>
                <c:pt idx="31">
                  <c:v>353.21192910385736</c:v>
                </c:pt>
                <c:pt idx="32">
                  <c:v>380.48929393712291</c:v>
                </c:pt>
                <c:pt idx="33">
                  <c:v>407.72413216850504</c:v>
                </c:pt>
                <c:pt idx="34">
                  <c:v>434.91968079517784</c:v>
                </c:pt>
                <c:pt idx="35">
                  <c:v>462.07873925701483</c:v>
                </c:pt>
                <c:pt idx="36">
                  <c:v>489.20375134717256</c:v>
                </c:pt>
                <c:pt idx="37">
                  <c:v>433.59961838636042</c:v>
                </c:pt>
                <c:pt idx="38">
                  <c:v>460.20839311111928</c:v>
                </c:pt>
                <c:pt idx="39">
                  <c:v>486.78434108389075</c:v>
                </c:pt>
                <c:pt idx="40">
                  <c:v>513.32950438861235</c:v>
                </c:pt>
                <c:pt idx="41">
                  <c:v>539.8456968976792</c:v>
                </c:pt>
                <c:pt idx="42">
                  <c:v>566.33453995655509</c:v>
                </c:pt>
                <c:pt idx="43">
                  <c:v>505.1294376134187</c:v>
                </c:pt>
                <c:pt idx="44">
                  <c:v>530.71596265986352</c:v>
                </c:pt>
                <c:pt idx="45">
                  <c:v>556.27653997817106</c:v>
                </c:pt>
                <c:pt idx="46">
                  <c:v>581.81252811346246</c:v>
                </c:pt>
                <c:pt idx="47">
                  <c:v>607.32515676835726</c:v>
                </c:pt>
                <c:pt idx="48">
                  <c:v>632.81554402908364</c:v>
                </c:pt>
                <c:pt idx="49">
                  <c:v>561.06523629540254</c:v>
                </c:pt>
                <c:pt idx="50">
                  <c:v>585.27746751979453</c:v>
                </c:pt>
                <c:pt idx="51">
                  <c:v>609.46883490395464</c:v>
                </c:pt>
                <c:pt idx="52">
                  <c:v>633.64028211551329</c:v>
                </c:pt>
                <c:pt idx="53">
                  <c:v>657.79267504043685</c:v>
                </c:pt>
                <c:pt idx="54">
                  <c:v>681.92681087155927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1.3827030379716201</c:v>
                </c:pt>
                <c:pt idx="2">
                  <c:v>1.8016010206153776</c:v>
                </c:pt>
                <c:pt idx="3">
                  <c:v>2.3479344578424937</c:v>
                </c:pt>
                <c:pt idx="4">
                  <c:v>3.0606231238842128</c:v>
                </c:pt>
                <c:pt idx="5">
                  <c:v>3.9905167092761502</c:v>
                </c:pt>
                <c:pt idx="6">
                  <c:v>5.2040640682490364</c:v>
                </c:pt>
                <c:pt idx="7">
                  <c:v>6.7881145369635769</c:v>
                </c:pt>
                <c:pt idx="8">
                  <c:v>8.8562016007007642</c:v>
                </c:pt>
                <c:pt idx="9">
                  <c:v>11.556767851711664</c:v>
                </c:pt>
                <c:pt idx="10">
                  <c:v>15.083932632405306</c:v>
                </c:pt>
                <c:pt idx="11">
                  <c:v>19.691590530237665</c:v>
                </c:pt>
                <c:pt idx="12">
                  <c:v>25.711873797774174</c:v>
                </c:pt>
                <c:pt idx="13">
                  <c:v>33.579332946152441</c:v>
                </c:pt>
                <c:pt idx="14">
                  <c:v>43.862611000443849</c:v>
                </c:pt>
                <c:pt idx="15">
                  <c:v>57.305939447910525</c:v>
                </c:pt>
                <c:pt idx="16">
                  <c:v>75.564615661077099</c:v>
                </c:pt>
                <c:pt idx="17">
                  <c:v>93.710144924861027</c:v>
                </c:pt>
                <c:pt idx="18">
                  <c:v>111.76767949162281</c:v>
                </c:pt>
                <c:pt idx="19">
                  <c:v>129.75349379387922</c:v>
                </c:pt>
                <c:pt idx="20">
                  <c:v>147.6789516361487</c:v>
                </c:pt>
                <c:pt idx="21">
                  <c:v>143.81732535258584</c:v>
                </c:pt>
                <c:pt idx="22">
                  <c:v>168.00195858256848</c:v>
                </c:pt>
                <c:pt idx="23">
                  <c:v>192.10439376989265</c:v>
                </c:pt>
                <c:pt idx="24">
                  <c:v>216.13640377869152</c:v>
                </c:pt>
                <c:pt idx="25">
                  <c:v>240.10692263363936</c:v>
                </c:pt>
                <c:pt idx="26">
                  <c:v>228.47626306291787</c:v>
                </c:pt>
                <c:pt idx="27">
                  <c:v>247.2178224874352</c:v>
                </c:pt>
                <c:pt idx="28">
                  <c:v>265.92713285294445</c:v>
                </c:pt>
                <c:pt idx="29">
                  <c:v>284.60678188691639</c:v>
                </c:pt>
                <c:pt idx="30">
                  <c:v>303.25898981443851</c:v>
                </c:pt>
                <c:pt idx="31">
                  <c:v>292.03629830469731</c:v>
                </c:pt>
                <c:pt idx="32">
                  <c:v>311.02311066425131</c:v>
                </c:pt>
                <c:pt idx="33">
                  <c:v>329.98420764536417</c:v>
                </c:pt>
                <c:pt idx="34">
                  <c:v>348.92127422322801</c:v>
                </c:pt>
                <c:pt idx="35">
                  <c:v>367.83579757961144</c:v>
                </c:pt>
                <c:pt idx="36">
                  <c:v>355.6298404133538</c:v>
                </c:pt>
                <c:pt idx="37">
                  <c:v>373.50596012190385</c:v>
                </c:pt>
                <c:pt idx="38">
                  <c:v>391.36344057727229</c:v>
                </c:pt>
                <c:pt idx="39">
                  <c:v>409.20325162932187</c:v>
                </c:pt>
                <c:pt idx="40">
                  <c:v>427.02627169348148</c:v>
                </c:pt>
                <c:pt idx="41">
                  <c:v>413.48913306676326</c:v>
                </c:pt>
                <c:pt idx="42">
                  <c:v>429.9381091490323</c:v>
                </c:pt>
                <c:pt idx="43">
                  <c:v>446.37356524052615</c:v>
                </c:pt>
                <c:pt idx="44">
                  <c:v>462.79606904957177</c:v>
                </c:pt>
                <c:pt idx="45">
                  <c:v>479.20614472262179</c:v>
                </c:pt>
                <c:pt idx="46">
                  <c:v>464.3350338073389</c:v>
                </c:pt>
                <c:pt idx="47">
                  <c:v>479.3770193499634</c:v>
                </c:pt>
                <c:pt idx="48">
                  <c:v>494.40897409882382</c:v>
                </c:pt>
                <c:pt idx="49">
                  <c:v>509.4312458790651</c:v>
                </c:pt>
                <c:pt idx="50">
                  <c:v>524.44416033681125</c:v>
                </c:pt>
                <c:pt idx="51">
                  <c:v>515.74461600313657</c:v>
                </c:pt>
                <c:pt idx="52">
                  <c:v>527.51385899666832</c:v>
                </c:pt>
                <c:pt idx="53">
                  <c:v>539.27757428305301</c:v>
                </c:pt>
                <c:pt idx="54">
                  <c:v>551.0358994195027</c:v>
                </c:pt>
                <c:pt idx="55">
                  <c:v>562.78896561492638</c:v>
                </c:pt>
                <c:pt idx="56">
                  <c:v>557.33891405416796</c:v>
                </c:pt>
                <c:pt idx="57">
                  <c:v>568.06765008431682</c:v>
                </c:pt>
                <c:pt idx="58">
                  <c:v>578.79215191198932</c:v>
                </c:pt>
                <c:pt idx="59">
                  <c:v>589.51250904160293</c:v>
                </c:pt>
                <c:pt idx="60">
                  <c:v>600.22880745733255</c:v>
                </c:pt>
                <c:pt idx="61">
                  <c:v>596.82724259262102</c:v>
                </c:pt>
                <c:pt idx="62">
                  <c:v>607.03073770369667</c:v>
                </c:pt>
                <c:pt idx="63">
                  <c:v>617.23067256140541</c:v>
                </c:pt>
                <c:pt idx="64">
                  <c:v>627.42711428361827</c:v>
                </c:pt>
                <c:pt idx="65">
                  <c:v>637.62012762925121</c:v>
                </c:pt>
                <c:pt idx="66">
                  <c:v>634.73245158401846</c:v>
                </c:pt>
                <c:pt idx="67">
                  <c:v>643.73431611394051</c:v>
                </c:pt>
                <c:pt idx="68">
                  <c:v>652.73358283819857</c:v>
                </c:pt>
                <c:pt idx="69">
                  <c:v>661.73029261719785</c:v>
                </c:pt>
                <c:pt idx="70">
                  <c:v>670.72448510987044</c:v>
                </c:pt>
                <c:pt idx="71">
                  <c:v>668.00952012933192</c:v>
                </c:pt>
                <c:pt idx="72">
                  <c:v>676.32338811496845</c:v>
                </c:pt>
                <c:pt idx="73">
                  <c:v>684.63515738648675</c:v>
                </c:pt>
                <c:pt idx="74">
                  <c:v>692.94485701159226</c:v>
                </c:pt>
                <c:pt idx="75">
                  <c:v>701.2525153041114</c:v>
                </c:pt>
                <c:pt idx="76">
                  <c:v>697.69233849488501</c:v>
                </c:pt>
                <c:pt idx="77">
                  <c:v>705.15133227164642</c:v>
                </c:pt>
                <c:pt idx="78">
                  <c:v>712.60871255978907</c:v>
                </c:pt>
                <c:pt idx="79">
                  <c:v>720.06449862264981</c:v>
                </c:pt>
                <c:pt idx="80">
                  <c:v>727.51870929218319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2.6958578672528142</c:v>
                </c:pt>
                <c:pt idx="2">
                  <c:v>3.1456024429294316</c:v>
                </c:pt>
                <c:pt idx="3">
                  <c:v>3.6706496543126392</c:v>
                </c:pt>
                <c:pt idx="4">
                  <c:v>4.283650861728133</c:v>
                </c:pt>
                <c:pt idx="5">
                  <c:v>4.999389736367446</c:v>
                </c:pt>
                <c:pt idx="6">
                  <c:v>5.8351427156981037</c:v>
                </c:pt>
                <c:pt idx="7">
                  <c:v>6.811100558946122</c:v>
                </c:pt>
                <c:pt idx="8">
                  <c:v>7.9508613856785146</c:v>
                </c:pt>
                <c:pt idx="9">
                  <c:v>9.2820073490102306</c:v>
                </c:pt>
                <c:pt idx="10">
                  <c:v>10.836779165307254</c:v>
                </c:pt>
                <c:pt idx="11">
                  <c:v>12.65286514607409</c:v>
                </c:pt>
                <c:pt idx="12">
                  <c:v>14.774324215459131</c:v>
                </c:pt>
                <c:pt idx="13">
                  <c:v>17.252665719305359</c:v>
                </c:pt>
                <c:pt idx="14">
                  <c:v>20.148112721871815</c:v>
                </c:pt>
                <c:pt idx="15">
                  <c:v>23.531080041429274</c:v>
                </c:pt>
                <c:pt idx="16">
                  <c:v>27.483903609727193</c:v>
                </c:pt>
                <c:pt idx="17">
                  <c:v>32.102863986196247</c:v>
                </c:pt>
                <c:pt idx="18">
                  <c:v>37.500554171921223</c:v>
                </c:pt>
                <c:pt idx="19">
                  <c:v>43.808650433928051</c:v>
                </c:pt>
                <c:pt idx="20">
                  <c:v>51.181154881613445</c:v>
                </c:pt>
                <c:pt idx="21">
                  <c:v>59.798190285451518</c:v>
                </c:pt>
                <c:pt idx="22">
                  <c:v>69.870441387809549</c:v>
                </c:pt>
                <c:pt idx="23">
                  <c:v>81.644353071705368</c:v>
                </c:pt>
                <c:pt idx="24">
                  <c:v>95.408214629786869</c:v>
                </c:pt>
                <c:pt idx="25">
                  <c:v>111.49928148626357</c:v>
                </c:pt>
                <c:pt idx="26">
                  <c:v>130.31211162387879</c:v>
                </c:pt>
                <c:pt idx="27">
                  <c:v>152.30832430653254</c:v>
                </c:pt>
                <c:pt idx="28">
                  <c:v>178.02802422784376</c:v>
                </c:pt>
                <c:pt idx="29">
                  <c:v>208.10317584974769</c:v>
                </c:pt>
                <c:pt idx="30">
                  <c:v>243.27326146963856</c:v>
                </c:pt>
                <c:pt idx="31">
                  <c:v>258.94814067849398</c:v>
                </c:pt>
                <c:pt idx="32">
                  <c:v>274.60158300734776</c:v>
                </c:pt>
                <c:pt idx="33">
                  <c:v>290.23498252743815</c:v>
                </c:pt>
                <c:pt idx="34">
                  <c:v>305.8495708284089</c:v>
                </c:pt>
                <c:pt idx="35">
                  <c:v>321.44644345960916</c:v>
                </c:pt>
                <c:pt idx="36">
                  <c:v>221.82117142251082</c:v>
                </c:pt>
                <c:pt idx="37">
                  <c:v>239.97776963491205</c:v>
                </c:pt>
                <c:pt idx="38">
                  <c:v>258.10309568549474</c:v>
                </c:pt>
                <c:pt idx="39">
                  <c:v>276.19965445716304</c:v>
                </c:pt>
                <c:pt idx="40">
                  <c:v>294.26959568611358</c:v>
                </c:pt>
                <c:pt idx="41">
                  <c:v>312.31478349482404</c:v>
                </c:pt>
                <c:pt idx="42">
                  <c:v>255.72039353124975</c:v>
                </c:pt>
                <c:pt idx="43">
                  <c:v>273.88106684535092</c:v>
                </c:pt>
                <c:pt idx="44">
                  <c:v>292.01468408800253</c:v>
                </c:pt>
                <c:pt idx="45">
                  <c:v>310.12316145287969</c:v>
                </c:pt>
                <c:pt idx="46">
                  <c:v>328.20817307415149</c:v>
                </c:pt>
                <c:pt idx="47">
                  <c:v>346.2711935372065</c:v>
                </c:pt>
                <c:pt idx="48">
                  <c:v>364.31353104988256</c:v>
                </c:pt>
                <c:pt idx="49">
                  <c:v>288.58007809052594</c:v>
                </c:pt>
                <c:pt idx="50">
                  <c:v>305.77968125048289</c:v>
                </c:pt>
                <c:pt idx="51">
                  <c:v>322.95778432037201</c:v>
                </c:pt>
                <c:pt idx="52">
                  <c:v>340.11569160143591</c:v>
                </c:pt>
                <c:pt idx="53">
                  <c:v>357.25456506572573</c:v>
                </c:pt>
                <c:pt idx="54">
                  <c:v>374.37544611289854</c:v>
                </c:pt>
                <c:pt idx="55">
                  <c:v>391.47927313799437</c:v>
                </c:pt>
                <c:pt idx="56">
                  <c:v>320.48361258921813</c:v>
                </c:pt>
                <c:pt idx="57">
                  <c:v>336.67903038787375</c:v>
                </c:pt>
                <c:pt idx="58">
                  <c:v>352.85729940854367</c:v>
                </c:pt>
                <c:pt idx="59">
                  <c:v>369.01931645885981</c:v>
                </c:pt>
                <c:pt idx="60">
                  <c:v>385.16589338963877</c:v>
                </c:pt>
                <c:pt idx="61">
                  <c:v>401.29776844134739</c:v>
                </c:pt>
                <c:pt idx="62">
                  <c:v>417.41561567067316</c:v>
                </c:pt>
                <c:pt idx="63">
                  <c:v>433.52005284512506</c:v>
                </c:pt>
                <c:pt idx="64">
                  <c:v>368.77354749804016</c:v>
                </c:pt>
                <c:pt idx="65">
                  <c:v>384.3921999612694</c:v>
                </c:pt>
                <c:pt idx="66">
                  <c:v>399.99706566096552</c:v>
                </c:pt>
                <c:pt idx="67">
                  <c:v>415.58875807076902</c:v>
                </c:pt>
                <c:pt idx="68">
                  <c:v>431.16784088676076</c:v>
                </c:pt>
                <c:pt idx="69">
                  <c:v>446.73483375648311</c:v>
                </c:pt>
                <c:pt idx="70">
                  <c:v>462.29021716786883</c:v>
                </c:pt>
                <c:pt idx="71">
                  <c:v>477.83443664595069</c:v>
                </c:pt>
                <c:pt idx="72">
                  <c:v>416.18008617132006</c:v>
                </c:pt>
                <c:pt idx="73">
                  <c:v>431.26352307198721</c:v>
                </c:pt>
                <c:pt idx="74">
                  <c:v>446.33562973688805</c:v>
                </c:pt>
                <c:pt idx="75">
                  <c:v>461.39684255815035</c:v>
                </c:pt>
                <c:pt idx="76">
                  <c:v>476.44756712169959</c:v>
                </c:pt>
                <c:pt idx="77">
                  <c:v>491.4881813066504</c:v>
                </c:pt>
                <c:pt idx="78">
                  <c:v>506.51903798562756</c:v>
                </c:pt>
                <c:pt idx="79">
                  <c:v>521.54046738795989</c:v>
                </c:pt>
                <c:pt idx="80">
                  <c:v>536.55277917652313</c:v>
                </c:pt>
                <c:pt idx="81">
                  <c:v>463.50656260260456</c:v>
                </c:pt>
                <c:pt idx="82">
                  <c:v>477.88908984737282</c:v>
                </c:pt>
                <c:pt idx="83">
                  <c:v>492.26241502045315</c:v>
                </c:pt>
                <c:pt idx="84">
                  <c:v>506.62684458100858</c:v>
                </c:pt>
                <c:pt idx="85">
                  <c:v>520.98266619811488</c:v>
                </c:pt>
                <c:pt idx="86">
                  <c:v>535.33015039964971</c:v>
                </c:pt>
                <c:pt idx="87">
                  <c:v>549.66955203526948</c:v>
                </c:pt>
                <c:pt idx="88">
                  <c:v>564.00111157883305</c:v>
                </c:pt>
                <c:pt idx="89">
                  <c:v>578.32505629161233</c:v>
                </c:pt>
                <c:pt idx="90">
                  <c:v>497.54781834683286</c:v>
                </c:pt>
                <c:pt idx="91">
                  <c:v>511.30218344601343</c:v>
                </c:pt>
                <c:pt idx="92">
                  <c:v>525.04873548621742</c:v>
                </c:pt>
                <c:pt idx="93">
                  <c:v>538.78770778433511</c:v>
                </c:pt>
                <c:pt idx="94">
                  <c:v>552.51932079162145</c:v>
                </c:pt>
                <c:pt idx="95">
                  <c:v>566.24378311192481</c:v>
                </c:pt>
                <c:pt idx="96">
                  <c:v>579.96129241609697</c:v>
                </c:pt>
                <c:pt idx="97">
                  <c:v>593.67203626542459</c:v>
                </c:pt>
                <c:pt idx="98">
                  <c:v>607.37619285506855</c:v>
                </c:pt>
                <c:pt idx="99">
                  <c:v>621.07393168694841</c:v>
                </c:pt>
                <c:pt idx="100">
                  <c:v>542.69775145946721</c:v>
                </c:pt>
                <c:pt idx="101">
                  <c:v>556.07428889692233</c:v>
                </c:pt>
                <c:pt idx="102">
                  <c:v>569.44408833111697</c:v>
                </c:pt>
                <c:pt idx="103">
                  <c:v>582.80733019679417</c:v>
                </c:pt>
                <c:pt idx="104">
                  <c:v>596.16418598267205</c:v>
                </c:pt>
                <c:pt idx="105">
                  <c:v>609.51481886966792</c:v>
                </c:pt>
                <c:pt idx="106">
                  <c:v>622.85938431032366</c:v>
                </c:pt>
                <c:pt idx="107">
                  <c:v>636.19803055601596</c:v>
                </c:pt>
                <c:pt idx="108">
                  <c:v>649.53089913767474</c:v>
                </c:pt>
                <c:pt idx="109">
                  <c:v>662.85812530500039</c:v>
                </c:pt>
                <c:pt idx="110">
                  <c:v>578.06785471008277</c:v>
                </c:pt>
                <c:pt idx="111">
                  <c:v>591.14539111471311</c:v>
                </c:pt>
                <c:pt idx="112">
                  <c:v>604.2169063902378</c:v>
                </c:pt>
                <c:pt idx="113">
                  <c:v>617.28254910051839</c:v>
                </c:pt>
                <c:pt idx="114">
                  <c:v>630.34246101011377</c:v>
                </c:pt>
                <c:pt idx="115">
                  <c:v>643.39677753283047</c:v>
                </c:pt>
                <c:pt idx="116">
                  <c:v>656.4456281419931</c:v>
                </c:pt>
                <c:pt idx="117">
                  <c:v>669.48913674641415</c:v>
                </c:pt>
                <c:pt idx="118">
                  <c:v>682.52742203555931</c:v>
                </c:pt>
                <c:pt idx="119">
                  <c:v>695.56059779698069</c:v>
                </c:pt>
                <c:pt idx="120">
                  <c:v>415.93410136559527</c:v>
                </c:pt>
                <c:pt idx="121">
                  <c:v>423.30201611855699</c:v>
                </c:pt>
                <c:pt idx="122">
                  <c:v>430.66717084686161</c:v>
                </c:pt>
                <c:pt idx="123">
                  <c:v>438.02961943852802</c:v>
                </c:pt>
                <c:pt idx="124">
                  <c:v>293.61402449000764</c:v>
                </c:pt>
                <c:pt idx="125">
                  <c:v>298.14022151190994</c:v>
                </c:pt>
                <c:pt idx="126">
                  <c:v>302.66488711697406</c:v>
                </c:pt>
                <c:pt idx="127">
                  <c:v>307.1880474666238</c:v>
                </c:pt>
                <c:pt idx="128">
                  <c:v>213.06200089969045</c:v>
                </c:pt>
                <c:pt idx="129">
                  <c:v>216.00348689034277</c:v>
                </c:pt>
                <c:pt idx="130">
                  <c:v>218.94405119022034</c:v>
                </c:pt>
                <c:pt idx="131">
                  <c:v>221.88370795711012</c:v>
                </c:pt>
                <c:pt idx="132">
                  <c:v>1.2017247746441865E-11</c:v>
                </c:pt>
                <c:pt idx="133">
                  <c:v>1.2017247746441865E-11</c:v>
                </c:pt>
                <c:pt idx="134">
                  <c:v>1.2017247746441865E-11</c:v>
                </c:pt>
                <c:pt idx="135">
                  <c:v>1.2017247746441865E-11</c:v>
                </c:pt>
                <c:pt idx="136">
                  <c:v>1.2017247746441865E-11</c:v>
                </c:pt>
                <c:pt idx="137">
                  <c:v>1.2017247746441865E-11</c:v>
                </c:pt>
                <c:pt idx="138">
                  <c:v>1.2017247746441865E-11</c:v>
                </c:pt>
                <c:pt idx="139">
                  <c:v>1.2017247746441865E-11</c:v>
                </c:pt>
                <c:pt idx="140">
                  <c:v>1.2017247746441865E-11</c:v>
                </c:pt>
                <c:pt idx="141">
                  <c:v>1.2017247746441865E-11</c:v>
                </c:pt>
                <c:pt idx="142">
                  <c:v>1.2017247746441865E-11</c:v>
                </c:pt>
                <c:pt idx="143">
                  <c:v>1.2017247746441865E-11</c:v>
                </c:pt>
                <c:pt idx="144">
                  <c:v>1.2017247746441865E-11</c:v>
                </c:pt>
                <c:pt idx="145">
                  <c:v>1.2017247746441865E-11</c:v>
                </c:pt>
                <c:pt idx="146">
                  <c:v>1.2017247746441865E-11</c:v>
                </c:pt>
                <c:pt idx="147">
                  <c:v>1.2017247746441865E-11</c:v>
                </c:pt>
                <c:pt idx="148">
                  <c:v>1.2017247746441865E-11</c:v>
                </c:pt>
                <c:pt idx="149">
                  <c:v>1.2017247746441865E-11</c:v>
                </c:pt>
                <c:pt idx="150">
                  <c:v>1.2017247746441865E-11</c:v>
                </c:pt>
                <c:pt idx="151">
                  <c:v>1.2017247746441865E-11</c:v>
                </c:pt>
                <c:pt idx="152">
                  <c:v>1.2017247746441865E-11</c:v>
                </c:pt>
                <c:pt idx="153">
                  <c:v>1.2017247746441865E-11</c:v>
                </c:pt>
                <c:pt idx="154">
                  <c:v>1.2017247746441865E-11</c:v>
                </c:pt>
                <c:pt idx="155">
                  <c:v>1.2017247746441865E-11</c:v>
                </c:pt>
                <c:pt idx="156">
                  <c:v>1.2017247746441865E-11</c:v>
                </c:pt>
                <c:pt idx="157">
                  <c:v>1.2017247746441865E-11</c:v>
                </c:pt>
                <c:pt idx="158">
                  <c:v>1.2017247746441865E-11</c:v>
                </c:pt>
                <c:pt idx="159">
                  <c:v>1.2017247746441865E-11</c:v>
                </c:pt>
                <c:pt idx="160">
                  <c:v>1.2017247746441865E-11</c:v>
                </c:pt>
                <c:pt idx="161">
                  <c:v>1.2017247746441865E-11</c:v>
                </c:pt>
                <c:pt idx="162">
                  <c:v>1.2017247746441865E-11</c:v>
                </c:pt>
                <c:pt idx="163">
                  <c:v>1.2017247746441865E-11</c:v>
                </c:pt>
                <c:pt idx="164">
                  <c:v>1.2017247746441865E-11</c:v>
                </c:pt>
                <c:pt idx="165">
                  <c:v>1.2017247746441865E-11</c:v>
                </c:pt>
                <c:pt idx="166">
                  <c:v>1.2017247746441865E-11</c:v>
                </c:pt>
                <c:pt idx="167">
                  <c:v>1.2017247746441865E-11</c:v>
                </c:pt>
                <c:pt idx="168">
                  <c:v>1.2017247746441865E-11</c:v>
                </c:pt>
                <c:pt idx="169">
                  <c:v>1.2017247746441865E-11</c:v>
                </c:pt>
                <c:pt idx="170">
                  <c:v>1.2017247746441865E-11</c:v>
                </c:pt>
                <c:pt idx="171">
                  <c:v>1.2017247746441865E-11</c:v>
                </c:pt>
                <c:pt idx="172">
                  <c:v>1.2017247746441865E-11</c:v>
                </c:pt>
                <c:pt idx="173">
                  <c:v>1.2017247746441865E-11</c:v>
                </c:pt>
                <c:pt idx="174">
                  <c:v>1.2017247746441865E-11</c:v>
                </c:pt>
                <c:pt idx="175">
                  <c:v>1.2017247746441865E-11</c:v>
                </c:pt>
                <c:pt idx="176">
                  <c:v>1.2017247746441865E-11</c:v>
                </c:pt>
                <c:pt idx="177">
                  <c:v>1.2017247746441865E-11</c:v>
                </c:pt>
                <c:pt idx="178">
                  <c:v>1.2017247746441865E-11</c:v>
                </c:pt>
                <c:pt idx="179">
                  <c:v>1.2017247746441865E-11</c:v>
                </c:pt>
                <c:pt idx="180">
                  <c:v>1.2017247746441865E-11</c:v>
                </c:pt>
                <c:pt idx="181">
                  <c:v>1.2017247746441865E-11</c:v>
                </c:pt>
                <c:pt idx="182">
                  <c:v>1.2017247746441865E-11</c:v>
                </c:pt>
                <c:pt idx="183">
                  <c:v>1.2017247746441865E-11</c:v>
                </c:pt>
                <c:pt idx="184">
                  <c:v>1.2017247746441865E-11</c:v>
                </c:pt>
                <c:pt idx="185">
                  <c:v>1.2017247746441865E-11</c:v>
                </c:pt>
                <c:pt idx="186">
                  <c:v>1.2017247746441865E-11</c:v>
                </c:pt>
                <c:pt idx="187">
                  <c:v>1.2017247746441865E-11</c:v>
                </c:pt>
                <c:pt idx="188">
                  <c:v>1.2017247746441865E-11</c:v>
                </c:pt>
                <c:pt idx="189">
                  <c:v>1.2017247746441865E-11</c:v>
                </c:pt>
                <c:pt idx="190">
                  <c:v>1.2017247746441865E-11</c:v>
                </c:pt>
                <c:pt idx="191">
                  <c:v>1.2017247746441865E-11</c:v>
                </c:pt>
                <c:pt idx="192">
                  <c:v>1.2017247746441865E-11</c:v>
                </c:pt>
                <c:pt idx="193">
                  <c:v>1.2017247746441865E-11</c:v>
                </c:pt>
                <c:pt idx="194">
                  <c:v>1.2017247746441865E-11</c:v>
                </c:pt>
                <c:pt idx="195">
                  <c:v>1.2017247746441865E-11</c:v>
                </c:pt>
                <c:pt idx="196">
                  <c:v>1.2017247746441865E-11</c:v>
                </c:pt>
                <c:pt idx="197">
                  <c:v>1.2017247746441865E-11</c:v>
                </c:pt>
                <c:pt idx="198">
                  <c:v>1.2017247746441865E-11</c:v>
                </c:pt>
                <c:pt idx="199">
                  <c:v>1.2017247746441865E-11</c:v>
                </c:pt>
                <c:pt idx="200">
                  <c:v>1.2017247746441865E-11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1.5319729322611784</c:v>
                </c:pt>
                <c:pt idx="2">
                  <c:v>2.0238203126803538</c:v>
                </c:pt>
                <c:pt idx="3">
                  <c:v>2.6742394437841903</c:v>
                </c:pt>
                <c:pt idx="4">
                  <c:v>3.5345554555286793</c:v>
                </c:pt>
                <c:pt idx="5">
                  <c:v>4.6727670796671035</c:v>
                </c:pt>
                <c:pt idx="6">
                  <c:v>6.1789817422844822</c:v>
                </c:pt>
                <c:pt idx="7">
                  <c:v>8.172627891569034</c:v>
                </c:pt>
                <c:pt idx="8">
                  <c:v>10.81202737109418</c:v>
                </c:pt>
                <c:pt idx="9">
                  <c:v>14.307102268981602</c:v>
                </c:pt>
                <c:pt idx="10">
                  <c:v>18.936245444176983</c:v>
                </c:pt>
                <c:pt idx="11">
                  <c:v>25.068722709025806</c:v>
                </c:pt>
                <c:pt idx="12">
                  <c:v>33.194425189902127</c:v>
                </c:pt>
                <c:pt idx="13">
                  <c:v>43.963389640945849</c:v>
                </c:pt>
                <c:pt idx="14">
                  <c:v>58.238301631497507</c:v>
                </c:pt>
                <c:pt idx="15">
                  <c:v>77.164257040927978</c:v>
                </c:pt>
                <c:pt idx="16">
                  <c:v>102.26146835104483</c:v>
                </c:pt>
                <c:pt idx="17">
                  <c:v>135.54847990550257</c:v>
                </c:pt>
                <c:pt idx="18">
                  <c:v>179.70595518792945</c:v>
                </c:pt>
                <c:pt idx="19">
                  <c:v>132.97388983659252</c:v>
                </c:pt>
                <c:pt idx="20">
                  <c:v>152.86943896886694</c:v>
                </c:pt>
                <c:pt idx="21">
                  <c:v>172.70331237548908</c:v>
                </c:pt>
                <c:pt idx="22">
                  <c:v>192.48359588354273</c:v>
                </c:pt>
                <c:pt idx="23">
                  <c:v>212.21657377861251</c:v>
                </c:pt>
                <c:pt idx="24">
                  <c:v>231.90726431287155</c:v>
                </c:pt>
                <c:pt idx="25">
                  <c:v>213.00429846398242</c:v>
                </c:pt>
                <c:pt idx="26">
                  <c:v>234.75851000278365</c:v>
                </c:pt>
                <c:pt idx="27">
                  <c:v>256.46672277143176</c:v>
                </c:pt>
                <c:pt idx="28">
                  <c:v>278.13337690481899</c:v>
                </c:pt>
                <c:pt idx="29">
                  <c:v>299.7621639530588</c:v>
                </c:pt>
                <c:pt idx="30">
                  <c:v>321.35619915728893</c:v>
                </c:pt>
                <c:pt idx="31">
                  <c:v>280.85629757171893</c:v>
                </c:pt>
                <c:pt idx="32">
                  <c:v>302.53394335035023</c:v>
                </c:pt>
                <c:pt idx="33">
                  <c:v>324.17703159647147</c:v>
                </c:pt>
                <c:pt idx="34">
                  <c:v>345.78819272563709</c:v>
                </c:pt>
                <c:pt idx="35">
                  <c:v>367.36970159006086</c:v>
                </c:pt>
                <c:pt idx="36">
                  <c:v>388.92354403995688</c:v>
                </c:pt>
                <c:pt idx="37">
                  <c:v>344.73921004537596</c:v>
                </c:pt>
                <c:pt idx="38">
                  <c:v>365.88348121983034</c:v>
                </c:pt>
                <c:pt idx="39">
                  <c:v>387.00107705464376</c:v>
                </c:pt>
                <c:pt idx="40">
                  <c:v>408.09365696719101</c:v>
                </c:pt>
                <c:pt idx="41">
                  <c:v>429.16269492791685</c:v>
                </c:pt>
                <c:pt idx="42">
                  <c:v>450.20950845799774</c:v>
                </c:pt>
                <c:pt idx="43">
                  <c:v>401.57800498402804</c:v>
                </c:pt>
                <c:pt idx="44">
                  <c:v>421.90851607468545</c:v>
                </c:pt>
                <c:pt idx="45">
                  <c:v>442.21794178774502</c:v>
                </c:pt>
                <c:pt idx="46">
                  <c:v>462.50738609025547</c:v>
                </c:pt>
                <c:pt idx="47">
                  <c:v>482.77784825059007</c:v>
                </c:pt>
                <c:pt idx="48">
                  <c:v>503.03023683654936</c:v>
                </c:pt>
                <c:pt idx="49">
                  <c:v>446.0228007493393</c:v>
                </c:pt>
                <c:pt idx="50">
                  <c:v>465.26039693590161</c:v>
                </c:pt>
                <c:pt idx="51">
                  <c:v>484.48103896188769</c:v>
                </c:pt>
                <c:pt idx="52">
                  <c:v>503.68549366084102</c:v>
                </c:pt>
                <c:pt idx="53">
                  <c:v>522.87446466016411</c:v>
                </c:pt>
                <c:pt idx="54">
                  <c:v>542.04859976654859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3.6730282214288827</c:v>
                </c:pt>
                <c:pt idx="2">
                  <c:v>5.0830721403463937</c:v>
                </c:pt>
                <c:pt idx="3">
                  <c:v>7.036679533704671</c:v>
                </c:pt>
                <c:pt idx="4">
                  <c:v>9.7442075368743222</c:v>
                </c:pt>
                <c:pt idx="5">
                  <c:v>13.497714670318894</c:v>
                </c:pt>
                <c:pt idx="6">
                  <c:v>18.702798513212141</c:v>
                </c:pt>
                <c:pt idx="7">
                  <c:v>25.92287762963684</c:v>
                </c:pt>
                <c:pt idx="8">
                  <c:v>35.940795178890447</c:v>
                </c:pt>
                <c:pt idx="9">
                  <c:v>49.844538070800986</c:v>
                </c:pt>
                <c:pt idx="10">
                  <c:v>69.146536639181463</c:v>
                </c:pt>
                <c:pt idx="11">
                  <c:v>89.481359471532414</c:v>
                </c:pt>
                <c:pt idx="12">
                  <c:v>109.69969907041973</c:v>
                </c:pt>
                <c:pt idx="13">
                  <c:v>129.82617251251659</c:v>
                </c:pt>
                <c:pt idx="14">
                  <c:v>149.87707112836947</c:v>
                </c:pt>
                <c:pt idx="15">
                  <c:v>169.8639461155727</c:v>
                </c:pt>
                <c:pt idx="16">
                  <c:v>195.22253928938787</c:v>
                </c:pt>
                <c:pt idx="17">
                  <c:v>220.50453226750395</c:v>
                </c:pt>
                <c:pt idx="18">
                  <c:v>245.71994542966834</c:v>
                </c:pt>
                <c:pt idx="19">
                  <c:v>270.87657100003173</c:v>
                </c:pt>
                <c:pt idx="20">
                  <c:v>295.98063417932605</c:v>
                </c:pt>
                <c:pt idx="21">
                  <c:v>197.48280714753739</c:v>
                </c:pt>
                <c:pt idx="22">
                  <c:v>220.50453226750395</c:v>
                </c:pt>
                <c:pt idx="23">
                  <c:v>243.47106182824413</c:v>
                </c:pt>
                <c:pt idx="24">
                  <c:v>266.38833386373528</c:v>
                </c:pt>
                <c:pt idx="25">
                  <c:v>289.26118046969754</c:v>
                </c:pt>
                <c:pt idx="26">
                  <c:v>252.91325418581559</c:v>
                </c:pt>
                <c:pt idx="27">
                  <c:v>274.91455293818166</c:v>
                </c:pt>
                <c:pt idx="28">
                  <c:v>296.87630238617862</c:v>
                </c:pt>
                <c:pt idx="29">
                  <c:v>318.80183833443067</c:v>
                </c:pt>
                <c:pt idx="30">
                  <c:v>340.6940002860228</c:v>
                </c:pt>
                <c:pt idx="31">
                  <c:v>300.90606654813729</c:v>
                </c:pt>
                <c:pt idx="32">
                  <c:v>321.48425180635394</c:v>
                </c:pt>
                <c:pt idx="33">
                  <c:v>342.03330890235503</c:v>
                </c:pt>
                <c:pt idx="34">
                  <c:v>362.55523309892413</c:v>
                </c:pt>
                <c:pt idx="35">
                  <c:v>383.05177541071208</c:v>
                </c:pt>
                <c:pt idx="36">
                  <c:v>342.4797194558883</c:v>
                </c:pt>
                <c:pt idx="37">
                  <c:v>362.10938015631001</c:v>
                </c:pt>
                <c:pt idx="38">
                  <c:v>381.71578669021255</c:v>
                </c:pt>
                <c:pt idx="39">
                  <c:v>401.30030091052237</c:v>
                </c:pt>
                <c:pt idx="40">
                  <c:v>420.864140955106</c:v>
                </c:pt>
                <c:pt idx="41">
                  <c:v>378.59808340312696</c:v>
                </c:pt>
                <c:pt idx="42">
                  <c:v>396.40615590256056</c:v>
                </c:pt>
                <c:pt idx="43">
                  <c:v>414.19690225230175</c:v>
                </c:pt>
                <c:pt idx="44">
                  <c:v>431.97117107689922</c:v>
                </c:pt>
                <c:pt idx="45">
                  <c:v>449.72973549516246</c:v>
                </c:pt>
                <c:pt idx="46">
                  <c:v>408.416756548705</c:v>
                </c:pt>
                <c:pt idx="47">
                  <c:v>424.86338979756653</c:v>
                </c:pt>
                <c:pt idx="48">
                  <c:v>441.29632927906988</c:v>
                </c:pt>
                <c:pt idx="49">
                  <c:v>457.71615652908685</c:v>
                </c:pt>
                <c:pt idx="50">
                  <c:v>474.12340797215165</c:v>
                </c:pt>
                <c:pt idx="51">
                  <c:v>435.52411678963432</c:v>
                </c:pt>
                <c:pt idx="52">
                  <c:v>450.17350463671522</c:v>
                </c:pt>
                <c:pt idx="53">
                  <c:v>464.81269749872439</c:v>
                </c:pt>
                <c:pt idx="54">
                  <c:v>479.44206160972567</c:v>
                </c:pt>
                <c:pt idx="55">
                  <c:v>494.06193903689768</c:v>
                </c:pt>
                <c:pt idx="56">
                  <c:v>456.38529460741091</c:v>
                </c:pt>
                <c:pt idx="57">
                  <c:v>469.69022691951341</c:v>
                </c:pt>
                <c:pt idx="58">
                  <c:v>482.98713293042402</c:v>
                </c:pt>
                <c:pt idx="59">
                  <c:v>496.27626470453976</c:v>
                </c:pt>
                <c:pt idx="60">
                  <c:v>509.55785970842743</c:v>
                </c:pt>
                <c:pt idx="61">
                  <c:v>475.45318983876706</c:v>
                </c:pt>
                <c:pt idx="62">
                  <c:v>487.86070439311379</c:v>
                </c:pt>
                <c:pt idx="63">
                  <c:v>500.26152412217448</c:v>
                </c:pt>
                <c:pt idx="64">
                  <c:v>512.65583834806694</c:v>
                </c:pt>
                <c:pt idx="65">
                  <c:v>525.04382649327351</c:v>
                </c:pt>
                <c:pt idx="66">
                  <c:v>491.84740297234742</c:v>
                </c:pt>
                <c:pt idx="67">
                  <c:v>502.91798999726456</c:v>
                </c:pt>
                <c:pt idx="68">
                  <c:v>513.98342229938953</c:v>
                </c:pt>
                <c:pt idx="69">
                  <c:v>525.04382649327351</c:v>
                </c:pt>
                <c:pt idx="70">
                  <c:v>536.099323424212</c:v>
                </c:pt>
                <c:pt idx="71">
                  <c:v>506.01682508175622</c:v>
                </c:pt>
                <c:pt idx="72">
                  <c:v>515.75342165232314</c:v>
                </c:pt>
                <c:pt idx="73">
                  <c:v>525.48613980439268</c:v>
                </c:pt>
                <c:pt idx="74">
                  <c:v>535.21506150486687</c:v>
                </c:pt>
                <c:pt idx="75">
                  <c:v>544.94026549750731</c:v>
                </c:pt>
                <c:pt idx="76">
                  <c:v>518.4081804575975</c:v>
                </c:pt>
                <c:pt idx="77">
                  <c:v>527.25531469060445</c:v>
                </c:pt>
                <c:pt idx="78">
                  <c:v>536.099323424212</c:v>
                </c:pt>
                <c:pt idx="79">
                  <c:v>544.94026549750731</c:v>
                </c:pt>
                <c:pt idx="80">
                  <c:v>553.77819768444851</c:v>
                </c:pt>
                <c:pt idx="81">
                  <c:v>528.58211378930434</c:v>
                </c:pt>
                <c:pt idx="82">
                  <c:v>536.54144288093755</c:v>
                </c:pt>
                <c:pt idx="83">
                  <c:v>544.49829034246511</c:v>
                </c:pt>
                <c:pt idx="84">
                  <c:v>552.45269756028677</c:v>
                </c:pt>
                <c:pt idx="85">
                  <c:v>560.40470463156919</c:v>
                </c:pt>
                <c:pt idx="86">
                  <c:v>536.099323424212</c:v>
                </c:pt>
                <c:pt idx="87">
                  <c:v>542.7303143394812</c:v>
                </c:pt>
                <c:pt idx="88">
                  <c:v>549.35960435614891</c:v>
                </c:pt>
                <c:pt idx="89">
                  <c:v>555.98721690157754</c:v>
                </c:pt>
                <c:pt idx="90">
                  <c:v>562.61317479886077</c:v>
                </c:pt>
                <c:pt idx="91">
                  <c:v>542.7303143394812</c:v>
                </c:pt>
                <c:pt idx="92">
                  <c:v>549.35960435614891</c:v>
                </c:pt>
                <c:pt idx="93">
                  <c:v>555.98721690157754</c:v>
                </c:pt>
                <c:pt idx="94">
                  <c:v>562.61317479886077</c:v>
                </c:pt>
                <c:pt idx="95">
                  <c:v>569.23750028949542</c:v>
                </c:pt>
                <c:pt idx="96">
                  <c:v>549.35960435614891</c:v>
                </c:pt>
                <c:pt idx="97">
                  <c:v>555.98721690157754</c:v>
                </c:pt>
                <c:pt idx="98">
                  <c:v>562.61317479886077</c:v>
                </c:pt>
                <c:pt idx="99">
                  <c:v>569.23750028949542</c:v>
                </c:pt>
                <c:pt idx="100">
                  <c:v>575.86021505494898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2.9770808019599735</c:v>
                </c:pt>
                <c:pt idx="2">
                  <c:v>3.4373570828714688</c:v>
                </c:pt>
                <c:pt idx="3">
                  <c:v>3.969049858352836</c:v>
                </c:pt>
                <c:pt idx="4">
                  <c:v>4.5832774414983648</c:v>
                </c:pt>
                <c:pt idx="5">
                  <c:v>5.2928945237969822</c:v>
                </c:pt>
                <c:pt idx="6">
                  <c:v>6.1127641431566362</c:v>
                </c:pt>
                <c:pt idx="7">
                  <c:v>7.0600723651439914</c:v>
                </c:pt>
                <c:pt idx="8">
                  <c:v>8.1546924022830094</c:v>
                </c:pt>
                <c:pt idx="9">
                  <c:v>9.4196059574262012</c:v>
                </c:pt>
                <c:pt idx="10">
                  <c:v>10.881390806178834</c:v>
                </c:pt>
                <c:pt idx="11">
                  <c:v>12.570785056701292</c:v>
                </c:pt>
                <c:pt idx="12">
                  <c:v>14.523340173738314</c:v>
                </c:pt>
                <c:pt idx="13">
                  <c:v>16.780176763115087</c:v>
                </c:pt>
                <c:pt idx="14">
                  <c:v>19.388859324553817</c:v>
                </c:pt>
                <c:pt idx="15">
                  <c:v>22.40440874242114</c:v>
                </c:pt>
                <c:pt idx="16">
                  <c:v>25.890474251448747</c:v>
                </c:pt>
                <c:pt idx="17">
                  <c:v>29.92069005192911</c:v>
                </c:pt>
                <c:pt idx="18">
                  <c:v>34.580245730952278</c:v>
                </c:pt>
                <c:pt idx="19">
                  <c:v>39.967704259345972</c:v>
                </c:pt>
                <c:pt idx="20">
                  <c:v>46.197106678273713</c:v>
                </c:pt>
                <c:pt idx="21">
                  <c:v>53.400408781022065</c:v>
                </c:pt>
                <c:pt idx="22">
                  <c:v>61.730302268911977</c:v>
                </c:pt>
                <c:pt idx="23">
                  <c:v>71.363481171441208</c:v>
                </c:pt>
                <c:pt idx="24">
                  <c:v>82.504423950448952</c:v>
                </c:pt>
                <c:pt idx="25">
                  <c:v>95.389772865783996</c:v>
                </c:pt>
                <c:pt idx="26">
                  <c:v>110.29340510848425</c:v>
                </c:pt>
                <c:pt idx="27">
                  <c:v>127.53230518830827</c:v>
                </c:pt>
                <c:pt idx="28">
                  <c:v>147.47336542186929</c:v>
                </c:pt>
                <c:pt idx="29">
                  <c:v>170.54126148381732</c:v>
                </c:pt>
                <c:pt idx="30">
                  <c:v>197.22757329492163</c:v>
                </c:pt>
                <c:pt idx="31">
                  <c:v>208.92142876180176</c:v>
                </c:pt>
                <c:pt idx="32">
                  <c:v>220.60017986363141</c:v>
                </c:pt>
                <c:pt idx="33">
                  <c:v>232.264739416477</c:v>
                </c:pt>
                <c:pt idx="34">
                  <c:v>243.91592098733301</c:v>
                </c:pt>
                <c:pt idx="35">
                  <c:v>255.55445401337798</c:v>
                </c:pt>
                <c:pt idx="36">
                  <c:v>267.18099601974819</c:v>
                </c:pt>
                <c:pt idx="37">
                  <c:v>278.79614259728777</c:v>
                </c:pt>
                <c:pt idx="38">
                  <c:v>290.4004356291054</c:v>
                </c:pt>
                <c:pt idx="39">
                  <c:v>301.99437013242931</c:v>
                </c:pt>
                <c:pt idx="40">
                  <c:v>313.57839999414279</c:v>
                </c:pt>
                <c:pt idx="41">
                  <c:v>325.15294281399184</c:v>
                </c:pt>
                <c:pt idx="42">
                  <c:v>336.71838402176826</c:v>
                </c:pt>
                <c:pt idx="43">
                  <c:v>348.27508039901596</c:v>
                </c:pt>
                <c:pt idx="44">
                  <c:v>359.82336310869147</c:v>
                </c:pt>
                <c:pt idx="45">
                  <c:v>234.70281254814427</c:v>
                </c:pt>
                <c:pt idx="46">
                  <c:v>249.59893217379951</c:v>
                </c:pt>
                <c:pt idx="47">
                  <c:v>264.47489375819822</c:v>
                </c:pt>
                <c:pt idx="48">
                  <c:v>279.33199093869058</c:v>
                </c:pt>
                <c:pt idx="49">
                  <c:v>294.17136845681017</c:v>
                </c:pt>
                <c:pt idx="50">
                  <c:v>308.99404610191897</c:v>
                </c:pt>
                <c:pt idx="51">
                  <c:v>323.80093781674623</c:v>
                </c:pt>
                <c:pt idx="52">
                  <c:v>255.78698052992738</c:v>
                </c:pt>
                <c:pt idx="53">
                  <c:v>269.71503855690486</c:v>
                </c:pt>
                <c:pt idx="54">
                  <c:v>283.62691234584025</c:v>
                </c:pt>
                <c:pt idx="55">
                  <c:v>297.52350768668458</c:v>
                </c:pt>
                <c:pt idx="56">
                  <c:v>311.40563882069802</c:v>
                </c:pt>
                <c:pt idx="57">
                  <c:v>325.27404144854546</c:v>
                </c:pt>
                <c:pt idx="58">
                  <c:v>339.12938340274769</c:v>
                </c:pt>
                <c:pt idx="59">
                  <c:v>352.97227348409729</c:v>
                </c:pt>
                <c:pt idx="60">
                  <c:v>281.39125702931875</c:v>
                </c:pt>
                <c:pt idx="61">
                  <c:v>294.31014596253618</c:v>
                </c:pt>
                <c:pt idx="62">
                  <c:v>307.2163841165638</c:v>
                </c:pt>
                <c:pt idx="63">
                  <c:v>320.11057795832443</c:v>
                </c:pt>
                <c:pt idx="64">
                  <c:v>332.99328109429655</c:v>
                </c:pt>
                <c:pt idx="65">
                  <c:v>345.86500078813629</c:v>
                </c:pt>
                <c:pt idx="66">
                  <c:v>358.72620345698607</c:v>
                </c:pt>
                <c:pt idx="67">
                  <c:v>371.57731933813437</c:v>
                </c:pt>
                <c:pt idx="68">
                  <c:v>314.62020332185165</c:v>
                </c:pt>
                <c:pt idx="69">
                  <c:v>326.95889671398453</c:v>
                </c:pt>
                <c:pt idx="70">
                  <c:v>339.28731000411216</c:v>
                </c:pt>
                <c:pt idx="71">
                  <c:v>351.60586945648743</c:v>
                </c:pt>
                <c:pt idx="72">
                  <c:v>363.9149690215898</c:v>
                </c:pt>
                <c:pt idx="73">
                  <c:v>376.21497381909467</c:v>
                </c:pt>
                <c:pt idx="74">
                  <c:v>388.50622314145625</c:v>
                </c:pt>
                <c:pt idx="75">
                  <c:v>400.78903305747446</c:v>
                </c:pt>
                <c:pt idx="76">
                  <c:v>345.86384431093734</c:v>
                </c:pt>
                <c:pt idx="77">
                  <c:v>357.77573460306729</c:v>
                </c:pt>
                <c:pt idx="78">
                  <c:v>369.67894674632447</c:v>
                </c:pt>
                <c:pt idx="79">
                  <c:v>381.57379960604271</c:v>
                </c:pt>
                <c:pt idx="80">
                  <c:v>393.46059054098606</c:v>
                </c:pt>
                <c:pt idx="81">
                  <c:v>405.33959747363838</c:v>
                </c:pt>
                <c:pt idx="82">
                  <c:v>417.21108070510104</c:v>
                </c:pt>
                <c:pt idx="83">
                  <c:v>429.07528451262601</c:v>
                </c:pt>
                <c:pt idx="84">
                  <c:v>440.93243856122854</c:v>
                </c:pt>
                <c:pt idx="85">
                  <c:v>376.60167716610619</c:v>
                </c:pt>
                <c:pt idx="86">
                  <c:v>387.96577939828467</c:v>
                </c:pt>
                <c:pt idx="87">
                  <c:v>399.32265618290847</c:v>
                </c:pt>
                <c:pt idx="88">
                  <c:v>410.67254202116061</c:v>
                </c:pt>
                <c:pt idx="89">
                  <c:v>422.01565739214857</c:v>
                </c:pt>
                <c:pt idx="90">
                  <c:v>433.35220995374738</c:v>
                </c:pt>
                <c:pt idx="91">
                  <c:v>444.6823956112226</c:v>
                </c:pt>
                <c:pt idx="92">
                  <c:v>456.00639947125768</c:v>
                </c:pt>
                <c:pt idx="93">
                  <c:v>467.32439669627183</c:v>
                </c:pt>
                <c:pt idx="94">
                  <c:v>413.86099161777793</c:v>
                </c:pt>
                <c:pt idx="95">
                  <c:v>425.19717647466877</c:v>
                </c:pt>
                <c:pt idx="96">
                  <c:v>436.52686044713772</c:v>
                </c:pt>
                <c:pt idx="97">
                  <c:v>447.85023606285631</c:v>
                </c:pt>
                <c:pt idx="98">
                  <c:v>459.16748531856956</c:v>
                </c:pt>
                <c:pt idx="99">
                  <c:v>470.47878050700183</c:v>
                </c:pt>
                <c:pt idx="100">
                  <c:v>481.78428496010048</c:v>
                </c:pt>
                <c:pt idx="101">
                  <c:v>493.08415371888253</c:v>
                </c:pt>
                <c:pt idx="102">
                  <c:v>504.37853413868493</c:v>
                </c:pt>
                <c:pt idx="103">
                  <c:v>515.6675664373829</c:v>
                </c:pt>
                <c:pt idx="104">
                  <c:v>441.67788304694392</c:v>
                </c:pt>
                <c:pt idx="105">
                  <c:v>452.64938831122686</c:v>
                </c:pt>
                <c:pt idx="106">
                  <c:v>463.61520902016565</c:v>
                </c:pt>
                <c:pt idx="107">
                  <c:v>474.57549859599521</c:v>
                </c:pt>
                <c:pt idx="108">
                  <c:v>485.53040279578119</c:v>
                </c:pt>
                <c:pt idx="109">
                  <c:v>496.48006026237272</c:v>
                </c:pt>
                <c:pt idx="110">
                  <c:v>507.42460302422029</c:v>
                </c:pt>
                <c:pt idx="111">
                  <c:v>518.36415694983214</c:v>
                </c:pt>
                <c:pt idx="112">
                  <c:v>529.29884216187008</c:v>
                </c:pt>
                <c:pt idx="113">
                  <c:v>540.22877341525339</c:v>
                </c:pt>
                <c:pt idx="114">
                  <c:v>483.77843347470525</c:v>
                </c:pt>
                <c:pt idx="115">
                  <c:v>495.18106269086019</c:v>
                </c:pt>
                <c:pt idx="116">
                  <c:v>506.57812932992596</c:v>
                </c:pt>
                <c:pt idx="117">
                  <c:v>517.96977617364007</c:v>
                </c:pt>
                <c:pt idx="118">
                  <c:v>529.35613921155607</c:v>
                </c:pt>
                <c:pt idx="119">
                  <c:v>540.73734810639564</c:v>
                </c:pt>
                <c:pt idx="120">
                  <c:v>552.11352661818967</c:v>
                </c:pt>
                <c:pt idx="121">
                  <c:v>563.48479299165012</c:v>
                </c:pt>
                <c:pt idx="122">
                  <c:v>574.85126031065295</c:v>
                </c:pt>
                <c:pt idx="123">
                  <c:v>586.21303682323253</c:v>
                </c:pt>
                <c:pt idx="124">
                  <c:v>597.57022624007823</c:v>
                </c:pt>
                <c:pt idx="125">
                  <c:v>608.92292800916312</c:v>
                </c:pt>
                <c:pt idx="126">
                  <c:v>516.97691743661551</c:v>
                </c:pt>
                <c:pt idx="127">
                  <c:v>528.23080123722991</c:v>
                </c:pt>
                <c:pt idx="128">
                  <c:v>539.47963831715936</c:v>
                </c:pt>
                <c:pt idx="129">
                  <c:v>550.7235487287619</c:v>
                </c:pt>
                <c:pt idx="130">
                  <c:v>561.96264722308808</c:v>
                </c:pt>
                <c:pt idx="131">
                  <c:v>573.19704358756508</c:v>
                </c:pt>
                <c:pt idx="132">
                  <c:v>584.42684295583661</c:v>
                </c:pt>
                <c:pt idx="133">
                  <c:v>595.65214609255543</c:v>
                </c:pt>
                <c:pt idx="134">
                  <c:v>606.87304965559781</c:v>
                </c:pt>
                <c:pt idx="135">
                  <c:v>618.08964643788192</c:v>
                </c:pt>
                <c:pt idx="136">
                  <c:v>629.30202559072757</c:v>
                </c:pt>
                <c:pt idx="137">
                  <c:v>640.51027283047199</c:v>
                </c:pt>
                <c:pt idx="138">
                  <c:v>541.94116393966794</c:v>
                </c:pt>
                <c:pt idx="139">
                  <c:v>552.88748579227229</c:v>
                </c:pt>
                <c:pt idx="140">
                  <c:v>563.82926666737285</c:v>
                </c:pt>
                <c:pt idx="141">
                  <c:v>574.76660709862961</c:v>
                </c:pt>
                <c:pt idx="142">
                  <c:v>585.69960348209554</c:v>
                </c:pt>
                <c:pt idx="143">
                  <c:v>596.6283483221988</c:v>
                </c:pt>
                <c:pt idx="144">
                  <c:v>607.55293045876988</c:v>
                </c:pt>
                <c:pt idx="145">
                  <c:v>618.47343527689191</c:v>
                </c:pt>
                <c:pt idx="146">
                  <c:v>629.38994490116841</c:v>
                </c:pt>
                <c:pt idx="147">
                  <c:v>640.30253837581188</c:v>
                </c:pt>
                <c:pt idx="148">
                  <c:v>651.21129183182666</c:v>
                </c:pt>
                <c:pt idx="149">
                  <c:v>662.11627864240563</c:v>
                </c:pt>
                <c:pt idx="150">
                  <c:v>410.25891232631693</c:v>
                </c:pt>
                <c:pt idx="151">
                  <c:v>416.93235115607769</c:v>
                </c:pt>
                <c:pt idx="152">
                  <c:v>423.60348761898211</c:v>
                </c:pt>
                <c:pt idx="153">
                  <c:v>430.27236311544448</c:v>
                </c:pt>
                <c:pt idx="154">
                  <c:v>282.60235881259825</c:v>
                </c:pt>
                <c:pt idx="155">
                  <c:v>286.67220565892609</c:v>
                </c:pt>
                <c:pt idx="156">
                  <c:v>290.74075975339895</c:v>
                </c:pt>
                <c:pt idx="157">
                  <c:v>294.80804177163026</c:v>
                </c:pt>
                <c:pt idx="158">
                  <c:v>197.61056174383398</c:v>
                </c:pt>
                <c:pt idx="159">
                  <c:v>200.15752525879137</c:v>
                </c:pt>
                <c:pt idx="160">
                  <c:v>202.70373739936451</c:v>
                </c:pt>
                <c:pt idx="161">
                  <c:v>205.24920896259434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2.5056460090303925</c:v>
                </c:pt>
                <c:pt idx="2">
                  <c:v>3.327732738846354</c:v>
                </c:pt>
                <c:pt idx="3">
                  <c:v>4.4206485604712045</c:v>
                </c:pt>
                <c:pt idx="4">
                  <c:v>5.8739591407388465</c:v>
                </c:pt>
                <c:pt idx="5">
                  <c:v>7.8069564008888577</c:v>
                </c:pt>
                <c:pt idx="6">
                  <c:v>10.378557094398952</c:v>
                </c:pt>
                <c:pt idx="7">
                  <c:v>13.800507525415135</c:v>
                </c:pt>
                <c:pt idx="8">
                  <c:v>18.355001719973249</c:v>
                </c:pt>
                <c:pt idx="9">
                  <c:v>24.418192160645134</c:v>
                </c:pt>
                <c:pt idx="10">
                  <c:v>32.491569113944941</c:v>
                </c:pt>
                <c:pt idx="11">
                  <c:v>45.045722811468245</c:v>
                </c:pt>
                <c:pt idx="12">
                  <c:v>68.918116010042766</c:v>
                </c:pt>
                <c:pt idx="13">
                  <c:v>92.57439481805693</c:v>
                </c:pt>
                <c:pt idx="14">
                  <c:v>116.07848211116128</c:v>
                </c:pt>
                <c:pt idx="15">
                  <c:v>139.46576938145776</c:v>
                </c:pt>
                <c:pt idx="16">
                  <c:v>97.737484153486875</c:v>
                </c:pt>
                <c:pt idx="17">
                  <c:v>123.45843862619604</c:v>
                </c:pt>
                <c:pt idx="18">
                  <c:v>149.0486227432686</c:v>
                </c:pt>
                <c:pt idx="19">
                  <c:v>174.53373816678013</c:v>
                </c:pt>
                <c:pt idx="20">
                  <c:v>199.93131520555619</c:v>
                </c:pt>
                <c:pt idx="21">
                  <c:v>159.89147845501216</c:v>
                </c:pt>
                <c:pt idx="22">
                  <c:v>186.6076360513151</c:v>
                </c:pt>
                <c:pt idx="23">
                  <c:v>213.23441535885948</c:v>
                </c:pt>
                <c:pt idx="24">
                  <c:v>239.78455379251184</c:v>
                </c:pt>
                <c:pt idx="25">
                  <c:v>266.26773098057953</c:v>
                </c:pt>
                <c:pt idx="26">
                  <c:v>225.88624492093732</c:v>
                </c:pt>
                <c:pt idx="27">
                  <c:v>251.77283729785236</c:v>
                </c:pt>
                <c:pt idx="28">
                  <c:v>277.59910531675155</c:v>
                </c:pt>
                <c:pt idx="29">
                  <c:v>303.37144778612094</c:v>
                </c:pt>
                <c:pt idx="30">
                  <c:v>329.09508705409212</c:v>
                </c:pt>
                <c:pt idx="31">
                  <c:v>287.03396888617937</c:v>
                </c:pt>
                <c:pt idx="32">
                  <c:v>310.90515078463847</c:v>
                </c:pt>
                <c:pt idx="33">
                  <c:v>334.73566468440248</c:v>
                </c:pt>
                <c:pt idx="34">
                  <c:v>358.52881092769786</c:v>
                </c:pt>
                <c:pt idx="35">
                  <c:v>382.28741618096228</c:v>
                </c:pt>
                <c:pt idx="36">
                  <c:v>337.24191352703082</c:v>
                </c:pt>
                <c:pt idx="37">
                  <c:v>357.90312952366207</c:v>
                </c:pt>
                <c:pt idx="38">
                  <c:v>378.53824995849158</c:v>
                </c:pt>
                <c:pt idx="39">
                  <c:v>399.14889663922986</c:v>
                </c:pt>
                <c:pt idx="40">
                  <c:v>419.73651029301618</c:v>
                </c:pt>
                <c:pt idx="41">
                  <c:v>375.10080417289322</c:v>
                </c:pt>
                <c:pt idx="42">
                  <c:v>392.90574133229569</c:v>
                </c:pt>
                <c:pt idx="43">
                  <c:v>410.69318870493333</c:v>
                </c:pt>
                <c:pt idx="44">
                  <c:v>428.46401008226007</c:v>
                </c:pt>
                <c:pt idx="45">
                  <c:v>446.21899178570357</c:v>
                </c:pt>
                <c:pt idx="46">
                  <c:v>420.98353332932442</c:v>
                </c:pt>
                <c:pt idx="47">
                  <c:v>436.25318896943855</c:v>
                </c:pt>
                <c:pt idx="48">
                  <c:v>451.51137887574367</c:v>
                </c:pt>
                <c:pt idx="49">
                  <c:v>466.75854497480481</c:v>
                </c:pt>
                <c:pt idx="50">
                  <c:v>481.99509797473166</c:v>
                </c:pt>
                <c:pt idx="51">
                  <c:v>462.4033121825118</c:v>
                </c:pt>
                <c:pt idx="52">
                  <c:v>475.46642110106609</c:v>
                </c:pt>
                <c:pt idx="53">
                  <c:v>488.5218960991653</c:v>
                </c:pt>
                <c:pt idx="54">
                  <c:v>501.5699699024297</c:v>
                </c:pt>
                <c:pt idx="55">
                  <c:v>514.61086214265526</c:v>
                </c:pt>
                <c:pt idx="56">
                  <c:v>498.15332008482136</c:v>
                </c:pt>
                <c:pt idx="57">
                  <c:v>509.64373653602433</c:v>
                </c:pt>
                <c:pt idx="58">
                  <c:v>521.12868049361134</c:v>
                </c:pt>
                <c:pt idx="59">
                  <c:v>532.60828955263503</c:v>
                </c:pt>
                <c:pt idx="60">
                  <c:v>544.08269489370571</c:v>
                </c:pt>
                <c:pt idx="61">
                  <c:v>527.02427283891677</c:v>
                </c:pt>
                <c:pt idx="62">
                  <c:v>536.330282305266</c:v>
                </c:pt>
                <c:pt idx="63">
                  <c:v>545.63289799541383</c:v>
                </c:pt>
                <c:pt idx="64">
                  <c:v>554.9321859329965</c:v>
                </c:pt>
                <c:pt idx="65">
                  <c:v>564.22820974827573</c:v>
                </c:pt>
                <c:pt idx="66">
                  <c:v>547.4930197333249</c:v>
                </c:pt>
                <c:pt idx="67">
                  <c:v>555.55202171385451</c:v>
                </c:pt>
                <c:pt idx="68">
                  <c:v>563.60857513569988</c:v>
                </c:pt>
                <c:pt idx="69">
                  <c:v>571.66271994120405</c:v>
                </c:pt>
                <c:pt idx="70">
                  <c:v>579.71449485526693</c:v>
                </c:pt>
                <c:pt idx="71">
                  <c:v>563.9183942223159</c:v>
                </c:pt>
                <c:pt idx="72">
                  <c:v>571.35298920709954</c:v>
                </c:pt>
                <c:pt idx="73">
                  <c:v>578.78556363786606</c:v>
                </c:pt>
                <c:pt idx="74">
                  <c:v>586.21614712582311</c:v>
                </c:pt>
                <c:pt idx="75">
                  <c:v>593.64476847015783</c:v>
                </c:pt>
                <c:pt idx="76">
                  <c:v>578.16625888120927</c:v>
                </c:pt>
                <c:pt idx="77">
                  <c:v>584.35868631619962</c:v>
                </c:pt>
                <c:pt idx="78">
                  <c:v>590.54974621713279</c:v>
                </c:pt>
                <c:pt idx="79">
                  <c:v>596.73945494670363</c:v>
                </c:pt>
                <c:pt idx="80">
                  <c:v>602.92782850038679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1.4217567752663396</c:v>
                </c:pt>
                <c:pt idx="2">
                  <c:v>1.6496387760333995</c:v>
                </c:pt>
                <c:pt idx="3">
                  <c:v>1.9141825094116696</c:v>
                </c:pt>
                <c:pt idx="4">
                  <c:v>2.2213069404908978</c:v>
                </c:pt>
                <c:pt idx="5">
                  <c:v>2.5778898048880068</c:v>
                </c:pt>
                <c:pt idx="6">
                  <c:v>2.9919233927322302</c:v>
                </c:pt>
                <c:pt idx="7">
                  <c:v>3.472695717358198</c:v>
                </c:pt>
                <c:pt idx="8">
                  <c:v>4.0310012160061346</c:v>
                </c:pt>
                <c:pt idx="9">
                  <c:v>4.6793858090430804</c:v>
                </c:pt>
                <c:pt idx="10">
                  <c:v>5.432431934915944</c:v>
                </c:pt>
                <c:pt idx="11">
                  <c:v>6.3070900985608995</c:v>
                </c:pt>
                <c:pt idx="12">
                  <c:v>7.3230645426796004</c:v>
                </c:pt>
                <c:pt idx="13">
                  <c:v>8.5032618990257713</c:v>
                </c:pt>
                <c:pt idx="14">
                  <c:v>9.8743131296009761</c:v>
                </c:pt>
                <c:pt idx="15">
                  <c:v>11.467180759188034</c:v>
                </c:pt>
                <c:pt idx="16">
                  <c:v>13.31786537027314</c:v>
                </c:pt>
                <c:pt idx="17">
                  <c:v>15.468227624926827</c:v>
                </c:pt>
                <c:pt idx="18">
                  <c:v>17.96694474899018</c:v>
                </c:pt>
                <c:pt idx="19">
                  <c:v>20.870623524111782</c:v>
                </c:pt>
                <c:pt idx="20">
                  <c:v>24.245095455229389</c:v>
                </c:pt>
                <c:pt idx="21">
                  <c:v>28.166923999370677</c:v>
                </c:pt>
                <c:pt idx="22">
                  <c:v>32.725158654475884</c:v>
                </c:pt>
                <c:pt idx="23">
                  <c:v>38.023376428874322</c:v>
                </c:pt>
                <c:pt idx="24">
                  <c:v>44.182057876552157</c:v>
                </c:pt>
                <c:pt idx="25">
                  <c:v>51.341352645956526</c:v>
                </c:pt>
                <c:pt idx="26">
                  <c:v>59.664298532021071</c:v>
                </c:pt>
                <c:pt idx="27">
                  <c:v>69.340568553547996</c:v>
                </c:pt>
                <c:pt idx="28">
                  <c:v>80.590832847134777</c:v>
                </c:pt>
                <c:pt idx="29">
                  <c:v>93.671836461268967</c:v>
                </c:pt>
                <c:pt idx="30">
                  <c:v>108.88231078423301</c:v>
                </c:pt>
                <c:pt idx="31">
                  <c:v>119.55269284122029</c:v>
                </c:pt>
                <c:pt idx="32">
                  <c:v>130.19985837355313</c:v>
                </c:pt>
                <c:pt idx="33">
                  <c:v>140.82597594357108</c:v>
                </c:pt>
                <c:pt idx="34">
                  <c:v>151.43285943489818</c:v>
                </c:pt>
                <c:pt idx="35">
                  <c:v>162.02204740767968</c:v>
                </c:pt>
                <c:pt idx="36">
                  <c:v>172.59486055735832</c:v>
                </c:pt>
                <c:pt idx="37">
                  <c:v>183.15244431920306</c:v>
                </c:pt>
                <c:pt idx="38">
                  <c:v>193.69580111200079</c:v>
                </c:pt>
                <c:pt idx="39">
                  <c:v>204.22581517936158</c:v>
                </c:pt>
                <c:pt idx="40">
                  <c:v>214.74327203018319</c:v>
                </c:pt>
                <c:pt idx="41">
                  <c:v>225.2488738650726</c:v>
                </c:pt>
                <c:pt idx="42">
                  <c:v>235.74325197003046</c:v>
                </c:pt>
                <c:pt idx="43">
                  <c:v>246.22697678490542</c:v>
                </c:pt>
                <c:pt idx="44">
                  <c:v>256.70056616536107</c:v>
                </c:pt>
                <c:pt idx="45">
                  <c:v>267.16449222449438</c:v>
                </c:pt>
                <c:pt idx="46">
                  <c:v>277.6191870455084</c:v>
                </c:pt>
                <c:pt idx="47">
                  <c:v>288.06504748811147</c:v>
                </c:pt>
                <c:pt idx="48">
                  <c:v>298.50243926074967</c:v>
                </c:pt>
                <c:pt idx="49">
                  <c:v>308.93170039309683</c:v>
                </c:pt>
                <c:pt idx="50">
                  <c:v>319.3531442148153</c:v>
                </c:pt>
                <c:pt idx="51">
                  <c:v>329.76706192494242</c:v>
                </c:pt>
                <c:pt idx="52">
                  <c:v>239.89963130204032</c:v>
                </c:pt>
                <c:pt idx="53">
                  <c:v>250.73733022777768</c:v>
                </c:pt>
                <c:pt idx="54">
                  <c:v>261.56441168915899</c:v>
                </c:pt>
                <c:pt idx="55">
                  <c:v>272.38137740343666</c:v>
                </c:pt>
                <c:pt idx="56">
                  <c:v>283.18868595745323</c:v>
                </c:pt>
                <c:pt idx="57">
                  <c:v>293.98675805542308</c:v>
                </c:pt>
                <c:pt idx="58">
                  <c:v>304.77598095482739</c:v>
                </c:pt>
                <c:pt idx="59">
                  <c:v>315.55671224092112</c:v>
                </c:pt>
                <c:pt idx="60">
                  <c:v>326.32928305815631</c:v>
                </c:pt>
                <c:pt idx="61">
                  <c:v>337.09400089238392</c:v>
                </c:pt>
                <c:pt idx="62">
                  <c:v>347.85115197892782</c:v>
                </c:pt>
                <c:pt idx="63">
                  <c:v>358.60100339709646</c:v>
                </c:pt>
                <c:pt idx="64">
                  <c:v>260.16574342755524</c:v>
                </c:pt>
                <c:pt idx="65">
                  <c:v>270.03856838682231</c:v>
                </c:pt>
                <c:pt idx="66">
                  <c:v>279.90327150057988</c:v>
                </c:pt>
                <c:pt idx="67">
                  <c:v>289.76017957093472</c:v>
                </c:pt>
                <c:pt idx="68">
                  <c:v>299.60959533432202</c:v>
                </c:pt>
                <c:pt idx="69">
                  <c:v>309.4517999837621</c:v>
                </c:pt>
                <c:pt idx="70">
                  <c:v>319.28705535324553</c:v>
                </c:pt>
                <c:pt idx="71">
                  <c:v>329.1156058187384</c:v>
                </c:pt>
                <c:pt idx="72">
                  <c:v>338.93767996010916</c:v>
                </c:pt>
                <c:pt idx="73">
                  <c:v>348.75349202024881</c:v>
                </c:pt>
                <c:pt idx="74">
                  <c:v>358.56324319126111</c:v>
                </c:pt>
                <c:pt idx="75">
                  <c:v>368.367122752488</c:v>
                </c:pt>
                <c:pt idx="76">
                  <c:v>291.98679373574424</c:v>
                </c:pt>
                <c:pt idx="77">
                  <c:v>301.01220487244694</c:v>
                </c:pt>
                <c:pt idx="78">
                  <c:v>310.031591827932</c:v>
                </c:pt>
                <c:pt idx="79">
                  <c:v>319.04515470328221</c:v>
                </c:pt>
                <c:pt idx="80">
                  <c:v>328.0530813618015</c:v>
                </c:pt>
                <c:pt idx="81">
                  <c:v>337.05554850027073</c:v>
                </c:pt>
                <c:pt idx="82">
                  <c:v>346.05272259970707</c:v>
                </c:pt>
                <c:pt idx="83">
                  <c:v>355.04476077203134</c:v>
                </c:pt>
                <c:pt idx="84">
                  <c:v>364.03181151643639</c:v>
                </c:pt>
                <c:pt idx="85">
                  <c:v>373.0140153971318</c:v>
                </c:pt>
                <c:pt idx="86">
                  <c:v>381.99150565236943</c:v>
                </c:pt>
                <c:pt idx="87">
                  <c:v>390.96440874320461</c:v>
                </c:pt>
                <c:pt idx="88">
                  <c:v>316.25819110098661</c:v>
                </c:pt>
                <c:pt idx="89">
                  <c:v>324.4045219570105</c:v>
                </c:pt>
                <c:pt idx="90">
                  <c:v>332.54633237194383</c:v>
                </c:pt>
                <c:pt idx="91">
                  <c:v>340.68374872160194</c:v>
                </c:pt>
                <c:pt idx="92">
                  <c:v>348.81689084712229</c:v>
                </c:pt>
                <c:pt idx="93">
                  <c:v>356.94587254069387</c:v>
                </c:pt>
                <c:pt idx="94">
                  <c:v>365.07080198470561</c:v>
                </c:pt>
                <c:pt idx="95">
                  <c:v>373.19178214973607</c:v>
                </c:pt>
                <c:pt idx="96">
                  <c:v>381.30891115607625</c:v>
                </c:pt>
                <c:pt idx="97">
                  <c:v>389.4222826028456</c:v>
                </c:pt>
                <c:pt idx="98">
                  <c:v>397.53198586823692</c:v>
                </c:pt>
                <c:pt idx="99">
                  <c:v>405.6381063839724</c:v>
                </c:pt>
                <c:pt idx="100">
                  <c:v>212.56848233940431</c:v>
                </c:pt>
                <c:pt idx="101">
                  <c:v>218.27904148126387</c:v>
                </c:pt>
                <c:pt idx="102">
                  <c:v>223.98616720918039</c:v>
                </c:pt>
                <c:pt idx="103">
                  <c:v>229.68995950268229</c:v>
                </c:pt>
                <c:pt idx="104">
                  <c:v>235.39051296187952</c:v>
                </c:pt>
                <c:pt idx="105">
                  <c:v>241.08791722313939</c:v>
                </c:pt>
                <c:pt idx="106">
                  <c:v>246.78225733335694</c:v>
                </c:pt>
                <c:pt idx="107">
                  <c:v>252.47361408782808</c:v>
                </c:pt>
                <c:pt idx="108">
                  <c:v>258.16206433602196</c:v>
                </c:pt>
                <c:pt idx="109">
                  <c:v>263.8476812589596</c:v>
                </c:pt>
                <c:pt idx="110">
                  <c:v>6.0761376450252565E-12</c:v>
                </c:pt>
                <c:pt idx="111">
                  <c:v>6.0761376450252565E-12</c:v>
                </c:pt>
                <c:pt idx="112">
                  <c:v>6.0761376450252565E-12</c:v>
                </c:pt>
                <c:pt idx="113">
                  <c:v>6.0761376450252565E-12</c:v>
                </c:pt>
                <c:pt idx="114">
                  <c:v>6.0761376450252565E-12</c:v>
                </c:pt>
                <c:pt idx="115">
                  <c:v>6.0761376450252565E-12</c:v>
                </c:pt>
                <c:pt idx="116">
                  <c:v>6.0761376450252565E-12</c:v>
                </c:pt>
                <c:pt idx="117">
                  <c:v>6.0761376450252565E-12</c:v>
                </c:pt>
                <c:pt idx="118">
                  <c:v>6.0761376450252565E-12</c:v>
                </c:pt>
                <c:pt idx="119">
                  <c:v>6.0761376450252565E-12</c:v>
                </c:pt>
                <c:pt idx="120">
                  <c:v>6.0761376450252565E-12</c:v>
                </c:pt>
                <c:pt idx="121">
                  <c:v>6.0761376450252565E-12</c:v>
                </c:pt>
                <c:pt idx="122">
                  <c:v>6.0761376450252565E-12</c:v>
                </c:pt>
                <c:pt idx="123">
                  <c:v>6.0761376450252565E-12</c:v>
                </c:pt>
                <c:pt idx="124">
                  <c:v>6.0761376450252565E-12</c:v>
                </c:pt>
                <c:pt idx="125">
                  <c:v>6.0761376450252565E-12</c:v>
                </c:pt>
                <c:pt idx="126">
                  <c:v>6.0761376450252565E-12</c:v>
                </c:pt>
                <c:pt idx="127">
                  <c:v>6.0761376450252565E-12</c:v>
                </c:pt>
                <c:pt idx="128">
                  <c:v>6.0761376450252565E-12</c:v>
                </c:pt>
                <c:pt idx="129">
                  <c:v>6.0761376450252565E-12</c:v>
                </c:pt>
                <c:pt idx="130">
                  <c:v>6.0761376450252565E-12</c:v>
                </c:pt>
                <c:pt idx="131">
                  <c:v>6.0761376450252565E-12</c:v>
                </c:pt>
                <c:pt idx="132">
                  <c:v>6.0761376450252565E-12</c:v>
                </c:pt>
                <c:pt idx="133">
                  <c:v>6.0761376450252565E-12</c:v>
                </c:pt>
                <c:pt idx="134">
                  <c:v>6.0761376450252565E-12</c:v>
                </c:pt>
                <c:pt idx="135">
                  <c:v>6.0761376450252565E-12</c:v>
                </c:pt>
                <c:pt idx="136">
                  <c:v>6.0761376450252565E-12</c:v>
                </c:pt>
                <c:pt idx="137">
                  <c:v>6.0761376450252565E-12</c:v>
                </c:pt>
                <c:pt idx="138">
                  <c:v>6.0761376450252565E-12</c:v>
                </c:pt>
                <c:pt idx="139">
                  <c:v>6.0761376450252565E-12</c:v>
                </c:pt>
                <c:pt idx="140">
                  <c:v>6.0761376450252565E-12</c:v>
                </c:pt>
                <c:pt idx="141">
                  <c:v>6.0761376450252565E-12</c:v>
                </c:pt>
                <c:pt idx="142">
                  <c:v>6.0761376450252565E-12</c:v>
                </c:pt>
                <c:pt idx="143">
                  <c:v>6.0761376450252565E-12</c:v>
                </c:pt>
                <c:pt idx="144">
                  <c:v>6.0761376450252565E-12</c:v>
                </c:pt>
                <c:pt idx="145">
                  <c:v>6.0761376450252565E-12</c:v>
                </c:pt>
                <c:pt idx="146">
                  <c:v>6.0761376450252565E-12</c:v>
                </c:pt>
                <c:pt idx="147">
                  <c:v>6.0761376450252565E-12</c:v>
                </c:pt>
                <c:pt idx="148">
                  <c:v>6.0761376450252565E-12</c:v>
                </c:pt>
                <c:pt idx="149">
                  <c:v>6.0761376450252565E-12</c:v>
                </c:pt>
                <c:pt idx="150">
                  <c:v>6.0761376450252565E-12</c:v>
                </c:pt>
                <c:pt idx="151">
                  <c:v>6.0761376450252565E-12</c:v>
                </c:pt>
                <c:pt idx="152">
                  <c:v>6.0761376450252565E-12</c:v>
                </c:pt>
                <c:pt idx="153">
                  <c:v>6.0761376450252565E-12</c:v>
                </c:pt>
                <c:pt idx="154">
                  <c:v>6.0761376450252565E-12</c:v>
                </c:pt>
                <c:pt idx="155">
                  <c:v>6.0761376450252565E-12</c:v>
                </c:pt>
                <c:pt idx="156">
                  <c:v>6.0761376450252565E-12</c:v>
                </c:pt>
                <c:pt idx="157">
                  <c:v>6.0761376450252565E-12</c:v>
                </c:pt>
                <c:pt idx="158">
                  <c:v>6.0761376450252565E-12</c:v>
                </c:pt>
                <c:pt idx="159">
                  <c:v>6.0761376450252565E-12</c:v>
                </c:pt>
                <c:pt idx="160">
                  <c:v>6.0761376450252565E-12</c:v>
                </c:pt>
                <c:pt idx="161">
                  <c:v>6.0761376450252565E-12</c:v>
                </c:pt>
                <c:pt idx="162">
                  <c:v>6.0761376450252565E-12</c:v>
                </c:pt>
                <c:pt idx="163">
                  <c:v>6.0761376450252565E-12</c:v>
                </c:pt>
                <c:pt idx="164">
                  <c:v>6.0761376450252565E-12</c:v>
                </c:pt>
                <c:pt idx="165">
                  <c:v>6.0761376450252565E-12</c:v>
                </c:pt>
                <c:pt idx="166">
                  <c:v>6.0761376450252565E-12</c:v>
                </c:pt>
                <c:pt idx="167">
                  <c:v>6.0761376450252565E-12</c:v>
                </c:pt>
                <c:pt idx="168">
                  <c:v>6.0761376450252565E-12</c:v>
                </c:pt>
                <c:pt idx="169">
                  <c:v>6.0761376450252565E-12</c:v>
                </c:pt>
                <c:pt idx="170">
                  <c:v>6.0761376450252565E-12</c:v>
                </c:pt>
                <c:pt idx="171">
                  <c:v>6.0761376450252565E-12</c:v>
                </c:pt>
                <c:pt idx="172">
                  <c:v>6.0761376450252565E-12</c:v>
                </c:pt>
                <c:pt idx="173">
                  <c:v>6.0761376450252565E-12</c:v>
                </c:pt>
                <c:pt idx="174">
                  <c:v>6.0761376450252565E-12</c:v>
                </c:pt>
                <c:pt idx="175">
                  <c:v>6.0761376450252565E-12</c:v>
                </c:pt>
                <c:pt idx="176">
                  <c:v>6.0761376450252565E-12</c:v>
                </c:pt>
                <c:pt idx="177">
                  <c:v>6.0761376450252565E-12</c:v>
                </c:pt>
                <c:pt idx="178">
                  <c:v>6.0761376450252565E-12</c:v>
                </c:pt>
                <c:pt idx="179">
                  <c:v>6.0761376450252565E-12</c:v>
                </c:pt>
                <c:pt idx="180">
                  <c:v>6.0761376450252565E-12</c:v>
                </c:pt>
                <c:pt idx="181">
                  <c:v>6.0761376450252565E-12</c:v>
                </c:pt>
                <c:pt idx="182">
                  <c:v>6.0761376450252565E-12</c:v>
                </c:pt>
                <c:pt idx="183">
                  <c:v>6.0761376450252565E-12</c:v>
                </c:pt>
                <c:pt idx="184">
                  <c:v>6.0761376450252565E-12</c:v>
                </c:pt>
                <c:pt idx="185">
                  <c:v>6.0761376450252565E-12</c:v>
                </c:pt>
                <c:pt idx="186">
                  <c:v>6.0761376450252565E-12</c:v>
                </c:pt>
                <c:pt idx="187">
                  <c:v>6.0761376450252565E-12</c:v>
                </c:pt>
                <c:pt idx="188">
                  <c:v>6.0761376450252565E-12</c:v>
                </c:pt>
                <c:pt idx="189">
                  <c:v>6.0761376450252565E-12</c:v>
                </c:pt>
                <c:pt idx="190">
                  <c:v>6.0761376450252565E-12</c:v>
                </c:pt>
                <c:pt idx="191">
                  <c:v>6.0761376450252565E-12</c:v>
                </c:pt>
                <c:pt idx="192">
                  <c:v>6.0761376450252565E-12</c:v>
                </c:pt>
                <c:pt idx="193">
                  <c:v>6.0761376450252565E-12</c:v>
                </c:pt>
                <c:pt idx="194">
                  <c:v>6.0761376450252565E-12</c:v>
                </c:pt>
                <c:pt idx="195">
                  <c:v>6.0761376450252565E-12</c:v>
                </c:pt>
                <c:pt idx="196">
                  <c:v>6.0761376450252565E-12</c:v>
                </c:pt>
                <c:pt idx="197">
                  <c:v>6.0761376450252565E-12</c:v>
                </c:pt>
                <c:pt idx="198">
                  <c:v>6.0761376450252565E-12</c:v>
                </c:pt>
                <c:pt idx="199">
                  <c:v>6.0761376450252565E-12</c:v>
                </c:pt>
                <c:pt idx="200">
                  <c:v>6.0761376450252565E-12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3.5079290983114433</c:v>
                </c:pt>
                <c:pt idx="2">
                  <c:v>4.6359878825480276</c:v>
                </c:pt>
                <c:pt idx="3">
                  <c:v>6.1282576251184997</c:v>
                </c:pt>
                <c:pt idx="4">
                  <c:v>8.1027710833797961</c:v>
                </c:pt>
                <c:pt idx="5">
                  <c:v>10.715946242702252</c:v>
                </c:pt>
                <c:pt idx="6">
                  <c:v>14.175109652753262</c:v>
                </c:pt>
                <c:pt idx="7">
                  <c:v>18.755117590148</c:v>
                </c:pt>
                <c:pt idx="8">
                  <c:v>24.820419516506192</c:v>
                </c:pt>
                <c:pt idx="9">
                  <c:v>32.854350484346199</c:v>
                </c:pt>
                <c:pt idx="10">
                  <c:v>43.498027075339301</c:v>
                </c:pt>
                <c:pt idx="11">
                  <c:v>57.060169133698679</c:v>
                </c:pt>
                <c:pt idx="12">
                  <c:v>70.537409450574799</c:v>
                </c:pt>
                <c:pt idx="13">
                  <c:v>83.948379030908328</c:v>
                </c:pt>
                <c:pt idx="14">
                  <c:v>97.305204010497206</c:v>
                </c:pt>
                <c:pt idx="15">
                  <c:v>110.61638527930711</c:v>
                </c:pt>
                <c:pt idx="16">
                  <c:v>128.9130744021389</c:v>
                </c:pt>
                <c:pt idx="17">
                  <c:v>147.14684893940074</c:v>
                </c:pt>
                <c:pt idx="18">
                  <c:v>165.3266136473124</c:v>
                </c:pt>
                <c:pt idx="19">
                  <c:v>183.4591485952582</c:v>
                </c:pt>
                <c:pt idx="20">
                  <c:v>201.54978110052437</c:v>
                </c:pt>
                <c:pt idx="21">
                  <c:v>153.97018794674287</c:v>
                </c:pt>
                <c:pt idx="22">
                  <c:v>172.13153631847419</c:v>
                </c:pt>
                <c:pt idx="23">
                  <c:v>190.24779644553783</c:v>
                </c:pt>
                <c:pt idx="24">
                  <c:v>208.3238677726421</c:v>
                </c:pt>
                <c:pt idx="25">
                  <c:v>226.3637288579913</c:v>
                </c:pt>
                <c:pt idx="26">
                  <c:v>201.54978110052437</c:v>
                </c:pt>
                <c:pt idx="27">
                  <c:v>219.6028024980769</c:v>
                </c:pt>
                <c:pt idx="28">
                  <c:v>237.62174013263061</c:v>
                </c:pt>
                <c:pt idx="29">
                  <c:v>255.60954227321292</c:v>
                </c:pt>
                <c:pt idx="30">
                  <c:v>273.56870812584947</c:v>
                </c:pt>
                <c:pt idx="31">
                  <c:v>244.82044838046261</c:v>
                </c:pt>
                <c:pt idx="32">
                  <c:v>261.00019511445589</c:v>
                </c:pt>
                <c:pt idx="33">
                  <c:v>277.15729902737081</c:v>
                </c:pt>
                <c:pt idx="34">
                  <c:v>293.29326588987982</c:v>
                </c:pt>
                <c:pt idx="35">
                  <c:v>309.40942222562171</c:v>
                </c:pt>
                <c:pt idx="36">
                  <c:v>280.2964598668309</c:v>
                </c:pt>
                <c:pt idx="37">
                  <c:v>295.98063417932605</c:v>
                </c:pt>
                <c:pt idx="38">
                  <c:v>311.64627846088428</c:v>
                </c:pt>
                <c:pt idx="39">
                  <c:v>327.29445525818045</c:v>
                </c:pt>
                <c:pt idx="40">
                  <c:v>342.92611721533927</c:v>
                </c:pt>
                <c:pt idx="41">
                  <c:v>312.54092102829401</c:v>
                </c:pt>
                <c:pt idx="42">
                  <c:v>326.84759797683068</c:v>
                </c:pt>
                <c:pt idx="43">
                  <c:v>341.1404493366004</c:v>
                </c:pt>
                <c:pt idx="44">
                  <c:v>355.42013595735625</c:v>
                </c:pt>
                <c:pt idx="45">
                  <c:v>369.68726124979753</c:v>
                </c:pt>
                <c:pt idx="46">
                  <c:v>340.6940002860228</c:v>
                </c:pt>
                <c:pt idx="47">
                  <c:v>354.08195790136142</c:v>
                </c:pt>
                <c:pt idx="48">
                  <c:v>367.45882798761664</c:v>
                </c:pt>
                <c:pt idx="49">
                  <c:v>380.82507105894388</c:v>
                </c:pt>
                <c:pt idx="50">
                  <c:v>394.18111266295523</c:v>
                </c:pt>
                <c:pt idx="51">
                  <c:v>365.67586899258453</c:v>
                </c:pt>
                <c:pt idx="52">
                  <c:v>377.26175403181099</c:v>
                </c:pt>
                <c:pt idx="53">
                  <c:v>388.83989430006523</c:v>
                </c:pt>
                <c:pt idx="54">
                  <c:v>400.41055295678444</c:v>
                </c:pt>
                <c:pt idx="55">
                  <c:v>411.97397670838626</c:v>
                </c:pt>
                <c:pt idx="56">
                  <c:v>385.27819834042498</c:v>
                </c:pt>
                <c:pt idx="57">
                  <c:v>396.40615590256039</c:v>
                </c:pt>
                <c:pt idx="58">
                  <c:v>407.52734715549917</c:v>
                </c:pt>
                <c:pt idx="59">
                  <c:v>418.64198281510266</c:v>
                </c:pt>
                <c:pt idx="60">
                  <c:v>429.75026149342511</c:v>
                </c:pt>
                <c:pt idx="61">
                  <c:v>403.96928903724796</c:v>
                </c:pt>
                <c:pt idx="62">
                  <c:v>413.75233778325588</c:v>
                </c:pt>
                <c:pt idx="63">
                  <c:v>423.53039727970054</c:v>
                </c:pt>
                <c:pt idx="64">
                  <c:v>433.30359899233423</c:v>
                </c:pt>
                <c:pt idx="65">
                  <c:v>443.07206797078311</c:v>
                </c:pt>
                <c:pt idx="66">
                  <c:v>419.08643473326879</c:v>
                </c:pt>
                <c:pt idx="67">
                  <c:v>428.41759739850778</c:v>
                </c:pt>
                <c:pt idx="68">
                  <c:v>437.74439157568872</c:v>
                </c:pt>
                <c:pt idx="69">
                  <c:v>447.06692349854637</c:v>
                </c:pt>
                <c:pt idx="70">
                  <c:v>456.38529460741051</c:v>
                </c:pt>
                <c:pt idx="71">
                  <c:v>432.85946614650521</c:v>
                </c:pt>
                <c:pt idx="72">
                  <c:v>440.40840252576191</c:v>
                </c:pt>
                <c:pt idx="73">
                  <c:v>447.95456512007007</c:v>
                </c:pt>
                <c:pt idx="74">
                  <c:v>455.49800727179553</c:v>
                </c:pt>
                <c:pt idx="75">
                  <c:v>463.03878041146299</c:v>
                </c:pt>
                <c:pt idx="76">
                  <c:v>443.51597878791563</c:v>
                </c:pt>
                <c:pt idx="77">
                  <c:v>450.61726441852403</c:v>
                </c:pt>
                <c:pt idx="78">
                  <c:v>457.71615652908667</c:v>
                </c:pt>
                <c:pt idx="79">
                  <c:v>464.81269749872399</c:v>
                </c:pt>
                <c:pt idx="80">
                  <c:v>471.90692830623613</c:v>
                </c:pt>
                <c:pt idx="81">
                  <c:v>453.72332170031183</c:v>
                </c:pt>
                <c:pt idx="82">
                  <c:v>459.93407619305043</c:v>
                </c:pt>
                <c:pt idx="83">
                  <c:v>466.14304053131747</c:v>
                </c:pt>
                <c:pt idx="84">
                  <c:v>472.35024193902171</c:v>
                </c:pt>
                <c:pt idx="85">
                  <c:v>478.5557068657443</c:v>
                </c:pt>
                <c:pt idx="86">
                  <c:v>462.59527850651193</c:v>
                </c:pt>
                <c:pt idx="87">
                  <c:v>468.80348401547377</c:v>
                </c:pt>
                <c:pt idx="88">
                  <c:v>475.00993802231642</c:v>
                </c:pt>
                <c:pt idx="89">
                  <c:v>481.21466665466613</c:v>
                </c:pt>
                <c:pt idx="90">
                  <c:v>487.41769531100323</c:v>
                </c:pt>
                <c:pt idx="91">
                  <c:v>471.46360580465716</c:v>
                </c:pt>
                <c:pt idx="92">
                  <c:v>477.66931720920002</c:v>
                </c:pt>
                <c:pt idx="93">
                  <c:v>483.87331421183421</c:v>
                </c:pt>
                <c:pt idx="94">
                  <c:v>490.07562190769653</c:v>
                </c:pt>
                <c:pt idx="95">
                  <c:v>496.2762647045401</c:v>
                </c:pt>
                <c:pt idx="96">
                  <c:v>478.55570686574464</c:v>
                </c:pt>
                <c:pt idx="97">
                  <c:v>485.20252151676618</c:v>
                </c:pt>
                <c:pt idx="98">
                  <c:v>491.84740297234777</c:v>
                </c:pt>
                <c:pt idx="99">
                  <c:v>498.49038104754055</c:v>
                </c:pt>
                <c:pt idx="100">
                  <c:v>505.13148469753696</c:v>
                </c:pt>
                <c:pt idx="101">
                  <c:v>2.5184749408430782E-12</c:v>
                </c:pt>
                <c:pt idx="102">
                  <c:v>2.5184749408430782E-12</c:v>
                </c:pt>
                <c:pt idx="103">
                  <c:v>2.5184749408430782E-12</c:v>
                </c:pt>
                <c:pt idx="104">
                  <c:v>2.5184749408430782E-12</c:v>
                </c:pt>
                <c:pt idx="105">
                  <c:v>2.5184749408430782E-12</c:v>
                </c:pt>
                <c:pt idx="106">
                  <c:v>2.5184749408430782E-12</c:v>
                </c:pt>
                <c:pt idx="107">
                  <c:v>2.5184749408430782E-12</c:v>
                </c:pt>
                <c:pt idx="108">
                  <c:v>2.5184749408430782E-12</c:v>
                </c:pt>
                <c:pt idx="109">
                  <c:v>2.5184749408430782E-12</c:v>
                </c:pt>
                <c:pt idx="110">
                  <c:v>2.5184749408430782E-12</c:v>
                </c:pt>
                <c:pt idx="111">
                  <c:v>2.5184749408430782E-12</c:v>
                </c:pt>
                <c:pt idx="112">
                  <c:v>2.5184749408430782E-12</c:v>
                </c:pt>
                <c:pt idx="113">
                  <c:v>2.5184749408430782E-12</c:v>
                </c:pt>
                <c:pt idx="114">
                  <c:v>2.5184749408430782E-12</c:v>
                </c:pt>
                <c:pt idx="115">
                  <c:v>2.5184749408430782E-12</c:v>
                </c:pt>
                <c:pt idx="116">
                  <c:v>2.5184749408430782E-12</c:v>
                </c:pt>
                <c:pt idx="117">
                  <c:v>2.5184749408430782E-12</c:v>
                </c:pt>
                <c:pt idx="118">
                  <c:v>2.5184749408430782E-12</c:v>
                </c:pt>
                <c:pt idx="119">
                  <c:v>2.5184749408430782E-12</c:v>
                </c:pt>
                <c:pt idx="120">
                  <c:v>2.5184749408430782E-12</c:v>
                </c:pt>
                <c:pt idx="121">
                  <c:v>2.5184749408430782E-12</c:v>
                </c:pt>
                <c:pt idx="122">
                  <c:v>2.5184749408430782E-12</c:v>
                </c:pt>
                <c:pt idx="123">
                  <c:v>2.5184749408430782E-12</c:v>
                </c:pt>
                <c:pt idx="124">
                  <c:v>2.5184749408430782E-12</c:v>
                </c:pt>
                <c:pt idx="125">
                  <c:v>2.5184749408430782E-12</c:v>
                </c:pt>
                <c:pt idx="126">
                  <c:v>2.5184749408430782E-12</c:v>
                </c:pt>
                <c:pt idx="127">
                  <c:v>2.5184749408430782E-12</c:v>
                </c:pt>
                <c:pt idx="128">
                  <c:v>2.5184749408430782E-12</c:v>
                </c:pt>
                <c:pt idx="129">
                  <c:v>2.5184749408430782E-12</c:v>
                </c:pt>
                <c:pt idx="130">
                  <c:v>2.5184749408430782E-12</c:v>
                </c:pt>
                <c:pt idx="131">
                  <c:v>2.5184749408430782E-12</c:v>
                </c:pt>
                <c:pt idx="132">
                  <c:v>2.5184749408430782E-12</c:v>
                </c:pt>
                <c:pt idx="133">
                  <c:v>2.5184749408430782E-12</c:v>
                </c:pt>
                <c:pt idx="134">
                  <c:v>2.5184749408430782E-12</c:v>
                </c:pt>
                <c:pt idx="135">
                  <c:v>2.5184749408430782E-12</c:v>
                </c:pt>
                <c:pt idx="136">
                  <c:v>2.5184749408430782E-12</c:v>
                </c:pt>
                <c:pt idx="137">
                  <c:v>2.5184749408430782E-12</c:v>
                </c:pt>
                <c:pt idx="138">
                  <c:v>2.5184749408430782E-12</c:v>
                </c:pt>
                <c:pt idx="139">
                  <c:v>2.5184749408430782E-12</c:v>
                </c:pt>
                <c:pt idx="140">
                  <c:v>2.5184749408430782E-12</c:v>
                </c:pt>
                <c:pt idx="141">
                  <c:v>2.5184749408430782E-12</c:v>
                </c:pt>
                <c:pt idx="142">
                  <c:v>2.5184749408430782E-12</c:v>
                </c:pt>
                <c:pt idx="143">
                  <c:v>2.5184749408430782E-12</c:v>
                </c:pt>
                <c:pt idx="144">
                  <c:v>2.5184749408430782E-12</c:v>
                </c:pt>
                <c:pt idx="145">
                  <c:v>2.5184749408430782E-12</c:v>
                </c:pt>
                <c:pt idx="146">
                  <c:v>2.5184749408430782E-12</c:v>
                </c:pt>
                <c:pt idx="147">
                  <c:v>2.5184749408430782E-12</c:v>
                </c:pt>
                <c:pt idx="148">
                  <c:v>2.5184749408430782E-12</c:v>
                </c:pt>
                <c:pt idx="149">
                  <c:v>2.5184749408430782E-12</c:v>
                </c:pt>
                <c:pt idx="150">
                  <c:v>2.5184749408430782E-12</c:v>
                </c:pt>
                <c:pt idx="151">
                  <c:v>2.5184749408430782E-12</c:v>
                </c:pt>
                <c:pt idx="152">
                  <c:v>2.5184749408430782E-12</c:v>
                </c:pt>
                <c:pt idx="153">
                  <c:v>2.5184749408430782E-12</c:v>
                </c:pt>
                <c:pt idx="154">
                  <c:v>2.5184749408430782E-12</c:v>
                </c:pt>
                <c:pt idx="155">
                  <c:v>2.5184749408430782E-12</c:v>
                </c:pt>
                <c:pt idx="156">
                  <c:v>2.5184749408430782E-12</c:v>
                </c:pt>
                <c:pt idx="157">
                  <c:v>2.5184749408430782E-12</c:v>
                </c:pt>
                <c:pt idx="158">
                  <c:v>2.5184749408430782E-12</c:v>
                </c:pt>
                <c:pt idx="159">
                  <c:v>2.5184749408430782E-12</c:v>
                </c:pt>
                <c:pt idx="160">
                  <c:v>2.5184749408430782E-12</c:v>
                </c:pt>
                <c:pt idx="161">
                  <c:v>2.5184749408430782E-12</c:v>
                </c:pt>
                <c:pt idx="162">
                  <c:v>2.5184749408430782E-12</c:v>
                </c:pt>
                <c:pt idx="163">
                  <c:v>2.5184749408430782E-12</c:v>
                </c:pt>
                <c:pt idx="164">
                  <c:v>2.5184749408430782E-12</c:v>
                </c:pt>
                <c:pt idx="165">
                  <c:v>2.5184749408430782E-12</c:v>
                </c:pt>
                <c:pt idx="166">
                  <c:v>2.5184749408430782E-12</c:v>
                </c:pt>
                <c:pt idx="167">
                  <c:v>2.5184749408430782E-12</c:v>
                </c:pt>
                <c:pt idx="168">
                  <c:v>2.5184749408430782E-12</c:v>
                </c:pt>
                <c:pt idx="169">
                  <c:v>2.5184749408430782E-12</c:v>
                </c:pt>
                <c:pt idx="170">
                  <c:v>2.5184749408430782E-12</c:v>
                </c:pt>
                <c:pt idx="171">
                  <c:v>2.5184749408430782E-12</c:v>
                </c:pt>
                <c:pt idx="172">
                  <c:v>2.5184749408430782E-12</c:v>
                </c:pt>
                <c:pt idx="173">
                  <c:v>2.5184749408430782E-12</c:v>
                </c:pt>
                <c:pt idx="174">
                  <c:v>2.5184749408430782E-12</c:v>
                </c:pt>
                <c:pt idx="175">
                  <c:v>2.5184749408430782E-12</c:v>
                </c:pt>
                <c:pt idx="176">
                  <c:v>2.5184749408430782E-12</c:v>
                </c:pt>
                <c:pt idx="177">
                  <c:v>2.5184749408430782E-12</c:v>
                </c:pt>
                <c:pt idx="178">
                  <c:v>2.5184749408430782E-12</c:v>
                </c:pt>
                <c:pt idx="179">
                  <c:v>2.5184749408430782E-12</c:v>
                </c:pt>
                <c:pt idx="180">
                  <c:v>2.5184749408430782E-12</c:v>
                </c:pt>
                <c:pt idx="181">
                  <c:v>2.5184749408430782E-12</c:v>
                </c:pt>
                <c:pt idx="182">
                  <c:v>2.5184749408430782E-12</c:v>
                </c:pt>
                <c:pt idx="183">
                  <c:v>2.5184749408430782E-12</c:v>
                </c:pt>
                <c:pt idx="184">
                  <c:v>2.5184749408430782E-12</c:v>
                </c:pt>
                <c:pt idx="185">
                  <c:v>2.5184749408430782E-12</c:v>
                </c:pt>
                <c:pt idx="186">
                  <c:v>2.5184749408430782E-12</c:v>
                </c:pt>
                <c:pt idx="187">
                  <c:v>2.5184749408430782E-12</c:v>
                </c:pt>
                <c:pt idx="188">
                  <c:v>2.5184749408430782E-12</c:v>
                </c:pt>
                <c:pt idx="189">
                  <c:v>2.5184749408430782E-12</c:v>
                </c:pt>
                <c:pt idx="190">
                  <c:v>2.5184749408430782E-12</c:v>
                </c:pt>
                <c:pt idx="191">
                  <c:v>2.5184749408430782E-12</c:v>
                </c:pt>
                <c:pt idx="192">
                  <c:v>2.5184749408430782E-12</c:v>
                </c:pt>
                <c:pt idx="193">
                  <c:v>2.5184749408430782E-12</c:v>
                </c:pt>
                <c:pt idx="194">
                  <c:v>2.5184749408430782E-12</c:v>
                </c:pt>
                <c:pt idx="195">
                  <c:v>2.5184749408430782E-12</c:v>
                </c:pt>
                <c:pt idx="196">
                  <c:v>2.5184749408430782E-12</c:v>
                </c:pt>
                <c:pt idx="197">
                  <c:v>2.5184749408430782E-12</c:v>
                </c:pt>
                <c:pt idx="198">
                  <c:v>2.5184749408430782E-12</c:v>
                </c:pt>
                <c:pt idx="199">
                  <c:v>2.5184749408430782E-12</c:v>
                </c:pt>
                <c:pt idx="200">
                  <c:v>2.5184749408430782E-12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2.8167663049162832</c:v>
                </c:pt>
                <c:pt idx="2">
                  <c:v>3.5524452752527771</c:v>
                </c:pt>
                <c:pt idx="3">
                  <c:v>4.4810160304681945</c:v>
                </c:pt>
                <c:pt idx="4">
                  <c:v>5.6532387557440282</c:v>
                </c:pt>
                <c:pt idx="5">
                  <c:v>7.133276837391672</c:v>
                </c:pt>
                <c:pt idx="6">
                  <c:v>9.002247118422753</c:v>
                </c:pt>
                <c:pt idx="7">
                  <c:v>11.362713273379695</c:v>
                </c:pt>
                <c:pt idx="8">
                  <c:v>14.344373503714223</c:v>
                </c:pt>
                <c:pt idx="9">
                  <c:v>18.111260823932788</c:v>
                </c:pt>
                <c:pt idx="10">
                  <c:v>22.870859223592827</c:v>
                </c:pt>
                <c:pt idx="11">
                  <c:v>28.885646762333149</c:v>
                </c:pt>
                <c:pt idx="12">
                  <c:v>36.48771328793655</c:v>
                </c:pt>
                <c:pt idx="13">
                  <c:v>46.097273704206465</c:v>
                </c:pt>
                <c:pt idx="14">
                  <c:v>58.246117380438761</c:v>
                </c:pt>
                <c:pt idx="15">
                  <c:v>73.607312852834198</c:v>
                </c:pt>
                <c:pt idx="16">
                  <c:v>67.020773057882352</c:v>
                </c:pt>
                <c:pt idx="17">
                  <c:v>89.433224652663043</c:v>
                </c:pt>
                <c:pt idx="18">
                  <c:v>111.70385301179901</c:v>
                </c:pt>
                <c:pt idx="19">
                  <c:v>133.8651241066807</c:v>
                </c:pt>
                <c:pt idx="20">
                  <c:v>155.93775882820458</c:v>
                </c:pt>
                <c:pt idx="21">
                  <c:v>126.61600564455136</c:v>
                </c:pt>
                <c:pt idx="22">
                  <c:v>150.61714980411784</c:v>
                </c:pt>
                <c:pt idx="23">
                  <c:v>174.52697249791549</c:v>
                </c:pt>
                <c:pt idx="24">
                  <c:v>198.35976383962796</c:v>
                </c:pt>
                <c:pt idx="25">
                  <c:v>222.12608711761615</c:v>
                </c:pt>
                <c:pt idx="26">
                  <c:v>191.55758507110065</c:v>
                </c:pt>
                <c:pt idx="27">
                  <c:v>213.83373999500802</c:v>
                </c:pt>
                <c:pt idx="28">
                  <c:v>236.05644310479684</c:v>
                </c:pt>
                <c:pt idx="29">
                  <c:v>258.23143377259919</c:v>
                </c:pt>
                <c:pt idx="30">
                  <c:v>280.36338431358689</c:v>
                </c:pt>
                <c:pt idx="31">
                  <c:v>248.08915865906408</c:v>
                </c:pt>
                <c:pt idx="32">
                  <c:v>268.36470618638242</c:v>
                </c:pt>
                <c:pt idx="33">
                  <c:v>288.60576477216426</c:v>
                </c:pt>
                <c:pt idx="34">
                  <c:v>308.81509268095925</c:v>
                </c:pt>
                <c:pt idx="35">
                  <c:v>328.99505767197456</c:v>
                </c:pt>
                <c:pt idx="36">
                  <c:v>294.59690838804573</c:v>
                </c:pt>
                <c:pt idx="37">
                  <c:v>312.5542734716102</c:v>
                </c:pt>
                <c:pt idx="38">
                  <c:v>330.48876005573732</c:v>
                </c:pt>
                <c:pt idx="39">
                  <c:v>348.4017840337396</c:v>
                </c:pt>
                <c:pt idx="40">
                  <c:v>366.29460383970854</c:v>
                </c:pt>
                <c:pt idx="41">
                  <c:v>329.36849727470798</c:v>
                </c:pt>
                <c:pt idx="42">
                  <c:v>344.67160985755481</c:v>
                </c:pt>
                <c:pt idx="43">
                  <c:v>359.9598009685954</c:v>
                </c:pt>
                <c:pt idx="44">
                  <c:v>375.23379351840316</c:v>
                </c:pt>
                <c:pt idx="45">
                  <c:v>390.49424676672476</c:v>
                </c:pt>
                <c:pt idx="46">
                  <c:v>362.94118566705453</c:v>
                </c:pt>
                <c:pt idx="47">
                  <c:v>376.35086351579008</c:v>
                </c:pt>
                <c:pt idx="48">
                  <c:v>389.75013922020366</c:v>
                </c:pt>
                <c:pt idx="49">
                  <c:v>403.13942078264876</c:v>
                </c:pt>
                <c:pt idx="50">
                  <c:v>416.51908689232118</c:v>
                </c:pt>
                <c:pt idx="51">
                  <c:v>396.07407711953448</c:v>
                </c:pt>
                <c:pt idx="52">
                  <c:v>407.22865549260882</c:v>
                </c:pt>
                <c:pt idx="53">
                  <c:v>418.37663353903218</c:v>
                </c:pt>
                <c:pt idx="54">
                  <c:v>429.51821195249204</c:v>
                </c:pt>
                <c:pt idx="55">
                  <c:v>440.65358016358778</c:v>
                </c:pt>
                <c:pt idx="56">
                  <c:v>426.17639891086424</c:v>
                </c:pt>
                <c:pt idx="57">
                  <c:v>435.82900470393218</c:v>
                </c:pt>
                <c:pt idx="58">
                  <c:v>445.47702323258522</c:v>
                </c:pt>
                <c:pt idx="59">
                  <c:v>455.12056788314334</c:v>
                </c:pt>
                <c:pt idx="60">
                  <c:v>464.7597468435597</c:v>
                </c:pt>
                <c:pt idx="61">
                  <c:v>450.67025003611349</c:v>
                </c:pt>
                <c:pt idx="62">
                  <c:v>458.82845530839751</c:v>
                </c:pt>
                <c:pt idx="63">
                  <c:v>466.98356378402349</c:v>
                </c:pt>
                <c:pt idx="64">
                  <c:v>475.13563719240005</c:v>
                </c:pt>
                <c:pt idx="65">
                  <c:v>483.28473497109462</c:v>
                </c:pt>
                <c:pt idx="66">
                  <c:v>469.94830210518904</c:v>
                </c:pt>
                <c:pt idx="67">
                  <c:v>476.98796406826</c:v>
                </c:pt>
                <c:pt idx="68">
                  <c:v>484.02541648570531</c:v>
                </c:pt>
                <c:pt idx="69">
                  <c:v>491.06069603012844</c:v>
                </c:pt>
                <c:pt idx="70">
                  <c:v>498.09383823712528</c:v>
                </c:pt>
                <c:pt idx="71">
                  <c:v>485.87701503548419</c:v>
                </c:pt>
                <c:pt idx="72">
                  <c:v>492.17133336598067</c:v>
                </c:pt>
                <c:pt idx="73">
                  <c:v>498.4639450680906</c:v>
                </c:pt>
                <c:pt idx="74">
                  <c:v>504.75487473697353</c:v>
                </c:pt>
                <c:pt idx="75">
                  <c:v>511.04414630438458</c:v>
                </c:pt>
                <c:pt idx="76">
                  <c:v>499.57423066075035</c:v>
                </c:pt>
                <c:pt idx="77">
                  <c:v>504.75487473697353</c:v>
                </c:pt>
                <c:pt idx="78">
                  <c:v>509.93439429922063</c:v>
                </c:pt>
                <c:pt idx="79">
                  <c:v>515.11280238810866</c:v>
                </c:pt>
                <c:pt idx="80">
                  <c:v>520.29011176051029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30</xdr:row>
      <xdr:rowOff>0</xdr:rowOff>
    </xdr:from>
    <xdr:to>
      <xdr:col>7</xdr:col>
      <xdr:colOff>590550</xdr:colOff>
      <xdr:row>47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48</xdr:row>
      <xdr:rowOff>12700</xdr:rowOff>
    </xdr:from>
    <xdr:to>
      <xdr:col>7</xdr:col>
      <xdr:colOff>590550</xdr:colOff>
      <xdr:row>65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66</xdr:row>
      <xdr:rowOff>12700</xdr:rowOff>
    </xdr:from>
    <xdr:to>
      <xdr:col>7</xdr:col>
      <xdr:colOff>584200</xdr:colOff>
      <xdr:row>83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85</xdr:row>
      <xdr:rowOff>0</xdr:rowOff>
    </xdr:from>
    <xdr:to>
      <xdr:col>7</xdr:col>
      <xdr:colOff>577850</xdr:colOff>
      <xdr:row>102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103</xdr:row>
      <xdr:rowOff>0</xdr:rowOff>
    </xdr:from>
    <xdr:to>
      <xdr:col>7</xdr:col>
      <xdr:colOff>577850</xdr:colOff>
      <xdr:row>120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121</xdr:row>
      <xdr:rowOff>0</xdr:rowOff>
    </xdr:from>
    <xdr:to>
      <xdr:col>7</xdr:col>
      <xdr:colOff>577850</xdr:colOff>
      <xdr:row>138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139</xdr:row>
      <xdr:rowOff>0</xdr:rowOff>
    </xdr:from>
    <xdr:to>
      <xdr:col>7</xdr:col>
      <xdr:colOff>577850</xdr:colOff>
      <xdr:row>156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157</xdr:row>
      <xdr:rowOff>0</xdr:rowOff>
    </xdr:from>
    <xdr:to>
      <xdr:col>7</xdr:col>
      <xdr:colOff>577850</xdr:colOff>
      <xdr:row>174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175</xdr:row>
      <xdr:rowOff>0</xdr:rowOff>
    </xdr:from>
    <xdr:to>
      <xdr:col>7</xdr:col>
      <xdr:colOff>577850</xdr:colOff>
      <xdr:row>192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193</xdr:row>
      <xdr:rowOff>0</xdr:rowOff>
    </xdr:from>
    <xdr:to>
      <xdr:col>7</xdr:col>
      <xdr:colOff>577850</xdr:colOff>
      <xdr:row>210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64" t="s">
        <v>291</v>
      </c>
      <c r="C12" s="264"/>
      <c r="D12" s="264"/>
      <c r="E12" s="264"/>
      <c r="F12" s="264"/>
      <c r="G12" s="264"/>
      <c r="H12" s="264"/>
      <c r="I12" s="264"/>
      <c r="J12" s="264"/>
      <c r="K12" s="264"/>
      <c r="L12" s="264"/>
      <c r="M12" s="264"/>
    </row>
    <row r="13" spans="2:13" ht="15" customHeight="1" x14ac:dyDescent="0.35">
      <c r="B13" s="264"/>
      <c r="C13" s="264"/>
      <c r="D13" s="264"/>
      <c r="E13" s="264"/>
      <c r="F13" s="264"/>
      <c r="G13" s="264"/>
      <c r="H13" s="264"/>
      <c r="I13" s="264"/>
      <c r="J13" s="264"/>
      <c r="K13" s="264"/>
      <c r="L13" s="264"/>
      <c r="M13" s="264"/>
    </row>
    <row r="14" spans="2:13" ht="15" customHeight="1" x14ac:dyDescent="0.35">
      <c r="B14" s="264"/>
      <c r="C14" s="264"/>
      <c r="D14" s="264"/>
      <c r="E14" s="264"/>
      <c r="F14" s="264"/>
      <c r="G14" s="264"/>
      <c r="H14" s="264"/>
      <c r="I14" s="264"/>
      <c r="J14" s="264"/>
      <c r="K14" s="264"/>
      <c r="L14" s="264"/>
      <c r="M14" s="264"/>
    </row>
    <row r="15" spans="2:13" ht="18.75" customHeight="1" x14ac:dyDescent="0.35">
      <c r="B15" s="264"/>
      <c r="C15" s="264"/>
      <c r="D15" s="264"/>
      <c r="E15" s="264"/>
      <c r="F15" s="264"/>
      <c r="G15" s="264"/>
      <c r="H15" s="264"/>
      <c r="I15" s="264"/>
      <c r="J15" s="264"/>
      <c r="K15" s="264"/>
      <c r="L15" s="264"/>
      <c r="M15" s="264"/>
    </row>
    <row r="16" spans="2:13" ht="18.75" customHeight="1" x14ac:dyDescent="0.35">
      <c r="B16" s="264"/>
      <c r="C16" s="264"/>
      <c r="D16" s="264"/>
      <c r="E16" s="264"/>
      <c r="F16" s="264"/>
      <c r="G16" s="264"/>
      <c r="H16" s="264"/>
      <c r="I16" s="264"/>
      <c r="J16" s="264"/>
      <c r="K16" s="264"/>
      <c r="L16" s="264"/>
      <c r="M16" s="264"/>
    </row>
    <row r="18" spans="2:13" ht="12" customHeight="1" x14ac:dyDescent="0.35">
      <c r="B18" s="264" t="s">
        <v>292</v>
      </c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</row>
    <row r="19" spans="2:13" ht="12" customHeight="1" x14ac:dyDescent="0.35">
      <c r="B19" s="264"/>
      <c r="C19" s="264"/>
      <c r="D19" s="264"/>
      <c r="E19" s="264"/>
      <c r="F19" s="264"/>
      <c r="G19" s="264"/>
      <c r="H19" s="264"/>
      <c r="I19" s="264"/>
      <c r="J19" s="264"/>
      <c r="K19" s="264"/>
      <c r="L19" s="264"/>
      <c r="M19" s="264"/>
    </row>
    <row r="20" spans="2:13" ht="12" customHeight="1" x14ac:dyDescent="0.35">
      <c r="B20" s="264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</row>
    <row r="21" spans="2:13" ht="12" customHeight="1" x14ac:dyDescent="0.35">
      <c r="B21" s="264"/>
      <c r="C21" s="264"/>
      <c r="D21" s="264"/>
      <c r="E21" s="264"/>
      <c r="F21" s="264"/>
      <c r="G21" s="264"/>
      <c r="H21" s="264"/>
      <c r="I21" s="264"/>
      <c r="J21" s="264"/>
      <c r="K21" s="264"/>
      <c r="L21" s="264"/>
      <c r="M21" s="264"/>
    </row>
    <row r="22" spans="2:13" ht="12" customHeight="1" x14ac:dyDescent="0.35">
      <c r="B22" s="264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</row>
    <row r="23" spans="2:13" ht="12" customHeight="1" x14ac:dyDescent="0.35">
      <c r="B23" s="264"/>
      <c r="C23" s="264"/>
      <c r="D23" s="264"/>
      <c r="E23" s="264"/>
      <c r="F23" s="264"/>
      <c r="G23" s="264"/>
      <c r="H23" s="264"/>
      <c r="I23" s="264"/>
      <c r="J23" s="264"/>
      <c r="K23" s="264"/>
      <c r="L23" s="264"/>
      <c r="M23" s="264"/>
    </row>
    <row r="24" spans="2:13" ht="12" customHeight="1" x14ac:dyDescent="0.35"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</row>
    <row r="25" spans="2:13" ht="12" customHeight="1" x14ac:dyDescent="0.35">
      <c r="B25" s="264"/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</row>
    <row r="26" spans="2:13" ht="12" customHeight="1" x14ac:dyDescent="0.35">
      <c r="B26" s="264"/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</row>
    <row r="27" spans="2:13" ht="12" customHeight="1" x14ac:dyDescent="0.35">
      <c r="B27" s="264"/>
      <c r="C27" s="264"/>
      <c r="D27" s="264"/>
      <c r="E27" s="264"/>
      <c r="F27" s="264"/>
      <c r="G27" s="264"/>
      <c r="H27" s="264"/>
      <c r="I27" s="264"/>
      <c r="J27" s="264"/>
      <c r="K27" s="264"/>
      <c r="L27" s="264"/>
      <c r="M27" s="264"/>
    </row>
    <row r="28" spans="2:13" ht="12" customHeight="1" x14ac:dyDescent="0.35">
      <c r="B28" s="264"/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</row>
    <row r="29" spans="2:13" ht="12" customHeight="1" x14ac:dyDescent="0.35">
      <c r="B29" s="264"/>
      <c r="C29" s="264"/>
      <c r="D29" s="264"/>
      <c r="E29" s="264"/>
      <c r="F29" s="264"/>
      <c r="G29" s="264"/>
      <c r="H29" s="264"/>
      <c r="I29" s="264"/>
      <c r="J29" s="264"/>
      <c r="K29" s="264"/>
      <c r="L29" s="264"/>
      <c r="M29" s="264"/>
    </row>
    <row r="30" spans="2:13" ht="12" customHeight="1" x14ac:dyDescent="0.35">
      <c r="B30" s="264"/>
      <c r="C30" s="264"/>
      <c r="D30" s="264"/>
      <c r="E30" s="264"/>
      <c r="F30" s="264"/>
      <c r="G30" s="264"/>
      <c r="H30" s="264"/>
      <c r="I30" s="264"/>
      <c r="J30" s="264"/>
      <c r="K30" s="264"/>
      <c r="L30" s="264"/>
      <c r="M30" s="264"/>
    </row>
    <row r="31" spans="2:13" ht="12" customHeight="1" x14ac:dyDescent="0.35">
      <c r="B31" s="264"/>
      <c r="C31" s="264"/>
      <c r="D31" s="264"/>
      <c r="E31" s="264"/>
      <c r="F31" s="264"/>
      <c r="G31" s="264"/>
      <c r="H31" s="264"/>
      <c r="I31" s="264"/>
      <c r="J31" s="264"/>
      <c r="K31" s="264"/>
      <c r="L31" s="264"/>
      <c r="M31" s="264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558"/>
  <sheetViews>
    <sheetView zoomScale="70" zoomScaleNormal="70" workbookViewId="0">
      <selection activeCell="B24" sqref="B24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9" t="s">
        <v>190</v>
      </c>
      <c r="D1" s="269"/>
      <c r="E1" s="26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0" t="s">
        <v>192</v>
      </c>
      <c r="C3" s="271"/>
      <c r="D3" s="271"/>
      <c r="E3" s="271"/>
      <c r="F3" s="272"/>
      <c r="G3" s="89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5" t="s">
        <v>231</v>
      </c>
      <c r="B5" s="275"/>
      <c r="C5" s="24">
        <v>32.89</v>
      </c>
      <c r="D5" s="276" t="s">
        <v>229</v>
      </c>
      <c r="E5" s="277"/>
      <c r="F5" s="90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4" t="s">
        <v>226</v>
      </c>
      <c r="B7" s="274"/>
      <c r="C7" s="90"/>
      <c r="D7" s="90"/>
      <c r="E7" s="4"/>
      <c r="F7" s="90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18</v>
      </c>
      <c r="C9" s="32">
        <v>4.5957236888126245E-2</v>
      </c>
      <c r="D9" s="33">
        <f t="shared" ref="D9:D28" si="0">C9*$C$5</f>
        <v>1.5115335212504721</v>
      </c>
      <c r="E9" s="34">
        <v>54</v>
      </c>
      <c r="F9" s="35" t="str">
        <f t="array" ref="F9">IF(E9="","",IF(INDEX(A:A,MAX(IF(ISNUMBER($A$46:$A$65),ROW($A$46:$A$65),"")))&lt;&gt;E9,"Corrigez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 t="s">
        <v>14</v>
      </c>
      <c r="C10" s="32">
        <v>0.14301466495781293</v>
      </c>
      <c r="D10" s="33">
        <f t="shared" si="0"/>
        <v>4.7037523304624669</v>
      </c>
      <c r="E10" s="34">
        <v>131</v>
      </c>
      <c r="F10" s="35" t="str">
        <f t="array" ref="F10">IF(E10="","",IF(INDEX(A:A,MAX(IF(ISNUMBER($A$72:$A$91),ROW($A$72:$A$91),"")))&lt;&gt;E10,"Corrigez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 t="s">
        <v>156</v>
      </c>
      <c r="C11" s="32">
        <v>7.1494665103799468E-2</v>
      </c>
      <c r="D11" s="33">
        <f t="shared" si="0"/>
        <v>2.3514595352639645</v>
      </c>
      <c r="E11" s="34">
        <v>54</v>
      </c>
      <c r="F11" s="35" t="str">
        <f t="array" ref="F11">IF(E11="","",IF(INDEX(A:A,MAX(IF(ISNUMBER($A$98:$A$117),ROW($A$98:$A$117),"")))&lt;&gt;E11,"Corrigez : révolution incorrecte","OK"))</f>
        <v>OK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 t="s">
        <v>9</v>
      </c>
      <c r="C12" s="32">
        <v>8.6822188983246215E-2</v>
      </c>
      <c r="D12" s="33">
        <f t="shared" si="0"/>
        <v>2.855581795658968</v>
      </c>
      <c r="E12" s="34">
        <v>100</v>
      </c>
      <c r="F12" s="35" t="str">
        <f t="array" ref="F12">IF(E12="","",IF(INDEX(A:A,MAX(IF(ISNUMBER($A$124:$A$143),ROW($A$124:$A$143),"")))&lt;&gt;E12,"Corrigez : révolution incorrecte","OK"))</f>
        <v>OK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 t="s">
        <v>12</v>
      </c>
      <c r="C13" s="32">
        <v>5.3659000953170548E-2</v>
      </c>
      <c r="D13" s="33">
        <f t="shared" si="0"/>
        <v>1.7648445413497793</v>
      </c>
      <c r="E13" s="34">
        <v>161</v>
      </c>
      <c r="F13" s="35" t="str">
        <f t="array" ref="F13">IF(E13="","",IF(INDEX(A:A,MAX(IF(ISNUMBER($A$150:$A$169),ROW($A$150:$A$169),"")))&lt;&gt;E13,"Corrigez : révolution incorrecte","OK"))</f>
        <v>OK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 t="s">
        <v>8</v>
      </c>
      <c r="C14" s="32">
        <v>5.1074856431346474E-2</v>
      </c>
      <c r="D14" s="33">
        <f t="shared" si="0"/>
        <v>1.6798520280269855</v>
      </c>
      <c r="E14" s="34">
        <v>80</v>
      </c>
      <c r="F14" s="35" t="str">
        <f t="array" ref="F14">IF(E14="","",IF(INDEX(A:A,MAX(IF(ISNUMBER($A$176:$A$195),ROW($A$176:$A$195),"")))&lt;&gt;E14,"Corrigez : révolution incorrecte","OK"))</f>
        <v>OK</v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 t="s">
        <v>164</v>
      </c>
      <c r="C15" s="32">
        <v>0.10215409245936859</v>
      </c>
      <c r="D15" s="33">
        <f t="shared" si="0"/>
        <v>3.359848100988633</v>
      </c>
      <c r="E15" s="34">
        <v>109</v>
      </c>
      <c r="F15" s="35" t="str">
        <f t="array" ref="F15">IF(E15="","",IF(INDEX(A:A,MAX(IF(ISNUMBER($A$202:$A$221),ROW($A$202:$A$221),"")))&lt;&gt;E15,"Corrigez : révolution incorrecte","OK"))</f>
        <v>OK</v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 t="s">
        <v>9</v>
      </c>
      <c r="C16" s="32">
        <v>5.6192475974566704E-2</v>
      </c>
      <c r="D16" s="33">
        <f t="shared" si="0"/>
        <v>1.8481705348034989</v>
      </c>
      <c r="E16" s="34">
        <v>100</v>
      </c>
      <c r="F16" s="35" t="str">
        <f t="array" ref="F16">IF(E16="","",IF(INDEX(A:A,MAX(IF(ISNUMBER($A$228:$A$247),ROW($A$228:$A$247),"")))&lt;&gt;E16,"Corrigez : révolution incorrecte","OK"))</f>
        <v>OK</v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39" x14ac:dyDescent="0.35">
      <c r="A17" s="30" t="s">
        <v>173</v>
      </c>
      <c r="B17" s="31" t="s">
        <v>26</v>
      </c>
      <c r="C17" s="32">
        <v>2.9197311170952079E-2</v>
      </c>
      <c r="D17" s="33">
        <f t="shared" si="0"/>
        <v>0.96029956441261388</v>
      </c>
      <c r="E17" s="34">
        <v>80</v>
      </c>
      <c r="F17" s="255" t="str">
        <f t="array" ref="F17">IF(E17="","",IF(INDEX(A:A,MAX(IF(ISNUMBER($A$254:$A$273),ROW($A$254:$A$273),"")))&lt;&gt;E17,"Corrigez : révolution incorrecte","OK"))</f>
        <v>OK</v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39" x14ac:dyDescent="0.35">
      <c r="A18" s="30" t="s">
        <v>174</v>
      </c>
      <c r="B18" s="31" t="s">
        <v>92</v>
      </c>
      <c r="C18" s="32">
        <v>9.0292684796169309E-2</v>
      </c>
      <c r="D18" s="33">
        <f t="shared" si="0"/>
        <v>2.9697264029460086</v>
      </c>
      <c r="E18" s="34">
        <v>80</v>
      </c>
      <c r="F18" s="255" t="str">
        <f t="array" ref="F18">IF(E18="","",IF(INDEX(A:A,MAX(IF(ISNUMBER($A$280:$A$299),ROW($A$280:$A$299),"")))&lt;&gt;E18,"Corrigez : révolution incorrecte","OK"))</f>
        <v>OK</v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39" x14ac:dyDescent="0.35">
      <c r="A19" s="30" t="s">
        <v>324</v>
      </c>
      <c r="B19" s="31" t="s">
        <v>112</v>
      </c>
      <c r="C19" s="32">
        <v>5.4723060462156935E-2</v>
      </c>
      <c r="D19" s="33">
        <f t="shared" si="0"/>
        <v>1.7998414586003415</v>
      </c>
      <c r="E19" s="34">
        <v>20</v>
      </c>
      <c r="F19" s="255" t="str">
        <f t="array" ref="F19">IF(E19="","",IF(INDEX(A:A,MAX(IF(ISNUMBER($A$305:$A$324),ROW($A$305:$A$324),"")))&lt;&gt;E19,"Corrigez : révolution incorrecte","OK"))</f>
        <v>OK</v>
      </c>
      <c r="I19" s="22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</row>
    <row r="20" spans="1:39" x14ac:dyDescent="0.35">
      <c r="A20" s="30" t="s">
        <v>325</v>
      </c>
      <c r="B20" s="31" t="s">
        <v>112</v>
      </c>
      <c r="C20" s="32">
        <v>5.4723060462156935E-2</v>
      </c>
      <c r="D20" s="33">
        <f t="shared" si="0"/>
        <v>1.7998414586003415</v>
      </c>
      <c r="E20" s="34">
        <v>20</v>
      </c>
      <c r="F20" s="255" t="str">
        <f t="array" ref="F20">IF(E20="","",IF(INDEX(A:A,MAX(IF(ISNUMBER($A$331:$A$350),ROW($A$331:$A$350),"")))&lt;&gt;E20,"Corrigez : révolution incorrecte","OK"))</f>
        <v>OK</v>
      </c>
      <c r="I20" s="22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</row>
    <row r="21" spans="1:39" x14ac:dyDescent="0.35">
      <c r="A21" s="30" t="s">
        <v>326</v>
      </c>
      <c r="B21" s="31" t="s">
        <v>31</v>
      </c>
      <c r="C21" s="32">
        <v>1.0657018577397509E-2</v>
      </c>
      <c r="D21" s="33">
        <f t="shared" si="0"/>
        <v>0.3505093410106041</v>
      </c>
      <c r="E21" s="34">
        <v>150</v>
      </c>
      <c r="F21" s="255" t="str">
        <f t="array" ref="F21">IF(E21="","",IF(INDEX(A:A,MAX(IF(ISNUMBER($A$357:$A$376),ROW($A$357:$A$376),"")))&lt;&gt;E21,"Corrigez : révolution incorrecte","OK"))</f>
        <v>OK</v>
      </c>
      <c r="I21" s="22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</row>
    <row r="22" spans="1:39" x14ac:dyDescent="0.35">
      <c r="A22" s="30" t="s">
        <v>327</v>
      </c>
      <c r="B22" s="31" t="s">
        <v>50</v>
      </c>
      <c r="C22" s="32">
        <v>1.5949031227132572E-2</v>
      </c>
      <c r="D22" s="33">
        <f t="shared" si="0"/>
        <v>0.52456363706039033</v>
      </c>
      <c r="E22" s="34">
        <v>131</v>
      </c>
      <c r="F22" s="255" t="str">
        <f t="array" ref="F22">IF(E22="","",IF(INDEX(A:A,MAX(IF(ISNUMBER($A$383:$A$402),ROW($A$383:$A$402),"")))&lt;&gt;E22,"Corrigez : révolution incorrecte","OK"))</f>
        <v>OK</v>
      </c>
      <c r="I22" s="22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</row>
    <row r="23" spans="1:39" x14ac:dyDescent="0.35">
      <c r="A23" s="30" t="s">
        <v>328</v>
      </c>
      <c r="B23" s="31" t="s">
        <v>26</v>
      </c>
      <c r="C23" s="32">
        <v>3.1934559093228836E-2</v>
      </c>
      <c r="D23" s="33">
        <f t="shared" si="0"/>
        <v>1.0503276485762965</v>
      </c>
      <c r="E23" s="34">
        <v>80</v>
      </c>
      <c r="F23" s="255" t="str">
        <f t="array" ref="F23">IF(E23="","",IF(INDEX(A:A,MAX(IF(ISNUMBER($A$409:$A$428),ROW($A$409:$A$428),"")))&lt;&gt;E23,"Corrigez : révolution incorrecte","OK"))</f>
        <v>OK</v>
      </c>
      <c r="I23" s="22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</row>
    <row r="24" spans="1:39" x14ac:dyDescent="0.35">
      <c r="A24" s="30" t="s">
        <v>329</v>
      </c>
      <c r="B24" s="31" t="s">
        <v>12</v>
      </c>
      <c r="C24" s="32">
        <v>0.10215409245936859</v>
      </c>
      <c r="D24" s="33">
        <f t="shared" si="0"/>
        <v>3.359848100988633</v>
      </c>
      <c r="E24" s="34">
        <v>161</v>
      </c>
      <c r="F24" s="255" t="str">
        <f t="array" ref="F24">IF(E24="","",IF(INDEX(A:A,MAX(IF(ISNUMBER($A$435:$A$454),ROW($A$435:$A$454),"")))&lt;&gt;E24,"Corrigez : révolution incorrecte","OK"))</f>
        <v>OK</v>
      </c>
      <c r="I24" s="22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</row>
    <row r="25" spans="1:39" x14ac:dyDescent="0.35">
      <c r="A25" s="30" t="s">
        <v>330</v>
      </c>
      <c r="B25" s="31"/>
      <c r="C25" s="32"/>
      <c r="D25" s="33">
        <f t="shared" si="0"/>
        <v>0</v>
      </c>
      <c r="E25" s="34"/>
      <c r="F25" s="256" t="str">
        <f t="array" ref="F25">IF(E25="","",IF(INDEX(A:A,MAX(IF(ISNUMBER($A$461:$A$480),ROW($A$461:$A$480),"")))&lt;&gt;E25,"Corrigez : révolution incorrecte","OK"))</f>
        <v/>
      </c>
      <c r="I25" s="22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</row>
    <row r="26" spans="1:39" x14ac:dyDescent="0.35">
      <c r="A26" s="30" t="s">
        <v>331</v>
      </c>
      <c r="B26" s="31"/>
      <c r="C26" s="32"/>
      <c r="D26" s="33">
        <f t="shared" si="0"/>
        <v>0</v>
      </c>
      <c r="E26" s="34"/>
      <c r="F26" s="255" t="str">
        <f t="array" ref="F26">IF(E26="","",IF(INDEX(A:A,MAX(IF(ISNUMBER($A$487:$A$506),ROW($A$487:$A$506),"")))&lt;&gt;E26,"Corrigez : révolution incorrecte","OK"))</f>
        <v/>
      </c>
      <c r="I26" s="22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</row>
    <row r="27" spans="1:39" x14ac:dyDescent="0.35">
      <c r="A27" s="30" t="s">
        <v>332</v>
      </c>
      <c r="B27" s="31"/>
      <c r="C27" s="32"/>
      <c r="D27" s="33">
        <f t="shared" si="0"/>
        <v>0</v>
      </c>
      <c r="E27" s="34"/>
      <c r="F27" s="255" t="str">
        <f t="array" ref="F27">IF(E27="","",IF(INDEX(A:A,MAX(IF(ISNUMBER($A$513:$A$532),ROW($A$513:$A$532),"")))&lt;&gt;E27,"Corrigez : révolution incorrecte","OK"))</f>
        <v/>
      </c>
      <c r="I27" s="22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</row>
    <row r="28" spans="1:39" x14ac:dyDescent="0.35">
      <c r="A28" s="30" t="s">
        <v>333</v>
      </c>
      <c r="B28" s="31"/>
      <c r="C28" s="32"/>
      <c r="D28" s="33">
        <f t="shared" si="0"/>
        <v>0</v>
      </c>
      <c r="E28" s="34"/>
      <c r="F28" s="255" t="str">
        <f t="array" ref="F28">IF(E28="","",IF(INDEX(A:A,MAX(IF(ISNUMBER($A$539:$A$558),ROW($A$539:$A$558),"")))&lt;&gt;E28,"Corrigez : révolution incorrecte","OK"))</f>
        <v/>
      </c>
      <c r="I28" s="22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</row>
    <row r="29" spans="1:39" x14ac:dyDescent="0.35">
      <c r="A29" s="78"/>
      <c r="B29" s="36" t="s">
        <v>175</v>
      </c>
      <c r="C29" s="37">
        <f>SUM(C9:C28)</f>
        <v>0.99999999999999989</v>
      </c>
      <c r="D29" s="38">
        <f>SUM(D9:D28)</f>
        <v>32.89</v>
      </c>
      <c r="E29" s="4"/>
      <c r="F29" s="92"/>
      <c r="G29" s="217"/>
      <c r="H29" s="217"/>
      <c r="I29" s="217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</row>
    <row r="30" spans="1:39" x14ac:dyDescent="0.35">
      <c r="A30" s="78"/>
      <c r="B30" s="39" t="s">
        <v>230</v>
      </c>
      <c r="C30" s="40" t="str">
        <f>IF(C29&gt;100%,"Erreur : corrigez","OK")</f>
        <v>OK</v>
      </c>
      <c r="D30" s="220"/>
      <c r="F30" s="203"/>
      <c r="G30" s="203"/>
      <c r="H30" s="217"/>
      <c r="I30" s="217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</row>
    <row r="31" spans="1:39" x14ac:dyDescent="0.35">
      <c r="A31" s="4"/>
      <c r="B31" s="4"/>
      <c r="C31" s="4"/>
      <c r="H31" s="218"/>
      <c r="I31" s="218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</row>
    <row r="32" spans="1:39" ht="21" x14ac:dyDescent="0.5">
      <c r="A32" s="273" t="s">
        <v>232</v>
      </c>
      <c r="B32" s="273"/>
      <c r="C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</row>
    <row r="33" spans="1:45" x14ac:dyDescent="0.35">
      <c r="A33" s="4"/>
      <c r="B33" s="4"/>
      <c r="C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</row>
    <row r="34" spans="1:45" x14ac:dyDescent="0.35">
      <c r="A34" s="41" t="s">
        <v>218</v>
      </c>
      <c r="B34" s="42" t="s">
        <v>224</v>
      </c>
      <c r="C34" s="43">
        <v>0</v>
      </c>
      <c r="D34" s="44" t="s">
        <v>233</v>
      </c>
      <c r="E34" s="93"/>
      <c r="F34" s="93"/>
      <c r="G34" s="200"/>
      <c r="I34" s="200"/>
      <c r="J34" s="219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</row>
    <row r="35" spans="1:45" x14ac:dyDescent="0.35">
      <c r="A35" s="41" t="s">
        <v>220</v>
      </c>
      <c r="B35" s="42" t="s">
        <v>219</v>
      </c>
      <c r="C35" s="45">
        <v>0.1</v>
      </c>
      <c r="D35" s="94"/>
      <c r="E35" s="4"/>
      <c r="F35" s="94"/>
      <c r="G35" s="219"/>
      <c r="I35" s="219"/>
      <c r="J35" s="219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</row>
    <row r="36" spans="1:45" x14ac:dyDescent="0.35">
      <c r="A36" s="41" t="s">
        <v>222</v>
      </c>
      <c r="B36" s="42" t="s">
        <v>221</v>
      </c>
      <c r="C36" s="43">
        <v>0</v>
      </c>
      <c r="D36" s="44" t="s">
        <v>234</v>
      </c>
      <c r="E36" s="93"/>
      <c r="F36" s="93"/>
      <c r="G36" s="200"/>
      <c r="I36" s="200"/>
      <c r="J36" s="200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</row>
    <row r="37" spans="1:45" x14ac:dyDescent="0.35">
      <c r="A37" s="41" t="s">
        <v>223</v>
      </c>
      <c r="B37" s="42" t="s">
        <v>225</v>
      </c>
      <c r="C37" s="43">
        <v>0</v>
      </c>
      <c r="D37" s="44" t="s">
        <v>235</v>
      </c>
      <c r="E37" s="93"/>
      <c r="F37" s="93"/>
      <c r="G37" s="200"/>
      <c r="I37" s="200"/>
      <c r="J37" s="200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</row>
    <row r="38" spans="1:45" x14ac:dyDescent="0.35">
      <c r="A38" s="4"/>
      <c r="B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</row>
    <row r="39" spans="1:45" x14ac:dyDescent="0.35">
      <c r="A39" s="4"/>
      <c r="B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</row>
    <row r="40" spans="1:45" ht="21" x14ac:dyDescent="0.35">
      <c r="A40" s="274" t="s">
        <v>227</v>
      </c>
      <c r="B40" s="274"/>
      <c r="D40" s="221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</row>
    <row r="41" spans="1:45" x14ac:dyDescent="0.35">
      <c r="A41" s="4"/>
      <c r="B41" s="4"/>
      <c r="K41" s="221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</row>
    <row r="42" spans="1:45" x14ac:dyDescent="0.35">
      <c r="A42" s="46" t="s">
        <v>165</v>
      </c>
      <c r="B42" s="47" t="str">
        <f>IF(B9="","",B9)</f>
        <v>Douglas</v>
      </c>
      <c r="D42" s="227" t="s">
        <v>307</v>
      </c>
      <c r="K42" s="221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</row>
    <row r="43" spans="1:45" x14ac:dyDescent="0.35">
      <c r="A43" s="46"/>
      <c r="B43" s="4"/>
      <c r="K43" s="221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</row>
    <row r="44" spans="1:45" x14ac:dyDescent="0.35">
      <c r="A44" s="4"/>
      <c r="B44" s="85" t="s">
        <v>185</v>
      </c>
      <c r="C44" s="265" t="s">
        <v>186</v>
      </c>
      <c r="D44" s="265"/>
      <c r="E44" s="266" t="s">
        <v>187</v>
      </c>
      <c r="F44" s="267"/>
      <c r="G44" s="267"/>
      <c r="H44" s="268"/>
      <c r="I44" s="95"/>
      <c r="J44" s="221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45" ht="43.5" x14ac:dyDescent="0.35">
      <c r="A45" s="36" t="s">
        <v>180</v>
      </c>
      <c r="B45" s="36" t="s">
        <v>189</v>
      </c>
      <c r="C45" s="48" t="s">
        <v>188</v>
      </c>
      <c r="D45" s="48" t="s">
        <v>251</v>
      </c>
      <c r="E45" s="36" t="s">
        <v>183</v>
      </c>
      <c r="F45" s="36" t="s">
        <v>181</v>
      </c>
      <c r="G45" s="36" t="s">
        <v>184</v>
      </c>
      <c r="H45" s="36" t="s">
        <v>182</v>
      </c>
      <c r="I45" s="48" t="s">
        <v>213</v>
      </c>
      <c r="J45" s="222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>
        <v>18</v>
      </c>
      <c r="B46" s="60">
        <v>182.89230769230767</v>
      </c>
      <c r="C46" s="60">
        <v>1</v>
      </c>
      <c r="D46" s="60">
        <v>69.284615384615378</v>
      </c>
      <c r="E46" s="51">
        <v>0</v>
      </c>
      <c r="F46" s="51">
        <v>0.56000000000000005</v>
      </c>
      <c r="G46" s="51">
        <v>0.44</v>
      </c>
      <c r="H46" s="51">
        <v>0</v>
      </c>
      <c r="I46" s="49">
        <f>IFERROR(B46/A46,"")</f>
        <v>10.16068376068376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>
        <v>24</v>
      </c>
      <c r="B47" s="60">
        <v>237.56153846153845</v>
      </c>
      <c r="C47" s="60">
        <v>2</v>
      </c>
      <c r="D47" s="60">
        <v>42.661538461538463</v>
      </c>
      <c r="E47" s="51">
        <v>0.7</v>
      </c>
      <c r="F47" s="51">
        <v>0.16800000000000001</v>
      </c>
      <c r="G47" s="51">
        <v>0.13200000000000001</v>
      </c>
      <c r="H47" s="51">
        <v>0</v>
      </c>
      <c r="I47" s="53">
        <f t="shared" ref="I47:I65" si="1">IF(A47&lt;&gt;0,(B47-(B46-D46))/(A47-A46),"")</f>
        <v>20.658974358974358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>
        <v>30</v>
      </c>
      <c r="B48" s="60">
        <v>331.86923076923074</v>
      </c>
      <c r="C48" s="60">
        <v>3</v>
      </c>
      <c r="D48" s="60">
        <v>65.669230769230765</v>
      </c>
      <c r="E48" s="51">
        <v>0.7</v>
      </c>
      <c r="F48" s="51">
        <v>0.16800000000000001</v>
      </c>
      <c r="G48" s="51">
        <v>0.13200000000000001</v>
      </c>
      <c r="H48" s="51">
        <v>0</v>
      </c>
      <c r="I48" s="53">
        <f t="shared" si="1"/>
        <v>22.828205128205127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>
        <v>36</v>
      </c>
      <c r="B49" s="60">
        <v>403.50769230769237</v>
      </c>
      <c r="C49" s="60">
        <v>4</v>
      </c>
      <c r="D49" s="60">
        <v>69.3</v>
      </c>
      <c r="E49" s="51">
        <v>0.7</v>
      </c>
      <c r="F49" s="51">
        <v>0.16800000000000001</v>
      </c>
      <c r="G49" s="51">
        <v>0.13200000000000001</v>
      </c>
      <c r="H49" s="51">
        <v>0</v>
      </c>
      <c r="I49" s="49">
        <f t="shared" si="1"/>
        <v>22.884615384615397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>
        <v>42</v>
      </c>
      <c r="B50" s="60">
        <v>468.72307692307686</v>
      </c>
      <c r="C50" s="60">
        <v>5</v>
      </c>
      <c r="D50" s="60">
        <v>73.392307692307682</v>
      </c>
      <c r="E50" s="51">
        <v>0.7</v>
      </c>
      <c r="F50" s="51">
        <v>0.16800000000000001</v>
      </c>
      <c r="G50" s="51">
        <v>0.13200000000000001</v>
      </c>
      <c r="H50" s="51">
        <v>0</v>
      </c>
      <c r="I50" s="49">
        <f t="shared" si="1"/>
        <v>22.419230769230751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>
        <v>48</v>
      </c>
      <c r="B51" s="60">
        <v>525.0846153846154</v>
      </c>
      <c r="C51" s="60">
        <v>6</v>
      </c>
      <c r="D51" s="60">
        <v>81.330769230769235</v>
      </c>
      <c r="E51" s="51">
        <v>0.7</v>
      </c>
      <c r="F51" s="51">
        <v>0.16800000000000001</v>
      </c>
      <c r="G51" s="51">
        <v>0.13200000000000001</v>
      </c>
      <c r="H51" s="51">
        <v>0</v>
      </c>
      <c r="I51" s="53">
        <f t="shared" si="1"/>
        <v>21.625641025641034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>
        <v>54</v>
      </c>
      <c r="B52" s="60">
        <v>566.79999999999995</v>
      </c>
      <c r="C52" s="60">
        <v>7</v>
      </c>
      <c r="D52" s="60">
        <v>566.79999999999995</v>
      </c>
      <c r="E52" s="51">
        <v>0.7</v>
      </c>
      <c r="F52" s="51">
        <v>0.16800000000000001</v>
      </c>
      <c r="G52" s="51">
        <v>0.13200000000000001</v>
      </c>
      <c r="H52" s="51">
        <v>0</v>
      </c>
      <c r="I52" s="53">
        <f t="shared" si="1"/>
        <v>20.507692307692299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60"/>
      <c r="C53" s="60"/>
      <c r="D53" s="6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60"/>
      <c r="C54" s="60"/>
      <c r="D54" s="6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60"/>
      <c r="C55" s="60"/>
      <c r="D55" s="6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50"/>
      <c r="B56" s="60"/>
      <c r="C56" s="60"/>
      <c r="D56" s="60"/>
      <c r="E56" s="51"/>
      <c r="F56" s="51"/>
      <c r="G56" s="51"/>
      <c r="H56" s="51"/>
      <c r="I56" s="49" t="str">
        <f t="shared" si="1"/>
        <v/>
      </c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50"/>
      <c r="B57" s="60"/>
      <c r="C57" s="60"/>
      <c r="D57" s="60"/>
      <c r="E57" s="51"/>
      <c r="F57" s="51"/>
      <c r="G57" s="51"/>
      <c r="H57" s="51"/>
      <c r="I57" s="49" t="str">
        <f t="shared" si="1"/>
        <v/>
      </c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50"/>
      <c r="B58" s="60"/>
      <c r="C58" s="60"/>
      <c r="D58" s="60"/>
      <c r="E58" s="51"/>
      <c r="F58" s="51"/>
      <c r="G58" s="51"/>
      <c r="H58" s="51"/>
      <c r="I58" s="49" t="str">
        <f t="shared" si="1"/>
        <v/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50"/>
      <c r="B59" s="60"/>
      <c r="C59" s="60"/>
      <c r="D59" s="60"/>
      <c r="E59" s="51"/>
      <c r="F59" s="51"/>
      <c r="G59" s="51"/>
      <c r="H59" s="51"/>
      <c r="I59" s="49" t="str">
        <f t="shared" si="1"/>
        <v/>
      </c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50"/>
      <c r="B60" s="50"/>
      <c r="C60" s="50"/>
      <c r="D60" s="50"/>
      <c r="E60" s="51"/>
      <c r="F60" s="51"/>
      <c r="G60" s="51"/>
      <c r="H60" s="51"/>
      <c r="I60" s="49" t="str">
        <f t="shared" si="1"/>
        <v/>
      </c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x14ac:dyDescent="0.35">
      <c r="A61" s="50"/>
      <c r="B61" s="50"/>
      <c r="C61" s="50"/>
      <c r="D61" s="50"/>
      <c r="E61" s="51"/>
      <c r="F61" s="51"/>
      <c r="G61" s="51"/>
      <c r="H61" s="51"/>
      <c r="I61" s="49" t="str">
        <f t="shared" si="1"/>
        <v/>
      </c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/>
      <c r="B62" s="50"/>
      <c r="C62" s="50"/>
      <c r="D62" s="50"/>
      <c r="E62" s="51"/>
      <c r="F62" s="51"/>
      <c r="G62" s="51"/>
      <c r="H62" s="51"/>
      <c r="I62" s="49" t="str">
        <f t="shared" si="1"/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/>
      <c r="B63" s="50"/>
      <c r="C63" s="50"/>
      <c r="D63" s="50"/>
      <c r="E63" s="51"/>
      <c r="F63" s="51"/>
      <c r="G63" s="51"/>
      <c r="H63" s="51"/>
      <c r="I63" s="49" t="str">
        <f t="shared" si="1"/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/>
      <c r="B64" s="50"/>
      <c r="C64" s="50"/>
      <c r="D64" s="50"/>
      <c r="E64" s="51"/>
      <c r="F64" s="51"/>
      <c r="G64" s="51"/>
      <c r="H64" s="51"/>
      <c r="I64" s="49" t="str">
        <f t="shared" si="1"/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/>
      <c r="B65" s="50"/>
      <c r="C65" s="50"/>
      <c r="D65" s="50"/>
      <c r="E65" s="51"/>
      <c r="F65" s="51"/>
      <c r="G65" s="51"/>
      <c r="H65" s="51"/>
      <c r="I65" s="49" t="str">
        <f t="shared" si="1"/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4"/>
      <c r="B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4"/>
      <c r="B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46" t="s">
        <v>166</v>
      </c>
      <c r="B68" s="52" t="str">
        <f>IF(B10="","",B10)</f>
        <v>Chêne sessile</v>
      </c>
      <c r="D68" s="227" t="s">
        <v>307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46"/>
      <c r="B69" s="96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4"/>
      <c r="B70" s="85" t="s">
        <v>185</v>
      </c>
      <c r="C70" s="265" t="s">
        <v>186</v>
      </c>
      <c r="D70" s="265"/>
      <c r="E70" s="266" t="s">
        <v>187</v>
      </c>
      <c r="F70" s="267"/>
      <c r="G70" s="267"/>
      <c r="H70" s="268"/>
      <c r="I70" s="95"/>
      <c r="J70" s="221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ht="43.5" x14ac:dyDescent="0.35">
      <c r="A71" s="36" t="s">
        <v>180</v>
      </c>
      <c r="B71" s="36" t="s">
        <v>189</v>
      </c>
      <c r="C71" s="48" t="s">
        <v>188</v>
      </c>
      <c r="D71" s="48" t="s">
        <v>251</v>
      </c>
      <c r="E71" s="36" t="s">
        <v>183</v>
      </c>
      <c r="F71" s="36" t="s">
        <v>181</v>
      </c>
      <c r="G71" s="36" t="s">
        <v>184</v>
      </c>
      <c r="H71" s="36" t="s">
        <v>182</v>
      </c>
      <c r="I71" s="48" t="s">
        <v>213</v>
      </c>
      <c r="J71" s="222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30</v>
      </c>
      <c r="B72" s="60">
        <v>121.88461538461537</v>
      </c>
      <c r="C72" s="60" t="s">
        <v>334</v>
      </c>
      <c r="D72" s="60">
        <v>0</v>
      </c>
      <c r="E72" s="51">
        <v>0</v>
      </c>
      <c r="F72" s="51">
        <v>0</v>
      </c>
      <c r="G72" s="51">
        <v>0</v>
      </c>
      <c r="H72" s="51">
        <v>0</v>
      </c>
      <c r="I72" s="53">
        <f>IFERROR(B72/A72,"")</f>
        <v>4.0628205128205126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>
        <v>35</v>
      </c>
      <c r="B73" s="60">
        <v>162.16666666666669</v>
      </c>
      <c r="C73" s="60">
        <v>1</v>
      </c>
      <c r="D73" s="60">
        <v>60.602564102564102</v>
      </c>
      <c r="E73" s="51">
        <v>0</v>
      </c>
      <c r="F73" s="51">
        <v>0</v>
      </c>
      <c r="G73" s="51">
        <v>0</v>
      </c>
      <c r="H73" s="51">
        <v>1</v>
      </c>
      <c r="I73" s="49">
        <f>IF(A73&lt;&gt;0,(B73-(B72-D72))/(A73-A72),"")</f>
        <v>8.0564102564102633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>
        <v>41</v>
      </c>
      <c r="B74" s="60">
        <v>157.44871794871796</v>
      </c>
      <c r="C74" s="60">
        <v>2</v>
      </c>
      <c r="D74" s="60">
        <v>38.512820512820511</v>
      </c>
      <c r="E74" s="51">
        <v>0</v>
      </c>
      <c r="F74" s="51">
        <v>0</v>
      </c>
      <c r="G74" s="51">
        <v>0</v>
      </c>
      <c r="H74" s="51">
        <v>1</v>
      </c>
      <c r="I74" s="49">
        <f>IF(A74&lt;&gt;0,(B74-(B73-D73))/(A74-A73),"")</f>
        <v>9.3141025641025621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>
        <v>48</v>
      </c>
      <c r="B75" s="60">
        <v>184.35256410256409</v>
      </c>
      <c r="C75" s="60">
        <v>3</v>
      </c>
      <c r="D75" s="60">
        <v>48.025641025641022</v>
      </c>
      <c r="E75" s="51">
        <v>0</v>
      </c>
      <c r="F75" s="51">
        <v>0</v>
      </c>
      <c r="G75" s="51">
        <v>0</v>
      </c>
      <c r="H75" s="51">
        <v>1</v>
      </c>
      <c r="I75" s="49">
        <f>IF(A75&lt;&gt;0,(B75-(B74-D74))/(A75-A74),"")</f>
        <v>9.3452380952380913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>
        <v>55</v>
      </c>
      <c r="B76" s="60">
        <v>198.44230769230768</v>
      </c>
      <c r="C76" s="60">
        <v>4</v>
      </c>
      <c r="D76" s="60">
        <v>45.147435897435898</v>
      </c>
      <c r="E76" s="51">
        <v>0</v>
      </c>
      <c r="F76" s="51">
        <v>0</v>
      </c>
      <c r="G76" s="51">
        <v>0</v>
      </c>
      <c r="H76" s="51">
        <v>1</v>
      </c>
      <c r="I76" s="49">
        <f t="shared" ref="I76:I91" si="2">IF(A76&lt;&gt;0,(B76-(B75-D75))/(A76-A75),"")</f>
        <v>8.8736263736263741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>
        <v>63</v>
      </c>
      <c r="B77" s="60">
        <v>220.28846153846152</v>
      </c>
      <c r="C77" s="60">
        <v>5</v>
      </c>
      <c r="D77" s="60">
        <v>41.724358974358978</v>
      </c>
      <c r="E77" s="51">
        <v>0.7</v>
      </c>
      <c r="F77" s="51">
        <v>0</v>
      </c>
      <c r="G77" s="51">
        <v>0</v>
      </c>
      <c r="H77" s="51">
        <v>0.3</v>
      </c>
      <c r="I77" s="49">
        <f t="shared" si="2"/>
        <v>8.374198717948719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>
        <v>71</v>
      </c>
      <c r="B78" s="60">
        <v>243.36538461538464</v>
      </c>
      <c r="C78" s="60">
        <v>6</v>
      </c>
      <c r="D78" s="60">
        <v>39.935897435897431</v>
      </c>
      <c r="E78" s="51">
        <v>0.7</v>
      </c>
      <c r="F78" s="51">
        <v>0</v>
      </c>
      <c r="G78" s="51">
        <v>0</v>
      </c>
      <c r="H78" s="51">
        <v>0.3</v>
      </c>
      <c r="I78" s="49">
        <f t="shared" si="2"/>
        <v>8.1001602564102626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>
        <v>80</v>
      </c>
      <c r="B79" s="50">
        <v>274.01282051282055</v>
      </c>
      <c r="C79" s="50">
        <v>7</v>
      </c>
      <c r="D79" s="50">
        <v>45.608974358974358</v>
      </c>
      <c r="E79" s="51">
        <v>0.7</v>
      </c>
      <c r="F79" s="51">
        <v>0</v>
      </c>
      <c r="G79" s="51">
        <v>0</v>
      </c>
      <c r="H79" s="51">
        <v>0.3</v>
      </c>
      <c r="I79" s="49">
        <f t="shared" si="2"/>
        <v>7.8425925925925934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>
        <v>89</v>
      </c>
      <c r="B80" s="50">
        <v>295.85897435897436</v>
      </c>
      <c r="C80" s="50">
        <v>8</v>
      </c>
      <c r="D80" s="50">
        <v>49.391025641025635</v>
      </c>
      <c r="E80" s="51">
        <v>0.7</v>
      </c>
      <c r="F80" s="51">
        <v>0</v>
      </c>
      <c r="G80" s="51">
        <v>0</v>
      </c>
      <c r="H80" s="51">
        <v>0.3</v>
      </c>
      <c r="I80" s="49">
        <f t="shared" si="2"/>
        <v>7.4950142450142421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>
        <v>99</v>
      </c>
      <c r="B81" s="50">
        <v>318.25</v>
      </c>
      <c r="C81" s="50">
        <v>9</v>
      </c>
      <c r="D81" s="50">
        <v>48.019230769230766</v>
      </c>
      <c r="E81" s="51">
        <v>0.7</v>
      </c>
      <c r="F81" s="51">
        <v>0</v>
      </c>
      <c r="G81" s="51">
        <v>0</v>
      </c>
      <c r="H81" s="51">
        <v>0.3</v>
      </c>
      <c r="I81" s="49">
        <f t="shared" si="2"/>
        <v>7.1782051282051267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50">
        <v>109</v>
      </c>
      <c r="B82" s="50">
        <v>340.16666666666663</v>
      </c>
      <c r="C82" s="50">
        <v>10</v>
      </c>
      <c r="D82" s="50">
        <v>51.28846153846154</v>
      </c>
      <c r="E82" s="51">
        <v>0.9</v>
      </c>
      <c r="F82" s="51">
        <v>0</v>
      </c>
      <c r="G82" s="51">
        <v>0</v>
      </c>
      <c r="H82" s="51">
        <v>0.1</v>
      </c>
      <c r="I82" s="49">
        <f t="shared" si="2"/>
        <v>6.9935897435897401</v>
      </c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50">
        <v>119</v>
      </c>
      <c r="B83" s="50">
        <v>357.33974358974359</v>
      </c>
      <c r="C83" s="50">
        <v>11</v>
      </c>
      <c r="D83" s="50">
        <v>150.02564102564102</v>
      </c>
      <c r="E83" s="51">
        <v>0.9</v>
      </c>
      <c r="F83" s="51">
        <v>0</v>
      </c>
      <c r="G83" s="51">
        <v>0</v>
      </c>
      <c r="H83" s="51">
        <v>0.1</v>
      </c>
      <c r="I83" s="49">
        <f t="shared" si="2"/>
        <v>6.8461538461538511</v>
      </c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50">
        <v>123</v>
      </c>
      <c r="B84" s="50">
        <v>222.63461538461539</v>
      </c>
      <c r="C84" s="50">
        <v>12</v>
      </c>
      <c r="D84" s="50">
        <v>77.17307692307692</v>
      </c>
      <c r="E84" s="51">
        <v>0.9</v>
      </c>
      <c r="F84" s="51">
        <v>0</v>
      </c>
      <c r="G84" s="51">
        <v>0</v>
      </c>
      <c r="H84" s="51">
        <v>0.1</v>
      </c>
      <c r="I84" s="49">
        <f t="shared" si="2"/>
        <v>3.8301282051282044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50">
        <v>127</v>
      </c>
      <c r="B85" s="50">
        <v>154.80128205128204</v>
      </c>
      <c r="C85" s="50">
        <v>13</v>
      </c>
      <c r="D85" s="50">
        <v>49.916666666666671</v>
      </c>
      <c r="E85" s="51">
        <v>0.9</v>
      </c>
      <c r="F85" s="51">
        <v>0</v>
      </c>
      <c r="G85" s="51">
        <v>0</v>
      </c>
      <c r="H85" s="51">
        <v>0.1</v>
      </c>
      <c r="I85" s="49">
        <f t="shared" si="2"/>
        <v>2.3349358974358978</v>
      </c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50">
        <v>131</v>
      </c>
      <c r="B86" s="50">
        <v>110.91025641025641</v>
      </c>
      <c r="C86" s="50">
        <v>14</v>
      </c>
      <c r="D86" s="50">
        <v>110.91025641025641</v>
      </c>
      <c r="E86" s="51">
        <v>0.9</v>
      </c>
      <c r="F86" s="51">
        <v>0</v>
      </c>
      <c r="G86" s="51">
        <v>0</v>
      </c>
      <c r="H86" s="51">
        <v>0.1</v>
      </c>
      <c r="I86" s="49">
        <f t="shared" si="2"/>
        <v>1.5064102564102591</v>
      </c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x14ac:dyDescent="0.35">
      <c r="A87" s="50"/>
      <c r="B87" s="50"/>
      <c r="C87" s="50"/>
      <c r="D87" s="50"/>
      <c r="E87" s="51"/>
      <c r="F87" s="51"/>
      <c r="G87" s="51"/>
      <c r="H87" s="51"/>
      <c r="I87" s="49" t="str">
        <f t="shared" si="2"/>
        <v/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50"/>
      <c r="C88" s="50"/>
      <c r="D88" s="50"/>
      <c r="E88" s="51"/>
      <c r="F88" s="51"/>
      <c r="G88" s="51"/>
      <c r="H88" s="51"/>
      <c r="I88" s="49" t="str">
        <f t="shared" si="2"/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50"/>
      <c r="C89" s="50"/>
      <c r="D89" s="50"/>
      <c r="E89" s="51"/>
      <c r="F89" s="51"/>
      <c r="G89" s="51"/>
      <c r="H89" s="51"/>
      <c r="I89" s="49" t="str">
        <f t="shared" si="2"/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50"/>
      <c r="C90" s="50"/>
      <c r="D90" s="50"/>
      <c r="E90" s="51"/>
      <c r="F90" s="51"/>
      <c r="G90" s="51"/>
      <c r="H90" s="51"/>
      <c r="I90" s="49" t="str">
        <f t="shared" si="2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50"/>
      <c r="C91" s="50"/>
      <c r="D91" s="50"/>
      <c r="E91" s="51"/>
      <c r="F91" s="51"/>
      <c r="G91" s="51"/>
      <c r="H91" s="51"/>
      <c r="I91" s="49" t="str">
        <f t="shared" si="2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4"/>
      <c r="B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4"/>
      <c r="B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46" t="s">
        <v>167</v>
      </c>
      <c r="B94" s="52" t="str">
        <f>IF(B11="","",B11)</f>
        <v>Séquoia toujours vert</v>
      </c>
      <c r="D94" s="227" t="s">
        <v>307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46"/>
      <c r="B95" s="96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4"/>
      <c r="B96" s="85" t="s">
        <v>185</v>
      </c>
      <c r="C96" s="265" t="s">
        <v>186</v>
      </c>
      <c r="D96" s="265"/>
      <c r="E96" s="266" t="s">
        <v>187</v>
      </c>
      <c r="F96" s="267"/>
      <c r="G96" s="267"/>
      <c r="H96" s="268"/>
      <c r="I96" s="95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ht="43.5" x14ac:dyDescent="0.35">
      <c r="A97" s="36" t="s">
        <v>180</v>
      </c>
      <c r="B97" s="36" t="s">
        <v>189</v>
      </c>
      <c r="C97" s="48" t="s">
        <v>188</v>
      </c>
      <c r="D97" s="48" t="s">
        <v>251</v>
      </c>
      <c r="E97" s="36" t="s">
        <v>183</v>
      </c>
      <c r="F97" s="36" t="s">
        <v>181</v>
      </c>
      <c r="G97" s="36" t="s">
        <v>184</v>
      </c>
      <c r="H97" s="36" t="s">
        <v>182</v>
      </c>
      <c r="I97" s="48" t="s">
        <v>213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50">
        <v>18</v>
      </c>
      <c r="B98" s="60">
        <v>182.89230769230767</v>
      </c>
      <c r="C98" s="60">
        <v>1</v>
      </c>
      <c r="D98" s="60">
        <v>69.284615384615378</v>
      </c>
      <c r="E98" s="51">
        <v>0</v>
      </c>
      <c r="F98" s="51">
        <v>0.56000000000000005</v>
      </c>
      <c r="G98" s="51">
        <v>0.44</v>
      </c>
      <c r="H98" s="51">
        <v>0</v>
      </c>
      <c r="I98" s="53">
        <f>IFERROR(B98/A98,"")</f>
        <v>10.16068376068376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50">
        <v>24</v>
      </c>
      <c r="B99" s="60">
        <v>237.56153846153845</v>
      </c>
      <c r="C99" s="60">
        <v>2</v>
      </c>
      <c r="D99" s="60">
        <v>42.661538461538463</v>
      </c>
      <c r="E99" s="51">
        <v>0.7</v>
      </c>
      <c r="F99" s="51">
        <v>0.16800000000000001</v>
      </c>
      <c r="G99" s="51">
        <v>0.13200000000000001</v>
      </c>
      <c r="H99" s="51">
        <v>0</v>
      </c>
      <c r="I99" s="53">
        <f t="shared" ref="I99:I117" si="3">IF(A99&lt;&gt;0,(B99-(B98-D98))/(A99-A98),"")</f>
        <v>20.658974358974358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50">
        <v>30</v>
      </c>
      <c r="B100" s="60">
        <v>331.86923076923074</v>
      </c>
      <c r="C100" s="60">
        <v>3</v>
      </c>
      <c r="D100" s="60">
        <v>65.669230769230765</v>
      </c>
      <c r="E100" s="51">
        <v>0.7</v>
      </c>
      <c r="F100" s="51">
        <v>0.16800000000000001</v>
      </c>
      <c r="G100" s="51">
        <v>0.13200000000000001</v>
      </c>
      <c r="H100" s="51">
        <v>0</v>
      </c>
      <c r="I100" s="53">
        <f t="shared" si="3"/>
        <v>22.828205128205127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50">
        <v>36</v>
      </c>
      <c r="B101" s="60">
        <v>403.50769230769237</v>
      </c>
      <c r="C101" s="60">
        <v>4</v>
      </c>
      <c r="D101" s="60">
        <v>69.3</v>
      </c>
      <c r="E101" s="51">
        <v>0.7</v>
      </c>
      <c r="F101" s="51">
        <v>0.16800000000000001</v>
      </c>
      <c r="G101" s="51">
        <v>0.13200000000000001</v>
      </c>
      <c r="H101" s="51">
        <v>0</v>
      </c>
      <c r="I101" s="53">
        <f t="shared" si="3"/>
        <v>22.884615384615397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50">
        <v>42</v>
      </c>
      <c r="B102" s="60">
        <v>468.72307692307686</v>
      </c>
      <c r="C102" s="60">
        <v>5</v>
      </c>
      <c r="D102" s="60">
        <v>73.392307692307682</v>
      </c>
      <c r="E102" s="51">
        <v>0.7</v>
      </c>
      <c r="F102" s="51">
        <v>0.16800000000000001</v>
      </c>
      <c r="G102" s="51">
        <v>0.13200000000000001</v>
      </c>
      <c r="H102" s="51">
        <v>0</v>
      </c>
      <c r="I102" s="53">
        <f t="shared" si="3"/>
        <v>22.419230769230751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50">
        <v>48</v>
      </c>
      <c r="B103" s="60">
        <v>525.0846153846154</v>
      </c>
      <c r="C103" s="60">
        <v>6</v>
      </c>
      <c r="D103" s="60">
        <v>81.330769230769235</v>
      </c>
      <c r="E103" s="87">
        <v>0.7</v>
      </c>
      <c r="F103" s="87">
        <v>0.16800000000000001</v>
      </c>
      <c r="G103" s="87">
        <v>0.13200000000000001</v>
      </c>
      <c r="H103" s="87">
        <v>0</v>
      </c>
      <c r="I103" s="53">
        <f t="shared" si="3"/>
        <v>21.625641025641034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50">
        <v>54</v>
      </c>
      <c r="B104" s="60">
        <v>566.79999999999995</v>
      </c>
      <c r="C104" s="60">
        <v>7</v>
      </c>
      <c r="D104" s="60">
        <v>566.79999999999995</v>
      </c>
      <c r="E104" s="87">
        <v>0.7</v>
      </c>
      <c r="F104" s="87">
        <v>0.16800000000000001</v>
      </c>
      <c r="G104" s="87">
        <v>0.13200000000000001</v>
      </c>
      <c r="H104" s="87">
        <v>0</v>
      </c>
      <c r="I104" s="53">
        <f t="shared" si="3"/>
        <v>20.507692307692299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60"/>
      <c r="B105" s="60"/>
      <c r="C105" s="60"/>
      <c r="D105" s="60"/>
      <c r="E105" s="87"/>
      <c r="F105" s="87"/>
      <c r="G105" s="87"/>
      <c r="H105" s="87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60"/>
      <c r="B106" s="60"/>
      <c r="C106" s="60"/>
      <c r="D106" s="60"/>
      <c r="E106" s="87"/>
      <c r="F106" s="87"/>
      <c r="G106" s="87"/>
      <c r="H106" s="87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60"/>
      <c r="B107" s="60"/>
      <c r="C107" s="60"/>
      <c r="D107" s="60"/>
      <c r="E107" s="87"/>
      <c r="F107" s="87"/>
      <c r="G107" s="87"/>
      <c r="H107" s="87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60"/>
      <c r="B108" s="60"/>
      <c r="C108" s="60"/>
      <c r="D108" s="60"/>
      <c r="E108" s="87"/>
      <c r="F108" s="87"/>
      <c r="G108" s="87"/>
      <c r="H108" s="87"/>
      <c r="I108" s="53" t="str">
        <f t="shared" si="3"/>
        <v/>
      </c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60"/>
      <c r="B109" s="60"/>
      <c r="C109" s="60"/>
      <c r="D109" s="60"/>
      <c r="E109" s="87"/>
      <c r="F109" s="87"/>
      <c r="G109" s="87"/>
      <c r="H109" s="87"/>
      <c r="I109" s="53" t="str">
        <f t="shared" si="3"/>
        <v/>
      </c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60"/>
      <c r="B110" s="60"/>
      <c r="C110" s="60"/>
      <c r="D110" s="60"/>
      <c r="E110" s="65"/>
      <c r="F110" s="65"/>
      <c r="G110" s="65"/>
      <c r="H110" s="65"/>
      <c r="I110" s="53" t="str">
        <f t="shared" si="3"/>
        <v/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60"/>
      <c r="B111" s="60"/>
      <c r="C111" s="60"/>
      <c r="D111" s="60"/>
      <c r="E111" s="65"/>
      <c r="F111" s="65"/>
      <c r="G111" s="65"/>
      <c r="H111" s="65"/>
      <c r="I111" s="53" t="str">
        <f t="shared" si="3"/>
        <v/>
      </c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60"/>
      <c r="B112" s="50"/>
      <c r="C112" s="60"/>
      <c r="D112" s="50"/>
      <c r="E112" s="54"/>
      <c r="F112" s="54"/>
      <c r="G112" s="54"/>
      <c r="H112" s="54"/>
      <c r="I112" s="53" t="str">
        <f t="shared" si="3"/>
        <v/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x14ac:dyDescent="0.35">
      <c r="A113" s="60"/>
      <c r="B113" s="50"/>
      <c r="C113" s="60"/>
      <c r="D113" s="50"/>
      <c r="E113" s="54"/>
      <c r="F113" s="54"/>
      <c r="G113" s="54"/>
      <c r="H113" s="54"/>
      <c r="I113" s="53" t="str">
        <f t="shared" si="3"/>
        <v/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60"/>
      <c r="B114" s="50"/>
      <c r="C114" s="60"/>
      <c r="D114" s="50"/>
      <c r="E114" s="54"/>
      <c r="F114" s="54"/>
      <c r="G114" s="54"/>
      <c r="H114" s="54"/>
      <c r="I114" s="53" t="str">
        <f t="shared" si="3"/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50"/>
      <c r="C115" s="50"/>
      <c r="D115" s="50"/>
      <c r="E115" s="54"/>
      <c r="F115" s="54"/>
      <c r="G115" s="54"/>
      <c r="H115" s="54"/>
      <c r="I115" s="53" t="str">
        <f t="shared" si="3"/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50"/>
      <c r="C116" s="50"/>
      <c r="D116" s="50"/>
      <c r="E116" s="54"/>
      <c r="F116" s="54"/>
      <c r="G116" s="54"/>
      <c r="H116" s="54"/>
      <c r="I116" s="53" t="str">
        <f t="shared" si="3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50"/>
      <c r="C117" s="50"/>
      <c r="D117" s="50"/>
      <c r="E117" s="54"/>
      <c r="F117" s="54"/>
      <c r="G117" s="54"/>
      <c r="H117" s="54"/>
      <c r="I117" s="53" t="str">
        <f t="shared" si="3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4"/>
      <c r="B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4"/>
      <c r="B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46" t="s">
        <v>168</v>
      </c>
      <c r="B120" s="52" t="str">
        <f>IF(B12="","",B12)</f>
        <v>Chêne chevelu</v>
      </c>
      <c r="D120" s="227" t="s">
        <v>307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46"/>
      <c r="B121" s="96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4"/>
      <c r="B122" s="85" t="s">
        <v>185</v>
      </c>
      <c r="C122" s="265" t="s">
        <v>186</v>
      </c>
      <c r="D122" s="265"/>
      <c r="E122" s="266" t="s">
        <v>187</v>
      </c>
      <c r="F122" s="267"/>
      <c r="G122" s="267"/>
      <c r="H122" s="268"/>
      <c r="I122" s="95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ht="43.5" x14ac:dyDescent="0.35">
      <c r="A123" s="36" t="s">
        <v>180</v>
      </c>
      <c r="B123" s="36" t="s">
        <v>189</v>
      </c>
      <c r="C123" s="48" t="s">
        <v>188</v>
      </c>
      <c r="D123" s="48" t="s">
        <v>251</v>
      </c>
      <c r="E123" s="36" t="s">
        <v>183</v>
      </c>
      <c r="F123" s="36" t="s">
        <v>181</v>
      </c>
      <c r="G123" s="36" t="s">
        <v>184</v>
      </c>
      <c r="H123" s="36" t="s">
        <v>182</v>
      </c>
      <c r="I123" s="48" t="s">
        <v>213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50">
        <v>10</v>
      </c>
      <c r="B124" s="60">
        <v>29</v>
      </c>
      <c r="C124" s="60">
        <v>0</v>
      </c>
      <c r="D124" s="60">
        <v>0</v>
      </c>
      <c r="E124" s="51">
        <v>0</v>
      </c>
      <c r="F124" s="51">
        <v>0</v>
      </c>
      <c r="G124" s="51">
        <v>0</v>
      </c>
      <c r="H124" s="51">
        <v>1</v>
      </c>
      <c r="I124" s="53">
        <f>IFERROR(B124/A124,"")</f>
        <v>2.9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50">
        <v>15</v>
      </c>
      <c r="B125" s="60">
        <v>73</v>
      </c>
      <c r="C125" s="60">
        <v>0</v>
      </c>
      <c r="D125" s="60">
        <v>0</v>
      </c>
      <c r="E125" s="51">
        <v>0</v>
      </c>
      <c r="F125" s="51">
        <v>0</v>
      </c>
      <c r="G125" s="51">
        <v>0</v>
      </c>
      <c r="H125" s="51">
        <v>1</v>
      </c>
      <c r="I125" s="53">
        <f t="shared" ref="I125:I143" si="4">IF(A125&lt;&gt;0,(B125-(B124-D124))/(A125-A124),"")</f>
        <v>8.8000000000000007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50">
        <v>20</v>
      </c>
      <c r="B126" s="60">
        <v>129</v>
      </c>
      <c r="C126" s="60">
        <v>1</v>
      </c>
      <c r="D126" s="60" t="s">
        <v>335</v>
      </c>
      <c r="E126" s="51">
        <v>0</v>
      </c>
      <c r="F126" s="51">
        <v>0</v>
      </c>
      <c r="G126" s="51">
        <v>0</v>
      </c>
      <c r="H126" s="51">
        <v>1</v>
      </c>
      <c r="I126" s="53">
        <f t="shared" si="4"/>
        <v>11.2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50">
        <v>25</v>
      </c>
      <c r="B127" s="60">
        <v>126</v>
      </c>
      <c r="C127" s="60">
        <v>2</v>
      </c>
      <c r="D127" s="60" t="s">
        <v>336</v>
      </c>
      <c r="E127" s="51">
        <v>0</v>
      </c>
      <c r="F127" s="51">
        <v>0</v>
      </c>
      <c r="G127" s="51">
        <v>0</v>
      </c>
      <c r="H127" s="51">
        <v>1</v>
      </c>
      <c r="I127" s="53">
        <f t="shared" si="4"/>
        <v>10.199999999999999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>
        <v>30</v>
      </c>
      <c r="B128" s="60">
        <v>149</v>
      </c>
      <c r="C128" s="60">
        <v>3</v>
      </c>
      <c r="D128" s="60" t="s">
        <v>337</v>
      </c>
      <c r="E128" s="51">
        <v>0</v>
      </c>
      <c r="F128" s="51">
        <v>0</v>
      </c>
      <c r="G128" s="51">
        <v>0</v>
      </c>
      <c r="H128" s="51">
        <v>1</v>
      </c>
      <c r="I128" s="53">
        <f t="shared" si="4"/>
        <v>9.8000000000000007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>
        <v>35</v>
      </c>
      <c r="B129" s="60">
        <v>168</v>
      </c>
      <c r="C129" s="50">
        <v>4</v>
      </c>
      <c r="D129" s="60" t="s">
        <v>337</v>
      </c>
      <c r="E129" s="51">
        <v>0</v>
      </c>
      <c r="F129" s="51">
        <v>0.5</v>
      </c>
      <c r="G129" s="51">
        <v>0</v>
      </c>
      <c r="H129" s="51">
        <v>0.5</v>
      </c>
      <c r="I129" s="53">
        <f t="shared" si="4"/>
        <v>9.1999999999999993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60">
        <v>40</v>
      </c>
      <c r="B130" s="60">
        <v>185</v>
      </c>
      <c r="C130" s="60">
        <v>5</v>
      </c>
      <c r="D130" s="60" t="s">
        <v>337</v>
      </c>
      <c r="E130" s="87">
        <v>0</v>
      </c>
      <c r="F130" s="87">
        <v>0.5</v>
      </c>
      <c r="G130" s="87">
        <v>0</v>
      </c>
      <c r="H130" s="87">
        <v>0.5</v>
      </c>
      <c r="I130" s="53">
        <f t="shared" si="4"/>
        <v>8.8000000000000007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60">
        <v>45</v>
      </c>
      <c r="B131" s="60">
        <v>198</v>
      </c>
      <c r="C131" s="60">
        <v>6</v>
      </c>
      <c r="D131" s="60" t="s">
        <v>336</v>
      </c>
      <c r="E131" s="87">
        <v>0.4</v>
      </c>
      <c r="F131" s="87">
        <v>0.4</v>
      </c>
      <c r="G131" s="87">
        <v>0</v>
      </c>
      <c r="H131" s="87">
        <v>0.2</v>
      </c>
      <c r="I131" s="53">
        <f t="shared" si="4"/>
        <v>8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60">
        <v>50</v>
      </c>
      <c r="B132" s="60">
        <v>209</v>
      </c>
      <c r="C132" s="60">
        <v>7</v>
      </c>
      <c r="D132" s="60" t="s">
        <v>338</v>
      </c>
      <c r="E132" s="87">
        <v>0.4</v>
      </c>
      <c r="F132" s="87">
        <v>0.4</v>
      </c>
      <c r="G132" s="87">
        <v>0</v>
      </c>
      <c r="H132" s="87">
        <v>0.2</v>
      </c>
      <c r="I132" s="53">
        <f t="shared" si="4"/>
        <v>7.4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60">
        <v>55</v>
      </c>
      <c r="B133" s="60">
        <v>218</v>
      </c>
      <c r="C133" s="60">
        <v>8</v>
      </c>
      <c r="D133" s="60" t="s">
        <v>339</v>
      </c>
      <c r="E133" s="87">
        <v>0.4</v>
      </c>
      <c r="F133" s="87">
        <v>0.4</v>
      </c>
      <c r="G133" s="87">
        <v>0</v>
      </c>
      <c r="H133" s="87">
        <v>0.2</v>
      </c>
      <c r="I133" s="53">
        <f t="shared" si="4"/>
        <v>6.6</v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60">
        <v>60</v>
      </c>
      <c r="B134" s="60">
        <v>225</v>
      </c>
      <c r="C134" s="60">
        <v>9</v>
      </c>
      <c r="D134" s="60" t="s">
        <v>340</v>
      </c>
      <c r="E134" s="87">
        <v>0.5</v>
      </c>
      <c r="F134" s="87">
        <v>0.4</v>
      </c>
      <c r="G134" s="87">
        <v>0</v>
      </c>
      <c r="H134" s="87">
        <v>0.1</v>
      </c>
      <c r="I134" s="53">
        <f t="shared" si="4"/>
        <v>6</v>
      </c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60">
        <v>65</v>
      </c>
      <c r="B135" s="60">
        <v>232</v>
      </c>
      <c r="C135" s="60">
        <v>10</v>
      </c>
      <c r="D135" s="60" t="s">
        <v>341</v>
      </c>
      <c r="E135" s="87">
        <v>0.5</v>
      </c>
      <c r="F135" s="87">
        <v>0.4</v>
      </c>
      <c r="G135" s="87">
        <v>0</v>
      </c>
      <c r="H135" s="87">
        <v>0.1</v>
      </c>
      <c r="I135" s="53">
        <f t="shared" si="4"/>
        <v>5.6</v>
      </c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60">
        <v>70</v>
      </c>
      <c r="B136" s="60">
        <v>237</v>
      </c>
      <c r="C136" s="60">
        <v>11</v>
      </c>
      <c r="D136" s="60" t="s">
        <v>342</v>
      </c>
      <c r="E136" s="65">
        <v>0.5</v>
      </c>
      <c r="F136" s="65">
        <v>0.4</v>
      </c>
      <c r="G136" s="65">
        <v>0</v>
      </c>
      <c r="H136" s="65">
        <v>0.1</v>
      </c>
      <c r="I136" s="53">
        <f t="shared" si="4"/>
        <v>5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60">
        <v>75</v>
      </c>
      <c r="B137" s="60">
        <v>241</v>
      </c>
      <c r="C137" s="60">
        <v>12</v>
      </c>
      <c r="D137" s="60" t="s">
        <v>343</v>
      </c>
      <c r="E137" s="65">
        <v>0.6</v>
      </c>
      <c r="F137" s="65">
        <v>0.3</v>
      </c>
      <c r="G137" s="65">
        <v>0</v>
      </c>
      <c r="H137" s="65">
        <v>0.1</v>
      </c>
      <c r="I137" s="53">
        <f t="shared" si="4"/>
        <v>4.4000000000000004</v>
      </c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50">
        <v>80</v>
      </c>
      <c r="B138" s="50">
        <v>245</v>
      </c>
      <c r="C138" s="50">
        <v>13</v>
      </c>
      <c r="D138" s="50" t="s">
        <v>344</v>
      </c>
      <c r="E138" s="54">
        <v>0.6</v>
      </c>
      <c r="F138" s="54">
        <v>0.3</v>
      </c>
      <c r="G138" s="54">
        <v>0</v>
      </c>
      <c r="H138" s="54">
        <v>0.1</v>
      </c>
      <c r="I138" s="53">
        <f t="shared" si="4"/>
        <v>4</v>
      </c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x14ac:dyDescent="0.35">
      <c r="A139" s="50">
        <v>85</v>
      </c>
      <c r="B139" s="50">
        <v>248</v>
      </c>
      <c r="C139" s="50">
        <v>14</v>
      </c>
      <c r="D139" s="50" t="s">
        <v>345</v>
      </c>
      <c r="E139" s="54">
        <v>0.6</v>
      </c>
      <c r="F139" s="54">
        <v>0.3</v>
      </c>
      <c r="G139" s="54">
        <v>0</v>
      </c>
      <c r="H139" s="54">
        <v>0.1</v>
      </c>
      <c r="I139" s="53">
        <f t="shared" si="4"/>
        <v>3.6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>
        <v>90</v>
      </c>
      <c r="B140" s="50">
        <v>249</v>
      </c>
      <c r="C140" s="50">
        <v>15</v>
      </c>
      <c r="D140" s="50" t="s">
        <v>346</v>
      </c>
      <c r="E140" s="54">
        <v>0.6</v>
      </c>
      <c r="F140" s="54">
        <v>0.3</v>
      </c>
      <c r="G140" s="54">
        <v>0</v>
      </c>
      <c r="H140" s="54">
        <v>0.1</v>
      </c>
      <c r="I140" s="53">
        <f t="shared" si="4"/>
        <v>3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>
        <v>95</v>
      </c>
      <c r="B141" s="50">
        <v>252</v>
      </c>
      <c r="C141" s="50">
        <v>16</v>
      </c>
      <c r="D141" s="50" t="s">
        <v>346</v>
      </c>
      <c r="E141" s="54">
        <v>0.7</v>
      </c>
      <c r="F141" s="54">
        <v>0.2</v>
      </c>
      <c r="G141" s="54">
        <v>0</v>
      </c>
      <c r="H141" s="54">
        <v>0.1</v>
      </c>
      <c r="I141" s="53">
        <f t="shared" si="4"/>
        <v>3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>
        <v>100</v>
      </c>
      <c r="B142" s="50">
        <v>255</v>
      </c>
      <c r="C142" s="50">
        <v>17</v>
      </c>
      <c r="D142" s="50">
        <v>255</v>
      </c>
      <c r="E142" s="54">
        <v>0.7</v>
      </c>
      <c r="F142" s="54">
        <v>0.2</v>
      </c>
      <c r="G142" s="54">
        <v>0</v>
      </c>
      <c r="H142" s="54">
        <v>0.1</v>
      </c>
      <c r="I142" s="53">
        <f t="shared" si="4"/>
        <v>3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50"/>
      <c r="C143" s="50"/>
      <c r="D143" s="50"/>
      <c r="E143" s="54"/>
      <c r="F143" s="54"/>
      <c r="G143" s="54"/>
      <c r="H143" s="54"/>
      <c r="I143" s="53" t="str">
        <f t="shared" si="4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4"/>
      <c r="B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4"/>
      <c r="B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46" t="s">
        <v>169</v>
      </c>
      <c r="B146" s="52" t="str">
        <f>IF(B13="","",B13)</f>
        <v>Chêne pubescent</v>
      </c>
      <c r="D146" s="227" t="s">
        <v>307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46"/>
      <c r="B147" s="96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4"/>
      <c r="B148" s="85" t="s">
        <v>185</v>
      </c>
      <c r="C148" s="265" t="s">
        <v>186</v>
      </c>
      <c r="D148" s="265"/>
      <c r="E148" s="266" t="s">
        <v>187</v>
      </c>
      <c r="F148" s="267"/>
      <c r="G148" s="267"/>
      <c r="H148" s="268"/>
      <c r="I148" s="95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ht="43.5" x14ac:dyDescent="0.35">
      <c r="A149" s="36" t="s">
        <v>180</v>
      </c>
      <c r="B149" s="36" t="s">
        <v>189</v>
      </c>
      <c r="C149" s="48" t="s">
        <v>188</v>
      </c>
      <c r="D149" s="48" t="s">
        <v>251</v>
      </c>
      <c r="E149" s="36" t="s">
        <v>183</v>
      </c>
      <c r="F149" s="36" t="s">
        <v>181</v>
      </c>
      <c r="G149" s="36" t="s">
        <v>184</v>
      </c>
      <c r="H149" s="36" t="s">
        <v>182</v>
      </c>
      <c r="I149" s="48" t="s">
        <v>213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>
        <v>30</v>
      </c>
      <c r="B150" s="60">
        <v>87.705128205128204</v>
      </c>
      <c r="C150" s="60" t="s">
        <v>334</v>
      </c>
      <c r="D150" s="60">
        <v>0</v>
      </c>
      <c r="E150" s="51">
        <v>0</v>
      </c>
      <c r="F150" s="51">
        <v>0</v>
      </c>
      <c r="G150" s="51">
        <v>0</v>
      </c>
      <c r="H150" s="51">
        <v>0</v>
      </c>
      <c r="I150" s="57">
        <f>IFERROR(B150/A150,"")</f>
        <v>2.9235042735042733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>
        <v>44</v>
      </c>
      <c r="B151" s="60">
        <v>162.42307692307691</v>
      </c>
      <c r="C151" s="60">
        <v>1</v>
      </c>
      <c r="D151" s="60">
        <v>64.416666666666657</v>
      </c>
      <c r="E151" s="51">
        <v>0</v>
      </c>
      <c r="F151" s="51">
        <v>0</v>
      </c>
      <c r="G151" s="51">
        <v>0</v>
      </c>
      <c r="H151" s="51">
        <v>1</v>
      </c>
      <c r="I151" s="57">
        <f t="shared" ref="I151:I169" si="5">IF(A151&lt;&gt;0,(B151-(B150-D150))/(A151-A150),"")</f>
        <v>5.3369963369963358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>
        <v>51</v>
      </c>
      <c r="B152" s="60">
        <v>145.78846153846152</v>
      </c>
      <c r="C152" s="60">
        <v>2</v>
      </c>
      <c r="D152" s="60">
        <v>37.685897435897431</v>
      </c>
      <c r="E152" s="51">
        <v>0</v>
      </c>
      <c r="F152" s="51">
        <v>0</v>
      </c>
      <c r="G152" s="51">
        <v>0</v>
      </c>
      <c r="H152" s="51">
        <v>1</v>
      </c>
      <c r="I152" s="57">
        <f t="shared" si="5"/>
        <v>6.826007326007324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>
        <v>59</v>
      </c>
      <c r="B153" s="60">
        <v>159.25641025641025</v>
      </c>
      <c r="C153" s="60">
        <v>3</v>
      </c>
      <c r="D153" s="60">
        <v>38.942307692307693</v>
      </c>
      <c r="E153" s="51">
        <v>0</v>
      </c>
      <c r="F153" s="51">
        <v>0</v>
      </c>
      <c r="G153" s="51">
        <v>0</v>
      </c>
      <c r="H153" s="51">
        <v>1</v>
      </c>
      <c r="I153" s="57">
        <f t="shared" si="5"/>
        <v>6.3942307692307701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0">
        <v>67</v>
      </c>
      <c r="B154" s="60">
        <v>167.85897435897436</v>
      </c>
      <c r="C154" s="60">
        <v>4</v>
      </c>
      <c r="D154" s="60">
        <v>31.993589743589741</v>
      </c>
      <c r="E154" s="51">
        <v>0</v>
      </c>
      <c r="F154" s="51">
        <v>0</v>
      </c>
      <c r="G154" s="51">
        <v>0</v>
      </c>
      <c r="H154" s="51">
        <v>1</v>
      </c>
      <c r="I154" s="57">
        <f t="shared" si="5"/>
        <v>5.9431089743589762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0">
        <v>75</v>
      </c>
      <c r="B155" s="60">
        <v>181.38461538461536</v>
      </c>
      <c r="C155" s="50">
        <v>5</v>
      </c>
      <c r="D155" s="60">
        <v>30.916666666666664</v>
      </c>
      <c r="E155" s="51">
        <v>0.7</v>
      </c>
      <c r="F155" s="51">
        <v>0</v>
      </c>
      <c r="G155" s="51">
        <v>0</v>
      </c>
      <c r="H155" s="51">
        <v>0.3</v>
      </c>
      <c r="I155" s="57">
        <f t="shared" si="5"/>
        <v>5.6899038461538431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0">
        <v>84</v>
      </c>
      <c r="B156" s="60">
        <v>200.00641025641025</v>
      </c>
      <c r="C156" s="50">
        <v>6</v>
      </c>
      <c r="D156" s="60">
        <v>35.083333333333329</v>
      </c>
      <c r="E156" s="51">
        <v>0.7</v>
      </c>
      <c r="F156" s="51">
        <v>0</v>
      </c>
      <c r="G156" s="51">
        <v>0</v>
      </c>
      <c r="H156" s="51">
        <v>0.3</v>
      </c>
      <c r="I156" s="57">
        <f t="shared" si="5"/>
        <v>5.5042735042735051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0">
        <v>93</v>
      </c>
      <c r="B157" s="60">
        <v>212.26923076923075</v>
      </c>
      <c r="C157" s="50">
        <v>7</v>
      </c>
      <c r="D157" s="60">
        <v>30.083333333333332</v>
      </c>
      <c r="E157" s="51">
        <v>0.7</v>
      </c>
      <c r="F157" s="51">
        <v>0</v>
      </c>
      <c r="G157" s="51">
        <v>0</v>
      </c>
      <c r="H157" s="51">
        <v>0.3</v>
      </c>
      <c r="I157" s="57">
        <f>IF(A157&lt;&gt;0,(B157-(B156-D156))/(A157-A156),"")</f>
        <v>5.2606837606837598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0">
        <v>103</v>
      </c>
      <c r="B158" s="60">
        <v>234.76923076923077</v>
      </c>
      <c r="C158" s="50">
        <v>8</v>
      </c>
      <c r="D158" s="60">
        <v>39.512820512820511</v>
      </c>
      <c r="E158" s="51">
        <v>0.7</v>
      </c>
      <c r="F158" s="51">
        <v>0</v>
      </c>
      <c r="G158" s="51">
        <v>0</v>
      </c>
      <c r="H158" s="51">
        <v>0.3</v>
      </c>
      <c r="I158" s="57">
        <f t="shared" si="5"/>
        <v>5.2583333333333373</v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0">
        <v>113</v>
      </c>
      <c r="B159" s="60">
        <v>246.21794871794873</v>
      </c>
      <c r="C159" s="50">
        <v>9</v>
      </c>
      <c r="D159" s="60">
        <v>31.602564102564099</v>
      </c>
      <c r="E159" s="51">
        <v>0.7</v>
      </c>
      <c r="F159" s="51">
        <v>0</v>
      </c>
      <c r="G159" s="51">
        <v>0</v>
      </c>
      <c r="H159" s="51">
        <v>0.3</v>
      </c>
      <c r="I159" s="57">
        <f t="shared" si="5"/>
        <v>5.0961538461538449</v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50">
        <v>125</v>
      </c>
      <c r="B160" s="60">
        <v>278.29487179487177</v>
      </c>
      <c r="C160" s="50">
        <v>10</v>
      </c>
      <c r="D160" s="60">
        <v>48.160256410256409</v>
      </c>
      <c r="E160" s="51">
        <v>0.7</v>
      </c>
      <c r="F160" s="51">
        <v>0</v>
      </c>
      <c r="G160" s="51">
        <v>0</v>
      </c>
      <c r="H160" s="51">
        <v>0.3</v>
      </c>
      <c r="I160" s="57">
        <f t="shared" si="5"/>
        <v>5.3066239316239274</v>
      </c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50">
        <v>137</v>
      </c>
      <c r="B161" s="60">
        <v>293.07051282051282</v>
      </c>
      <c r="C161" s="50">
        <v>11</v>
      </c>
      <c r="D161" s="60">
        <v>51.160256410256409</v>
      </c>
      <c r="E161" s="51">
        <v>0.7</v>
      </c>
      <c r="F161" s="51">
        <v>0</v>
      </c>
      <c r="G161" s="51">
        <v>0</v>
      </c>
      <c r="H161" s="51">
        <v>0.3</v>
      </c>
      <c r="I161" s="57">
        <f t="shared" si="5"/>
        <v>5.2446581196581219</v>
      </c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50">
        <v>149</v>
      </c>
      <c r="B162" s="60">
        <v>303.18589743589746</v>
      </c>
      <c r="C162" s="50">
        <v>12</v>
      </c>
      <c r="D162" s="60">
        <v>120.50641025641026</v>
      </c>
      <c r="E162" s="54">
        <v>0.9</v>
      </c>
      <c r="F162" s="54">
        <v>0</v>
      </c>
      <c r="G162" s="54">
        <v>0</v>
      </c>
      <c r="H162" s="54">
        <v>0.1</v>
      </c>
      <c r="I162" s="57">
        <f t="shared" si="5"/>
        <v>5.1063034188034209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50">
        <v>153</v>
      </c>
      <c r="B163" s="60">
        <v>195.05769230769226</v>
      </c>
      <c r="C163" s="50">
        <v>13</v>
      </c>
      <c r="D163" s="60">
        <v>70.115384615384613</v>
      </c>
      <c r="E163" s="54">
        <v>0.9</v>
      </c>
      <c r="F163" s="54">
        <v>0</v>
      </c>
      <c r="G163" s="54">
        <v>0</v>
      </c>
      <c r="H163" s="54">
        <v>0.1</v>
      </c>
      <c r="I163" s="57">
        <f t="shared" si="5"/>
        <v>3.0945512820512704</v>
      </c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55">
        <v>157</v>
      </c>
      <c r="B164" s="56">
        <v>132.42948717948718</v>
      </c>
      <c r="C164" s="50">
        <v>14</v>
      </c>
      <c r="D164" s="50">
        <v>45.71153846153846</v>
      </c>
      <c r="E164" s="54">
        <v>0.9</v>
      </c>
      <c r="F164" s="54">
        <v>0</v>
      </c>
      <c r="G164" s="54">
        <v>0</v>
      </c>
      <c r="H164" s="54">
        <v>0.1</v>
      </c>
      <c r="I164" s="57">
        <f t="shared" si="5"/>
        <v>1.8717948717948829</v>
      </c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x14ac:dyDescent="0.35">
      <c r="A165" s="55">
        <v>161</v>
      </c>
      <c r="B165" s="56">
        <v>91.365384615384613</v>
      </c>
      <c r="C165" s="50">
        <v>15</v>
      </c>
      <c r="D165" s="50">
        <v>91.365384615384613</v>
      </c>
      <c r="E165" s="54">
        <v>0.9</v>
      </c>
      <c r="F165" s="54">
        <v>0</v>
      </c>
      <c r="G165" s="54">
        <v>0</v>
      </c>
      <c r="H165" s="54">
        <v>0.1</v>
      </c>
      <c r="I165" s="57">
        <f t="shared" si="5"/>
        <v>1.1618589743589709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5"/>
      <c r="B166" s="56"/>
      <c r="C166" s="50"/>
      <c r="D166" s="50"/>
      <c r="E166" s="54"/>
      <c r="F166" s="54"/>
      <c r="G166" s="54"/>
      <c r="H166" s="54"/>
      <c r="I166" s="57" t="str">
        <f t="shared" si="5"/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5"/>
      <c r="B167" s="56"/>
      <c r="C167" s="50"/>
      <c r="D167" s="50"/>
      <c r="E167" s="54"/>
      <c r="F167" s="54"/>
      <c r="G167" s="54"/>
      <c r="H167" s="54"/>
      <c r="I167" s="57" t="str">
        <f t="shared" si="5"/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5"/>
      <c r="B168" s="56"/>
      <c r="C168" s="50"/>
      <c r="D168" s="50"/>
      <c r="E168" s="54"/>
      <c r="F168" s="54"/>
      <c r="G168" s="54"/>
      <c r="H168" s="54"/>
      <c r="I168" s="57" t="str">
        <f t="shared" si="5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5"/>
      <c r="B169" s="56"/>
      <c r="C169" s="50"/>
      <c r="D169" s="58"/>
      <c r="E169" s="54"/>
      <c r="F169" s="54"/>
      <c r="G169" s="54"/>
      <c r="H169" s="54"/>
      <c r="I169" s="57" t="str">
        <f t="shared" si="5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4"/>
      <c r="B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4"/>
      <c r="B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46" t="s">
        <v>170</v>
      </c>
      <c r="B172" s="52" t="str">
        <f>IF(B14="","",B14)</f>
        <v>Châtaignier</v>
      </c>
      <c r="D172" s="227" t="s">
        <v>307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46"/>
      <c r="B173" s="96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4"/>
      <c r="B174" s="85" t="s">
        <v>185</v>
      </c>
      <c r="C174" s="265" t="s">
        <v>186</v>
      </c>
      <c r="D174" s="265"/>
      <c r="E174" s="266" t="s">
        <v>187</v>
      </c>
      <c r="F174" s="267"/>
      <c r="G174" s="267"/>
      <c r="H174" s="268"/>
      <c r="I174" s="95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43.5" x14ac:dyDescent="0.35">
      <c r="A175" s="36" t="s">
        <v>180</v>
      </c>
      <c r="B175" s="36" t="s">
        <v>189</v>
      </c>
      <c r="C175" s="48" t="s">
        <v>188</v>
      </c>
      <c r="D175" s="48" t="s">
        <v>251</v>
      </c>
      <c r="E175" s="36" t="s">
        <v>183</v>
      </c>
      <c r="F175" s="36" t="s">
        <v>181</v>
      </c>
      <c r="G175" s="36" t="s">
        <v>184</v>
      </c>
      <c r="H175" s="36" t="s">
        <v>182</v>
      </c>
      <c r="I175" s="48" t="s">
        <v>213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>
        <v>10</v>
      </c>
      <c r="B176" s="60">
        <v>19</v>
      </c>
      <c r="C176" s="60">
        <v>1</v>
      </c>
      <c r="D176" s="60">
        <v>7</v>
      </c>
      <c r="E176" s="51">
        <v>0</v>
      </c>
      <c r="F176" s="51">
        <v>0</v>
      </c>
      <c r="G176" s="51">
        <v>0</v>
      </c>
      <c r="H176" s="51">
        <v>1</v>
      </c>
      <c r="I176" s="49">
        <f>IFERROR(B176/A176,"")</f>
        <v>1.9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>
        <v>15</v>
      </c>
      <c r="B177" s="60">
        <v>85</v>
      </c>
      <c r="C177" s="60">
        <v>2</v>
      </c>
      <c r="D177" s="60">
        <v>42</v>
      </c>
      <c r="E177" s="51">
        <v>0</v>
      </c>
      <c r="F177" s="51">
        <v>0</v>
      </c>
      <c r="G177" s="51">
        <v>0</v>
      </c>
      <c r="H177" s="51">
        <v>1</v>
      </c>
      <c r="I177" s="49">
        <f t="shared" ref="I177:I195" si="6">IF(A177&lt;&gt;0,(B177-(B176-D176))/(A177-A176),"")</f>
        <v>14.6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>
        <v>20</v>
      </c>
      <c r="B178" s="60">
        <v>123</v>
      </c>
      <c r="C178" s="60">
        <v>3</v>
      </c>
      <c r="D178" s="60">
        <v>42</v>
      </c>
      <c r="E178" s="51">
        <v>0</v>
      </c>
      <c r="F178" s="51">
        <v>0.12</v>
      </c>
      <c r="G178" s="51">
        <v>0</v>
      </c>
      <c r="H178" s="51">
        <v>0.88</v>
      </c>
      <c r="I178" s="49">
        <f t="shared" si="6"/>
        <v>16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>
        <v>25</v>
      </c>
      <c r="B179" s="60">
        <v>165</v>
      </c>
      <c r="C179" s="60">
        <v>4</v>
      </c>
      <c r="D179" s="60">
        <v>42</v>
      </c>
      <c r="E179" s="51">
        <v>0.14000000000000001</v>
      </c>
      <c r="F179" s="51">
        <v>0.43</v>
      </c>
      <c r="G179" s="51">
        <v>0</v>
      </c>
      <c r="H179" s="51">
        <v>0.43</v>
      </c>
      <c r="I179" s="49">
        <f t="shared" si="6"/>
        <v>16.8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>
        <v>30</v>
      </c>
      <c r="B180" s="60">
        <v>205</v>
      </c>
      <c r="C180" s="60">
        <v>5</v>
      </c>
      <c r="D180" s="60">
        <v>42</v>
      </c>
      <c r="E180" s="51">
        <v>0.52</v>
      </c>
      <c r="F180" s="51">
        <v>0.31</v>
      </c>
      <c r="G180" s="51">
        <v>0</v>
      </c>
      <c r="H180" s="51">
        <v>0.17</v>
      </c>
      <c r="I180" s="49">
        <f t="shared" si="6"/>
        <v>16.399999999999999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>
        <v>35</v>
      </c>
      <c r="B181" s="60">
        <v>239</v>
      </c>
      <c r="C181" s="60">
        <v>6</v>
      </c>
      <c r="D181" s="60">
        <v>42</v>
      </c>
      <c r="E181" s="51">
        <v>0.74</v>
      </c>
      <c r="F181" s="51">
        <v>0.19</v>
      </c>
      <c r="G181" s="51">
        <v>0</v>
      </c>
      <c r="H181" s="51">
        <v>7.0000000000000007E-2</v>
      </c>
      <c r="I181" s="49">
        <f t="shared" si="6"/>
        <v>15.2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>
        <v>40</v>
      </c>
      <c r="B182" s="60">
        <v>263</v>
      </c>
      <c r="C182" s="60">
        <v>7</v>
      </c>
      <c r="D182" s="60">
        <v>40</v>
      </c>
      <c r="E182" s="51">
        <v>0.85</v>
      </c>
      <c r="F182" s="51">
        <v>0.1</v>
      </c>
      <c r="G182" s="51">
        <v>0</v>
      </c>
      <c r="H182" s="51">
        <v>0.05</v>
      </c>
      <c r="I182" s="49">
        <f t="shared" si="6"/>
        <v>13.2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>
        <v>45</v>
      </c>
      <c r="B183" s="50">
        <v>280</v>
      </c>
      <c r="C183" s="50">
        <v>8</v>
      </c>
      <c r="D183" s="50">
        <v>26</v>
      </c>
      <c r="E183" s="51">
        <v>0.92</v>
      </c>
      <c r="F183" s="51">
        <v>0.04</v>
      </c>
      <c r="G183" s="51">
        <v>0</v>
      </c>
      <c r="H183" s="51">
        <v>0.04</v>
      </c>
      <c r="I183" s="49">
        <f t="shared" si="6"/>
        <v>11.4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>
        <v>50</v>
      </c>
      <c r="B184" s="50">
        <v>303</v>
      </c>
      <c r="C184" s="50">
        <v>9</v>
      </c>
      <c r="D184" s="50">
        <v>21</v>
      </c>
      <c r="E184" s="51">
        <v>0.95</v>
      </c>
      <c r="F184" s="51">
        <v>0.05</v>
      </c>
      <c r="G184" s="51">
        <v>0</v>
      </c>
      <c r="H184" s="51">
        <v>0</v>
      </c>
      <c r="I184" s="49">
        <f t="shared" si="6"/>
        <v>9.8000000000000007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>
        <v>55</v>
      </c>
      <c r="B185" s="50">
        <v>324</v>
      </c>
      <c r="C185" s="50">
        <v>10</v>
      </c>
      <c r="D185" s="50">
        <v>18</v>
      </c>
      <c r="E185" s="51">
        <v>0.94</v>
      </c>
      <c r="F185" s="51">
        <v>0.06</v>
      </c>
      <c r="G185" s="51">
        <v>0</v>
      </c>
      <c r="H185" s="51">
        <v>0</v>
      </c>
      <c r="I185" s="49">
        <f t="shared" si="6"/>
        <v>8.4</v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50">
        <v>60</v>
      </c>
      <c r="B186" s="50">
        <v>343</v>
      </c>
      <c r="C186" s="50">
        <v>11</v>
      </c>
      <c r="D186" s="50">
        <v>17</v>
      </c>
      <c r="E186" s="51">
        <v>0.94</v>
      </c>
      <c r="F186" s="51">
        <v>0</v>
      </c>
      <c r="G186" s="51">
        <v>0</v>
      </c>
      <c r="H186" s="51">
        <v>0.06</v>
      </c>
      <c r="I186" s="49">
        <f t="shared" si="6"/>
        <v>7.4</v>
      </c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50">
        <v>65</v>
      </c>
      <c r="B187" s="50">
        <v>356</v>
      </c>
      <c r="C187" s="50">
        <v>12</v>
      </c>
      <c r="D187" s="50">
        <v>16</v>
      </c>
      <c r="E187" s="51">
        <v>0.94</v>
      </c>
      <c r="F187" s="51">
        <v>0.06</v>
      </c>
      <c r="G187" s="51">
        <v>0</v>
      </c>
      <c r="H187" s="51">
        <v>0</v>
      </c>
      <c r="I187" s="49">
        <f t="shared" si="6"/>
        <v>6</v>
      </c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50">
        <v>70</v>
      </c>
      <c r="B188" s="50">
        <v>366</v>
      </c>
      <c r="C188" s="50">
        <v>13</v>
      </c>
      <c r="D188" s="50">
        <v>15</v>
      </c>
      <c r="E188" s="51">
        <v>0.93</v>
      </c>
      <c r="F188" s="51">
        <v>7.0000000000000007E-2</v>
      </c>
      <c r="G188" s="51">
        <v>0</v>
      </c>
      <c r="H188" s="51">
        <v>0</v>
      </c>
      <c r="I188" s="49">
        <f t="shared" si="6"/>
        <v>5.2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50">
        <v>75</v>
      </c>
      <c r="B189" s="50">
        <v>375</v>
      </c>
      <c r="C189" s="50">
        <v>14</v>
      </c>
      <c r="D189" s="50">
        <v>14</v>
      </c>
      <c r="E189" s="51">
        <v>0.93</v>
      </c>
      <c r="F189" s="51">
        <v>7.0000000000000007E-2</v>
      </c>
      <c r="G189" s="51">
        <v>0</v>
      </c>
      <c r="H189" s="51">
        <v>0</v>
      </c>
      <c r="I189" s="49">
        <f t="shared" si="6"/>
        <v>4.8</v>
      </c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50">
        <v>80</v>
      </c>
      <c r="B190" s="50">
        <v>381</v>
      </c>
      <c r="C190" s="50">
        <v>15</v>
      </c>
      <c r="D190" s="50">
        <v>381</v>
      </c>
      <c r="E190" s="51">
        <v>1</v>
      </c>
      <c r="F190" s="51">
        <v>0</v>
      </c>
      <c r="G190" s="51">
        <v>0</v>
      </c>
      <c r="H190" s="51">
        <v>0</v>
      </c>
      <c r="I190" s="49">
        <f t="shared" si="6"/>
        <v>4</v>
      </c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x14ac:dyDescent="0.35">
      <c r="A191" s="50"/>
      <c r="B191" s="50"/>
      <c r="C191" s="50"/>
      <c r="D191" s="50"/>
      <c r="E191" s="51"/>
      <c r="F191" s="51"/>
      <c r="G191" s="51"/>
      <c r="H191" s="51"/>
      <c r="I191" s="49" t="str">
        <f t="shared" si="6"/>
        <v/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50"/>
      <c r="C192" s="50"/>
      <c r="D192" s="50"/>
      <c r="E192" s="51"/>
      <c r="F192" s="51"/>
      <c r="G192" s="51"/>
      <c r="H192" s="51"/>
      <c r="I192" s="49" t="str">
        <f t="shared" si="6"/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50"/>
      <c r="C193" s="50"/>
      <c r="D193" s="50"/>
      <c r="E193" s="51"/>
      <c r="F193" s="51"/>
      <c r="G193" s="51"/>
      <c r="H193" s="51"/>
      <c r="I193" s="49" t="str">
        <f t="shared" si="6"/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50"/>
      <c r="C194" s="50"/>
      <c r="D194" s="50"/>
      <c r="E194" s="51"/>
      <c r="F194" s="51"/>
      <c r="G194" s="51"/>
      <c r="H194" s="51"/>
      <c r="I194" s="49" t="str">
        <f t="shared" si="6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50"/>
      <c r="C195" s="50"/>
      <c r="D195" s="50"/>
      <c r="E195" s="51"/>
      <c r="F195" s="51"/>
      <c r="G195" s="51"/>
      <c r="H195" s="51"/>
      <c r="I195" s="49" t="str">
        <f t="shared" si="6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4"/>
      <c r="B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4"/>
      <c r="B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46" t="s">
        <v>171</v>
      </c>
      <c r="B198" s="52" t="str">
        <f>IF(B15="","",B15)</f>
        <v>Cèdre de l'Atlas</v>
      </c>
      <c r="D198" s="227" t="s">
        <v>307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46"/>
      <c r="B199" s="96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4"/>
      <c r="B200" s="85" t="s">
        <v>185</v>
      </c>
      <c r="C200" s="265" t="s">
        <v>186</v>
      </c>
      <c r="D200" s="265"/>
      <c r="E200" s="266" t="s">
        <v>187</v>
      </c>
      <c r="F200" s="267"/>
      <c r="G200" s="267"/>
      <c r="H200" s="268"/>
      <c r="I200" s="95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43.5" x14ac:dyDescent="0.35">
      <c r="A201" s="36" t="s">
        <v>180</v>
      </c>
      <c r="B201" s="36" t="s">
        <v>189</v>
      </c>
      <c r="C201" s="48" t="s">
        <v>188</v>
      </c>
      <c r="D201" s="48" t="s">
        <v>251</v>
      </c>
      <c r="E201" s="36" t="s">
        <v>183</v>
      </c>
      <c r="F201" s="36" t="s">
        <v>181</v>
      </c>
      <c r="G201" s="36" t="s">
        <v>184</v>
      </c>
      <c r="H201" s="36" t="s">
        <v>182</v>
      </c>
      <c r="I201" s="48" t="s">
        <v>213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>
        <v>30</v>
      </c>
      <c r="B202" s="60">
        <v>103.27692307692307</v>
      </c>
      <c r="C202" s="60" t="s">
        <v>334</v>
      </c>
      <c r="D202" s="60">
        <v>0</v>
      </c>
      <c r="E202" s="51">
        <v>0</v>
      </c>
      <c r="F202" s="51">
        <v>0</v>
      </c>
      <c r="G202" s="51">
        <v>0</v>
      </c>
      <c r="H202" s="51">
        <v>0</v>
      </c>
      <c r="I202" s="49">
        <f>IFERROR(B202/A202,"")</f>
        <v>3.4425641025641025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>
        <v>51</v>
      </c>
      <c r="B203" s="60">
        <v>321.8384615384615</v>
      </c>
      <c r="C203" s="60">
        <v>1</v>
      </c>
      <c r="D203" s="60">
        <v>100.30769230769231</v>
      </c>
      <c r="E203" s="51">
        <v>0</v>
      </c>
      <c r="F203" s="51">
        <v>0.56000000000000005</v>
      </c>
      <c r="G203" s="51">
        <v>0.44</v>
      </c>
      <c r="H203" s="51">
        <v>0</v>
      </c>
      <c r="I203" s="49">
        <f t="shared" ref="I203:I221" si="7">IF(A203&lt;&gt;0,(B203-(B202-D202))/(A203-A202),"")</f>
        <v>10.407692307692306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>
        <v>63</v>
      </c>
      <c r="B204" s="60">
        <v>350.69230769230768</v>
      </c>
      <c r="C204" s="60">
        <v>2</v>
      </c>
      <c r="D204" s="60">
        <v>108.08461538461538</v>
      </c>
      <c r="E204" s="51">
        <v>0.7</v>
      </c>
      <c r="F204" s="51">
        <v>0.16800000000000001</v>
      </c>
      <c r="G204" s="51">
        <v>0.13200000000000001</v>
      </c>
      <c r="H204" s="51">
        <v>0</v>
      </c>
      <c r="I204" s="49">
        <f t="shared" si="7"/>
        <v>10.763461538461542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>
        <v>75</v>
      </c>
      <c r="B205" s="60">
        <v>360.47692307692307</v>
      </c>
      <c r="C205" s="60">
        <v>3</v>
      </c>
      <c r="D205" s="60">
        <v>85.361538461538458</v>
      </c>
      <c r="E205" s="51">
        <v>0.7</v>
      </c>
      <c r="F205" s="51">
        <v>0.16800000000000001</v>
      </c>
      <c r="G205" s="51">
        <v>0.13200000000000001</v>
      </c>
      <c r="H205" s="51">
        <v>0</v>
      </c>
      <c r="I205" s="49">
        <f t="shared" si="7"/>
        <v>9.8224358974358967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>
        <v>87</v>
      </c>
      <c r="B206" s="60">
        <v>383.13846153846151</v>
      </c>
      <c r="C206" s="60">
        <v>4</v>
      </c>
      <c r="D206" s="60">
        <v>82.938461538461524</v>
      </c>
      <c r="E206" s="51">
        <v>0.7</v>
      </c>
      <c r="F206" s="51">
        <v>0.16800000000000001</v>
      </c>
      <c r="G206" s="51">
        <v>0.13200000000000001</v>
      </c>
      <c r="H206" s="51">
        <v>0</v>
      </c>
      <c r="I206" s="49">
        <f t="shared" si="7"/>
        <v>9.001923076923072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>
        <v>99</v>
      </c>
      <c r="B207" s="60">
        <v>397.8692307692308</v>
      </c>
      <c r="C207" s="60">
        <v>5</v>
      </c>
      <c r="D207" s="60">
        <v>198.32307692307691</v>
      </c>
      <c r="E207" s="51">
        <v>0.7</v>
      </c>
      <c r="F207" s="51">
        <v>0.16800000000000001</v>
      </c>
      <c r="G207" s="51">
        <v>0.13200000000000001</v>
      </c>
      <c r="H207" s="51">
        <v>0</v>
      </c>
      <c r="I207" s="49">
        <f t="shared" si="7"/>
        <v>8.1391025641025667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>
        <v>109</v>
      </c>
      <c r="B208" s="60">
        <v>256.09230769230771</v>
      </c>
      <c r="C208" s="60">
        <v>6</v>
      </c>
      <c r="D208" s="60">
        <v>256.09230769230771</v>
      </c>
      <c r="E208" s="51">
        <v>0.7</v>
      </c>
      <c r="F208" s="51">
        <v>0.16800000000000001</v>
      </c>
      <c r="G208" s="51">
        <v>0.13200000000000001</v>
      </c>
      <c r="H208" s="51">
        <v>0</v>
      </c>
      <c r="I208" s="49">
        <f t="shared" si="7"/>
        <v>5.6546153846153828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50"/>
      <c r="B212" s="50"/>
      <c r="C212" s="50"/>
      <c r="D212" s="50"/>
      <c r="E212" s="51"/>
      <c r="F212" s="51"/>
      <c r="G212" s="51"/>
      <c r="H212" s="51"/>
      <c r="I212" s="49" t="str">
        <f t="shared" si="7"/>
        <v/>
      </c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50"/>
      <c r="B213" s="50"/>
      <c r="C213" s="50"/>
      <c r="D213" s="50"/>
      <c r="E213" s="51"/>
      <c r="F213" s="51"/>
      <c r="G213" s="51"/>
      <c r="H213" s="51"/>
      <c r="I213" s="49" t="str">
        <f t="shared" si="7"/>
        <v/>
      </c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50"/>
      <c r="B214" s="50"/>
      <c r="C214" s="50"/>
      <c r="D214" s="50"/>
      <c r="E214" s="51"/>
      <c r="F214" s="51"/>
      <c r="G214" s="51"/>
      <c r="H214" s="51"/>
      <c r="I214" s="49" t="str">
        <f t="shared" si="7"/>
        <v/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50"/>
      <c r="B215" s="50"/>
      <c r="C215" s="50"/>
      <c r="D215" s="50"/>
      <c r="E215" s="51"/>
      <c r="F215" s="51"/>
      <c r="G215" s="51"/>
      <c r="H215" s="51"/>
      <c r="I215" s="49" t="str">
        <f t="shared" si="7"/>
        <v/>
      </c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50"/>
      <c r="B216" s="50"/>
      <c r="C216" s="50"/>
      <c r="D216" s="50"/>
      <c r="E216" s="51"/>
      <c r="F216" s="51"/>
      <c r="G216" s="51"/>
      <c r="H216" s="51"/>
      <c r="I216" s="49" t="str">
        <f t="shared" si="7"/>
        <v/>
      </c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x14ac:dyDescent="0.35">
      <c r="A217" s="50"/>
      <c r="B217" s="50"/>
      <c r="C217" s="50"/>
      <c r="D217" s="50"/>
      <c r="E217" s="51"/>
      <c r="F217" s="51"/>
      <c r="G217" s="51"/>
      <c r="H217" s="51"/>
      <c r="I217" s="49" t="str">
        <f t="shared" si="7"/>
        <v/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50"/>
      <c r="C218" s="50"/>
      <c r="D218" s="50"/>
      <c r="E218" s="51"/>
      <c r="F218" s="51"/>
      <c r="G218" s="51"/>
      <c r="H218" s="51"/>
      <c r="I218" s="49" t="str">
        <f t="shared" si="7"/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50"/>
      <c r="C219" s="50"/>
      <c r="D219" s="50"/>
      <c r="E219" s="51"/>
      <c r="F219" s="51"/>
      <c r="G219" s="51"/>
      <c r="H219" s="51"/>
      <c r="I219" s="49" t="str">
        <f t="shared" si="7"/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50"/>
      <c r="C220" s="50"/>
      <c r="D220" s="50"/>
      <c r="E220" s="51"/>
      <c r="F220" s="51"/>
      <c r="G220" s="51"/>
      <c r="H220" s="51"/>
      <c r="I220" s="49" t="str">
        <f t="shared" si="7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0"/>
      <c r="B221" s="50"/>
      <c r="C221" s="50"/>
      <c r="D221" s="50"/>
      <c r="E221" s="51"/>
      <c r="F221" s="51"/>
      <c r="G221" s="51"/>
      <c r="H221" s="51"/>
      <c r="I221" s="49" t="str">
        <f t="shared" si="7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4"/>
      <c r="B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4"/>
      <c r="B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46" t="s">
        <v>172</v>
      </c>
      <c r="B224" s="52" t="str">
        <f>IF(B16="","",B16)</f>
        <v>Chêne chevelu</v>
      </c>
      <c r="D224" s="227" t="s">
        <v>307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46"/>
      <c r="B225" s="96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4"/>
      <c r="B226" s="85" t="s">
        <v>185</v>
      </c>
      <c r="C226" s="265" t="s">
        <v>186</v>
      </c>
      <c r="D226" s="265"/>
      <c r="E226" s="266" t="s">
        <v>187</v>
      </c>
      <c r="F226" s="267"/>
      <c r="G226" s="267"/>
      <c r="H226" s="268"/>
      <c r="I226" s="95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43.5" x14ac:dyDescent="0.35">
      <c r="A227" s="36" t="s">
        <v>180</v>
      </c>
      <c r="B227" s="36" t="s">
        <v>189</v>
      </c>
      <c r="C227" s="48" t="s">
        <v>188</v>
      </c>
      <c r="D227" s="48" t="s">
        <v>251</v>
      </c>
      <c r="E227" s="36" t="s">
        <v>183</v>
      </c>
      <c r="F227" s="36" t="s">
        <v>181</v>
      </c>
      <c r="G227" s="36" t="s">
        <v>184</v>
      </c>
      <c r="H227" s="36" t="s">
        <v>182</v>
      </c>
      <c r="I227" s="48" t="s">
        <v>213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0">
        <v>10</v>
      </c>
      <c r="B228" s="60">
        <v>18</v>
      </c>
      <c r="C228" s="60">
        <v>0</v>
      </c>
      <c r="D228" s="60">
        <v>0</v>
      </c>
      <c r="E228" s="51">
        <v>0</v>
      </c>
      <c r="F228" s="51">
        <v>0</v>
      </c>
      <c r="G228" s="51">
        <v>0</v>
      </c>
      <c r="H228" s="51">
        <v>1</v>
      </c>
      <c r="I228" s="53">
        <f>IFERROR(B228/A228,"")</f>
        <v>1.8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0">
        <v>15</v>
      </c>
      <c r="B229" s="60">
        <v>47</v>
      </c>
      <c r="C229" s="60">
        <v>0</v>
      </c>
      <c r="D229" s="60">
        <v>0</v>
      </c>
      <c r="E229" s="51">
        <v>0</v>
      </c>
      <c r="F229" s="51">
        <v>0</v>
      </c>
      <c r="G229" s="51">
        <v>0</v>
      </c>
      <c r="H229" s="51">
        <v>1</v>
      </c>
      <c r="I229" s="53">
        <f t="shared" ref="I229:I247" si="8">IF(A229&lt;&gt;0,(B229-(B228-D228))/(A229-A228),"")</f>
        <v>5.8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0">
        <v>20</v>
      </c>
      <c r="B230" s="60">
        <v>87</v>
      </c>
      <c r="C230" s="60">
        <v>1</v>
      </c>
      <c r="D230" s="60" t="s">
        <v>347</v>
      </c>
      <c r="E230" s="51">
        <v>0</v>
      </c>
      <c r="F230" s="51">
        <v>0</v>
      </c>
      <c r="G230" s="51">
        <v>0</v>
      </c>
      <c r="H230" s="51">
        <v>1</v>
      </c>
      <c r="I230" s="53">
        <f t="shared" si="8"/>
        <v>8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50">
        <v>25</v>
      </c>
      <c r="B231" s="60">
        <v>98</v>
      </c>
      <c r="C231" s="60">
        <v>2</v>
      </c>
      <c r="D231" s="60" t="s">
        <v>348</v>
      </c>
      <c r="E231" s="51">
        <v>0</v>
      </c>
      <c r="F231" s="51">
        <v>0</v>
      </c>
      <c r="G231" s="51">
        <v>0</v>
      </c>
      <c r="H231" s="51">
        <v>1</v>
      </c>
      <c r="I231" s="53">
        <f t="shared" si="8"/>
        <v>8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>
        <v>30</v>
      </c>
      <c r="B232" s="60">
        <v>119</v>
      </c>
      <c r="C232" s="60">
        <v>3</v>
      </c>
      <c r="D232" s="60" t="s">
        <v>341</v>
      </c>
      <c r="E232" s="51">
        <v>0</v>
      </c>
      <c r="F232" s="51">
        <v>0</v>
      </c>
      <c r="G232" s="51">
        <v>0</v>
      </c>
      <c r="H232" s="51">
        <v>1</v>
      </c>
      <c r="I232" s="53">
        <f t="shared" si="8"/>
        <v>8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5">
        <v>35</v>
      </c>
      <c r="B233" s="55">
        <v>135</v>
      </c>
      <c r="C233" s="55">
        <v>4</v>
      </c>
      <c r="D233" s="55" t="s">
        <v>341</v>
      </c>
      <c r="E233" s="63">
        <v>0</v>
      </c>
      <c r="F233" s="63">
        <v>0</v>
      </c>
      <c r="G233" s="63">
        <v>0</v>
      </c>
      <c r="H233" s="63">
        <v>1</v>
      </c>
      <c r="I233" s="53">
        <f t="shared" si="8"/>
        <v>7.2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5">
        <v>40</v>
      </c>
      <c r="B234" s="55">
        <v>150</v>
      </c>
      <c r="C234" s="55">
        <v>5</v>
      </c>
      <c r="D234" s="55" t="s">
        <v>341</v>
      </c>
      <c r="E234" s="63">
        <v>0</v>
      </c>
      <c r="F234" s="63">
        <v>0.5</v>
      </c>
      <c r="G234" s="63">
        <v>0</v>
      </c>
      <c r="H234" s="63">
        <v>0.5</v>
      </c>
      <c r="I234" s="53">
        <f t="shared" si="8"/>
        <v>7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5">
        <v>45</v>
      </c>
      <c r="B235" s="55">
        <v>162</v>
      </c>
      <c r="C235" s="55">
        <v>6</v>
      </c>
      <c r="D235" s="55" t="s">
        <v>348</v>
      </c>
      <c r="E235" s="63">
        <v>0</v>
      </c>
      <c r="F235" s="63">
        <v>0.5</v>
      </c>
      <c r="G235" s="63">
        <v>0</v>
      </c>
      <c r="H235" s="63">
        <v>0.5</v>
      </c>
      <c r="I235" s="53">
        <f t="shared" si="8"/>
        <v>6.4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5">
        <v>50</v>
      </c>
      <c r="B236" s="55">
        <v>173</v>
      </c>
      <c r="C236" s="55">
        <v>7</v>
      </c>
      <c r="D236" s="55" t="s">
        <v>342</v>
      </c>
      <c r="E236" s="63">
        <v>0</v>
      </c>
      <c r="F236" s="63">
        <v>0.5</v>
      </c>
      <c r="G236" s="63">
        <v>0</v>
      </c>
      <c r="H236" s="63">
        <v>0.5</v>
      </c>
      <c r="I236" s="53">
        <f t="shared" si="8"/>
        <v>6</v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5">
        <v>55</v>
      </c>
      <c r="B237" s="55">
        <v>181</v>
      </c>
      <c r="C237" s="55">
        <v>8</v>
      </c>
      <c r="D237" s="55" t="s">
        <v>349</v>
      </c>
      <c r="E237" s="63">
        <v>0.4</v>
      </c>
      <c r="F237" s="63">
        <v>0.4</v>
      </c>
      <c r="G237" s="63">
        <v>0</v>
      </c>
      <c r="H237" s="63">
        <v>0.2</v>
      </c>
      <c r="I237" s="53">
        <f t="shared" si="8"/>
        <v>5.2</v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55">
        <v>60</v>
      </c>
      <c r="B238" s="55">
        <v>189</v>
      </c>
      <c r="C238" s="55">
        <v>9</v>
      </c>
      <c r="D238" s="55" t="s">
        <v>343</v>
      </c>
      <c r="E238" s="63">
        <v>0.4</v>
      </c>
      <c r="F238" s="63">
        <v>0.4</v>
      </c>
      <c r="G238" s="63">
        <v>0</v>
      </c>
      <c r="H238" s="63">
        <v>0.2</v>
      </c>
      <c r="I238" s="53">
        <f t="shared" si="8"/>
        <v>5</v>
      </c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55">
        <v>65</v>
      </c>
      <c r="B239" s="55">
        <v>195</v>
      </c>
      <c r="C239" s="55">
        <v>10</v>
      </c>
      <c r="D239" s="55" t="s">
        <v>344</v>
      </c>
      <c r="E239" s="63">
        <v>0.4</v>
      </c>
      <c r="F239" s="63">
        <v>0.4</v>
      </c>
      <c r="G239" s="63">
        <v>0</v>
      </c>
      <c r="H239" s="63">
        <v>0.2</v>
      </c>
      <c r="I239" s="53">
        <f t="shared" si="8"/>
        <v>4.4000000000000004</v>
      </c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55">
        <v>70</v>
      </c>
      <c r="B240" s="55">
        <v>201</v>
      </c>
      <c r="C240" s="55">
        <v>11</v>
      </c>
      <c r="D240" s="55" t="s">
        <v>345</v>
      </c>
      <c r="E240" s="64">
        <v>0.4</v>
      </c>
      <c r="F240" s="64">
        <v>0.4</v>
      </c>
      <c r="G240" s="64">
        <v>0</v>
      </c>
      <c r="H240" s="64">
        <v>0.2</v>
      </c>
      <c r="I240" s="53">
        <f t="shared" si="8"/>
        <v>4.2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88">
        <v>75</v>
      </c>
      <c r="B241" s="60">
        <v>204</v>
      </c>
      <c r="C241" s="88">
        <v>12</v>
      </c>
      <c r="D241" s="60" t="s">
        <v>346</v>
      </c>
      <c r="E241" s="54">
        <v>0.4</v>
      </c>
      <c r="F241" s="54">
        <v>0.4</v>
      </c>
      <c r="G241" s="54">
        <v>0</v>
      </c>
      <c r="H241" s="54">
        <v>0.2</v>
      </c>
      <c r="I241" s="53">
        <f t="shared" si="8"/>
        <v>3.4</v>
      </c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50">
        <v>80</v>
      </c>
      <c r="B242" s="50">
        <v>208</v>
      </c>
      <c r="C242" s="50">
        <v>13</v>
      </c>
      <c r="D242" s="50" t="s">
        <v>350</v>
      </c>
      <c r="E242" s="54">
        <v>0.4</v>
      </c>
      <c r="F242" s="54">
        <v>0.4</v>
      </c>
      <c r="G242" s="54">
        <v>0</v>
      </c>
      <c r="H242" s="54">
        <v>0.2</v>
      </c>
      <c r="I242" s="53">
        <f t="shared" si="8"/>
        <v>3.2</v>
      </c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x14ac:dyDescent="0.35">
      <c r="A243" s="50">
        <v>85</v>
      </c>
      <c r="B243" s="50">
        <v>211</v>
      </c>
      <c r="C243" s="50">
        <v>14</v>
      </c>
      <c r="D243" s="50" t="s">
        <v>351</v>
      </c>
      <c r="E243" s="54">
        <v>0.5</v>
      </c>
      <c r="F243" s="54">
        <v>0.4</v>
      </c>
      <c r="G243" s="54">
        <v>0</v>
      </c>
      <c r="H243" s="54">
        <v>0.1</v>
      </c>
      <c r="I243" s="53">
        <f t="shared" si="8"/>
        <v>2.8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>
        <v>90</v>
      </c>
      <c r="B244" s="50">
        <v>215</v>
      </c>
      <c r="C244" s="50">
        <v>15</v>
      </c>
      <c r="D244" s="50" t="s">
        <v>351</v>
      </c>
      <c r="E244" s="54">
        <v>0.5</v>
      </c>
      <c r="F244" s="54">
        <v>0.4</v>
      </c>
      <c r="G244" s="54">
        <v>0</v>
      </c>
      <c r="H244" s="54">
        <v>0.1</v>
      </c>
      <c r="I244" s="53">
        <f t="shared" si="8"/>
        <v>2.8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>
        <v>95</v>
      </c>
      <c r="B245" s="50">
        <v>219</v>
      </c>
      <c r="C245" s="50">
        <v>16</v>
      </c>
      <c r="D245" s="50" t="s">
        <v>350</v>
      </c>
      <c r="E245" s="54">
        <v>0.5</v>
      </c>
      <c r="F245" s="54">
        <v>0.4</v>
      </c>
      <c r="G245" s="54">
        <v>0</v>
      </c>
      <c r="H245" s="54">
        <v>0.1</v>
      </c>
      <c r="I245" s="53">
        <f t="shared" si="8"/>
        <v>2.8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>
        <v>100</v>
      </c>
      <c r="B246" s="50">
        <v>223</v>
      </c>
      <c r="C246" s="50">
        <v>17</v>
      </c>
      <c r="D246" s="50">
        <v>223</v>
      </c>
      <c r="E246" s="54">
        <v>0.5</v>
      </c>
      <c r="F246" s="54">
        <v>0.4</v>
      </c>
      <c r="G246" s="54">
        <v>0</v>
      </c>
      <c r="H246" s="54">
        <v>0.1</v>
      </c>
      <c r="I246" s="53">
        <f t="shared" si="8"/>
        <v>3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50"/>
      <c r="C247" s="50"/>
      <c r="D247" s="50"/>
      <c r="E247" s="54"/>
      <c r="F247" s="54"/>
      <c r="G247" s="54"/>
      <c r="H247" s="54"/>
      <c r="I247" s="53" t="str">
        <f t="shared" si="8"/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4"/>
      <c r="B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4"/>
      <c r="B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46" t="s">
        <v>173</v>
      </c>
      <c r="B250" s="52" t="str">
        <f>IF(B17="","",B17)</f>
        <v>Frêne</v>
      </c>
      <c r="D250" s="227" t="s">
        <v>307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46"/>
      <c r="B251" s="96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4"/>
      <c r="B252" s="85" t="s">
        <v>185</v>
      </c>
      <c r="C252" s="265" t="s">
        <v>186</v>
      </c>
      <c r="D252" s="265"/>
      <c r="E252" s="266" t="s">
        <v>187</v>
      </c>
      <c r="F252" s="267"/>
      <c r="G252" s="267"/>
      <c r="H252" s="268"/>
      <c r="I252" s="95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ht="43.5" x14ac:dyDescent="0.35">
      <c r="A253" s="36" t="s">
        <v>180</v>
      </c>
      <c r="B253" s="36" t="s">
        <v>189</v>
      </c>
      <c r="C253" s="48" t="s">
        <v>188</v>
      </c>
      <c r="D253" s="48" t="s">
        <v>251</v>
      </c>
      <c r="E253" s="36" t="s">
        <v>183</v>
      </c>
      <c r="F253" s="36" t="s">
        <v>181</v>
      </c>
      <c r="G253" s="36" t="s">
        <v>184</v>
      </c>
      <c r="H253" s="36" t="s">
        <v>182</v>
      </c>
      <c r="I253" s="48" t="s">
        <v>213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0">
        <v>15</v>
      </c>
      <c r="B254" s="60">
        <v>37</v>
      </c>
      <c r="C254" s="60">
        <v>1</v>
      </c>
      <c r="D254" s="60">
        <v>15</v>
      </c>
      <c r="E254" s="51">
        <v>0</v>
      </c>
      <c r="F254" s="51">
        <v>0</v>
      </c>
      <c r="G254" s="51">
        <v>0</v>
      </c>
      <c r="H254" s="51">
        <v>1</v>
      </c>
      <c r="I254" s="53">
        <f>IFERROR(B254/A254,"")</f>
        <v>2.4666666666666668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0">
        <v>20</v>
      </c>
      <c r="B255" s="60">
        <v>80</v>
      </c>
      <c r="C255" s="60">
        <v>2</v>
      </c>
      <c r="D255" s="60">
        <v>28</v>
      </c>
      <c r="E255" s="51">
        <v>0</v>
      </c>
      <c r="F255" s="51">
        <v>0</v>
      </c>
      <c r="G255" s="51">
        <v>0</v>
      </c>
      <c r="H255" s="51">
        <v>1</v>
      </c>
      <c r="I255" s="53">
        <f>IF(A255&lt;&gt;0,(B255-(B254-D254))/(A255-A254),"")</f>
        <v>11.6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0">
        <v>25</v>
      </c>
      <c r="B256" s="60">
        <v>115</v>
      </c>
      <c r="C256" s="60">
        <v>3</v>
      </c>
      <c r="D256" s="60">
        <v>28</v>
      </c>
      <c r="E256" s="51">
        <v>0</v>
      </c>
      <c r="F256" s="51">
        <v>7.0000000000000007E-2</v>
      </c>
      <c r="G256" s="51">
        <v>0</v>
      </c>
      <c r="H256" s="51">
        <v>0.93</v>
      </c>
      <c r="I256" s="53">
        <f>IF(A256&lt;&gt;0,(B256-(B255-D255))/(A256-A255),"")</f>
        <v>12.6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50">
        <v>30</v>
      </c>
      <c r="B257" s="60">
        <v>146</v>
      </c>
      <c r="C257" s="60">
        <v>4</v>
      </c>
      <c r="D257" s="60">
        <v>28</v>
      </c>
      <c r="E257" s="51">
        <v>0.04</v>
      </c>
      <c r="F257" s="51">
        <v>0.28999999999999998</v>
      </c>
      <c r="G257" s="51">
        <v>0</v>
      </c>
      <c r="H257" s="51">
        <v>0.68</v>
      </c>
      <c r="I257" s="53">
        <f t="shared" ref="I257:I273" si="9">IF(A257&lt;&gt;0,(B257-(B256-D256))/(A257-A256),"")</f>
        <v>11.8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>
        <v>35</v>
      </c>
      <c r="B258" s="60">
        <v>172</v>
      </c>
      <c r="C258" s="60">
        <v>5</v>
      </c>
      <c r="D258" s="60">
        <v>28</v>
      </c>
      <c r="E258" s="51">
        <v>0.18</v>
      </c>
      <c r="F258" s="51">
        <v>0.43</v>
      </c>
      <c r="G258" s="51">
        <v>0</v>
      </c>
      <c r="H258" s="51">
        <v>0.39</v>
      </c>
      <c r="I258" s="53">
        <f t="shared" si="9"/>
        <v>10.8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>
        <v>40</v>
      </c>
      <c r="B259" s="60">
        <v>192</v>
      </c>
      <c r="C259" s="60">
        <v>6</v>
      </c>
      <c r="D259" s="60">
        <v>28</v>
      </c>
      <c r="E259" s="63">
        <v>0.39</v>
      </c>
      <c r="F259" s="63">
        <v>0.39</v>
      </c>
      <c r="G259" s="63">
        <v>0</v>
      </c>
      <c r="H259" s="63">
        <v>0.21</v>
      </c>
      <c r="I259" s="53">
        <f t="shared" si="9"/>
        <v>9.6</v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>
        <v>45</v>
      </c>
      <c r="B260" s="60">
        <v>205</v>
      </c>
      <c r="C260" s="60">
        <v>7</v>
      </c>
      <c r="D260" s="60">
        <v>22</v>
      </c>
      <c r="E260" s="63">
        <v>0.59</v>
      </c>
      <c r="F260" s="63">
        <v>0.27</v>
      </c>
      <c r="G260" s="63">
        <v>0</v>
      </c>
      <c r="H260" s="63">
        <v>0.14000000000000001</v>
      </c>
      <c r="I260" s="53">
        <f t="shared" si="9"/>
        <v>8.1999999999999993</v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5">
        <v>50</v>
      </c>
      <c r="B261" s="55">
        <v>219</v>
      </c>
      <c r="C261" s="55">
        <v>8</v>
      </c>
      <c r="D261" s="55">
        <v>17</v>
      </c>
      <c r="E261" s="63">
        <v>0.71</v>
      </c>
      <c r="F261" s="63">
        <v>0.18</v>
      </c>
      <c r="G261" s="63">
        <v>0</v>
      </c>
      <c r="H261" s="63">
        <v>0.12</v>
      </c>
      <c r="I261" s="53">
        <f t="shared" si="9"/>
        <v>7.2</v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5">
        <v>55</v>
      </c>
      <c r="B262" s="55">
        <v>232</v>
      </c>
      <c r="C262" s="55">
        <v>9</v>
      </c>
      <c r="D262" s="55">
        <v>13</v>
      </c>
      <c r="E262" s="63">
        <v>0.77</v>
      </c>
      <c r="F262" s="63">
        <v>0.15</v>
      </c>
      <c r="G262" s="63">
        <v>0</v>
      </c>
      <c r="H262" s="63">
        <v>0.08</v>
      </c>
      <c r="I262" s="53">
        <f t="shared" si="9"/>
        <v>6</v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5">
        <v>60</v>
      </c>
      <c r="B263" s="55">
        <v>245</v>
      </c>
      <c r="C263" s="55">
        <v>10</v>
      </c>
      <c r="D263" s="55">
        <v>12</v>
      </c>
      <c r="E263" s="63">
        <v>0.83</v>
      </c>
      <c r="F263" s="63">
        <v>0.08</v>
      </c>
      <c r="G263" s="63">
        <v>0</v>
      </c>
      <c r="H263" s="63">
        <v>0.08</v>
      </c>
      <c r="I263" s="53">
        <f t="shared" si="9"/>
        <v>5.2</v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55">
        <v>65</v>
      </c>
      <c r="B264" s="55">
        <v>255</v>
      </c>
      <c r="C264" s="55">
        <v>11</v>
      </c>
      <c r="D264" s="55">
        <v>11</v>
      </c>
      <c r="E264" s="63">
        <v>0.82</v>
      </c>
      <c r="F264" s="63">
        <v>0.09</v>
      </c>
      <c r="G264" s="63">
        <v>0</v>
      </c>
      <c r="H264" s="63">
        <v>0.09</v>
      </c>
      <c r="I264" s="53">
        <f t="shared" si="9"/>
        <v>4.4000000000000004</v>
      </c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55">
        <v>70</v>
      </c>
      <c r="B265" s="55">
        <v>263</v>
      </c>
      <c r="C265" s="55">
        <v>12</v>
      </c>
      <c r="D265" s="55">
        <v>10</v>
      </c>
      <c r="E265" s="63">
        <v>0.9</v>
      </c>
      <c r="F265" s="63">
        <v>0.1</v>
      </c>
      <c r="G265" s="63">
        <v>0</v>
      </c>
      <c r="H265" s="63">
        <v>0</v>
      </c>
      <c r="I265" s="53">
        <f t="shared" si="9"/>
        <v>3.8</v>
      </c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55">
        <v>75</v>
      </c>
      <c r="B266" s="55">
        <v>270</v>
      </c>
      <c r="C266" s="55">
        <v>13</v>
      </c>
      <c r="D266" s="55">
        <v>9</v>
      </c>
      <c r="E266" s="64">
        <v>0.89</v>
      </c>
      <c r="F266" s="64">
        <v>0.11</v>
      </c>
      <c r="G266" s="64">
        <v>0</v>
      </c>
      <c r="H266" s="64">
        <v>0</v>
      </c>
      <c r="I266" s="53">
        <f t="shared" si="9"/>
        <v>3.4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88">
        <v>80</v>
      </c>
      <c r="B267" s="60">
        <v>275</v>
      </c>
      <c r="C267" s="88">
        <v>14</v>
      </c>
      <c r="D267" s="60">
        <v>275</v>
      </c>
      <c r="E267" s="54">
        <v>0.88</v>
      </c>
      <c r="F267" s="54">
        <v>0.13</v>
      </c>
      <c r="G267" s="54">
        <v>0</v>
      </c>
      <c r="H267" s="54">
        <v>0</v>
      </c>
      <c r="I267" s="53">
        <f t="shared" si="9"/>
        <v>2.8</v>
      </c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50"/>
      <c r="B268" s="50"/>
      <c r="C268" s="50"/>
      <c r="D268" s="50"/>
      <c r="E268" s="54"/>
      <c r="F268" s="54"/>
      <c r="G268" s="54"/>
      <c r="H268" s="54"/>
      <c r="I268" s="53" t="str">
        <f t="shared" si="9"/>
        <v/>
      </c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x14ac:dyDescent="0.35">
      <c r="A269" s="50"/>
      <c r="B269" s="50"/>
      <c r="C269" s="50"/>
      <c r="D269" s="50"/>
      <c r="E269" s="54"/>
      <c r="F269" s="54"/>
      <c r="G269" s="54"/>
      <c r="H269" s="54"/>
      <c r="I269" s="53" t="str">
        <f t="shared" si="9"/>
        <v/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50"/>
      <c r="C270" s="50"/>
      <c r="D270" s="50"/>
      <c r="E270" s="54"/>
      <c r="F270" s="54"/>
      <c r="G270" s="54"/>
      <c r="H270" s="54"/>
      <c r="I270" s="53" t="str">
        <f t="shared" si="9"/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50"/>
      <c r="C271" s="50"/>
      <c r="D271" s="50"/>
      <c r="E271" s="54"/>
      <c r="F271" s="54"/>
      <c r="G271" s="54"/>
      <c r="H271" s="54"/>
      <c r="I271" s="53" t="str">
        <f t="shared" si="9"/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50"/>
      <c r="C272" s="50"/>
      <c r="D272" s="50"/>
      <c r="E272" s="54"/>
      <c r="F272" s="54"/>
      <c r="G272" s="54"/>
      <c r="H272" s="54"/>
      <c r="I272" s="53" t="str">
        <f t="shared" si="9"/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50"/>
      <c r="C273" s="50"/>
      <c r="D273" s="50"/>
      <c r="E273" s="54"/>
      <c r="F273" s="54"/>
      <c r="G273" s="54"/>
      <c r="H273" s="54"/>
      <c r="I273" s="53" t="str">
        <f t="shared" si="9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4"/>
      <c r="B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4"/>
      <c r="B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46" t="s">
        <v>174</v>
      </c>
      <c r="B276" s="52" t="str">
        <f>IF(B18="","",B18)</f>
        <v>Thuya géant</v>
      </c>
      <c r="D276" s="227" t="s">
        <v>307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46"/>
      <c r="B277" s="96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4"/>
      <c r="B278" s="85" t="s">
        <v>185</v>
      </c>
      <c r="C278" s="265" t="s">
        <v>186</v>
      </c>
      <c r="D278" s="265"/>
      <c r="E278" s="266" t="s">
        <v>187</v>
      </c>
      <c r="F278" s="267"/>
      <c r="G278" s="267"/>
      <c r="H278" s="268"/>
      <c r="I278" s="95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ht="43.5" x14ac:dyDescent="0.35">
      <c r="A279" s="36" t="s">
        <v>180</v>
      </c>
      <c r="B279" s="36" t="s">
        <v>189</v>
      </c>
      <c r="C279" s="48" t="s">
        <v>188</v>
      </c>
      <c r="D279" s="48" t="s">
        <v>251</v>
      </c>
      <c r="E279" s="36" t="s">
        <v>183</v>
      </c>
      <c r="F279" s="36" t="s">
        <v>181</v>
      </c>
      <c r="G279" s="36" t="s">
        <v>184</v>
      </c>
      <c r="H279" s="36" t="s">
        <v>182</v>
      </c>
      <c r="I279" s="48" t="s">
        <v>213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0">
        <v>15</v>
      </c>
      <c r="B280" s="60">
        <v>62</v>
      </c>
      <c r="C280" s="60" t="s">
        <v>334</v>
      </c>
      <c r="D280" s="60">
        <v>0</v>
      </c>
      <c r="E280" s="51">
        <v>0</v>
      </c>
      <c r="F280" s="51">
        <v>0</v>
      </c>
      <c r="G280" s="51">
        <v>0</v>
      </c>
      <c r="H280" s="51">
        <v>0</v>
      </c>
      <c r="I280" s="53">
        <f>IFERROR(B280/A280,"")</f>
        <v>4.1333333333333337</v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0">
        <v>20</v>
      </c>
      <c r="B281" s="60">
        <v>164</v>
      </c>
      <c r="C281" s="60">
        <v>1</v>
      </c>
      <c r="D281" s="60">
        <v>32</v>
      </c>
      <c r="E281" s="51">
        <v>0</v>
      </c>
      <c r="F281" s="51">
        <v>3.8461538461538464E-2</v>
      </c>
      <c r="G281" s="51">
        <v>0.48076923076923078</v>
      </c>
      <c r="H281" s="51">
        <v>0.48076923076923078</v>
      </c>
      <c r="I281" s="53">
        <f>IF(A281&lt;&gt;0,(B281-(B280-D280))/(A281-A280),"")</f>
        <v>20.399999999999999</v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0">
        <v>25</v>
      </c>
      <c r="B282" s="60">
        <v>270</v>
      </c>
      <c r="C282" s="60">
        <v>2</v>
      </c>
      <c r="D282" s="60">
        <v>35</v>
      </c>
      <c r="E282" s="51">
        <v>0</v>
      </c>
      <c r="F282" s="51">
        <v>7.1428571428571425E-2</v>
      </c>
      <c r="G282" s="51">
        <v>0.4642857142857143</v>
      </c>
      <c r="H282" s="51">
        <v>0.4642857142857143</v>
      </c>
      <c r="I282" s="53">
        <f t="shared" ref="I282:I299" si="10">IF(A282&lt;&gt;0,(B282-(B281-D281))/(A282-A281),"")</f>
        <v>27.6</v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50">
        <v>30</v>
      </c>
      <c r="B283" s="60">
        <v>343</v>
      </c>
      <c r="C283" s="60">
        <v>3</v>
      </c>
      <c r="D283" s="60">
        <v>35</v>
      </c>
      <c r="E283" s="51">
        <v>0</v>
      </c>
      <c r="F283" s="51">
        <v>0.15714285714285714</v>
      </c>
      <c r="G283" s="51">
        <v>0.42142857142857143</v>
      </c>
      <c r="H283" s="51">
        <v>0.42142857142857143</v>
      </c>
      <c r="I283" s="53">
        <f t="shared" si="10"/>
        <v>21.6</v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>
        <v>35</v>
      </c>
      <c r="B284" s="60">
        <v>418</v>
      </c>
      <c r="C284" s="60">
        <v>4</v>
      </c>
      <c r="D284" s="60">
        <v>35</v>
      </c>
      <c r="E284" s="51">
        <v>4.2857142857142858E-2</v>
      </c>
      <c r="F284" s="51">
        <v>0.3</v>
      </c>
      <c r="G284" s="51">
        <v>0.32857142857142857</v>
      </c>
      <c r="H284" s="51">
        <v>0.32857142857142857</v>
      </c>
      <c r="I284" s="53">
        <f t="shared" si="10"/>
        <v>22</v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>
        <v>40</v>
      </c>
      <c r="B285" s="60">
        <v>487</v>
      </c>
      <c r="C285" s="50">
        <v>5</v>
      </c>
      <c r="D285" s="60">
        <v>35</v>
      </c>
      <c r="E285" s="63">
        <v>0.14285714285714285</v>
      </c>
      <c r="F285" s="63">
        <v>0.41428571428571431</v>
      </c>
      <c r="G285" s="63">
        <v>0.22142857142857142</v>
      </c>
      <c r="H285" s="63">
        <v>0.22142857142857142</v>
      </c>
      <c r="I285" s="53">
        <f t="shared" si="10"/>
        <v>20.8</v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>
        <v>45</v>
      </c>
      <c r="B286" s="60">
        <v>548</v>
      </c>
      <c r="C286" s="50">
        <v>6</v>
      </c>
      <c r="D286" s="60">
        <v>35</v>
      </c>
      <c r="E286" s="63">
        <v>0.3</v>
      </c>
      <c r="F286" s="63">
        <v>0.41428571428571431</v>
      </c>
      <c r="G286" s="63">
        <v>0.14285714285714285</v>
      </c>
      <c r="H286" s="63">
        <v>0.14285714285714285</v>
      </c>
      <c r="I286" s="53">
        <f t="shared" si="10"/>
        <v>19.2</v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5">
        <v>50</v>
      </c>
      <c r="B287" s="55">
        <v>601</v>
      </c>
      <c r="C287" s="55">
        <v>7</v>
      </c>
      <c r="D287" s="55">
        <v>24</v>
      </c>
      <c r="E287" s="63">
        <v>0.47142857142857142</v>
      </c>
      <c r="F287" s="63">
        <v>0.34285714285714286</v>
      </c>
      <c r="G287" s="63">
        <v>9.285714285714286E-2</v>
      </c>
      <c r="H287" s="63">
        <v>9.285714285714286E-2</v>
      </c>
      <c r="I287" s="53">
        <f t="shared" si="10"/>
        <v>17.600000000000001</v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5">
        <v>55</v>
      </c>
      <c r="B288" s="55">
        <v>646</v>
      </c>
      <c r="C288" s="55">
        <v>8</v>
      </c>
      <c r="D288" s="55">
        <v>19</v>
      </c>
      <c r="E288" s="63">
        <v>0.61904761904761907</v>
      </c>
      <c r="F288" s="63">
        <v>0.25396825396825395</v>
      </c>
      <c r="G288" s="63">
        <v>6.3492063492063489E-2</v>
      </c>
      <c r="H288" s="63">
        <v>6.3492063492063489E-2</v>
      </c>
      <c r="I288" s="53">
        <f t="shared" si="10"/>
        <v>13.8</v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5" x14ac:dyDescent="0.35">
      <c r="A289" s="55">
        <v>60</v>
      </c>
      <c r="B289" s="55">
        <v>690</v>
      </c>
      <c r="C289" s="55">
        <v>9</v>
      </c>
      <c r="D289" s="55">
        <v>16</v>
      </c>
      <c r="E289" s="63">
        <v>0.7142857142857143</v>
      </c>
      <c r="F289" s="63">
        <v>0.19642857142857142</v>
      </c>
      <c r="G289" s="63">
        <v>4.4642857142857144E-2</v>
      </c>
      <c r="H289" s="63">
        <v>4.4642857142857144E-2</v>
      </c>
      <c r="I289" s="53">
        <f t="shared" si="10"/>
        <v>12.6</v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5" x14ac:dyDescent="0.35">
      <c r="A290" s="55">
        <v>65</v>
      </c>
      <c r="B290" s="55">
        <v>734</v>
      </c>
      <c r="C290" s="55">
        <v>10</v>
      </c>
      <c r="D290" s="55">
        <v>14</v>
      </c>
      <c r="E290" s="63">
        <v>0.78846153846153844</v>
      </c>
      <c r="F290" s="63">
        <v>0.13461538461538461</v>
      </c>
      <c r="G290" s="63">
        <v>3.8461538461538464E-2</v>
      </c>
      <c r="H290" s="63">
        <v>3.8461538461538464E-2</v>
      </c>
      <c r="I290" s="53">
        <f t="shared" si="10"/>
        <v>12</v>
      </c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5" x14ac:dyDescent="0.35">
      <c r="A291" s="55">
        <v>70</v>
      </c>
      <c r="B291" s="55">
        <v>773</v>
      </c>
      <c r="C291" s="55">
        <v>11</v>
      </c>
      <c r="D291" s="55">
        <v>13</v>
      </c>
      <c r="E291" s="63">
        <v>0.83673469387755106</v>
      </c>
      <c r="F291" s="63">
        <v>0.10204081632653061</v>
      </c>
      <c r="G291" s="63">
        <v>3.0612244897959183E-2</v>
      </c>
      <c r="H291" s="63">
        <v>3.0612244897959183E-2</v>
      </c>
      <c r="I291" s="53">
        <f t="shared" si="10"/>
        <v>10.6</v>
      </c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5" x14ac:dyDescent="0.35">
      <c r="A292" s="55">
        <v>75</v>
      </c>
      <c r="B292" s="55">
        <v>809</v>
      </c>
      <c r="C292" s="55">
        <v>12</v>
      </c>
      <c r="D292" s="55">
        <v>13</v>
      </c>
      <c r="E292" s="64">
        <v>0.85106382978723405</v>
      </c>
      <c r="F292" s="64">
        <v>0.10638297872340426</v>
      </c>
      <c r="G292" s="64">
        <v>2.1276595744680851E-2</v>
      </c>
      <c r="H292" s="64">
        <v>2.1276595744680851E-2</v>
      </c>
      <c r="I292" s="53">
        <f t="shared" si="10"/>
        <v>9.8000000000000007</v>
      </c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5" x14ac:dyDescent="0.35">
      <c r="A293" s="88">
        <v>80</v>
      </c>
      <c r="B293" s="60">
        <v>840</v>
      </c>
      <c r="C293" s="88">
        <v>13</v>
      </c>
      <c r="D293" s="60">
        <v>840</v>
      </c>
      <c r="E293" s="54">
        <v>0.88888888888888884</v>
      </c>
      <c r="F293" s="54">
        <v>6.6666666666666666E-2</v>
      </c>
      <c r="G293" s="54">
        <v>2.2222222222222223E-2</v>
      </c>
      <c r="H293" s="54">
        <v>2.2222222222222223E-2</v>
      </c>
      <c r="I293" s="53">
        <f t="shared" si="10"/>
        <v>8.8000000000000007</v>
      </c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5" x14ac:dyDescent="0.35">
      <c r="A294" s="50"/>
      <c r="B294" s="50"/>
      <c r="C294" s="50"/>
      <c r="D294" s="50"/>
      <c r="E294" s="51"/>
      <c r="F294" s="51"/>
      <c r="G294" s="51"/>
      <c r="H294" s="51"/>
      <c r="I294" s="53" t="str">
        <f t="shared" si="10"/>
        <v/>
      </c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5" x14ac:dyDescent="0.35">
      <c r="A295" s="50"/>
      <c r="B295" s="50"/>
      <c r="C295" s="50"/>
      <c r="D295" s="50"/>
      <c r="E295" s="51"/>
      <c r="F295" s="51"/>
      <c r="G295" s="51"/>
      <c r="H295" s="51"/>
      <c r="I295" s="53" t="str">
        <f t="shared" si="10"/>
        <v/>
      </c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5" x14ac:dyDescent="0.35">
      <c r="A296" s="50"/>
      <c r="B296" s="50"/>
      <c r="C296" s="50"/>
      <c r="D296" s="50"/>
      <c r="E296" s="51"/>
      <c r="F296" s="51"/>
      <c r="G296" s="51"/>
      <c r="H296" s="51"/>
      <c r="I296" s="53" t="str">
        <f t="shared" si="10"/>
        <v/>
      </c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5" x14ac:dyDescent="0.35">
      <c r="A297" s="50"/>
      <c r="B297" s="50"/>
      <c r="C297" s="50"/>
      <c r="D297" s="50"/>
      <c r="E297" s="51"/>
      <c r="F297" s="51"/>
      <c r="G297" s="51"/>
      <c r="H297" s="51"/>
      <c r="I297" s="53" t="str">
        <f t="shared" si="10"/>
        <v/>
      </c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5" x14ac:dyDescent="0.35">
      <c r="A298" s="50"/>
      <c r="B298" s="50"/>
      <c r="C298" s="50"/>
      <c r="D298" s="50"/>
      <c r="E298" s="51"/>
      <c r="F298" s="51"/>
      <c r="G298" s="51"/>
      <c r="H298" s="51"/>
      <c r="I298" s="53" t="str">
        <f t="shared" si="10"/>
        <v/>
      </c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</row>
    <row r="299" spans="1:45" x14ac:dyDescent="0.35">
      <c r="A299" s="50"/>
      <c r="B299" s="50"/>
      <c r="C299" s="50"/>
      <c r="D299" s="50"/>
      <c r="E299" s="51"/>
      <c r="F299" s="51"/>
      <c r="G299" s="51"/>
      <c r="H299" s="51"/>
      <c r="I299" s="53" t="str">
        <f t="shared" si="10"/>
        <v/>
      </c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</row>
    <row r="300" spans="1:45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</row>
    <row r="301" spans="1:45" x14ac:dyDescent="0.35">
      <c r="A301" s="46" t="s">
        <v>324</v>
      </c>
      <c r="B301" s="47" t="str">
        <f>IF(B19="","",B19)</f>
        <v>Peuplier Koster</v>
      </c>
      <c r="D301" s="227" t="s">
        <v>307</v>
      </c>
      <c r="K301" s="221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</row>
    <row r="302" spans="1:45" x14ac:dyDescent="0.35">
      <c r="A302" s="46"/>
      <c r="B302" s="4"/>
      <c r="K302" s="221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</row>
    <row r="303" spans="1:45" x14ac:dyDescent="0.35">
      <c r="A303" s="4"/>
      <c r="B303" s="85" t="s">
        <v>185</v>
      </c>
      <c r="C303" s="265" t="s">
        <v>186</v>
      </c>
      <c r="D303" s="265"/>
      <c r="E303" s="266" t="s">
        <v>187</v>
      </c>
      <c r="F303" s="267"/>
      <c r="G303" s="267"/>
      <c r="H303" s="268"/>
      <c r="I303" s="95"/>
      <c r="J303" s="221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45" ht="43.5" x14ac:dyDescent="0.35">
      <c r="A304" s="36" t="s">
        <v>180</v>
      </c>
      <c r="B304" s="36" t="s">
        <v>189</v>
      </c>
      <c r="C304" s="48" t="s">
        <v>188</v>
      </c>
      <c r="D304" s="48" t="s">
        <v>251</v>
      </c>
      <c r="E304" s="36" t="s">
        <v>183</v>
      </c>
      <c r="F304" s="36" t="s">
        <v>181</v>
      </c>
      <c r="G304" s="36" t="s">
        <v>184</v>
      </c>
      <c r="H304" s="36" t="s">
        <v>182</v>
      </c>
      <c r="I304" s="48" t="s">
        <v>213</v>
      </c>
      <c r="J304" s="222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</row>
    <row r="305" spans="1:41" x14ac:dyDescent="0.35">
      <c r="A305" s="50">
        <v>2</v>
      </c>
      <c r="B305" s="60">
        <v>0.18435897435897397</v>
      </c>
      <c r="C305" s="60">
        <v>0</v>
      </c>
      <c r="D305" s="60">
        <v>0</v>
      </c>
      <c r="E305" s="51">
        <v>0</v>
      </c>
      <c r="F305" s="51">
        <v>0</v>
      </c>
      <c r="G305" s="51">
        <v>0</v>
      </c>
      <c r="H305" s="51">
        <v>0</v>
      </c>
      <c r="I305" s="49">
        <f>IFERROR(B305/A305,"")</f>
        <v>9.2179487179486985E-2</v>
      </c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</row>
    <row r="306" spans="1:41" x14ac:dyDescent="0.35">
      <c r="A306" s="50">
        <v>3</v>
      </c>
      <c r="B306" s="60">
        <v>2.31</v>
      </c>
      <c r="C306" s="60">
        <v>0</v>
      </c>
      <c r="D306" s="60">
        <v>0</v>
      </c>
      <c r="E306" s="51">
        <v>0</v>
      </c>
      <c r="F306" s="51">
        <v>0</v>
      </c>
      <c r="G306" s="51">
        <v>0</v>
      </c>
      <c r="H306" s="51">
        <v>0</v>
      </c>
      <c r="I306" s="53">
        <f t="shared" ref="I306:I324" si="11">IF(A306&lt;&gt;0,(B306-(B305-D305))/(A306-A305),"")</f>
        <v>2.1256410256410261</v>
      </c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</row>
    <row r="307" spans="1:41" x14ac:dyDescent="0.35">
      <c r="A307" s="50">
        <v>4</v>
      </c>
      <c r="B307" s="60">
        <v>6.6838461538461518</v>
      </c>
      <c r="C307" s="60">
        <v>0</v>
      </c>
      <c r="D307" s="60">
        <v>0</v>
      </c>
      <c r="E307" s="51">
        <v>0</v>
      </c>
      <c r="F307" s="51">
        <v>0</v>
      </c>
      <c r="G307" s="51">
        <v>0</v>
      </c>
      <c r="H307" s="51">
        <v>0</v>
      </c>
      <c r="I307" s="53">
        <f t="shared" si="11"/>
        <v>4.3738461538461522</v>
      </c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</row>
    <row r="308" spans="1:41" x14ac:dyDescent="0.35">
      <c r="A308" s="50">
        <v>5</v>
      </c>
      <c r="B308" s="60">
        <v>13.14935897435897</v>
      </c>
      <c r="C308" s="60">
        <v>0</v>
      </c>
      <c r="D308" s="60">
        <v>0</v>
      </c>
      <c r="E308" s="51">
        <v>0</v>
      </c>
      <c r="F308" s="51">
        <v>0</v>
      </c>
      <c r="G308" s="51">
        <v>0</v>
      </c>
      <c r="H308" s="51">
        <v>0</v>
      </c>
      <c r="I308" s="49">
        <f t="shared" si="11"/>
        <v>6.4655128205128181</v>
      </c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</row>
    <row r="309" spans="1:41" x14ac:dyDescent="0.35">
      <c r="A309" s="50">
        <v>6</v>
      </c>
      <c r="B309" s="60">
        <v>21.549999999999997</v>
      </c>
      <c r="C309" s="60">
        <v>0</v>
      </c>
      <c r="D309" s="60">
        <v>0</v>
      </c>
      <c r="E309" s="51">
        <v>0</v>
      </c>
      <c r="F309" s="51">
        <v>0</v>
      </c>
      <c r="G309" s="51">
        <v>0</v>
      </c>
      <c r="H309" s="51">
        <v>0</v>
      </c>
      <c r="I309" s="49">
        <f t="shared" si="11"/>
        <v>8.4006410256410273</v>
      </c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</row>
    <row r="310" spans="1:41" x14ac:dyDescent="0.35">
      <c r="A310" s="50">
        <v>7</v>
      </c>
      <c r="B310" s="60">
        <v>31.729230769230764</v>
      </c>
      <c r="C310" s="60">
        <v>0</v>
      </c>
      <c r="D310" s="60">
        <v>0</v>
      </c>
      <c r="E310" s="51">
        <v>0</v>
      </c>
      <c r="F310" s="51">
        <v>0</v>
      </c>
      <c r="G310" s="51">
        <v>0</v>
      </c>
      <c r="H310" s="51">
        <v>0</v>
      </c>
      <c r="I310" s="53">
        <f t="shared" si="11"/>
        <v>10.179230769230767</v>
      </c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</row>
    <row r="311" spans="1:41" x14ac:dyDescent="0.35">
      <c r="A311" s="50">
        <v>8</v>
      </c>
      <c r="B311" s="60">
        <v>43.530512820512811</v>
      </c>
      <c r="C311" s="60">
        <v>0</v>
      </c>
      <c r="D311" s="60">
        <v>0</v>
      </c>
      <c r="E311" s="51">
        <v>0</v>
      </c>
      <c r="F311" s="51">
        <v>0</v>
      </c>
      <c r="G311" s="51">
        <v>0</v>
      </c>
      <c r="H311" s="51">
        <v>0</v>
      </c>
      <c r="I311" s="53">
        <f t="shared" si="11"/>
        <v>11.801282051282048</v>
      </c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</row>
    <row r="312" spans="1:41" x14ac:dyDescent="0.35">
      <c r="A312" s="50">
        <v>9</v>
      </c>
      <c r="B312" s="60">
        <v>56.797307692307676</v>
      </c>
      <c r="C312" s="60">
        <v>0</v>
      </c>
      <c r="D312" s="60">
        <v>0</v>
      </c>
      <c r="E312" s="51">
        <v>0</v>
      </c>
      <c r="F312" s="51">
        <v>0</v>
      </c>
      <c r="G312" s="51">
        <v>0</v>
      </c>
      <c r="H312" s="51">
        <v>0</v>
      </c>
      <c r="I312" s="49">
        <f t="shared" si="11"/>
        <v>13.266794871794865</v>
      </c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</row>
    <row r="313" spans="1:41" x14ac:dyDescent="0.35">
      <c r="A313" s="50">
        <v>10</v>
      </c>
      <c r="B313" s="60">
        <v>71.373076923076894</v>
      </c>
      <c r="C313" s="60">
        <v>0</v>
      </c>
      <c r="D313" s="60">
        <v>0</v>
      </c>
      <c r="E313" s="51">
        <v>0</v>
      </c>
      <c r="F313" s="51">
        <v>0</v>
      </c>
      <c r="G313" s="51">
        <v>0</v>
      </c>
      <c r="H313" s="51">
        <v>0</v>
      </c>
      <c r="I313" s="49">
        <f t="shared" si="11"/>
        <v>14.575769230769218</v>
      </c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</row>
    <row r="314" spans="1:41" x14ac:dyDescent="0.35">
      <c r="A314" s="50">
        <v>11</v>
      </c>
      <c r="B314" s="60">
        <v>87.101282051282055</v>
      </c>
      <c r="C314" s="60">
        <v>0</v>
      </c>
      <c r="D314" s="60">
        <v>0</v>
      </c>
      <c r="E314" s="51">
        <v>0</v>
      </c>
      <c r="F314" s="51">
        <v>0</v>
      </c>
      <c r="G314" s="51">
        <v>0</v>
      </c>
      <c r="H314" s="51">
        <v>0</v>
      </c>
      <c r="I314" s="49">
        <f t="shared" si="11"/>
        <v>15.728205128205161</v>
      </c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</row>
    <row r="315" spans="1:41" x14ac:dyDescent="0.35">
      <c r="A315" s="50">
        <v>12</v>
      </c>
      <c r="B315" s="60">
        <v>103.82538461538462</v>
      </c>
      <c r="C315" s="60">
        <v>0</v>
      </c>
      <c r="D315" s="60">
        <v>0</v>
      </c>
      <c r="E315" s="51">
        <v>0</v>
      </c>
      <c r="F315" s="51">
        <v>0</v>
      </c>
      <c r="G315" s="51">
        <v>0</v>
      </c>
      <c r="H315" s="51">
        <v>0</v>
      </c>
      <c r="I315" s="49">
        <f t="shared" si="11"/>
        <v>16.724102564102566</v>
      </c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</row>
    <row r="316" spans="1:41" x14ac:dyDescent="0.35">
      <c r="A316" s="50">
        <v>13</v>
      </c>
      <c r="B316" s="60">
        <v>121.38884615384613</v>
      </c>
      <c r="C316" s="60">
        <v>0</v>
      </c>
      <c r="D316" s="60">
        <v>0</v>
      </c>
      <c r="E316" s="51">
        <v>0</v>
      </c>
      <c r="F316" s="51">
        <v>0</v>
      </c>
      <c r="G316" s="51">
        <v>0</v>
      </c>
      <c r="H316" s="51">
        <v>0</v>
      </c>
      <c r="I316" s="49">
        <f t="shared" si="11"/>
        <v>17.56346153846151</v>
      </c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</row>
    <row r="317" spans="1:41" x14ac:dyDescent="0.35">
      <c r="A317" s="50">
        <v>14</v>
      </c>
      <c r="B317" s="60">
        <v>139.63512820512813</v>
      </c>
      <c r="C317" s="60">
        <v>0</v>
      </c>
      <c r="D317" s="60">
        <v>0</v>
      </c>
      <c r="E317" s="51">
        <v>0</v>
      </c>
      <c r="F317" s="51">
        <v>0</v>
      </c>
      <c r="G317" s="51">
        <v>0</v>
      </c>
      <c r="H317" s="51">
        <v>0</v>
      </c>
      <c r="I317" s="49">
        <f t="shared" si="11"/>
        <v>18.246282051281995</v>
      </c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</row>
    <row r="318" spans="1:41" x14ac:dyDescent="0.35">
      <c r="A318" s="50">
        <v>15</v>
      </c>
      <c r="B318" s="60">
        <v>158.40769230769226</v>
      </c>
      <c r="C318" s="60">
        <v>0</v>
      </c>
      <c r="D318" s="60">
        <v>0</v>
      </c>
      <c r="E318" s="51">
        <v>0</v>
      </c>
      <c r="F318" s="51">
        <v>0</v>
      </c>
      <c r="G318" s="51">
        <v>0</v>
      </c>
      <c r="H318" s="51">
        <v>0</v>
      </c>
      <c r="I318" s="49">
        <f t="shared" si="11"/>
        <v>18.772564102564132</v>
      </c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</row>
    <row r="319" spans="1:41" x14ac:dyDescent="0.35">
      <c r="A319" s="50">
        <v>16</v>
      </c>
      <c r="B319" s="50">
        <v>177.54999999999995</v>
      </c>
      <c r="C319" s="50">
        <v>0</v>
      </c>
      <c r="D319" s="50">
        <v>0</v>
      </c>
      <c r="E319" s="51">
        <v>0</v>
      </c>
      <c r="F319" s="51">
        <v>0</v>
      </c>
      <c r="G319" s="51">
        <v>0</v>
      </c>
      <c r="H319" s="51">
        <v>0</v>
      </c>
      <c r="I319" s="49">
        <f t="shared" si="11"/>
        <v>19.142307692307696</v>
      </c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</row>
    <row r="320" spans="1:41" x14ac:dyDescent="0.35">
      <c r="A320" s="50">
        <v>17</v>
      </c>
      <c r="B320" s="50">
        <v>196.90551282051274</v>
      </c>
      <c r="C320" s="50">
        <v>0</v>
      </c>
      <c r="D320" s="50">
        <v>0</v>
      </c>
      <c r="E320" s="51">
        <v>0</v>
      </c>
      <c r="F320" s="51">
        <v>0</v>
      </c>
      <c r="G320" s="51">
        <v>0</v>
      </c>
      <c r="H320" s="51">
        <v>0</v>
      </c>
      <c r="I320" s="49">
        <f t="shared" si="11"/>
        <v>19.355512820512786</v>
      </c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</row>
    <row r="321" spans="1:41" x14ac:dyDescent="0.35">
      <c r="A321" s="50">
        <v>18</v>
      </c>
      <c r="B321" s="50">
        <v>216.31769230769225</v>
      </c>
      <c r="C321" s="50">
        <v>0</v>
      </c>
      <c r="D321" s="50">
        <v>0</v>
      </c>
      <c r="E321" s="51">
        <v>0</v>
      </c>
      <c r="F321" s="51">
        <v>0</v>
      </c>
      <c r="G321" s="51">
        <v>0</v>
      </c>
      <c r="H321" s="51">
        <v>0</v>
      </c>
      <c r="I321" s="49">
        <f t="shared" si="11"/>
        <v>19.412179487179515</v>
      </c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</row>
    <row r="322" spans="1:41" x14ac:dyDescent="0.35">
      <c r="A322" s="50">
        <v>19</v>
      </c>
      <c r="B322" s="50">
        <v>235.63</v>
      </c>
      <c r="C322" s="50">
        <v>0</v>
      </c>
      <c r="D322" s="50">
        <v>0</v>
      </c>
      <c r="E322" s="51">
        <v>0</v>
      </c>
      <c r="F322" s="51">
        <v>0</v>
      </c>
      <c r="G322" s="51">
        <v>0</v>
      </c>
      <c r="H322" s="51">
        <v>0</v>
      </c>
      <c r="I322" s="49">
        <f t="shared" si="11"/>
        <v>19.312307692307741</v>
      </c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</row>
    <row r="323" spans="1:41" x14ac:dyDescent="0.35">
      <c r="A323" s="50">
        <v>20</v>
      </c>
      <c r="B323" s="50">
        <v>254.68589743589735</v>
      </c>
      <c r="C323" s="50" t="s">
        <v>352</v>
      </c>
      <c r="D323" s="50">
        <v>254.68589743589735</v>
      </c>
      <c r="E323" s="51">
        <v>0.7</v>
      </c>
      <c r="F323" s="51">
        <v>0.15</v>
      </c>
      <c r="G323" s="51">
        <v>0.15</v>
      </c>
      <c r="H323" s="51">
        <v>0</v>
      </c>
      <c r="I323" s="49">
        <f t="shared" si="11"/>
        <v>19.05589743589735</v>
      </c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</row>
    <row r="324" spans="1:41" x14ac:dyDescent="0.35">
      <c r="A324" s="50"/>
      <c r="B324" s="50"/>
      <c r="C324" s="50"/>
      <c r="D324" s="50"/>
      <c r="E324" s="51"/>
      <c r="F324" s="51"/>
      <c r="G324" s="51"/>
      <c r="H324" s="51"/>
      <c r="I324" s="49" t="str">
        <f t="shared" si="11"/>
        <v/>
      </c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</row>
    <row r="325" spans="1:41" x14ac:dyDescent="0.35">
      <c r="A325" s="4"/>
      <c r="B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</row>
    <row r="326" spans="1:41" x14ac:dyDescent="0.35">
      <c r="A326" s="4"/>
      <c r="B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</row>
    <row r="327" spans="1:41" x14ac:dyDescent="0.35">
      <c r="A327" s="46" t="s">
        <v>325</v>
      </c>
      <c r="B327" s="52" t="str">
        <f>IF(B20="","",B20)</f>
        <v>Peuplier Koster</v>
      </c>
      <c r="D327" s="227" t="s">
        <v>307</v>
      </c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</row>
    <row r="328" spans="1:41" x14ac:dyDescent="0.35">
      <c r="A328" s="46"/>
      <c r="B328" s="96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</row>
    <row r="329" spans="1:41" x14ac:dyDescent="0.35">
      <c r="A329" s="4"/>
      <c r="B329" s="85" t="s">
        <v>185</v>
      </c>
      <c r="C329" s="265" t="s">
        <v>186</v>
      </c>
      <c r="D329" s="265"/>
      <c r="E329" s="266" t="s">
        <v>187</v>
      </c>
      <c r="F329" s="267"/>
      <c r="G329" s="267"/>
      <c r="H329" s="268"/>
      <c r="I329" s="95"/>
      <c r="J329" s="221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</row>
    <row r="330" spans="1:41" ht="43.5" x14ac:dyDescent="0.35">
      <c r="A330" s="36" t="s">
        <v>180</v>
      </c>
      <c r="B330" s="36" t="s">
        <v>189</v>
      </c>
      <c r="C330" s="48" t="s">
        <v>188</v>
      </c>
      <c r="D330" s="48" t="s">
        <v>251</v>
      </c>
      <c r="E330" s="36" t="s">
        <v>183</v>
      </c>
      <c r="F330" s="36" t="s">
        <v>181</v>
      </c>
      <c r="G330" s="36" t="s">
        <v>184</v>
      </c>
      <c r="H330" s="36" t="s">
        <v>182</v>
      </c>
      <c r="I330" s="48" t="s">
        <v>213</v>
      </c>
      <c r="J330" s="222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</row>
    <row r="331" spans="1:41" x14ac:dyDescent="0.35">
      <c r="A331" s="50">
        <v>2</v>
      </c>
      <c r="B331" s="60">
        <v>0.18435897435897397</v>
      </c>
      <c r="C331" s="60">
        <v>0</v>
      </c>
      <c r="D331" s="60">
        <v>0</v>
      </c>
      <c r="E331" s="51">
        <v>0</v>
      </c>
      <c r="F331" s="51">
        <v>0</v>
      </c>
      <c r="G331" s="51">
        <v>0</v>
      </c>
      <c r="H331" s="51">
        <v>0</v>
      </c>
      <c r="I331" s="53">
        <f>IFERROR(B331/A331,"")</f>
        <v>9.2179487179486985E-2</v>
      </c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</row>
    <row r="332" spans="1:41" x14ac:dyDescent="0.35">
      <c r="A332" s="50">
        <v>3</v>
      </c>
      <c r="B332" s="60">
        <v>2.31</v>
      </c>
      <c r="C332" s="60">
        <v>0</v>
      </c>
      <c r="D332" s="60">
        <v>0</v>
      </c>
      <c r="E332" s="51">
        <v>0</v>
      </c>
      <c r="F332" s="51">
        <v>0</v>
      </c>
      <c r="G332" s="51">
        <v>0</v>
      </c>
      <c r="H332" s="51">
        <v>0</v>
      </c>
      <c r="I332" s="49">
        <f>IF(A332&lt;&gt;0,(B332-(B331-D331))/(A332-A331),"")</f>
        <v>2.1256410256410261</v>
      </c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</row>
    <row r="333" spans="1:41" x14ac:dyDescent="0.35">
      <c r="A333" s="50">
        <v>4</v>
      </c>
      <c r="B333" s="60">
        <v>6.6838461538461518</v>
      </c>
      <c r="C333" s="60">
        <v>0</v>
      </c>
      <c r="D333" s="60">
        <v>0</v>
      </c>
      <c r="E333" s="51">
        <v>0</v>
      </c>
      <c r="F333" s="51">
        <v>0</v>
      </c>
      <c r="G333" s="51">
        <v>0</v>
      </c>
      <c r="H333" s="51">
        <v>0</v>
      </c>
      <c r="I333" s="49">
        <f>IF(A333&lt;&gt;0,(B333-(B332-D332))/(A333-A332),"")</f>
        <v>4.3738461538461522</v>
      </c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</row>
    <row r="334" spans="1:41" x14ac:dyDescent="0.35">
      <c r="A334" s="50">
        <v>5</v>
      </c>
      <c r="B334" s="60">
        <v>13.14935897435897</v>
      </c>
      <c r="C334" s="60">
        <v>0</v>
      </c>
      <c r="D334" s="60">
        <v>0</v>
      </c>
      <c r="E334" s="51">
        <v>0</v>
      </c>
      <c r="F334" s="51">
        <v>0</v>
      </c>
      <c r="G334" s="51">
        <v>0</v>
      </c>
      <c r="H334" s="51">
        <v>0</v>
      </c>
      <c r="I334" s="49">
        <f>IF(A334&lt;&gt;0,(B334-(B333-D333))/(A334-A333),"")</f>
        <v>6.4655128205128181</v>
      </c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</row>
    <row r="335" spans="1:41" x14ac:dyDescent="0.35">
      <c r="A335" s="50">
        <v>6</v>
      </c>
      <c r="B335" s="60">
        <v>21.549999999999997</v>
      </c>
      <c r="C335" s="60">
        <v>0</v>
      </c>
      <c r="D335" s="60">
        <v>0</v>
      </c>
      <c r="E335" s="51">
        <v>0</v>
      </c>
      <c r="F335" s="51">
        <v>0</v>
      </c>
      <c r="G335" s="51">
        <v>0</v>
      </c>
      <c r="H335" s="51">
        <v>0</v>
      </c>
      <c r="I335" s="49">
        <f t="shared" ref="I335:I350" si="12">IF(A335&lt;&gt;0,(B335-(B334-D334))/(A335-A334),"")</f>
        <v>8.4006410256410273</v>
      </c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</row>
    <row r="336" spans="1:41" x14ac:dyDescent="0.35">
      <c r="A336" s="50">
        <v>7</v>
      </c>
      <c r="B336" s="60">
        <v>31.729230769230764</v>
      </c>
      <c r="C336" s="60">
        <v>0</v>
      </c>
      <c r="D336" s="60">
        <v>0</v>
      </c>
      <c r="E336" s="51">
        <v>0</v>
      </c>
      <c r="F336" s="51">
        <v>0</v>
      </c>
      <c r="G336" s="51">
        <v>0</v>
      </c>
      <c r="H336" s="51">
        <v>0</v>
      </c>
      <c r="I336" s="49">
        <f t="shared" si="12"/>
        <v>10.179230769230767</v>
      </c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</row>
    <row r="337" spans="1:41" x14ac:dyDescent="0.35">
      <c r="A337" s="50">
        <v>8</v>
      </c>
      <c r="B337" s="60">
        <v>43.530512820512811</v>
      </c>
      <c r="C337" s="60">
        <v>0</v>
      </c>
      <c r="D337" s="60">
        <v>0</v>
      </c>
      <c r="E337" s="51">
        <v>0</v>
      </c>
      <c r="F337" s="51">
        <v>0</v>
      </c>
      <c r="G337" s="51">
        <v>0</v>
      </c>
      <c r="H337" s="51">
        <v>0</v>
      </c>
      <c r="I337" s="49">
        <f t="shared" si="12"/>
        <v>11.801282051282048</v>
      </c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</row>
    <row r="338" spans="1:41" x14ac:dyDescent="0.35">
      <c r="A338" s="50">
        <v>9</v>
      </c>
      <c r="B338" s="50">
        <v>56.797307692307676</v>
      </c>
      <c r="C338" s="50">
        <v>0</v>
      </c>
      <c r="D338" s="50">
        <v>0</v>
      </c>
      <c r="E338" s="51">
        <v>0</v>
      </c>
      <c r="F338" s="51">
        <v>0</v>
      </c>
      <c r="G338" s="51">
        <v>0</v>
      </c>
      <c r="H338" s="51">
        <v>0</v>
      </c>
      <c r="I338" s="49">
        <f t="shared" si="12"/>
        <v>13.266794871794865</v>
      </c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</row>
    <row r="339" spans="1:41" x14ac:dyDescent="0.35">
      <c r="A339" s="50">
        <v>10</v>
      </c>
      <c r="B339" s="50">
        <v>71.373076923076894</v>
      </c>
      <c r="C339" s="50">
        <v>0</v>
      </c>
      <c r="D339" s="50">
        <v>0</v>
      </c>
      <c r="E339" s="51">
        <v>0</v>
      </c>
      <c r="F339" s="51">
        <v>0</v>
      </c>
      <c r="G339" s="51">
        <v>0</v>
      </c>
      <c r="H339" s="51">
        <v>0</v>
      </c>
      <c r="I339" s="49">
        <f t="shared" si="12"/>
        <v>14.575769230769218</v>
      </c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</row>
    <row r="340" spans="1:41" x14ac:dyDescent="0.35">
      <c r="A340" s="50">
        <v>11</v>
      </c>
      <c r="B340" s="50">
        <v>87.101282051282055</v>
      </c>
      <c r="C340" s="50">
        <v>0</v>
      </c>
      <c r="D340" s="50">
        <v>0</v>
      </c>
      <c r="E340" s="51">
        <v>0</v>
      </c>
      <c r="F340" s="51">
        <v>0</v>
      </c>
      <c r="G340" s="51">
        <v>0</v>
      </c>
      <c r="H340" s="51">
        <v>0</v>
      </c>
      <c r="I340" s="49">
        <f t="shared" si="12"/>
        <v>15.728205128205161</v>
      </c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</row>
    <row r="341" spans="1:41" x14ac:dyDescent="0.35">
      <c r="A341" s="50">
        <v>12</v>
      </c>
      <c r="B341" s="50">
        <v>103.82538461538462</v>
      </c>
      <c r="C341" s="50">
        <v>0</v>
      </c>
      <c r="D341" s="50">
        <v>0</v>
      </c>
      <c r="E341" s="51">
        <v>0</v>
      </c>
      <c r="F341" s="51">
        <v>0</v>
      </c>
      <c r="G341" s="51">
        <v>0</v>
      </c>
      <c r="H341" s="51">
        <v>0</v>
      </c>
      <c r="I341" s="49">
        <f t="shared" si="12"/>
        <v>16.724102564102566</v>
      </c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</row>
    <row r="342" spans="1:41" x14ac:dyDescent="0.35">
      <c r="A342" s="50">
        <v>13</v>
      </c>
      <c r="B342" s="50">
        <v>121.38884615384613</v>
      </c>
      <c r="C342" s="50">
        <v>0</v>
      </c>
      <c r="D342" s="50">
        <v>0</v>
      </c>
      <c r="E342" s="51">
        <v>0</v>
      </c>
      <c r="F342" s="51">
        <v>0</v>
      </c>
      <c r="G342" s="51">
        <v>0</v>
      </c>
      <c r="H342" s="51">
        <v>0</v>
      </c>
      <c r="I342" s="49">
        <f t="shared" si="12"/>
        <v>17.56346153846151</v>
      </c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</row>
    <row r="343" spans="1:41" x14ac:dyDescent="0.35">
      <c r="A343" s="50">
        <v>14</v>
      </c>
      <c r="B343" s="50">
        <v>139.63512820512813</v>
      </c>
      <c r="C343" s="50">
        <v>0</v>
      </c>
      <c r="D343" s="50">
        <v>0</v>
      </c>
      <c r="E343" s="51">
        <v>0</v>
      </c>
      <c r="F343" s="51">
        <v>0</v>
      </c>
      <c r="G343" s="51">
        <v>0</v>
      </c>
      <c r="H343" s="51">
        <v>0</v>
      </c>
      <c r="I343" s="49">
        <f t="shared" si="12"/>
        <v>18.246282051281995</v>
      </c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</row>
    <row r="344" spans="1:41" x14ac:dyDescent="0.35">
      <c r="A344" s="50">
        <v>15</v>
      </c>
      <c r="B344" s="50">
        <v>158.40769230769226</v>
      </c>
      <c r="C344" s="50">
        <v>0</v>
      </c>
      <c r="D344" s="50">
        <v>0</v>
      </c>
      <c r="E344" s="51">
        <v>0</v>
      </c>
      <c r="F344" s="51">
        <v>0</v>
      </c>
      <c r="G344" s="51">
        <v>0</v>
      </c>
      <c r="H344" s="51">
        <v>0</v>
      </c>
      <c r="I344" s="49">
        <f t="shared" si="12"/>
        <v>18.772564102564132</v>
      </c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</row>
    <row r="345" spans="1:41" x14ac:dyDescent="0.35">
      <c r="A345" s="50">
        <v>16</v>
      </c>
      <c r="B345" s="50">
        <v>177.54999999999995</v>
      </c>
      <c r="C345" s="50">
        <v>0</v>
      </c>
      <c r="D345" s="50">
        <v>0</v>
      </c>
      <c r="E345" s="51">
        <v>0</v>
      </c>
      <c r="F345" s="51">
        <v>0</v>
      </c>
      <c r="G345" s="51">
        <v>0</v>
      </c>
      <c r="H345" s="51">
        <v>0</v>
      </c>
      <c r="I345" s="49">
        <f t="shared" si="12"/>
        <v>19.142307692307696</v>
      </c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</row>
    <row r="346" spans="1:41" x14ac:dyDescent="0.35">
      <c r="A346" s="50">
        <v>17</v>
      </c>
      <c r="B346" s="50">
        <v>196.90551282051274</v>
      </c>
      <c r="C346" s="50">
        <v>0</v>
      </c>
      <c r="D346" s="50">
        <v>0</v>
      </c>
      <c r="E346" s="51">
        <v>0</v>
      </c>
      <c r="F346" s="51">
        <v>0</v>
      </c>
      <c r="G346" s="51">
        <v>0</v>
      </c>
      <c r="H346" s="51">
        <v>0</v>
      </c>
      <c r="I346" s="49">
        <f t="shared" si="12"/>
        <v>19.355512820512786</v>
      </c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</row>
    <row r="347" spans="1:41" x14ac:dyDescent="0.35">
      <c r="A347" s="50">
        <v>18</v>
      </c>
      <c r="B347" s="50">
        <v>216.31769230769225</v>
      </c>
      <c r="C347" s="50">
        <v>0</v>
      </c>
      <c r="D347" s="50">
        <v>0</v>
      </c>
      <c r="E347" s="51">
        <v>0</v>
      </c>
      <c r="F347" s="51">
        <v>0</v>
      </c>
      <c r="G347" s="51">
        <v>0</v>
      </c>
      <c r="H347" s="51">
        <v>0</v>
      </c>
      <c r="I347" s="49">
        <f t="shared" si="12"/>
        <v>19.412179487179515</v>
      </c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</row>
    <row r="348" spans="1:41" x14ac:dyDescent="0.35">
      <c r="A348" s="50">
        <v>19</v>
      </c>
      <c r="B348" s="50">
        <v>235.63</v>
      </c>
      <c r="C348" s="50">
        <v>0</v>
      </c>
      <c r="D348" s="50">
        <v>0</v>
      </c>
      <c r="E348" s="51">
        <v>0</v>
      </c>
      <c r="F348" s="51">
        <v>0</v>
      </c>
      <c r="G348" s="51">
        <v>0</v>
      </c>
      <c r="H348" s="51">
        <v>0</v>
      </c>
      <c r="I348" s="49">
        <f t="shared" si="12"/>
        <v>19.312307692307741</v>
      </c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</row>
    <row r="349" spans="1:41" x14ac:dyDescent="0.35">
      <c r="A349" s="50">
        <v>20</v>
      </c>
      <c r="B349" s="50">
        <v>254.68589743589735</v>
      </c>
      <c r="C349" s="50" t="s">
        <v>352</v>
      </c>
      <c r="D349" s="50">
        <v>254.68589743589735</v>
      </c>
      <c r="E349" s="51">
        <v>0.7</v>
      </c>
      <c r="F349" s="51">
        <v>0.15</v>
      </c>
      <c r="G349" s="51">
        <v>0.15</v>
      </c>
      <c r="H349" s="51">
        <v>0</v>
      </c>
      <c r="I349" s="49">
        <f t="shared" si="12"/>
        <v>19.05589743589735</v>
      </c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</row>
    <row r="350" spans="1:41" x14ac:dyDescent="0.35">
      <c r="A350" s="50"/>
      <c r="B350" s="50"/>
      <c r="C350" s="50"/>
      <c r="D350" s="50"/>
      <c r="E350" s="51"/>
      <c r="F350" s="51"/>
      <c r="G350" s="51"/>
      <c r="H350" s="51"/>
      <c r="I350" s="49" t="str">
        <f t="shared" si="12"/>
        <v/>
      </c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</row>
    <row r="351" spans="1:41" x14ac:dyDescent="0.35">
      <c r="A351" s="4"/>
      <c r="B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</row>
    <row r="352" spans="1:41" x14ac:dyDescent="0.35">
      <c r="A352" s="4"/>
      <c r="B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</row>
    <row r="353" spans="1:41" x14ac:dyDescent="0.35">
      <c r="A353" s="46" t="s">
        <v>326</v>
      </c>
      <c r="B353" s="52" t="str">
        <f>IF(B21="","",B21)</f>
        <v>Orme</v>
      </c>
      <c r="D353" s="227" t="s">
        <v>307</v>
      </c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</row>
    <row r="354" spans="1:41" x14ac:dyDescent="0.35">
      <c r="A354" s="46"/>
      <c r="B354" s="96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</row>
    <row r="355" spans="1:41" x14ac:dyDescent="0.35">
      <c r="A355" s="4"/>
      <c r="B355" s="85" t="s">
        <v>185</v>
      </c>
      <c r="C355" s="265" t="s">
        <v>186</v>
      </c>
      <c r="D355" s="265"/>
      <c r="E355" s="266" t="s">
        <v>187</v>
      </c>
      <c r="F355" s="267"/>
      <c r="G355" s="267"/>
      <c r="H355" s="268"/>
      <c r="I355" s="95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</row>
    <row r="356" spans="1:41" ht="43.5" x14ac:dyDescent="0.35">
      <c r="A356" s="36" t="s">
        <v>180</v>
      </c>
      <c r="B356" s="36" t="s">
        <v>189</v>
      </c>
      <c r="C356" s="48" t="s">
        <v>188</v>
      </c>
      <c r="D356" s="48" t="s">
        <v>251</v>
      </c>
      <c r="E356" s="36" t="s">
        <v>183</v>
      </c>
      <c r="F356" s="36" t="s">
        <v>181</v>
      </c>
      <c r="G356" s="36" t="s">
        <v>184</v>
      </c>
      <c r="H356" s="36" t="s">
        <v>182</v>
      </c>
      <c r="I356" s="48" t="s">
        <v>213</v>
      </c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</row>
    <row r="357" spans="1:41" x14ac:dyDescent="0.35">
      <c r="A357" s="50">
        <v>25</v>
      </c>
      <c r="B357" s="60">
        <v>76</v>
      </c>
      <c r="C357" s="60">
        <v>1</v>
      </c>
      <c r="D357" s="60">
        <v>7</v>
      </c>
      <c r="E357" s="51">
        <v>0</v>
      </c>
      <c r="F357" s="51">
        <v>0</v>
      </c>
      <c r="G357" s="51">
        <v>0</v>
      </c>
      <c r="H357" s="51">
        <v>0</v>
      </c>
      <c r="I357" s="53">
        <f>IFERROR(B357/A357,"")</f>
        <v>3.04</v>
      </c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</row>
    <row r="358" spans="1:41" x14ac:dyDescent="0.35">
      <c r="A358" s="50">
        <v>30</v>
      </c>
      <c r="B358" s="60">
        <v>116</v>
      </c>
      <c r="C358" s="60">
        <v>2</v>
      </c>
      <c r="D358" s="60">
        <v>28</v>
      </c>
      <c r="E358" s="51">
        <v>0</v>
      </c>
      <c r="F358" s="51">
        <v>0</v>
      </c>
      <c r="G358" s="51">
        <v>0.3</v>
      </c>
      <c r="H358" s="51">
        <v>0.7</v>
      </c>
      <c r="I358" s="53">
        <f t="shared" ref="I358:I376" si="13">IF(A358&lt;&gt;0,(B358-(B357-D357))/(A358-A357),"")</f>
        <v>9.4</v>
      </c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</row>
    <row r="359" spans="1:41" x14ac:dyDescent="0.35">
      <c r="A359" s="50">
        <v>35</v>
      </c>
      <c r="B359" s="60">
        <v>39</v>
      </c>
      <c r="C359" s="60">
        <v>3</v>
      </c>
      <c r="D359" s="60">
        <v>28</v>
      </c>
      <c r="E359" s="51">
        <v>0</v>
      </c>
      <c r="F359" s="51">
        <v>0.1</v>
      </c>
      <c r="G359" s="51">
        <v>0.3</v>
      </c>
      <c r="H359" s="51">
        <v>0.6</v>
      </c>
      <c r="I359" s="53">
        <f t="shared" si="13"/>
        <v>-9.8000000000000007</v>
      </c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</row>
    <row r="360" spans="1:41" x14ac:dyDescent="0.35">
      <c r="A360" s="50">
        <v>40</v>
      </c>
      <c r="B360" s="60">
        <v>163</v>
      </c>
      <c r="C360" s="60">
        <v>4</v>
      </c>
      <c r="D360" s="60">
        <v>28</v>
      </c>
      <c r="E360" s="51">
        <v>0</v>
      </c>
      <c r="F360" s="51">
        <v>0.1</v>
      </c>
      <c r="G360" s="51">
        <v>0.3</v>
      </c>
      <c r="H360" s="51">
        <v>0.6</v>
      </c>
      <c r="I360" s="53">
        <f t="shared" si="13"/>
        <v>30.4</v>
      </c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</row>
    <row r="361" spans="1:41" x14ac:dyDescent="0.35">
      <c r="A361" s="50">
        <v>45</v>
      </c>
      <c r="B361" s="60">
        <v>190</v>
      </c>
      <c r="C361" s="60">
        <v>5</v>
      </c>
      <c r="D361" s="60">
        <v>28</v>
      </c>
      <c r="E361" s="51">
        <v>0</v>
      </c>
      <c r="F361" s="51">
        <v>0.1</v>
      </c>
      <c r="G361" s="51">
        <v>0.3</v>
      </c>
      <c r="H361" s="51">
        <v>0.6</v>
      </c>
      <c r="I361" s="53">
        <f t="shared" si="13"/>
        <v>11</v>
      </c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</row>
    <row r="362" spans="1:41" x14ac:dyDescent="0.35">
      <c r="A362" s="50">
        <v>50</v>
      </c>
      <c r="B362" s="60">
        <v>217</v>
      </c>
      <c r="C362" s="60">
        <v>6</v>
      </c>
      <c r="D362" s="60">
        <v>28</v>
      </c>
      <c r="E362" s="87">
        <v>0</v>
      </c>
      <c r="F362" s="87">
        <v>0.1</v>
      </c>
      <c r="G362" s="87">
        <v>0.3</v>
      </c>
      <c r="H362" s="87">
        <v>0.6</v>
      </c>
      <c r="I362" s="53">
        <f t="shared" si="13"/>
        <v>11</v>
      </c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</row>
    <row r="363" spans="1:41" x14ac:dyDescent="0.35">
      <c r="A363" s="50">
        <v>55</v>
      </c>
      <c r="B363" s="60">
        <v>244</v>
      </c>
      <c r="C363" s="60">
        <v>7</v>
      </c>
      <c r="D363" s="60">
        <v>28</v>
      </c>
      <c r="E363" s="87">
        <v>0</v>
      </c>
      <c r="F363" s="87">
        <v>0.3</v>
      </c>
      <c r="G363" s="87">
        <v>0.3</v>
      </c>
      <c r="H363" s="87">
        <v>0.4</v>
      </c>
      <c r="I363" s="53">
        <f t="shared" si="13"/>
        <v>11</v>
      </c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</row>
    <row r="364" spans="1:41" x14ac:dyDescent="0.35">
      <c r="A364" s="60">
        <v>60</v>
      </c>
      <c r="B364" s="60">
        <v>270</v>
      </c>
      <c r="C364" s="60">
        <v>8</v>
      </c>
      <c r="D364" s="60">
        <v>28</v>
      </c>
      <c r="E364" s="87">
        <v>0</v>
      </c>
      <c r="F364" s="87">
        <v>0.3</v>
      </c>
      <c r="G364" s="87">
        <v>0.3</v>
      </c>
      <c r="H364" s="87">
        <v>0.4</v>
      </c>
      <c r="I364" s="53">
        <f t="shared" si="13"/>
        <v>10.8</v>
      </c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</row>
    <row r="365" spans="1:41" x14ac:dyDescent="0.35">
      <c r="A365" s="60">
        <v>65</v>
      </c>
      <c r="B365" s="60">
        <v>294</v>
      </c>
      <c r="C365" s="60">
        <v>9</v>
      </c>
      <c r="D365" s="60">
        <v>28</v>
      </c>
      <c r="E365" s="87">
        <v>0</v>
      </c>
      <c r="F365" s="87">
        <v>0.3</v>
      </c>
      <c r="G365" s="87">
        <v>0.3</v>
      </c>
      <c r="H365" s="87">
        <v>0.4</v>
      </c>
      <c r="I365" s="53">
        <f t="shared" si="13"/>
        <v>10.4</v>
      </c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</row>
    <row r="366" spans="1:41" x14ac:dyDescent="0.35">
      <c r="A366" s="60">
        <v>70</v>
      </c>
      <c r="B366" s="60">
        <v>316</v>
      </c>
      <c r="C366" s="60">
        <v>10</v>
      </c>
      <c r="D366" s="60">
        <v>28</v>
      </c>
      <c r="E366" s="87">
        <v>0</v>
      </c>
      <c r="F366" s="87">
        <v>0.3</v>
      </c>
      <c r="G366" s="87">
        <v>0.3</v>
      </c>
      <c r="H366" s="87">
        <v>0.4</v>
      </c>
      <c r="I366" s="53">
        <f t="shared" si="13"/>
        <v>10</v>
      </c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</row>
    <row r="367" spans="1:41" x14ac:dyDescent="0.35">
      <c r="A367" s="60">
        <v>75</v>
      </c>
      <c r="B367" s="60">
        <v>335</v>
      </c>
      <c r="C367" s="60">
        <v>11</v>
      </c>
      <c r="D367" s="60">
        <v>28</v>
      </c>
      <c r="E367" s="87">
        <v>0.1</v>
      </c>
      <c r="F367" s="87">
        <v>0.4</v>
      </c>
      <c r="G367" s="87">
        <v>0.3</v>
      </c>
      <c r="H367" s="87">
        <v>0.2</v>
      </c>
      <c r="I367" s="53">
        <f t="shared" si="13"/>
        <v>9.4</v>
      </c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</row>
    <row r="368" spans="1:41" x14ac:dyDescent="0.35">
      <c r="A368" s="60">
        <v>80</v>
      </c>
      <c r="B368" s="60">
        <v>351</v>
      </c>
      <c r="C368" s="60">
        <v>12</v>
      </c>
      <c r="D368" s="60">
        <v>28</v>
      </c>
      <c r="E368" s="87">
        <v>0.1</v>
      </c>
      <c r="F368" s="87">
        <v>0.4</v>
      </c>
      <c r="G368" s="87">
        <v>0.3</v>
      </c>
      <c r="H368" s="87">
        <v>0.2</v>
      </c>
      <c r="I368" s="53">
        <f t="shared" si="13"/>
        <v>8.8000000000000007</v>
      </c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</row>
    <row r="369" spans="1:41" x14ac:dyDescent="0.35">
      <c r="A369" s="60">
        <v>90</v>
      </c>
      <c r="B369" s="60">
        <v>377</v>
      </c>
      <c r="C369" s="60">
        <v>13</v>
      </c>
      <c r="D369" s="60">
        <v>26</v>
      </c>
      <c r="E369" s="65">
        <v>0.1</v>
      </c>
      <c r="F369" s="65">
        <v>0.4</v>
      </c>
      <c r="G369" s="65">
        <v>0.3</v>
      </c>
      <c r="H369" s="65">
        <v>0.2</v>
      </c>
      <c r="I369" s="53">
        <f t="shared" si="13"/>
        <v>5.4</v>
      </c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</row>
    <row r="370" spans="1:41" x14ac:dyDescent="0.35">
      <c r="A370" s="60">
        <v>100</v>
      </c>
      <c r="B370" s="60">
        <v>400</v>
      </c>
      <c r="C370" s="60">
        <v>14</v>
      </c>
      <c r="D370" s="60">
        <v>24</v>
      </c>
      <c r="E370" s="65">
        <v>0.2</v>
      </c>
      <c r="F370" s="65">
        <v>0.5</v>
      </c>
      <c r="G370" s="65">
        <v>0.2</v>
      </c>
      <c r="H370" s="65">
        <v>0.1</v>
      </c>
      <c r="I370" s="53">
        <f t="shared" si="13"/>
        <v>4.9000000000000004</v>
      </c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</row>
    <row r="371" spans="1:41" x14ac:dyDescent="0.35">
      <c r="A371" s="60">
        <v>110</v>
      </c>
      <c r="B371" s="50">
        <v>418</v>
      </c>
      <c r="C371" s="60">
        <v>15</v>
      </c>
      <c r="D371" s="50">
        <v>22</v>
      </c>
      <c r="E371" s="54">
        <v>0.2</v>
      </c>
      <c r="F371" s="54">
        <v>0.5</v>
      </c>
      <c r="G371" s="54">
        <v>0.2</v>
      </c>
      <c r="H371" s="54">
        <v>0.1</v>
      </c>
      <c r="I371" s="53">
        <f t="shared" si="13"/>
        <v>4.2</v>
      </c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</row>
    <row r="372" spans="1:41" x14ac:dyDescent="0.35">
      <c r="A372" s="60">
        <v>130</v>
      </c>
      <c r="B372" s="50">
        <v>440</v>
      </c>
      <c r="C372" s="60">
        <v>16</v>
      </c>
      <c r="D372" s="50">
        <v>20</v>
      </c>
      <c r="E372" s="54">
        <v>0.4</v>
      </c>
      <c r="F372" s="54">
        <v>0.4</v>
      </c>
      <c r="G372" s="54">
        <v>0.1</v>
      </c>
      <c r="H372" s="54">
        <v>0.1</v>
      </c>
      <c r="I372" s="53">
        <f t="shared" si="13"/>
        <v>2.2000000000000002</v>
      </c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</row>
    <row r="373" spans="1:41" x14ac:dyDescent="0.35">
      <c r="A373" s="60">
        <v>150</v>
      </c>
      <c r="B373" s="50">
        <v>448</v>
      </c>
      <c r="C373" s="60">
        <v>16</v>
      </c>
      <c r="D373" s="50">
        <v>448</v>
      </c>
      <c r="E373" s="54">
        <v>0.4</v>
      </c>
      <c r="F373" s="54">
        <v>0.4</v>
      </c>
      <c r="G373" s="54">
        <v>0.1</v>
      </c>
      <c r="H373" s="54">
        <v>0.1</v>
      </c>
      <c r="I373" s="53">
        <f t="shared" si="13"/>
        <v>1.4</v>
      </c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</row>
    <row r="374" spans="1:41" x14ac:dyDescent="0.35">
      <c r="A374" s="50"/>
      <c r="B374" s="50"/>
      <c r="C374" s="50"/>
      <c r="D374" s="50"/>
      <c r="E374" s="54"/>
      <c r="F374" s="54"/>
      <c r="G374" s="54"/>
      <c r="H374" s="54"/>
      <c r="I374" s="53" t="str">
        <f t="shared" si="13"/>
        <v/>
      </c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</row>
    <row r="375" spans="1:41" x14ac:dyDescent="0.35">
      <c r="A375" s="50"/>
      <c r="B375" s="50"/>
      <c r="C375" s="50"/>
      <c r="D375" s="50"/>
      <c r="E375" s="54"/>
      <c r="F375" s="54"/>
      <c r="G375" s="54"/>
      <c r="H375" s="54"/>
      <c r="I375" s="53" t="str">
        <f t="shared" si="13"/>
        <v/>
      </c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</row>
    <row r="376" spans="1:41" x14ac:dyDescent="0.35">
      <c r="A376" s="50"/>
      <c r="B376" s="50"/>
      <c r="C376" s="50"/>
      <c r="D376" s="50"/>
      <c r="E376" s="54"/>
      <c r="F376" s="54"/>
      <c r="G376" s="54"/>
      <c r="H376" s="54"/>
      <c r="I376" s="53" t="str">
        <f t="shared" si="13"/>
        <v/>
      </c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</row>
    <row r="377" spans="1:41" x14ac:dyDescent="0.35">
      <c r="A377" s="4"/>
      <c r="B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</row>
    <row r="378" spans="1:41" x14ac:dyDescent="0.35">
      <c r="A378" s="4"/>
      <c r="B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</row>
    <row r="379" spans="1:41" x14ac:dyDescent="0.35">
      <c r="A379" s="46" t="s">
        <v>327</v>
      </c>
      <c r="B379" s="52" t="str">
        <f>IF(B22="","",B22)</f>
        <v>Tilleul</v>
      </c>
      <c r="D379" s="227" t="s">
        <v>307</v>
      </c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</row>
    <row r="380" spans="1:41" x14ac:dyDescent="0.35">
      <c r="A380" s="46"/>
      <c r="B380" s="96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</row>
    <row r="381" spans="1:41" x14ac:dyDescent="0.35">
      <c r="A381" s="4"/>
      <c r="B381" s="85" t="s">
        <v>185</v>
      </c>
      <c r="C381" s="265" t="s">
        <v>186</v>
      </c>
      <c r="D381" s="265"/>
      <c r="E381" s="266" t="s">
        <v>187</v>
      </c>
      <c r="F381" s="267"/>
      <c r="G381" s="267"/>
      <c r="H381" s="268"/>
      <c r="I381" s="95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</row>
    <row r="382" spans="1:41" ht="43.5" x14ac:dyDescent="0.35">
      <c r="A382" s="36" t="s">
        <v>180</v>
      </c>
      <c r="B382" s="36" t="s">
        <v>189</v>
      </c>
      <c r="C382" s="48" t="s">
        <v>188</v>
      </c>
      <c r="D382" s="48" t="s">
        <v>251</v>
      </c>
      <c r="E382" s="36" t="s">
        <v>183</v>
      </c>
      <c r="F382" s="36" t="s">
        <v>181</v>
      </c>
      <c r="G382" s="36" t="s">
        <v>184</v>
      </c>
      <c r="H382" s="36" t="s">
        <v>182</v>
      </c>
      <c r="I382" s="48" t="s">
        <v>213</v>
      </c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</row>
    <row r="383" spans="1:41" x14ac:dyDescent="0.35">
      <c r="A383" s="50">
        <v>30</v>
      </c>
      <c r="B383" s="60">
        <v>121.88461538461537</v>
      </c>
      <c r="C383" s="50" t="s">
        <v>334</v>
      </c>
      <c r="D383" s="60">
        <v>0</v>
      </c>
      <c r="E383" s="51">
        <v>0</v>
      </c>
      <c r="F383" s="51">
        <v>0</v>
      </c>
      <c r="G383" s="51">
        <v>0</v>
      </c>
      <c r="H383" s="51">
        <v>0</v>
      </c>
      <c r="I383" s="53">
        <f>IFERROR(B383/A383,"")</f>
        <v>4.0628205128205126</v>
      </c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</row>
    <row r="384" spans="1:41" x14ac:dyDescent="0.35">
      <c r="A384" s="50">
        <v>35</v>
      </c>
      <c r="B384" s="60">
        <v>162.16666666666669</v>
      </c>
      <c r="C384" s="50">
        <v>1</v>
      </c>
      <c r="D384" s="60">
        <v>60.602564102564102</v>
      </c>
      <c r="E384" s="51">
        <v>0</v>
      </c>
      <c r="F384" s="51">
        <v>0</v>
      </c>
      <c r="G384" s="51">
        <v>0</v>
      </c>
      <c r="H384" s="51">
        <v>1</v>
      </c>
      <c r="I384" s="53">
        <f t="shared" ref="I384:I402" si="14">IF(A384&lt;&gt;0,(B384-(B383-D383))/(A384-A383),"")</f>
        <v>8.0564102564102633</v>
      </c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</row>
    <row r="385" spans="1:41" x14ac:dyDescent="0.35">
      <c r="A385" s="50">
        <v>41</v>
      </c>
      <c r="B385" s="60">
        <v>157.44871794871796</v>
      </c>
      <c r="C385" s="50">
        <v>2</v>
      </c>
      <c r="D385" s="60">
        <v>38.512820512820511</v>
      </c>
      <c r="E385" s="51">
        <v>0</v>
      </c>
      <c r="F385" s="51">
        <v>0</v>
      </c>
      <c r="G385" s="51">
        <v>0</v>
      </c>
      <c r="H385" s="51">
        <v>1</v>
      </c>
      <c r="I385" s="53">
        <f t="shared" si="14"/>
        <v>9.3141025641025621</v>
      </c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</row>
    <row r="386" spans="1:41" x14ac:dyDescent="0.35">
      <c r="A386" s="50">
        <v>48</v>
      </c>
      <c r="B386" s="60">
        <v>184.35256410256409</v>
      </c>
      <c r="C386" s="50">
        <v>3</v>
      </c>
      <c r="D386" s="60">
        <v>48.025641025641022</v>
      </c>
      <c r="E386" s="51">
        <v>0</v>
      </c>
      <c r="F386" s="51">
        <v>0</v>
      </c>
      <c r="G386" s="51">
        <v>0</v>
      </c>
      <c r="H386" s="51">
        <v>1</v>
      </c>
      <c r="I386" s="53">
        <f t="shared" si="14"/>
        <v>9.3452380952380913</v>
      </c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</row>
    <row r="387" spans="1:41" x14ac:dyDescent="0.35">
      <c r="A387" s="50">
        <v>55</v>
      </c>
      <c r="B387" s="60">
        <v>198.44230769230768</v>
      </c>
      <c r="C387" s="50">
        <v>4</v>
      </c>
      <c r="D387" s="60">
        <v>45.147435897435898</v>
      </c>
      <c r="E387" s="51">
        <v>0</v>
      </c>
      <c r="F387" s="51">
        <v>0</v>
      </c>
      <c r="G387" s="51">
        <v>0</v>
      </c>
      <c r="H387" s="51">
        <v>1</v>
      </c>
      <c r="I387" s="53">
        <f t="shared" si="14"/>
        <v>8.8736263736263741</v>
      </c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</row>
    <row r="388" spans="1:41" x14ac:dyDescent="0.35">
      <c r="A388" s="50">
        <v>63</v>
      </c>
      <c r="B388" s="60">
        <v>220.28846153846152</v>
      </c>
      <c r="C388" s="50">
        <v>5</v>
      </c>
      <c r="D388" s="60">
        <v>41.724358974358978</v>
      </c>
      <c r="E388" s="51">
        <v>0.7</v>
      </c>
      <c r="F388" s="51">
        <v>0</v>
      </c>
      <c r="G388" s="51">
        <v>0</v>
      </c>
      <c r="H388" s="51">
        <v>0.3</v>
      </c>
      <c r="I388" s="53">
        <f t="shared" si="14"/>
        <v>8.374198717948719</v>
      </c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</row>
    <row r="389" spans="1:41" x14ac:dyDescent="0.35">
      <c r="A389" s="60">
        <v>71</v>
      </c>
      <c r="B389" s="60">
        <v>243.36538461538464</v>
      </c>
      <c r="C389" s="60">
        <v>6</v>
      </c>
      <c r="D389" s="60">
        <v>39.935897435897431</v>
      </c>
      <c r="E389" s="87">
        <v>0.7</v>
      </c>
      <c r="F389" s="87">
        <v>0</v>
      </c>
      <c r="G389" s="87">
        <v>0</v>
      </c>
      <c r="H389" s="87">
        <v>0.3</v>
      </c>
      <c r="I389" s="53">
        <f t="shared" si="14"/>
        <v>8.1001602564102626</v>
      </c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</row>
    <row r="390" spans="1:41" x14ac:dyDescent="0.35">
      <c r="A390" s="60">
        <v>80</v>
      </c>
      <c r="B390" s="60">
        <v>274.01282051282055</v>
      </c>
      <c r="C390" s="60">
        <v>7</v>
      </c>
      <c r="D390" s="60">
        <v>45.608974358974358</v>
      </c>
      <c r="E390" s="87">
        <v>0.7</v>
      </c>
      <c r="F390" s="87">
        <v>0</v>
      </c>
      <c r="G390" s="87">
        <v>0</v>
      </c>
      <c r="H390" s="87">
        <v>0.3</v>
      </c>
      <c r="I390" s="53">
        <f t="shared" si="14"/>
        <v>7.8425925925925934</v>
      </c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</row>
    <row r="391" spans="1:41" x14ac:dyDescent="0.35">
      <c r="A391" s="60">
        <v>89</v>
      </c>
      <c r="B391" s="60">
        <v>295.85897435897436</v>
      </c>
      <c r="C391" s="60">
        <v>8</v>
      </c>
      <c r="D391" s="60">
        <v>49.391025641025635</v>
      </c>
      <c r="E391" s="87">
        <v>0.7</v>
      </c>
      <c r="F391" s="87">
        <v>0</v>
      </c>
      <c r="G391" s="87">
        <v>0</v>
      </c>
      <c r="H391" s="87">
        <v>0.3</v>
      </c>
      <c r="I391" s="53">
        <f t="shared" si="14"/>
        <v>7.4950142450142421</v>
      </c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</row>
    <row r="392" spans="1:41" x14ac:dyDescent="0.35">
      <c r="A392" s="60">
        <v>99</v>
      </c>
      <c r="B392" s="60">
        <v>318.25</v>
      </c>
      <c r="C392" s="60">
        <v>9</v>
      </c>
      <c r="D392" s="60">
        <v>48.019230769230766</v>
      </c>
      <c r="E392" s="87">
        <v>0.7</v>
      </c>
      <c r="F392" s="87">
        <v>0</v>
      </c>
      <c r="G392" s="87">
        <v>0</v>
      </c>
      <c r="H392" s="87">
        <v>0.3</v>
      </c>
      <c r="I392" s="53">
        <f t="shared" si="14"/>
        <v>7.1782051282051267</v>
      </c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</row>
    <row r="393" spans="1:41" x14ac:dyDescent="0.35">
      <c r="A393" s="60">
        <v>109</v>
      </c>
      <c r="B393" s="60">
        <v>340.16666666666663</v>
      </c>
      <c r="C393" s="60">
        <v>10</v>
      </c>
      <c r="D393" s="60">
        <v>51.28846153846154</v>
      </c>
      <c r="E393" s="87">
        <v>0.9</v>
      </c>
      <c r="F393" s="87">
        <v>0</v>
      </c>
      <c r="G393" s="87">
        <v>0</v>
      </c>
      <c r="H393" s="87">
        <v>0.1</v>
      </c>
      <c r="I393" s="53">
        <f t="shared" si="14"/>
        <v>6.9935897435897401</v>
      </c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</row>
    <row r="394" spans="1:41" x14ac:dyDescent="0.35">
      <c r="A394" s="60">
        <v>119</v>
      </c>
      <c r="B394" s="60">
        <v>357.33974358974359</v>
      </c>
      <c r="C394" s="60">
        <v>11</v>
      </c>
      <c r="D394" s="60">
        <v>150.02564102564102</v>
      </c>
      <c r="E394" s="87">
        <v>0.9</v>
      </c>
      <c r="F394" s="87">
        <v>0</v>
      </c>
      <c r="G394" s="87">
        <v>0</v>
      </c>
      <c r="H394" s="87">
        <v>0.1</v>
      </c>
      <c r="I394" s="53">
        <f t="shared" si="14"/>
        <v>6.8461538461538511</v>
      </c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</row>
    <row r="395" spans="1:41" x14ac:dyDescent="0.35">
      <c r="A395" s="60">
        <v>123</v>
      </c>
      <c r="B395" s="60">
        <v>222.63461538461539</v>
      </c>
      <c r="C395" s="60">
        <v>12</v>
      </c>
      <c r="D395" s="60">
        <v>77.17307692307692</v>
      </c>
      <c r="E395" s="65">
        <v>0.9</v>
      </c>
      <c r="F395" s="65">
        <v>0</v>
      </c>
      <c r="G395" s="65">
        <v>0</v>
      </c>
      <c r="H395" s="65">
        <v>0.1</v>
      </c>
      <c r="I395" s="53">
        <f t="shared" si="14"/>
        <v>3.8301282051282044</v>
      </c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</row>
    <row r="396" spans="1:41" x14ac:dyDescent="0.35">
      <c r="A396" s="60">
        <v>127</v>
      </c>
      <c r="B396" s="60">
        <v>154.80128205128204</v>
      </c>
      <c r="C396" s="60">
        <v>13</v>
      </c>
      <c r="D396" s="60">
        <v>49.916666666666671</v>
      </c>
      <c r="E396" s="65">
        <v>0.9</v>
      </c>
      <c r="F396" s="65">
        <v>0</v>
      </c>
      <c r="G396" s="65">
        <v>0</v>
      </c>
      <c r="H396" s="65">
        <v>0.1</v>
      </c>
      <c r="I396" s="53">
        <f t="shared" si="14"/>
        <v>2.3349358974358978</v>
      </c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</row>
    <row r="397" spans="1:41" x14ac:dyDescent="0.35">
      <c r="A397" s="50">
        <v>131</v>
      </c>
      <c r="B397" s="50">
        <v>110.91025641025641</v>
      </c>
      <c r="C397" s="50">
        <v>14</v>
      </c>
      <c r="D397" s="50">
        <v>110.91025641025641</v>
      </c>
      <c r="E397" s="54">
        <v>0.9</v>
      </c>
      <c r="F397" s="54">
        <v>0</v>
      </c>
      <c r="G397" s="54">
        <v>0</v>
      </c>
      <c r="H397" s="54">
        <v>0.1</v>
      </c>
      <c r="I397" s="53">
        <f t="shared" si="14"/>
        <v>1.5064102564102591</v>
      </c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</row>
    <row r="398" spans="1:41" x14ac:dyDescent="0.35">
      <c r="A398" s="50"/>
      <c r="B398" s="50"/>
      <c r="C398" s="50"/>
      <c r="D398" s="50"/>
      <c r="E398" s="54"/>
      <c r="F398" s="54"/>
      <c r="G398" s="54"/>
      <c r="H398" s="54"/>
      <c r="I398" s="53" t="str">
        <f t="shared" si="14"/>
        <v/>
      </c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</row>
    <row r="399" spans="1:41" x14ac:dyDescent="0.35">
      <c r="A399" s="50"/>
      <c r="B399" s="50"/>
      <c r="C399" s="50"/>
      <c r="D399" s="50"/>
      <c r="E399" s="54"/>
      <c r="F399" s="54"/>
      <c r="G399" s="54"/>
      <c r="H399" s="54"/>
      <c r="I399" s="53" t="str">
        <f t="shared" si="14"/>
        <v/>
      </c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</row>
    <row r="400" spans="1:41" x14ac:dyDescent="0.35">
      <c r="A400" s="50"/>
      <c r="B400" s="50"/>
      <c r="C400" s="50"/>
      <c r="D400" s="50"/>
      <c r="E400" s="54"/>
      <c r="F400" s="54"/>
      <c r="G400" s="54"/>
      <c r="H400" s="54"/>
      <c r="I400" s="53" t="str">
        <f t="shared" si="14"/>
        <v/>
      </c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</row>
    <row r="401" spans="1:41" x14ac:dyDescent="0.35">
      <c r="A401" s="50"/>
      <c r="B401" s="50"/>
      <c r="C401" s="50"/>
      <c r="D401" s="50"/>
      <c r="E401" s="54"/>
      <c r="F401" s="54"/>
      <c r="G401" s="54"/>
      <c r="H401" s="54"/>
      <c r="I401" s="53" t="str">
        <f t="shared" si="14"/>
        <v/>
      </c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</row>
    <row r="402" spans="1:41" x14ac:dyDescent="0.35">
      <c r="A402" s="50"/>
      <c r="B402" s="50"/>
      <c r="C402" s="50"/>
      <c r="D402" s="50"/>
      <c r="E402" s="54"/>
      <c r="F402" s="54"/>
      <c r="G402" s="54"/>
      <c r="H402" s="54"/>
      <c r="I402" s="53" t="str">
        <f t="shared" si="14"/>
        <v/>
      </c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</row>
    <row r="403" spans="1:41" x14ac:dyDescent="0.35">
      <c r="A403" s="4"/>
      <c r="B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</row>
    <row r="404" spans="1:41" x14ac:dyDescent="0.35">
      <c r="A404" s="4"/>
      <c r="B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</row>
    <row r="405" spans="1:41" x14ac:dyDescent="0.35">
      <c r="A405" s="46" t="s">
        <v>328</v>
      </c>
      <c r="B405" s="52" t="str">
        <f>IF(B23="","",B23)</f>
        <v>Frêne</v>
      </c>
      <c r="D405" s="227" t="s">
        <v>307</v>
      </c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</row>
    <row r="406" spans="1:41" x14ac:dyDescent="0.35">
      <c r="A406" s="46"/>
      <c r="B406" s="96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</row>
    <row r="407" spans="1:41" x14ac:dyDescent="0.35">
      <c r="A407" s="4"/>
      <c r="B407" s="85" t="s">
        <v>185</v>
      </c>
      <c r="C407" s="265" t="s">
        <v>186</v>
      </c>
      <c r="D407" s="265"/>
      <c r="E407" s="266" t="s">
        <v>187</v>
      </c>
      <c r="F407" s="267"/>
      <c r="G407" s="267"/>
      <c r="H407" s="268"/>
      <c r="I407" s="95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</row>
    <row r="408" spans="1:41" ht="43.5" x14ac:dyDescent="0.35">
      <c r="A408" s="36" t="s">
        <v>180</v>
      </c>
      <c r="B408" s="36" t="s">
        <v>189</v>
      </c>
      <c r="C408" s="48" t="s">
        <v>188</v>
      </c>
      <c r="D408" s="48" t="s">
        <v>251</v>
      </c>
      <c r="E408" s="36" t="s">
        <v>183</v>
      </c>
      <c r="F408" s="36" t="s">
        <v>181</v>
      </c>
      <c r="G408" s="36" t="s">
        <v>184</v>
      </c>
      <c r="H408" s="36" t="s">
        <v>182</v>
      </c>
      <c r="I408" s="48" t="s">
        <v>213</v>
      </c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</row>
    <row r="409" spans="1:41" x14ac:dyDescent="0.35">
      <c r="A409" s="50">
        <v>15</v>
      </c>
      <c r="B409" s="60">
        <v>37</v>
      </c>
      <c r="C409" s="60">
        <v>1</v>
      </c>
      <c r="D409" s="60">
        <v>15</v>
      </c>
      <c r="E409" s="51">
        <v>0</v>
      </c>
      <c r="F409" s="51">
        <v>0</v>
      </c>
      <c r="G409" s="51">
        <v>0</v>
      </c>
      <c r="H409" s="51">
        <v>1</v>
      </c>
      <c r="I409" s="57">
        <f>IFERROR(B409/A409,"")</f>
        <v>2.4666666666666668</v>
      </c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</row>
    <row r="410" spans="1:41" x14ac:dyDescent="0.35">
      <c r="A410" s="50">
        <v>20</v>
      </c>
      <c r="B410" s="60">
        <v>80</v>
      </c>
      <c r="C410" s="60">
        <v>2</v>
      </c>
      <c r="D410" s="60">
        <v>28</v>
      </c>
      <c r="E410" s="51">
        <v>0</v>
      </c>
      <c r="F410" s="51">
        <v>0</v>
      </c>
      <c r="G410" s="51">
        <v>0</v>
      </c>
      <c r="H410" s="51">
        <v>1</v>
      </c>
      <c r="I410" s="57">
        <f t="shared" ref="I410:I415" si="15">IF(A410&lt;&gt;0,(B410-(B409-D409))/(A410-A409),"")</f>
        <v>11.6</v>
      </c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</row>
    <row r="411" spans="1:41" x14ac:dyDescent="0.35">
      <c r="A411" s="50">
        <v>25</v>
      </c>
      <c r="B411" s="60">
        <v>115</v>
      </c>
      <c r="C411" s="60">
        <v>3</v>
      </c>
      <c r="D411" s="60">
        <v>28</v>
      </c>
      <c r="E411" s="51">
        <v>0</v>
      </c>
      <c r="F411" s="51">
        <v>7.0000000000000007E-2</v>
      </c>
      <c r="G411" s="51">
        <v>0</v>
      </c>
      <c r="H411" s="51">
        <v>0.93</v>
      </c>
      <c r="I411" s="57">
        <f t="shared" si="15"/>
        <v>12.6</v>
      </c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</row>
    <row r="412" spans="1:41" x14ac:dyDescent="0.35">
      <c r="A412" s="50">
        <v>30</v>
      </c>
      <c r="B412" s="60">
        <v>146</v>
      </c>
      <c r="C412" s="60">
        <v>4</v>
      </c>
      <c r="D412" s="60">
        <v>28</v>
      </c>
      <c r="E412" s="51">
        <v>0.04</v>
      </c>
      <c r="F412" s="51">
        <v>0.28999999999999998</v>
      </c>
      <c r="G412" s="51">
        <v>0</v>
      </c>
      <c r="H412" s="51">
        <v>0.68</v>
      </c>
      <c r="I412" s="57">
        <f t="shared" si="15"/>
        <v>11.8</v>
      </c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</row>
    <row r="413" spans="1:41" x14ac:dyDescent="0.35">
      <c r="A413" s="50">
        <v>35</v>
      </c>
      <c r="B413" s="60">
        <v>172</v>
      </c>
      <c r="C413" s="60">
        <v>5</v>
      </c>
      <c r="D413" s="60">
        <v>28</v>
      </c>
      <c r="E413" s="51">
        <v>0.18</v>
      </c>
      <c r="F413" s="51">
        <v>0.43</v>
      </c>
      <c r="G413" s="51">
        <v>0</v>
      </c>
      <c r="H413" s="51">
        <v>0.39</v>
      </c>
      <c r="I413" s="57">
        <f t="shared" si="15"/>
        <v>10.8</v>
      </c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</row>
    <row r="414" spans="1:41" x14ac:dyDescent="0.35">
      <c r="A414" s="50">
        <v>40</v>
      </c>
      <c r="B414" s="60">
        <v>192</v>
      </c>
      <c r="C414" s="50">
        <v>6</v>
      </c>
      <c r="D414" s="60">
        <v>28</v>
      </c>
      <c r="E414" s="51">
        <v>0.39</v>
      </c>
      <c r="F414" s="51">
        <v>0.39</v>
      </c>
      <c r="G414" s="51">
        <v>0</v>
      </c>
      <c r="H414" s="51">
        <v>0.21</v>
      </c>
      <c r="I414" s="57">
        <f t="shared" si="15"/>
        <v>9.6</v>
      </c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</row>
    <row r="415" spans="1:41" x14ac:dyDescent="0.35">
      <c r="A415" s="50">
        <v>45</v>
      </c>
      <c r="B415" s="60">
        <v>205</v>
      </c>
      <c r="C415" s="50">
        <v>7</v>
      </c>
      <c r="D415" s="60">
        <v>22</v>
      </c>
      <c r="E415" s="51">
        <v>0.59</v>
      </c>
      <c r="F415" s="51">
        <v>0.27</v>
      </c>
      <c r="G415" s="51">
        <v>0</v>
      </c>
      <c r="H415" s="51">
        <v>0.14000000000000001</v>
      </c>
      <c r="I415" s="57">
        <f t="shared" si="15"/>
        <v>8.1999999999999993</v>
      </c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</row>
    <row r="416" spans="1:41" x14ac:dyDescent="0.35">
      <c r="A416" s="50">
        <v>50</v>
      </c>
      <c r="B416" s="60">
        <v>219</v>
      </c>
      <c r="C416" s="50">
        <v>8</v>
      </c>
      <c r="D416" s="60">
        <v>17</v>
      </c>
      <c r="E416" s="51">
        <v>0.71</v>
      </c>
      <c r="F416" s="51">
        <v>0.18</v>
      </c>
      <c r="G416" s="51">
        <v>0</v>
      </c>
      <c r="H416" s="51">
        <v>0.12</v>
      </c>
      <c r="I416" s="57">
        <f>IF(A416&lt;&gt;0,(B416-(B415-D415))/(A416-A415),"")</f>
        <v>7.2</v>
      </c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</row>
    <row r="417" spans="1:41" x14ac:dyDescent="0.35">
      <c r="A417" s="50">
        <v>55</v>
      </c>
      <c r="B417" s="60">
        <v>232</v>
      </c>
      <c r="C417" s="50">
        <v>9</v>
      </c>
      <c r="D417" s="60">
        <v>13</v>
      </c>
      <c r="E417" s="51">
        <v>0.77</v>
      </c>
      <c r="F417" s="51">
        <v>0.15</v>
      </c>
      <c r="G417" s="51">
        <v>0</v>
      </c>
      <c r="H417" s="51">
        <v>0.08</v>
      </c>
      <c r="I417" s="57">
        <f t="shared" ref="I417:I428" si="16">IF(A417&lt;&gt;0,(B417-(B416-D416))/(A417-A416),"")</f>
        <v>6</v>
      </c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</row>
    <row r="418" spans="1:41" x14ac:dyDescent="0.35">
      <c r="A418" s="50">
        <v>60</v>
      </c>
      <c r="B418" s="60">
        <v>245</v>
      </c>
      <c r="C418" s="50">
        <v>10</v>
      </c>
      <c r="D418" s="60">
        <v>12</v>
      </c>
      <c r="E418" s="51">
        <v>0.83</v>
      </c>
      <c r="F418" s="51">
        <v>0.08</v>
      </c>
      <c r="G418" s="51">
        <v>0</v>
      </c>
      <c r="H418" s="51">
        <v>0.08</v>
      </c>
      <c r="I418" s="57">
        <f t="shared" si="16"/>
        <v>5.2</v>
      </c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</row>
    <row r="419" spans="1:41" x14ac:dyDescent="0.35">
      <c r="A419" s="50">
        <v>65</v>
      </c>
      <c r="B419" s="60">
        <v>255</v>
      </c>
      <c r="C419" s="50">
        <v>11</v>
      </c>
      <c r="D419" s="60">
        <v>11</v>
      </c>
      <c r="E419" s="51">
        <v>0.82</v>
      </c>
      <c r="F419" s="51">
        <v>0.09</v>
      </c>
      <c r="G419" s="51">
        <v>0</v>
      </c>
      <c r="H419" s="51">
        <v>0.09</v>
      </c>
      <c r="I419" s="57">
        <f t="shared" si="16"/>
        <v>4.4000000000000004</v>
      </c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</row>
    <row r="420" spans="1:41" x14ac:dyDescent="0.35">
      <c r="A420" s="50">
        <v>70</v>
      </c>
      <c r="B420" s="60">
        <v>263</v>
      </c>
      <c r="C420" s="50">
        <v>12</v>
      </c>
      <c r="D420" s="60">
        <v>10</v>
      </c>
      <c r="E420" s="51">
        <v>0.9</v>
      </c>
      <c r="F420" s="51">
        <v>0.1</v>
      </c>
      <c r="G420" s="51">
        <v>0</v>
      </c>
      <c r="H420" s="51">
        <v>0</v>
      </c>
      <c r="I420" s="57">
        <f t="shared" si="16"/>
        <v>3.8</v>
      </c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</row>
    <row r="421" spans="1:41" x14ac:dyDescent="0.35">
      <c r="A421" s="50">
        <v>75</v>
      </c>
      <c r="B421" s="60">
        <v>270</v>
      </c>
      <c r="C421" s="50">
        <v>13</v>
      </c>
      <c r="D421" s="60">
        <v>9</v>
      </c>
      <c r="E421" s="54">
        <v>0.89</v>
      </c>
      <c r="F421" s="54">
        <v>0.11</v>
      </c>
      <c r="G421" s="54">
        <v>0</v>
      </c>
      <c r="H421" s="54">
        <v>0</v>
      </c>
      <c r="I421" s="57">
        <f t="shared" si="16"/>
        <v>3.4</v>
      </c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</row>
    <row r="422" spans="1:41" x14ac:dyDescent="0.35">
      <c r="A422" s="50">
        <v>80</v>
      </c>
      <c r="B422" s="60">
        <v>275</v>
      </c>
      <c r="C422" s="50">
        <v>14</v>
      </c>
      <c r="D422" s="60">
        <v>275</v>
      </c>
      <c r="E422" s="54">
        <v>0.88</v>
      </c>
      <c r="F422" s="54">
        <v>0.13</v>
      </c>
      <c r="G422" s="54">
        <v>0</v>
      </c>
      <c r="H422" s="54">
        <v>0</v>
      </c>
      <c r="I422" s="57">
        <f t="shared" si="16"/>
        <v>2.8</v>
      </c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</row>
    <row r="423" spans="1:41" x14ac:dyDescent="0.35">
      <c r="A423" s="55"/>
      <c r="B423" s="56"/>
      <c r="C423" s="50"/>
      <c r="D423" s="50"/>
      <c r="E423" s="54"/>
      <c r="F423" s="54"/>
      <c r="G423" s="54"/>
      <c r="H423" s="54"/>
      <c r="I423" s="57" t="str">
        <f t="shared" si="16"/>
        <v/>
      </c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</row>
    <row r="424" spans="1:41" x14ac:dyDescent="0.35">
      <c r="A424" s="55"/>
      <c r="B424" s="56"/>
      <c r="C424" s="50"/>
      <c r="D424" s="50"/>
      <c r="E424" s="54"/>
      <c r="F424" s="54"/>
      <c r="G424" s="54"/>
      <c r="H424" s="54"/>
      <c r="I424" s="57" t="str">
        <f t="shared" si="16"/>
        <v/>
      </c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</row>
    <row r="425" spans="1:41" x14ac:dyDescent="0.35">
      <c r="A425" s="55"/>
      <c r="B425" s="56"/>
      <c r="C425" s="50"/>
      <c r="D425" s="50"/>
      <c r="E425" s="54"/>
      <c r="F425" s="54"/>
      <c r="G425" s="54"/>
      <c r="H425" s="54"/>
      <c r="I425" s="57" t="str">
        <f t="shared" si="16"/>
        <v/>
      </c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</row>
    <row r="426" spans="1:41" x14ac:dyDescent="0.35">
      <c r="A426" s="55"/>
      <c r="B426" s="56"/>
      <c r="C426" s="50"/>
      <c r="D426" s="50"/>
      <c r="E426" s="54"/>
      <c r="F426" s="54"/>
      <c r="G426" s="54"/>
      <c r="H426" s="54"/>
      <c r="I426" s="57" t="str">
        <f t="shared" si="16"/>
        <v/>
      </c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</row>
    <row r="427" spans="1:41" x14ac:dyDescent="0.35">
      <c r="A427" s="55"/>
      <c r="B427" s="56"/>
      <c r="C427" s="50"/>
      <c r="D427" s="50"/>
      <c r="E427" s="54"/>
      <c r="F427" s="54"/>
      <c r="G427" s="54"/>
      <c r="H427" s="54"/>
      <c r="I427" s="57" t="str">
        <f t="shared" si="16"/>
        <v/>
      </c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</row>
    <row r="428" spans="1:41" x14ac:dyDescent="0.35">
      <c r="A428" s="55"/>
      <c r="B428" s="56"/>
      <c r="C428" s="50"/>
      <c r="D428" s="58"/>
      <c r="E428" s="54"/>
      <c r="F428" s="54"/>
      <c r="G428" s="54"/>
      <c r="H428" s="54"/>
      <c r="I428" s="57" t="str">
        <f t="shared" si="16"/>
        <v/>
      </c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</row>
    <row r="429" spans="1:41" x14ac:dyDescent="0.35">
      <c r="A429" s="4"/>
      <c r="B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</row>
    <row r="430" spans="1:41" x14ac:dyDescent="0.35">
      <c r="A430" s="4"/>
      <c r="B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</row>
    <row r="431" spans="1:41" x14ac:dyDescent="0.35">
      <c r="A431" s="46" t="s">
        <v>329</v>
      </c>
      <c r="B431" s="52" t="str">
        <f>IF(B24="","",B24)</f>
        <v>Chêne pubescent</v>
      </c>
      <c r="D431" s="227" t="s">
        <v>307</v>
      </c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</row>
    <row r="432" spans="1:41" x14ac:dyDescent="0.35">
      <c r="A432" s="46"/>
      <c r="B432" s="96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</row>
    <row r="433" spans="1:41" x14ac:dyDescent="0.35">
      <c r="A433" s="4"/>
      <c r="B433" s="85" t="s">
        <v>185</v>
      </c>
      <c r="C433" s="265" t="s">
        <v>186</v>
      </c>
      <c r="D433" s="265"/>
      <c r="E433" s="266" t="s">
        <v>187</v>
      </c>
      <c r="F433" s="267"/>
      <c r="G433" s="267"/>
      <c r="H433" s="268"/>
      <c r="I433" s="95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</row>
    <row r="434" spans="1:41" ht="43.5" x14ac:dyDescent="0.35">
      <c r="A434" s="36" t="s">
        <v>180</v>
      </c>
      <c r="B434" s="36" t="s">
        <v>189</v>
      </c>
      <c r="C434" s="48" t="s">
        <v>188</v>
      </c>
      <c r="D434" s="48" t="s">
        <v>251</v>
      </c>
      <c r="E434" s="36" t="s">
        <v>183</v>
      </c>
      <c r="F434" s="36" t="s">
        <v>181</v>
      </c>
      <c r="G434" s="36" t="s">
        <v>184</v>
      </c>
      <c r="H434" s="36" t="s">
        <v>182</v>
      </c>
      <c r="I434" s="48" t="s">
        <v>213</v>
      </c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</row>
    <row r="435" spans="1:41" x14ac:dyDescent="0.35">
      <c r="A435" s="50">
        <v>30</v>
      </c>
      <c r="B435" s="60">
        <v>87.705128205128204</v>
      </c>
      <c r="C435" s="60" t="s">
        <v>334</v>
      </c>
      <c r="D435" s="60">
        <v>0</v>
      </c>
      <c r="E435" s="51">
        <v>0</v>
      </c>
      <c r="F435" s="51">
        <v>0</v>
      </c>
      <c r="G435" s="51">
        <v>0</v>
      </c>
      <c r="H435" s="51">
        <v>0</v>
      </c>
      <c r="I435" s="49">
        <f>IFERROR(B435/A435,"")</f>
        <v>2.9235042735042733</v>
      </c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</row>
    <row r="436" spans="1:41" x14ac:dyDescent="0.35">
      <c r="A436" s="50">
        <v>44</v>
      </c>
      <c r="B436" s="60">
        <v>162.42307692307691</v>
      </c>
      <c r="C436" s="60">
        <v>1</v>
      </c>
      <c r="D436" s="60">
        <v>64.416666666666657</v>
      </c>
      <c r="E436" s="51">
        <v>0</v>
      </c>
      <c r="F436" s="51">
        <v>0</v>
      </c>
      <c r="G436" s="51">
        <v>0</v>
      </c>
      <c r="H436" s="51">
        <v>1</v>
      </c>
      <c r="I436" s="49">
        <f t="shared" ref="I436:I454" si="17">IF(A436&lt;&gt;0,(B436-(B435-D435))/(A436-A435),"")</f>
        <v>5.3369963369963358</v>
      </c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</row>
    <row r="437" spans="1:41" x14ac:dyDescent="0.35">
      <c r="A437" s="50">
        <v>51</v>
      </c>
      <c r="B437" s="60">
        <v>145.78846153846152</v>
      </c>
      <c r="C437" s="60">
        <v>2</v>
      </c>
      <c r="D437" s="60">
        <v>37.685897435897431</v>
      </c>
      <c r="E437" s="51">
        <v>0</v>
      </c>
      <c r="F437" s="51">
        <v>0</v>
      </c>
      <c r="G437" s="51">
        <v>0</v>
      </c>
      <c r="H437" s="51">
        <v>1</v>
      </c>
      <c r="I437" s="49">
        <f t="shared" si="17"/>
        <v>6.826007326007324</v>
      </c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</row>
    <row r="438" spans="1:41" x14ac:dyDescent="0.35">
      <c r="A438" s="50">
        <v>59</v>
      </c>
      <c r="B438" s="60">
        <v>159.25641025641025</v>
      </c>
      <c r="C438" s="60">
        <v>3</v>
      </c>
      <c r="D438" s="60">
        <v>38.942307692307693</v>
      </c>
      <c r="E438" s="51">
        <v>0</v>
      </c>
      <c r="F438" s="51">
        <v>0</v>
      </c>
      <c r="G438" s="51">
        <v>0</v>
      </c>
      <c r="H438" s="51">
        <v>1</v>
      </c>
      <c r="I438" s="49">
        <f t="shared" si="17"/>
        <v>6.3942307692307701</v>
      </c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</row>
    <row r="439" spans="1:41" x14ac:dyDescent="0.35">
      <c r="A439" s="50">
        <v>67</v>
      </c>
      <c r="B439" s="60">
        <v>167.85897435897436</v>
      </c>
      <c r="C439" s="60">
        <v>4</v>
      </c>
      <c r="D439" s="60">
        <v>31.993589743589741</v>
      </c>
      <c r="E439" s="51">
        <v>0</v>
      </c>
      <c r="F439" s="51">
        <v>0</v>
      </c>
      <c r="G439" s="51">
        <v>0</v>
      </c>
      <c r="H439" s="51">
        <v>1</v>
      </c>
      <c r="I439" s="49">
        <f t="shared" si="17"/>
        <v>5.9431089743589762</v>
      </c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</row>
    <row r="440" spans="1:41" x14ac:dyDescent="0.35">
      <c r="A440" s="50">
        <v>75</v>
      </c>
      <c r="B440" s="60">
        <v>181.38461538461536</v>
      </c>
      <c r="C440" s="60">
        <v>5</v>
      </c>
      <c r="D440" s="60">
        <v>30.916666666666664</v>
      </c>
      <c r="E440" s="51">
        <v>0.7</v>
      </c>
      <c r="F440" s="51">
        <v>0</v>
      </c>
      <c r="G440" s="51">
        <v>0</v>
      </c>
      <c r="H440" s="51">
        <v>0.3</v>
      </c>
      <c r="I440" s="49">
        <f>IF(A440&lt;&gt;0,(B440-(B439-D439))/(A440-A439),"")</f>
        <v>5.6899038461538431</v>
      </c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</row>
    <row r="441" spans="1:41" x14ac:dyDescent="0.35">
      <c r="A441" s="50">
        <v>84</v>
      </c>
      <c r="B441" s="60">
        <v>200.00641025641025</v>
      </c>
      <c r="C441" s="60">
        <v>6</v>
      </c>
      <c r="D441" s="60">
        <v>35.083333333333329</v>
      </c>
      <c r="E441" s="51">
        <v>0.7</v>
      </c>
      <c r="F441" s="51">
        <v>0</v>
      </c>
      <c r="G441" s="51">
        <v>0</v>
      </c>
      <c r="H441" s="51">
        <v>0.3</v>
      </c>
      <c r="I441" s="49">
        <f>IF(A441&lt;&gt;0,(B441-(B440-D440))/(A441-A440),"")</f>
        <v>5.5042735042735051</v>
      </c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</row>
    <row r="442" spans="1:41" x14ac:dyDescent="0.35">
      <c r="A442" s="50">
        <v>93</v>
      </c>
      <c r="B442" s="50">
        <v>212.26923076923075</v>
      </c>
      <c r="C442" s="50">
        <v>7</v>
      </c>
      <c r="D442" s="50">
        <v>30.083333333333332</v>
      </c>
      <c r="E442" s="51">
        <v>0.7</v>
      </c>
      <c r="F442" s="51">
        <v>0</v>
      </c>
      <c r="G442" s="51">
        <v>0</v>
      </c>
      <c r="H442" s="51">
        <v>0.3</v>
      </c>
      <c r="I442" s="49">
        <f t="shared" si="17"/>
        <v>5.2606837606837598</v>
      </c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</row>
    <row r="443" spans="1:41" x14ac:dyDescent="0.35">
      <c r="A443" s="50">
        <v>103</v>
      </c>
      <c r="B443" s="50">
        <v>234.76923076923077</v>
      </c>
      <c r="C443" s="50">
        <v>8</v>
      </c>
      <c r="D443" s="50">
        <v>39.512820512820511</v>
      </c>
      <c r="E443" s="51">
        <v>0.7</v>
      </c>
      <c r="F443" s="51">
        <v>0</v>
      </c>
      <c r="G443" s="51">
        <v>0</v>
      </c>
      <c r="H443" s="51">
        <v>0.3</v>
      </c>
      <c r="I443" s="49">
        <f t="shared" si="17"/>
        <v>5.2583333333333373</v>
      </c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</row>
    <row r="444" spans="1:41" x14ac:dyDescent="0.35">
      <c r="A444" s="50">
        <v>113</v>
      </c>
      <c r="B444" s="50">
        <v>246.21794871794873</v>
      </c>
      <c r="C444" s="50">
        <v>9</v>
      </c>
      <c r="D444" s="50">
        <v>31.602564102564099</v>
      </c>
      <c r="E444" s="51">
        <v>0.7</v>
      </c>
      <c r="F444" s="51">
        <v>0</v>
      </c>
      <c r="G444" s="51">
        <v>0</v>
      </c>
      <c r="H444" s="51">
        <v>0.3</v>
      </c>
      <c r="I444" s="49">
        <f t="shared" si="17"/>
        <v>5.0961538461538449</v>
      </c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</row>
    <row r="445" spans="1:41" x14ac:dyDescent="0.35">
      <c r="A445" s="50">
        <v>125</v>
      </c>
      <c r="B445" s="50">
        <v>278.29487179487177</v>
      </c>
      <c r="C445" s="50">
        <v>10</v>
      </c>
      <c r="D445" s="50">
        <v>48.160256410256409</v>
      </c>
      <c r="E445" s="51">
        <v>0.7</v>
      </c>
      <c r="F445" s="51">
        <v>0</v>
      </c>
      <c r="G445" s="51">
        <v>0</v>
      </c>
      <c r="H445" s="51">
        <v>0.3</v>
      </c>
      <c r="I445" s="49">
        <f t="shared" si="17"/>
        <v>5.3066239316239274</v>
      </c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</row>
    <row r="446" spans="1:41" x14ac:dyDescent="0.35">
      <c r="A446" s="50">
        <v>137</v>
      </c>
      <c r="B446" s="50">
        <v>293.07051282051282</v>
      </c>
      <c r="C446" s="50">
        <v>11</v>
      </c>
      <c r="D446" s="50">
        <v>51.160256410256409</v>
      </c>
      <c r="E446" s="51">
        <v>0.7</v>
      </c>
      <c r="F446" s="51">
        <v>0</v>
      </c>
      <c r="G446" s="51">
        <v>0</v>
      </c>
      <c r="H446" s="51">
        <v>0.3</v>
      </c>
      <c r="I446" s="49">
        <f t="shared" si="17"/>
        <v>5.2446581196581219</v>
      </c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</row>
    <row r="447" spans="1:41" x14ac:dyDescent="0.35">
      <c r="A447" s="50">
        <v>149</v>
      </c>
      <c r="B447" s="50">
        <v>303.18589743589746</v>
      </c>
      <c r="C447" s="50">
        <v>12</v>
      </c>
      <c r="D447" s="50">
        <v>120.50641025641026</v>
      </c>
      <c r="E447" s="51">
        <v>0.9</v>
      </c>
      <c r="F447" s="51">
        <v>0</v>
      </c>
      <c r="G447" s="51">
        <v>0</v>
      </c>
      <c r="H447" s="51">
        <v>0.1</v>
      </c>
      <c r="I447" s="49">
        <f t="shared" si="17"/>
        <v>5.1063034188034209</v>
      </c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</row>
    <row r="448" spans="1:41" x14ac:dyDescent="0.35">
      <c r="A448" s="50">
        <v>153</v>
      </c>
      <c r="B448" s="50">
        <v>195.05769230769226</v>
      </c>
      <c r="C448" s="50">
        <v>13</v>
      </c>
      <c r="D448" s="50">
        <v>70.115384615384613</v>
      </c>
      <c r="E448" s="51">
        <v>0.9</v>
      </c>
      <c r="F448" s="51">
        <v>0</v>
      </c>
      <c r="G448" s="51">
        <v>0</v>
      </c>
      <c r="H448" s="51">
        <v>0.1</v>
      </c>
      <c r="I448" s="49">
        <f t="shared" si="17"/>
        <v>3.0945512820512704</v>
      </c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</row>
    <row r="449" spans="1:41" x14ac:dyDescent="0.35">
      <c r="A449" s="50">
        <v>157</v>
      </c>
      <c r="B449" s="50">
        <v>132.42948717948718</v>
      </c>
      <c r="C449" s="50">
        <v>14</v>
      </c>
      <c r="D449" s="50">
        <v>45.71153846153846</v>
      </c>
      <c r="E449" s="51">
        <v>0.9</v>
      </c>
      <c r="F449" s="51">
        <v>0</v>
      </c>
      <c r="G449" s="51">
        <v>0</v>
      </c>
      <c r="H449" s="51">
        <v>0.1</v>
      </c>
      <c r="I449" s="49">
        <f t="shared" si="17"/>
        <v>1.8717948717948829</v>
      </c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</row>
    <row r="450" spans="1:41" x14ac:dyDescent="0.35">
      <c r="A450" s="50">
        <v>161</v>
      </c>
      <c r="B450" s="50">
        <v>91.365384615384613</v>
      </c>
      <c r="C450" s="50">
        <v>15</v>
      </c>
      <c r="D450" s="50">
        <v>91.365384615384613</v>
      </c>
      <c r="E450" s="51">
        <v>0.9</v>
      </c>
      <c r="F450" s="51">
        <v>0</v>
      </c>
      <c r="G450" s="51">
        <v>0</v>
      </c>
      <c r="H450" s="51">
        <v>0.1</v>
      </c>
      <c r="I450" s="49">
        <f t="shared" si="17"/>
        <v>1.1618589743589709</v>
      </c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</row>
    <row r="451" spans="1:41" x14ac:dyDescent="0.35">
      <c r="A451" s="50"/>
      <c r="B451" s="50"/>
      <c r="C451" s="50"/>
      <c r="D451" s="50"/>
      <c r="E451" s="51"/>
      <c r="F451" s="51"/>
      <c r="G451" s="51"/>
      <c r="H451" s="51"/>
      <c r="I451" s="49" t="str">
        <f t="shared" si="17"/>
        <v/>
      </c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</row>
    <row r="452" spans="1:41" x14ac:dyDescent="0.35">
      <c r="A452" s="50"/>
      <c r="B452" s="50"/>
      <c r="C452" s="50"/>
      <c r="D452" s="50"/>
      <c r="E452" s="51"/>
      <c r="F452" s="51"/>
      <c r="G452" s="51"/>
      <c r="H452" s="51"/>
      <c r="I452" s="49" t="str">
        <f t="shared" si="17"/>
        <v/>
      </c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</row>
    <row r="453" spans="1:41" x14ac:dyDescent="0.35">
      <c r="A453" s="50"/>
      <c r="B453" s="50"/>
      <c r="C453" s="50"/>
      <c r="D453" s="50"/>
      <c r="E453" s="51"/>
      <c r="F453" s="51"/>
      <c r="G453" s="51"/>
      <c r="H453" s="51"/>
      <c r="I453" s="49" t="str">
        <f t="shared" si="17"/>
        <v/>
      </c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</row>
    <row r="454" spans="1:41" x14ac:dyDescent="0.35">
      <c r="A454" s="50"/>
      <c r="B454" s="50"/>
      <c r="C454" s="50"/>
      <c r="D454" s="50"/>
      <c r="E454" s="51"/>
      <c r="F454" s="51"/>
      <c r="G454" s="51"/>
      <c r="H454" s="51"/>
      <c r="I454" s="49" t="str">
        <f t="shared" si="17"/>
        <v/>
      </c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</row>
    <row r="455" spans="1:41" x14ac:dyDescent="0.35">
      <c r="A455" s="4"/>
      <c r="B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</row>
    <row r="456" spans="1:41" x14ac:dyDescent="0.35">
      <c r="A456" s="4"/>
      <c r="B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</row>
    <row r="457" spans="1:41" x14ac:dyDescent="0.35">
      <c r="A457" s="46" t="s">
        <v>330</v>
      </c>
      <c r="B457" s="52" t="str">
        <f>IF(B25="","",B25)</f>
        <v/>
      </c>
      <c r="D457" s="227" t="s">
        <v>307</v>
      </c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</row>
    <row r="458" spans="1:41" x14ac:dyDescent="0.35">
      <c r="A458" s="46"/>
      <c r="B458" s="96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</row>
    <row r="459" spans="1:41" x14ac:dyDescent="0.35">
      <c r="A459" s="4"/>
      <c r="B459" s="85" t="s">
        <v>185</v>
      </c>
      <c r="C459" s="265" t="s">
        <v>186</v>
      </c>
      <c r="D459" s="265"/>
      <c r="E459" s="266" t="s">
        <v>187</v>
      </c>
      <c r="F459" s="267"/>
      <c r="G459" s="267"/>
      <c r="H459" s="268"/>
      <c r="I459" s="95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</row>
    <row r="460" spans="1:41" ht="43.5" x14ac:dyDescent="0.35">
      <c r="A460" s="36" t="s">
        <v>180</v>
      </c>
      <c r="B460" s="36" t="s">
        <v>189</v>
      </c>
      <c r="C460" s="48" t="s">
        <v>188</v>
      </c>
      <c r="D460" s="48" t="s">
        <v>251</v>
      </c>
      <c r="E460" s="36" t="s">
        <v>183</v>
      </c>
      <c r="F460" s="36" t="s">
        <v>181</v>
      </c>
      <c r="G460" s="36" t="s">
        <v>184</v>
      </c>
      <c r="H460" s="36" t="s">
        <v>182</v>
      </c>
      <c r="I460" s="48" t="s">
        <v>213</v>
      </c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</row>
    <row r="461" spans="1:41" x14ac:dyDescent="0.35">
      <c r="A461" s="50"/>
      <c r="B461" s="60"/>
      <c r="C461" s="60"/>
      <c r="D461" s="60"/>
      <c r="E461" s="51"/>
      <c r="F461" s="51"/>
      <c r="G461" s="51"/>
      <c r="H461" s="51"/>
      <c r="I461" s="49" t="str">
        <f>IFERROR(B461/A461,"")</f>
        <v/>
      </c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</row>
    <row r="462" spans="1:41" x14ac:dyDescent="0.35">
      <c r="A462" s="50"/>
      <c r="B462" s="60"/>
      <c r="C462" s="60"/>
      <c r="D462" s="60"/>
      <c r="E462" s="51"/>
      <c r="F462" s="51"/>
      <c r="G462" s="51"/>
      <c r="H462" s="51"/>
      <c r="I462" s="49" t="str">
        <f t="shared" ref="I462:I480" si="18">IF(A462&lt;&gt;0,(B462-(B461-D461))/(A462-A461),"")</f>
        <v/>
      </c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</row>
    <row r="463" spans="1:41" x14ac:dyDescent="0.35">
      <c r="A463" s="50"/>
      <c r="B463" s="60"/>
      <c r="C463" s="60"/>
      <c r="D463" s="60"/>
      <c r="E463" s="51"/>
      <c r="F463" s="51"/>
      <c r="G463" s="51"/>
      <c r="H463" s="51"/>
      <c r="I463" s="49" t="str">
        <f t="shared" si="18"/>
        <v/>
      </c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</row>
    <row r="464" spans="1:41" x14ac:dyDescent="0.35">
      <c r="A464" s="50"/>
      <c r="B464" s="60"/>
      <c r="C464" s="60"/>
      <c r="D464" s="60"/>
      <c r="E464" s="51"/>
      <c r="F464" s="51"/>
      <c r="G464" s="51"/>
      <c r="H464" s="51"/>
      <c r="I464" s="49" t="str">
        <f t="shared" si="18"/>
        <v/>
      </c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</row>
    <row r="465" spans="1:41" x14ac:dyDescent="0.35">
      <c r="A465" s="50"/>
      <c r="B465" s="60"/>
      <c r="C465" s="60"/>
      <c r="D465" s="60"/>
      <c r="E465" s="51"/>
      <c r="F465" s="51"/>
      <c r="G465" s="51"/>
      <c r="H465" s="51"/>
      <c r="I465" s="49" t="str">
        <f t="shared" si="18"/>
        <v/>
      </c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</row>
    <row r="466" spans="1:41" x14ac:dyDescent="0.35">
      <c r="A466" s="50"/>
      <c r="B466" s="60"/>
      <c r="C466" s="60"/>
      <c r="D466" s="60"/>
      <c r="E466" s="51"/>
      <c r="F466" s="51"/>
      <c r="G466" s="51"/>
      <c r="H466" s="51"/>
      <c r="I466" s="49" t="str">
        <f t="shared" si="18"/>
        <v/>
      </c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</row>
    <row r="467" spans="1:41" x14ac:dyDescent="0.35">
      <c r="A467" s="50"/>
      <c r="B467" s="60"/>
      <c r="C467" s="60"/>
      <c r="D467" s="60"/>
      <c r="E467" s="51"/>
      <c r="F467" s="51"/>
      <c r="G467" s="51"/>
      <c r="H467" s="51"/>
      <c r="I467" s="49" t="str">
        <f t="shared" si="18"/>
        <v/>
      </c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</row>
    <row r="468" spans="1:41" x14ac:dyDescent="0.35">
      <c r="A468" s="50"/>
      <c r="B468" s="60"/>
      <c r="C468" s="60"/>
      <c r="D468" s="60"/>
      <c r="E468" s="51"/>
      <c r="F468" s="51"/>
      <c r="G468" s="51"/>
      <c r="H468" s="51"/>
      <c r="I468" s="49" t="str">
        <f>IF(A468&lt;&gt;0,(B468-(B467-D467))/(A468-A467),"")</f>
        <v/>
      </c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</row>
    <row r="469" spans="1:41" x14ac:dyDescent="0.35">
      <c r="A469" s="50"/>
      <c r="B469" s="50"/>
      <c r="C469" s="50"/>
      <c r="D469" s="50"/>
      <c r="E469" s="51"/>
      <c r="F469" s="51"/>
      <c r="G469" s="51"/>
      <c r="H469" s="51"/>
      <c r="I469" s="49" t="str">
        <f>IF(A469&lt;&gt;0,(B469-(B468-D468))/(A469-A468),"")</f>
        <v/>
      </c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</row>
    <row r="470" spans="1:41" x14ac:dyDescent="0.35">
      <c r="A470" s="50"/>
      <c r="B470" s="50"/>
      <c r="C470" s="50"/>
      <c r="D470" s="50"/>
      <c r="E470" s="51"/>
      <c r="F470" s="51"/>
      <c r="G470" s="51"/>
      <c r="H470" s="51"/>
      <c r="I470" s="49" t="str">
        <f t="shared" si="18"/>
        <v/>
      </c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</row>
    <row r="471" spans="1:41" x14ac:dyDescent="0.35">
      <c r="A471" s="50"/>
      <c r="B471" s="50"/>
      <c r="C471" s="50"/>
      <c r="D471" s="50"/>
      <c r="E471" s="51"/>
      <c r="F471" s="51"/>
      <c r="G471" s="51"/>
      <c r="H471" s="51"/>
      <c r="I471" s="49" t="str">
        <f t="shared" si="18"/>
        <v/>
      </c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</row>
    <row r="472" spans="1:41" x14ac:dyDescent="0.35">
      <c r="A472" s="50"/>
      <c r="B472" s="50"/>
      <c r="C472" s="50"/>
      <c r="D472" s="50"/>
      <c r="E472" s="51"/>
      <c r="F472" s="51"/>
      <c r="G472" s="51"/>
      <c r="H472" s="51"/>
      <c r="I472" s="49" t="str">
        <f t="shared" si="18"/>
        <v/>
      </c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</row>
    <row r="473" spans="1:41" x14ac:dyDescent="0.35">
      <c r="A473" s="50"/>
      <c r="B473" s="50"/>
      <c r="C473" s="50"/>
      <c r="D473" s="50"/>
      <c r="E473" s="51"/>
      <c r="F473" s="51"/>
      <c r="G473" s="51"/>
      <c r="H473" s="51"/>
      <c r="I473" s="49" t="str">
        <f t="shared" si="18"/>
        <v/>
      </c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</row>
    <row r="474" spans="1:41" x14ac:dyDescent="0.35">
      <c r="A474" s="50"/>
      <c r="B474" s="50"/>
      <c r="C474" s="50"/>
      <c r="D474" s="50"/>
      <c r="E474" s="51"/>
      <c r="F474" s="51"/>
      <c r="G474" s="51"/>
      <c r="H474" s="51"/>
      <c r="I474" s="49" t="str">
        <f t="shared" si="18"/>
        <v/>
      </c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</row>
    <row r="475" spans="1:41" x14ac:dyDescent="0.35">
      <c r="A475" s="50"/>
      <c r="B475" s="50"/>
      <c r="C475" s="50"/>
      <c r="D475" s="50"/>
      <c r="E475" s="51"/>
      <c r="F475" s="51"/>
      <c r="G475" s="51"/>
      <c r="H475" s="51"/>
      <c r="I475" s="49" t="str">
        <f t="shared" si="18"/>
        <v/>
      </c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</row>
    <row r="476" spans="1:41" x14ac:dyDescent="0.35">
      <c r="A476" s="50"/>
      <c r="B476" s="50"/>
      <c r="C476" s="50"/>
      <c r="D476" s="50"/>
      <c r="E476" s="51"/>
      <c r="F476" s="51"/>
      <c r="G476" s="51"/>
      <c r="H476" s="51"/>
      <c r="I476" s="49" t="str">
        <f t="shared" si="18"/>
        <v/>
      </c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</row>
    <row r="477" spans="1:41" x14ac:dyDescent="0.35">
      <c r="A477" s="50"/>
      <c r="B477" s="50"/>
      <c r="C477" s="50"/>
      <c r="D477" s="50"/>
      <c r="E477" s="51"/>
      <c r="F477" s="51"/>
      <c r="G477" s="51"/>
      <c r="H477" s="51"/>
      <c r="I477" s="49" t="str">
        <f t="shared" si="18"/>
        <v/>
      </c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</row>
    <row r="478" spans="1:41" x14ac:dyDescent="0.35">
      <c r="A478" s="50"/>
      <c r="B478" s="50"/>
      <c r="C478" s="50"/>
      <c r="D478" s="50"/>
      <c r="E478" s="51"/>
      <c r="F478" s="51"/>
      <c r="G478" s="51"/>
      <c r="H478" s="51"/>
      <c r="I478" s="49" t="str">
        <f t="shared" si="18"/>
        <v/>
      </c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</row>
    <row r="479" spans="1:41" x14ac:dyDescent="0.35">
      <c r="A479" s="50"/>
      <c r="B479" s="50"/>
      <c r="C479" s="50"/>
      <c r="D479" s="50"/>
      <c r="E479" s="51"/>
      <c r="F479" s="51"/>
      <c r="G479" s="51"/>
      <c r="H479" s="51"/>
      <c r="I479" s="49" t="str">
        <f t="shared" si="18"/>
        <v/>
      </c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</row>
    <row r="480" spans="1:41" x14ac:dyDescent="0.35">
      <c r="A480" s="50"/>
      <c r="B480" s="50"/>
      <c r="C480" s="50"/>
      <c r="D480" s="50"/>
      <c r="E480" s="51"/>
      <c r="F480" s="51"/>
      <c r="G480" s="51"/>
      <c r="H480" s="51"/>
      <c r="I480" s="49" t="str">
        <f t="shared" si="18"/>
        <v/>
      </c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</row>
    <row r="481" spans="1:41" x14ac:dyDescent="0.35">
      <c r="A481" s="4"/>
      <c r="B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</row>
    <row r="482" spans="1:41" x14ac:dyDescent="0.35">
      <c r="A482" s="4"/>
      <c r="B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</row>
    <row r="483" spans="1:41" x14ac:dyDescent="0.35">
      <c r="A483" s="46" t="s">
        <v>331</v>
      </c>
      <c r="B483" s="52" t="str">
        <f>IF(B26="","",B26)</f>
        <v/>
      </c>
      <c r="D483" s="227" t="s">
        <v>307</v>
      </c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</row>
    <row r="484" spans="1:41" x14ac:dyDescent="0.35">
      <c r="A484" s="46"/>
      <c r="B484" s="96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</row>
    <row r="485" spans="1:41" x14ac:dyDescent="0.35">
      <c r="A485" s="4"/>
      <c r="B485" s="85" t="s">
        <v>185</v>
      </c>
      <c r="C485" s="265" t="s">
        <v>186</v>
      </c>
      <c r="D485" s="265"/>
      <c r="E485" s="266" t="s">
        <v>187</v>
      </c>
      <c r="F485" s="267"/>
      <c r="G485" s="267"/>
      <c r="H485" s="268"/>
      <c r="I485" s="95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</row>
    <row r="486" spans="1:41" ht="43.5" x14ac:dyDescent="0.35">
      <c r="A486" s="36" t="s">
        <v>180</v>
      </c>
      <c r="B486" s="36" t="s">
        <v>189</v>
      </c>
      <c r="C486" s="48" t="s">
        <v>188</v>
      </c>
      <c r="D486" s="48" t="s">
        <v>251</v>
      </c>
      <c r="E486" s="36" t="s">
        <v>183</v>
      </c>
      <c r="F486" s="36" t="s">
        <v>181</v>
      </c>
      <c r="G486" s="36" t="s">
        <v>184</v>
      </c>
      <c r="H486" s="36" t="s">
        <v>182</v>
      </c>
      <c r="I486" s="48" t="s">
        <v>213</v>
      </c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</row>
    <row r="487" spans="1:41" x14ac:dyDescent="0.35">
      <c r="A487" s="50"/>
      <c r="B487" s="60"/>
      <c r="C487" s="60"/>
      <c r="D487" s="60"/>
      <c r="E487" s="51"/>
      <c r="F487" s="51"/>
      <c r="G487" s="51"/>
      <c r="H487" s="51"/>
      <c r="I487" s="53" t="str">
        <f>IFERROR(B487/A487,"")</f>
        <v/>
      </c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</row>
    <row r="488" spans="1:41" x14ac:dyDescent="0.35">
      <c r="A488" s="50"/>
      <c r="B488" s="60"/>
      <c r="C488" s="60"/>
      <c r="D488" s="60"/>
      <c r="E488" s="51"/>
      <c r="F488" s="51"/>
      <c r="G488" s="51"/>
      <c r="H488" s="51"/>
      <c r="I488" s="53" t="str">
        <f t="shared" ref="I488:I506" si="19">IF(A488&lt;&gt;0,(B488-(B487-D487))/(A488-A487),"")</f>
        <v/>
      </c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</row>
    <row r="489" spans="1:41" x14ac:dyDescent="0.35">
      <c r="A489" s="50"/>
      <c r="B489" s="60"/>
      <c r="C489" s="60"/>
      <c r="D489" s="60"/>
      <c r="E489" s="51"/>
      <c r="F489" s="51"/>
      <c r="G489" s="51"/>
      <c r="H489" s="51"/>
      <c r="I489" s="53" t="str">
        <f t="shared" si="19"/>
        <v/>
      </c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</row>
    <row r="490" spans="1:41" x14ac:dyDescent="0.35">
      <c r="A490" s="50"/>
      <c r="B490" s="60"/>
      <c r="C490" s="60"/>
      <c r="D490" s="60"/>
      <c r="E490" s="51"/>
      <c r="F490" s="51"/>
      <c r="G490" s="51"/>
      <c r="H490" s="51"/>
      <c r="I490" s="53" t="str">
        <f t="shared" si="19"/>
        <v/>
      </c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</row>
    <row r="491" spans="1:41" x14ac:dyDescent="0.35">
      <c r="A491" s="50"/>
      <c r="B491" s="60"/>
      <c r="C491" s="60"/>
      <c r="D491" s="60"/>
      <c r="E491" s="51"/>
      <c r="F491" s="51"/>
      <c r="G491" s="51"/>
      <c r="H491" s="51"/>
      <c r="I491" s="53" t="str">
        <f t="shared" si="19"/>
        <v/>
      </c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</row>
    <row r="492" spans="1:41" x14ac:dyDescent="0.35">
      <c r="A492" s="55"/>
      <c r="B492" s="55"/>
      <c r="C492" s="55"/>
      <c r="D492" s="55"/>
      <c r="E492" s="63"/>
      <c r="F492" s="63"/>
      <c r="G492" s="63"/>
      <c r="H492" s="63"/>
      <c r="I492" s="53" t="str">
        <f t="shared" si="19"/>
        <v/>
      </c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</row>
    <row r="493" spans="1:41" x14ac:dyDescent="0.35">
      <c r="A493" s="55"/>
      <c r="B493" s="55"/>
      <c r="C493" s="55"/>
      <c r="D493" s="55"/>
      <c r="E493" s="63"/>
      <c r="F493" s="63"/>
      <c r="G493" s="63"/>
      <c r="H493" s="63"/>
      <c r="I493" s="53" t="str">
        <f t="shared" si="19"/>
        <v/>
      </c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</row>
    <row r="494" spans="1:41" x14ac:dyDescent="0.35">
      <c r="A494" s="55"/>
      <c r="B494" s="55"/>
      <c r="C494" s="55"/>
      <c r="D494" s="55"/>
      <c r="E494" s="63"/>
      <c r="F494" s="63"/>
      <c r="G494" s="63"/>
      <c r="H494" s="63"/>
      <c r="I494" s="53" t="str">
        <f t="shared" si="19"/>
        <v/>
      </c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</row>
    <row r="495" spans="1:41" x14ac:dyDescent="0.35">
      <c r="A495" s="55"/>
      <c r="B495" s="55"/>
      <c r="C495" s="55"/>
      <c r="D495" s="55"/>
      <c r="E495" s="63"/>
      <c r="F495" s="63"/>
      <c r="G495" s="63"/>
      <c r="H495" s="63"/>
      <c r="I495" s="53" t="str">
        <f t="shared" si="19"/>
        <v/>
      </c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</row>
    <row r="496" spans="1:41" x14ac:dyDescent="0.35">
      <c r="A496" s="55"/>
      <c r="B496" s="55"/>
      <c r="C496" s="55"/>
      <c r="D496" s="55"/>
      <c r="E496" s="63"/>
      <c r="F496" s="63"/>
      <c r="G496" s="63"/>
      <c r="H496" s="63"/>
      <c r="I496" s="53" t="str">
        <f t="shared" si="19"/>
        <v/>
      </c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</row>
    <row r="497" spans="1:41" x14ac:dyDescent="0.35">
      <c r="A497" s="55"/>
      <c r="B497" s="55"/>
      <c r="C497" s="55"/>
      <c r="D497" s="55"/>
      <c r="E497" s="63"/>
      <c r="F497" s="63"/>
      <c r="G497" s="63"/>
      <c r="H497" s="63"/>
      <c r="I497" s="53" t="str">
        <f t="shared" si="19"/>
        <v/>
      </c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</row>
    <row r="498" spans="1:41" x14ac:dyDescent="0.35">
      <c r="A498" s="55"/>
      <c r="B498" s="55"/>
      <c r="C498" s="55"/>
      <c r="D498" s="55"/>
      <c r="E498" s="63"/>
      <c r="F498" s="63"/>
      <c r="G498" s="63"/>
      <c r="H498" s="63"/>
      <c r="I498" s="53" t="str">
        <f t="shared" si="19"/>
        <v/>
      </c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</row>
    <row r="499" spans="1:41" x14ac:dyDescent="0.35">
      <c r="A499" s="55"/>
      <c r="B499" s="55"/>
      <c r="C499" s="55"/>
      <c r="D499" s="55"/>
      <c r="E499" s="64"/>
      <c r="F499" s="64"/>
      <c r="G499" s="64"/>
      <c r="H499" s="64"/>
      <c r="I499" s="53" t="str">
        <f t="shared" si="19"/>
        <v/>
      </c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</row>
    <row r="500" spans="1:41" x14ac:dyDescent="0.35">
      <c r="A500" s="88"/>
      <c r="B500" s="60"/>
      <c r="C500" s="88"/>
      <c r="D500" s="60"/>
      <c r="E500" s="54"/>
      <c r="F500" s="54"/>
      <c r="G500" s="54"/>
      <c r="H500" s="54"/>
      <c r="I500" s="53" t="str">
        <f t="shared" si="19"/>
        <v/>
      </c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</row>
    <row r="501" spans="1:41" x14ac:dyDescent="0.35">
      <c r="A501" s="50"/>
      <c r="B501" s="50"/>
      <c r="C501" s="50"/>
      <c r="D501" s="50"/>
      <c r="E501" s="54"/>
      <c r="F501" s="54"/>
      <c r="G501" s="54"/>
      <c r="H501" s="54"/>
      <c r="I501" s="53" t="str">
        <f t="shared" si="19"/>
        <v/>
      </c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</row>
    <row r="502" spans="1:41" x14ac:dyDescent="0.35">
      <c r="A502" s="50"/>
      <c r="B502" s="50"/>
      <c r="C502" s="50"/>
      <c r="D502" s="50"/>
      <c r="E502" s="54"/>
      <c r="F502" s="54"/>
      <c r="G502" s="54"/>
      <c r="H502" s="54"/>
      <c r="I502" s="53" t="str">
        <f t="shared" si="19"/>
        <v/>
      </c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</row>
    <row r="503" spans="1:41" x14ac:dyDescent="0.35">
      <c r="A503" s="50"/>
      <c r="B503" s="50"/>
      <c r="C503" s="50"/>
      <c r="D503" s="50"/>
      <c r="E503" s="54"/>
      <c r="F503" s="54"/>
      <c r="G503" s="54"/>
      <c r="H503" s="54"/>
      <c r="I503" s="53" t="str">
        <f t="shared" si="19"/>
        <v/>
      </c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</row>
    <row r="504" spans="1:41" x14ac:dyDescent="0.35">
      <c r="A504" s="50"/>
      <c r="B504" s="50"/>
      <c r="C504" s="50"/>
      <c r="D504" s="50"/>
      <c r="E504" s="54"/>
      <c r="F504" s="54"/>
      <c r="G504" s="54"/>
      <c r="H504" s="54"/>
      <c r="I504" s="53" t="str">
        <f t="shared" si="19"/>
        <v/>
      </c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</row>
    <row r="505" spans="1:41" x14ac:dyDescent="0.35">
      <c r="A505" s="50"/>
      <c r="B505" s="50"/>
      <c r="C505" s="50"/>
      <c r="D505" s="50"/>
      <c r="E505" s="54"/>
      <c r="F505" s="54"/>
      <c r="G505" s="54"/>
      <c r="H505" s="54"/>
      <c r="I505" s="53" t="str">
        <f t="shared" si="19"/>
        <v/>
      </c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</row>
    <row r="506" spans="1:41" x14ac:dyDescent="0.35">
      <c r="A506" s="50"/>
      <c r="B506" s="50"/>
      <c r="C506" s="50"/>
      <c r="D506" s="50"/>
      <c r="E506" s="54"/>
      <c r="F506" s="54"/>
      <c r="G506" s="54"/>
      <c r="H506" s="54"/>
      <c r="I506" s="53" t="str">
        <f t="shared" si="19"/>
        <v/>
      </c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</row>
    <row r="507" spans="1:41" x14ac:dyDescent="0.35">
      <c r="A507" s="4"/>
      <c r="B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</row>
    <row r="508" spans="1:41" x14ac:dyDescent="0.35">
      <c r="A508" s="4"/>
      <c r="B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</row>
    <row r="509" spans="1:41" x14ac:dyDescent="0.35">
      <c r="A509" s="46" t="s">
        <v>332</v>
      </c>
      <c r="B509" s="52" t="str">
        <f>IF(B27="","",B27)</f>
        <v/>
      </c>
      <c r="D509" s="227" t="s">
        <v>307</v>
      </c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</row>
    <row r="510" spans="1:41" x14ac:dyDescent="0.35">
      <c r="A510" s="46"/>
      <c r="B510" s="96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</row>
    <row r="511" spans="1:41" x14ac:dyDescent="0.35">
      <c r="A511" s="4"/>
      <c r="B511" s="85" t="s">
        <v>185</v>
      </c>
      <c r="C511" s="265" t="s">
        <v>186</v>
      </c>
      <c r="D511" s="265"/>
      <c r="E511" s="266" t="s">
        <v>187</v>
      </c>
      <c r="F511" s="267"/>
      <c r="G511" s="267"/>
      <c r="H511" s="268"/>
      <c r="I511" s="95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</row>
    <row r="512" spans="1:41" ht="43.5" x14ac:dyDescent="0.35">
      <c r="A512" s="36" t="s">
        <v>180</v>
      </c>
      <c r="B512" s="36" t="s">
        <v>189</v>
      </c>
      <c r="C512" s="48" t="s">
        <v>188</v>
      </c>
      <c r="D512" s="48" t="s">
        <v>251</v>
      </c>
      <c r="E512" s="36" t="s">
        <v>183</v>
      </c>
      <c r="F512" s="36" t="s">
        <v>181</v>
      </c>
      <c r="G512" s="36" t="s">
        <v>184</v>
      </c>
      <c r="H512" s="36" t="s">
        <v>182</v>
      </c>
      <c r="I512" s="48" t="s">
        <v>213</v>
      </c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</row>
    <row r="513" spans="1:41" x14ac:dyDescent="0.35">
      <c r="A513" s="50"/>
      <c r="B513" s="60"/>
      <c r="C513" s="60"/>
      <c r="D513" s="60"/>
      <c r="E513" s="51"/>
      <c r="F513" s="51"/>
      <c r="G513" s="51"/>
      <c r="H513" s="51"/>
      <c r="I513" s="53" t="str">
        <f>IFERROR(B513/A513,"")</f>
        <v/>
      </c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</row>
    <row r="514" spans="1:41" x14ac:dyDescent="0.35">
      <c r="A514" s="50"/>
      <c r="B514" s="60"/>
      <c r="C514" s="60"/>
      <c r="D514" s="60"/>
      <c r="E514" s="51"/>
      <c r="F514" s="51"/>
      <c r="G514" s="51"/>
      <c r="H514" s="51"/>
      <c r="I514" s="53" t="str">
        <f>IF(A514&lt;&gt;0,(B514-(B513-D513))/(A514-A513),"")</f>
        <v/>
      </c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</row>
    <row r="515" spans="1:41" x14ac:dyDescent="0.35">
      <c r="A515" s="50"/>
      <c r="B515" s="60"/>
      <c r="C515" s="60"/>
      <c r="D515" s="60"/>
      <c r="E515" s="51"/>
      <c r="F515" s="51"/>
      <c r="G515" s="51"/>
      <c r="H515" s="51"/>
      <c r="I515" s="53" t="str">
        <f>IF(A515&lt;&gt;0,(B515-(B514-D514))/(A515-A514),"")</f>
        <v/>
      </c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</row>
    <row r="516" spans="1:41" x14ac:dyDescent="0.35">
      <c r="A516" s="50"/>
      <c r="B516" s="60"/>
      <c r="C516" s="60"/>
      <c r="D516" s="60"/>
      <c r="E516" s="51"/>
      <c r="F516" s="51"/>
      <c r="G516" s="51"/>
      <c r="H516" s="51"/>
      <c r="I516" s="53" t="str">
        <f t="shared" ref="I516:I532" si="20">IF(A516&lt;&gt;0,(B516-(B515-D515))/(A516-A515),"")</f>
        <v/>
      </c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</row>
    <row r="517" spans="1:41" x14ac:dyDescent="0.35">
      <c r="A517" s="50"/>
      <c r="B517" s="60"/>
      <c r="C517" s="60"/>
      <c r="D517" s="60"/>
      <c r="E517" s="51"/>
      <c r="F517" s="51"/>
      <c r="G517" s="51"/>
      <c r="H517" s="51"/>
      <c r="I517" s="53" t="str">
        <f t="shared" si="20"/>
        <v/>
      </c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</row>
    <row r="518" spans="1:41" x14ac:dyDescent="0.35">
      <c r="A518" s="50"/>
      <c r="B518" s="60"/>
      <c r="C518" s="60"/>
      <c r="D518" s="60"/>
      <c r="E518" s="63"/>
      <c r="F518" s="63"/>
      <c r="G518" s="63"/>
      <c r="H518" s="63"/>
      <c r="I518" s="53" t="str">
        <f t="shared" si="20"/>
        <v/>
      </c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</row>
    <row r="519" spans="1:41" x14ac:dyDescent="0.35">
      <c r="A519" s="50"/>
      <c r="B519" s="60"/>
      <c r="C519" s="60"/>
      <c r="D519" s="60"/>
      <c r="E519" s="63"/>
      <c r="F519" s="63"/>
      <c r="G519" s="63"/>
      <c r="H519" s="63"/>
      <c r="I519" s="53" t="str">
        <f t="shared" si="20"/>
        <v/>
      </c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</row>
    <row r="520" spans="1:41" x14ac:dyDescent="0.35">
      <c r="A520" s="55"/>
      <c r="B520" s="55"/>
      <c r="C520" s="55"/>
      <c r="D520" s="55"/>
      <c r="E520" s="63"/>
      <c r="F520" s="63"/>
      <c r="G520" s="63"/>
      <c r="H520" s="63"/>
      <c r="I520" s="53" t="str">
        <f t="shared" si="20"/>
        <v/>
      </c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</row>
    <row r="521" spans="1:41" x14ac:dyDescent="0.35">
      <c r="A521" s="55"/>
      <c r="B521" s="55"/>
      <c r="C521" s="55"/>
      <c r="D521" s="55"/>
      <c r="E521" s="63"/>
      <c r="F521" s="63"/>
      <c r="G521" s="63"/>
      <c r="H521" s="63"/>
      <c r="I521" s="53" t="str">
        <f t="shared" si="20"/>
        <v/>
      </c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</row>
    <row r="522" spans="1:41" x14ac:dyDescent="0.35">
      <c r="A522" s="55"/>
      <c r="B522" s="55"/>
      <c r="C522" s="55"/>
      <c r="D522" s="55"/>
      <c r="E522" s="63"/>
      <c r="F522" s="63"/>
      <c r="G522" s="63"/>
      <c r="H522" s="63"/>
      <c r="I522" s="53" t="str">
        <f t="shared" si="20"/>
        <v/>
      </c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</row>
    <row r="523" spans="1:41" x14ac:dyDescent="0.35">
      <c r="A523" s="55"/>
      <c r="B523" s="55"/>
      <c r="C523" s="55"/>
      <c r="D523" s="55"/>
      <c r="E523" s="63"/>
      <c r="F523" s="63"/>
      <c r="G523" s="63"/>
      <c r="H523" s="63"/>
      <c r="I523" s="53" t="str">
        <f t="shared" si="20"/>
        <v/>
      </c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</row>
    <row r="524" spans="1:41" x14ac:dyDescent="0.35">
      <c r="A524" s="55"/>
      <c r="B524" s="55"/>
      <c r="C524" s="55"/>
      <c r="D524" s="55"/>
      <c r="E524" s="63"/>
      <c r="F524" s="63"/>
      <c r="G524" s="63"/>
      <c r="H524" s="63"/>
      <c r="I524" s="53" t="str">
        <f t="shared" si="20"/>
        <v/>
      </c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</row>
    <row r="525" spans="1:41" x14ac:dyDescent="0.35">
      <c r="A525" s="55"/>
      <c r="B525" s="55"/>
      <c r="C525" s="55"/>
      <c r="D525" s="55"/>
      <c r="E525" s="64"/>
      <c r="F525" s="64"/>
      <c r="G525" s="64"/>
      <c r="H525" s="64"/>
      <c r="I525" s="53" t="str">
        <f t="shared" si="20"/>
        <v/>
      </c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</row>
    <row r="526" spans="1:41" x14ac:dyDescent="0.35">
      <c r="A526" s="88"/>
      <c r="B526" s="60"/>
      <c r="C526" s="88"/>
      <c r="D526" s="60"/>
      <c r="E526" s="54"/>
      <c r="F526" s="54"/>
      <c r="G526" s="54"/>
      <c r="H526" s="54"/>
      <c r="I526" s="53" t="str">
        <f t="shared" si="20"/>
        <v/>
      </c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</row>
    <row r="527" spans="1:41" x14ac:dyDescent="0.35">
      <c r="A527" s="50"/>
      <c r="B527" s="50"/>
      <c r="C527" s="50"/>
      <c r="D527" s="50"/>
      <c r="E527" s="54"/>
      <c r="F527" s="54"/>
      <c r="G527" s="54"/>
      <c r="H527" s="54"/>
      <c r="I527" s="53" t="str">
        <f t="shared" si="20"/>
        <v/>
      </c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</row>
    <row r="528" spans="1:41" x14ac:dyDescent="0.35">
      <c r="A528" s="50"/>
      <c r="B528" s="50"/>
      <c r="C528" s="50"/>
      <c r="D528" s="50"/>
      <c r="E528" s="54"/>
      <c r="F528" s="54"/>
      <c r="G528" s="54"/>
      <c r="H528" s="54"/>
      <c r="I528" s="53" t="str">
        <f t="shared" si="20"/>
        <v/>
      </c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</row>
    <row r="529" spans="1:41" x14ac:dyDescent="0.35">
      <c r="A529" s="50"/>
      <c r="B529" s="50"/>
      <c r="C529" s="50"/>
      <c r="D529" s="50"/>
      <c r="E529" s="54"/>
      <c r="F529" s="54"/>
      <c r="G529" s="54"/>
      <c r="H529" s="54"/>
      <c r="I529" s="53" t="str">
        <f t="shared" si="20"/>
        <v/>
      </c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</row>
    <row r="530" spans="1:41" x14ac:dyDescent="0.35">
      <c r="A530" s="50"/>
      <c r="B530" s="50"/>
      <c r="C530" s="50"/>
      <c r="D530" s="50"/>
      <c r="E530" s="54"/>
      <c r="F530" s="54"/>
      <c r="G530" s="54"/>
      <c r="H530" s="54"/>
      <c r="I530" s="53" t="str">
        <f t="shared" si="20"/>
        <v/>
      </c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</row>
    <row r="531" spans="1:41" x14ac:dyDescent="0.35">
      <c r="A531" s="50"/>
      <c r="B531" s="50"/>
      <c r="C531" s="50"/>
      <c r="D531" s="50"/>
      <c r="E531" s="54"/>
      <c r="F531" s="54"/>
      <c r="G531" s="54"/>
      <c r="H531" s="54"/>
      <c r="I531" s="53" t="str">
        <f t="shared" si="20"/>
        <v/>
      </c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</row>
    <row r="532" spans="1:41" x14ac:dyDescent="0.35">
      <c r="A532" s="50"/>
      <c r="B532" s="50"/>
      <c r="C532" s="50"/>
      <c r="D532" s="50"/>
      <c r="E532" s="54"/>
      <c r="F532" s="54"/>
      <c r="G532" s="54"/>
      <c r="H532" s="54"/>
      <c r="I532" s="53" t="str">
        <f t="shared" si="20"/>
        <v/>
      </c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</row>
    <row r="533" spans="1:41" x14ac:dyDescent="0.35">
      <c r="A533" s="4"/>
      <c r="B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</row>
    <row r="534" spans="1:41" x14ac:dyDescent="0.35">
      <c r="A534" s="4"/>
      <c r="B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</row>
    <row r="535" spans="1:41" x14ac:dyDescent="0.35">
      <c r="A535" s="46" t="s">
        <v>333</v>
      </c>
      <c r="B535" s="52" t="str">
        <f>IF(B28="","",B28)</f>
        <v/>
      </c>
      <c r="D535" s="227" t="s">
        <v>307</v>
      </c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</row>
    <row r="536" spans="1:41" x14ac:dyDescent="0.35">
      <c r="A536" s="46"/>
      <c r="B536" s="96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</row>
    <row r="537" spans="1:41" x14ac:dyDescent="0.35">
      <c r="A537" s="4"/>
      <c r="B537" s="85" t="s">
        <v>185</v>
      </c>
      <c r="C537" s="265" t="s">
        <v>186</v>
      </c>
      <c r="D537" s="265"/>
      <c r="E537" s="266" t="s">
        <v>187</v>
      </c>
      <c r="F537" s="267"/>
      <c r="G537" s="267"/>
      <c r="H537" s="268"/>
      <c r="I537" s="95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</row>
    <row r="538" spans="1:41" ht="43.5" x14ac:dyDescent="0.35">
      <c r="A538" s="36" t="s">
        <v>180</v>
      </c>
      <c r="B538" s="36" t="s">
        <v>189</v>
      </c>
      <c r="C538" s="48" t="s">
        <v>188</v>
      </c>
      <c r="D538" s="48" t="s">
        <v>251</v>
      </c>
      <c r="E538" s="36" t="s">
        <v>183</v>
      </c>
      <c r="F538" s="36" t="s">
        <v>181</v>
      </c>
      <c r="G538" s="36" t="s">
        <v>184</v>
      </c>
      <c r="H538" s="36" t="s">
        <v>182</v>
      </c>
      <c r="I538" s="48" t="s">
        <v>213</v>
      </c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</row>
    <row r="539" spans="1:41" x14ac:dyDescent="0.35">
      <c r="A539" s="50"/>
      <c r="B539" s="60"/>
      <c r="C539" s="60"/>
      <c r="D539" s="60"/>
      <c r="E539" s="51"/>
      <c r="F539" s="51"/>
      <c r="G539" s="51"/>
      <c r="H539" s="51"/>
      <c r="I539" s="53" t="str">
        <f>IFERROR(B539/A539,"")</f>
        <v/>
      </c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</row>
    <row r="540" spans="1:41" x14ac:dyDescent="0.35">
      <c r="A540" s="50"/>
      <c r="B540" s="60"/>
      <c r="C540" s="60"/>
      <c r="D540" s="60"/>
      <c r="E540" s="51"/>
      <c r="F540" s="51"/>
      <c r="G540" s="51"/>
      <c r="H540" s="51"/>
      <c r="I540" s="53" t="str">
        <f>IF(A540&lt;&gt;0,(B540-(B539-D539))/(A540-A539),"")</f>
        <v/>
      </c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</row>
    <row r="541" spans="1:41" x14ac:dyDescent="0.35">
      <c r="A541" s="50"/>
      <c r="B541" s="60"/>
      <c r="C541" s="60"/>
      <c r="D541" s="60"/>
      <c r="E541" s="51"/>
      <c r="F541" s="51"/>
      <c r="G541" s="51"/>
      <c r="H541" s="51"/>
      <c r="I541" s="53" t="str">
        <f t="shared" ref="I541:I558" si="21">IF(A541&lt;&gt;0,(B541-(B540-D540))/(A541-A540),"")</f>
        <v/>
      </c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</row>
    <row r="542" spans="1:41" x14ac:dyDescent="0.35">
      <c r="A542" s="50"/>
      <c r="B542" s="60"/>
      <c r="C542" s="60"/>
      <c r="D542" s="60"/>
      <c r="E542" s="51"/>
      <c r="F542" s="51"/>
      <c r="G542" s="51"/>
      <c r="H542" s="51"/>
      <c r="I542" s="53" t="str">
        <f t="shared" si="21"/>
        <v/>
      </c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</row>
    <row r="543" spans="1:41" x14ac:dyDescent="0.35">
      <c r="A543" s="50"/>
      <c r="B543" s="60"/>
      <c r="C543" s="60"/>
      <c r="D543" s="60"/>
      <c r="E543" s="51"/>
      <c r="F543" s="51"/>
      <c r="G543" s="51"/>
      <c r="H543" s="51"/>
      <c r="I543" s="53" t="str">
        <f t="shared" si="21"/>
        <v/>
      </c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</row>
    <row r="544" spans="1:41" x14ac:dyDescent="0.35">
      <c r="A544" s="50"/>
      <c r="B544" s="60"/>
      <c r="C544" s="50"/>
      <c r="D544" s="60"/>
      <c r="E544" s="63"/>
      <c r="F544" s="63"/>
      <c r="G544" s="63"/>
      <c r="H544" s="63"/>
      <c r="I544" s="53" t="str">
        <f t="shared" si="21"/>
        <v/>
      </c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</row>
    <row r="545" spans="1:41" x14ac:dyDescent="0.35">
      <c r="A545" s="50"/>
      <c r="B545" s="60"/>
      <c r="C545" s="50"/>
      <c r="D545" s="60"/>
      <c r="E545" s="63"/>
      <c r="F545" s="63"/>
      <c r="G545" s="63"/>
      <c r="H545" s="63"/>
      <c r="I545" s="53" t="str">
        <f t="shared" si="21"/>
        <v/>
      </c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</row>
    <row r="546" spans="1:41" x14ac:dyDescent="0.35">
      <c r="A546" s="55"/>
      <c r="B546" s="55"/>
      <c r="C546" s="55"/>
      <c r="D546" s="55"/>
      <c r="E546" s="63"/>
      <c r="F546" s="63"/>
      <c r="G546" s="63"/>
      <c r="H546" s="63"/>
      <c r="I546" s="53" t="str">
        <f t="shared" si="21"/>
        <v/>
      </c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</row>
    <row r="547" spans="1:41" x14ac:dyDescent="0.35">
      <c r="A547" s="55"/>
      <c r="B547" s="55"/>
      <c r="C547" s="55"/>
      <c r="D547" s="55"/>
      <c r="E547" s="63"/>
      <c r="F547" s="63"/>
      <c r="G547" s="63"/>
      <c r="H547" s="63"/>
      <c r="I547" s="53" t="str">
        <f t="shared" si="21"/>
        <v/>
      </c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</row>
    <row r="548" spans="1:41" x14ac:dyDescent="0.35">
      <c r="A548" s="55"/>
      <c r="B548" s="55"/>
      <c r="C548" s="55"/>
      <c r="D548" s="55"/>
      <c r="E548" s="63"/>
      <c r="F548" s="63"/>
      <c r="G548" s="63"/>
      <c r="H548" s="63"/>
      <c r="I548" s="53" t="str">
        <f t="shared" si="21"/>
        <v/>
      </c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</row>
    <row r="549" spans="1:41" x14ac:dyDescent="0.35">
      <c r="A549" s="55"/>
      <c r="B549" s="55"/>
      <c r="C549" s="55"/>
      <c r="D549" s="55"/>
      <c r="E549" s="63"/>
      <c r="F549" s="63"/>
      <c r="G549" s="63"/>
      <c r="H549" s="63"/>
      <c r="I549" s="53" t="str">
        <f t="shared" si="21"/>
        <v/>
      </c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</row>
    <row r="550" spans="1:41" x14ac:dyDescent="0.35">
      <c r="A550" s="55"/>
      <c r="B550" s="55"/>
      <c r="C550" s="55"/>
      <c r="D550" s="55"/>
      <c r="E550" s="63"/>
      <c r="F550" s="63"/>
      <c r="G550" s="63"/>
      <c r="H550" s="63"/>
      <c r="I550" s="53" t="str">
        <f t="shared" si="21"/>
        <v/>
      </c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</row>
    <row r="551" spans="1:41" x14ac:dyDescent="0.35">
      <c r="A551" s="55"/>
      <c r="B551" s="55"/>
      <c r="C551" s="55"/>
      <c r="D551" s="55"/>
      <c r="E551" s="64"/>
      <c r="F551" s="64"/>
      <c r="G551" s="64"/>
      <c r="H551" s="64"/>
      <c r="I551" s="53" t="str">
        <f t="shared" si="21"/>
        <v/>
      </c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</row>
    <row r="552" spans="1:41" x14ac:dyDescent="0.35">
      <c r="A552" s="88"/>
      <c r="B552" s="60"/>
      <c r="C552" s="88"/>
      <c r="D552" s="60"/>
      <c r="E552" s="54"/>
      <c r="F552" s="54"/>
      <c r="G552" s="54"/>
      <c r="H552" s="54"/>
      <c r="I552" s="53" t="str">
        <f t="shared" si="21"/>
        <v/>
      </c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</row>
    <row r="553" spans="1:41" x14ac:dyDescent="0.35">
      <c r="A553" s="50"/>
      <c r="B553" s="50"/>
      <c r="C553" s="50"/>
      <c r="D553" s="50"/>
      <c r="E553" s="51"/>
      <c r="F553" s="51"/>
      <c r="G553" s="51"/>
      <c r="H553" s="51"/>
      <c r="I553" s="53" t="str">
        <f t="shared" si="21"/>
        <v/>
      </c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</row>
    <row r="554" spans="1:41" x14ac:dyDescent="0.35">
      <c r="A554" s="50"/>
      <c r="B554" s="50"/>
      <c r="C554" s="50"/>
      <c r="D554" s="50"/>
      <c r="E554" s="51"/>
      <c r="F554" s="51"/>
      <c r="G554" s="51"/>
      <c r="H554" s="51"/>
      <c r="I554" s="53" t="str">
        <f t="shared" si="21"/>
        <v/>
      </c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</row>
    <row r="555" spans="1:41" x14ac:dyDescent="0.35">
      <c r="A555" s="50"/>
      <c r="B555" s="50"/>
      <c r="C555" s="50"/>
      <c r="D555" s="50"/>
      <c r="E555" s="51"/>
      <c r="F555" s="51"/>
      <c r="G555" s="51"/>
      <c r="H555" s="51"/>
      <c r="I555" s="53" t="str">
        <f t="shared" si="21"/>
        <v/>
      </c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</row>
    <row r="556" spans="1:41" x14ac:dyDescent="0.35">
      <c r="A556" s="50"/>
      <c r="B556" s="50"/>
      <c r="C556" s="50"/>
      <c r="D556" s="50"/>
      <c r="E556" s="51"/>
      <c r="F556" s="51"/>
      <c r="G556" s="51"/>
      <c r="H556" s="51"/>
      <c r="I556" s="53" t="str">
        <f t="shared" si="21"/>
        <v/>
      </c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</row>
    <row r="557" spans="1:41" x14ac:dyDescent="0.35">
      <c r="A557" s="50"/>
      <c r="B557" s="50"/>
      <c r="C557" s="50"/>
      <c r="D557" s="50"/>
      <c r="E557" s="51"/>
      <c r="F557" s="51"/>
      <c r="G557" s="51"/>
      <c r="H557" s="51"/>
      <c r="I557" s="53" t="str">
        <f t="shared" si="21"/>
        <v/>
      </c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</row>
    <row r="558" spans="1:41" x14ac:dyDescent="0.35">
      <c r="A558" s="50"/>
      <c r="B558" s="50"/>
      <c r="C558" s="50"/>
      <c r="D558" s="50"/>
      <c r="E558" s="51"/>
      <c r="F558" s="51"/>
      <c r="G558" s="51"/>
      <c r="H558" s="51"/>
      <c r="I558" s="53" t="str">
        <f t="shared" si="21"/>
        <v/>
      </c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</row>
  </sheetData>
  <sheetProtection algorithmName="SHA-512" hashValue="aVpn4gWldvcZUe6Bmm49VDO0p9UNwvAP0hK+eQ1MiaKQdKEQfKfrO9ieIlukv71HjWL25lqCBjiL4HVtJ76wag==" saltValue="I+YBGfbzCJm7mi5TEMqIBA==" spinCount="100000" sheet="1" objects="1" scenarios="1"/>
  <mergeCells count="47">
    <mergeCell ref="C1:E1"/>
    <mergeCell ref="C96:D96"/>
    <mergeCell ref="E96:H96"/>
    <mergeCell ref="C122:D122"/>
    <mergeCell ref="E122:H122"/>
    <mergeCell ref="B3:F3"/>
    <mergeCell ref="A32:B32"/>
    <mergeCell ref="C70:D70"/>
    <mergeCell ref="E70:H70"/>
    <mergeCell ref="C44:D44"/>
    <mergeCell ref="A7:B7"/>
    <mergeCell ref="A40:B40"/>
    <mergeCell ref="A5:B5"/>
    <mergeCell ref="E44:H44"/>
    <mergeCell ref="D5:E5"/>
    <mergeCell ref="C148:D148"/>
    <mergeCell ref="E148:H148"/>
    <mergeCell ref="C252:D252"/>
    <mergeCell ref="E252:H252"/>
    <mergeCell ref="C278:D278"/>
    <mergeCell ref="E278:H278"/>
    <mergeCell ref="C174:D174"/>
    <mergeCell ref="E174:H174"/>
    <mergeCell ref="C200:D200"/>
    <mergeCell ref="E200:H200"/>
    <mergeCell ref="C226:D226"/>
    <mergeCell ref="E226:H226"/>
    <mergeCell ref="C303:D303"/>
    <mergeCell ref="E303:H303"/>
    <mergeCell ref="C329:D329"/>
    <mergeCell ref="E329:H329"/>
    <mergeCell ref="C355:D355"/>
    <mergeCell ref="E355:H355"/>
    <mergeCell ref="C381:D381"/>
    <mergeCell ref="E381:H381"/>
    <mergeCell ref="C407:D407"/>
    <mergeCell ref="E407:H407"/>
    <mergeCell ref="C433:D433"/>
    <mergeCell ref="E433:H433"/>
    <mergeCell ref="C537:D537"/>
    <mergeCell ref="E537:H537"/>
    <mergeCell ref="C459:D459"/>
    <mergeCell ref="E459:H459"/>
    <mergeCell ref="C485:D485"/>
    <mergeCell ref="E485:H485"/>
    <mergeCell ref="C511:D511"/>
    <mergeCell ref="E511:H511"/>
  </mergeCells>
  <dataValidations count="3">
    <dataValidation type="list" allowBlank="1" showInputMessage="1" showErrorMessage="1" sqref="C34" xr:uid="{00000000-0002-0000-0100-000000000000}">
      <formula1>VAN</formula1>
    </dataValidation>
    <dataValidation type="list" allowBlank="1" showInputMessage="1" showErrorMessage="1" sqref="C36" xr:uid="{00000000-0002-0000-0100-000001000000}">
      <formula1>Incendie</formula1>
    </dataValidation>
    <dataValidation type="list" allowBlank="1" showInputMessage="1" showErrorMessage="1" sqref="C3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28" location="'Données projet'!A535" tooltip="Table de production à compléter ci-dessous" display="Essence 20" xr:uid="{00000000-0004-0000-0100-000009000000}"/>
    <hyperlink ref="A18" location="'Données projet'!A280" tooltip="Table de production à compléter ci-dessous" display="Essence 10" xr:uid="{00000000-0004-0000-0100-00000A000000}"/>
    <hyperlink ref="A19" location="'Données projet'!A301" tooltip="Table de production à compléter ci-dessous" display="Essence 11" xr:uid="{00000000-0004-0000-0100-00000B000000}"/>
    <hyperlink ref="A20:A26" location="'Données projet'!A280" tooltip="Table de production à compléter ci-dessous" display="Essence 10" xr:uid="{00000000-0004-0000-0100-00000C000000}"/>
    <hyperlink ref="A27" location="'Données projet'!A509" tooltip="Table de production à compléter ci-dessous" display="Essence 19" xr:uid="{00000000-0004-0000-0100-00000D000000}"/>
    <hyperlink ref="A20" location="'Données projet'!A327" tooltip="Table de production à compléter ci-dessous" display="Essence 12" xr:uid="{00000000-0004-0000-0100-00000E000000}"/>
    <hyperlink ref="A21" location="'Données projet'!A353" tooltip="Table de production à compléter ci-dessous" display="Essence 13" xr:uid="{00000000-0004-0000-0100-00000F000000}"/>
    <hyperlink ref="A22" location="'Données projet'!A379" tooltip="Table de production à compléter ci-dessous" display="Essence 14" xr:uid="{00000000-0004-0000-0100-000010000000}"/>
    <hyperlink ref="A23" location="'Données projet'!A405" tooltip="Table de production à compléter ci-dessous" display="Essence 15" xr:uid="{00000000-0004-0000-0100-000011000000}"/>
    <hyperlink ref="A24" location="'Données projet'!A431" tooltip="Table de production à compléter ci-dessous" display="Essence 16" xr:uid="{00000000-0004-0000-0100-000012000000}"/>
    <hyperlink ref="A25" location="'Données projet'!A457" tooltip="Table de production à compléter ci-dessous" display="Essence 17" xr:uid="{00000000-0004-0000-0100-000013000000}"/>
    <hyperlink ref="A26" location="'Données projet'!A483" tooltip="Table de production à compléter ci-dessous" display="Essence 18" xr:uid="{00000000-0004-0000-0100-000014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9" sqref="F9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9" t="s">
        <v>191</v>
      </c>
      <c r="C2" s="280"/>
      <c r="D2" s="280"/>
      <c r="E2" s="280"/>
      <c r="F2" s="280"/>
      <c r="G2" s="281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8"/>
      <c r="C4" s="278"/>
      <c r="D4" s="278"/>
      <c r="E4" s="278"/>
      <c r="F4" s="278"/>
      <c r="G4" s="278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3"/>
      <c r="E7" s="101"/>
      <c r="F7" s="26" t="s">
        <v>295</v>
      </c>
      <c r="G7" s="100" t="s">
        <v>215</v>
      </c>
      <c r="H7" s="214"/>
      <c r="I7" s="214"/>
      <c r="J7" s="214"/>
      <c r="K7" s="214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4"/>
      <c r="B13" s="107"/>
      <c r="C13" s="98" t="s">
        <v>273</v>
      </c>
      <c r="D13" s="214"/>
      <c r="E13" s="99"/>
      <c r="F13" s="107"/>
      <c r="G13" s="98" t="s">
        <v>301</v>
      </c>
      <c r="H13" s="214"/>
      <c r="I13" s="214"/>
      <c r="J13" s="214"/>
      <c r="K13" s="214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4"/>
      <c r="B14" s="107"/>
      <c r="C14" s="98" t="s">
        <v>309</v>
      </c>
      <c r="D14" s="214"/>
      <c r="E14" s="99"/>
      <c r="F14" s="107"/>
      <c r="G14" s="98" t="s">
        <v>294</v>
      </c>
      <c r="H14" s="214"/>
      <c r="I14" s="214"/>
      <c r="J14" s="214"/>
      <c r="K14" s="214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PL205"/>
  <sheetViews>
    <sheetView zoomScaleNormal="100" workbookViewId="0">
      <selection activeCell="F4" sqref="F4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219" width="9.453125" style="258" customWidth="1"/>
    <col min="220" max="220" width="9.453125" style="4" customWidth="1"/>
    <col min="221" max="221" width="11.453125" style="4"/>
    <col min="222" max="223" width="14" style="4" customWidth="1"/>
    <col min="224" max="224" width="10.54296875" style="4" bestFit="1" customWidth="1"/>
    <col min="225" max="225" width="9.453125" style="4" bestFit="1" customWidth="1"/>
    <col min="226" max="227" width="10.54296875" style="4" bestFit="1" customWidth="1"/>
    <col min="228" max="230" width="10.54296875" style="4" customWidth="1"/>
    <col min="231" max="231" width="9" style="4" bestFit="1" customWidth="1"/>
    <col min="232" max="232" width="10.54296875" style="4" bestFit="1" customWidth="1"/>
    <col min="233" max="233" width="9.26953125" style="4" bestFit="1" customWidth="1"/>
    <col min="234" max="234" width="11.7265625" style="4" bestFit="1" customWidth="1"/>
    <col min="235" max="235" width="8.453125" style="4" bestFit="1" customWidth="1"/>
    <col min="236" max="236" width="9.453125" style="4" bestFit="1" customWidth="1"/>
    <col min="237" max="237" width="9.7265625" style="4" bestFit="1" customWidth="1"/>
    <col min="238" max="238" width="11" style="4" bestFit="1" customWidth="1"/>
    <col min="239" max="239" width="9.453125" style="4" bestFit="1" customWidth="1"/>
    <col min="240" max="240" width="9.453125" style="258" customWidth="1"/>
    <col min="241" max="241" width="9.453125" style="4" customWidth="1"/>
    <col min="242" max="242" width="11.453125" style="4"/>
    <col min="243" max="244" width="14" style="4" customWidth="1"/>
    <col min="245" max="245" width="10.54296875" style="4" bestFit="1" customWidth="1"/>
    <col min="246" max="246" width="9.453125" style="4" bestFit="1" customWidth="1"/>
    <col min="247" max="248" width="10.54296875" style="4" bestFit="1" customWidth="1"/>
    <col min="249" max="251" width="10.54296875" style="4" customWidth="1"/>
    <col min="252" max="252" width="9" style="4" bestFit="1" customWidth="1"/>
    <col min="253" max="253" width="10.54296875" style="4" bestFit="1" customWidth="1"/>
    <col min="254" max="254" width="9.26953125" style="4" bestFit="1" customWidth="1"/>
    <col min="255" max="255" width="11.7265625" style="4" bestFit="1" customWidth="1"/>
    <col min="256" max="256" width="8.453125" style="4" bestFit="1" customWidth="1"/>
    <col min="257" max="257" width="9.453125" style="4" bestFit="1" customWidth="1"/>
    <col min="258" max="258" width="9.7265625" style="4" bestFit="1" customWidth="1"/>
    <col min="259" max="259" width="11" style="4" bestFit="1" customWidth="1"/>
    <col min="260" max="260" width="9.453125" style="4" bestFit="1" customWidth="1"/>
    <col min="261" max="261" width="9.453125" style="258" customWidth="1"/>
    <col min="262" max="262" width="9.453125" style="4" customWidth="1"/>
    <col min="263" max="263" width="11.453125" style="4"/>
    <col min="264" max="265" width="14" style="4" customWidth="1"/>
    <col min="266" max="266" width="10.54296875" style="4" bestFit="1" customWidth="1"/>
    <col min="267" max="267" width="9.453125" style="4" bestFit="1" customWidth="1"/>
    <col min="268" max="269" width="10.54296875" style="4" bestFit="1" customWidth="1"/>
    <col min="270" max="272" width="10.54296875" style="4" customWidth="1"/>
    <col min="273" max="273" width="9" style="4" bestFit="1" customWidth="1"/>
    <col min="274" max="274" width="10.54296875" style="4" bestFit="1" customWidth="1"/>
    <col min="275" max="275" width="9.26953125" style="4" bestFit="1" customWidth="1"/>
    <col min="276" max="276" width="11.7265625" style="4" bestFit="1" customWidth="1"/>
    <col min="277" max="277" width="8.453125" style="4" bestFit="1" customWidth="1"/>
    <col min="278" max="278" width="9.453125" style="4" bestFit="1" customWidth="1"/>
    <col min="279" max="279" width="9.7265625" style="4" bestFit="1" customWidth="1"/>
    <col min="280" max="280" width="11" style="4" bestFit="1" customWidth="1"/>
    <col min="281" max="281" width="9.453125" style="4" bestFit="1" customWidth="1"/>
    <col min="282" max="282" width="9.453125" style="258" customWidth="1"/>
    <col min="283" max="283" width="9.453125" style="4" customWidth="1"/>
    <col min="284" max="284" width="11.453125" style="4"/>
    <col min="285" max="286" width="14" style="4" customWidth="1"/>
    <col min="287" max="287" width="10.54296875" style="4" bestFit="1" customWidth="1"/>
    <col min="288" max="288" width="9.453125" style="4" bestFit="1" customWidth="1"/>
    <col min="289" max="290" width="10.54296875" style="4" bestFit="1" customWidth="1"/>
    <col min="291" max="293" width="10.54296875" style="4" customWidth="1"/>
    <col min="294" max="294" width="9" style="4" bestFit="1" customWidth="1"/>
    <col min="295" max="295" width="10.54296875" style="4" bestFit="1" customWidth="1"/>
    <col min="296" max="296" width="9.26953125" style="4" bestFit="1" customWidth="1"/>
    <col min="297" max="297" width="11.7265625" style="4" bestFit="1" customWidth="1"/>
    <col min="298" max="298" width="8.453125" style="4" bestFit="1" customWidth="1"/>
    <col min="299" max="299" width="9.453125" style="4" bestFit="1" customWidth="1"/>
    <col min="300" max="300" width="9.7265625" style="4" bestFit="1" customWidth="1"/>
    <col min="301" max="301" width="11" style="4" bestFit="1" customWidth="1"/>
    <col min="302" max="302" width="9.453125" style="4" bestFit="1" customWidth="1"/>
    <col min="303" max="303" width="9.453125" style="258" customWidth="1"/>
    <col min="304" max="304" width="9.453125" style="4" customWidth="1"/>
    <col min="305" max="305" width="11.453125" style="4"/>
    <col min="306" max="307" width="14" style="4" customWidth="1"/>
    <col min="308" max="308" width="10.54296875" style="4" bestFit="1" customWidth="1"/>
    <col min="309" max="309" width="9.453125" style="4" bestFit="1" customWidth="1"/>
    <col min="310" max="311" width="10.54296875" style="4" bestFit="1" customWidth="1"/>
    <col min="312" max="314" width="10.54296875" style="4" customWidth="1"/>
    <col min="315" max="315" width="9" style="4" bestFit="1" customWidth="1"/>
    <col min="316" max="316" width="10.54296875" style="4" bestFit="1" customWidth="1"/>
    <col min="317" max="317" width="9.26953125" style="4" bestFit="1" customWidth="1"/>
    <col min="318" max="318" width="11.7265625" style="4" bestFit="1" customWidth="1"/>
    <col min="319" max="319" width="8.453125" style="4" bestFit="1" customWidth="1"/>
    <col min="320" max="320" width="9.453125" style="4" bestFit="1" customWidth="1"/>
    <col min="321" max="321" width="9.7265625" style="4" bestFit="1" customWidth="1"/>
    <col min="322" max="322" width="11" style="4" bestFit="1" customWidth="1"/>
    <col min="323" max="323" width="9.453125" style="4" bestFit="1" customWidth="1"/>
    <col min="324" max="324" width="9.453125" style="258" customWidth="1"/>
    <col min="325" max="325" width="9.453125" style="4" customWidth="1"/>
    <col min="326" max="326" width="11.453125" style="4"/>
    <col min="327" max="328" width="14" style="4" customWidth="1"/>
    <col min="329" max="329" width="10.54296875" style="4" bestFit="1" customWidth="1"/>
    <col min="330" max="330" width="9.453125" style="4" bestFit="1" customWidth="1"/>
    <col min="331" max="332" width="10.54296875" style="4" bestFit="1" customWidth="1"/>
    <col min="333" max="335" width="10.54296875" style="4" customWidth="1"/>
    <col min="336" max="336" width="9" style="4" bestFit="1" customWidth="1"/>
    <col min="337" max="337" width="10.54296875" style="4" bestFit="1" customWidth="1"/>
    <col min="338" max="338" width="9.26953125" style="4" bestFit="1" customWidth="1"/>
    <col min="339" max="339" width="11.7265625" style="4" bestFit="1" customWidth="1"/>
    <col min="340" max="340" width="8.453125" style="4" bestFit="1" customWidth="1"/>
    <col min="341" max="341" width="9.453125" style="4" bestFit="1" customWidth="1"/>
    <col min="342" max="342" width="9.7265625" style="4" bestFit="1" customWidth="1"/>
    <col min="343" max="343" width="11" style="4" bestFit="1" customWidth="1"/>
    <col min="344" max="344" width="9.453125" style="4" bestFit="1" customWidth="1"/>
    <col min="345" max="345" width="9.453125" style="258" customWidth="1"/>
    <col min="346" max="346" width="9.453125" style="4" customWidth="1"/>
    <col min="347" max="347" width="11.453125" style="4"/>
    <col min="348" max="349" width="14" style="4" customWidth="1"/>
    <col min="350" max="350" width="10.54296875" style="4" bestFit="1" customWidth="1"/>
    <col min="351" max="351" width="9.453125" style="4" bestFit="1" customWidth="1"/>
    <col min="352" max="353" width="10.54296875" style="4" bestFit="1" customWidth="1"/>
    <col min="354" max="356" width="10.54296875" style="4" customWidth="1"/>
    <col min="357" max="357" width="9" style="4" bestFit="1" customWidth="1"/>
    <col min="358" max="358" width="10.54296875" style="4" bestFit="1" customWidth="1"/>
    <col min="359" max="359" width="9.26953125" style="4" bestFit="1" customWidth="1"/>
    <col min="360" max="360" width="11.7265625" style="4" bestFit="1" customWidth="1"/>
    <col min="361" max="361" width="8.453125" style="4" bestFit="1" customWidth="1"/>
    <col min="362" max="362" width="9.453125" style="4" bestFit="1" customWidth="1"/>
    <col min="363" max="363" width="9.7265625" style="4" bestFit="1" customWidth="1"/>
    <col min="364" max="364" width="11" style="4" bestFit="1" customWidth="1"/>
    <col min="365" max="365" width="9.453125" style="4" bestFit="1" customWidth="1"/>
    <col min="366" max="366" width="9.453125" style="258" customWidth="1"/>
    <col min="367" max="367" width="9.453125" style="4" customWidth="1"/>
    <col min="368" max="368" width="11.453125" style="4"/>
    <col min="369" max="370" width="14" style="4" customWidth="1"/>
    <col min="371" max="371" width="10.54296875" style="4" bestFit="1" customWidth="1"/>
    <col min="372" max="372" width="9.453125" style="4" bestFit="1" customWidth="1"/>
    <col min="373" max="374" width="10.54296875" style="4" bestFit="1" customWidth="1"/>
    <col min="375" max="377" width="10.54296875" style="4" customWidth="1"/>
    <col min="378" max="378" width="9" style="4" bestFit="1" customWidth="1"/>
    <col min="379" max="379" width="10.54296875" style="4" bestFit="1" customWidth="1"/>
    <col min="380" max="380" width="9.26953125" style="4" bestFit="1" customWidth="1"/>
    <col min="381" max="381" width="11.7265625" style="4" bestFit="1" customWidth="1"/>
    <col min="382" max="382" width="8.453125" style="4" bestFit="1" customWidth="1"/>
    <col min="383" max="383" width="9.453125" style="4" bestFit="1" customWidth="1"/>
    <col min="384" max="384" width="9.7265625" style="4" bestFit="1" customWidth="1"/>
    <col min="385" max="385" width="11" style="4" bestFit="1" customWidth="1"/>
    <col min="386" max="386" width="9.453125" style="4" bestFit="1" customWidth="1"/>
    <col min="387" max="387" width="9.453125" style="258" customWidth="1"/>
    <col min="388" max="388" width="9.453125" style="4" customWidth="1"/>
    <col min="389" max="389" width="11.453125" style="4"/>
    <col min="390" max="391" width="14" style="4" customWidth="1"/>
    <col min="392" max="392" width="10.54296875" style="4" bestFit="1" customWidth="1"/>
    <col min="393" max="393" width="9.453125" style="4" bestFit="1" customWidth="1"/>
    <col min="394" max="395" width="10.54296875" style="4" bestFit="1" customWidth="1"/>
    <col min="396" max="398" width="10.54296875" style="4" customWidth="1"/>
    <col min="399" max="399" width="9" style="4" bestFit="1" customWidth="1"/>
    <col min="400" max="400" width="10.54296875" style="4" bestFit="1" customWidth="1"/>
    <col min="401" max="401" width="9.26953125" style="4" bestFit="1" customWidth="1"/>
    <col min="402" max="402" width="11.7265625" style="4" bestFit="1" customWidth="1"/>
    <col min="403" max="403" width="8.453125" style="4" bestFit="1" customWidth="1"/>
    <col min="404" max="404" width="9.453125" style="4" bestFit="1" customWidth="1"/>
    <col min="405" max="405" width="9.7265625" style="4" bestFit="1" customWidth="1"/>
    <col min="406" max="406" width="11" style="4" bestFit="1" customWidth="1"/>
    <col min="407" max="407" width="9.453125" style="4" bestFit="1" customWidth="1"/>
    <col min="408" max="408" width="9.453125" style="258" customWidth="1"/>
    <col min="409" max="409" width="9.453125" style="4" customWidth="1"/>
    <col min="410" max="410" width="11.453125" style="4"/>
    <col min="411" max="412" width="14" style="4" customWidth="1"/>
    <col min="413" max="413" width="10.54296875" style="4" bestFit="1" customWidth="1"/>
    <col min="414" max="414" width="9.453125" style="4" bestFit="1" customWidth="1"/>
    <col min="415" max="416" width="10.54296875" style="4" bestFit="1" customWidth="1"/>
    <col min="417" max="419" width="10.54296875" style="4" customWidth="1"/>
    <col min="420" max="420" width="9" style="4" bestFit="1" customWidth="1"/>
    <col min="421" max="421" width="10.54296875" style="4" bestFit="1" customWidth="1"/>
    <col min="422" max="422" width="9.26953125" style="4" bestFit="1" customWidth="1"/>
    <col min="423" max="423" width="11.7265625" style="4" bestFit="1" customWidth="1"/>
    <col min="424" max="424" width="8.453125" style="4" bestFit="1" customWidth="1"/>
    <col min="425" max="425" width="9.453125" style="4" bestFit="1" customWidth="1"/>
    <col min="426" max="426" width="9.7265625" style="4" bestFit="1" customWidth="1"/>
    <col min="427" max="427" width="11" style="4" bestFit="1" customWidth="1"/>
    <col min="428" max="428" width="9.453125" style="4" bestFit="1" customWidth="1"/>
    <col min="429" max="16384" width="11.453125" style="4"/>
  </cols>
  <sheetData>
    <row r="1" spans="1:428" ht="26.5" thickBot="1" x14ac:dyDescent="0.65">
      <c r="B1" s="285" t="s">
        <v>176</v>
      </c>
      <c r="C1" s="286"/>
      <c r="D1" s="286"/>
      <c r="E1" s="286"/>
      <c r="F1" s="286"/>
      <c r="G1" s="286"/>
      <c r="H1" s="287"/>
      <c r="I1" s="282" t="str">
        <f>IF('Données projet'!$B$9="","",'Données projet'!$B$9)</f>
        <v>Douglas</v>
      </c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4"/>
      <c r="AD1" s="283" t="str">
        <f>IF('Données projet'!$B$10="","",'Données projet'!$B$10)</f>
        <v>Chêne sessile</v>
      </c>
      <c r="AE1" s="283"/>
      <c r="AF1" s="283"/>
      <c r="AG1" s="283"/>
      <c r="AH1" s="283"/>
      <c r="AI1" s="283"/>
      <c r="AJ1" s="283"/>
      <c r="AK1" s="283"/>
      <c r="AL1" s="283"/>
      <c r="AM1" s="283"/>
      <c r="AN1" s="283"/>
      <c r="AO1" s="283"/>
      <c r="AP1" s="283"/>
      <c r="AQ1" s="283"/>
      <c r="AR1" s="283"/>
      <c r="AS1" s="283"/>
      <c r="AT1" s="283"/>
      <c r="AU1" s="283"/>
      <c r="AV1" s="283"/>
      <c r="AW1" s="283"/>
      <c r="AX1" s="284"/>
      <c r="AY1" s="282" t="str">
        <f>IF('Données projet'!$B$11="","",'Données projet'!$B$11)</f>
        <v>Séquoia toujours vert</v>
      </c>
      <c r="AZ1" s="283"/>
      <c r="BA1" s="283"/>
      <c r="BB1" s="283"/>
      <c r="BC1" s="283"/>
      <c r="BD1" s="283"/>
      <c r="BE1" s="283"/>
      <c r="BF1" s="283"/>
      <c r="BG1" s="283"/>
      <c r="BH1" s="283"/>
      <c r="BI1" s="283"/>
      <c r="BJ1" s="283"/>
      <c r="BK1" s="283"/>
      <c r="BL1" s="283"/>
      <c r="BM1" s="283"/>
      <c r="BN1" s="283"/>
      <c r="BO1" s="283"/>
      <c r="BP1" s="283"/>
      <c r="BQ1" s="283"/>
      <c r="BR1" s="283"/>
      <c r="BS1" s="284"/>
      <c r="BT1" s="282" t="str">
        <f>IF('Données projet'!$B$12="","",'Données projet'!$B$12)</f>
        <v>Chêne chevelu</v>
      </c>
      <c r="BU1" s="283"/>
      <c r="BV1" s="283"/>
      <c r="BW1" s="283"/>
      <c r="BX1" s="283"/>
      <c r="BY1" s="283"/>
      <c r="BZ1" s="283"/>
      <c r="CA1" s="283"/>
      <c r="CB1" s="283"/>
      <c r="CC1" s="283"/>
      <c r="CD1" s="283"/>
      <c r="CE1" s="283"/>
      <c r="CF1" s="283"/>
      <c r="CG1" s="283"/>
      <c r="CH1" s="283"/>
      <c r="CI1" s="283"/>
      <c r="CJ1" s="283"/>
      <c r="CK1" s="283"/>
      <c r="CL1" s="283"/>
      <c r="CM1" s="283"/>
      <c r="CN1" s="284"/>
      <c r="CO1" s="282" t="str">
        <f>IF('Données projet'!$B$13="","",'Données projet'!$B$13)</f>
        <v>Chêne pubescent</v>
      </c>
      <c r="CP1" s="283"/>
      <c r="CQ1" s="283"/>
      <c r="CR1" s="283"/>
      <c r="CS1" s="283"/>
      <c r="CT1" s="283"/>
      <c r="CU1" s="283"/>
      <c r="CV1" s="283"/>
      <c r="CW1" s="283"/>
      <c r="CX1" s="283"/>
      <c r="CY1" s="283"/>
      <c r="CZ1" s="283"/>
      <c r="DA1" s="283"/>
      <c r="DB1" s="283"/>
      <c r="DC1" s="283"/>
      <c r="DD1" s="283"/>
      <c r="DE1" s="283"/>
      <c r="DF1" s="283"/>
      <c r="DG1" s="283"/>
      <c r="DH1" s="283"/>
      <c r="DI1" s="284"/>
      <c r="DJ1" s="282" t="str">
        <f>IF('Données projet'!$B$14="","",'Données projet'!$B$14)</f>
        <v>Châtaignier</v>
      </c>
      <c r="DK1" s="283"/>
      <c r="DL1" s="283"/>
      <c r="DM1" s="283"/>
      <c r="DN1" s="283"/>
      <c r="DO1" s="283"/>
      <c r="DP1" s="283"/>
      <c r="DQ1" s="283"/>
      <c r="DR1" s="283"/>
      <c r="DS1" s="283"/>
      <c r="DT1" s="283"/>
      <c r="DU1" s="283"/>
      <c r="DV1" s="283"/>
      <c r="DW1" s="283"/>
      <c r="DX1" s="283"/>
      <c r="DY1" s="283"/>
      <c r="DZ1" s="283"/>
      <c r="EA1" s="283"/>
      <c r="EB1" s="283"/>
      <c r="EC1" s="283"/>
      <c r="ED1" s="284"/>
      <c r="EE1" s="282" t="str">
        <f>IF('Données projet'!$B$15="","",'Données projet'!$B$15)</f>
        <v>Cèdre de l'Atlas</v>
      </c>
      <c r="EF1" s="283"/>
      <c r="EG1" s="283"/>
      <c r="EH1" s="283"/>
      <c r="EI1" s="283"/>
      <c r="EJ1" s="283"/>
      <c r="EK1" s="283"/>
      <c r="EL1" s="283"/>
      <c r="EM1" s="283"/>
      <c r="EN1" s="283"/>
      <c r="EO1" s="283"/>
      <c r="EP1" s="283"/>
      <c r="EQ1" s="283"/>
      <c r="ER1" s="283"/>
      <c r="ES1" s="283"/>
      <c r="ET1" s="283"/>
      <c r="EU1" s="283"/>
      <c r="EV1" s="283"/>
      <c r="EW1" s="283"/>
      <c r="EX1" s="283"/>
      <c r="EY1" s="284"/>
      <c r="EZ1" s="282" t="str">
        <f>IF('Données projet'!$B$16="","",'Données projet'!$B$16)</f>
        <v>Chêne chevelu</v>
      </c>
      <c r="FA1" s="283"/>
      <c r="FB1" s="283"/>
      <c r="FC1" s="283"/>
      <c r="FD1" s="283"/>
      <c r="FE1" s="283"/>
      <c r="FF1" s="283"/>
      <c r="FG1" s="283"/>
      <c r="FH1" s="283"/>
      <c r="FI1" s="283"/>
      <c r="FJ1" s="283"/>
      <c r="FK1" s="283"/>
      <c r="FL1" s="283"/>
      <c r="FM1" s="283"/>
      <c r="FN1" s="283"/>
      <c r="FO1" s="283"/>
      <c r="FP1" s="283"/>
      <c r="FQ1" s="283"/>
      <c r="FR1" s="283"/>
      <c r="FS1" s="283"/>
      <c r="FT1" s="284"/>
      <c r="FU1" s="282" t="str">
        <f>IF('Données projet'!$B$17="","",'Données projet'!$B$17)</f>
        <v>Frêne</v>
      </c>
      <c r="FV1" s="283"/>
      <c r="FW1" s="283"/>
      <c r="FX1" s="283"/>
      <c r="FY1" s="283"/>
      <c r="FZ1" s="283"/>
      <c r="GA1" s="283"/>
      <c r="GB1" s="283"/>
      <c r="GC1" s="283"/>
      <c r="GD1" s="283"/>
      <c r="GE1" s="283"/>
      <c r="GF1" s="283"/>
      <c r="GG1" s="283"/>
      <c r="GH1" s="283"/>
      <c r="GI1" s="283"/>
      <c r="GJ1" s="283"/>
      <c r="GK1" s="283"/>
      <c r="GL1" s="283"/>
      <c r="GM1" s="283"/>
      <c r="GN1" s="283"/>
      <c r="GO1" s="284"/>
      <c r="GP1" s="282" t="str">
        <f>IF('Données projet'!$B$18="","",'Données projet'!$B$18)</f>
        <v>Thuya géant</v>
      </c>
      <c r="GQ1" s="283"/>
      <c r="GR1" s="283"/>
      <c r="GS1" s="283"/>
      <c r="GT1" s="283"/>
      <c r="GU1" s="283"/>
      <c r="GV1" s="283"/>
      <c r="GW1" s="283"/>
      <c r="GX1" s="283"/>
      <c r="GY1" s="283"/>
      <c r="GZ1" s="283"/>
      <c r="HA1" s="283"/>
      <c r="HB1" s="283"/>
      <c r="HC1" s="283"/>
      <c r="HD1" s="283"/>
      <c r="HE1" s="283"/>
      <c r="HF1" s="283"/>
      <c r="HG1" s="283"/>
      <c r="HH1" s="283"/>
      <c r="HI1" s="283"/>
      <c r="HJ1" s="284"/>
      <c r="HK1" s="282" t="str">
        <f>IF('Données projet'!$B$19="","",'Données projet'!$B$19)</f>
        <v>Peuplier Koster</v>
      </c>
      <c r="HL1" s="283"/>
      <c r="HM1" s="283"/>
      <c r="HN1" s="283"/>
      <c r="HO1" s="283"/>
      <c r="HP1" s="283"/>
      <c r="HQ1" s="283"/>
      <c r="HR1" s="283"/>
      <c r="HS1" s="283"/>
      <c r="HT1" s="283"/>
      <c r="HU1" s="283"/>
      <c r="HV1" s="283"/>
      <c r="HW1" s="283"/>
      <c r="HX1" s="283"/>
      <c r="HY1" s="283"/>
      <c r="HZ1" s="283"/>
      <c r="IA1" s="283"/>
      <c r="IB1" s="283"/>
      <c r="IC1" s="283"/>
      <c r="ID1" s="283"/>
      <c r="IE1" s="284"/>
      <c r="IF1" s="282" t="str">
        <f>IF('Données projet'!$B$20="","",'Données projet'!$B$20)</f>
        <v>Peuplier Koster</v>
      </c>
      <c r="IG1" s="283"/>
      <c r="IH1" s="283"/>
      <c r="II1" s="283"/>
      <c r="IJ1" s="283"/>
      <c r="IK1" s="283"/>
      <c r="IL1" s="283"/>
      <c r="IM1" s="283"/>
      <c r="IN1" s="283"/>
      <c r="IO1" s="283"/>
      <c r="IP1" s="283"/>
      <c r="IQ1" s="283"/>
      <c r="IR1" s="283"/>
      <c r="IS1" s="283"/>
      <c r="IT1" s="283"/>
      <c r="IU1" s="283"/>
      <c r="IV1" s="283"/>
      <c r="IW1" s="283"/>
      <c r="IX1" s="283"/>
      <c r="IY1" s="283"/>
      <c r="IZ1" s="284"/>
      <c r="JA1" s="282" t="str">
        <f>IF('Données projet'!$B$21="","",'Données projet'!$B$21)</f>
        <v>Orme</v>
      </c>
      <c r="JB1" s="283"/>
      <c r="JC1" s="283"/>
      <c r="JD1" s="283"/>
      <c r="JE1" s="283"/>
      <c r="JF1" s="283"/>
      <c r="JG1" s="283"/>
      <c r="JH1" s="283"/>
      <c r="JI1" s="283"/>
      <c r="JJ1" s="283"/>
      <c r="JK1" s="283"/>
      <c r="JL1" s="283"/>
      <c r="JM1" s="283"/>
      <c r="JN1" s="283"/>
      <c r="JO1" s="283"/>
      <c r="JP1" s="283"/>
      <c r="JQ1" s="283"/>
      <c r="JR1" s="283"/>
      <c r="JS1" s="283"/>
      <c r="JT1" s="283"/>
      <c r="JU1" s="284"/>
      <c r="JV1" s="282" t="str">
        <f>IF('Données projet'!$B$22="","",'Données projet'!$B$22)</f>
        <v>Tilleul</v>
      </c>
      <c r="JW1" s="283"/>
      <c r="JX1" s="283"/>
      <c r="JY1" s="283"/>
      <c r="JZ1" s="283"/>
      <c r="KA1" s="283"/>
      <c r="KB1" s="283"/>
      <c r="KC1" s="283"/>
      <c r="KD1" s="283"/>
      <c r="KE1" s="283"/>
      <c r="KF1" s="283"/>
      <c r="KG1" s="283"/>
      <c r="KH1" s="283"/>
      <c r="KI1" s="283"/>
      <c r="KJ1" s="283"/>
      <c r="KK1" s="283"/>
      <c r="KL1" s="283"/>
      <c r="KM1" s="283"/>
      <c r="KN1" s="283"/>
      <c r="KO1" s="283"/>
      <c r="KP1" s="284"/>
      <c r="KQ1" s="282" t="str">
        <f>IF('Données projet'!$B$23="","",'Données projet'!$B$23)</f>
        <v>Frêne</v>
      </c>
      <c r="KR1" s="283"/>
      <c r="KS1" s="283"/>
      <c r="KT1" s="283"/>
      <c r="KU1" s="283"/>
      <c r="KV1" s="283"/>
      <c r="KW1" s="283"/>
      <c r="KX1" s="283"/>
      <c r="KY1" s="283"/>
      <c r="KZ1" s="283"/>
      <c r="LA1" s="283"/>
      <c r="LB1" s="283"/>
      <c r="LC1" s="283"/>
      <c r="LD1" s="283"/>
      <c r="LE1" s="283"/>
      <c r="LF1" s="283"/>
      <c r="LG1" s="283"/>
      <c r="LH1" s="283"/>
      <c r="LI1" s="283"/>
      <c r="LJ1" s="283"/>
      <c r="LK1" s="284"/>
      <c r="LL1" s="282" t="str">
        <f>IF('Données projet'!$B$24="","",'Données projet'!$B$24)</f>
        <v>Chêne pubescent</v>
      </c>
      <c r="LM1" s="283"/>
      <c r="LN1" s="283"/>
      <c r="LO1" s="283"/>
      <c r="LP1" s="283"/>
      <c r="LQ1" s="283"/>
      <c r="LR1" s="283"/>
      <c r="LS1" s="283"/>
      <c r="LT1" s="283"/>
      <c r="LU1" s="283"/>
      <c r="LV1" s="283"/>
      <c r="LW1" s="283"/>
      <c r="LX1" s="283"/>
      <c r="LY1" s="283"/>
      <c r="LZ1" s="283"/>
      <c r="MA1" s="283"/>
      <c r="MB1" s="283"/>
      <c r="MC1" s="283"/>
      <c r="MD1" s="283"/>
      <c r="ME1" s="283"/>
      <c r="MF1" s="284"/>
      <c r="MG1" s="282" t="str">
        <f>IF('Données projet'!$B$25="","",'Données projet'!$B$25)</f>
        <v/>
      </c>
      <c r="MH1" s="283"/>
      <c r="MI1" s="283"/>
      <c r="MJ1" s="283"/>
      <c r="MK1" s="283"/>
      <c r="ML1" s="283"/>
      <c r="MM1" s="283"/>
      <c r="MN1" s="283"/>
      <c r="MO1" s="283"/>
      <c r="MP1" s="283"/>
      <c r="MQ1" s="283"/>
      <c r="MR1" s="283"/>
      <c r="MS1" s="283"/>
      <c r="MT1" s="283"/>
      <c r="MU1" s="283"/>
      <c r="MV1" s="283"/>
      <c r="MW1" s="283"/>
      <c r="MX1" s="283"/>
      <c r="MY1" s="283"/>
      <c r="MZ1" s="283"/>
      <c r="NA1" s="284"/>
      <c r="NB1" s="282" t="str">
        <f>IF('Données projet'!$B$26="","",'Données projet'!$B$26)</f>
        <v/>
      </c>
      <c r="NC1" s="283"/>
      <c r="ND1" s="283"/>
      <c r="NE1" s="283"/>
      <c r="NF1" s="283"/>
      <c r="NG1" s="283"/>
      <c r="NH1" s="283"/>
      <c r="NI1" s="283"/>
      <c r="NJ1" s="283"/>
      <c r="NK1" s="283"/>
      <c r="NL1" s="283"/>
      <c r="NM1" s="283"/>
      <c r="NN1" s="283"/>
      <c r="NO1" s="283"/>
      <c r="NP1" s="283"/>
      <c r="NQ1" s="283"/>
      <c r="NR1" s="283"/>
      <c r="NS1" s="283"/>
      <c r="NT1" s="283"/>
      <c r="NU1" s="283"/>
      <c r="NV1" s="284"/>
      <c r="NW1" s="282" t="str">
        <f>IF('Données projet'!$B$27="","",'Données projet'!$B$27)</f>
        <v/>
      </c>
      <c r="NX1" s="283"/>
      <c r="NY1" s="283"/>
      <c r="NZ1" s="283"/>
      <c r="OA1" s="283"/>
      <c r="OB1" s="283"/>
      <c r="OC1" s="283"/>
      <c r="OD1" s="283"/>
      <c r="OE1" s="283"/>
      <c r="OF1" s="283"/>
      <c r="OG1" s="283"/>
      <c r="OH1" s="283"/>
      <c r="OI1" s="283"/>
      <c r="OJ1" s="283"/>
      <c r="OK1" s="283"/>
      <c r="OL1" s="283"/>
      <c r="OM1" s="283"/>
      <c r="ON1" s="283"/>
      <c r="OO1" s="283"/>
      <c r="OP1" s="283"/>
      <c r="OQ1" s="284"/>
      <c r="OR1" s="282" t="str">
        <f>IF('Données projet'!$B$28="","",'Données projet'!$B$28)</f>
        <v/>
      </c>
      <c r="OS1" s="283"/>
      <c r="OT1" s="283"/>
      <c r="OU1" s="283"/>
      <c r="OV1" s="283"/>
      <c r="OW1" s="283"/>
      <c r="OX1" s="283"/>
      <c r="OY1" s="283"/>
      <c r="OZ1" s="283"/>
      <c r="PA1" s="283"/>
      <c r="PB1" s="283"/>
      <c r="PC1" s="283"/>
      <c r="PD1" s="283"/>
      <c r="PE1" s="283"/>
      <c r="PF1" s="283"/>
      <c r="PG1" s="283"/>
      <c r="PH1" s="283"/>
      <c r="PI1" s="283"/>
      <c r="PJ1" s="283"/>
      <c r="PK1" s="283"/>
      <c r="PL1" s="284"/>
    </row>
    <row r="2" spans="1:42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  <c r="HK2" s="257" t="s">
        <v>298</v>
      </c>
      <c r="HL2" s="69" t="s">
        <v>297</v>
      </c>
      <c r="HM2" s="6" t="s">
        <v>193</v>
      </c>
      <c r="HN2" s="6" t="s">
        <v>196</v>
      </c>
      <c r="HO2" s="6" t="s">
        <v>196</v>
      </c>
      <c r="HP2" s="6" t="s">
        <v>197</v>
      </c>
      <c r="HQ2" s="6" t="s">
        <v>199</v>
      </c>
      <c r="HR2" s="6" t="s">
        <v>198</v>
      </c>
      <c r="HS2" s="6" t="s">
        <v>302</v>
      </c>
      <c r="HT2" s="6" t="s">
        <v>300</v>
      </c>
      <c r="HU2" s="6" t="s">
        <v>308</v>
      </c>
      <c r="HV2" s="6" t="s">
        <v>303</v>
      </c>
      <c r="HW2" s="7" t="s">
        <v>200</v>
      </c>
      <c r="HX2" s="8" t="s">
        <v>201</v>
      </c>
      <c r="HY2" s="7" t="s">
        <v>183</v>
      </c>
      <c r="HZ2" s="7" t="s">
        <v>181</v>
      </c>
      <c r="IA2" s="8" t="s">
        <v>247</v>
      </c>
      <c r="IB2" s="8" t="s">
        <v>203</v>
      </c>
      <c r="IC2" s="8" t="s">
        <v>204</v>
      </c>
      <c r="ID2" s="8" t="s">
        <v>205</v>
      </c>
      <c r="IE2" s="9" t="s">
        <v>206</v>
      </c>
      <c r="IF2" s="257" t="s">
        <v>298</v>
      </c>
      <c r="IG2" s="69" t="s">
        <v>297</v>
      </c>
      <c r="IH2" s="6" t="s">
        <v>193</v>
      </c>
      <c r="II2" s="6" t="s">
        <v>196</v>
      </c>
      <c r="IJ2" s="6" t="s">
        <v>196</v>
      </c>
      <c r="IK2" s="6" t="s">
        <v>197</v>
      </c>
      <c r="IL2" s="6" t="s">
        <v>199</v>
      </c>
      <c r="IM2" s="6" t="s">
        <v>198</v>
      </c>
      <c r="IN2" s="6" t="s">
        <v>302</v>
      </c>
      <c r="IO2" s="6" t="s">
        <v>300</v>
      </c>
      <c r="IP2" s="6" t="s">
        <v>308</v>
      </c>
      <c r="IQ2" s="6" t="s">
        <v>303</v>
      </c>
      <c r="IR2" s="7" t="s">
        <v>200</v>
      </c>
      <c r="IS2" s="8" t="s">
        <v>201</v>
      </c>
      <c r="IT2" s="7" t="s">
        <v>183</v>
      </c>
      <c r="IU2" s="7" t="s">
        <v>181</v>
      </c>
      <c r="IV2" s="8" t="s">
        <v>247</v>
      </c>
      <c r="IW2" s="8" t="s">
        <v>203</v>
      </c>
      <c r="IX2" s="8" t="s">
        <v>204</v>
      </c>
      <c r="IY2" s="8" t="s">
        <v>205</v>
      </c>
      <c r="IZ2" s="9" t="s">
        <v>206</v>
      </c>
      <c r="JA2" s="257" t="s">
        <v>298</v>
      </c>
      <c r="JB2" s="69" t="s">
        <v>297</v>
      </c>
      <c r="JC2" s="6" t="s">
        <v>193</v>
      </c>
      <c r="JD2" s="6" t="s">
        <v>196</v>
      </c>
      <c r="JE2" s="6" t="s">
        <v>196</v>
      </c>
      <c r="JF2" s="6" t="s">
        <v>197</v>
      </c>
      <c r="JG2" s="6" t="s">
        <v>199</v>
      </c>
      <c r="JH2" s="6" t="s">
        <v>198</v>
      </c>
      <c r="JI2" s="6" t="s">
        <v>302</v>
      </c>
      <c r="JJ2" s="6" t="s">
        <v>300</v>
      </c>
      <c r="JK2" s="6" t="s">
        <v>308</v>
      </c>
      <c r="JL2" s="6" t="s">
        <v>303</v>
      </c>
      <c r="JM2" s="7" t="s">
        <v>200</v>
      </c>
      <c r="JN2" s="8" t="s">
        <v>201</v>
      </c>
      <c r="JO2" s="7" t="s">
        <v>183</v>
      </c>
      <c r="JP2" s="7" t="s">
        <v>181</v>
      </c>
      <c r="JQ2" s="8" t="s">
        <v>247</v>
      </c>
      <c r="JR2" s="8" t="s">
        <v>203</v>
      </c>
      <c r="JS2" s="8" t="s">
        <v>204</v>
      </c>
      <c r="JT2" s="8" t="s">
        <v>205</v>
      </c>
      <c r="JU2" s="9" t="s">
        <v>206</v>
      </c>
      <c r="JV2" s="257" t="s">
        <v>298</v>
      </c>
      <c r="JW2" s="69" t="s">
        <v>297</v>
      </c>
      <c r="JX2" s="6" t="s">
        <v>193</v>
      </c>
      <c r="JY2" s="6" t="s">
        <v>196</v>
      </c>
      <c r="JZ2" s="6" t="s">
        <v>196</v>
      </c>
      <c r="KA2" s="6" t="s">
        <v>197</v>
      </c>
      <c r="KB2" s="6" t="s">
        <v>199</v>
      </c>
      <c r="KC2" s="6" t="s">
        <v>198</v>
      </c>
      <c r="KD2" s="6" t="s">
        <v>302</v>
      </c>
      <c r="KE2" s="6" t="s">
        <v>300</v>
      </c>
      <c r="KF2" s="6" t="s">
        <v>308</v>
      </c>
      <c r="KG2" s="6" t="s">
        <v>303</v>
      </c>
      <c r="KH2" s="7" t="s">
        <v>200</v>
      </c>
      <c r="KI2" s="8" t="s">
        <v>201</v>
      </c>
      <c r="KJ2" s="7" t="s">
        <v>183</v>
      </c>
      <c r="KK2" s="7" t="s">
        <v>181</v>
      </c>
      <c r="KL2" s="8" t="s">
        <v>247</v>
      </c>
      <c r="KM2" s="8" t="s">
        <v>203</v>
      </c>
      <c r="KN2" s="8" t="s">
        <v>204</v>
      </c>
      <c r="KO2" s="8" t="s">
        <v>205</v>
      </c>
      <c r="KP2" s="9" t="s">
        <v>206</v>
      </c>
      <c r="KQ2" s="257" t="s">
        <v>298</v>
      </c>
      <c r="KR2" s="69" t="s">
        <v>297</v>
      </c>
      <c r="KS2" s="6" t="s">
        <v>193</v>
      </c>
      <c r="KT2" s="6" t="s">
        <v>196</v>
      </c>
      <c r="KU2" s="6" t="s">
        <v>196</v>
      </c>
      <c r="KV2" s="6" t="s">
        <v>197</v>
      </c>
      <c r="KW2" s="6" t="s">
        <v>199</v>
      </c>
      <c r="KX2" s="6" t="s">
        <v>198</v>
      </c>
      <c r="KY2" s="6" t="s">
        <v>302</v>
      </c>
      <c r="KZ2" s="6" t="s">
        <v>300</v>
      </c>
      <c r="LA2" s="6" t="s">
        <v>308</v>
      </c>
      <c r="LB2" s="6" t="s">
        <v>303</v>
      </c>
      <c r="LC2" s="7" t="s">
        <v>200</v>
      </c>
      <c r="LD2" s="8" t="s">
        <v>201</v>
      </c>
      <c r="LE2" s="7" t="s">
        <v>183</v>
      </c>
      <c r="LF2" s="7" t="s">
        <v>181</v>
      </c>
      <c r="LG2" s="8" t="s">
        <v>247</v>
      </c>
      <c r="LH2" s="8" t="s">
        <v>203</v>
      </c>
      <c r="LI2" s="8" t="s">
        <v>204</v>
      </c>
      <c r="LJ2" s="8" t="s">
        <v>205</v>
      </c>
      <c r="LK2" s="9" t="s">
        <v>206</v>
      </c>
      <c r="LL2" s="257" t="s">
        <v>298</v>
      </c>
      <c r="LM2" s="69" t="s">
        <v>297</v>
      </c>
      <c r="LN2" s="6" t="s">
        <v>193</v>
      </c>
      <c r="LO2" s="6" t="s">
        <v>196</v>
      </c>
      <c r="LP2" s="6" t="s">
        <v>196</v>
      </c>
      <c r="LQ2" s="6" t="s">
        <v>197</v>
      </c>
      <c r="LR2" s="6" t="s">
        <v>199</v>
      </c>
      <c r="LS2" s="6" t="s">
        <v>198</v>
      </c>
      <c r="LT2" s="6" t="s">
        <v>302</v>
      </c>
      <c r="LU2" s="6" t="s">
        <v>300</v>
      </c>
      <c r="LV2" s="6" t="s">
        <v>308</v>
      </c>
      <c r="LW2" s="6" t="s">
        <v>303</v>
      </c>
      <c r="LX2" s="7" t="s">
        <v>200</v>
      </c>
      <c r="LY2" s="8" t="s">
        <v>201</v>
      </c>
      <c r="LZ2" s="7" t="s">
        <v>183</v>
      </c>
      <c r="MA2" s="7" t="s">
        <v>181</v>
      </c>
      <c r="MB2" s="8" t="s">
        <v>247</v>
      </c>
      <c r="MC2" s="8" t="s">
        <v>203</v>
      </c>
      <c r="MD2" s="8" t="s">
        <v>204</v>
      </c>
      <c r="ME2" s="8" t="s">
        <v>205</v>
      </c>
      <c r="MF2" s="9" t="s">
        <v>206</v>
      </c>
      <c r="MG2" s="257" t="s">
        <v>298</v>
      </c>
      <c r="MH2" s="69" t="s">
        <v>297</v>
      </c>
      <c r="MI2" s="6" t="s">
        <v>193</v>
      </c>
      <c r="MJ2" s="6" t="s">
        <v>196</v>
      </c>
      <c r="MK2" s="6" t="s">
        <v>196</v>
      </c>
      <c r="ML2" s="6" t="s">
        <v>197</v>
      </c>
      <c r="MM2" s="6" t="s">
        <v>199</v>
      </c>
      <c r="MN2" s="6" t="s">
        <v>198</v>
      </c>
      <c r="MO2" s="6" t="s">
        <v>302</v>
      </c>
      <c r="MP2" s="6" t="s">
        <v>300</v>
      </c>
      <c r="MQ2" s="6" t="s">
        <v>308</v>
      </c>
      <c r="MR2" s="6" t="s">
        <v>303</v>
      </c>
      <c r="MS2" s="7" t="s">
        <v>200</v>
      </c>
      <c r="MT2" s="8" t="s">
        <v>201</v>
      </c>
      <c r="MU2" s="7" t="s">
        <v>183</v>
      </c>
      <c r="MV2" s="7" t="s">
        <v>181</v>
      </c>
      <c r="MW2" s="8" t="s">
        <v>247</v>
      </c>
      <c r="MX2" s="8" t="s">
        <v>203</v>
      </c>
      <c r="MY2" s="8" t="s">
        <v>204</v>
      </c>
      <c r="MZ2" s="8" t="s">
        <v>205</v>
      </c>
      <c r="NA2" s="9" t="s">
        <v>206</v>
      </c>
      <c r="NB2" s="257" t="s">
        <v>298</v>
      </c>
      <c r="NC2" s="69" t="s">
        <v>297</v>
      </c>
      <c r="ND2" s="6" t="s">
        <v>193</v>
      </c>
      <c r="NE2" s="6" t="s">
        <v>196</v>
      </c>
      <c r="NF2" s="6" t="s">
        <v>196</v>
      </c>
      <c r="NG2" s="6" t="s">
        <v>197</v>
      </c>
      <c r="NH2" s="6" t="s">
        <v>199</v>
      </c>
      <c r="NI2" s="6" t="s">
        <v>198</v>
      </c>
      <c r="NJ2" s="6" t="s">
        <v>302</v>
      </c>
      <c r="NK2" s="6" t="s">
        <v>300</v>
      </c>
      <c r="NL2" s="6" t="s">
        <v>308</v>
      </c>
      <c r="NM2" s="6" t="s">
        <v>303</v>
      </c>
      <c r="NN2" s="7" t="s">
        <v>200</v>
      </c>
      <c r="NO2" s="8" t="s">
        <v>201</v>
      </c>
      <c r="NP2" s="7" t="s">
        <v>183</v>
      </c>
      <c r="NQ2" s="7" t="s">
        <v>181</v>
      </c>
      <c r="NR2" s="8" t="s">
        <v>247</v>
      </c>
      <c r="NS2" s="8" t="s">
        <v>203</v>
      </c>
      <c r="NT2" s="8" t="s">
        <v>204</v>
      </c>
      <c r="NU2" s="8" t="s">
        <v>205</v>
      </c>
      <c r="NV2" s="9" t="s">
        <v>206</v>
      </c>
      <c r="NW2" s="257" t="s">
        <v>298</v>
      </c>
      <c r="NX2" s="69" t="s">
        <v>297</v>
      </c>
      <c r="NY2" s="6" t="s">
        <v>193</v>
      </c>
      <c r="NZ2" s="6" t="s">
        <v>196</v>
      </c>
      <c r="OA2" s="6" t="s">
        <v>196</v>
      </c>
      <c r="OB2" s="6" t="s">
        <v>197</v>
      </c>
      <c r="OC2" s="6" t="s">
        <v>199</v>
      </c>
      <c r="OD2" s="6" t="s">
        <v>198</v>
      </c>
      <c r="OE2" s="6" t="s">
        <v>302</v>
      </c>
      <c r="OF2" s="6" t="s">
        <v>300</v>
      </c>
      <c r="OG2" s="6" t="s">
        <v>308</v>
      </c>
      <c r="OH2" s="6" t="s">
        <v>303</v>
      </c>
      <c r="OI2" s="7" t="s">
        <v>200</v>
      </c>
      <c r="OJ2" s="8" t="s">
        <v>201</v>
      </c>
      <c r="OK2" s="7" t="s">
        <v>183</v>
      </c>
      <c r="OL2" s="7" t="s">
        <v>181</v>
      </c>
      <c r="OM2" s="8" t="s">
        <v>247</v>
      </c>
      <c r="ON2" s="8" t="s">
        <v>203</v>
      </c>
      <c r="OO2" s="8" t="s">
        <v>204</v>
      </c>
      <c r="OP2" s="8" t="s">
        <v>205</v>
      </c>
      <c r="OQ2" s="9" t="s">
        <v>206</v>
      </c>
      <c r="OR2" s="257" t="s">
        <v>298</v>
      </c>
      <c r="OS2" s="69" t="s">
        <v>297</v>
      </c>
      <c r="OT2" s="6" t="s">
        <v>193</v>
      </c>
      <c r="OU2" s="6" t="s">
        <v>196</v>
      </c>
      <c r="OV2" s="6" t="s">
        <v>196</v>
      </c>
      <c r="OW2" s="6" t="s">
        <v>197</v>
      </c>
      <c r="OX2" s="6" t="s">
        <v>199</v>
      </c>
      <c r="OY2" s="6" t="s">
        <v>198</v>
      </c>
      <c r="OZ2" s="6" t="s">
        <v>302</v>
      </c>
      <c r="PA2" s="6" t="s">
        <v>300</v>
      </c>
      <c r="PB2" s="6" t="s">
        <v>308</v>
      </c>
      <c r="PC2" s="6" t="s">
        <v>303</v>
      </c>
      <c r="PD2" s="7" t="s">
        <v>200</v>
      </c>
      <c r="PE2" s="8" t="s">
        <v>201</v>
      </c>
      <c r="PF2" s="7" t="s">
        <v>183</v>
      </c>
      <c r="PG2" s="7" t="s">
        <v>181</v>
      </c>
      <c r="PH2" s="8" t="s">
        <v>247</v>
      </c>
      <c r="PI2" s="8" t="s">
        <v>203</v>
      </c>
      <c r="PJ2" s="8" t="s">
        <v>204</v>
      </c>
      <c r="PK2" s="8" t="s">
        <v>205</v>
      </c>
      <c r="PL2" s="9" t="s">
        <v>206</v>
      </c>
    </row>
    <row r="3" spans="1:42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projet'!$A$45:$I$65,9,0)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274.57619581652199</v>
      </c>
      <c r="T3" s="59">
        <f>IF('Données projet'!E9&gt;30,$R$33-$H$33,LOOKUP('Données projet'!$E$9,$A$3:$A$203,R3:R203)-LOOKUP('Données projet'!$E$9,$A$3:$A$203,$H$3:$H$203))</f>
        <v>366.15117322598775</v>
      </c>
      <c r="U3" s="15">
        <f>IF(ISNA(VLOOKUP(A3,'Données projet'!$A$45:$I$65,3,0)),0,VLOOKUP(A3,'Données projet'!$A$45:$I$65,3,0))</f>
        <v>0</v>
      </c>
      <c r="V3" s="15">
        <f>IF(ISNA(VLOOKUP(A3,'Données projet'!$A$45:$I$65,4,0)),0,VLOOKUP(A3,'Données projet'!$A$45:$I$65,4,0))</f>
        <v>0</v>
      </c>
      <c r="W3" s="16">
        <f>IF(ISNA(VLOOKUP(A3,'Données projet'!$A$45:$I$65,5,0)),0%,VLOOKUP(A3,'Données projet'!$A$45:$I$65,5,0)*VLOOKUP('Données projet'!$B$9,Paramètres!$A$1:$I$89,7,0))</f>
        <v>0</v>
      </c>
      <c r="X3" s="16">
        <f>IF(ISNA(VLOOKUP(A3,'Données projet'!$A$45:$I$65,6,0)),0%,VLOOKUP(A3,'Données projet'!$A$45:$I$65,6,0)*VLOOKUP('Données projet'!$B$9,Paramètres!$A$1:$I$89,7,0))</f>
        <v>0</v>
      </c>
      <c r="Y3" s="16">
        <f>IF(ISNA(VLOOKUP(A3,'Données projet'!$A$45:$I$65,7,0)),0%,VLOOKUP(A3,'Données projet'!$A$45:$I$65,7,0))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projet'!$A$71:$I$91,9,0)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270.87836509222456</v>
      </c>
      <c r="AO3" s="59">
        <f>IF('Données projet'!E10&gt;30,$AM$33-$H$33,LOOKUP('Données projet'!$E$10,$A$3:$A$203,AM3:AM203)-LOOKUP('Données projet'!$E$10,$A$3:$A$203,$H$3:$H$203))</f>
        <v>205.24998237949734</v>
      </c>
      <c r="AP3" s="15">
        <f>IF(ISNA(VLOOKUP(A3,'Données projet'!$A$71:$I$91,3,0)),0,VLOOKUP(A3,'Données projet'!$A$71:$I$91,3,0))</f>
        <v>0</v>
      </c>
      <c r="AQ3" s="15">
        <f>IF(ISNA(VLOOKUP(A3,'Données projet'!$A$71:$I$91,4,0)),0,VLOOKUP(A3,'Données projet'!$A$71:$I$91,4,0))</f>
        <v>0</v>
      </c>
      <c r="AR3" s="16">
        <f>IF(ISNA(VLOOKUP(A3,'Données projet'!$A$71:$I$91,5,0)),0%,VLOOKUP(A3,'Données projet'!$A$71:$I$91,5,0)*VLOOKUP('Données projet'!$B$10,Paramètres!$A$1:$I$89,7,0))</f>
        <v>0</v>
      </c>
      <c r="AS3" s="16">
        <f>IF(ISNA(VLOOKUP(A3,'Données projet'!$A$71:$I$91,6,0)),0%,VLOOKUP(A3,'Données projet'!$A$71:$I$91,6,0)*VLOOKUP('Données projet'!$B$10,Paramètres!$A$1:$I$89,7,0))</f>
        <v>0</v>
      </c>
      <c r="AT3" s="16">
        <f>IF(ISNA(VLOOKUP(A3,'Données projet'!$A$71:$I$91,7,0)),0%,VLOOKUP(A3,'Données projet'!$A$71:$I$91,7,0))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projet'!$A$97:$I$117,9,0)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211.31057120485542</v>
      </c>
      <c r="BJ3" s="59">
        <f>IF('Données projet'!E11&gt;30,$BH$33-$H$33,LOOKUP('Données projet'!$E$11,$A$3:$A$203,BH3:BH203)-LOOKUP('Données projet'!$E$11,$A$3:$A$203,$H$3:$H$203))</f>
        <v>283.33292006714777</v>
      </c>
      <c r="BK3" s="15">
        <f>IF(ISNA(VLOOKUP(A3,'Données projet'!$A$97:$I$117,3,0)),0,VLOOKUP(A3,'Données projet'!$A$97:$I$117,3,0))</f>
        <v>0</v>
      </c>
      <c r="BL3" s="15">
        <f>IF(ISNA(VLOOKUP(A3,'Données projet'!$A$97:$I$117,4,0)),0,VLOOKUP(A3,'Données projet'!$A$97:$I$117,4,0))</f>
        <v>0</v>
      </c>
      <c r="BM3" s="16">
        <f>IF(ISNA(VLOOKUP(A3,'Données projet'!$A$97:$I$117,5,0)),0%,VLOOKUP(A3,'Données projet'!$A$97:$I$117,5,0)*VLOOKUP('Données projet'!$B$11,Paramètres!$A$1:$I$89,7,0))</f>
        <v>0</v>
      </c>
      <c r="BN3" s="16">
        <f>IF(ISNA(VLOOKUP(A3,'Données projet'!$A$97:$I$117,6,0)),0%,VLOOKUP(A3,'Données projet'!$A$97:$I$117,6,0)*VLOOKUP('Données projet'!$B$11,Paramètres!$A$1:$I$89,7,0))</f>
        <v>0</v>
      </c>
      <c r="BO3" s="16">
        <f>IF(ISNA(VLOOKUP(A3,'Données projet'!$A$97:$I$117,7,0)),0%,VLOOKUP(A3,'Données projet'!$A$97:$I$117,7,0))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projet'!$A$123:$I$143,9,0)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322.93502595881938</v>
      </c>
      <c r="CE3" s="59">
        <f>IF('Données projet'!E12&gt;30,$CC$33-$H$33,LOOKUP('Données projet'!$E$12,$A$3:$A$203,CC3:CC203)-LOOKUP('Données projet'!$E$12,$A$3:$A$203,$H$3:$H$203))</f>
        <v>302.67072119588164</v>
      </c>
      <c r="CF3" s="15">
        <f>IF(ISNA(VLOOKUP(A3,'Données projet'!$A$123:$I$143,3,0)),0,VLOOKUP(A3,'Données projet'!$A$123:$I$143,3,0))</f>
        <v>0</v>
      </c>
      <c r="CG3" s="15">
        <f>IF(ISNA(VLOOKUP(A3,'Données projet'!$A$123:$I$143,4,0)),0,VLOOKUP(A3,'Données projet'!$A$123:$I$143,4,0))</f>
        <v>0</v>
      </c>
      <c r="CH3" s="16">
        <f>IF(ISNA(VLOOKUP(A3,'Données projet'!$A$123:$I$143,5,0)),0%,VLOOKUP(A3,'Données projet'!$A$123:$I$143,5,0)*VLOOKUP('Données projet'!$B$12,Paramètres!$A$1:$I$89,7,0))</f>
        <v>0</v>
      </c>
      <c r="CI3" s="16">
        <f>IF(ISNA(VLOOKUP(A3,'Données projet'!$A$123:$I$143,6,0)),0%,VLOOKUP(A3,'Données projet'!$A$123:$I$143,6,0)*VLOOKUP('Données projet'!$B$12,Paramètres!$A$1:$I$89,7,0))</f>
        <v>0</v>
      </c>
      <c r="CJ3" s="16">
        <f>IF(ISNA(VLOOKUP(A3,'Données projet'!$A$123:$I$143,7,0)),0%,VLOOKUP(A3,'Données projet'!$A$123:$I$143,7,0))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projet'!$A$149:$I$169,9,0)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250.31277422753283</v>
      </c>
      <c r="CZ3" s="59">
        <f>IF('Données projet'!E13&gt;30,$CX$33-$H$33,LOOKUP('Données projet'!$E$13,$A$3:$A$203,CX3:CX203)-LOOKUP('Données projet'!$E$13,$A$3:$A$203,$H$3:$H$203))</f>
        <v>159.20429420478047</v>
      </c>
      <c r="DA3" s="15">
        <f>IF(ISNA(VLOOKUP(A3,'Données projet'!$A$149:$I$169,3,0)),0,VLOOKUP(A3,'Données projet'!$A$149:$I$169,3,0))</f>
        <v>0</v>
      </c>
      <c r="DB3" s="15">
        <f>IF(ISNA(VLOOKUP(A3,'Données projet'!$A$149:$I$169,4,0)),0,VLOOKUP(A3,'Données projet'!$A$149:$I$169,4,0))</f>
        <v>0</v>
      </c>
      <c r="DC3" s="16">
        <f>IF(ISNA(VLOOKUP(A3,'Données projet'!$A$149:$I$169,5,0)),0%,VLOOKUP(A3,'Données projet'!$A$149:$I$169,5,0)*VLOOKUP('Données projet'!$B$13,Paramètres!$A$1:$I$89,7,0))</f>
        <v>0</v>
      </c>
      <c r="DD3" s="16">
        <f>IF(ISNA(VLOOKUP(A3,'Données projet'!$A$149:$I$169,6,0)),0%,VLOOKUP(A3,'Données projet'!$A$149:$I$169,6,0)*VLOOKUP('Données projet'!$B$13,Paramètres!$A$1:$I$89,7,0))</f>
        <v>0</v>
      </c>
      <c r="DE3" s="16">
        <f>IF(ISNA(VLOOKUP(A3,'Données projet'!$A$149:$I$169,7,0)),0%,VLOOKUP(A3,'Données projet'!$A$149:$I$169,7,0))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projet'!$A$175:$I$195,9,0)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296.91321813251051</v>
      </c>
      <c r="DU3" s="59">
        <f>IF('Données projet'!E14&gt;30,$DS$33-$H$33,LOOKUP('Données projet'!$E$14,$A$3:$A$203,DS3:DS203)-LOOKUP('Données projet'!$E$14,$A$3:$A$203,$H$3:$H$203))</f>
        <v>291.0718079639509</v>
      </c>
      <c r="DV3" s="15">
        <f>IF(ISNA(VLOOKUP(A3,'Données projet'!$A$175:$I$195,3,0)),0,VLOOKUP(A3,'Données projet'!$A$175:$I$195,3,0))</f>
        <v>0</v>
      </c>
      <c r="DW3" s="15">
        <f>IF(ISNA(VLOOKUP(A3,'Données projet'!$A$175:$I$195,4,0)),0,VLOOKUP(A3,'Données projet'!$A$175:$I$195,4,0))</f>
        <v>0</v>
      </c>
      <c r="DX3" s="16">
        <f>IF(ISNA(VLOOKUP(A3,'Données projet'!$A$175:$I$195,5,0)),0%,VLOOKUP(A3,'Données projet'!$A$175:$I$195,5,0)*VLOOKUP('Données projet'!$B$14,Paramètres!$A$1:$I$89,7,0))</f>
        <v>0</v>
      </c>
      <c r="DY3" s="16">
        <f>IF(ISNA(VLOOKUP(A3,'Données projet'!$A$175:$I$195,6,0)),0%,VLOOKUP(A3,'Données projet'!$A$175:$I$195,6,0)*VLOOKUP('Données projet'!$B$14,Paramètres!$A$1:$I$89,7,0))</f>
        <v>0</v>
      </c>
      <c r="DZ3" s="16">
        <f>IF(ISNA(VLOOKUP(A3,'Données projet'!$A$175:$I$195,7,0)),0%,VLOOKUP(A3,'Données projet'!$A$175:$I$195,7,0))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projet'!$A$201:$I$221,9,0)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147.64256291235483</v>
      </c>
      <c r="EP3" s="59">
        <f>IF('Données projet'!E15&gt;30,$EN$33-$H$33,LOOKUP('Données projet'!$E$15,$A$3:$A$203,EN3:EN203)-LOOKUP('Données projet'!$E$15,$A$3:$A$203,$H$3:$H$203))</f>
        <v>70.859031694091868</v>
      </c>
      <c r="EQ3" s="15">
        <f>IF(ISNA(VLOOKUP(A3,'Données projet'!$A$201:$I$221,3,0)),0,VLOOKUP(A3,'Données projet'!$A$201:$I$221,3,0))</f>
        <v>0</v>
      </c>
      <c r="ER3" s="15">
        <f>IF(ISNA(VLOOKUP(A3,'Données projet'!$A$201:$I$221,4,0)),0,VLOOKUP(A3,'Données projet'!$A$201:$I$221,4,0))</f>
        <v>0</v>
      </c>
      <c r="ES3" s="16">
        <f>IF(ISNA(VLOOKUP(A3,'Données projet'!$A$201:$I$221,5,0)),0%,VLOOKUP(A3,'Données projet'!$A$201:$I$221,5,0)*VLOOKUP('Données projet'!$B$15,Paramètres!$A$1:$I$89,7,0))</f>
        <v>0</v>
      </c>
      <c r="ET3" s="16">
        <f>IF(ISNA(VLOOKUP(A3,'Données projet'!$A$201:$I$221,6,0)),0%,VLOOKUP(A3,'Données projet'!$A$201:$I$221,6,0)*VLOOKUP('Données projet'!$B$15,Paramètres!$A$1:$I$89,7,0))</f>
        <v>0</v>
      </c>
      <c r="EU3" s="16">
        <f>IF(ISNA(VLOOKUP(A3,'Données projet'!$A$201:$I$221,7,0)),0%,VLOOKUP(A3,'Données projet'!$A$201:$I$221,7,0))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projet'!$A$227:$I$247,9,0)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293.33333333333331</v>
      </c>
      <c r="FJ3" s="59">
        <f ca="1">AVERAGE(OFFSET($FI$3,0,0,'Données projet'!$E$16+1,1))-AVERAGE(OFFSET($H$3,0,0,'Données projet'!$E$16+1,1))</f>
        <v>259.03906550253788</v>
      </c>
      <c r="FK3" s="59">
        <f>IF('Données projet'!E16&gt;30,$FI$33-$H$33,LOOKUP('Données projet'!$E$16,$A$3:$A$203,FI3:FI203)-LOOKUP('Données projet'!$E$16,$A$3:$A$203,$H$3:$H$203))</f>
        <v>235.54542903570831</v>
      </c>
      <c r="FL3" s="15">
        <f>IF(ISNA(VLOOKUP(A3,'Données projet'!$A$227:$I$247,3,0)),0,VLOOKUP(A3,'Données projet'!$A$227:$I$247,3,0))</f>
        <v>0</v>
      </c>
      <c r="FM3" s="15">
        <f>IF(ISNA(VLOOKUP(A3,'Données projet'!$A$227:$I$247,4,0)),0,VLOOKUP(A3,'Données projet'!$A$227:$I$247,4,0))</f>
        <v>0</v>
      </c>
      <c r="FN3" s="16">
        <f>IF(ISNA(VLOOKUP(A3,'Données projet'!$A$227:$I$247,5,0)),0%,VLOOKUP(A3,'Données projet'!$A$227:$I$247,5,0)*VLOOKUP('Données projet'!$B$16,Paramètres!$A$1:$I$89,7,0))</f>
        <v>0</v>
      </c>
      <c r="FO3" s="16">
        <f>IF(ISNA(VLOOKUP(A3,'Données projet'!$A$227:$I$247,6,0)),0%,VLOOKUP(A3,'Données projet'!$A$227:$I$247,6,0)*VLOOKUP('Données projet'!$B$16,Paramètres!$A$1:$I$89,7,0))</f>
        <v>0</v>
      </c>
      <c r="FP3" s="16">
        <f>IF(ISNA(VLOOKUP(A3,'Données projet'!$A$227:$I$247,7,0)),0%,VLOOKUP(A3,'Données projet'!$A$227:$I$247,7,0))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projet'!$A$253:$I$273,9,0)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293.33333333333331</v>
      </c>
      <c r="GE3" s="59">
        <f ca="1">AVERAGE(OFFSET($GD$3,0,0,'Données projet'!$E$17+1,1))-AVERAGE(OFFSET($H$3,0,0,'Données projet'!$E$17+1,1))</f>
        <v>245.1983232777614</v>
      </c>
      <c r="GF3" s="59">
        <f>IF('Données projet'!E17&gt;30,$GD$33-$H$33,LOOKUP('Données projet'!$E$17,$A$3:$A$203,GD3:GD203)-LOOKUP('Données projet'!$E$17,$A$3:$A$203,$H$3:$H$203))</f>
        <v>242.34010522344573</v>
      </c>
      <c r="GG3" s="15">
        <f>IF(ISNA(VLOOKUP(A3,'Données projet'!$A$253:$I$273,3,0)),0,VLOOKUP(A3,'Données projet'!$A$253:$I$273,3,0))</f>
        <v>0</v>
      </c>
      <c r="GH3" s="15">
        <f>IF(ISNA(VLOOKUP(A3,'Données projet'!$A$253:$I$273,4,0)),0,VLOOKUP(A3,'Données projet'!$A$253:$I$273,4,0))</f>
        <v>0</v>
      </c>
      <c r="GI3" s="16">
        <f>IF(ISNA(VLOOKUP(A3,'Données projet'!$A$253:$I$273,5,0)),0%,VLOOKUP(A3,'Données projet'!$A$253:$I$273,5,0)*VLOOKUP('Données projet'!$B$17,Paramètres!$A$1:$I$89,7,0))</f>
        <v>0</v>
      </c>
      <c r="GJ3" s="16">
        <f>IF(ISNA(VLOOKUP(A3,'Données projet'!$A$253:$I$273,6,0)),0%,VLOOKUP(A3,'Données projet'!$A$253:$I$273,6,0)*VLOOKUP('Données projet'!$B$17,Paramètres!$A$1:$I$89,7,0))</f>
        <v>0</v>
      </c>
      <c r="GK3" s="16">
        <f>IF(ISNA(VLOOKUP(A3,'Données projet'!$A$253:$I$273,7,0)),0%,VLOOKUP(A3,'Données projet'!$A$253:$I$273,7,0))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projet'!$A$279:$I$299,9,0)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293.33333333333331</v>
      </c>
      <c r="GZ3" s="59">
        <f ca="1">AVERAGE(OFFSET($GY$3,0,0,'Données projet'!$E$18+1,1))-AVERAGE(OFFSET($H$3,0,0,'Données projet'!$E$18+1,1))</f>
        <v>324.36162935850876</v>
      </c>
      <c r="HA3" s="59">
        <f>IF('Données projet'!$E$18&gt;30,$GY$33-$H$33,LOOKUP('Données projet'!$E$18,$A$3:$A$203,GY3:GY203)-LOOKUP('Données projet'!$E$18,$A$3:$A$203,$H$3:$H$203))</f>
        <v>265.23571072429735</v>
      </c>
      <c r="HB3" s="15">
        <f>IF(ISNA(VLOOKUP(A3,'Données projet'!$A$279:$I$299,3,0)),0,VLOOKUP(A3,'Données projet'!$A$279:$I$299,3,0))</f>
        <v>0</v>
      </c>
      <c r="HC3" s="15">
        <f>IF(ISNA(VLOOKUP(A3,'Données projet'!$A$279:$I$299,4,0)),0,VLOOKUP(A3,'Données projet'!$A$279:$I$299,4,0))</f>
        <v>0</v>
      </c>
      <c r="HD3" s="16">
        <f>IF(ISNA(VLOOKUP(A3,'Données projet'!$A$279:$I$299,5,0)),0%,VLOOKUP(A3,'Données projet'!$A$279:$I$299,5,0)*VLOOKUP('Données projet'!$B$18,Paramètres!$A$1:$I$89,7,0))</f>
        <v>0</v>
      </c>
      <c r="HE3" s="16">
        <f>IF(ISNA(VLOOKUP(A3,'Données projet'!$A$279:$I$299,6,0)),0%,VLOOKUP(A3,'Données projet'!$A$279:$I$299,6,0)*VLOOKUP('Données projet'!$B$18,Paramètres!$A$1:$I$89,7,0))</f>
        <v>0</v>
      </c>
      <c r="HF3" s="16">
        <f>IF(ISNA(VLOOKUP($A3,'Données projet'!$A$279:$I$299,7,0)),0%,VLOOKUP($A3,'Données projet'!$A$279:$I$299,7,0))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  <c r="HK3" s="74">
        <f>('Scénario référence'!$F$8+'Scénario référence'!$F$9+'Scénario référence'!$B$17+'Scénario référence'!$B$9+'Scénario référence'!$B$10)*70+IF((45+25*(1-EXP(-0.0175*$A3)))&lt;70,'Scénario référence'!$B$16*(45+25*(1-EXP(-0.0175*$A3))),70*'Scénario référence'!$B$16)+IF((32+38*(1-EXP(-0.0175*$A3)))&lt;70,'Scénario référence'!$B$18*(32+38*(1-EXP(-0.0175*$A3))),70*'Scénario référence'!$B$18)</f>
        <v>70</v>
      </c>
      <c r="HL3" s="12">
        <f>IF($A3&gt;30,10,('Scénario référence'!$B$16+'Scénario référence'!$B$17+'Scénario référence'!$B$18+'Scénario référence'!$B$9+'Scénario référence'!$B$10)*$A3*10/30+('Scénario référence'!$F$8+'Scénario référence'!$F$9)*10)</f>
        <v>10</v>
      </c>
      <c r="HM3" s="12">
        <v>0</v>
      </c>
      <c r="HN3" s="12" t="e">
        <f>VLOOKUP($A3,'Données projet'!$A$304:$I$324,9,0)</f>
        <v>#N/A</v>
      </c>
      <c r="HO3" s="12">
        <v>0</v>
      </c>
      <c r="HP3" s="12">
        <v>0</v>
      </c>
      <c r="HQ3" s="17">
        <f>HP3*VLOOKUP('Données projet'!$B$19,Paramètres!$A$1:$I$89,3,0)*VLOOKUP('Données projet'!$B$19,Paramètres!$A$1:$I$89,5,0)</f>
        <v>0</v>
      </c>
      <c r="HR3" s="12">
        <v>0</v>
      </c>
      <c r="HS3" s="14">
        <f>(HQ3+HR3)*0.475*44/12</f>
        <v>0</v>
      </c>
      <c r="HT3" s="59">
        <f>HS3+(HK3+HL3)*44/12</f>
        <v>293.33333333333331</v>
      </c>
      <c r="HU3" s="59">
        <f ca="1">AVERAGE(OFFSET(HT3,0,0,'Données projet'!$E$19+1,1))-AVERAGE(OFFSET($H$3,0,0,'Données projet'!$E$19+1,1))</f>
        <v>91.60721429656013</v>
      </c>
      <c r="HV3" s="59">
        <f>IF('Données projet'!$E$19&gt;30,HT$33-$H$33,LOOKUP('Données projet'!$E$19,$A$3:$A$203,HT3:HT203)-LOOKUP('Données projet'!$E$19,$A$3:$A$204,$H$3:$H$204))</f>
        <v>258.94957804210856</v>
      </c>
      <c r="HW3" s="15">
        <f>IF(ISNA(VLOOKUP($A3,'Données projet'!$A$304:$I$324,3,0)),0,VLOOKUP($A3,'Données projet'!$A$304:$I$324,3,0))</f>
        <v>0</v>
      </c>
      <c r="HX3" s="15">
        <f>IF(ISNA(VLOOKUP($A3,'Données projet'!$A$304:$I$324,4,0)),0,VLOOKUP($A3,'Données projet'!$A$304:$I$324,4,0))</f>
        <v>0</v>
      </c>
      <c r="HY3" s="16">
        <f>IF(ISNA(VLOOKUP($A3,'Données projet'!$A$304:$I$324,5,0)),0%,VLOOKUP($A3,'Données projet'!$A$304:$I$324,5,0)*VLOOKUP('Données projet'!$B$19,Paramètres!$A$1:$I$89,7,0))</f>
        <v>0</v>
      </c>
      <c r="HZ3" s="16">
        <f>IF(ISNA(VLOOKUP($A3,'Données projet'!$A$304:$I$324,6,0)),0%,VLOOKUP($A3,'Données projet'!$A$304:$I$324,6,0)*VLOOKUP('Données projet'!$B$19,Paramètres!$A$1:$I$89,7,0))</f>
        <v>0</v>
      </c>
      <c r="IA3" s="16">
        <f>IF(ISNA(VLOOKUP($A3,'Données projet'!$A$304:$I$324,7,0)),0%,VLOOKUP($A3,'Données projet'!$A$304:$I$324,7,0))</f>
        <v>0</v>
      </c>
      <c r="IB3" s="15">
        <v>0</v>
      </c>
      <c r="IC3" s="15">
        <v>0</v>
      </c>
      <c r="ID3" s="15">
        <v>0</v>
      </c>
      <c r="IE3" s="18">
        <f>SUM(IB3:ID3)</f>
        <v>0</v>
      </c>
      <c r="IF3" s="74">
        <f>('Scénario référence'!$F$8+'Scénario référence'!$F$9+'Scénario référence'!$B$17+'Scénario référence'!$B$9+'Scénario référence'!$B$10)*70+IF((45+25*(1-EXP(-0.0175*$A3)))&lt;70,'Scénario référence'!$B$16*(45+25*(1-EXP(-0.0175*$A3))),70*'Scénario référence'!$B$16)+IF((32+38*(1-EXP(-0.0175*$A3)))&lt;70,'Scénario référence'!$B$18*(32+38*(1-EXP(-0.0175*$A3))),70*'Scénario référence'!$B$18)</f>
        <v>70</v>
      </c>
      <c r="IG3" s="12">
        <f>IF($A3&gt;30,10,('Scénario référence'!$B$16+'Scénario référence'!$B$17+'Scénario référence'!$B$18+'Scénario référence'!$B$9+'Scénario référence'!$B$10)*$A3*10/30+('Scénario référence'!$F$8+'Scénario référence'!$F$9)*10)</f>
        <v>10</v>
      </c>
      <c r="IH3" s="12">
        <v>0</v>
      </c>
      <c r="II3" s="12" t="e">
        <f>VLOOKUP($A3,'Données projet'!$A$330:$I$350,9,0)</f>
        <v>#N/A</v>
      </c>
      <c r="IJ3" s="12">
        <v>0</v>
      </c>
      <c r="IK3" s="12">
        <v>0</v>
      </c>
      <c r="IL3" s="17">
        <f>IK3*VLOOKUP('Données projet'!$B$20,Paramètres!$A$1:$I$89,3,0)*VLOOKUP('Données projet'!$B$20,Paramètres!$A$1:$I$89,5,0)</f>
        <v>0</v>
      </c>
      <c r="IM3" s="12">
        <v>0</v>
      </c>
      <c r="IN3" s="14">
        <f>(IL3+IM3)*0.475*44/12</f>
        <v>0</v>
      </c>
      <c r="IO3" s="59">
        <f>IN3+(IF3+IG3)*44/12</f>
        <v>293.33333333333331</v>
      </c>
      <c r="IP3" s="59">
        <f ca="1">AVERAGE(OFFSET(IO$3,0,0,'Données projet'!$E$20+1,1))-AVERAGE(OFFSET($H$3,0,0,'Données projet'!$E$20+1,1))</f>
        <v>91.60721429656013</v>
      </c>
      <c r="IQ3" s="59">
        <f>IF('Données projet'!$E$20&gt;30,IO$33-$H$33,LOOKUP('Données projet'!$E$20,$A$3:$A$203,IO3:IO203)-LOOKUP('Données projet'!$E$20,$A$3:$A$204,$H$3:$H$204))</f>
        <v>258.94957804210856</v>
      </c>
      <c r="IR3" s="15">
        <f>IF(ISNA(VLOOKUP($A3,'Données projet'!$A$330:$I$350,3,0)),0,VLOOKUP($A3,'Données projet'!$A$330:$I$350,3,0))</f>
        <v>0</v>
      </c>
      <c r="IS3" s="15">
        <f>IF(ISNA(VLOOKUP($A3,'Données projet'!$A$330:$I$350,4,0)),0,VLOOKUP($A3,'Données projet'!$A$330:$I$350,4,0))</f>
        <v>0</v>
      </c>
      <c r="IT3" s="16">
        <f>IF(ISNA(VLOOKUP($A3,'Données projet'!$A$330:$I$350,5,0)),0%,VLOOKUP($A3,'Données projet'!$A$330:$I$350,5,0)*VLOOKUP('Données projet'!$B$20,Paramètres!$A$1:$I$89,7,0))</f>
        <v>0</v>
      </c>
      <c r="IU3" s="16">
        <f>IF(ISNA(VLOOKUP($A3,'Données projet'!$A$330:$I$350,6,0)),0%,VLOOKUP($A3,'Données projet'!$A$330:$I$350,6,0)*VLOOKUP('Données projet'!$B$20,Paramètres!$A$1:$I$89,7,0))</f>
        <v>0</v>
      </c>
      <c r="IV3" s="16">
        <f>IF(ISNA(VLOOKUP($A3,'Données projet'!$A$330:$I$350,7,0)),0%,VLOOKUP($A3,'Données projet'!$A$330:$I$350,7,0))</f>
        <v>0</v>
      </c>
      <c r="IW3" s="15">
        <v>0</v>
      </c>
      <c r="IX3" s="15">
        <v>0</v>
      </c>
      <c r="IY3" s="15">
        <v>0</v>
      </c>
      <c r="IZ3" s="18">
        <f>SUM(IW3:IY3)</f>
        <v>0</v>
      </c>
      <c r="JA3" s="74">
        <f>('Scénario référence'!$F$8+'Scénario référence'!$F$9+'Scénario référence'!$B$17+'Scénario référence'!$B$9+'Scénario référence'!$B$10)*70+IF((45+25*(1-EXP(-0.0175*$A3)))&lt;70,'Scénario référence'!$B$16*(45+25*(1-EXP(-0.0175*$A3))),70*'Scénario référence'!$B$16)+IF((32+38*(1-EXP(-0.0175*$A3)))&lt;70,'Scénario référence'!$B$18*(32+38*(1-EXP(-0.0175*$A3))),70*'Scénario référence'!$B$18)</f>
        <v>70</v>
      </c>
      <c r="JB3" s="12">
        <f>IF($A3&gt;30,10,('Scénario référence'!$B$16+'Scénario référence'!$B$17+'Scénario référence'!$B$18+'Scénario référence'!$B$9+'Scénario référence'!$B$10)*$A3*10/30+('Scénario référence'!$F$8+'Scénario référence'!$F$9)*10)</f>
        <v>10</v>
      </c>
      <c r="JC3" s="12">
        <v>0</v>
      </c>
      <c r="JD3" s="12" t="e">
        <f>VLOOKUP($A3,'Données projet'!$A$356:$I$376,9,0)</f>
        <v>#N/A</v>
      </c>
      <c r="JE3" s="12">
        <v>0</v>
      </c>
      <c r="JF3" s="12">
        <v>0</v>
      </c>
      <c r="JG3" s="17">
        <f>JF3*VLOOKUP('Données projet'!$B$22,Paramètres!$A$1:$I$89,3,0)*VLOOKUP('Données projet'!$B$22,Paramètres!$A$1:$I$89,5,0)</f>
        <v>0</v>
      </c>
      <c r="JH3" s="12">
        <v>0</v>
      </c>
      <c r="JI3" s="14">
        <f>(JG3+JH3)*0.475*44/12</f>
        <v>0</v>
      </c>
      <c r="JJ3" s="59">
        <f>JI3+(JA3+JB3)*44/12</f>
        <v>293.33333333333331</v>
      </c>
      <c r="JK3" s="59">
        <f ca="1">AVERAGE(OFFSET($JJ$3,0,0,'Données projet'!$E$22+1,1))-AVERAGE(OFFSET($H$3,0,0,'Données projet'!$E$22+1,1))</f>
        <v>353.35574633294613</v>
      </c>
      <c r="JL3" s="59">
        <f>IF('Données projet'!$E$21&gt;30,JJ$33-$H$33,LOOKUP('Données projet'!$E$21,$A$3:$A$203,JJ3:JJ203)-LOOKUP('Données projet'!$E$21,$A$3:$A$204,$H$3:$H$204))</f>
        <v>170.36796666474726</v>
      </c>
      <c r="JM3" s="15">
        <f>IF(ISNA(VLOOKUP($A3,'Données projet'!$A$356:$I$376,3,0)),0,VLOOKUP($A3,'Données projet'!$A$356:$I$376,3,0))</f>
        <v>0</v>
      </c>
      <c r="JN3" s="15">
        <f>IF(ISNA(VLOOKUP($A3,'Données projet'!$A$356:$I$376,4,0)),0,VLOOKUP($A3,'Données projet'!$A$356:$I$376,4,0))</f>
        <v>0</v>
      </c>
      <c r="JO3" s="16">
        <f>IF(ISNA(VLOOKUP($A3,'Données projet'!$A$356:$I$376,5,0)),0%,VLOOKUP($A3,'Données projet'!$A$356:$I$376,5,0)*VLOOKUP('Données projet'!$B$21,Paramètres!$A$1:$I$89,7,0))</f>
        <v>0</v>
      </c>
      <c r="JP3" s="16">
        <f>IF(ISNA(VLOOKUP($A3,'Données projet'!$A$356:$I$376,6,0)),0%,VLOOKUP($A3,'Données projet'!$A$356:$I$376,6,0)*VLOOKUP('Données projet'!$B$21,Paramètres!$A$1:$I$89,7,0))</f>
        <v>0</v>
      </c>
      <c r="JQ3" s="16">
        <f>IF(ISNA(VLOOKUP($A3,'Données projet'!$A$356:$I$376,7,0)),0%,VLOOKUP($A3,'Données projet'!$A$356:$I$376,7,0))</f>
        <v>0</v>
      </c>
      <c r="JR3" s="15">
        <v>0</v>
      </c>
      <c r="JS3" s="15">
        <v>0</v>
      </c>
      <c r="JT3" s="15">
        <v>0</v>
      </c>
      <c r="JU3" s="18">
        <f>SUM(JR3:JT3)</f>
        <v>0</v>
      </c>
      <c r="JV3" s="74">
        <f>('Scénario référence'!$F$8+'Scénario référence'!$F$9+'Scénario référence'!$B$17+'Scénario référence'!$B$9+'Scénario référence'!$B$10)*70+IF((45+25*(1-EXP(-0.0175*$A3)))&lt;70,'Scénario référence'!$B$16*(45+25*(1-EXP(-0.0175*$A3))),70*'Scénario référence'!$B$16)+IF((32+38*(1-EXP(-0.0175*$A3)))&lt;70,'Scénario référence'!$B$18*(32+38*(1-EXP(-0.0175*$A3))),70*'Scénario référence'!$B$18)</f>
        <v>70</v>
      </c>
      <c r="JW3" s="12">
        <f>IF($A3&gt;30,10,('Scénario référence'!$B$16+'Scénario référence'!$B$17+'Scénario référence'!$B$18+'Scénario référence'!$B$9+'Scénario référence'!$B$10)*$A3*10/30+('Scénario référence'!$F$8+'Scénario référence'!$F$9)*10)</f>
        <v>10</v>
      </c>
      <c r="JX3" s="12">
        <v>0</v>
      </c>
      <c r="JY3" s="12" t="e">
        <f>VLOOKUP($A3,'Données projet'!$A$382:$I$402,9,0)</f>
        <v>#N/A</v>
      </c>
      <c r="JZ3" s="12">
        <v>0</v>
      </c>
      <c r="KA3" s="12">
        <v>0</v>
      </c>
      <c r="KB3" s="17">
        <f>KA3*VLOOKUP('Données projet'!$B$22,Paramètres!$A$1:$I$89,3,0)*VLOOKUP('Données projet'!$B$22,Paramètres!$A$1:$I$89,5,0)</f>
        <v>0</v>
      </c>
      <c r="KC3" s="12">
        <v>0</v>
      </c>
      <c r="KD3" s="14">
        <f>(KB3+KC3)*0.475*44/12</f>
        <v>0</v>
      </c>
      <c r="KE3" s="59">
        <f>KD3+(JV3+JW3)*44/12</f>
        <v>293.33333333333331</v>
      </c>
      <c r="KF3" s="59">
        <f ca="1">AVERAGE(OFFSET($KE$3,0,0,'Données projet'!$E$22+1,1))-AVERAGE(OFFSET($H$3,0,0,'Données projet'!$E$22+1,1))</f>
        <v>193.91714772848269</v>
      </c>
      <c r="KG3" s="59">
        <f>IF('Données projet'!$E$22&gt;30,KE$33-$H$33,LOOKUP('Données projet'!$E$22,$A$3:$A$203,KE3:KE203)-LOOKUP('Données projet'!$E$22,$A$3:$A$204,$H$3:$H$204))</f>
        <v>143.67995460963192</v>
      </c>
      <c r="KH3" s="15">
        <f>IF(ISNA(VLOOKUP($A3,'Données projet'!$A$382:$I$402,3,0)),0,VLOOKUP($A3,'Données projet'!$A$382:$I$402,3,0))</f>
        <v>0</v>
      </c>
      <c r="KI3" s="15">
        <f>IF(ISNA(VLOOKUP($A3,'Données projet'!$A$382:$I$402,4,0)),0,VLOOKUP($A3,'Données projet'!$A$382:$I$402,4,0))</f>
        <v>0</v>
      </c>
      <c r="KJ3" s="16">
        <f>IF(ISNA(VLOOKUP($A3,'Données projet'!$A$382:$I$402,5,0)),0%,VLOOKUP($A3,'Données projet'!$A$382:$I$402,5,0)*VLOOKUP('Données projet'!$B$22,Paramètres!$A$1:$I$89,7,0))</f>
        <v>0</v>
      </c>
      <c r="KK3" s="16">
        <f>IF(ISNA(VLOOKUP($A3,'Données projet'!$A$382:$I$402,6,0)),0%,VLOOKUP($A3,'Données projet'!$A$382:$I$402,6,0)*VLOOKUP('Données projet'!$B$22,Paramètres!$A$1:$I$89,7,0))</f>
        <v>0</v>
      </c>
      <c r="KL3" s="16">
        <f>IF(ISNA(VLOOKUP($A3,'Données projet'!$A$382:$I$402,7,0)),0%,VLOOKUP($A3,'Données projet'!$A$382:$I$402,7,0))</f>
        <v>0</v>
      </c>
      <c r="KM3" s="15">
        <v>0</v>
      </c>
      <c r="KN3" s="15">
        <v>0</v>
      </c>
      <c r="KO3" s="15">
        <v>0</v>
      </c>
      <c r="KP3" s="18">
        <f>SUM(KM3:KO3)</f>
        <v>0</v>
      </c>
      <c r="KQ3" s="74">
        <f>('Scénario référence'!$F$8+'Scénario référence'!$F$9+'Scénario référence'!$B$17+'Scénario référence'!$B$9+'Scénario référence'!$B$10)*70+IF((45+25*(1-EXP(-0.0175*$A3)))&lt;70,'Scénario référence'!$B$16*(45+25*(1-EXP(-0.0175*$A3))),70*'Scénario référence'!$B$16)+IF((32+38*(1-EXP(-0.0175*$A3)))&lt;70,'Scénario référence'!$B$18*(32+38*(1-EXP(-0.0175*$A3))),70*'Scénario référence'!$B$18)</f>
        <v>70</v>
      </c>
      <c r="KR3" s="12">
        <f>IF($A3&gt;30,10,('Scénario référence'!$B$16+'Scénario référence'!$B$17+'Scénario référence'!$B$18+'Scénario référence'!$B$9+'Scénario référence'!$B$10)*$A3*10/30+('Scénario référence'!$F$8+'Scénario référence'!$F$9)*10)</f>
        <v>10</v>
      </c>
      <c r="KS3" s="12">
        <v>0</v>
      </c>
      <c r="KT3" s="12" t="e">
        <f>VLOOKUP($A3,'Données projet'!$A$408:$I$428,9,0)</f>
        <v>#N/A</v>
      </c>
      <c r="KU3" s="12">
        <v>0</v>
      </c>
      <c r="KV3" s="12">
        <v>0</v>
      </c>
      <c r="KW3" s="17">
        <f>KV3*VLOOKUP('Données projet'!$B$23,Paramètres!$A$1:$I$89,3,0)*VLOOKUP('Données projet'!$B$23,Paramètres!$A$1:$I$89,5,0)</f>
        <v>0</v>
      </c>
      <c r="KX3" s="12">
        <v>0</v>
      </c>
      <c r="KY3" s="14">
        <f>(KW3+KX3)*0.475*44/12</f>
        <v>0</v>
      </c>
      <c r="KZ3" s="59">
        <f>KY3+(KQ3+KR3)*44/12</f>
        <v>293.33333333333331</v>
      </c>
      <c r="LA3" s="59">
        <f ca="1">AVERAGE(OFFSET($KZ$3,0,0,'Données projet'!$E$23+1,1))-AVERAGE(OFFSET($H$3,0,0,'Données projet'!$E$23+1,1))</f>
        <v>248.33596943633819</v>
      </c>
      <c r="LB3" s="59">
        <f>IF('Données projet'!$E$23&gt;30,KZ$33-$H$33,LOOKUP('Données projet'!$E$23,$A$3:$A$203,KZ3:KZ203)-LOOKUP('Données projet'!$E$23,$A$3:$A$204,$H$3:$H$204))</f>
        <v>242.34010522344573</v>
      </c>
      <c r="LC3" s="15">
        <f>IF(ISNA(VLOOKUP($A3,'Données projet'!$A$408:$I$428,3,0)),0,VLOOKUP($A3,'Données projet'!$A$408:$I$428,3,0))</f>
        <v>0</v>
      </c>
      <c r="LD3" s="15">
        <f>IF(ISNA(VLOOKUP($A3,'Données projet'!$A$408:$I$428,4,0)),0,VLOOKUP($A3,'Données projet'!$A$408:$I$428,4,0))</f>
        <v>0</v>
      </c>
      <c r="LE3" s="16">
        <f>IF(ISNA(VLOOKUP($A3,'Données projet'!$A$408:$I$428,5,0)),0%,VLOOKUP($A3,'Données projet'!$A$408:$I$428,5,0)*VLOOKUP('Données projet'!$B$23,Paramètres!$A$1:$I$89,7,0))</f>
        <v>0</v>
      </c>
      <c r="LF3" s="16">
        <f>IF(ISNA(VLOOKUP($A3,'Données projet'!$A$408:$I$428,6,0)),0%,VLOOKUP($A3,'Données projet'!$A$408:$I$428,6,0)*VLOOKUP('Données projet'!$B$23,Paramètres!$A$1:$I$89,7,0))</f>
        <v>0</v>
      </c>
      <c r="LG3" s="16">
        <f>IF(ISNA(VLOOKUP($A3,'Données projet'!$A$408:$I$428,7,0)),0%,VLOOKUP($A3,'Données projet'!$A$408:$I$428,7,0))</f>
        <v>0</v>
      </c>
      <c r="LH3" s="15">
        <v>0</v>
      </c>
      <c r="LI3" s="15">
        <v>0</v>
      </c>
      <c r="LJ3" s="15">
        <v>0</v>
      </c>
      <c r="LK3" s="18">
        <f>SUM(LH3:LJ3)</f>
        <v>0</v>
      </c>
      <c r="LL3" s="74">
        <f>('Scénario référence'!$F$8+'Scénario référence'!$F$9+'Scénario référence'!$B$17+'Scénario référence'!$B$9+'Scénario référence'!$B$10)*70+IF((45+25*(1-EXP(-0.0175*$A3)))&lt;70,'Scénario référence'!$B$16*(45+25*(1-EXP(-0.0175*$A3))),70*'Scénario référence'!$B$16)+IF((32+38*(1-EXP(-0.0175*$A3)))&lt;70,'Scénario référence'!$B$18*(32+38*(1-EXP(-0.0175*$A3))),70*'Scénario référence'!$B$18)</f>
        <v>70</v>
      </c>
      <c r="LM3" s="12">
        <f>IF($A3&gt;30,10,('Scénario référence'!$B$16+'Scénario référence'!$B$17+'Scénario référence'!$B$18+'Scénario référence'!$B$9+'Scénario référence'!$B$10)*$A3*10/30+('Scénario référence'!$F$8+'Scénario référence'!$F$9)*10)</f>
        <v>10</v>
      </c>
      <c r="LN3" s="12">
        <v>0</v>
      </c>
      <c r="LO3" s="12" t="e">
        <f>VLOOKUP($A3,'Données projet'!$A$434:$I$454,9,0)</f>
        <v>#N/A</v>
      </c>
      <c r="LP3" s="12">
        <v>0</v>
      </c>
      <c r="LQ3" s="12">
        <v>0</v>
      </c>
      <c r="LR3" s="17">
        <f>LQ3*VLOOKUP('Données projet'!$B$24,Paramètres!$A$1:$I$89,3,0)*VLOOKUP('Données projet'!$B$24,Paramètres!$A$1:$I$89,5,0)</f>
        <v>0</v>
      </c>
      <c r="LS3" s="12">
        <v>0</v>
      </c>
      <c r="LT3" s="14">
        <f>(LR3+LS3)*0.475*44/12</f>
        <v>0</v>
      </c>
      <c r="LU3" s="59">
        <f>LT3+(LL3+LM3)*44/12</f>
        <v>293.33333333333331</v>
      </c>
      <c r="LV3" s="59">
        <f ca="1">AVERAGE(OFFSET($LU$3,0,0,'Données projet'!$E$24+1,1))-AVERAGE(OFFSET($H$3,0,0,'Données projet'!$E$24+1,1))</f>
        <v>260.52627655062872</v>
      </c>
      <c r="LW3" s="59">
        <f>IF('Données projet'!$E$24&gt;30,LU$33-$H$33,LOOKUP('Données projet'!$E$24,$A$3:$A$203,LU3:LU203)-LOOKUP('Données projet'!$E$24,$A$3:$A$204,$H$3:$H$204))</f>
        <v>159.20429420478047</v>
      </c>
      <c r="LX3" s="15">
        <f>IF(ISNA(VLOOKUP($A3,'Données projet'!$A$434:$I$454,3,0)),0,VLOOKUP($A3,'Données projet'!$A$434:$I$454,3,0))</f>
        <v>0</v>
      </c>
      <c r="LY3" s="15">
        <f>IF(ISNA(VLOOKUP($A3,'Données projet'!$A$434:$I$454,4,0)),0,VLOOKUP($A3,'Données projet'!$A$434:$I$454,4,0))</f>
        <v>0</v>
      </c>
      <c r="LZ3" s="16">
        <f>IF(ISNA(VLOOKUP($A3,'Données projet'!$A$434:$I$454,5,0)),0%,VLOOKUP($A3,'Données projet'!$A$434:$I$454,5,0)*VLOOKUP('Données projet'!$B$24,Paramètres!$A$1:$I$89,7,0))</f>
        <v>0</v>
      </c>
      <c r="MA3" s="16">
        <f>IF(ISNA(VLOOKUP($A3,'Données projet'!$A$434:$I$454,6,0)),0%,VLOOKUP($A3,'Données projet'!$A$434:$I$454,6,0)*VLOOKUP('Données projet'!$B$24,Paramètres!$A$1:$I$89,7,0))</f>
        <v>0</v>
      </c>
      <c r="MB3" s="16">
        <f>IF(ISNA(VLOOKUP($A3,'Données projet'!$A$434:$I$454,7,0)),0%,VLOOKUP($A3,'Données projet'!$A$434:$I$454,7,0))</f>
        <v>0</v>
      </c>
      <c r="MC3" s="15">
        <v>0</v>
      </c>
      <c r="MD3" s="15">
        <v>0</v>
      </c>
      <c r="ME3" s="15">
        <v>0</v>
      </c>
      <c r="MF3" s="18">
        <f>SUM(MC3:ME3)</f>
        <v>0</v>
      </c>
      <c r="MG3" s="74">
        <f>('Scénario référence'!$F$8+'Scénario référence'!$F$9+'Scénario référence'!$B$17+'Scénario référence'!$B$9+'Scénario référence'!$B$10)*70+IF((45+25*(1-EXP(-0.0175*$A3)))&lt;70,'Scénario référence'!$B$16*(45+25*(1-EXP(-0.0175*$A3))),70*'Scénario référence'!$B$16)+IF((32+38*(1-EXP(-0.0175*$A3)))&lt;70,'Scénario référence'!$B$18*(32+38*(1-EXP(-0.0175*$A3))),70*'Scénario référence'!$B$18)</f>
        <v>70</v>
      </c>
      <c r="MH3" s="12">
        <f>IF($A3&gt;30,10,('Scénario référence'!$B$16+'Scénario référence'!$B$17+'Scénario référence'!$B$18+'Scénario référence'!$B$9+'Scénario référence'!$B$10)*$A3*10/30+('Scénario référence'!$F$8+'Scénario référence'!$F$9)*10)</f>
        <v>10</v>
      </c>
      <c r="MI3" s="12">
        <v>0</v>
      </c>
      <c r="MJ3" s="12" t="e">
        <f>VLOOKUP($A3,'Données projet'!$A$460:$I$480,9,0)</f>
        <v>#N/A</v>
      </c>
      <c r="MK3" s="12">
        <v>0</v>
      </c>
      <c r="ML3" s="12">
        <v>0</v>
      </c>
      <c r="MM3" s="17" t="e">
        <f>ML3*VLOOKUP('Données projet'!$B$25,Paramètres!$A$1:$I$89,3,0)*VLOOKUP('Données projet'!$B$25,Paramètres!$A$1:$I$89,5,0)</f>
        <v>#N/A</v>
      </c>
      <c r="MN3" s="12">
        <v>0</v>
      </c>
      <c r="MO3" s="14" t="e">
        <f>(MM3+MN3)*0.475*44/12</f>
        <v>#N/A</v>
      </c>
      <c r="MP3" s="59" t="e">
        <f>MO3+(MG3+MH3)*44/12</f>
        <v>#N/A</v>
      </c>
      <c r="MQ3" s="20" t="e">
        <f ca="1">AVERAGE(OFFSET($MP$3,0,0,'Données projet'!$E$25+1,1))-AVERAGE(OFFSET($H$3,0,0,'Données projet'!$E$25+1,1))</f>
        <v>#N/A</v>
      </c>
      <c r="MR3" s="59" t="e">
        <f>IF('Données projet'!$E$25&gt;30,MP$33-$H$33,LOOKUP('Données projet'!$E$25,$A$3:$A$203,MP3:MP203)-LOOKUP('Données projet'!$E$25,$A$3:$A$204,$H$3:$H$204))</f>
        <v>#N/A</v>
      </c>
      <c r="MS3" s="15">
        <f>IF(ISNA(VLOOKUP($A3,'Données projet'!$A$460:$I$480,3,0)),0,VLOOKUP($A3,'Données projet'!$A$460:$I$480,3,0))</f>
        <v>0</v>
      </c>
      <c r="MT3" s="15">
        <f>IF(ISNA(VLOOKUP($A3,'Données projet'!$A$460:$I$480,4,0)),0,VLOOKUP($A3,'Données projet'!$A$460:$I$480,4,0))</f>
        <v>0</v>
      </c>
      <c r="MU3" s="16">
        <f>IF(ISNA(VLOOKUP($A3,'Données projet'!$A$460:$I$480,5,0)),0%,VLOOKUP($A3,'Données projet'!$A$460:$I$480,5,0)*VLOOKUP('Données projet'!$B$25,Paramètres!$A$1:$I$89,7,0))</f>
        <v>0</v>
      </c>
      <c r="MV3" s="16">
        <f>IF(ISNA(VLOOKUP($A3,'Données projet'!$A$460:$I$480,6,0)),0%,VLOOKUP($A3,'Données projet'!$A$460:$I$480,6,0)*VLOOKUP('Données projet'!$B$25,Paramètres!$A$1:$I$89,7,0))</f>
        <v>0</v>
      </c>
      <c r="MW3" s="16">
        <f>IF(ISNA(VLOOKUP($A3,'Données projet'!$A$460:$I$480,7,0)),0%,VLOOKUP($A3,'Données projet'!$A$460:$I$480,7,0))</f>
        <v>0</v>
      </c>
      <c r="MX3" s="15">
        <v>0</v>
      </c>
      <c r="MY3" s="15">
        <v>0</v>
      </c>
      <c r="MZ3" s="15">
        <v>0</v>
      </c>
      <c r="NA3" s="18">
        <f>SUM(MX3:MZ3)</f>
        <v>0</v>
      </c>
      <c r="NB3" s="74">
        <f>('Scénario référence'!$F$8+'Scénario référence'!$F$9+'Scénario référence'!$B$17+'Scénario référence'!$B$9+'Scénario référence'!$B$10)*70+IF((45+25*(1-EXP(-0.0175*$A3)))&lt;70,'Scénario référence'!$B$16*(45+25*(1-EXP(-0.0175*$A3))),70*'Scénario référence'!$B$16)+IF((32+38*(1-EXP(-0.0175*$A3)))&lt;70,'Scénario référence'!$B$18*(32+38*(1-EXP(-0.0175*$A3))),70*'Scénario référence'!$B$18)</f>
        <v>70</v>
      </c>
      <c r="NC3" s="12">
        <f>IF($A3&gt;30,10,('Scénario référence'!$B$16+'Scénario référence'!$B$17+'Scénario référence'!$B$18+'Scénario référence'!$B$9+'Scénario référence'!$B$10)*$A3*10/30+('Scénario référence'!$F$8+'Scénario référence'!$F$9)*10)</f>
        <v>10</v>
      </c>
      <c r="ND3" s="12">
        <v>0</v>
      </c>
      <c r="NE3" s="12" t="e">
        <f>VLOOKUP($A3,'Données projet'!$A$486:$I$506,9,0)</f>
        <v>#N/A</v>
      </c>
      <c r="NF3" s="12">
        <v>0</v>
      </c>
      <c r="NG3" s="12">
        <v>0</v>
      </c>
      <c r="NH3" s="17" t="e">
        <f>NG3*VLOOKUP('Données projet'!$B$26,Paramètres!$A$1:$I$89,3,0)*VLOOKUP('Données projet'!$B$26,Paramètres!$A$1:$I$89,5,0)</f>
        <v>#N/A</v>
      </c>
      <c r="NI3" s="12">
        <v>0</v>
      </c>
      <c r="NJ3" s="14" t="e">
        <f>(NH3+NI3)*0.475*44/12</f>
        <v>#N/A</v>
      </c>
      <c r="NK3" s="59" t="e">
        <f>NJ3+(NB3+NC3)*44/12</f>
        <v>#N/A</v>
      </c>
      <c r="NL3" s="20" t="e">
        <f ca="1">AVERAGE(OFFSET($NK$3,0,0,'Données projet'!$E$26+1,1))-AVERAGE(OFFSET($H$3,0,0,'Données projet'!$E$26+1,1))</f>
        <v>#N/A</v>
      </c>
      <c r="NM3" s="59" t="e">
        <f>IF('Données projet'!$E$26&gt;30,NK$33-$H$33,LOOKUP('Données projet'!$E$26,$A$3:$A$203,NK3:NK203)-LOOKUP('Données projet'!$E$26,$A$3:$A$204,$H$3:$H$204))</f>
        <v>#N/A</v>
      </c>
      <c r="NN3" s="15">
        <f>IF(ISNA(VLOOKUP($A3,'Données projet'!$A$486:$I$506,3,0)),0,VLOOKUP($A3,'Données projet'!$A$486:$I$506,3,0))</f>
        <v>0</v>
      </c>
      <c r="NO3" s="15">
        <f>IF(ISNA(VLOOKUP($A3,'Données projet'!$A$486:$I$506,4,0)),0,VLOOKUP($A3,'Données projet'!$A$486:$I$506,4,0))</f>
        <v>0</v>
      </c>
      <c r="NP3" s="16">
        <f>IF(ISNA(VLOOKUP($A3,'Données projet'!$A$486:$I$506,5,0)),0%,VLOOKUP($A3,'Données projet'!$A$486:$I$506,5,0)*VLOOKUP('Données projet'!$B$26,Paramètres!$A$1:$I$89,7,0))</f>
        <v>0</v>
      </c>
      <c r="NQ3" s="16">
        <f>IF(ISNA(VLOOKUP($A3,'Données projet'!$A$486:$I$506,6,0)),0%,VLOOKUP($A3,'Données projet'!$A$486:$I$506,6,0)*VLOOKUP('Données projet'!$B$26,Paramètres!$A$1:$I$89,7,0))</f>
        <v>0</v>
      </c>
      <c r="NR3" s="16">
        <f>IF(ISNA(VLOOKUP($A3,'Données projet'!$A$486:$I$506,7,0)),0%,VLOOKUP($A3,'Données projet'!$A$486:$I$506,7,0))</f>
        <v>0</v>
      </c>
      <c r="NS3" s="15">
        <v>0</v>
      </c>
      <c r="NT3" s="15">
        <v>0</v>
      </c>
      <c r="NU3" s="15">
        <v>0</v>
      </c>
      <c r="NV3" s="18">
        <f>SUM(NS3:NU3)</f>
        <v>0</v>
      </c>
      <c r="NW3" s="74">
        <f>('Scénario référence'!$F$8+'Scénario référence'!$F$9+'Scénario référence'!$B$17+'Scénario référence'!$B$9+'Scénario référence'!$B$10)*70+IF((45+25*(1-EXP(-0.0175*$A3)))&lt;70,'Scénario référence'!$B$16*(45+25*(1-EXP(-0.0175*$A3))),70*'Scénario référence'!$B$16)+IF((32+38*(1-EXP(-0.0175*$A3)))&lt;70,'Scénario référence'!$B$18*(32+38*(1-EXP(-0.0175*$A3))),70*'Scénario référence'!$B$18)</f>
        <v>70</v>
      </c>
      <c r="NX3" s="12">
        <f>IF($A3&gt;30,10,('Scénario référence'!$B$16+'Scénario référence'!$B$17+'Scénario référence'!$B$18+'Scénario référence'!$B$9+'Scénario référence'!$B$10)*$A3*10/30+('Scénario référence'!$F$8+'Scénario référence'!$F$9)*10)</f>
        <v>10</v>
      </c>
      <c r="NY3" s="12">
        <v>0</v>
      </c>
      <c r="NZ3" s="12" t="e">
        <f>VLOOKUP($A3,'Données projet'!$A$512:$I$532,9,0)</f>
        <v>#N/A</v>
      </c>
      <c r="OA3" s="12">
        <v>0</v>
      </c>
      <c r="OB3" s="12">
        <v>0</v>
      </c>
      <c r="OC3" s="17" t="e">
        <f>OB3*VLOOKUP('Données projet'!$B$27,Paramètres!$A$1:$I$89,3,0)*VLOOKUP('Données projet'!$B$27,Paramètres!$A$1:$I$89,5,0)</f>
        <v>#N/A</v>
      </c>
      <c r="OD3" s="12">
        <v>0</v>
      </c>
      <c r="OE3" s="14" t="e">
        <f>(OC3+OD3)*0.475*44/12</f>
        <v>#N/A</v>
      </c>
      <c r="OF3" s="59" t="e">
        <f>OE3+(NW3+NX3)*44/12</f>
        <v>#N/A</v>
      </c>
      <c r="OG3" s="20" t="e">
        <f ca="1">AVERAGE(OFFSET($OF$3,0,0,'Données projet'!$E$27+1,1))-AVERAGE(OFFSET($H$3,0,0,'Données projet'!$E$27+1,1))</f>
        <v>#N/A</v>
      </c>
      <c r="OH3" s="59" t="e">
        <f>IF('Données projet'!$E$27&gt;30,OF$33-$H$33,LOOKUP('Données projet'!$E$27,$A$3:$A$203,OF3:OF203)-LOOKUP('Données projet'!$E$27,$A$3:$A$204,$H$3:$H$204))</f>
        <v>#N/A</v>
      </c>
      <c r="OI3" s="15">
        <f>IF(ISNA(VLOOKUP($A3,'Données projet'!$A$512:$I$532,3,0)),0,VLOOKUP($A3,'Données projet'!$A$512:$I$532,3,0))</f>
        <v>0</v>
      </c>
      <c r="OJ3" s="15">
        <f>IF(ISNA(VLOOKUP($A3,'Données projet'!$A$512:$I$532,4,0)),0,VLOOKUP($A3,'Données projet'!$A$512:$I$532,4,0))</f>
        <v>0</v>
      </c>
      <c r="OK3" s="16">
        <f>IF(ISNA(VLOOKUP($A3,'Données projet'!$A$512:$I$532,5,0)),0%,VLOOKUP($A3,'Données projet'!$A$512:$I$532,5,0)*VLOOKUP('Données projet'!$B$27,Paramètres!$A$1:$I$89,7,0))</f>
        <v>0</v>
      </c>
      <c r="OL3" s="16">
        <f>IF(ISNA(VLOOKUP($A3,'Données projet'!$A$512:$I$532,6,0)),0%,VLOOKUP($A3,'Données projet'!$A$512:$I$532,6,0)*VLOOKUP('Données projet'!$B$27,Paramètres!$A$1:$I$89,7,0))</f>
        <v>0</v>
      </c>
      <c r="OM3" s="16">
        <f>IF(ISNA(VLOOKUP($A3,'Données projet'!$A$512:$I$532,7,0)),0%,VLOOKUP($A3,'Données projet'!$A$512:$I$532,7,0))</f>
        <v>0</v>
      </c>
      <c r="ON3" s="15">
        <v>0</v>
      </c>
      <c r="OO3" s="15">
        <v>0</v>
      </c>
      <c r="OP3" s="15">
        <v>0</v>
      </c>
      <c r="OQ3" s="18">
        <f>SUM(ON3:OP3)</f>
        <v>0</v>
      </c>
      <c r="OR3" s="74">
        <f>('Scénario référence'!$F$8+'Scénario référence'!$F$9+'Scénario référence'!$B$17+'Scénario référence'!$B$9+'Scénario référence'!$B$10)*70+IF((45+25*(1-EXP(-0.0175*$A3)))&lt;70,'Scénario référence'!$B$16*(45+25*(1-EXP(-0.0175*$A3))),70*'Scénario référence'!$B$16)+IF((32+38*(1-EXP(-0.0175*$A3)))&lt;70,'Scénario référence'!$B$18*(32+38*(1-EXP(-0.0175*$A3))),70*'Scénario référence'!$B$18)</f>
        <v>70</v>
      </c>
      <c r="OS3" s="12">
        <f>IF($A3&gt;30,10,('Scénario référence'!$B$16+'Scénario référence'!$B$17+'Scénario référence'!$B$18+'Scénario référence'!$B$9+'Scénario référence'!$B$10)*$A3*10/30+('Scénario référence'!$F$8+'Scénario référence'!$F$9)*10)</f>
        <v>10</v>
      </c>
      <c r="OT3" s="12">
        <v>0</v>
      </c>
      <c r="OU3" s="12" t="e">
        <f>VLOOKUP($A3,'Données projet'!$A$538:$I$558,9,0)</f>
        <v>#N/A</v>
      </c>
      <c r="OV3" s="12">
        <v>0</v>
      </c>
      <c r="OW3" s="12">
        <v>0</v>
      </c>
      <c r="OX3" s="17" t="e">
        <f>OW3*VLOOKUP('Données projet'!$B$28,Paramètres!$A$1:$I$89,3,0)*VLOOKUP('Données projet'!$B$28,Paramètres!$A$1:$I$89,5,0)</f>
        <v>#N/A</v>
      </c>
      <c r="OY3" s="12">
        <v>0</v>
      </c>
      <c r="OZ3" s="14" t="e">
        <f>(OX3+OY3)*0.475*44/12</f>
        <v>#N/A</v>
      </c>
      <c r="PA3" s="59" t="e">
        <f>OZ3+(OR3+OS3)*44/12</f>
        <v>#N/A</v>
      </c>
      <c r="PB3" s="20" t="e">
        <f ca="1">AVERAGE(OFFSET($PA$3,0,0,'Données projet'!$E$28+1,1))-AVERAGE(OFFSET($H$3,0,0,'Données projet'!$E$28+1,1))</f>
        <v>#N/A</v>
      </c>
      <c r="PC3" s="59" t="e">
        <f>IF('Données projet'!$E$28&gt;30,PA$33-$H$33,LOOKUP('Données projet'!$E$28,$A$3:$A$203,PA3:PA203)-LOOKUP('Données projet'!$E$28,$A$3:$A$204,$H$3:$H$204))</f>
        <v>#N/A</v>
      </c>
      <c r="PD3" s="15">
        <f>IF(ISNA(VLOOKUP($A3,'Données projet'!$A$538:$I$558,3,0)),0,VLOOKUP($A3,'Données projet'!$A$538:$I$558,3,0))</f>
        <v>0</v>
      </c>
      <c r="PE3" s="15">
        <f>IF(ISNA(VLOOKUP($A3,'Données projet'!$A$538:$I$558,4,0)),0,VLOOKUP($A3,'Données projet'!$A$538:$I$558,4,0))</f>
        <v>0</v>
      </c>
      <c r="PF3" s="16">
        <f>IF(ISNA(VLOOKUP($A3,'Données projet'!$A$538:$I$558,5,0)),0%,VLOOKUP($A3,'Données projet'!$A$538:$I$558,5,0)*VLOOKUP('Données projet'!$B$28,Paramètres!$A$1:$I$89,7,0))</f>
        <v>0</v>
      </c>
      <c r="PG3" s="16">
        <f>IF(ISNA(VLOOKUP($A3,'Données projet'!$A$538:$I$558,6,0)),0%,VLOOKUP($A3,'Données projet'!$A$538:$I$558,6,0)*VLOOKUP('Données projet'!$B$28,Paramètres!$A$1:$I$89,7,0))</f>
        <v>0</v>
      </c>
      <c r="PH3" s="16">
        <f>IF(ISNA(VLOOKUP($A3,'Données projet'!$A$538:$I$558,7,0)),0%,VLOOKUP($A3,'Données projet'!$A$538:$I$558,7,0))</f>
        <v>0</v>
      </c>
      <c r="PI3" s="15">
        <v>0</v>
      </c>
      <c r="PJ3" s="15">
        <v>0</v>
      </c>
      <c r="PK3" s="15">
        <v>0</v>
      </c>
      <c r="PL3" s="18">
        <f>SUM(PI3:PK3)</f>
        <v>0</v>
      </c>
    </row>
    <row r="4" spans="1:42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projet'!$A$45:$I$65,2,0)</f>
        <v>#N/A</v>
      </c>
      <c r="L4" s="12" t="e">
        <f>VLOOKUP(A4,'Données projet'!$A$45:$I$65,9,0)</f>
        <v>#N/A</v>
      </c>
      <c r="M4" s="12">
        <f t="array" ref="M4">INDEX(L:L,MIN(IF(ISNUMBER(L4:L200),ROW(L4:L200),"")))</f>
        <v>10.16068376068376</v>
      </c>
      <c r="N4" s="13">
        <f>IF('Données projet'!$A$46&gt;35,N3+M4-V3,IF(A4&lt;'Données projet'!$A$46,$K$205^A4,IF(A4='Données projet'!$A$46,'Données projet'!$B$46,N3+M4-V3)))</f>
        <v>1.3356034260773062</v>
      </c>
      <c r="O4" s="13">
        <f>N4*VLOOKUP('Données projet'!$B$9,Paramètres!$A$1:$I$89,3,0)*VLOOKUP('Données projet'!$B$9,Paramètres!$A$1:$I$89,5,0)</f>
        <v>0.7466023151772142</v>
      </c>
      <c r="P4" s="13">
        <f>EXP(-1.0587+0.8836*LN(O4)+0.284)</f>
        <v>0.35597032812689977</v>
      </c>
      <c r="Q4" s="20">
        <f t="shared" ref="Q4:Q34" si="2">(O4+P4)*0.475*44/12</f>
        <v>1.9203140204213316</v>
      </c>
      <c r="R4" s="59">
        <f t="shared" si="0"/>
        <v>295.25364735375467</v>
      </c>
      <c r="S4" s="59">
        <f ca="1">AVERAGE(OFFSET($R$3,0,0,'Données projet'!$E$9+1,1))-AVERAGE(OFFSET($H$3,0,0,'Données projet'!$E$9+1,1))</f>
        <v>274.57619581652199</v>
      </c>
      <c r="T4" s="59">
        <f>$T$3</f>
        <v>366.15117322598775</v>
      </c>
      <c r="U4" s="15">
        <f>IF(ISNA(VLOOKUP(A4,'Données projet'!$A$45:$I$65,3,0)),0,VLOOKUP(A4,'Données projet'!$A$45:$I$65,3,0))</f>
        <v>0</v>
      </c>
      <c r="V4" s="15">
        <f>IF(ISNA(VLOOKUP(A4,'Données projet'!$A$45:$I$65,4,0)),0,VLOOKUP(A4,'Données projet'!$A$45:$I$65,4,0))</f>
        <v>0</v>
      </c>
      <c r="W4" s="16">
        <f>IF(ISNA(VLOOKUP(A4,'Données projet'!$A$45:$I$65,5,0)),0%,VLOOKUP(A4,'Données projet'!$A$45:$I$65,5,0)*VLOOKUP('Données projet'!$B$9,Paramètres!$A$1:$I$89,7,0))</f>
        <v>0</v>
      </c>
      <c r="X4" s="16">
        <f>IF(ISNA(VLOOKUP(A4,'Données projet'!$A$45:$I$65,6,0)),0%,VLOOKUP(A4,'Données projet'!$A$45:$I$65,6,0)*VLOOKUP('Données projet'!$B$9,Paramètres!$A$1:$I$89,7,0))</f>
        <v>0</v>
      </c>
      <c r="Y4" s="16">
        <f>IF(ISNA(VLOOKUP(A4,'Données projet'!$A$45:$I$65,7,0)),0%,VLOOKUP(A4,'Données projet'!$A$45:$I$65,7,0))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projet'!$A$71:$I$91,2,0)</f>
        <v>#N/A</v>
      </c>
      <c r="AG4" s="12" t="e">
        <f>VLOOKUP(A4,'Données projet'!$A$71:$I$91,9,0)</f>
        <v>#N/A</v>
      </c>
      <c r="AH4" s="12">
        <f t="array" ref="AH4">INDEX(AG:AG,MIN(IF(ISNUMBER(AG4:AG200),ROW(AG4:AG200),"")))</f>
        <v>4.0628205128205126</v>
      </c>
      <c r="AI4" s="13">
        <f>IF('Données projet'!$A$72&gt;35,AI3+AH4-AQ3,IF(A4&lt;'Données projet'!$A$72,$AF$205^A4,IF(A4='Données projet'!$A$72,'Données projet'!$B$72,AI3+AH4-AQ3)))</f>
        <v>1.1736311550444201</v>
      </c>
      <c r="AJ4" s="13">
        <f>AI4*VLOOKUP('Données projet'!$B$10,Paramètres!$A$1:$I$89,3,0)*VLOOKUP('Données projet'!$B$10,Paramètres!$A$1:$I$89,5,0)</f>
        <v>1.0619014690841913</v>
      </c>
      <c r="AK4" s="13">
        <f>EXP(-1.0587+0.8836*LN(AJ4)+0.284)</f>
        <v>0.48595950732890802</v>
      </c>
      <c r="AL4" s="20">
        <f t="shared" ref="AL4:AL67" si="4">(AJ4+AK4)*0.475*44/12</f>
        <v>2.6958578672528142</v>
      </c>
      <c r="AM4" s="59">
        <f t="shared" ref="AM4:AM67" si="5">AL4+(AD4+AE4)*44/12</f>
        <v>296.02919120058613</v>
      </c>
      <c r="AN4" s="59">
        <f ca="1">AVERAGE(OFFSET($AM$3,0,0,'Données projet'!$E$10+1,1))-AVERAGE(OFFSET($H$3,0,0,'Données projet'!$E$10+1,1))</f>
        <v>270.87836509222456</v>
      </c>
      <c r="AO4" s="59">
        <f>$AO$3</f>
        <v>205.24998237949734</v>
      </c>
      <c r="AP4" s="15">
        <f>IF(ISNA(VLOOKUP(A4,'Données projet'!$A$71:$I$91,3,0)),0,VLOOKUP(A4,'Données projet'!$A$71:$I$91,3,0))</f>
        <v>0</v>
      </c>
      <c r="AQ4" s="15">
        <f>IF(ISNA(VLOOKUP(A4,'Données projet'!$A$71:$I$91,4,0)),0,VLOOKUP(A4,'Données projet'!$A$71:$I$91,4,0))</f>
        <v>0</v>
      </c>
      <c r="AR4" s="16">
        <f>IF(ISNA(VLOOKUP(A4,'Données projet'!$A$71:$I$91,5,0)),0%,VLOOKUP(A4,'Données projet'!$A$71:$I$91,5,0)*VLOOKUP('Données projet'!$B$10,Paramètres!$A$1:$I$89,7,0))</f>
        <v>0</v>
      </c>
      <c r="AS4" s="16">
        <f>IF(ISNA(VLOOKUP(A4,'Données projet'!$A$71:$I$91,6,0)),0%,VLOOKUP(A4,'Données projet'!$A$71:$I$91,6,0)*VLOOKUP('Données projet'!$B$10,Paramètres!$A$1:$I$89,7,0))</f>
        <v>0</v>
      </c>
      <c r="AT4" s="16">
        <f>IF(ISNA(VLOOKUP(A4,'Données projet'!$A$71:$I$91,7,0)),0%,VLOOKUP(A4,'Données projet'!$A$71:$I$91,7,0))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projet'!$A$97:$I$117,2,0)</f>
        <v>#N/A</v>
      </c>
      <c r="BB4" s="12" t="e">
        <f>VLOOKUP(A4,'Données projet'!$A$97:$I$117,9,0)</f>
        <v>#N/A</v>
      </c>
      <c r="BC4" s="12">
        <f t="array" ref="BC4">INDEX(BB:BB,MIN(IF(ISNUMBER(BB4:BB200),ROW(BB4:BB200),"")))</f>
        <v>10.16068376068376</v>
      </c>
      <c r="BD4" s="12">
        <f>IF('Données projet'!$A$98&gt;35,BD3+BC4-BL3,IF(A4&lt;'Données projet'!$A$98,$BA$205^A4,IF(A4='Données projet'!$A$98,'Données projet'!$B$98,BD3+BC4-BL3)))</f>
        <v>1.3356034260773062</v>
      </c>
      <c r="BE4" s="13">
        <f>BD4*VLOOKUP('Données projet'!$B$11,Paramètres!$A$1:$I$89,3,0)*VLOOKUP('Données projet'!$B$11,Paramètres!$A$1:$I$89,5,0)</f>
        <v>0.59033671432616941</v>
      </c>
      <c r="BF4" s="13">
        <f>EXP(-1.0587+0.8836*LN(BE4)+0.284)</f>
        <v>0.28926496926876555</v>
      </c>
      <c r="BG4" s="20">
        <f t="shared" ref="BG4:BG67" si="7">(BE4+BF4)*0.475*44/12</f>
        <v>1.5319729322611784</v>
      </c>
      <c r="BH4" s="59">
        <f t="shared" ref="BH4:BH67" si="8">BG4+(AY4+AZ4)*44/12</f>
        <v>294.86530626559448</v>
      </c>
      <c r="BI4" s="59">
        <f ca="1">AVERAGE(OFFSET($BH$3,0,0,'Données projet'!$E$11+1,1))-AVERAGE(OFFSET($H$3,0,0,'Données projet'!$E$11+1,1))</f>
        <v>211.31057120485542</v>
      </c>
      <c r="BJ4" s="59">
        <f>$BJ$3</f>
        <v>283.33292006714777</v>
      </c>
      <c r="BK4" s="15">
        <f>IF(ISNA(VLOOKUP(A4,'Données projet'!$A$97:$I$117,3,0)),0,VLOOKUP(A4,'Données projet'!$A$97:$I$117,3,0))</f>
        <v>0</v>
      </c>
      <c r="BL4" s="15">
        <f>IF(ISNA(VLOOKUP(A4,'Données projet'!$A$97:$I$117,4,0)),0,VLOOKUP(A4,'Données projet'!$A$97:$I$117,4,0))</f>
        <v>0</v>
      </c>
      <c r="BM4" s="16">
        <f>IF(ISNA(VLOOKUP(A4,'Données projet'!$A$97:$I$117,5,0)),0%,VLOOKUP(A4,'Données projet'!$A$97:$I$117,5,0)*VLOOKUP('Données projet'!$B$11,Paramètres!$A$1:$I$89,7,0))</f>
        <v>0</v>
      </c>
      <c r="BN4" s="16">
        <f>IF(ISNA(VLOOKUP(A4,'Données projet'!$A$97:$I$117,6,0)),0%,VLOOKUP(A4,'Données projet'!$A$97:$I$117,6,0)*VLOOKUP('Données projet'!$B$11,Paramètres!$A$1:$I$89,7,0))</f>
        <v>0</v>
      </c>
      <c r="BO4" s="16">
        <f>IF(ISNA(VLOOKUP(A4,'Données projet'!$A$97:$I$117,7,0)),0%,VLOOKUP(A4,'Données projet'!$A$97:$I$117,7,0))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projet'!$A$123:$I$143,2,0)</f>
        <v>#N/A</v>
      </c>
      <c r="BW4" s="12" t="e">
        <f>VLOOKUP(A4,'Données projet'!$A$123:$I$143,9,0)</f>
        <v>#N/A</v>
      </c>
      <c r="BX4" s="12">
        <f t="array" ref="BX4">INDEX(BW:BW,MIN(IF(ISNUMBER(BW4:BW200),ROW(BW4:BW200),"")))</f>
        <v>2.9</v>
      </c>
      <c r="BY4" s="12">
        <f>IF('Données projet'!$A$124&gt;35,BY3+BX4-CG3,IF(A4&lt;'Données projet'!$A$124,$BV$205^A4,IF(A4='Données projet'!$A$124,'Données projet'!$B$124,BY3+BX4-CG3)))</f>
        <v>1.4003603312913959</v>
      </c>
      <c r="BZ4" s="13">
        <f>BY4*VLOOKUP('Données projet'!$B$12,Paramètres!$A$1:$I$89,3,0)*VLOOKUP('Données projet'!$B$12,Paramètres!$A$1:$I$89,5,0)</f>
        <v>1.4636566182657671</v>
      </c>
      <c r="CA4" s="13">
        <f>EXP(-1.0587+0.8836*LN(BZ4)+0.284)</f>
        <v>0.64525910695655797</v>
      </c>
      <c r="CB4" s="20">
        <f t="shared" ref="CB4:CB67" si="10">(BZ4+CA4)*0.475*44/12</f>
        <v>3.6730282214288827</v>
      </c>
      <c r="CC4" s="59">
        <f t="shared" ref="CC4:CC67" si="11">CB4+(BT4+BU4)*44/12</f>
        <v>297.00636155476218</v>
      </c>
      <c r="CD4" s="59">
        <f ca="1">AVERAGE(OFFSET($CC$3,0,0,'Données projet'!$E$12+1,1))-AVERAGE(OFFSET($H$3,0,0,'Données projet'!$E$12+1,1))</f>
        <v>322.93502595881938</v>
      </c>
      <c r="CE4" s="59">
        <f>$CE$3</f>
        <v>302.67072119588164</v>
      </c>
      <c r="CF4" s="15">
        <f>IF(ISNA(VLOOKUP(A4,'Données projet'!$A$123:$I$143,3,0)),0,VLOOKUP(A4,'Données projet'!$A$123:$I$143,3,0))</f>
        <v>0</v>
      </c>
      <c r="CG4" s="15">
        <f>IF(ISNA(VLOOKUP(A4,'Données projet'!$A$123:$I$143,4,0)),0,VLOOKUP(A4,'Données projet'!$A$123:$I$143,4,0))</f>
        <v>0</v>
      </c>
      <c r="CH4" s="16">
        <f>IF(ISNA(VLOOKUP(A4,'Données projet'!$A$123:$I$143,5,0)),0%,VLOOKUP(A4,'Données projet'!$A$123:$I$143,5,0)*VLOOKUP('Données projet'!$B$12,Paramètres!$A$1:$I$89,7,0))</f>
        <v>0</v>
      </c>
      <c r="CI4" s="16">
        <f>IF(ISNA(VLOOKUP(A4,'Données projet'!$A$123:$I$143,6,0)),0%,VLOOKUP(A4,'Données projet'!$A$123:$I$143,6,0)*VLOOKUP('Données projet'!$B$12,Paramètres!$A$1:$I$89,7,0))</f>
        <v>0</v>
      </c>
      <c r="CJ4" s="16">
        <f>IF(ISNA(VLOOKUP(A4,'Données projet'!$A$123:$I$143,7,0)),0%,VLOOKUP(A4,'Données projet'!$A$123:$I$143,7,0))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projet'!$A$149:$I$169,2,0)</f>
        <v>#N/A</v>
      </c>
      <c r="CR4" s="12" t="e">
        <f>VLOOKUP(A4,'Données projet'!$A$149:$I$169,9,0)</f>
        <v>#N/A</v>
      </c>
      <c r="CS4" s="12">
        <f t="array" ref="CS4">INDEX(CR:CR,MIN(IF(ISNUMBER(CR4:CR200),ROW(CR4:CR200),"")))</f>
        <v>2.9235042735042733</v>
      </c>
      <c r="CT4" s="12">
        <f>IF('Données projet'!$A$150&gt;35,CT3+CS4-DB3,IF(A4&lt;'Données projet'!$A$150,$CQ$205^A4,IF(A4='Données projet'!$A$150,'Données projet'!$B$150,CT3+CS4-DB3)))</f>
        <v>1.1608269964373037</v>
      </c>
      <c r="CU4" s="17">
        <f>CT4*VLOOKUP('Données projet'!$B$13,Paramètres!$A$1:$I$89,3,0)*VLOOKUP('Données projet'!$B$13,Paramètres!$A$1:$I$89,5,0)</f>
        <v>1.1770785743874259</v>
      </c>
      <c r="CV4" s="13">
        <f>EXP(-1.0587+0.8836*LN(CU4)+0.284)</f>
        <v>0.53225011573313319</v>
      </c>
      <c r="CW4" s="20">
        <f t="shared" ref="CW4:CW67" si="13">(CU4+CV4)*0.475*44/12</f>
        <v>2.9770808019599735</v>
      </c>
      <c r="CX4" s="59">
        <f t="shared" ref="CX4:CX67" si="14">CW4+(CO4+CP4)*44/12</f>
        <v>296.31041413529329</v>
      </c>
      <c r="CY4" s="59">
        <f ca="1">AVERAGE(OFFSET($CX$3,0,0,'Données projet'!$E$13+1,1))-AVERAGE(OFFSET($H$3,0,0,'Données projet'!$E$13+1,1))</f>
        <v>250.31277422753283</v>
      </c>
      <c r="CZ4" s="59">
        <f>$CZ$3</f>
        <v>159.20429420478047</v>
      </c>
      <c r="DA4" s="15">
        <f>IF(ISNA(VLOOKUP(A4,'Données projet'!$A$149:$I$169,3,0)),0,VLOOKUP(A4,'Données projet'!$A$149:$I$169,3,0))</f>
        <v>0</v>
      </c>
      <c r="DB4" s="15">
        <f>IF(ISNA(VLOOKUP(A4,'Données projet'!$A$149:$I$169,4,0)),0,VLOOKUP(A4,'Données projet'!$A$149:$I$169,4,0))</f>
        <v>0</v>
      </c>
      <c r="DC4" s="16">
        <f>IF(ISNA(VLOOKUP(A4,'Données projet'!$A$149:$I$169,5,0)),0%,VLOOKUP(A4,'Données projet'!$A$149:$I$169,5,0)*VLOOKUP('Données projet'!$B$13,Paramètres!$A$1:$I$89,7,0))</f>
        <v>0</v>
      </c>
      <c r="DD4" s="16">
        <f>IF(ISNA(VLOOKUP(A4,'Données projet'!$A$149:$I$169,6,0)),0%,VLOOKUP(A4,'Données projet'!$A$149:$I$169,6,0)*VLOOKUP('Données projet'!$B$13,Paramètres!$A$1:$I$89,7,0))</f>
        <v>0</v>
      </c>
      <c r="DE4" s="16">
        <f>IF(ISNA(VLOOKUP(A4,'Données projet'!$A$149:$I$169,7,0)),0%,VLOOKUP(A4,'Données projet'!$A$149:$I$169,7,0))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projet'!$A$175:$I$195,2,0)</f>
        <v>#N/A</v>
      </c>
      <c r="DM4" s="12" t="e">
        <f>VLOOKUP(A4,'Données projet'!$A$175:$I$195,9,0)</f>
        <v>#N/A</v>
      </c>
      <c r="DN4" s="12">
        <f t="array" ref="DN4">INDEX(DM:DM,MIN(IF(ISNUMBER(DM4:DM200),ROW(DM4:DM200),"")))</f>
        <v>1.9</v>
      </c>
      <c r="DO4" s="12">
        <f>IF('Données projet'!$A$176&gt;35,DO3+DN4-DW3,IF(A4&lt;'Données projet'!$A$176,$DL$205^A4,IF(A4='Données projet'!$A$176,'Données projet'!$B$176,DO3+DN4-DW3)))</f>
        <v>1.3423796509621049</v>
      </c>
      <c r="DP4" s="17">
        <f>DO4*VLOOKUP('Données projet'!$B$14,Paramètres!$A$1:$I$89,3,0)*VLOOKUP('Données projet'!$B$14,Paramètres!$A$1:$I$89,5,0)</f>
        <v>0.98423276008541516</v>
      </c>
      <c r="DQ4" s="13">
        <f>EXP(-1.0587+0.8836*LN(DP4)+0.284)</f>
        <v>0.45441566615213064</v>
      </c>
      <c r="DR4" s="20">
        <f t="shared" ref="DR4:DR67" si="16">(DP4+DQ4)*0.475*44/12</f>
        <v>2.5056460090303925</v>
      </c>
      <c r="DS4" s="59">
        <f t="shared" ref="DS4:DS67" si="17">DR4+(DJ4+DK4)*44/12</f>
        <v>295.8389793423637</v>
      </c>
      <c r="DT4" s="59">
        <f ca="1">AVERAGE(OFFSET($DS$3,0,0,'Données projet'!$E$14+1,1))-AVERAGE(OFFSET($H$3,0,0,'Données projet'!$E$14+1,1))</f>
        <v>296.91321813251051</v>
      </c>
      <c r="DU4" s="59">
        <f>$DU$3</f>
        <v>291.0718079639509</v>
      </c>
      <c r="DV4" s="15">
        <f>IF(ISNA(VLOOKUP(A4,'Données projet'!$A$175:$I$195,3,0)),0,VLOOKUP(A4,'Données projet'!$A$175:$I$195,3,0))</f>
        <v>0</v>
      </c>
      <c r="DW4" s="15">
        <f>IF(ISNA(VLOOKUP(A4,'Données projet'!$A$175:$I$195,4,0)),0,VLOOKUP(A4,'Données projet'!$A$175:$I$195,4,0))</f>
        <v>0</v>
      </c>
      <c r="DX4" s="16">
        <f>IF(ISNA(VLOOKUP(A4,'Données projet'!$A$175:$I$195,5,0)),0%,VLOOKUP(A4,'Données projet'!$A$175:$I$195,5,0)*VLOOKUP('Données projet'!$B$14,Paramètres!$A$1:$I$89,7,0))</f>
        <v>0</v>
      </c>
      <c r="DY4" s="16">
        <f>IF(ISNA(VLOOKUP(A4,'Données projet'!$A$175:$I$195,6,0)),0%,VLOOKUP(A4,'Données projet'!$A$175:$I$195,6,0)*VLOOKUP('Données projet'!$B$14,Paramètres!$A$1:$I$89,7,0))</f>
        <v>0</v>
      </c>
      <c r="DZ4" s="16">
        <f>IF(ISNA(VLOOKUP(A4,'Données projet'!$A$175:$I$195,7,0)),0%,VLOOKUP(A4,'Données projet'!$A$175:$I$195,7,0))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projet'!$A$201:$I$221,2,0)</f>
        <v>#N/A</v>
      </c>
      <c r="EH4" s="12" t="e">
        <f>VLOOKUP(A4,'Données projet'!$A$201:$I$221,9,0)</f>
        <v>#N/A</v>
      </c>
      <c r="EI4" s="12">
        <f t="array" ref="EI4">INDEX(EH:EH,MIN(IF(ISNUMBER(EH4:EH200),ROW(EH4:EH200),"")))</f>
        <v>3.4425641025641025</v>
      </c>
      <c r="EJ4" s="12">
        <f>IF('Données projet'!$A$202&gt;35,EJ3+EI4-ER3,IF(A4&lt;'Données projet'!$A$202,$EG$205^A4,IF(A4='Données projet'!$A$202,'Données projet'!$B$202,EJ3+EI4-ER3)))</f>
        <v>1.1671681906248585</v>
      </c>
      <c r="EK4" s="17">
        <f>EJ4*VLOOKUP('Données projet'!$B$15,Paramètres!$A$1:$I$89,3,0)*VLOOKUP('Données projet'!$B$15,Paramètres!$A$1:$I$89,5,0)</f>
        <v>0.54623471321243378</v>
      </c>
      <c r="EL4" s="13">
        <f>EXP(-1.0587+0.8836*LN(EK4)+0.284)</f>
        <v>0.27008496636632595</v>
      </c>
      <c r="EM4" s="20">
        <f t="shared" ref="EM4:EM67" si="19">(EK4+EL4)*0.475*44/12</f>
        <v>1.4217567752663396</v>
      </c>
      <c r="EN4" s="59">
        <f t="shared" ref="EN4:EN67" si="20">EM4+(EE4+EF4)*44/12</f>
        <v>294.75509010859963</v>
      </c>
      <c r="EO4" s="59">
        <f ca="1">AVERAGE(OFFSET($EN$3,0,0,'Données projet'!$E$15+1,1))-AVERAGE(OFFSET($H$3,0,0,'Données projet'!$E$15+1,1))</f>
        <v>147.64256291235483</v>
      </c>
      <c r="EP4" s="59">
        <f>$EP$3</f>
        <v>70.859031694091868</v>
      </c>
      <c r="EQ4" s="15">
        <f>IF(ISNA(VLOOKUP(A4,'Données projet'!$A$201:$I$221,3,0)),0,VLOOKUP(A4,'Données projet'!$A$201:$I$221,3,0))</f>
        <v>0</v>
      </c>
      <c r="ER4" s="15">
        <f>IF(ISNA(VLOOKUP(A4,'Données projet'!$A$201:$I$221,4,0)),0,VLOOKUP(A4,'Données projet'!$A$201:$I$221,4,0))</f>
        <v>0</v>
      </c>
      <c r="ES4" s="16">
        <f>IF(ISNA(VLOOKUP(A4,'Données projet'!$A$201:$I$221,5,0)),0%,VLOOKUP(A4,'Données projet'!$A$201:$I$221,5,0)*VLOOKUP('Données projet'!$B$15,Paramètres!$A$1:$I$89,7,0))</f>
        <v>0</v>
      </c>
      <c r="ET4" s="16">
        <f>IF(ISNA(VLOOKUP(A4,'Données projet'!$A$201:$I$221,6,0)),0%,VLOOKUP(A4,'Données projet'!$A$201:$I$221,6,0)*VLOOKUP('Données projet'!$B$15,Paramètres!$A$1:$I$89,7,0))</f>
        <v>0</v>
      </c>
      <c r="EU4" s="16">
        <f>IF(ISNA(VLOOKUP(A4,'Données projet'!$A$201:$I$221,7,0)),0%,VLOOKUP(A4,'Données projet'!$A$201:$I$221,7,0))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projet'!$A$227:$I$247,2,0)</f>
        <v>#N/A</v>
      </c>
      <c r="FC4" s="12" t="e">
        <f>VLOOKUP(A4,'Données projet'!$A$227:$I$247,9,0)</f>
        <v>#N/A</v>
      </c>
      <c r="FD4" s="12">
        <f t="array" ref="FD4">INDEX(FC:FC,MIN(IF(ISNUMBER(FC4:FC200),ROW(FC4:FC200),"")))</f>
        <v>1.8</v>
      </c>
      <c r="FE4" s="12">
        <f>IF('Données projet'!$A$228&gt;35,FE3+FD4-FM3,IF(A4&lt;'Données projet'!$A$228,$FB$205^A4,IF(A4='Données projet'!$A$228,'Données projet'!$B$228,FE3+FD4-FM3)))</f>
        <v>1.335141362540313</v>
      </c>
      <c r="FF4" s="17">
        <f>FE4*VLOOKUP('Données projet'!$B$16,Paramètres!$A$1:$I$89,3,0)*VLOOKUP('Données projet'!$B$16,Paramètres!$A$1:$I$89,5,0)</f>
        <v>1.3954897521271352</v>
      </c>
      <c r="FG4" s="13">
        <f>EXP(-1.0587+0.8836*LN(FF4)+0.284)</f>
        <v>0.61863221819522474</v>
      </c>
      <c r="FH4" s="20">
        <f t="shared" ref="FH4:FH67" si="22">(FF4+FG4)*0.475*44/12</f>
        <v>3.5079290983114433</v>
      </c>
      <c r="FI4" s="59">
        <f t="shared" ref="FI4:FI67" si="23">FH4+(EZ4+FA4)*44/12</f>
        <v>296.84126243164474</v>
      </c>
      <c r="FJ4" s="59">
        <f ca="1">AVERAGE(OFFSET($FI$3,0,0,'Données projet'!$E$16+1,1))-AVERAGE(OFFSET($H$3,0,0,'Données projet'!$E$16+1,1))</f>
        <v>259.03906550253788</v>
      </c>
      <c r="FK4" s="59">
        <f>$FK$3</f>
        <v>235.54542903570831</v>
      </c>
      <c r="FL4" s="15">
        <f>IF(ISNA(VLOOKUP(A4,'Données projet'!$A$227:$I$247,3,0)),0,VLOOKUP(A4,'Données projet'!$A$227:$I$247,3,0))</f>
        <v>0</v>
      </c>
      <c r="FM4" s="15">
        <f>IF(ISNA(VLOOKUP(A4,'Données projet'!$A$227:$I$247,4,0)),0,VLOOKUP(A4,'Données projet'!$A$227:$I$247,4,0))</f>
        <v>0</v>
      </c>
      <c r="FN4" s="16">
        <f>IF(ISNA(VLOOKUP(A4,'Données projet'!$A$227:$I$247,5,0)),0%,VLOOKUP(A4,'Données projet'!$A$227:$I$247,5,0)*VLOOKUP('Données projet'!$B$16,Paramètres!$A$1:$I$89,7,0))</f>
        <v>0</v>
      </c>
      <c r="FO4" s="16">
        <f>IF(ISNA(VLOOKUP(A4,'Données projet'!$A$227:$I$247,6,0)),0%,VLOOKUP(A4,'Données projet'!$A$227:$I$247,6,0)*VLOOKUP('Données projet'!$B$16,Paramètres!$A$1:$I$89,7,0))</f>
        <v>0</v>
      </c>
      <c r="FP4" s="16">
        <f>IF(ISNA(VLOOKUP(A4,'Données projet'!$A$227:$I$247,7,0)),0%,VLOOKUP(A4,'Données projet'!$A$227:$I$247,7,0))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projet'!$A$253:$I$273,2,0)</f>
        <v>#N/A</v>
      </c>
      <c r="FX4" s="12" t="e">
        <f>VLOOKUP(A4,'Données projet'!$A$253:$I$273,9,0)</f>
        <v>#N/A</v>
      </c>
      <c r="FY4" s="12">
        <f t="array" ref="FY4">INDEX(FX:FX,MIN(IF(ISNUMBER(FX4:FX200),ROW(FX4:FX200),"")))</f>
        <v>2.4666666666666668</v>
      </c>
      <c r="FZ4" s="12">
        <f>IF('Données projet'!$A$254&gt;35,FZ3+FY4-GH3,IF(A4&lt;'Données projet'!$A$254,$FW$205^A4,IF(A4='Données projet'!$A$254,'Données projet'!$B$254,FZ3+FY4-GH3)))</f>
        <v>1.2721747796233518</v>
      </c>
      <c r="GA4" s="17">
        <f>FZ4*VLOOKUP('Données projet'!$B$17,Paramètres!$A$1:$I$89,3,0)*VLOOKUP('Données projet'!$B$17,Paramètres!$A$1:$I$89,5,0)</f>
        <v>1.1113718874789602</v>
      </c>
      <c r="GB4" s="13">
        <f>EXP(-1.0587+0.8836*LN(GA4)+0.284)</f>
        <v>0.5059102014681881</v>
      </c>
      <c r="GC4" s="20">
        <f t="shared" ref="GC4:GC67" si="25">(GA4+GB4)*0.475*44/12</f>
        <v>2.8167663049162832</v>
      </c>
      <c r="GD4" s="59">
        <f t="shared" ref="GD4:GD67" si="26">GC4+(FU4+FV4)*44/12</f>
        <v>296.15009963824957</v>
      </c>
      <c r="GE4" s="59">
        <f ca="1">AVERAGE(OFFSET($GD$3,0,0,'Données projet'!$E$17+1,1))-AVERAGE(OFFSET($H$3,0,0,'Données projet'!$E$17+1,1))</f>
        <v>245.1983232777614</v>
      </c>
      <c r="GF4" s="59">
        <f>$GF$3</f>
        <v>242.34010522344573</v>
      </c>
      <c r="GG4" s="15">
        <f>IF(ISNA(VLOOKUP(A4,'Données projet'!$A$253:$I$273,3,0)),0,VLOOKUP(A4,'Données projet'!$A$253:$I$273,3,0))</f>
        <v>0</v>
      </c>
      <c r="GH4" s="15">
        <f>IF(ISNA(VLOOKUP(A4,'Données projet'!$A$253:$I$273,4,0)),0,VLOOKUP(A4,'Données projet'!$A$253:$I$273,4,0))</f>
        <v>0</v>
      </c>
      <c r="GI4" s="16">
        <f>IF(ISNA(VLOOKUP(A4,'Données projet'!$A$253:$I$273,5,0)),0%,VLOOKUP(A4,'Données projet'!$A$253:$I$273,5,0)*VLOOKUP('Données projet'!$B$17,Paramètres!$A$1:$I$89,7,0))</f>
        <v>0</v>
      </c>
      <c r="GJ4" s="16">
        <f>IF(ISNA(VLOOKUP(A4,'Données projet'!$A$253:$I$273,6,0)),0%,VLOOKUP(A4,'Données projet'!$A$253:$I$273,6,0)*VLOOKUP('Données projet'!$B$17,Paramètres!$A$1:$I$89,7,0))</f>
        <v>0</v>
      </c>
      <c r="GK4" s="16">
        <f>IF(ISNA(VLOOKUP(A4,'Données projet'!$A$253:$I$273,7,0)),0%,VLOOKUP(A4,'Données projet'!$A$253:$I$273,7,0))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projet'!$A$279:$I$299,2,0)</f>
        <v>#N/A</v>
      </c>
      <c r="GS4" s="12" t="e">
        <f>VLOOKUP(A4,'Données projet'!$A$279:$I$299,9,0)</f>
        <v>#N/A</v>
      </c>
      <c r="GT4" s="12">
        <f t="array" ref="GT4">INDEX(GS:GS,MIN(IF(ISNUMBER(GS4:GS200),ROW(GS4:GS200),"")))</f>
        <v>4.1333333333333337</v>
      </c>
      <c r="GU4" s="12">
        <f>IF('Données projet'!$A$280&gt;35,GU3+GT4-HC3,IF(A4&lt;'Données projet'!$A$280,$GR$205^A4,IF(A4='Données projet'!$A$280,'Données projet'!$B$280,GU3+GT4-HC3)))</f>
        <v>1.3167180204218134</v>
      </c>
      <c r="GV4" s="17">
        <f>GU4*VLOOKUP('Données projet'!$B$18,Paramètres!$A$1:$I$89,3,0)*VLOOKUP('Données projet'!$B$18,Paramètres!$A$1:$I$89,5,0)</f>
        <v>0.53063736222999081</v>
      </c>
      <c r="GW4" s="13">
        <f>EXP(-1.0587+0.8836*LN(GV4)+0.284)</f>
        <v>0.2632591189020399</v>
      </c>
      <c r="GX4" s="20">
        <f t="shared" ref="GX4:GX67" si="28">(GV4+GW4)*0.475*44/12</f>
        <v>1.3827030379716201</v>
      </c>
      <c r="GY4" s="59">
        <f t="shared" ref="GY4:GY67" si="29">GX4+(GP4+GQ4)*44/12</f>
        <v>294.71603637130494</v>
      </c>
      <c r="GZ4" s="59">
        <f ca="1">AVERAGE(OFFSET($GY$3,0,0,'Données projet'!$E$18+1,1))-AVERAGE(OFFSET($H$3,0,0,'Données projet'!$E$18+1,1))</f>
        <v>324.36162935850876</v>
      </c>
      <c r="HA4" s="59">
        <f>$HA$3</f>
        <v>265.23571072429735</v>
      </c>
      <c r="HB4" s="15">
        <f>IF(ISNA(VLOOKUP(A4,'Données projet'!$A$279:$I$299,3,0)),0,VLOOKUP(A4,'Données projet'!$A$279:$I$299,3,0))</f>
        <v>0</v>
      </c>
      <c r="HC4" s="15">
        <f>IF(ISNA(VLOOKUP(A4,'Données projet'!$A$279:$I$299,4,0)),0,VLOOKUP(A4,'Données projet'!$A$279:$I$299,4,0))</f>
        <v>0</v>
      </c>
      <c r="HD4" s="16">
        <f>IF(ISNA(VLOOKUP(A4,'Données projet'!$A$279:$I$299,5,0)),0%,VLOOKUP(A4,'Données projet'!$A$279:$I$299,5,0)*VLOOKUP('Données projet'!$B$18,Paramètres!$A$1:$I$89,7,0))</f>
        <v>0</v>
      </c>
      <c r="HE4" s="16">
        <f>IF(ISNA(VLOOKUP(A4,'Données projet'!$A$279:$I$299,6,0)),0%,VLOOKUP(A4,'Données projet'!$A$279:$I$299,6,0)*VLOOKUP('Données projet'!$B$18,Paramètres!$A$1:$I$89,7,0))</f>
        <v>0</v>
      </c>
      <c r="HF4" s="16">
        <f>IF(ISNA(VLOOKUP($A4,'Données projet'!$A$279:$I$299,7,0)),0%,VLOOKUP($A4,'Données projet'!$A$279:$I$299,7,0))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  <c r="HK4" s="74">
        <f>('Scénario référence'!$F$8+'Scénario référence'!$F$9+'Scénario référence'!$B$17+'Scénario référence'!$B$9+'Scénario référence'!$B$10)*70+IF((45+25*(1-EXP(-0.0175*$A4)))&lt;70,'Scénario référence'!$B$16*(45+25*(1-EXP(-0.0175*$A4))),70*'Scénario référence'!$B$16)+IF((32+38*(1-EXP(-0.0175*$A4)))&lt;70,'Scénario référence'!$B$18*(32+38*(1-EXP(-0.0175*$A4))),70*'Scénario référence'!$B$18)</f>
        <v>70</v>
      </c>
      <c r="HL4" s="12">
        <f>IF($A4&gt;30,10,('Scénario référence'!$B$16+'Scénario référence'!$B$17+'Scénario référence'!$B$18+'Scénario référence'!$B$9+'Scénario référence'!$B$10)*$A4*10/30+('Scénario référence'!$F$8+'Scénario référence'!$F$9)*10)</f>
        <v>10</v>
      </c>
      <c r="HM4" s="12" t="e">
        <f>VLOOKUP($A4,'Données projet'!$A$304:$I$324,2,0)</f>
        <v>#N/A</v>
      </c>
      <c r="HN4" s="12" t="e">
        <f>VLOOKUP($A4,'Données projet'!$A$304:$I$324,9,0)</f>
        <v>#N/A</v>
      </c>
      <c r="HO4" s="12">
        <f t="array" ref="HO4">INDEX(HN:HN,MIN(IF(ISNUMBER(HN4:HN200),ROW(HN4:HN200),"")))</f>
        <v>9.2179487179486985E-2</v>
      </c>
      <c r="HP4" s="12">
        <f>IF('Données projet'!$A$304&gt;35,HP3+HO4-HX3,IF($A4&lt;'Données projet'!$A$304,$CQ$205^$A4,IF($A4='Données projet'!$A$304,'Données projet'!$B$304,HP3+HO4-HX3)))</f>
        <v>9.2179487179486985E-2</v>
      </c>
      <c r="HQ4" s="17">
        <f>HP4*VLOOKUP('Données projet'!$B$19,Paramètres!$A$1:$I$89,3,0)*VLOOKUP('Données projet'!$B$19,Paramètres!$A$1:$I$89,5,0)</f>
        <v>4.6878799999999908E-2</v>
      </c>
      <c r="HR4" s="13">
        <f>EXP(-1.0587+0.8836*LN(HQ4)+0.284)</f>
        <v>3.0847991176484145E-2</v>
      </c>
      <c r="HS4" s="14">
        <f t="shared" ref="HS4:HS67" si="31">(HQ4+HR4)*0.475*44/12</f>
        <v>0.13537416129904303</v>
      </c>
      <c r="HT4" s="59">
        <f t="shared" ref="HT4:HT67" si="32">HS4+(HK4+HL4)*44/12</f>
        <v>293.46870749463238</v>
      </c>
      <c r="HU4" s="59">
        <f ca="1">AVERAGE(OFFSET(HT$3,0,0,'Données projet'!$E$19+1,1))-AVERAGE(OFFSET($H$3,0,0,'Données projet'!$E$19+1,1))</f>
        <v>91.60721429656013</v>
      </c>
      <c r="HV4" s="59">
        <f>$HV$3</f>
        <v>258.94957804210856</v>
      </c>
      <c r="HW4" s="15">
        <f>IF(ISNA(VLOOKUP($A4,'Données projet'!$A$304:$I$324,3,0)),0,VLOOKUP($A4,'Données projet'!$A$304:$I$324,3,0))</f>
        <v>0</v>
      </c>
      <c r="HX4" s="15">
        <f>IF(ISNA(VLOOKUP($A4,'Données projet'!$A$304:$I$324,4,0)),0,VLOOKUP($A4,'Données projet'!$A$304:$I$324,4,0))</f>
        <v>0</v>
      </c>
      <c r="HY4" s="16">
        <f>IF(ISNA(VLOOKUP($A4,'Données projet'!$A$304:$I$324,5,0)),0%,VLOOKUP($A4,'Données projet'!$A$304:$I$324,5,0)*VLOOKUP('Données projet'!$B$19,Paramètres!$A$1:$I$89,7,0))</f>
        <v>0</v>
      </c>
      <c r="HZ4" s="16">
        <f>IF(ISNA(VLOOKUP($A4,'Données projet'!$A$304:$I$324,6,0)),0%,VLOOKUP($A4,'Données projet'!$A$304:$I$324,6,0)*VLOOKUP('Données projet'!$B$19,Paramètres!$A$1:$I$89,7,0))</f>
        <v>0</v>
      </c>
      <c r="IA4" s="16">
        <f>IF(ISNA(VLOOKUP($A4,'Données projet'!$A$304:$I$324,7,0)),0%,VLOOKUP($A4,'Données projet'!$A$304:$I$324,7,0))</f>
        <v>0</v>
      </c>
      <c r="IB4" s="21">
        <f>EXP(-LN(2)/35)*IB3+(1-EXP(-LN(2)/35))/(LN(2)/35)*HX4*HY4*VLOOKUP('Données projet'!$B$19,Paramètres!$A$1:$I$89,3,0)*0.475*44/12</f>
        <v>0</v>
      </c>
      <c r="IC4" s="21">
        <f>EXP(-LN(2)/25)*IC3+(1-EXP(-LN(2)/25))/(LN(2)/25)*Calculateur!HX4*Calculateur!HZ4*VLOOKUP('Données projet'!$B$19,Paramètres!$A$1:$I$89,3,0)*0.475*44/12</f>
        <v>0</v>
      </c>
      <c r="ID4" s="21">
        <f>EXP(-LN(2)/2)*ID3+(1-EXP(-LN(2)/2))/(LN(2)/2)*HX4*IA4*VLOOKUP('Données projet'!$B$19,Paramètres!$A$1:$I$89,3,0)*0.475*44/12</f>
        <v>0</v>
      </c>
      <c r="IE4" s="22">
        <f t="shared" ref="IE4:IE67" si="33">SUM(IB4:ID4)</f>
        <v>0</v>
      </c>
      <c r="IF4" s="74">
        <f>('Scénario référence'!$F$8+'Scénario référence'!$F$9+'Scénario référence'!$B$17+'Scénario référence'!$B$9+'Scénario référence'!$B$10)*70+IF((45+25*(1-EXP(-0.0175*$A4)))&lt;70,'Scénario référence'!$B$16*(45+25*(1-EXP(-0.0175*$A4))),70*'Scénario référence'!$B$16)+IF((32+38*(1-EXP(-0.0175*$A4)))&lt;70,'Scénario référence'!$B$18*(32+38*(1-EXP(-0.0175*$A4))),70*'Scénario référence'!$B$18)</f>
        <v>70</v>
      </c>
      <c r="IG4" s="12">
        <f>IF($A4&gt;30,10,('Scénario référence'!$B$16+'Scénario référence'!$B$17+'Scénario référence'!$B$18+'Scénario référence'!$B$9+'Scénario référence'!$B$10)*$A4*10/30+('Scénario référence'!$F$8+'Scénario référence'!$F$9)*10)</f>
        <v>10</v>
      </c>
      <c r="IH4" s="12" t="e">
        <f>VLOOKUP($A4,'Données projet'!$A$330:$I$350,2,0)</f>
        <v>#N/A</v>
      </c>
      <c r="II4" s="12" t="e">
        <f>VLOOKUP($A4,'Données projet'!$A$330:$I$350,9,0)</f>
        <v>#N/A</v>
      </c>
      <c r="IJ4" s="12">
        <f t="array" ref="IJ4">INDEX(II:II,MIN(IF(ISNUMBER(II4:II200),ROW(II4:II200),"")))</f>
        <v>9.2179487179486985E-2</v>
      </c>
      <c r="IK4" s="12">
        <f>IF('Données projet'!$A$330&gt;35,IK3+IJ4-IS3,IF($A4&lt;'Données projet'!$A$330,$CQ$205^$A4,IF($A4='Données projet'!$A$330,'Données projet'!$B$330,IK3+IJ4-IS3)))</f>
        <v>9.2179487179486985E-2</v>
      </c>
      <c r="IL4" s="17">
        <f>IK4*VLOOKUP('Données projet'!$B$20,Paramètres!$A$1:$I$89,3,0)*VLOOKUP('Données projet'!$B$20,Paramètres!$A$1:$I$89,5,0)</f>
        <v>4.6878799999999908E-2</v>
      </c>
      <c r="IM4" s="13">
        <f>EXP(-1.0587+0.8836*LN(IL4)+0.284)</f>
        <v>3.0847991176484145E-2</v>
      </c>
      <c r="IN4" s="14">
        <f t="shared" ref="IN4" si="34">(IL4+IM4)*0.475*44/12</f>
        <v>0.13537416129904303</v>
      </c>
      <c r="IO4" s="59">
        <f t="shared" ref="IO4" si="35">IN4+(IF4+IG4)*44/12</f>
        <v>293.46870749463238</v>
      </c>
      <c r="IP4" s="59">
        <f ca="1">AVERAGE(OFFSET(IO$3,0,0,'Données projet'!$E$20+1,1))-AVERAGE(OFFSET($H$3,0,0,'Données projet'!$E$20+1,1))</f>
        <v>91.60721429656013</v>
      </c>
      <c r="IQ4" s="59">
        <f>HV$3</f>
        <v>258.94957804210856</v>
      </c>
      <c r="IR4" s="15">
        <f>IF(ISNA(VLOOKUP($A4,'Données projet'!$A$330:$I$350,3,0)),0,VLOOKUP($A4,'Données projet'!$A$330:$I$350,3,0))</f>
        <v>0</v>
      </c>
      <c r="IS4" s="15">
        <f>IF(ISNA(VLOOKUP($A4,'Données projet'!$A$330:$I$350,4,0)),0,VLOOKUP($A4,'Données projet'!$A$330:$I$350,4,0))</f>
        <v>0</v>
      </c>
      <c r="IT4" s="16">
        <f>IF(ISNA(VLOOKUP($A4,'Données projet'!$A$330:$I$350,5,0)),0%,VLOOKUP($A4,'Données projet'!$A$330:$I$350,5,0)*VLOOKUP('Données projet'!$B$20,Paramètres!$A$1:$I$89,7,0))</f>
        <v>0</v>
      </c>
      <c r="IU4" s="16">
        <f>IF(ISNA(VLOOKUP($A4,'Données projet'!$A$330:$I$350,6,0)),0%,VLOOKUP($A4,'Données projet'!$A$330:$I$350,6,0)*VLOOKUP('Données projet'!$B$20,Paramètres!$A$1:$I$89,7,0))</f>
        <v>0</v>
      </c>
      <c r="IV4" s="16">
        <f>IF(ISNA(VLOOKUP($A4,'Données projet'!$A$330:$I$350,7,0)),0%,VLOOKUP($A4,'Données projet'!$A$330:$I$350,7,0))</f>
        <v>0</v>
      </c>
      <c r="IW4" s="21">
        <f>EXP(-LN(2)/35)*IW3+(1-EXP(-LN(2)/35))/(LN(2)/35)*IS4*IT4*VLOOKUP('Données projet'!$B$20,Paramètres!$A$1:$I$89,3,0)*0.475*44/12</f>
        <v>0</v>
      </c>
      <c r="IX4" s="21">
        <f>EXP(-LN(2)/25)*IX3+(1-EXP(-LN(2)/25))/(LN(2)/25)*Calculateur!IS4*Calculateur!IU4*VLOOKUP('Données projet'!$B$20,Paramètres!$A$1:$I$89,3,0)*0.475*44/12</f>
        <v>0</v>
      </c>
      <c r="IY4" s="21">
        <f>EXP(-LN(2)/2)*IY3+(1-EXP(-LN(2)/2))/(LN(2)/2)*IS4*IV4*VLOOKUP('Données projet'!$B$20,Paramètres!$A$1:$I$89,3,0)*0.475*44/12</f>
        <v>0</v>
      </c>
      <c r="IZ4" s="22">
        <f t="shared" ref="IZ4" si="36">SUM(IW4:IY4)</f>
        <v>0</v>
      </c>
      <c r="JA4" s="74">
        <f>('Scénario référence'!$F$8+'Scénario référence'!$F$9+'Scénario référence'!$B$17+'Scénario référence'!$B$9+'Scénario référence'!$B$10)*70+IF((45+25*(1-EXP(-0.0175*$A4)))&lt;70,'Scénario référence'!$B$16*(45+25*(1-EXP(-0.0175*$A4))),70*'Scénario référence'!$B$16)+IF((32+38*(1-EXP(-0.0175*$A4)))&lt;70,'Scénario référence'!$B$18*(32+38*(1-EXP(-0.0175*$A4))),70*'Scénario référence'!$B$18)</f>
        <v>70</v>
      </c>
      <c r="JB4" s="12">
        <f>IF($A4&gt;30,10,('Scénario référence'!$B$16+'Scénario référence'!$B$17+'Scénario référence'!$B$18+'Scénario référence'!$B$9+'Scénario référence'!$B$10)*$A4*10/30+('Scénario référence'!$F$8+'Scénario référence'!$F$9)*10)</f>
        <v>10</v>
      </c>
      <c r="JC4" s="12" t="e">
        <f>VLOOKUP($A4,'Données projet'!$A$356:$I$376,2,0)</f>
        <v>#N/A</v>
      </c>
      <c r="JD4" s="12" t="e">
        <f>VLOOKUP($A4,'Données projet'!$A$356:$I$376,9,0)</f>
        <v>#N/A</v>
      </c>
      <c r="JE4" s="12">
        <f t="array" ref="JE4">INDEX(JD:JD,MIN(IF(ISNUMBER(JD4:JD200),ROW(JD4:JD200),"")))</f>
        <v>3.04</v>
      </c>
      <c r="JF4" s="12">
        <f>IF('Données projet'!$A$356&gt;35,JF3+JE4-JN3,IF($A4&lt;'Données projet'!$A$356,$CQ$205^$A4,IF($A4='Données projet'!$A$356,'Données projet'!$B$356,JF3+JE4-JN3)))</f>
        <v>3.04</v>
      </c>
      <c r="JG4" s="17">
        <f>JF4*VLOOKUP('Données projet'!$B$21,Paramètres!$A$1:$I$89,3,0)*VLOOKUP('Données projet'!$B$21,Paramètres!$A$1:$I$89,5,0)</f>
        <v>2.4660480000000002</v>
      </c>
      <c r="JH4" s="13">
        <f>EXP(-1.0587+0.8836*LN(JG4)+0.284)</f>
        <v>1.0231153791366505</v>
      </c>
      <c r="JI4" s="14">
        <f t="shared" ref="JI4" si="37">(JG4+JH4)*0.475*44/12</f>
        <v>6.0769595519963326</v>
      </c>
      <c r="JJ4" s="59">
        <f t="shared" ref="JJ4" si="38">JI4+(JA4+JB4)*44/12</f>
        <v>299.41029288532962</v>
      </c>
      <c r="JK4" s="59">
        <f ca="1">AVERAGE(OFFSET($JJ$3,0,0,'Données projet'!$E$22+1,1))-AVERAGE(OFFSET($H$3,0,0,'Données projet'!$E$22+1,1))</f>
        <v>353.35574633294613</v>
      </c>
      <c r="JL4" s="59">
        <f>JL$3</f>
        <v>170.36796666474726</v>
      </c>
      <c r="JM4" s="15">
        <f>IF(ISNA(VLOOKUP($A4,'Données projet'!$A$356:$I$376,3,0)),0,VLOOKUP($A4,'Données projet'!$A$356:$I$376,3,0))</f>
        <v>0</v>
      </c>
      <c r="JN4" s="15">
        <f>IF(ISNA(VLOOKUP($A4,'Données projet'!$A$356:$I$376,4,0)),0,VLOOKUP($A4,'Données projet'!$A$356:$I$376,4,0))</f>
        <v>0</v>
      </c>
      <c r="JO4" s="16">
        <f>IF(ISNA(VLOOKUP($A4,'Données projet'!$A$356:$I$376,5,0)),0%,VLOOKUP($A4,'Données projet'!$A$356:$I$376,5,0)*VLOOKUP('Données projet'!$B$21,Paramètres!$A$1:$I$89,7,0))</f>
        <v>0</v>
      </c>
      <c r="JP4" s="16">
        <f>IF(ISNA(VLOOKUP($A4,'Données projet'!$A$356:$I$376,6,0)),0%,VLOOKUP($A4,'Données projet'!$A$356:$I$376,6,0)*VLOOKUP('Données projet'!$B$21,Paramètres!$A$1:$I$89,7,0))</f>
        <v>0</v>
      </c>
      <c r="JQ4" s="16">
        <f>IF(ISNA(VLOOKUP($A4,'Données projet'!$A$356:$I$376,7,0)),0%,VLOOKUP($A4,'Données projet'!$A$356:$I$376,7,0))</f>
        <v>0</v>
      </c>
      <c r="JR4" s="21">
        <f>EXP(-LN(2)/35)*JR3+(1-EXP(-LN(2)/35))/(LN(2)/35)*JN4*JO4*VLOOKUP('Données projet'!$B$21,Paramètres!$A$1:$I$89,3,0)*0.475*44/12</f>
        <v>0</v>
      </c>
      <c r="JS4" s="21">
        <f>EXP(-LN(2)/25)*JS3+(1-EXP(-LN(2)/25))/(LN(2)/25)*Calculateur!JN4*Calculateur!JP4*VLOOKUP('Données projet'!$B$21,Paramètres!$A$1:$I$89,3,0)*0.475*44/12</f>
        <v>0</v>
      </c>
      <c r="JT4" s="21">
        <f>EXP(-LN(2)/2)*JT3+(1-EXP(-LN(2)/2))/(LN(2)/2)*JN4*JQ4*VLOOKUP('Données projet'!$B$21,Paramètres!$A$1:$I$89,3,0)*0.475*44/12</f>
        <v>0</v>
      </c>
      <c r="JU4" s="18">
        <f t="shared" ref="JU4:JU67" si="39">SUM(JR4:JT4)</f>
        <v>0</v>
      </c>
      <c r="JV4" s="74">
        <f>('Scénario référence'!$F$8+'Scénario référence'!$F$9+'Scénario référence'!$B$17+'Scénario référence'!$B$9+'Scénario référence'!$B$10)*70+IF((45+25*(1-EXP(-0.0175*$A4)))&lt;70,'Scénario référence'!$B$16*(45+25*(1-EXP(-0.0175*$A4))),70*'Scénario référence'!$B$16)+IF((32+38*(1-EXP(-0.0175*$A4)))&lt;70,'Scénario référence'!$B$18*(32+38*(1-EXP(-0.0175*$A4))),70*'Scénario référence'!$B$18)</f>
        <v>70</v>
      </c>
      <c r="JW4" s="12">
        <f>IF($A4&gt;30,10,('Scénario référence'!$B$16+'Scénario référence'!$B$17+'Scénario référence'!$B$18+'Scénario référence'!$B$9+'Scénario référence'!$B$10)*$A4*10/30+('Scénario référence'!$F$8+'Scénario référence'!$F$9)*10)</f>
        <v>10</v>
      </c>
      <c r="JX4" s="12" t="e">
        <f>VLOOKUP($A4,'Données projet'!$A$382:$I$402,2,0)</f>
        <v>#N/A</v>
      </c>
      <c r="JY4" s="12" t="e">
        <f>VLOOKUP($A4,'Données projet'!$A$382:$I$402,9,0)</f>
        <v>#N/A</v>
      </c>
      <c r="JZ4" s="12">
        <f t="array" ref="JZ4">INDEX(JY:JY,MIN(IF(ISNUMBER(JY4:JY200),ROW(JY4:JY200),"")))</f>
        <v>4.0628205128205126</v>
      </c>
      <c r="KA4" s="12">
        <f>IF('Données projet'!$A$382&gt;35,KA3+JZ4-KI3,IF($A4&lt;'Données projet'!$A$382,$CQ$205^$A4,IF($A4='Données projet'!$A$382,'Données projet'!$B$382,KA3+JZ4-KI3)))</f>
        <v>4.0628205128205126</v>
      </c>
      <c r="KB4" s="17">
        <f>KA4*VLOOKUP('Données projet'!$B$22,Paramètres!$A$1:$I$89,3,0)*VLOOKUP('Données projet'!$B$22,Paramètres!$A$1:$I$89,5,0)</f>
        <v>2.7253399999999997</v>
      </c>
      <c r="KC4" s="13">
        <f>EXP(-1.0587+0.8836*LN(KB4)+0.284)</f>
        <v>1.1176087336134133</v>
      </c>
      <c r="KD4" s="14">
        <f t="shared" ref="KD4" si="40">(KB4+KC4)*0.475*44/12</f>
        <v>6.69313571104336</v>
      </c>
      <c r="KE4" s="59">
        <f t="shared" ref="KE4" si="41">KD4+(JV4+JW4)*44/12</f>
        <v>300.02646904437665</v>
      </c>
      <c r="KF4" s="59">
        <f ca="1">AVERAGE(OFFSET($KE$3,0,0,'Données projet'!$E$22+1,1))-AVERAGE(OFFSET($H$3,0,0,'Données projet'!$E$22+1,1))</f>
        <v>193.91714772848269</v>
      </c>
      <c r="KG4" s="59">
        <f>KG$3</f>
        <v>143.67995460963192</v>
      </c>
      <c r="KH4" s="15">
        <f>IF(ISNA(VLOOKUP($A4,'Données projet'!$A$382:$I$402,3,0)),0,VLOOKUP($A4,'Données projet'!$A$382:$I$402,3,0))</f>
        <v>0</v>
      </c>
      <c r="KI4" s="15">
        <f>IF(ISNA(VLOOKUP($A4,'Données projet'!$A$382:$I$402,4,0)),0,VLOOKUP($A4,'Données projet'!$A$382:$I$402,4,0))</f>
        <v>0</v>
      </c>
      <c r="KJ4" s="16">
        <f>IF(ISNA(VLOOKUP($A4,'Données projet'!$A$382:$I$402,5,0)),0%,VLOOKUP($A4,'Données projet'!$A$382:$I$402,5,0)*VLOOKUP('Données projet'!$B$22,Paramètres!$A$1:$I$89,7,0))</f>
        <v>0</v>
      </c>
      <c r="KK4" s="16">
        <f>IF(ISNA(VLOOKUP($A4,'Données projet'!$A$382:$I$402,6,0)),0%,VLOOKUP($A4,'Données projet'!$A$382:$I$402,6,0)*VLOOKUP('Données projet'!$B$22,Paramètres!$A$1:$I$89,7,0))</f>
        <v>0</v>
      </c>
      <c r="KL4" s="16">
        <f>IF(ISNA(VLOOKUP($A4,'Données projet'!$A$382:$I$402,7,0)),0%,VLOOKUP($A4,'Données projet'!$A$382:$I$402,7,0))</f>
        <v>0</v>
      </c>
      <c r="KM4" s="21">
        <f>EXP(-LN(2)/35)*KM3+(1-EXP(-LN(2)/35))/(LN(2)/35)*KI4*KJ4*VLOOKUP('Données projet'!$B$22,Paramètres!$A$1:$I$89,3,0)*0.475*44/12</f>
        <v>0</v>
      </c>
      <c r="KN4" s="21">
        <f>EXP(-LN(2)/25)*KN3+(1-EXP(-LN(2)/25))/(LN(2)/25)*Calculateur!KI4*Calculateur!KK4*VLOOKUP('Données projet'!$B$22,Paramètres!$A$1:$I$89,3,0)*0.475*44/12</f>
        <v>0</v>
      </c>
      <c r="KO4" s="21">
        <f>EXP(-LN(2)/2)*KO3+(1-EXP(-LN(2)/2))/(LN(2)/2)*KI4*KL4*VLOOKUP('Données projet'!$B$22,Paramètres!$A$1:$I$89,3,0)*0.475*44/12</f>
        <v>0</v>
      </c>
      <c r="KP4" s="18">
        <f t="shared" ref="KP4" si="42">SUM(KM4:KO4)</f>
        <v>0</v>
      </c>
      <c r="KQ4" s="74">
        <f>('Scénario référence'!$F$8+'Scénario référence'!$F$9+'Scénario référence'!$B$17+'Scénario référence'!$B$9+'Scénario référence'!$B$10)*70+IF((45+25*(1-EXP(-0.0175*$A4)))&lt;70,'Scénario référence'!$B$16*(45+25*(1-EXP(-0.0175*$A4))),70*'Scénario référence'!$B$16)+IF((32+38*(1-EXP(-0.0175*$A4)))&lt;70,'Scénario référence'!$B$18*(32+38*(1-EXP(-0.0175*$A4))),70*'Scénario référence'!$B$18)</f>
        <v>70</v>
      </c>
      <c r="KR4" s="12">
        <f>IF($A4&gt;30,10,('Scénario référence'!$B$16+'Scénario référence'!$B$17+'Scénario référence'!$B$18+'Scénario référence'!$B$9+'Scénario référence'!$B$10)*$A4*10/30+('Scénario référence'!$F$8+'Scénario référence'!$F$9)*10)</f>
        <v>10</v>
      </c>
      <c r="KS4" s="12" t="e">
        <f>VLOOKUP($A4,'Données projet'!$A$408:$I$428,2,0)</f>
        <v>#N/A</v>
      </c>
      <c r="KT4" s="12" t="e">
        <f>VLOOKUP($A4,'Données projet'!$A$408:$I$428,9,0)</f>
        <v>#N/A</v>
      </c>
      <c r="KU4" s="12">
        <f t="array" ref="KU4">INDEX(KT:KT,MIN(IF(ISNUMBER(KT4:KT200),ROW(KT4:KT200),"")))</f>
        <v>2.4666666666666668</v>
      </c>
      <c r="KV4" s="12">
        <f>IF('Données projet'!$A$408&gt;35,KV3+KU4-LD3,IF($A4&lt;'Données projet'!$A$408,$CQ$205^$A4,IF($A4='Données projet'!$A$408,'Données projet'!$B$408,KV3+KU4-LD3)))</f>
        <v>2.4666666666666668</v>
      </c>
      <c r="KW4" s="17">
        <f>KV4*VLOOKUP('Données projet'!$B$23,Paramètres!$A$1:$I$89,3,0)*VLOOKUP('Données projet'!$B$23,Paramètres!$A$1:$I$89,5,0)</f>
        <v>2.1548800000000004</v>
      </c>
      <c r="KX4" s="13">
        <f>EXP(-1.0587+0.8836*LN(KW4)+0.284)</f>
        <v>0.90816488921071936</v>
      </c>
      <c r="KY4" s="14">
        <f t="shared" ref="KY4:KY67" si="43">(KW4+KX4)*0.475*44/12</f>
        <v>5.3348031820420028</v>
      </c>
      <c r="KZ4" s="59">
        <f t="shared" ref="KZ4:KZ67" si="44">KY4+(KQ4+KR4)*44/12</f>
        <v>298.66813651537529</v>
      </c>
      <c r="LA4" s="59">
        <f ca="1">AVERAGE(OFFSET($KZ$3,0,0,'Données projet'!$E$23+1,1))-AVERAGE(OFFSET($H$3,0,0,'Données projet'!$E$23+1,1))</f>
        <v>248.33596943633819</v>
      </c>
      <c r="LB4" s="59">
        <f>LB$3</f>
        <v>242.34010522344573</v>
      </c>
      <c r="LC4" s="15">
        <f>IF(ISNA(VLOOKUP($A4,'Données projet'!$A$408:$I$428,3,0)),0,VLOOKUP($A4,'Données projet'!$A$408:$I$428,3,0))</f>
        <v>0</v>
      </c>
      <c r="LD4" s="15">
        <f>IF(ISNA(VLOOKUP($A4,'Données projet'!$A$408:$I$428,4,0)),0,VLOOKUP($A4,'Données projet'!$A$408:$I$428,4,0))</f>
        <v>0</v>
      </c>
      <c r="LE4" s="16">
        <f>IF(ISNA(VLOOKUP($A4,'Données projet'!$A$408:$I$428,5,0)),0%,VLOOKUP($A4,'Données projet'!$A$408:$I$428,5,0)*VLOOKUP('Données projet'!$B$23,Paramètres!$A$1:$I$89,7,0))</f>
        <v>0</v>
      </c>
      <c r="LF4" s="16">
        <f>IF(ISNA(VLOOKUP($A4,'Données projet'!$A$408:$I$428,6,0)),0%,VLOOKUP($A4,'Données projet'!$A$408:$I$428,6,0)*VLOOKUP('Données projet'!$B$23,Paramètres!$A$1:$I$89,7,0))</f>
        <v>0</v>
      </c>
      <c r="LG4" s="16">
        <f>IF(ISNA(VLOOKUP($A4,'Données projet'!$A$408:$I$428,7,0)),0%,VLOOKUP($A4,'Données projet'!$A$408:$I$428,7,0))</f>
        <v>0</v>
      </c>
      <c r="LH4" s="21">
        <f>EXP(-LN(2)/35)*LH3+(1-EXP(-LN(2)/35))/(LN(2)/35)*LD4*LE4*VLOOKUP('Données projet'!$B$23,Paramètres!$A$1:$I$89,3,0)*0.475*44/12</f>
        <v>0</v>
      </c>
      <c r="LI4" s="21">
        <f>EXP(-LN(2)/25)*LI3+(1-EXP(-LN(2)/25))/(LN(2)/25)*Calculateur!LD4*Calculateur!LF4*VLOOKUP('Données projet'!$B$23,Paramètres!$A$1:$I$89,3,0)*0.475*44/12</f>
        <v>0</v>
      </c>
      <c r="LJ4" s="21">
        <f>EXP(-LN(2)/2)*LJ3+(1-EXP(-LN(2)/2))/(LN(2)/2)*LD4*LG4*VLOOKUP('Données projet'!$B$23,Paramètres!$A$1:$I$89,3,0)*0.475*44/12</f>
        <v>0</v>
      </c>
      <c r="LK4" s="18">
        <f t="shared" ref="LK4" si="45">SUM(LH4:LJ4)</f>
        <v>0</v>
      </c>
      <c r="LL4" s="74">
        <f>('Scénario référence'!$F$8+'Scénario référence'!$F$9+'Scénario référence'!$B$17+'Scénario référence'!$B$9+'Scénario référence'!$B$10)*70+IF((45+25*(1-EXP(-0.0175*$A4)))&lt;70,'Scénario référence'!$B$16*(45+25*(1-EXP(-0.0175*$A4))),70*'Scénario référence'!$B$16)+IF((32+38*(1-EXP(-0.0175*$A4)))&lt;70,'Scénario référence'!$B$18*(32+38*(1-EXP(-0.0175*$A4))),70*'Scénario référence'!$B$18)</f>
        <v>70</v>
      </c>
      <c r="LM4" s="12">
        <f>IF($A4&gt;30,10,('Scénario référence'!$B$16+'Scénario référence'!$B$17+'Scénario référence'!$B$18+'Scénario référence'!$B$9+'Scénario référence'!$B$10)*$A4*10/30+('Scénario référence'!$F$8+'Scénario référence'!$F$9)*10)</f>
        <v>10</v>
      </c>
      <c r="LN4" s="12" t="e">
        <f>VLOOKUP($A4,'Données projet'!$A$434:$I$454,2,0)</f>
        <v>#N/A</v>
      </c>
      <c r="LO4" s="12" t="e">
        <f>VLOOKUP($A4,'Données projet'!$A$434:$I$454,9,0)</f>
        <v>#N/A</v>
      </c>
      <c r="LP4" s="12">
        <f t="array" ref="LP4">INDEX(LO:LO,MIN(IF(ISNUMBER(LO4:LO200),ROW(LO4:LO200),"")))</f>
        <v>2.9235042735042733</v>
      </c>
      <c r="LQ4" s="12">
        <f>IF('Données projet'!$A$434&gt;35,LQ3+LP4-LY3,IF($A4&lt;'Données projet'!$A$434,$CQ$205^$A4,IF($A4='Données projet'!$A$434,'Données projet'!$B$434,LQ3+LP4-LY3)))</f>
        <v>2.9235042735042733</v>
      </c>
      <c r="LR4" s="17">
        <f>LQ4*VLOOKUP('Données projet'!$B$24,Paramètres!$A$1:$I$89,3,0)*VLOOKUP('Données projet'!$B$24,Paramètres!$A$1:$I$89,5,0)</f>
        <v>2.9644333333333335</v>
      </c>
      <c r="LS4" s="13">
        <f>EXP(-1.0587+0.8836*LN(LR4)+0.284)</f>
        <v>1.203814971996152</v>
      </c>
      <c r="LT4" s="14">
        <f t="shared" ref="LT4:LT67" si="46">(LR4+LS4)*0.475*44/12</f>
        <v>7.2596991317821873</v>
      </c>
      <c r="LU4" s="59">
        <f t="shared" ref="LU4" si="47">LT4+(LL4+LM4)*44/12</f>
        <v>300.59303246511553</v>
      </c>
      <c r="LV4" s="59">
        <f ca="1">AVERAGE(OFFSET($LU$3,0,0,'Données projet'!$E$24+1,1))-AVERAGE(OFFSET($H$3,0,0,'Données projet'!$E$24+1,1))</f>
        <v>260.52627655062872</v>
      </c>
      <c r="LW4" s="59">
        <f>LW$3</f>
        <v>159.20429420478047</v>
      </c>
      <c r="LX4" s="15">
        <f>IF(ISNA(VLOOKUP($A4,'Données projet'!$A$434:$I$454,3,0)),0,VLOOKUP($A4,'Données projet'!$A$434:$I$454,3,0))</f>
        <v>0</v>
      </c>
      <c r="LY4" s="15">
        <f>IF(ISNA(VLOOKUP($A4,'Données projet'!$A$434:$I$454,4,0)),0,VLOOKUP($A4,'Données projet'!$A$434:$I$454,4,0))</f>
        <v>0</v>
      </c>
      <c r="LZ4" s="16">
        <f>IF(ISNA(VLOOKUP($A4,'Données projet'!$A$434:$I$454,5,0)),0%,VLOOKUP($A4,'Données projet'!$A$434:$I$454,5,0)*VLOOKUP('Données projet'!$B$24,Paramètres!$A$1:$I$89,7,0))</f>
        <v>0</v>
      </c>
      <c r="MA4" s="16">
        <f>IF(ISNA(VLOOKUP($A4,'Données projet'!$A$434:$I$454,6,0)),0%,VLOOKUP($A4,'Données projet'!$A$434:$I$454,6,0)*VLOOKUP('Données projet'!$B$24,Paramètres!$A$1:$I$89,7,0))</f>
        <v>0</v>
      </c>
      <c r="MB4" s="16">
        <f>IF(ISNA(VLOOKUP($A4,'Données projet'!$A$434:$I$454,7,0)),0%,VLOOKUP($A4,'Données projet'!$A$434:$I$454,7,0))</f>
        <v>0</v>
      </c>
      <c r="MC4" s="21">
        <f>EXP(-LN(2)/35)*MC3+(1-EXP(-LN(2)/35))/(LN(2)/35)*LY4*LZ4*VLOOKUP('Données projet'!$B$24,Paramètres!$A$1:$I$89,3,0)*0.475*44/12</f>
        <v>0</v>
      </c>
      <c r="MD4" s="21">
        <f>EXP(-LN(2)/25)*MD3+(1-EXP(-LN(2)/25))/(LN(2)/25)*Calculateur!LY4*Calculateur!MA4*VLOOKUP('Données projet'!$B$24,Paramètres!$A$1:$I$89,3,0)*0.475*44/12</f>
        <v>0</v>
      </c>
      <c r="ME4" s="21">
        <f>EXP(-LN(2)/2)*ME3+(1-EXP(-LN(2)/2))/(LN(2)/2)*LY4*MB4*VLOOKUP('Données projet'!$B$24,Paramètres!$A$1:$I$89,3,0)*0.475*44/12</f>
        <v>0</v>
      </c>
      <c r="MF4" s="18">
        <f t="shared" ref="MF4" si="48">SUM(MC4:ME4)</f>
        <v>0</v>
      </c>
      <c r="MG4" s="74">
        <f>('Scénario référence'!$F$8+'Scénario référence'!$F$9+'Scénario référence'!$B$17+'Scénario référence'!$B$9+'Scénario référence'!$B$10)*70+IF((45+25*(1-EXP(-0.0175*$A4)))&lt;70,'Scénario référence'!$B$16*(45+25*(1-EXP(-0.0175*$A4))),70*'Scénario référence'!$B$16)+IF((32+38*(1-EXP(-0.0175*$A4)))&lt;70,'Scénario référence'!$B$18*(32+38*(1-EXP(-0.0175*$A4))),70*'Scénario référence'!$B$18)</f>
        <v>70</v>
      </c>
      <c r="MH4" s="12">
        <f>IF($A4&gt;30,10,('Scénario référence'!$B$16+'Scénario référence'!$B$17+'Scénario référence'!$B$18+'Scénario référence'!$B$9+'Scénario référence'!$B$10)*$A4*10/30+('Scénario référence'!$F$8+'Scénario référence'!$F$9)*10)</f>
        <v>10</v>
      </c>
      <c r="MI4" s="12" t="e">
        <f>VLOOKUP($A4,'Données projet'!$A$460:$I$480,2,0)</f>
        <v>#N/A</v>
      </c>
      <c r="MJ4" s="12" t="e">
        <f>VLOOKUP($A4,'Données projet'!$A$460:$I$480,9,0)</f>
        <v>#N/A</v>
      </c>
      <c r="MK4" s="12">
        <f t="array" ref="MK4">INDEX(MJ:MJ,MIN(IF(ISNUMBER(MJ4:MJ200),ROW(MJ4:MJ200),"")))</f>
        <v>0</v>
      </c>
      <c r="ML4" s="12">
        <f>IF('Données projet'!$A$460&gt;35,ML3+MK4-MT3,IF($A4&lt;'Données projet'!$A$460,$CQ$205^$A4,IF($A4='Données projet'!$A$460,'Données projet'!$B$460,ML3+MK4-MT3)))</f>
        <v>0</v>
      </c>
      <c r="MM4" s="17" t="e">
        <f>ML4*VLOOKUP('Données projet'!$B$25,Paramètres!$A$1:$I$89,3,0)*VLOOKUP('Données projet'!$B$25,Paramètres!$A$1:$I$89,5,0)</f>
        <v>#N/A</v>
      </c>
      <c r="MN4" s="13" t="e">
        <f>EXP(-1.0587+0.8836*LN(MM4)+0.284)</f>
        <v>#N/A</v>
      </c>
      <c r="MO4" s="14" t="e">
        <f t="shared" ref="MO4:MO67" si="49">(MM4+MN4)*0.475*44/12</f>
        <v>#N/A</v>
      </c>
      <c r="MP4" s="59" t="e">
        <f t="shared" ref="MP4:MP67" si="50">MO4+(MG4+MH4)*44/12</f>
        <v>#N/A</v>
      </c>
      <c r="MQ4" s="20" t="e">
        <f ca="1">AVERAGE(OFFSET($MP$3,0,0,'Données projet'!$E$25+1,1))-AVERAGE(OFFSET($H$3,0,0,'Données projet'!$E$25+1,1))</f>
        <v>#N/A</v>
      </c>
      <c r="MR4" s="59" t="e">
        <f>MR$3</f>
        <v>#N/A</v>
      </c>
      <c r="MS4" s="15">
        <f>IF(ISNA(VLOOKUP($A4,'Données projet'!$A$460:$I$480,3,0)),0,VLOOKUP($A4,'Données projet'!$A$460:$I$480,3,0))</f>
        <v>0</v>
      </c>
      <c r="MT4" s="15">
        <f>IF(ISNA(VLOOKUP($A4,'Données projet'!$A$460:$I$480,4,0)),0,VLOOKUP($A4,'Données projet'!$A$460:$I$480,4,0))</f>
        <v>0</v>
      </c>
      <c r="MU4" s="16">
        <f>IF(ISNA(VLOOKUP($A4,'Données projet'!$A$460:$I$480,5,0)),0%,VLOOKUP($A4,'Données projet'!$A$460:$I$480,5,0)*VLOOKUP('Données projet'!$B$25,Paramètres!$A$1:$I$89,7,0))</f>
        <v>0</v>
      </c>
      <c r="MV4" s="16">
        <f>IF(ISNA(VLOOKUP($A4,'Données projet'!$A$460:$I$480,6,0)),0%,VLOOKUP($A4,'Données projet'!$A$460:$I$480,6,0)*VLOOKUP('Données projet'!$B$25,Paramètres!$A$1:$I$89,7,0))</f>
        <v>0</v>
      </c>
      <c r="MW4" s="16">
        <f>IF(ISNA(VLOOKUP($A4,'Données projet'!$A$460:$I$480,7,0)),0%,VLOOKUP($A4,'Données projet'!$A$460:$I$480,7,0))</f>
        <v>0</v>
      </c>
      <c r="MX4" s="21" t="e">
        <f>EXP(-LN(2)/35)*MX3+(1-EXP(-LN(2)/35))/(LN(2)/35)*MT4*MU4*VLOOKUP('Données projet'!$B$25,Paramètres!$A$1:$I$89,3,0)*0.475*44/12</f>
        <v>#N/A</v>
      </c>
      <c r="MY4" s="21" t="e">
        <f>EXP(-LN(2)/25)*MY3+(1-EXP(-LN(2)/25))/(LN(2)/25)*Calculateur!MT4*Calculateur!MV4*VLOOKUP('Données projet'!$B$25,Paramètres!$A$1:$I$89,3,0)*0.475*44/12</f>
        <v>#N/A</v>
      </c>
      <c r="MZ4" s="21" t="e">
        <f>EXP(-LN(2)/2)*MZ3+(1-EXP(-LN(2)/2))/(LN(2)/2)*MT4*MW4*VLOOKUP('Données projet'!$B$25,Paramètres!$A$1:$I$89,3,0)*0.475*44/12</f>
        <v>#N/A</v>
      </c>
      <c r="NA4" s="18" t="e">
        <f t="shared" ref="NA4" si="51">SUM(MX4:MZ4)</f>
        <v>#N/A</v>
      </c>
      <c r="NB4" s="74">
        <f>('Scénario référence'!$F$8+'Scénario référence'!$F$9+'Scénario référence'!$B$17+'Scénario référence'!$B$9+'Scénario référence'!$B$10)*70+IF((45+25*(1-EXP(-0.0175*$A4)))&lt;70,'Scénario référence'!$B$16*(45+25*(1-EXP(-0.0175*$A4))),70*'Scénario référence'!$B$16)+IF((32+38*(1-EXP(-0.0175*$A4)))&lt;70,'Scénario référence'!$B$18*(32+38*(1-EXP(-0.0175*$A4))),70*'Scénario référence'!$B$18)</f>
        <v>70</v>
      </c>
      <c r="NC4" s="12">
        <f>IF($A4&gt;30,10,('Scénario référence'!$B$16+'Scénario référence'!$B$17+'Scénario référence'!$B$18+'Scénario référence'!$B$9+'Scénario référence'!$B$10)*$A4*10/30+('Scénario référence'!$F$8+'Scénario référence'!$F$9)*10)</f>
        <v>10</v>
      </c>
      <c r="ND4" s="12" t="e">
        <f>VLOOKUP($A4,'Données projet'!$A$486:$I$506,2,0)</f>
        <v>#N/A</v>
      </c>
      <c r="NE4" s="12" t="e">
        <f>VLOOKUP($A4,'Données projet'!$A$486:$I$506,9,0)</f>
        <v>#N/A</v>
      </c>
      <c r="NF4" s="12">
        <f t="array" ref="NF4">INDEX(NE:NE,MIN(IF(ISNUMBER(NE4:NE200),ROW(NE4:NE200),"")))</f>
        <v>0</v>
      </c>
      <c r="NG4" s="12">
        <f>IF('Données projet'!$A$486&gt;35,NG3+NF4-NO3,IF($A4&lt;'Données projet'!$A$486,$CQ$205^$A4,IF($A4='Données projet'!$A$486,'Données projet'!$B$486,NG3+NF4-NO3)))</f>
        <v>0</v>
      </c>
      <c r="NH4" s="17" t="e">
        <f>NG4*VLOOKUP('Données projet'!$B$26,Paramètres!$A$1:$I$89,3,0)*VLOOKUP('Données projet'!$B$26,Paramètres!$A$1:$I$89,5,0)</f>
        <v>#N/A</v>
      </c>
      <c r="NI4" s="13" t="e">
        <f>EXP(-1.0587+0.8836*LN(NH4)+0.284)</f>
        <v>#N/A</v>
      </c>
      <c r="NJ4" s="14" t="e">
        <f t="shared" ref="NJ4:NJ67" si="52">(NH4+NI4)*0.475*44/12</f>
        <v>#N/A</v>
      </c>
      <c r="NK4" s="59" t="e">
        <f t="shared" ref="NK4:NK67" si="53">NJ4+(NB4+NC4)*44/12</f>
        <v>#N/A</v>
      </c>
      <c r="NL4" s="20" t="e">
        <f ca="1">AVERAGE(OFFSET($NK$3,0,0,'Données projet'!$E$26+1,1))-AVERAGE(OFFSET($H$3,0,0,'Données projet'!$E$26+1,1))</f>
        <v>#N/A</v>
      </c>
      <c r="NM4" s="59" t="e">
        <f>NM$3</f>
        <v>#N/A</v>
      </c>
      <c r="NN4" s="15">
        <f>IF(ISNA(VLOOKUP($A4,'Données projet'!$A$486:$I$506,3,0)),0,VLOOKUP($A4,'Données projet'!$A$486:$I$506,3,0))</f>
        <v>0</v>
      </c>
      <c r="NO4" s="15">
        <f>IF(ISNA(VLOOKUP($A4,'Données projet'!$A$486:$I$506,4,0)),0,VLOOKUP($A4,'Données projet'!$A$486:$I$506,4,0))</f>
        <v>0</v>
      </c>
      <c r="NP4" s="16">
        <f>IF(ISNA(VLOOKUP($A4,'Données projet'!$A$486:$I$506,5,0)),0%,VLOOKUP($A4,'Données projet'!$A$486:$I$506,5,0)*VLOOKUP('Données projet'!$B$26,Paramètres!$A$1:$I$89,7,0))</f>
        <v>0</v>
      </c>
      <c r="NQ4" s="16">
        <f>IF(ISNA(VLOOKUP($A4,'Données projet'!$A$486:$I$506,6,0)),0%,VLOOKUP($A4,'Données projet'!$A$486:$I$506,6,0)*VLOOKUP('Données projet'!$B$26,Paramètres!$A$1:$I$89,7,0))</f>
        <v>0</v>
      </c>
      <c r="NR4" s="16">
        <f>IF(ISNA(VLOOKUP($A4,'Données projet'!$A$486:$I$506,7,0)),0%,VLOOKUP($A4,'Données projet'!$A$486:$I$506,7,0))</f>
        <v>0</v>
      </c>
      <c r="NS4" s="21" t="e">
        <f>EXP(-LN(2)/35)*NS3+(1-EXP(-LN(2)/35))/(LN(2)/35)*NO4*NP4*VLOOKUP('Données projet'!$B$26,Paramètres!$A$1:$I$89,3,0)*0.475*44/12</f>
        <v>#N/A</v>
      </c>
      <c r="NT4" s="21" t="e">
        <f>EXP(-LN(2)/25)*NT3+(1-EXP(-LN(2)/25))/(LN(2)/25)*Calculateur!NO4*Calculateur!NQ4*VLOOKUP('Données projet'!$B$26,Paramètres!$A$1:$I$89,3,0)*0.475*44/12</f>
        <v>#N/A</v>
      </c>
      <c r="NU4" s="21" t="e">
        <f>EXP(-LN(2)/2)*NU3+(1-EXP(-LN(2)/2))/(LN(2)/2)*NO4*NR4*VLOOKUP('Données projet'!$B$26,Paramètres!$A$1:$I$89,3,0)*0.475*44/12</f>
        <v>#N/A</v>
      </c>
      <c r="NV4" s="18" t="e">
        <f t="shared" ref="NV4" si="54">SUM(NS4:NU4)</f>
        <v>#N/A</v>
      </c>
      <c r="NW4" s="74">
        <f>('Scénario référence'!$F$8+'Scénario référence'!$F$9+'Scénario référence'!$B$17+'Scénario référence'!$B$9+'Scénario référence'!$B$10)*70+IF((45+25*(1-EXP(-0.0175*$A4)))&lt;70,'Scénario référence'!$B$16*(45+25*(1-EXP(-0.0175*$A4))),70*'Scénario référence'!$B$16)+IF((32+38*(1-EXP(-0.0175*$A4)))&lt;70,'Scénario référence'!$B$18*(32+38*(1-EXP(-0.0175*$A4))),70*'Scénario référence'!$B$18)</f>
        <v>70</v>
      </c>
      <c r="NX4" s="12">
        <f>IF($A4&gt;30,10,('Scénario référence'!$B$16+'Scénario référence'!$B$17+'Scénario référence'!$B$18+'Scénario référence'!$B$9+'Scénario référence'!$B$10)*$A4*10/30+('Scénario référence'!$F$8+'Scénario référence'!$F$9)*10)</f>
        <v>10</v>
      </c>
      <c r="NY4" s="12" t="e">
        <f>VLOOKUP($A4,'Données projet'!$A$512:$I$532,2,0)</f>
        <v>#N/A</v>
      </c>
      <c r="NZ4" s="12" t="e">
        <f>VLOOKUP($A4,'Données projet'!$A$512:$I$532,9,0)</f>
        <v>#N/A</v>
      </c>
      <c r="OA4" s="12">
        <f t="array" ref="OA4">INDEX(NZ:NZ,MIN(IF(ISNUMBER(NZ4:NZ200),ROW(NZ4:NZ200),"")))</f>
        <v>0</v>
      </c>
      <c r="OB4" s="12">
        <f>IF('Données projet'!$A$512&gt;35,OB3+OA4-OJ3,IF($A4&lt;'Données projet'!$A$512,$CQ$205^$A4,IF($A4='Données projet'!$A$512,'Données projet'!$B$512,OB3+OA4-OJ3)))</f>
        <v>0</v>
      </c>
      <c r="OC4" s="17" t="e">
        <f>OB4*VLOOKUP('Données projet'!$B$27,Paramètres!$A$1:$I$89,3,0)*VLOOKUP('Données projet'!$B$27,Paramètres!$A$1:$I$89,5,0)</f>
        <v>#N/A</v>
      </c>
      <c r="OD4" s="13" t="e">
        <f>EXP(-1.0587+0.8836*LN(OC4)+0.284)</f>
        <v>#N/A</v>
      </c>
      <c r="OE4" s="14" t="e">
        <f t="shared" ref="OE4:OE67" si="55">(OC4+OD4)*0.475*44/12</f>
        <v>#N/A</v>
      </c>
      <c r="OF4" s="59" t="e">
        <f t="shared" ref="OF4:OF67" si="56">OE4+(NW4+NX4)*44/12</f>
        <v>#N/A</v>
      </c>
      <c r="OG4" s="20" t="e">
        <f ca="1">AVERAGE(OFFSET($OF$3,0,0,'Données projet'!$E$27+1,1))-AVERAGE(OFFSET($H$3,0,0,'Données projet'!$E$27+1,1))</f>
        <v>#N/A</v>
      </c>
      <c r="OH4" s="59" t="e">
        <f>OH$3</f>
        <v>#N/A</v>
      </c>
      <c r="OI4" s="15">
        <f>IF(ISNA(VLOOKUP($A4,'Données projet'!$A$512:$I$532,3,0)),0,VLOOKUP($A4,'Données projet'!$A$512:$I$532,3,0))</f>
        <v>0</v>
      </c>
      <c r="OJ4" s="15">
        <f>IF(ISNA(VLOOKUP($A4,'Données projet'!$A$512:$I$532,4,0)),0,VLOOKUP($A4,'Données projet'!$A$512:$I$532,4,0))</f>
        <v>0</v>
      </c>
      <c r="OK4" s="16">
        <f>IF(ISNA(VLOOKUP($A4,'Données projet'!$A$512:$I$532,5,0)),0%,VLOOKUP($A4,'Données projet'!$A$512:$I$532,5,0)*VLOOKUP('Données projet'!$B$27,Paramètres!$A$1:$I$89,7,0))</f>
        <v>0</v>
      </c>
      <c r="OL4" s="16">
        <f>IF(ISNA(VLOOKUP($A4,'Données projet'!$A$512:$I$532,6,0)),0%,VLOOKUP($A4,'Données projet'!$A$512:$I$532,6,0)*VLOOKUP('Données projet'!$B$27,Paramètres!$A$1:$I$89,7,0))</f>
        <v>0</v>
      </c>
      <c r="OM4" s="16">
        <f>IF(ISNA(VLOOKUP($A4,'Données projet'!$A$512:$I$532,7,0)),0%,VLOOKUP($A4,'Données projet'!$A$512:$I$532,7,0))</f>
        <v>0</v>
      </c>
      <c r="ON4" s="21" t="e">
        <f>EXP(-LN(2)/35)*ON3+(1-EXP(-LN(2)/35))/(LN(2)/35)*OJ4*OK4*VLOOKUP('Données projet'!$B$27,Paramètres!$A$1:$I$89,3,0)*0.475*44/12</f>
        <v>#N/A</v>
      </c>
      <c r="OO4" s="21" t="e">
        <f>EXP(-LN(2)/25)*OO3+(1-EXP(-LN(2)/25))/(LN(2)/25)*Calculateur!OJ4*Calculateur!OL4*VLOOKUP('Données projet'!$B$27,Paramètres!$A$1:$I$89,3,0)*0.475*44/12</f>
        <v>#N/A</v>
      </c>
      <c r="OP4" s="21" t="e">
        <f>EXP(-LN(2)/2)*OP3+(1-EXP(-LN(2)/2))/(LN(2)/2)*OJ4*OM4*VLOOKUP('Données projet'!$B$27,Paramètres!$A$1:$I$89,3,0)*0.475*44/12</f>
        <v>#N/A</v>
      </c>
      <c r="OQ4" s="18" t="e">
        <f t="shared" ref="OQ4" si="57">SUM(ON4:OP4)</f>
        <v>#N/A</v>
      </c>
      <c r="OR4" s="74">
        <f>('Scénario référence'!$F$8+'Scénario référence'!$F$9+'Scénario référence'!$B$17+'Scénario référence'!$B$9+'Scénario référence'!$B$10)*70+IF((45+25*(1-EXP(-0.0175*$A4)))&lt;70,'Scénario référence'!$B$16*(45+25*(1-EXP(-0.0175*$A4))),70*'Scénario référence'!$B$16)+IF((32+38*(1-EXP(-0.0175*$A4)))&lt;70,'Scénario référence'!$B$18*(32+38*(1-EXP(-0.0175*$A4))),70*'Scénario référence'!$B$18)</f>
        <v>70</v>
      </c>
      <c r="OS4" s="12">
        <f>IF($A4&gt;30,10,('Scénario référence'!$B$16+'Scénario référence'!$B$17+'Scénario référence'!$B$18+'Scénario référence'!$B$9+'Scénario référence'!$B$10)*$A4*10/30+('Scénario référence'!$F$8+'Scénario référence'!$F$9)*10)</f>
        <v>10</v>
      </c>
      <c r="OT4" s="12" t="e">
        <f>VLOOKUP($A4,'Données projet'!$A$538:$I$558,2,0)</f>
        <v>#N/A</v>
      </c>
      <c r="OU4" s="12" t="e">
        <f>VLOOKUP($A4,'Données projet'!$A$538:$I$558,9,0)</f>
        <v>#N/A</v>
      </c>
      <c r="OV4" s="12">
        <f t="array" ref="OV4">INDEX(OU:OU,MIN(IF(ISNUMBER(OU4:OU200),ROW(OU4:OU200),"")))</f>
        <v>0</v>
      </c>
      <c r="OW4" s="12">
        <f>IF('Données projet'!$A$538&gt;35,OW3+OV4-PE3,IF($A4&lt;'Données projet'!$A$538,$CQ$205^$A4,IF($A4='Données projet'!$A$538,'Données projet'!$B$538,OW3+OV4-PE3)))</f>
        <v>0</v>
      </c>
      <c r="OX4" s="17" t="e">
        <f>OW4*VLOOKUP('Données projet'!$B$28,Paramètres!$A$1:$I$89,3,0)*VLOOKUP('Données projet'!$B$28,Paramètres!$A$1:$I$89,5,0)</f>
        <v>#N/A</v>
      </c>
      <c r="OY4" s="13" t="e">
        <f>EXP(-1.0587+0.8836*LN(OX4)+0.284)</f>
        <v>#N/A</v>
      </c>
      <c r="OZ4" s="14" t="e">
        <f t="shared" ref="OZ4:OZ67" si="58">(OX4+OY4)*0.475*44/12</f>
        <v>#N/A</v>
      </c>
      <c r="PA4" s="59" t="e">
        <f t="shared" ref="PA4:PA67" si="59">OZ4+(OR4+OS4)*44/12</f>
        <v>#N/A</v>
      </c>
      <c r="PB4" s="20" t="e">
        <f ca="1">AVERAGE(OFFSET($PA$3,0,0,'Données projet'!$E$28+1,1))-AVERAGE(OFFSET($H$3,0,0,'Données projet'!$E$28+1,1))</f>
        <v>#N/A</v>
      </c>
      <c r="PC4" s="59" t="e">
        <f>PC$3</f>
        <v>#N/A</v>
      </c>
      <c r="PD4" s="15">
        <f>IF(ISNA(VLOOKUP($A4,'Données projet'!$A$538:$I$558,3,0)),0,VLOOKUP($A4,'Données projet'!$A$538:$I$558,3,0))</f>
        <v>0</v>
      </c>
      <c r="PE4" s="15">
        <f>IF(ISNA(VLOOKUP($A4,'Données projet'!$A$538:$I$558,4,0)),0,VLOOKUP($A4,'Données projet'!$A$538:$I$558,4,0))</f>
        <v>0</v>
      </c>
      <c r="PF4" s="16">
        <f>IF(ISNA(VLOOKUP($A4,'Données projet'!$A$538:$I$558,5,0)),0%,VLOOKUP($A4,'Données projet'!$A$538:$I$558,5,0)*VLOOKUP('Données projet'!$B$28,Paramètres!$A$1:$I$89,7,0))</f>
        <v>0</v>
      </c>
      <c r="PG4" s="16">
        <f>IF(ISNA(VLOOKUP($A4,'Données projet'!$A$538:$I$558,6,0)),0%,VLOOKUP($A4,'Données projet'!$A$538:$I$558,6,0)*VLOOKUP('Données projet'!$B$28,Paramètres!$A$1:$I$89,7,0))</f>
        <v>0</v>
      </c>
      <c r="PH4" s="16">
        <f>IF(ISNA(VLOOKUP($A4,'Données projet'!$A$538:$I$558,7,0)),0%,VLOOKUP($A4,'Données projet'!$A$538:$I$558,7,0))</f>
        <v>0</v>
      </c>
      <c r="PI4" s="21" t="e">
        <f>EXP(-LN(2)/35)*PI3+(1-EXP(-LN(2)/35))/(LN(2)/35)*PE4*PF4*VLOOKUP('Données projet'!$B$28,Paramètres!$A$1:$I$89,3,0)*0.475*44/12</f>
        <v>#N/A</v>
      </c>
      <c r="PJ4" s="21" t="e">
        <f>EXP(-LN(2)/25)*PJ3+(1-EXP(-LN(2)/25))/(LN(2)/25)*Calculateur!PE4*Calculateur!PG4*VLOOKUP('Données projet'!$B$28,Paramètres!$A$1:$I$89,3,0)*0.475*44/12</f>
        <v>#N/A</v>
      </c>
      <c r="PK4" s="21" t="e">
        <f>EXP(-LN(2)/2)*PK3+(1-EXP(-LN(2)/2))/(LN(2)/2)*PE4*PH4*VLOOKUP('Données projet'!$B$28,Paramètres!$A$1:$I$89,3,0)*0.475*44/12</f>
        <v>#N/A</v>
      </c>
      <c r="PL4" s="18" t="e">
        <f t="shared" ref="PL4" si="60">SUM(PI4:PK4)</f>
        <v>#N/A</v>
      </c>
    </row>
    <row r="5" spans="1:428" x14ac:dyDescent="0.35">
      <c r="A5" s="10">
        <f t="shared" ref="A5:A68" si="6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6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projet'!$A$45:$I$65,2,0)</f>
        <v>#N/A</v>
      </c>
      <c r="L5" s="12" t="e">
        <f>VLOOKUP(A5,'Données projet'!$A$45:$I$65,9,0)</f>
        <v>#N/A</v>
      </c>
      <c r="M5" s="12">
        <f t="array" ref="M5">INDEX(L:L,MIN(IF(ISNUMBER(L5:L201),ROW(L5:L201),"")))</f>
        <v>10.16068376068376</v>
      </c>
      <c r="N5" s="13">
        <f>IF('Données projet'!$A$46&gt;35,N4+M5-V4,IF(A5&lt;'Données projet'!$A$46,$K$205^A5,IF(A5='Données projet'!$A$46,'Données projet'!$B$46,N4+M5-V4)))</f>
        <v>1.7838365117494384</v>
      </c>
      <c r="O5" s="13">
        <f>N5*VLOOKUP('Données projet'!$B$9,Paramètres!$A$1:$I$89,3,0)*VLOOKUP('Données projet'!$B$9,Paramètres!$A$1:$I$89,5,0)</f>
        <v>0.99716461006793611</v>
      </c>
      <c r="P5" s="13">
        <f t="shared" ref="P5:P68" si="63">EXP(-1.0587+0.8836*LN(O5)+0.284)</f>
        <v>0.4596872513511342</v>
      </c>
      <c r="Q5" s="20">
        <f t="shared" si="2"/>
        <v>2.5373503253048804</v>
      </c>
      <c r="R5" s="59">
        <f t="shared" si="0"/>
        <v>295.8706836586382</v>
      </c>
      <c r="S5" s="59">
        <f ca="1">AVERAGE(OFFSET($R$3,0,0,'Données projet'!$E$9+1,1))-AVERAGE(OFFSET($H$3,0,0,'Données projet'!$E$9+1,1))</f>
        <v>274.57619581652199</v>
      </c>
      <c r="T5" s="59">
        <f t="shared" ref="T5:T68" si="64">$T$3</f>
        <v>366.15117322598775</v>
      </c>
      <c r="U5" s="15">
        <f>IF(ISNA(VLOOKUP(A5,'Données projet'!$A$45:$I$65,3,0)),0,VLOOKUP(A5,'Données projet'!$A$45:$I$65,3,0))</f>
        <v>0</v>
      </c>
      <c r="V5" s="15">
        <f>IF(ISNA(VLOOKUP(A5,'Données projet'!$A$45:$I$65,4,0)),0,VLOOKUP(A5,'Données projet'!$A$45:$I$65,4,0))</f>
        <v>0</v>
      </c>
      <c r="W5" s="16">
        <f>IF(ISNA(VLOOKUP(A5,'Données projet'!$A$45:$I$65,5,0)),0%,VLOOKUP(A5,'Données projet'!$A$45:$I$65,5,0)*VLOOKUP('Données projet'!$B$9,Paramètres!$A$1:$I$89,7,0))</f>
        <v>0</v>
      </c>
      <c r="X5" s="16">
        <f>IF(ISNA(VLOOKUP(A5,'Données projet'!$A$45:$I$65,6,0)),0%,VLOOKUP(A5,'Données projet'!$A$45:$I$65,6,0)*VLOOKUP('Données projet'!$B$9,Paramètres!$A$1:$I$89,7,0))</f>
        <v>0</v>
      </c>
      <c r="Y5" s="16">
        <f>IF(ISNA(VLOOKUP(A5,'Données projet'!$A$45:$I$65,7,0)),0%,VLOOKUP(A5,'Données projet'!$A$45:$I$65,7,0))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projet'!$A$71:$I$91,2,0)</f>
        <v>#N/A</v>
      </c>
      <c r="AG5" s="12" t="e">
        <f>VLOOKUP(A5,'Données projet'!$A$71:$I$91,9,0)</f>
        <v>#N/A</v>
      </c>
      <c r="AH5" s="12">
        <f t="array" ref="AH5">INDEX(AG:AG,MIN(IF(ISNUMBER(AG5:AG201),ROW(AG5:AG201),"")))</f>
        <v>4.0628205128205126</v>
      </c>
      <c r="AI5" s="13">
        <f>IF('Données projet'!$A$72&gt;35,AI4+AH5-AQ4,IF(A5&lt;'Données projet'!$A$72,$AF$205^A5,IF(A5='Données projet'!$A$72,'Données projet'!$B$72,AI4+AH5-AQ4)))</f>
        <v>1.3774100880908995</v>
      </c>
      <c r="AJ5" s="13">
        <f>AI5*VLOOKUP('Données projet'!$B$10,Paramètres!$A$1:$I$89,3,0)*VLOOKUP('Données projet'!$B$10,Paramètres!$A$1:$I$89,5,0)</f>
        <v>1.2462806477046457</v>
      </c>
      <c r="AK5" s="13">
        <f t="shared" ref="AK5:AK68" si="65">EXP(-1.0587+0.8836*LN(AJ5)+0.284)</f>
        <v>0.55980687933617612</v>
      </c>
      <c r="AL5" s="20">
        <f t="shared" si="4"/>
        <v>3.1456024429294316</v>
      </c>
      <c r="AM5" s="59">
        <f t="shared" si="5"/>
        <v>296.47893577626274</v>
      </c>
      <c r="AN5" s="59">
        <f ca="1">AVERAGE(OFFSET($AM$3,0,0,'Données projet'!$E$10+1,1))-AVERAGE(OFFSET($H$3,0,0,'Données projet'!$E$10+1,1))</f>
        <v>270.87836509222456</v>
      </c>
      <c r="AO5" s="59">
        <f t="shared" ref="AO5:AO68" si="66">$AO$3</f>
        <v>205.24998237949734</v>
      </c>
      <c r="AP5" s="15">
        <f>IF(ISNA(VLOOKUP(A5,'Données projet'!$A$71:$I$91,3,0)),0,VLOOKUP(A5,'Données projet'!$A$71:$I$91,3,0))</f>
        <v>0</v>
      </c>
      <c r="AQ5" s="15">
        <f>IF(ISNA(VLOOKUP(A5,'Données projet'!$A$71:$I$91,4,0)),0,VLOOKUP(A5,'Données projet'!$A$71:$I$91,4,0))</f>
        <v>0</v>
      </c>
      <c r="AR5" s="16">
        <f>IF(ISNA(VLOOKUP(A5,'Données projet'!$A$71:$I$91,5,0)),0%,VLOOKUP(A5,'Données projet'!$A$71:$I$91,5,0)*VLOOKUP('Données projet'!$B$10,Paramètres!$A$1:$I$89,7,0))</f>
        <v>0</v>
      </c>
      <c r="AS5" s="16">
        <f>IF(ISNA(VLOOKUP(A5,'Données projet'!$A$71:$I$91,6,0)),0%,VLOOKUP(A5,'Données projet'!$A$71:$I$91,6,0)*VLOOKUP('Données projet'!$B$10,Paramètres!$A$1:$I$89,7,0))</f>
        <v>0</v>
      </c>
      <c r="AT5" s="16">
        <f>IF(ISNA(VLOOKUP(A5,'Données projet'!$A$71:$I$91,7,0)),0%,VLOOKUP(A5,'Données projet'!$A$71:$I$91,7,0))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projet'!$A$97:$I$117,2,0)</f>
        <v>#N/A</v>
      </c>
      <c r="BB5" s="12" t="e">
        <f>VLOOKUP(A5,'Données projet'!$A$97:$I$117,9,0)</f>
        <v>#N/A</v>
      </c>
      <c r="BC5" s="12">
        <f t="array" ref="BC5">INDEX(BB:BB,MIN(IF(ISNUMBER(BB5:BB201),ROW(BB5:BB201),"")))</f>
        <v>10.16068376068376</v>
      </c>
      <c r="BD5" s="12">
        <f>IF('Données projet'!$A$98&gt;35,BD4+BC5-BL4,IF(A5&lt;'Données projet'!$A$98,$BA$205^A5,IF(A5='Données projet'!$A$98,'Données projet'!$B$98,BD4+BC5-BL4)))</f>
        <v>1.7838365117494384</v>
      </c>
      <c r="BE5" s="13">
        <f>BD5*VLOOKUP('Données projet'!$B$11,Paramètres!$A$1:$I$89,3,0)*VLOOKUP('Données projet'!$B$11,Paramètres!$A$1:$I$89,5,0)</f>
        <v>0.78845573819325177</v>
      </c>
      <c r="BF5" s="13">
        <f t="shared" ref="BF5:BF68" si="67">EXP(-1.0587+0.8836*LN(BE5)+0.284)</f>
        <v>0.37354635521173613</v>
      </c>
      <c r="BG5" s="20">
        <f t="shared" si="7"/>
        <v>2.0238203126803538</v>
      </c>
      <c r="BH5" s="59">
        <f t="shared" si="8"/>
        <v>295.35715364601367</v>
      </c>
      <c r="BI5" s="59">
        <f ca="1">AVERAGE(OFFSET($BH$3,0,0,'Données projet'!$E$11+1,1))-AVERAGE(OFFSET($H$3,0,0,'Données projet'!$E$11+1,1))</f>
        <v>211.31057120485542</v>
      </c>
      <c r="BJ5" s="59">
        <f t="shared" ref="BJ5:BJ68" si="68">$BJ$3</f>
        <v>283.33292006714777</v>
      </c>
      <c r="BK5" s="15">
        <f>IF(ISNA(VLOOKUP(A5,'Données projet'!$A$97:$I$117,3,0)),0,VLOOKUP(A5,'Données projet'!$A$97:$I$117,3,0))</f>
        <v>0</v>
      </c>
      <c r="BL5" s="15">
        <f>IF(ISNA(VLOOKUP(A5,'Données projet'!$A$97:$I$117,4,0)),0,VLOOKUP(A5,'Données projet'!$A$97:$I$117,4,0))</f>
        <v>0</v>
      </c>
      <c r="BM5" s="16">
        <f>IF(ISNA(VLOOKUP(A5,'Données projet'!$A$97:$I$117,5,0)),0%,VLOOKUP(A5,'Données projet'!$A$97:$I$117,5,0)*VLOOKUP('Données projet'!$B$11,Paramètres!$A$1:$I$89,7,0))</f>
        <v>0</v>
      </c>
      <c r="BN5" s="16">
        <f>IF(ISNA(VLOOKUP(A5,'Données projet'!$A$97:$I$117,6,0)),0%,VLOOKUP(A5,'Données projet'!$A$97:$I$117,6,0)*VLOOKUP('Données projet'!$B$11,Paramètres!$A$1:$I$89,7,0))</f>
        <v>0</v>
      </c>
      <c r="BO5" s="16">
        <f>IF(ISNA(VLOOKUP(A5,'Données projet'!$A$97:$I$117,7,0)),0%,VLOOKUP(A5,'Données projet'!$A$97:$I$117,7,0))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projet'!$A$123:$I$143,2,0)</f>
        <v>#N/A</v>
      </c>
      <c r="BW5" s="12" t="e">
        <f>VLOOKUP(A5,'Données projet'!$A$123:$I$143,9,0)</f>
        <v>#N/A</v>
      </c>
      <c r="BX5" s="12">
        <f t="array" ref="BX5">INDEX(BW:BW,MIN(IF(ISNUMBER(BW5:BW201),ROW(BW5:BW201),"")))</f>
        <v>2.9</v>
      </c>
      <c r="BY5" s="12">
        <f>IF('Données projet'!$A$124&gt;35,BY4+BX5-CG4,IF(A5&lt;'Données projet'!$A$124,$BV$205^A5,IF(A5='Données projet'!$A$124,'Données projet'!$B$124,BY4+BX5-CG4)))</f>
        <v>1.9610090574545482</v>
      </c>
      <c r="BZ5" s="13">
        <f>BY5*VLOOKUP('Données projet'!$B$12,Paramètres!$A$1:$I$89,3,0)*VLOOKUP('Données projet'!$B$12,Paramètres!$A$1:$I$89,5,0)</f>
        <v>2.0496466668514941</v>
      </c>
      <c r="CA5" s="13">
        <f t="shared" ref="CA5:CA68" si="69">EXP(-1.0587+0.8836*LN(BZ5)+0.284)</f>
        <v>0.86886365296461709</v>
      </c>
      <c r="CB5" s="20">
        <f t="shared" si="10"/>
        <v>5.0830721403463937</v>
      </c>
      <c r="CC5" s="59">
        <f t="shared" si="11"/>
        <v>298.41640547367973</v>
      </c>
      <c r="CD5" s="59">
        <f ca="1">AVERAGE(OFFSET($CC$3,0,0,'Données projet'!$E$12+1,1))-AVERAGE(OFFSET($H$3,0,0,'Données projet'!$E$12+1,1))</f>
        <v>322.93502595881938</v>
      </c>
      <c r="CE5" s="59">
        <f t="shared" ref="CE5:CE68" si="70">$CE$3</f>
        <v>302.67072119588164</v>
      </c>
      <c r="CF5" s="15">
        <f>IF(ISNA(VLOOKUP(A5,'Données projet'!$A$123:$I$143,3,0)),0,VLOOKUP(A5,'Données projet'!$A$123:$I$143,3,0))</f>
        <v>0</v>
      </c>
      <c r="CG5" s="15">
        <f>IF(ISNA(VLOOKUP(A5,'Données projet'!$A$123:$I$143,4,0)),0,VLOOKUP(A5,'Données projet'!$A$123:$I$143,4,0))</f>
        <v>0</v>
      </c>
      <c r="CH5" s="16">
        <f>IF(ISNA(VLOOKUP(A5,'Données projet'!$A$123:$I$143,5,0)),0%,VLOOKUP(A5,'Données projet'!$A$123:$I$143,5,0)*VLOOKUP('Données projet'!$B$12,Paramètres!$A$1:$I$89,7,0))</f>
        <v>0</v>
      </c>
      <c r="CI5" s="16">
        <f>IF(ISNA(VLOOKUP(A5,'Données projet'!$A$123:$I$143,6,0)),0%,VLOOKUP(A5,'Données projet'!$A$123:$I$143,6,0)*VLOOKUP('Données projet'!$B$12,Paramètres!$A$1:$I$89,7,0))</f>
        <v>0</v>
      </c>
      <c r="CJ5" s="16">
        <f>IF(ISNA(VLOOKUP(A5,'Données projet'!$A$123:$I$143,7,0)),0%,VLOOKUP(A5,'Données projet'!$A$123:$I$143,7,0))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projet'!$A$149:$I$169,2,0)</f>
        <v>#N/A</v>
      </c>
      <c r="CR5" s="12" t="e">
        <f>VLOOKUP(A5,'Données projet'!$A$149:$I$169,9,0)</f>
        <v>#N/A</v>
      </c>
      <c r="CS5" s="12">
        <f t="array" ref="CS5">INDEX(CR:CR,MIN(IF(ISNUMBER(CR5:CR201),ROW(CR5:CR201),"")))</f>
        <v>2.9235042735042733</v>
      </c>
      <c r="CT5" s="12">
        <f>IF('Données projet'!$A$150&gt;35,CT4+CS5-DB4,IF(A5&lt;'Données projet'!$A$150,$CQ$205^A5,IF(A5='Données projet'!$A$150,'Données projet'!$B$150,CT4+CS5-DB4)))</f>
        <v>1.3475193156576519</v>
      </c>
      <c r="CU5" s="17">
        <f>CT5*VLOOKUP('Données projet'!$B$13,Paramètres!$A$1:$I$89,3,0)*VLOOKUP('Données projet'!$B$13,Paramètres!$A$1:$I$89,5,0)</f>
        <v>1.3663845860768591</v>
      </c>
      <c r="CV5" s="13">
        <f t="shared" ref="CV5:CV68" si="71">EXP(-1.0587+0.8836*LN(CU5)+0.284)</f>
        <v>0.60721756676800354</v>
      </c>
      <c r="CW5" s="20">
        <f t="shared" si="13"/>
        <v>3.4373570828714688</v>
      </c>
      <c r="CX5" s="59">
        <f t="shared" si="14"/>
        <v>296.77069041620479</v>
      </c>
      <c r="CY5" s="59">
        <f ca="1">AVERAGE(OFFSET($CX$3,0,0,'Données projet'!$E$13+1,1))-AVERAGE(OFFSET($H$3,0,0,'Données projet'!$E$13+1,1))</f>
        <v>250.31277422753283</v>
      </c>
      <c r="CZ5" s="59">
        <f t="shared" ref="CZ5:CZ68" si="72">$CZ$3</f>
        <v>159.20429420478047</v>
      </c>
      <c r="DA5" s="15">
        <f>IF(ISNA(VLOOKUP(A5,'Données projet'!$A$149:$I$169,3,0)),0,VLOOKUP(A5,'Données projet'!$A$149:$I$169,3,0))</f>
        <v>0</v>
      </c>
      <c r="DB5" s="15">
        <f>IF(ISNA(VLOOKUP(A5,'Données projet'!$A$149:$I$169,4,0)),0,VLOOKUP(A5,'Données projet'!$A$149:$I$169,4,0))</f>
        <v>0</v>
      </c>
      <c r="DC5" s="16">
        <f>IF(ISNA(VLOOKUP(A5,'Données projet'!$A$149:$I$169,5,0)),0%,VLOOKUP(A5,'Données projet'!$A$149:$I$169,5,0)*VLOOKUP('Données projet'!$B$13,Paramètres!$A$1:$I$89,7,0))</f>
        <v>0</v>
      </c>
      <c r="DD5" s="16">
        <f>IF(ISNA(VLOOKUP(A5,'Données projet'!$A$149:$I$169,6,0)),0%,VLOOKUP(A5,'Données projet'!$A$149:$I$169,6,0)*VLOOKUP('Données projet'!$B$13,Paramètres!$A$1:$I$89,7,0))</f>
        <v>0</v>
      </c>
      <c r="DE5" s="16">
        <f>IF(ISNA(VLOOKUP(A5,'Données projet'!$A$149:$I$169,7,0)),0%,VLOOKUP(A5,'Données projet'!$A$149:$I$169,7,0))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projet'!$A$175:$I$195,2,0)</f>
        <v>#N/A</v>
      </c>
      <c r="DM5" s="12" t="e">
        <f>VLOOKUP(A5,'Données projet'!$A$175:$I$195,9,0)</f>
        <v>#N/A</v>
      </c>
      <c r="DN5" s="12">
        <f t="array" ref="DN5">INDEX(DM:DM,MIN(IF(ISNUMBER(DM5:DM201),ROW(DM5:DM201),"")))</f>
        <v>1.9</v>
      </c>
      <c r="DO5" s="12">
        <f>IF('Données projet'!$A$176&gt;35,DO4+DN5-DW4,IF(A5&lt;'Données projet'!$A$176,$DL$205^A5,IF(A5='Données projet'!$A$176,'Données projet'!$B$176,DO4+DN5-DW4)))</f>
        <v>1.8019831273171425</v>
      </c>
      <c r="DP5" s="17">
        <f>DO5*VLOOKUP('Données projet'!$B$14,Paramètres!$A$1:$I$89,3,0)*VLOOKUP('Données projet'!$B$14,Paramètres!$A$1:$I$89,5,0)</f>
        <v>1.3212140289489287</v>
      </c>
      <c r="DQ5" s="13">
        <f t="shared" ref="DQ5:DQ68" si="73">EXP(-1.0587+0.8836*LN(DP5)+0.284)</f>
        <v>0.58944591680017422</v>
      </c>
      <c r="DR5" s="20">
        <f t="shared" si="16"/>
        <v>3.327732738846354</v>
      </c>
      <c r="DS5" s="59">
        <f t="shared" si="17"/>
        <v>296.66106607217966</v>
      </c>
      <c r="DT5" s="59">
        <f ca="1">AVERAGE(OFFSET($DS$3,0,0,'Données projet'!$E$14+1,1))-AVERAGE(OFFSET($H$3,0,0,'Données projet'!$E$14+1,1))</f>
        <v>296.91321813251051</v>
      </c>
      <c r="DU5" s="59">
        <f t="shared" ref="DU5:DU68" si="74">$DU$3</f>
        <v>291.0718079639509</v>
      </c>
      <c r="DV5" s="15">
        <f>IF(ISNA(VLOOKUP(A5,'Données projet'!$A$175:$I$195,3,0)),0,VLOOKUP(A5,'Données projet'!$A$175:$I$195,3,0))</f>
        <v>0</v>
      </c>
      <c r="DW5" s="15">
        <f>IF(ISNA(VLOOKUP(A5,'Données projet'!$A$175:$I$195,4,0)),0,VLOOKUP(A5,'Données projet'!$A$175:$I$195,4,0))</f>
        <v>0</v>
      </c>
      <c r="DX5" s="16">
        <f>IF(ISNA(VLOOKUP(A5,'Données projet'!$A$175:$I$195,5,0)),0%,VLOOKUP(A5,'Données projet'!$A$175:$I$195,5,0)*VLOOKUP('Données projet'!$B$14,Paramètres!$A$1:$I$89,7,0))</f>
        <v>0</v>
      </c>
      <c r="DY5" s="16">
        <f>IF(ISNA(VLOOKUP(A5,'Données projet'!$A$175:$I$195,6,0)),0%,VLOOKUP(A5,'Données projet'!$A$175:$I$195,6,0)*VLOOKUP('Données projet'!$B$14,Paramètres!$A$1:$I$89,7,0))</f>
        <v>0</v>
      </c>
      <c r="DZ5" s="16">
        <f>IF(ISNA(VLOOKUP(A5,'Données projet'!$A$175:$I$195,7,0)),0%,VLOOKUP(A5,'Données projet'!$A$175:$I$195,7,0))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projet'!$A$201:$I$221,2,0)</f>
        <v>#N/A</v>
      </c>
      <c r="EH5" s="12" t="e">
        <f>VLOOKUP(A5,'Données projet'!$A$201:$I$221,9,0)</f>
        <v>#N/A</v>
      </c>
      <c r="EI5" s="12">
        <f t="array" ref="EI5">INDEX(EH:EH,MIN(IF(ISNUMBER(EH5:EH201),ROW(EH5:EH201),"")))</f>
        <v>3.4425641025641025</v>
      </c>
      <c r="EJ5" s="12">
        <f>IF('Données projet'!$A$202&gt;35,EJ4+EI5-ER4,IF(A5&lt;'Données projet'!$A$202,$EG$205^A5,IF(A5='Données projet'!$A$202,'Données projet'!$B$202,EJ4+EI5-ER4)))</f>
        <v>1.3622815852065062</v>
      </c>
      <c r="EK5" s="17">
        <f>EJ5*VLOOKUP('Données projet'!$B$15,Paramètres!$A$1:$I$89,3,0)*VLOOKUP('Données projet'!$B$15,Paramètres!$A$1:$I$89,5,0)</f>
        <v>0.63754778187664485</v>
      </c>
      <c r="EL5" s="13">
        <f t="shared" ref="EL5:EL68" si="75">EXP(-1.0587+0.8836*LN(EK5)+0.284)</f>
        <v>0.30961323785545058</v>
      </c>
      <c r="EM5" s="20">
        <f t="shared" si="19"/>
        <v>1.6496387760333995</v>
      </c>
      <c r="EN5" s="59">
        <f t="shared" si="20"/>
        <v>294.9829721093667</v>
      </c>
      <c r="EO5" s="59">
        <f ca="1">AVERAGE(OFFSET($EN$3,0,0,'Données projet'!$E$15+1,1))-AVERAGE(OFFSET($H$3,0,0,'Données projet'!$E$15+1,1))</f>
        <v>147.64256291235483</v>
      </c>
      <c r="EP5" s="59">
        <f t="shared" ref="EP5:EP68" si="76">$EP$3</f>
        <v>70.859031694091868</v>
      </c>
      <c r="EQ5" s="15">
        <f>IF(ISNA(VLOOKUP(A5,'Données projet'!$A$201:$I$221,3,0)),0,VLOOKUP(A5,'Données projet'!$A$201:$I$221,3,0))</f>
        <v>0</v>
      </c>
      <c r="ER5" s="15">
        <f>IF(ISNA(VLOOKUP(A5,'Données projet'!$A$201:$I$221,4,0)),0,VLOOKUP(A5,'Données projet'!$A$201:$I$221,4,0))</f>
        <v>0</v>
      </c>
      <c r="ES5" s="16">
        <f>IF(ISNA(VLOOKUP(A5,'Données projet'!$A$201:$I$221,5,0)),0%,VLOOKUP(A5,'Données projet'!$A$201:$I$221,5,0)*VLOOKUP('Données projet'!$B$15,Paramètres!$A$1:$I$89,7,0))</f>
        <v>0</v>
      </c>
      <c r="ET5" s="16">
        <f>IF(ISNA(VLOOKUP(A5,'Données projet'!$A$201:$I$221,6,0)),0%,VLOOKUP(A5,'Données projet'!$A$201:$I$221,6,0)*VLOOKUP('Données projet'!$B$15,Paramètres!$A$1:$I$89,7,0))</f>
        <v>0</v>
      </c>
      <c r="EU5" s="16">
        <f>IF(ISNA(VLOOKUP(A5,'Données projet'!$A$201:$I$221,7,0)),0%,VLOOKUP(A5,'Données projet'!$A$201:$I$221,7,0))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projet'!$A$227:$I$247,2,0)</f>
        <v>#N/A</v>
      </c>
      <c r="FC5" s="12" t="e">
        <f>VLOOKUP(A5,'Données projet'!$A$227:$I$247,9,0)</f>
        <v>#N/A</v>
      </c>
      <c r="FD5" s="12">
        <f t="array" ref="FD5">INDEX(FC:FC,MIN(IF(ISNUMBER(FC5:FC201),ROW(FC5:FC201),"")))</f>
        <v>1.8</v>
      </c>
      <c r="FE5" s="12">
        <f>IF('Données projet'!$A$228&gt;35,FE4+FD5-FM4,IF(A5&lt;'Données projet'!$A$228,$FB$205^A5,IF(A5='Données projet'!$A$228,'Données projet'!$B$228,FE4+FD5-FM4)))</f>
        <v>1.7826024579660036</v>
      </c>
      <c r="FF5" s="17">
        <f>FE5*VLOOKUP('Données projet'!$B$16,Paramètres!$A$1:$I$89,3,0)*VLOOKUP('Données projet'!$B$16,Paramètres!$A$1:$I$89,5,0)</f>
        <v>1.8631760890660669</v>
      </c>
      <c r="FG5" s="13">
        <f t="shared" ref="FG5:FG68" si="77">EXP(-1.0587+0.8836*LN(FF5)+0.284)</f>
        <v>0.79863513536342279</v>
      </c>
      <c r="FH5" s="20">
        <f t="shared" si="22"/>
        <v>4.6359878825480276</v>
      </c>
      <c r="FI5" s="59">
        <f t="shared" si="23"/>
        <v>297.96932121588134</v>
      </c>
      <c r="FJ5" s="59">
        <f ca="1">AVERAGE(OFFSET($FI$3,0,0,'Données projet'!$E$16+1,1))-AVERAGE(OFFSET($H$3,0,0,'Données projet'!$E$16+1,1))</f>
        <v>259.03906550253788</v>
      </c>
      <c r="FK5" s="59">
        <f t="shared" ref="FK5:FK68" si="78">$FK$3</f>
        <v>235.54542903570831</v>
      </c>
      <c r="FL5" s="15">
        <f>IF(ISNA(VLOOKUP(A5,'Données projet'!$A$227:$I$247,3,0)),0,VLOOKUP(A5,'Données projet'!$A$227:$I$247,3,0))</f>
        <v>0</v>
      </c>
      <c r="FM5" s="15">
        <f>IF(ISNA(VLOOKUP(A5,'Données projet'!$A$227:$I$247,4,0)),0,VLOOKUP(A5,'Données projet'!$A$227:$I$247,4,0))</f>
        <v>0</v>
      </c>
      <c r="FN5" s="16">
        <f>IF(ISNA(VLOOKUP(A5,'Données projet'!$A$227:$I$247,5,0)),0%,VLOOKUP(A5,'Données projet'!$A$227:$I$247,5,0)*VLOOKUP('Données projet'!$B$16,Paramètres!$A$1:$I$89,7,0))</f>
        <v>0</v>
      </c>
      <c r="FO5" s="16">
        <f>IF(ISNA(VLOOKUP(A5,'Données projet'!$A$227:$I$247,6,0)),0%,VLOOKUP(A5,'Données projet'!$A$227:$I$247,6,0)*VLOOKUP('Données projet'!$B$16,Paramètres!$A$1:$I$89,7,0))</f>
        <v>0</v>
      </c>
      <c r="FP5" s="16">
        <f>IF(ISNA(VLOOKUP(A5,'Données projet'!$A$227:$I$247,7,0)),0%,VLOOKUP(A5,'Données projet'!$A$227:$I$247,7,0))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projet'!$A$253:$I$273,2,0)</f>
        <v>#N/A</v>
      </c>
      <c r="FX5" s="12" t="e">
        <f>VLOOKUP(A5,'Données projet'!$A$253:$I$273,9,0)</f>
        <v>#N/A</v>
      </c>
      <c r="FY5" s="12">
        <f t="array" ref="FY5">INDEX(FX:FX,MIN(IF(ISNUMBER(FX5:FX201),ROW(FX5:FX201),"")))</f>
        <v>2.4666666666666668</v>
      </c>
      <c r="FZ5" s="12">
        <f>IF('Données projet'!$A$254&gt;35,FZ4+FY5-GH4,IF(A5&lt;'Données projet'!$A$254,$FW$205^A5,IF(A5='Données projet'!$A$254,'Données projet'!$B$254,FZ4+FY5-GH4)))</f>
        <v>1.6184286699097237</v>
      </c>
      <c r="GA5" s="17">
        <f>FZ5*VLOOKUP('Données projet'!$B$17,Paramètres!$A$1:$I$89,3,0)*VLOOKUP('Données projet'!$B$17,Paramètres!$A$1:$I$89,5,0)</f>
        <v>1.4138592860331347</v>
      </c>
      <c r="GB5" s="13">
        <f t="shared" ref="GB5:GB68" si="79">EXP(-1.0587+0.8836*LN(GA5)+0.284)</f>
        <v>0.62582221171965613</v>
      </c>
      <c r="GC5" s="20">
        <f t="shared" si="25"/>
        <v>3.5524452752527771</v>
      </c>
      <c r="GD5" s="59">
        <f t="shared" si="26"/>
        <v>296.88577860858607</v>
      </c>
      <c r="GE5" s="59">
        <f ca="1">AVERAGE(OFFSET($GD$3,0,0,'Données projet'!$E$17+1,1))-AVERAGE(OFFSET($H$3,0,0,'Données projet'!$E$17+1,1))</f>
        <v>245.1983232777614</v>
      </c>
      <c r="GF5" s="59">
        <f t="shared" ref="GF5:GF68" si="80">$GF$3</f>
        <v>242.34010522344573</v>
      </c>
      <c r="GG5" s="15">
        <f>IF(ISNA(VLOOKUP(A5,'Données projet'!$A$253:$I$273,3,0)),0,VLOOKUP(A5,'Données projet'!$A$253:$I$273,3,0))</f>
        <v>0</v>
      </c>
      <c r="GH5" s="15">
        <f>IF(ISNA(VLOOKUP(A5,'Données projet'!$A$253:$I$273,4,0)),0,VLOOKUP(A5,'Données projet'!$A$253:$I$273,4,0))</f>
        <v>0</v>
      </c>
      <c r="GI5" s="16">
        <f>IF(ISNA(VLOOKUP(A5,'Données projet'!$A$253:$I$273,5,0)),0%,VLOOKUP(A5,'Données projet'!$A$253:$I$273,5,0)*VLOOKUP('Données projet'!$B$17,Paramètres!$A$1:$I$89,7,0))</f>
        <v>0</v>
      </c>
      <c r="GJ5" s="16">
        <f>IF(ISNA(VLOOKUP(A5,'Données projet'!$A$253:$I$273,6,0)),0%,VLOOKUP(A5,'Données projet'!$A$253:$I$273,6,0)*VLOOKUP('Données projet'!$B$17,Paramètres!$A$1:$I$89,7,0))</f>
        <v>0</v>
      </c>
      <c r="GK5" s="16">
        <f>IF(ISNA(VLOOKUP(A5,'Données projet'!$A$253:$I$273,7,0)),0%,VLOOKUP(A5,'Données projet'!$A$253:$I$273,7,0))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projet'!$A$279:$I$299,2,0)</f>
        <v>#N/A</v>
      </c>
      <c r="GS5" s="12" t="e">
        <f>VLOOKUP(A5,'Données projet'!$A$279:$I$299,9,0)</f>
        <v>#N/A</v>
      </c>
      <c r="GT5" s="12">
        <f t="array" ref="GT5">INDEX(GS:GS,MIN(IF(ISNUMBER(GS5:GS201),ROW(GS5:GS201),"")))</f>
        <v>4.1333333333333337</v>
      </c>
      <c r="GU5" s="12">
        <f>IF('Données projet'!$A$280&gt;35,GU4+GT5-HC4,IF(A5&lt;'Données projet'!$A$280,$GR$205^A5,IF(A5='Données projet'!$A$280,'Données projet'!$B$280,GU4+GT5-HC4)))</f>
        <v>1.7337463453035391</v>
      </c>
      <c r="GV5" s="17">
        <f>GU5*VLOOKUP('Données projet'!$B$18,Paramètres!$A$1:$I$89,3,0)*VLOOKUP('Données projet'!$B$18,Paramètres!$A$1:$I$89,5,0)</f>
        <v>0.69869977715732623</v>
      </c>
      <c r="GW5" s="13">
        <f t="shared" ref="GW5:GW68" si="81">EXP(-1.0587+0.8836*LN(GV5)+0.284)</f>
        <v>0.33571229209552234</v>
      </c>
      <c r="GX5" s="20">
        <f t="shared" si="28"/>
        <v>1.8016010206153776</v>
      </c>
      <c r="GY5" s="59">
        <f t="shared" si="29"/>
        <v>295.13493435394867</v>
      </c>
      <c r="GZ5" s="59">
        <f ca="1">AVERAGE(OFFSET($GY$3,0,0,'Données projet'!$E$18+1,1))-AVERAGE(OFFSET($H$3,0,0,'Données projet'!$E$18+1,1))</f>
        <v>324.36162935850876</v>
      </c>
      <c r="HA5" s="59">
        <f t="shared" ref="HA5:HA68" si="82">$HA$3</f>
        <v>265.23571072429735</v>
      </c>
      <c r="HB5" s="15">
        <f>IF(ISNA(VLOOKUP(A5,'Données projet'!$A$279:$I$299,3,0)),0,VLOOKUP(A5,'Données projet'!$A$279:$I$299,3,0))</f>
        <v>0</v>
      </c>
      <c r="HC5" s="15">
        <f>IF(ISNA(VLOOKUP(A5,'Données projet'!$A$279:$I$299,4,0)),0,VLOOKUP(A5,'Données projet'!$A$279:$I$299,4,0))</f>
        <v>0</v>
      </c>
      <c r="HD5" s="16">
        <f>IF(ISNA(VLOOKUP(A5,'Données projet'!$A$279:$I$299,5,0)),0%,VLOOKUP(A5,'Données projet'!$A$279:$I$299,5,0)*VLOOKUP('Données projet'!$B$18,Paramètres!$A$1:$I$89,7,0))</f>
        <v>0</v>
      </c>
      <c r="HE5" s="16">
        <f>IF(ISNA(VLOOKUP(A5,'Données projet'!$A$279:$I$299,6,0)),0%,VLOOKUP(A5,'Données projet'!$A$279:$I$299,6,0)*VLOOKUP('Données projet'!$B$18,Paramètres!$A$1:$I$89,7,0))</f>
        <v>0</v>
      </c>
      <c r="HF5" s="16">
        <f>IF(ISNA(VLOOKUP($A5,'Données projet'!$A$279:$I$299,7,0)),0%,VLOOKUP($A5,'Données projet'!$A$279:$I$299,7,0))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  <c r="HK5" s="74">
        <f>('Scénario référence'!$F$8+'Scénario référence'!$F$9+'Scénario référence'!$B$17+'Scénario référence'!$B$9+'Scénario référence'!$B$10)*70+IF((45+25*(1-EXP(-0.0175*$A5)))&lt;70,'Scénario référence'!$B$16*(45+25*(1-EXP(-0.0175*$A5))),70*'Scénario référence'!$B$16)+IF((32+38*(1-EXP(-0.0175*$A5)))&lt;70,'Scénario référence'!$B$18*(32+38*(1-EXP(-0.0175*$A5))),70*'Scénario référence'!$B$18)</f>
        <v>70</v>
      </c>
      <c r="HL5" s="12">
        <f>IF($A5&gt;30,10,('Scénario référence'!$B$16+'Scénario référence'!$B$17+'Scénario référence'!$B$18+'Scénario référence'!$B$9+'Scénario référence'!$B$10)*$A5*10/30+('Scénario référence'!$F$8+'Scénario référence'!$F$9)*10)</f>
        <v>10</v>
      </c>
      <c r="HM5" s="12">
        <f>VLOOKUP($A5,'Données projet'!$A$304:$I$324,2,0)</f>
        <v>0.18435897435897397</v>
      </c>
      <c r="HN5" s="12">
        <f>VLOOKUP($A5,'Données projet'!$A$304:$I$324,9,0)</f>
        <v>9.2179487179486985E-2</v>
      </c>
      <c r="HO5" s="12">
        <f t="array" ref="HO5">INDEX(HN:HN,MIN(IF(ISNUMBER(HN5:HN201),ROW(HN5:HN201),"")))</f>
        <v>9.2179487179486985E-2</v>
      </c>
      <c r="HP5" s="12">
        <f>IF('Données projet'!$A$304&gt;35,HP4+HO5-HX4,IF($A5&lt;'Données projet'!$A$304,$CQ$205^$A5,IF($A5='Données projet'!$A$304,'Données projet'!$B$304,HP4+HO5-HX4)))</f>
        <v>0.18435897435897397</v>
      </c>
      <c r="HQ5" s="17">
        <f>HP5*VLOOKUP('Données projet'!$B$19,Paramètres!$A$1:$I$89,3,0)*VLOOKUP('Données projet'!$B$19,Paramètres!$A$1:$I$89,5,0)</f>
        <v>9.3757599999999816E-2</v>
      </c>
      <c r="HR5" s="13">
        <f t="shared" ref="HR5:HR68" si="83">EXP(-1.0587+0.8836*LN(HQ5)+0.284)</f>
        <v>5.6913722520830795E-2</v>
      </c>
      <c r="HS5" s="14">
        <f t="shared" si="31"/>
        <v>0.26241922005711332</v>
      </c>
      <c r="HT5" s="59">
        <f t="shared" si="32"/>
        <v>293.59575255339041</v>
      </c>
      <c r="HU5" s="59">
        <f ca="1">AVERAGE(OFFSET(HT$3,0,0,'Données projet'!$E$19+1,1))-AVERAGE(OFFSET($H$3,0,0,'Données projet'!$E$19+1,1))</f>
        <v>91.60721429656013</v>
      </c>
      <c r="HV5" s="59">
        <f t="shared" ref="HV5:HV68" si="84">$HV$3</f>
        <v>258.94957804210856</v>
      </c>
      <c r="HW5" s="15">
        <f>IF(ISNA(VLOOKUP($A5,'Données projet'!$A$304:$I$324,3,0)),0,VLOOKUP($A5,'Données projet'!$A$304:$I$324,3,0))</f>
        <v>0</v>
      </c>
      <c r="HX5" s="15">
        <f>IF(ISNA(VLOOKUP($A5,'Données projet'!$A$304:$I$324,4,0)),0,VLOOKUP($A5,'Données projet'!$A$304:$I$324,4,0))</f>
        <v>0</v>
      </c>
      <c r="HY5" s="16">
        <f>IF(ISNA(VLOOKUP($A5,'Données projet'!$A$304:$I$324,5,0)),0%,VLOOKUP($A5,'Données projet'!$A$304:$I$324,5,0)*VLOOKUP('Données projet'!$B$19,Paramètres!$A$1:$I$89,7,0))</f>
        <v>0</v>
      </c>
      <c r="HZ5" s="16">
        <f>IF(ISNA(VLOOKUP($A5,'Données projet'!$A$304:$I$324,6,0)),0%,VLOOKUP($A5,'Données projet'!$A$304:$I$324,6,0)*VLOOKUP('Données projet'!$B$19,Paramètres!$A$1:$I$89,7,0))</f>
        <v>0</v>
      </c>
      <c r="IA5" s="16">
        <f>IF(ISNA(VLOOKUP($A5,'Données projet'!$A$304:$I$324,7,0)),0%,VLOOKUP($A5,'Données projet'!$A$304:$I$324,7,0))</f>
        <v>0</v>
      </c>
      <c r="IB5" s="21">
        <f>EXP(-LN(2)/35)*IB4+(1-EXP(-LN(2)/35))/(LN(2)/35)*HX5*HY5*VLOOKUP('Données projet'!$B$19,Paramètres!$A$1:$I$89,3,0)*0.475*44/12</f>
        <v>0</v>
      </c>
      <c r="IC5" s="21">
        <f>EXP(-LN(2)/25)*IC4+(1-EXP(-LN(2)/25))/(LN(2)/25)*Calculateur!HX5*Calculateur!HZ5*VLOOKUP('Données projet'!$B$19,Paramètres!$A$1:$I$89,3,0)*0.475*44/12</f>
        <v>0</v>
      </c>
      <c r="ID5" s="21">
        <f>EXP(-LN(2)/2)*ID4+(1-EXP(-LN(2)/2))/(LN(2)/2)*HX5*IA5*VLOOKUP('Données projet'!$B$19,Paramètres!$A$1:$I$89,3,0)*0.475*44/12</f>
        <v>0</v>
      </c>
      <c r="IE5" s="22">
        <f t="shared" si="33"/>
        <v>0</v>
      </c>
      <c r="IF5" s="74">
        <f>('Scénario référence'!$F$8+'Scénario référence'!$F$9+'Scénario référence'!$B$17+'Scénario référence'!$B$9+'Scénario référence'!$B$10)*70+IF((45+25*(1-EXP(-0.0175*$A5)))&lt;70,'Scénario référence'!$B$16*(45+25*(1-EXP(-0.0175*$A5))),70*'Scénario référence'!$B$16)+IF((32+38*(1-EXP(-0.0175*$A5)))&lt;70,'Scénario référence'!$B$18*(32+38*(1-EXP(-0.0175*$A5))),70*'Scénario référence'!$B$18)</f>
        <v>70</v>
      </c>
      <c r="IG5" s="12">
        <f>IF($A5&gt;30,10,('Scénario référence'!$B$16+'Scénario référence'!$B$17+'Scénario référence'!$B$18+'Scénario référence'!$B$9+'Scénario référence'!$B$10)*$A5*10/30+('Scénario référence'!$F$8+'Scénario référence'!$F$9)*10)</f>
        <v>10</v>
      </c>
      <c r="IH5" s="12">
        <f>VLOOKUP($A5,'Données projet'!$A$330:$I$350,2,0)</f>
        <v>0.18435897435897397</v>
      </c>
      <c r="II5" s="12">
        <f>VLOOKUP($A5,'Données projet'!$A$330:$I$350,9,0)</f>
        <v>9.2179487179486985E-2</v>
      </c>
      <c r="IJ5" s="12">
        <f t="array" ref="IJ5">INDEX(II:II,MIN(IF(ISNUMBER(II5:II201),ROW(II5:II201),"")))</f>
        <v>9.2179487179486985E-2</v>
      </c>
      <c r="IK5" s="12">
        <f>IF('Données projet'!$A$330&gt;35,IK4+IJ5-IS4,IF($A5&lt;'Données projet'!$A$330,$CQ$205^$A5,IF($A5='Données projet'!$A$330,'Données projet'!$B$330,IK4+IJ5-IS4)))</f>
        <v>0.18435897435897397</v>
      </c>
      <c r="IL5" s="17">
        <f>IK5*VLOOKUP('Données projet'!$B$20,Paramètres!$A$1:$I$89,3,0)*VLOOKUP('Données projet'!$B$20,Paramètres!$A$1:$I$89,5,0)</f>
        <v>9.3757599999999816E-2</v>
      </c>
      <c r="IM5" s="13">
        <f t="shared" ref="IM5:IM68" si="85">EXP(-1.0587+0.8836*LN(IL5)+0.284)</f>
        <v>5.6913722520830795E-2</v>
      </c>
      <c r="IN5" s="20">
        <f t="shared" ref="IN5:IN67" si="86">(IL5+IM5)*0.475*44/12</f>
        <v>0.26241922005711332</v>
      </c>
      <c r="IO5" s="59">
        <f t="shared" ref="IO5:IO67" si="87">IN5+(IF5+IG5)*44/12</f>
        <v>293.59575255339041</v>
      </c>
      <c r="IP5" s="59">
        <f ca="1">AVERAGE(OFFSET(IO$3,0,0,'Données projet'!$E$20+1,1))-AVERAGE(OFFSET($H$3,0,0,'Données projet'!$E$20+1,1))</f>
        <v>91.60721429656013</v>
      </c>
      <c r="IQ5" s="59">
        <f t="shared" ref="IQ5:IQ68" si="88">HV$3</f>
        <v>258.94957804210856</v>
      </c>
      <c r="IR5" s="15">
        <f>IF(ISNA(VLOOKUP($A5,'Données projet'!$A$330:$I$350,3,0)),0,VLOOKUP($A5,'Données projet'!$A$330:$I$350,3,0))</f>
        <v>0</v>
      </c>
      <c r="IS5" s="15">
        <f>IF(ISNA(VLOOKUP($A5,'Données projet'!$A$330:$I$350,4,0)),0,VLOOKUP($A5,'Données projet'!$A$330:$I$350,4,0))</f>
        <v>0</v>
      </c>
      <c r="IT5" s="16">
        <f>IF(ISNA(VLOOKUP($A5,'Données projet'!$A$330:$I$350,5,0)),0%,VLOOKUP($A5,'Données projet'!$A$330:$I$350,5,0)*VLOOKUP('Données projet'!$B$20,Paramètres!$A$1:$I$89,7,0))</f>
        <v>0</v>
      </c>
      <c r="IU5" s="16">
        <f>IF(ISNA(VLOOKUP($A5,'Données projet'!$A$330:$I$350,6,0)),0%,VLOOKUP($A5,'Données projet'!$A$330:$I$350,6,0)*VLOOKUP('Données projet'!$B$20,Paramètres!$A$1:$I$89,7,0))</f>
        <v>0</v>
      </c>
      <c r="IV5" s="16">
        <f>IF(ISNA(VLOOKUP($A5,'Données projet'!$A$330:$I$350,7,0)),0%,VLOOKUP($A5,'Données projet'!$A$330:$I$350,7,0))</f>
        <v>0</v>
      </c>
      <c r="IW5" s="21">
        <f>EXP(-LN(2)/35)*IW4+(1-EXP(-LN(2)/35))/(LN(2)/35)*IS5*IT5*VLOOKUP('Données projet'!$B$20,Paramètres!$A$1:$I$89,3,0)*0.475*44/12</f>
        <v>0</v>
      </c>
      <c r="IX5" s="21">
        <f>EXP(-LN(2)/25)*IX4+(1-EXP(-LN(2)/25))/(LN(2)/25)*Calculateur!IS5*Calculateur!IU5*VLOOKUP('Données projet'!$B$20,Paramètres!$A$1:$I$89,3,0)*0.475*44/12</f>
        <v>0</v>
      </c>
      <c r="IY5" s="21">
        <f>EXP(-LN(2)/2)*IY4+(1-EXP(-LN(2)/2))/(LN(2)/2)*IS5*IV5*VLOOKUP('Données projet'!$B$20,Paramètres!$A$1:$I$89,3,0)*0.475*44/12</f>
        <v>0</v>
      </c>
      <c r="IZ5" s="22">
        <f t="shared" ref="IZ5:IZ67" si="89">SUM(IW5:IY5)</f>
        <v>0</v>
      </c>
      <c r="JA5" s="74">
        <f>('Scénario référence'!$F$8+'Scénario référence'!$F$9+'Scénario référence'!$B$17+'Scénario référence'!$B$9+'Scénario référence'!$B$10)*70+IF((45+25*(1-EXP(-0.0175*$A5)))&lt;70,'Scénario référence'!$B$16*(45+25*(1-EXP(-0.0175*$A5))),70*'Scénario référence'!$B$16)+IF((32+38*(1-EXP(-0.0175*$A5)))&lt;70,'Scénario référence'!$B$18*(32+38*(1-EXP(-0.0175*$A5))),70*'Scénario référence'!$B$18)</f>
        <v>70</v>
      </c>
      <c r="JB5" s="12">
        <f>IF($A5&gt;30,10,('Scénario référence'!$B$16+'Scénario référence'!$B$17+'Scénario référence'!$B$18+'Scénario référence'!$B$9+'Scénario référence'!$B$10)*$A5*10/30+('Scénario référence'!$F$8+'Scénario référence'!$F$9)*10)</f>
        <v>10</v>
      </c>
      <c r="JC5" s="12" t="e">
        <f>VLOOKUP($A5,'Données projet'!$A$356:$I$376,2,0)</f>
        <v>#N/A</v>
      </c>
      <c r="JD5" s="12" t="e">
        <f>VLOOKUP($A5,'Données projet'!$A$356:$I$376,9,0)</f>
        <v>#N/A</v>
      </c>
      <c r="JE5" s="12">
        <f t="array" ref="JE5">INDEX(JD:JD,MIN(IF(ISNUMBER(JD5:JD201),ROW(JD5:JD201),"")))</f>
        <v>3.04</v>
      </c>
      <c r="JF5" s="12">
        <f>IF('Données projet'!$A$356&gt;35,JF4+JE5-JN4,IF($A5&lt;'Données projet'!$A$356,$CQ$205^$A5,IF($A5='Données projet'!$A$356,'Données projet'!$B$356,JF4+JE5-JN4)))</f>
        <v>6.08</v>
      </c>
      <c r="JG5" s="17">
        <f>JF5*VLOOKUP('Données projet'!$B$21,Paramètres!$A$1:$I$89,3,0)*VLOOKUP('Données projet'!$B$21,Paramètres!$A$1:$I$89,5,0)</f>
        <v>4.9320960000000005</v>
      </c>
      <c r="JH5" s="13">
        <f t="shared" ref="JH5:JH68" si="90">EXP(-1.0587+0.8836*LN(JG5)+0.284)</f>
        <v>1.8876206383048666</v>
      </c>
      <c r="JI5" s="20">
        <f t="shared" ref="JI5:JI67" si="91">(JG5+JH5)*0.475*44/12</f>
        <v>11.877673145047645</v>
      </c>
      <c r="JJ5" s="59">
        <f t="shared" ref="JJ5:JJ67" si="92">JI5+(JA5+JB5)*44/12</f>
        <v>305.21100647838097</v>
      </c>
      <c r="JK5" s="59">
        <f ca="1">AVERAGE(OFFSET($JJ$3,0,0,'Données projet'!$E$22+1,1))-AVERAGE(OFFSET($H$3,0,0,'Données projet'!$E$22+1,1))</f>
        <v>353.35574633294613</v>
      </c>
      <c r="JL5" s="59">
        <f t="shared" ref="JL5:JL68" si="93">JL$3</f>
        <v>170.36796666474726</v>
      </c>
      <c r="JM5" s="15">
        <f>IF(ISNA(VLOOKUP($A5,'Données projet'!$A$356:$I$376,3,0)),0,VLOOKUP($A5,'Données projet'!$A$356:$I$376,3,0))</f>
        <v>0</v>
      </c>
      <c r="JN5" s="15">
        <f>IF(ISNA(VLOOKUP($A5,'Données projet'!$A$356:$I$376,4,0)),0,VLOOKUP($A5,'Données projet'!$A$356:$I$376,4,0))</f>
        <v>0</v>
      </c>
      <c r="JO5" s="16">
        <f>IF(ISNA(VLOOKUP($A5,'Données projet'!$A$356:$I$376,5,0)),0%,VLOOKUP($A5,'Données projet'!$A$356:$I$376,5,0)*VLOOKUP('Données projet'!$B$21,Paramètres!$A$1:$I$89,7,0))</f>
        <v>0</v>
      </c>
      <c r="JP5" s="16">
        <f>IF(ISNA(VLOOKUP($A5,'Données projet'!$A$356:$I$376,6,0)),0%,VLOOKUP($A5,'Données projet'!$A$356:$I$376,6,0)*VLOOKUP('Données projet'!$B$21,Paramètres!$A$1:$I$89,7,0))</f>
        <v>0</v>
      </c>
      <c r="JQ5" s="16">
        <f>IF(ISNA(VLOOKUP($A5,'Données projet'!$A$356:$I$376,7,0)),0%,VLOOKUP($A5,'Données projet'!$A$356:$I$376,7,0))</f>
        <v>0</v>
      </c>
      <c r="JR5" s="21">
        <f>EXP(-LN(2)/35)*JR4+(1-EXP(-LN(2)/35))/(LN(2)/35)*JN5*JO5*VLOOKUP('Données projet'!$B$21,Paramètres!$A$1:$I$89,3,0)*0.475*44/12</f>
        <v>0</v>
      </c>
      <c r="JS5" s="21">
        <f>EXP(-LN(2)/25)*JS4+(1-EXP(-LN(2)/25))/(LN(2)/25)*Calculateur!JN5*Calculateur!JP5*VLOOKUP('Données projet'!$B$21,Paramètres!$A$1:$I$89,3,0)*0.475*44/12</f>
        <v>0</v>
      </c>
      <c r="JT5" s="21">
        <f>EXP(-LN(2)/2)*JT4+(1-EXP(-LN(2)/2))/(LN(2)/2)*JN5*JQ5*VLOOKUP('Données projet'!$B$21,Paramètres!$A$1:$I$89,3,0)*0.475*44/12</f>
        <v>0</v>
      </c>
      <c r="JU5" s="18">
        <f t="shared" si="39"/>
        <v>0</v>
      </c>
      <c r="JV5" s="74">
        <f>('Scénario référence'!$F$8+'Scénario référence'!$F$9+'Scénario référence'!$B$17+'Scénario référence'!$B$9+'Scénario référence'!$B$10)*70+IF((45+25*(1-EXP(-0.0175*$A5)))&lt;70,'Scénario référence'!$B$16*(45+25*(1-EXP(-0.0175*$A5))),70*'Scénario référence'!$B$16)+IF((32+38*(1-EXP(-0.0175*$A5)))&lt;70,'Scénario référence'!$B$18*(32+38*(1-EXP(-0.0175*$A5))),70*'Scénario référence'!$B$18)</f>
        <v>70</v>
      </c>
      <c r="JW5" s="12">
        <f>IF($A5&gt;30,10,('Scénario référence'!$B$16+'Scénario référence'!$B$17+'Scénario référence'!$B$18+'Scénario référence'!$B$9+'Scénario référence'!$B$10)*$A5*10/30+('Scénario référence'!$F$8+'Scénario référence'!$F$9)*10)</f>
        <v>10</v>
      </c>
      <c r="JX5" s="12" t="e">
        <f>VLOOKUP($A5,'Données projet'!$A$382:$I$402,2,0)</f>
        <v>#N/A</v>
      </c>
      <c r="JY5" s="12" t="e">
        <f>VLOOKUP($A5,'Données projet'!$A$382:$I$402,9,0)</f>
        <v>#N/A</v>
      </c>
      <c r="JZ5" s="12">
        <f t="array" ref="JZ5">INDEX(JY:JY,MIN(IF(ISNUMBER(JY5:JY201),ROW(JY5:JY201),"")))</f>
        <v>4.0628205128205126</v>
      </c>
      <c r="KA5" s="12">
        <f>IF('Données projet'!$A$382&gt;35,KA4+JZ5-KI4,IF($A5&lt;'Données projet'!$A$382,$CQ$205^$A5,IF($A5='Données projet'!$A$382,'Données projet'!$B$382,KA4+JZ5-KI4)))</f>
        <v>8.1256410256410252</v>
      </c>
      <c r="KB5" s="17">
        <f>KA5*VLOOKUP('Données projet'!$B$22,Paramètres!$A$1:$I$89,3,0)*VLOOKUP('Données projet'!$B$22,Paramètres!$A$1:$I$89,5,0)</f>
        <v>5.4506799999999993</v>
      </c>
      <c r="KC5" s="13">
        <f t="shared" ref="KC5:KC68" si="94">EXP(-1.0587+0.8836*LN(KB5)+0.284)</f>
        <v>2.0619583618209667</v>
      </c>
      <c r="KD5" s="20">
        <f t="shared" ref="KD5:KD67" si="95">(KB5+KC5)*0.475*44/12</f>
        <v>13.084511813504848</v>
      </c>
      <c r="KE5" s="59">
        <f t="shared" ref="KE5:KE67" si="96">KD5+(JV5+JW5)*44/12</f>
        <v>306.41784514683815</v>
      </c>
      <c r="KF5" s="59">
        <f ca="1">AVERAGE(OFFSET($KE$3,0,0,'Données projet'!$E$22+1,1))-AVERAGE(OFFSET($H$3,0,0,'Données projet'!$E$22+1,1))</f>
        <v>193.91714772848269</v>
      </c>
      <c r="KG5" s="59">
        <f t="shared" ref="KG5:KG68" si="97">$CZ$3</f>
        <v>159.20429420478047</v>
      </c>
      <c r="KH5" s="15">
        <f>IF(ISNA(VLOOKUP($A5,'Données projet'!$A$382:$I$402,3,0)),0,VLOOKUP($A5,'Données projet'!$A$382:$I$402,3,0))</f>
        <v>0</v>
      </c>
      <c r="KI5" s="15">
        <f>IF(ISNA(VLOOKUP($A5,'Données projet'!$A$382:$I$402,4,0)),0,VLOOKUP($A5,'Données projet'!$A$382:$I$402,4,0))</f>
        <v>0</v>
      </c>
      <c r="KJ5" s="16">
        <f>IF(ISNA(VLOOKUP($A5,'Données projet'!$A$382:$I$402,5,0)),0%,VLOOKUP($A5,'Données projet'!$A$382:$I$402,5,0)*VLOOKUP('Données projet'!$B$22,Paramètres!$A$1:$I$89,7,0))</f>
        <v>0</v>
      </c>
      <c r="KK5" s="16">
        <f>IF(ISNA(VLOOKUP($A5,'Données projet'!$A$382:$I$402,6,0)),0%,VLOOKUP($A5,'Données projet'!$A$382:$I$402,6,0)*VLOOKUP('Données projet'!$B$22,Paramètres!$A$1:$I$89,7,0))</f>
        <v>0</v>
      </c>
      <c r="KL5" s="16">
        <f>IF(ISNA(VLOOKUP($A5,'Données projet'!$A$382:$I$402,7,0)),0%,VLOOKUP($A5,'Données projet'!$A$382:$I$402,7,0))</f>
        <v>0</v>
      </c>
      <c r="KM5" s="21">
        <f>EXP(-LN(2)/35)*KM4+(1-EXP(-LN(2)/35))/(LN(2)/35)*KI5*KJ5*VLOOKUP('Données projet'!$B$22,Paramètres!$A$1:$I$89,3,0)*0.475*44/12</f>
        <v>0</v>
      </c>
      <c r="KN5" s="21">
        <f>EXP(-LN(2)/25)*KN4+(1-EXP(-LN(2)/25))/(LN(2)/25)*Calculateur!KI5*Calculateur!KK5*VLOOKUP('Données projet'!$B$22,Paramètres!$A$1:$I$89,3,0)*0.475*44/12</f>
        <v>0</v>
      </c>
      <c r="KO5" s="21">
        <f>EXP(-LN(2)/2)*KO4+(1-EXP(-LN(2)/2))/(LN(2)/2)*KI5*KL5*VLOOKUP('Données projet'!$B$22,Paramètres!$A$1:$I$89,3,0)*0.475*44/12</f>
        <v>0</v>
      </c>
      <c r="KP5" s="22">
        <f t="shared" ref="KP5:KP67" si="98">SUM(KM5:KO5)</f>
        <v>0</v>
      </c>
      <c r="KQ5" s="74">
        <f>('Scénario référence'!$F$8+'Scénario référence'!$F$9+'Scénario référence'!$B$17+'Scénario référence'!$B$9+'Scénario référence'!$B$10)*70+IF((45+25*(1-EXP(-0.0175*$A5)))&lt;70,'Scénario référence'!$B$16*(45+25*(1-EXP(-0.0175*$A5))),70*'Scénario référence'!$B$16)+IF((32+38*(1-EXP(-0.0175*$A5)))&lt;70,'Scénario référence'!$B$18*(32+38*(1-EXP(-0.0175*$A5))),70*'Scénario référence'!$B$18)</f>
        <v>70</v>
      </c>
      <c r="KR5" s="12">
        <f>IF($A5&gt;30,10,('Scénario référence'!$B$16+'Scénario référence'!$B$17+'Scénario référence'!$B$18+'Scénario référence'!$B$9+'Scénario référence'!$B$10)*$A5*10/30+('Scénario référence'!$F$8+'Scénario référence'!$F$9)*10)</f>
        <v>10</v>
      </c>
      <c r="KS5" s="12" t="e">
        <f>VLOOKUP($A5,'Données projet'!$A$408:$I$428,2,0)</f>
        <v>#N/A</v>
      </c>
      <c r="KT5" s="12" t="e">
        <f>VLOOKUP($A5,'Données projet'!$A$408:$I$428,9,0)</f>
        <v>#N/A</v>
      </c>
      <c r="KU5" s="12">
        <f t="array" ref="KU5">INDEX(KT:KT,MIN(IF(ISNUMBER(KT5:KT201),ROW(KT5:KT201),"")))</f>
        <v>2.4666666666666668</v>
      </c>
      <c r="KV5" s="12">
        <f>IF('Données projet'!$A$408&gt;35,KV4+KU5-LD4,IF($A5&lt;'Données projet'!$A$408,$CQ$205^$A5,IF($A5='Données projet'!$A$408,'Données projet'!$B$408,KV4+KU5-LD4)))</f>
        <v>4.9333333333333336</v>
      </c>
      <c r="KW5" s="17">
        <f>KV5*VLOOKUP('Données projet'!$B$23,Paramètres!$A$1:$I$89,3,0)*VLOOKUP('Données projet'!$B$23,Paramètres!$A$1:$I$89,5,0)</f>
        <v>4.3097600000000007</v>
      </c>
      <c r="KX5" s="13">
        <f t="shared" ref="KX5:KX68" si="99">EXP(-1.0587+0.8836*LN(KW5)+0.284)</f>
        <v>1.6755400444714101</v>
      </c>
      <c r="KY5" s="14">
        <f t="shared" si="43"/>
        <v>10.424397577454373</v>
      </c>
      <c r="KZ5" s="59">
        <f t="shared" si="44"/>
        <v>303.7577309107877</v>
      </c>
      <c r="LA5" s="59">
        <f ca="1">AVERAGE(OFFSET($KZ$3,0,0,'Données projet'!$E$23+1,1))-AVERAGE(OFFSET($H$3,0,0,'Données projet'!$E$23+1,1))</f>
        <v>248.33596943633819</v>
      </c>
      <c r="LB5" s="59">
        <f t="shared" ref="LB5:LB68" si="100">LB$3</f>
        <v>242.34010522344573</v>
      </c>
      <c r="LC5" s="15">
        <f>IF(ISNA(VLOOKUP($A5,'Données projet'!$A$408:$I$428,3,0)),0,VLOOKUP($A5,'Données projet'!$A$408:$I$428,3,0))</f>
        <v>0</v>
      </c>
      <c r="LD5" s="15">
        <f>IF(ISNA(VLOOKUP($A5,'Données projet'!$A$408:$I$428,4,0)),0,VLOOKUP($A5,'Données projet'!$A$408:$I$428,4,0))</f>
        <v>0</v>
      </c>
      <c r="LE5" s="16">
        <f>IF(ISNA(VLOOKUP($A5,'Données projet'!$A$408:$I$428,5,0)),0%,VLOOKUP($A5,'Données projet'!$A$408:$I$428,5,0)*VLOOKUP('Données projet'!$B$23,Paramètres!$A$1:$I$89,7,0))</f>
        <v>0</v>
      </c>
      <c r="LF5" s="16">
        <f>IF(ISNA(VLOOKUP($A5,'Données projet'!$A$408:$I$428,6,0)),0%,VLOOKUP($A5,'Données projet'!$A$408:$I$428,6,0)*VLOOKUP('Données projet'!$B$23,Paramètres!$A$1:$I$89,7,0))</f>
        <v>0</v>
      </c>
      <c r="LG5" s="16">
        <f>IF(ISNA(VLOOKUP($A5,'Données projet'!$A$408:$I$428,7,0)),0%,VLOOKUP($A5,'Données projet'!$A$408:$I$428,7,0))</f>
        <v>0</v>
      </c>
      <c r="LH5" s="21">
        <f>EXP(-LN(2)/35)*LH4+(1-EXP(-LN(2)/35))/(LN(2)/35)*LD5*LE5*VLOOKUP('Données projet'!$B$23,Paramètres!$A$1:$I$89,3,0)*0.475*44/12</f>
        <v>0</v>
      </c>
      <c r="LI5" s="21">
        <f>EXP(-LN(2)/25)*LI4+(1-EXP(-LN(2)/25))/(LN(2)/25)*Calculateur!LD5*Calculateur!LF5*VLOOKUP('Données projet'!$B$23,Paramètres!$A$1:$I$89,3,0)*0.475*44/12</f>
        <v>0</v>
      </c>
      <c r="LJ5" s="21">
        <f>EXP(-LN(2)/2)*LJ4+(1-EXP(-LN(2)/2))/(LN(2)/2)*LD5*LG5*VLOOKUP('Données projet'!$B$23,Paramètres!$A$1:$I$89,3,0)*0.475*44/12</f>
        <v>0</v>
      </c>
      <c r="LK5" s="22">
        <f t="shared" ref="LK5:LK67" si="101">SUM(LH5:LJ5)</f>
        <v>0</v>
      </c>
      <c r="LL5" s="74">
        <f>('Scénario référence'!$F$8+'Scénario référence'!$F$9+'Scénario référence'!$B$17+'Scénario référence'!$B$9+'Scénario référence'!$B$10)*70+IF((45+25*(1-EXP(-0.0175*$A5)))&lt;70,'Scénario référence'!$B$16*(45+25*(1-EXP(-0.0175*$A5))),70*'Scénario référence'!$B$16)+IF((32+38*(1-EXP(-0.0175*$A5)))&lt;70,'Scénario référence'!$B$18*(32+38*(1-EXP(-0.0175*$A5))),70*'Scénario référence'!$B$18)</f>
        <v>70</v>
      </c>
      <c r="LM5" s="12">
        <f>IF($A5&gt;30,10,('Scénario référence'!$B$16+'Scénario référence'!$B$17+'Scénario référence'!$B$18+'Scénario référence'!$B$9+'Scénario référence'!$B$10)*$A5*10/30+('Scénario référence'!$F$8+'Scénario référence'!$F$9)*10)</f>
        <v>10</v>
      </c>
      <c r="LN5" s="12" t="e">
        <f>VLOOKUP($A5,'Données projet'!$A$434:$I$454,2,0)</f>
        <v>#N/A</v>
      </c>
      <c r="LO5" s="12" t="e">
        <f>VLOOKUP($A5,'Données projet'!$A$434:$I$454,9,0)</f>
        <v>#N/A</v>
      </c>
      <c r="LP5" s="12">
        <f t="array" ref="LP5">INDEX(LO:LO,MIN(IF(ISNUMBER(LO5:LO201),ROW(LO5:LO201),"")))</f>
        <v>2.9235042735042733</v>
      </c>
      <c r="LQ5" s="12">
        <f>IF('Données projet'!$A$434&gt;35,LQ4+LP5-LY4,IF($A5&lt;'Données projet'!$A$434,$CQ$205^$A5,IF($A5='Données projet'!$A$434,'Données projet'!$B$434,LQ4+LP5-LY4)))</f>
        <v>5.8470085470085467</v>
      </c>
      <c r="LR5" s="17">
        <f>LQ5*VLOOKUP('Données projet'!$B$24,Paramètres!$A$1:$I$89,3,0)*VLOOKUP('Données projet'!$B$24,Paramètres!$A$1:$I$89,5,0)</f>
        <v>5.928866666666667</v>
      </c>
      <c r="LS5" s="13">
        <f t="shared" ref="LS5:LS68" si="102">EXP(-1.0587+0.8836*LN(LR5)+0.284)</f>
        <v>2.2210065767536764</v>
      </c>
      <c r="LT5" s="14">
        <f t="shared" si="46"/>
        <v>14.194362565623763</v>
      </c>
      <c r="LU5" s="59">
        <f t="shared" ref="LU5:LU67" si="103">LT5+(LL5+LM5)*44/12</f>
        <v>307.52769589895706</v>
      </c>
      <c r="LV5" s="59">
        <f ca="1">AVERAGE(OFFSET($LU$3,0,0,'Données projet'!$E$24+1,1))-AVERAGE(OFFSET($H$3,0,0,'Données projet'!$E$24+1,1))</f>
        <v>260.52627655062872</v>
      </c>
      <c r="LW5" s="59">
        <f t="shared" ref="LW5:LW68" si="104">LW$3</f>
        <v>159.20429420478047</v>
      </c>
      <c r="LX5" s="15">
        <f>IF(ISNA(VLOOKUP($A5,'Données projet'!$A$434:$I$454,3,0)),0,VLOOKUP($A5,'Données projet'!$A$434:$I$454,3,0))</f>
        <v>0</v>
      </c>
      <c r="LY5" s="15">
        <f>IF(ISNA(VLOOKUP($A5,'Données projet'!$A$434:$I$454,4,0)),0,VLOOKUP($A5,'Données projet'!$A$434:$I$454,4,0))</f>
        <v>0</v>
      </c>
      <c r="LZ5" s="16">
        <f>IF(ISNA(VLOOKUP($A5,'Données projet'!$A$434:$I$454,5,0)),0%,VLOOKUP($A5,'Données projet'!$A$434:$I$454,5,0)*VLOOKUP('Données projet'!$B$24,Paramètres!$A$1:$I$89,7,0))</f>
        <v>0</v>
      </c>
      <c r="MA5" s="16">
        <f>IF(ISNA(VLOOKUP($A5,'Données projet'!$A$434:$I$454,6,0)),0%,VLOOKUP($A5,'Données projet'!$A$434:$I$454,6,0)*VLOOKUP('Données projet'!$B$24,Paramètres!$A$1:$I$89,7,0))</f>
        <v>0</v>
      </c>
      <c r="MB5" s="16">
        <f>IF(ISNA(VLOOKUP($A5,'Données projet'!$A$434:$I$454,7,0)),0%,VLOOKUP($A5,'Données projet'!$A$434:$I$454,7,0))</f>
        <v>0</v>
      </c>
      <c r="MC5" s="21">
        <f>EXP(-LN(2)/35)*MC4+(1-EXP(-LN(2)/35))/(LN(2)/35)*LY5*LZ5*VLOOKUP('Données projet'!$B$24,Paramètres!$A$1:$I$89,3,0)*0.475*44/12</f>
        <v>0</v>
      </c>
      <c r="MD5" s="21">
        <f>EXP(-LN(2)/25)*MD4+(1-EXP(-LN(2)/25))/(LN(2)/25)*Calculateur!LY5*Calculateur!MA5*VLOOKUP('Données projet'!$B$24,Paramètres!$A$1:$I$89,3,0)*0.475*44/12</f>
        <v>0</v>
      </c>
      <c r="ME5" s="21">
        <f>EXP(-LN(2)/2)*ME4+(1-EXP(-LN(2)/2))/(LN(2)/2)*LY5*MB5*VLOOKUP('Données projet'!$B$24,Paramètres!$A$1:$I$89,3,0)*0.475*44/12</f>
        <v>0</v>
      </c>
      <c r="MF5" s="22">
        <f t="shared" ref="MF5:MF67" si="105">SUM(MC5:ME5)</f>
        <v>0</v>
      </c>
      <c r="MG5" s="74">
        <f>('Scénario référence'!$F$8+'Scénario référence'!$F$9+'Scénario référence'!$B$17+'Scénario référence'!$B$9+'Scénario référence'!$B$10)*70+IF((45+25*(1-EXP(-0.0175*$A5)))&lt;70,'Scénario référence'!$B$16*(45+25*(1-EXP(-0.0175*$A5))),70*'Scénario référence'!$B$16)+IF((32+38*(1-EXP(-0.0175*$A5)))&lt;70,'Scénario référence'!$B$18*(32+38*(1-EXP(-0.0175*$A5))),70*'Scénario référence'!$B$18)</f>
        <v>70</v>
      </c>
      <c r="MH5" s="12">
        <f>IF($A5&gt;30,10,('Scénario référence'!$B$16+'Scénario référence'!$B$17+'Scénario référence'!$B$18+'Scénario référence'!$B$9+'Scénario référence'!$B$10)*$A5*10/30+('Scénario référence'!$F$8+'Scénario référence'!$F$9)*10)</f>
        <v>10</v>
      </c>
      <c r="MI5" s="12" t="e">
        <f>VLOOKUP($A5,'Données projet'!$A$460:$I$480,2,0)</f>
        <v>#N/A</v>
      </c>
      <c r="MJ5" s="12" t="e">
        <f>VLOOKUP($A5,'Données projet'!$A$460:$I$480,9,0)</f>
        <v>#N/A</v>
      </c>
      <c r="MK5" s="12">
        <f t="array" ref="MK5">INDEX(MJ:MJ,MIN(IF(ISNUMBER(MJ5:MJ201),ROW(MJ5:MJ201),"")))</f>
        <v>0</v>
      </c>
      <c r="ML5" s="12">
        <f>IF('Données projet'!$A$460&gt;35,ML4+MK5-MT4,IF($A5&lt;'Données projet'!$A$460,$CQ$205^$A5,IF($A5='Données projet'!$A$460,'Données projet'!$B$460,ML4+MK5-MT4)))</f>
        <v>0</v>
      </c>
      <c r="MM5" s="17" t="e">
        <f>ML5*VLOOKUP('Données projet'!$B$25,Paramètres!$A$1:$I$89,3,0)*VLOOKUP('Données projet'!$B$25,Paramètres!$A$1:$I$89,5,0)</f>
        <v>#N/A</v>
      </c>
      <c r="MN5" s="13" t="e">
        <f t="shared" ref="MN5:MN68" si="106">EXP(-1.0587+0.8836*LN(MM5)+0.284)</f>
        <v>#N/A</v>
      </c>
      <c r="MO5" s="14" t="e">
        <f t="shared" si="49"/>
        <v>#N/A</v>
      </c>
      <c r="MP5" s="59" t="e">
        <f t="shared" si="50"/>
        <v>#N/A</v>
      </c>
      <c r="MQ5" s="20" t="e">
        <f ca="1">AVERAGE(OFFSET($MP$3,0,0,'Données projet'!$E$25+1,1))-AVERAGE(OFFSET($H$3,0,0,'Données projet'!$E$25+1,1))</f>
        <v>#N/A</v>
      </c>
      <c r="MR5" s="59" t="e">
        <f t="shared" ref="MR5:MR68" si="107">MR$3</f>
        <v>#N/A</v>
      </c>
      <c r="MS5" s="15">
        <f>IF(ISNA(VLOOKUP($A5,'Données projet'!$A$460:$I$480,3,0)),0,VLOOKUP($A5,'Données projet'!$A$460:$I$480,3,0))</f>
        <v>0</v>
      </c>
      <c r="MT5" s="15">
        <f>IF(ISNA(VLOOKUP($A5,'Données projet'!$A$460:$I$480,4,0)),0,VLOOKUP($A5,'Données projet'!$A$460:$I$480,4,0))</f>
        <v>0</v>
      </c>
      <c r="MU5" s="16">
        <f>IF(ISNA(VLOOKUP($A5,'Données projet'!$A$460:$I$480,5,0)),0%,VLOOKUP($A5,'Données projet'!$A$460:$I$480,5,0)*VLOOKUP('Données projet'!$B$25,Paramètres!$A$1:$I$89,7,0))</f>
        <v>0</v>
      </c>
      <c r="MV5" s="16">
        <f>IF(ISNA(VLOOKUP($A5,'Données projet'!$A$460:$I$480,6,0)),0%,VLOOKUP($A5,'Données projet'!$A$460:$I$480,6,0)*VLOOKUP('Données projet'!$B$25,Paramètres!$A$1:$I$89,7,0))</f>
        <v>0</v>
      </c>
      <c r="MW5" s="16">
        <f>IF(ISNA(VLOOKUP($A5,'Données projet'!$A$460:$I$480,7,0)),0%,VLOOKUP($A5,'Données projet'!$A$460:$I$480,7,0))</f>
        <v>0</v>
      </c>
      <c r="MX5" s="21" t="e">
        <f>EXP(-LN(2)/35)*MX4+(1-EXP(-LN(2)/35))/(LN(2)/35)*MT5*MU5*VLOOKUP('Données projet'!$B$25,Paramètres!$A$1:$I$89,3,0)*0.475*44/12</f>
        <v>#N/A</v>
      </c>
      <c r="MY5" s="21" t="e">
        <f>EXP(-LN(2)/25)*MY4+(1-EXP(-LN(2)/25))/(LN(2)/25)*Calculateur!MT5*Calculateur!MV5*VLOOKUP('Données projet'!$B$25,Paramètres!$A$1:$I$89,3,0)*0.475*44/12</f>
        <v>#N/A</v>
      </c>
      <c r="MZ5" s="21" t="e">
        <f>EXP(-LN(2)/2)*MZ4+(1-EXP(-LN(2)/2))/(LN(2)/2)*MT5*MW5*VLOOKUP('Données projet'!$B$25,Paramètres!$A$1:$I$89,3,0)*0.475*44/12</f>
        <v>#N/A</v>
      </c>
      <c r="NA5" s="22" t="e">
        <f t="shared" ref="NA5:NA67" si="108">SUM(MX5:MZ5)</f>
        <v>#N/A</v>
      </c>
      <c r="NB5" s="74">
        <f>('Scénario référence'!$F$8+'Scénario référence'!$F$9+'Scénario référence'!$B$17+'Scénario référence'!$B$9+'Scénario référence'!$B$10)*70+IF((45+25*(1-EXP(-0.0175*$A5)))&lt;70,'Scénario référence'!$B$16*(45+25*(1-EXP(-0.0175*$A5))),70*'Scénario référence'!$B$16)+IF((32+38*(1-EXP(-0.0175*$A5)))&lt;70,'Scénario référence'!$B$18*(32+38*(1-EXP(-0.0175*$A5))),70*'Scénario référence'!$B$18)</f>
        <v>70</v>
      </c>
      <c r="NC5" s="12">
        <f>IF($A5&gt;30,10,('Scénario référence'!$B$16+'Scénario référence'!$B$17+'Scénario référence'!$B$18+'Scénario référence'!$B$9+'Scénario référence'!$B$10)*$A5*10/30+('Scénario référence'!$F$8+'Scénario référence'!$F$9)*10)</f>
        <v>10</v>
      </c>
      <c r="ND5" s="12" t="e">
        <f>VLOOKUP($A5,'Données projet'!$A$486:$I$506,2,0)</f>
        <v>#N/A</v>
      </c>
      <c r="NE5" s="12" t="e">
        <f>VLOOKUP($A5,'Données projet'!$A$486:$I$506,9,0)</f>
        <v>#N/A</v>
      </c>
      <c r="NF5" s="12">
        <f t="array" ref="NF5">INDEX(NE:NE,MIN(IF(ISNUMBER(NE5:NE201),ROW(NE5:NE201),"")))</f>
        <v>0</v>
      </c>
      <c r="NG5" s="12">
        <f>IF('Données projet'!$A$486&gt;35,NG4+NF5-NO4,IF($A5&lt;'Données projet'!$A$486,$CQ$205^$A5,IF($A5='Données projet'!$A$486,'Données projet'!$B$486,NG4+NF5-NO4)))</f>
        <v>0</v>
      </c>
      <c r="NH5" s="17" t="e">
        <f>NG5*VLOOKUP('Données projet'!$B$26,Paramètres!$A$1:$I$89,3,0)*VLOOKUP('Données projet'!$B$26,Paramètres!$A$1:$I$89,5,0)</f>
        <v>#N/A</v>
      </c>
      <c r="NI5" s="13" t="e">
        <f t="shared" ref="NI5:NI68" si="109">EXP(-1.0587+0.8836*LN(NH5)+0.284)</f>
        <v>#N/A</v>
      </c>
      <c r="NJ5" s="14" t="e">
        <f t="shared" si="52"/>
        <v>#N/A</v>
      </c>
      <c r="NK5" s="59" t="e">
        <f t="shared" si="53"/>
        <v>#N/A</v>
      </c>
      <c r="NL5" s="20" t="e">
        <f ca="1">AVERAGE(OFFSET($NK$3,0,0,'Données projet'!$E$26+1,1))-AVERAGE(OFFSET($H$3,0,0,'Données projet'!$E$26+1,1))</f>
        <v>#N/A</v>
      </c>
      <c r="NM5" s="59" t="e">
        <f t="shared" ref="NM5:NM68" si="110">NM$3</f>
        <v>#N/A</v>
      </c>
      <c r="NN5" s="15">
        <f>IF(ISNA(VLOOKUP($A5,'Données projet'!$A$486:$I$506,3,0)),0,VLOOKUP($A5,'Données projet'!$A$486:$I$506,3,0))</f>
        <v>0</v>
      </c>
      <c r="NO5" s="15">
        <f>IF(ISNA(VLOOKUP($A5,'Données projet'!$A$486:$I$506,4,0)),0,VLOOKUP($A5,'Données projet'!$A$486:$I$506,4,0))</f>
        <v>0</v>
      </c>
      <c r="NP5" s="16">
        <f>IF(ISNA(VLOOKUP($A5,'Données projet'!$A$486:$I$506,5,0)),0%,VLOOKUP($A5,'Données projet'!$A$486:$I$506,5,0)*VLOOKUP('Données projet'!$B$26,Paramètres!$A$1:$I$89,7,0))</f>
        <v>0</v>
      </c>
      <c r="NQ5" s="16">
        <f>IF(ISNA(VLOOKUP($A5,'Données projet'!$A$486:$I$506,6,0)),0%,VLOOKUP($A5,'Données projet'!$A$486:$I$506,6,0)*VLOOKUP('Données projet'!$B$26,Paramètres!$A$1:$I$89,7,0))</f>
        <v>0</v>
      </c>
      <c r="NR5" s="16">
        <f>IF(ISNA(VLOOKUP($A5,'Données projet'!$A$486:$I$506,7,0)),0%,VLOOKUP($A5,'Données projet'!$A$486:$I$506,7,0))</f>
        <v>0</v>
      </c>
      <c r="NS5" s="21" t="e">
        <f>EXP(-LN(2)/35)*NS4+(1-EXP(-LN(2)/35))/(LN(2)/35)*NO5*NP5*VLOOKUP('Données projet'!$B$26,Paramètres!$A$1:$I$89,3,0)*0.475*44/12</f>
        <v>#N/A</v>
      </c>
      <c r="NT5" s="21" t="e">
        <f>EXP(-LN(2)/25)*NT4+(1-EXP(-LN(2)/25))/(LN(2)/25)*Calculateur!NO5*Calculateur!NQ5*VLOOKUP('Données projet'!$B$26,Paramètres!$A$1:$I$89,3,0)*0.475*44/12</f>
        <v>#N/A</v>
      </c>
      <c r="NU5" s="21" t="e">
        <f>EXP(-LN(2)/2)*NU4+(1-EXP(-LN(2)/2))/(LN(2)/2)*NO5*NR5*VLOOKUP('Données projet'!$B$26,Paramètres!$A$1:$I$89,3,0)*0.475*44/12</f>
        <v>#N/A</v>
      </c>
      <c r="NV5" s="22" t="e">
        <f t="shared" ref="NV5:NV67" si="111">SUM(NS5:NU5)</f>
        <v>#N/A</v>
      </c>
      <c r="NW5" s="74">
        <f>('Scénario référence'!$F$8+'Scénario référence'!$F$9+'Scénario référence'!$B$17+'Scénario référence'!$B$9+'Scénario référence'!$B$10)*70+IF((45+25*(1-EXP(-0.0175*$A5)))&lt;70,'Scénario référence'!$B$16*(45+25*(1-EXP(-0.0175*$A5))),70*'Scénario référence'!$B$16)+IF((32+38*(1-EXP(-0.0175*$A5)))&lt;70,'Scénario référence'!$B$18*(32+38*(1-EXP(-0.0175*$A5))),70*'Scénario référence'!$B$18)</f>
        <v>70</v>
      </c>
      <c r="NX5" s="12">
        <f>IF($A5&gt;30,10,('Scénario référence'!$B$16+'Scénario référence'!$B$17+'Scénario référence'!$B$18+'Scénario référence'!$B$9+'Scénario référence'!$B$10)*$A5*10/30+('Scénario référence'!$F$8+'Scénario référence'!$F$9)*10)</f>
        <v>10</v>
      </c>
      <c r="NY5" s="12" t="e">
        <f>VLOOKUP($A5,'Données projet'!$A$512:$I$532,2,0)</f>
        <v>#N/A</v>
      </c>
      <c r="NZ5" s="12" t="e">
        <f>VLOOKUP($A5,'Données projet'!$A$512:$I$532,9,0)</f>
        <v>#N/A</v>
      </c>
      <c r="OA5" s="12">
        <f t="array" ref="OA5">INDEX(NZ:NZ,MIN(IF(ISNUMBER(NZ5:NZ201),ROW(NZ5:NZ201),"")))</f>
        <v>0</v>
      </c>
      <c r="OB5" s="12">
        <f>IF('Données projet'!$A$512&gt;35,OB4+OA5-OJ4,IF($A5&lt;'Données projet'!$A$512,$CQ$205^$A5,IF($A5='Données projet'!$A$512,'Données projet'!$B$512,OB4+OA5-OJ4)))</f>
        <v>0</v>
      </c>
      <c r="OC5" s="17" t="e">
        <f>OB5*VLOOKUP('Données projet'!$B$27,Paramètres!$A$1:$I$89,3,0)*VLOOKUP('Données projet'!$B$27,Paramètres!$A$1:$I$89,5,0)</f>
        <v>#N/A</v>
      </c>
      <c r="OD5" s="13" t="e">
        <f t="shared" ref="OD5:OD68" si="112">EXP(-1.0587+0.8836*LN(OC5)+0.284)</f>
        <v>#N/A</v>
      </c>
      <c r="OE5" s="14" t="e">
        <f t="shared" si="55"/>
        <v>#N/A</v>
      </c>
      <c r="OF5" s="59" t="e">
        <f t="shared" si="56"/>
        <v>#N/A</v>
      </c>
      <c r="OG5" s="20" t="e">
        <f ca="1">AVERAGE(OFFSET($OF$3,0,0,'Données projet'!$E$27+1,1))-AVERAGE(OFFSET($H$3,0,0,'Données projet'!$E$27+1,1))</f>
        <v>#N/A</v>
      </c>
      <c r="OH5" s="59" t="e">
        <f t="shared" ref="OH5:OH68" si="113">OH$3</f>
        <v>#N/A</v>
      </c>
      <c r="OI5" s="15">
        <f>IF(ISNA(VLOOKUP($A5,'Données projet'!$A$512:$I$532,3,0)),0,VLOOKUP($A5,'Données projet'!$A$512:$I$532,3,0))</f>
        <v>0</v>
      </c>
      <c r="OJ5" s="15">
        <f>IF(ISNA(VLOOKUP($A5,'Données projet'!$A$512:$I$532,4,0)),0,VLOOKUP($A5,'Données projet'!$A$512:$I$532,4,0))</f>
        <v>0</v>
      </c>
      <c r="OK5" s="16">
        <f>IF(ISNA(VLOOKUP($A5,'Données projet'!$A$512:$I$532,5,0)),0%,VLOOKUP($A5,'Données projet'!$A$512:$I$532,5,0)*VLOOKUP('Données projet'!$B$27,Paramètres!$A$1:$I$89,7,0))</f>
        <v>0</v>
      </c>
      <c r="OL5" s="16">
        <f>IF(ISNA(VLOOKUP($A5,'Données projet'!$A$512:$I$532,6,0)),0%,VLOOKUP($A5,'Données projet'!$A$512:$I$532,6,0)*VLOOKUP('Données projet'!$B$27,Paramètres!$A$1:$I$89,7,0))</f>
        <v>0</v>
      </c>
      <c r="OM5" s="16">
        <f>IF(ISNA(VLOOKUP($A5,'Données projet'!$A$512:$I$532,7,0)),0%,VLOOKUP($A5,'Données projet'!$A$512:$I$532,7,0))</f>
        <v>0</v>
      </c>
      <c r="ON5" s="21" t="e">
        <f>EXP(-LN(2)/35)*ON4+(1-EXP(-LN(2)/35))/(LN(2)/35)*OJ5*OK5*VLOOKUP('Données projet'!$B$27,Paramètres!$A$1:$I$89,3,0)*0.475*44/12</f>
        <v>#N/A</v>
      </c>
      <c r="OO5" s="21" t="e">
        <f>EXP(-LN(2)/25)*OO4+(1-EXP(-LN(2)/25))/(LN(2)/25)*Calculateur!OJ5*Calculateur!OL5*VLOOKUP('Données projet'!$B$27,Paramètres!$A$1:$I$89,3,0)*0.475*44/12</f>
        <v>#N/A</v>
      </c>
      <c r="OP5" s="21" t="e">
        <f>EXP(-LN(2)/2)*OP4+(1-EXP(-LN(2)/2))/(LN(2)/2)*OJ5*OM5*VLOOKUP('Données projet'!$B$27,Paramètres!$A$1:$I$89,3,0)*0.475*44/12</f>
        <v>#N/A</v>
      </c>
      <c r="OQ5" s="22" t="e">
        <f t="shared" ref="OQ5:OQ67" si="114">SUM(ON5:OP5)</f>
        <v>#N/A</v>
      </c>
      <c r="OR5" s="74">
        <f>('Scénario référence'!$F$8+'Scénario référence'!$F$9+'Scénario référence'!$B$17+'Scénario référence'!$B$9+'Scénario référence'!$B$10)*70+IF((45+25*(1-EXP(-0.0175*$A5)))&lt;70,'Scénario référence'!$B$16*(45+25*(1-EXP(-0.0175*$A5))),70*'Scénario référence'!$B$16)+IF((32+38*(1-EXP(-0.0175*$A5)))&lt;70,'Scénario référence'!$B$18*(32+38*(1-EXP(-0.0175*$A5))),70*'Scénario référence'!$B$18)</f>
        <v>70</v>
      </c>
      <c r="OS5" s="12">
        <f>IF($A5&gt;30,10,('Scénario référence'!$B$16+'Scénario référence'!$B$17+'Scénario référence'!$B$18+'Scénario référence'!$B$9+'Scénario référence'!$B$10)*$A5*10/30+('Scénario référence'!$F$8+'Scénario référence'!$F$9)*10)</f>
        <v>10</v>
      </c>
      <c r="OT5" s="12" t="e">
        <f>VLOOKUP($A5,'Données projet'!$A$538:$I$558,2,0)</f>
        <v>#N/A</v>
      </c>
      <c r="OU5" s="12" t="e">
        <f>VLOOKUP($A5,'Données projet'!$A$538:$I$558,9,0)</f>
        <v>#N/A</v>
      </c>
      <c r="OV5" s="12">
        <f t="array" ref="OV5">INDEX(OU:OU,MIN(IF(ISNUMBER(OU5:OU201),ROW(OU5:OU201),"")))</f>
        <v>0</v>
      </c>
      <c r="OW5" s="12">
        <f>IF('Données projet'!$A$538&gt;35,OW4+OV5-PE4,IF($A5&lt;'Données projet'!$A$538,$CQ$205^$A5,IF($A5='Données projet'!$A$538,'Données projet'!$B$538,OW4+OV5-PE4)))</f>
        <v>0</v>
      </c>
      <c r="OX5" s="17" t="e">
        <f>OW5*VLOOKUP('Données projet'!$B$28,Paramètres!$A$1:$I$89,3,0)*VLOOKUP('Données projet'!$B$28,Paramètres!$A$1:$I$89,5,0)</f>
        <v>#N/A</v>
      </c>
      <c r="OY5" s="13" t="e">
        <f t="shared" ref="OY5:OY68" si="115">EXP(-1.0587+0.8836*LN(OX5)+0.284)</f>
        <v>#N/A</v>
      </c>
      <c r="OZ5" s="14" t="e">
        <f t="shared" si="58"/>
        <v>#N/A</v>
      </c>
      <c r="PA5" s="59" t="e">
        <f t="shared" si="59"/>
        <v>#N/A</v>
      </c>
      <c r="PB5" s="20" t="e">
        <f ca="1">AVERAGE(OFFSET($PA$3,0,0,'Données projet'!$E$28+1,1))-AVERAGE(OFFSET($H$3,0,0,'Données projet'!$E$28+1,1))</f>
        <v>#N/A</v>
      </c>
      <c r="PC5" s="59" t="e">
        <f t="shared" ref="PC5:PC68" si="116">PC$3</f>
        <v>#N/A</v>
      </c>
      <c r="PD5" s="15">
        <f>IF(ISNA(VLOOKUP($A5,'Données projet'!$A$538:$I$558,3,0)),0,VLOOKUP($A5,'Données projet'!$A$538:$I$558,3,0))</f>
        <v>0</v>
      </c>
      <c r="PE5" s="15">
        <f>IF(ISNA(VLOOKUP($A5,'Données projet'!$A$538:$I$558,4,0)),0,VLOOKUP($A5,'Données projet'!$A$538:$I$558,4,0))</f>
        <v>0</v>
      </c>
      <c r="PF5" s="16">
        <f>IF(ISNA(VLOOKUP($A5,'Données projet'!$A$538:$I$558,5,0)),0%,VLOOKUP($A5,'Données projet'!$A$538:$I$558,5,0)*VLOOKUP('Données projet'!$B$28,Paramètres!$A$1:$I$89,7,0))</f>
        <v>0</v>
      </c>
      <c r="PG5" s="16">
        <f>IF(ISNA(VLOOKUP($A5,'Données projet'!$A$538:$I$558,6,0)),0%,VLOOKUP($A5,'Données projet'!$A$538:$I$558,6,0)*VLOOKUP('Données projet'!$B$28,Paramètres!$A$1:$I$89,7,0))</f>
        <v>0</v>
      </c>
      <c r="PH5" s="16">
        <f>IF(ISNA(VLOOKUP($A5,'Données projet'!$A$538:$I$558,7,0)),0%,VLOOKUP($A5,'Données projet'!$A$538:$I$558,7,0))</f>
        <v>0</v>
      </c>
      <c r="PI5" s="21" t="e">
        <f>EXP(-LN(2)/35)*PI4+(1-EXP(-LN(2)/35))/(LN(2)/35)*PE5*PF5*VLOOKUP('Données projet'!$B$28,Paramètres!$A$1:$I$89,3,0)*0.475*44/12</f>
        <v>#N/A</v>
      </c>
      <c r="PJ5" s="21" t="e">
        <f>EXP(-LN(2)/25)*PJ4+(1-EXP(-LN(2)/25))/(LN(2)/25)*Calculateur!PE5*Calculateur!PG5*VLOOKUP('Données projet'!$B$28,Paramètres!$A$1:$I$89,3,0)*0.475*44/12</f>
        <v>#N/A</v>
      </c>
      <c r="PK5" s="21" t="e">
        <f>EXP(-LN(2)/2)*PK4+(1-EXP(-LN(2)/2))/(LN(2)/2)*PE5*PH5*VLOOKUP('Données projet'!$B$28,Paramètres!$A$1:$I$89,3,0)*0.475*44/12</f>
        <v>#N/A</v>
      </c>
      <c r="PL5" s="22" t="e">
        <f t="shared" ref="PL5:PL67" si="117">SUM(PI5:PK5)</f>
        <v>#N/A</v>
      </c>
    </row>
    <row r="6" spans="1:428" x14ac:dyDescent="0.35">
      <c r="A6" s="10">
        <f t="shared" si="6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6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projet'!$A$45:$I$65,2,0)</f>
        <v>#N/A</v>
      </c>
      <c r="L6" s="12" t="e">
        <f>VLOOKUP(A6,'Données projet'!$A$45:$I$65,9,0)</f>
        <v>#N/A</v>
      </c>
      <c r="M6" s="12">
        <f t="array" ref="M6">INDEX(L:L,MIN(IF(ISNUMBER(L6:L202),ROW(L6:L202),"")))</f>
        <v>10.16068376068376</v>
      </c>
      <c r="N6" s="13">
        <f>IF('Données projet'!$A$46&gt;35,N5+M6-V5,IF(A6&lt;'Données projet'!$A$46,$K$205^A6,IF(A6='Données projet'!$A$46,'Données projet'!$B$46,N5+M6-V5)))</f>
        <v>2.3824981566543406</v>
      </c>
      <c r="O6" s="13">
        <f>N6*VLOOKUP('Données projet'!$B$9,Paramètres!$A$1:$I$89,3,0)*VLOOKUP('Données projet'!$B$9,Paramètres!$A$1:$I$89,5,0)</f>
        <v>1.3318164695697763</v>
      </c>
      <c r="P6" s="13">
        <f t="shared" si="63"/>
        <v>0.59362354768914927</v>
      </c>
      <c r="Q6" s="20">
        <f t="shared" si="2"/>
        <v>3.3534746967259621</v>
      </c>
      <c r="R6" s="59">
        <f t="shared" si="0"/>
        <v>296.6868080300593</v>
      </c>
      <c r="S6" s="59">
        <f ca="1">AVERAGE(OFFSET($R$3,0,0,'Données projet'!$E$9+1,1))-AVERAGE(OFFSET($H$3,0,0,'Données projet'!$E$9+1,1))</f>
        <v>274.57619581652199</v>
      </c>
      <c r="T6" s="59">
        <f t="shared" si="64"/>
        <v>366.15117322598775</v>
      </c>
      <c r="U6" s="15">
        <f>IF(ISNA(VLOOKUP(A6,'Données projet'!$A$45:$I$65,3,0)),0,VLOOKUP(A6,'Données projet'!$A$45:$I$65,3,0))</f>
        <v>0</v>
      </c>
      <c r="V6" s="15">
        <f>IF(ISNA(VLOOKUP(A6,'Données projet'!$A$45:$I$65,4,0)),0,VLOOKUP(A6,'Données projet'!$A$45:$I$65,4,0))</f>
        <v>0</v>
      </c>
      <c r="W6" s="16">
        <f>IF(ISNA(VLOOKUP(A6,'Données projet'!$A$45:$I$65,5,0)),0%,VLOOKUP(A6,'Données projet'!$A$45:$I$65,5,0)*VLOOKUP('Données projet'!$B$9,Paramètres!$A$1:$I$89,7,0))</f>
        <v>0</v>
      </c>
      <c r="X6" s="16">
        <f>IF(ISNA(VLOOKUP(A6,'Données projet'!$A$45:$I$65,6,0)),0%,VLOOKUP(A6,'Données projet'!$A$45:$I$65,6,0)*VLOOKUP('Données projet'!$B$9,Paramètres!$A$1:$I$89,7,0))</f>
        <v>0</v>
      </c>
      <c r="Y6" s="16">
        <f>IF(ISNA(VLOOKUP(A6,'Données projet'!$A$45:$I$65,7,0)),0%,VLOOKUP(A6,'Données projet'!$A$45:$I$65,7,0))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projet'!$A$71:$I$91,2,0)</f>
        <v>#N/A</v>
      </c>
      <c r="AG6" s="12" t="e">
        <f>VLOOKUP(A6,'Données projet'!$A$71:$I$91,9,0)</f>
        <v>#N/A</v>
      </c>
      <c r="AH6" s="12">
        <f t="array" ref="AH6">INDEX(AG:AG,MIN(IF(ISNUMBER(AG6:AG202),ROW(AG6:AG202),"")))</f>
        <v>4.0628205128205126</v>
      </c>
      <c r="AI6" s="13">
        <f>IF('Données projet'!$A$72&gt;35,AI5+AH6-AQ5,IF(A6&lt;'Données projet'!$A$72,$AF$205^A6,IF(A6='Données projet'!$A$72,'Données projet'!$B$72,AI5+AH6-AQ5)))</f>
        <v>1.6165713926559588</v>
      </c>
      <c r="AJ6" s="13">
        <f>AI6*VLOOKUP('Données projet'!$B$10,Paramètres!$A$1:$I$89,3,0)*VLOOKUP('Données projet'!$B$10,Paramètres!$A$1:$I$89,5,0)</f>
        <v>1.4626737960751115</v>
      </c>
      <c r="AK6" s="13">
        <f t="shared" si="65"/>
        <v>0.64487624467855742</v>
      </c>
      <c r="AL6" s="20">
        <f t="shared" si="4"/>
        <v>3.6706496543126392</v>
      </c>
      <c r="AM6" s="59">
        <f t="shared" si="5"/>
        <v>297.00398298764594</v>
      </c>
      <c r="AN6" s="59">
        <f ca="1">AVERAGE(OFFSET($AM$3,0,0,'Données projet'!$E$10+1,1))-AVERAGE(OFFSET($H$3,0,0,'Données projet'!$E$10+1,1))</f>
        <v>270.87836509222456</v>
      </c>
      <c r="AO6" s="59">
        <f t="shared" si="66"/>
        <v>205.24998237949734</v>
      </c>
      <c r="AP6" s="15">
        <f>IF(ISNA(VLOOKUP(A6,'Données projet'!$A$71:$I$91,3,0)),0,VLOOKUP(A6,'Données projet'!$A$71:$I$91,3,0))</f>
        <v>0</v>
      </c>
      <c r="AQ6" s="15">
        <f>IF(ISNA(VLOOKUP(A6,'Données projet'!$A$71:$I$91,4,0)),0,VLOOKUP(A6,'Données projet'!$A$71:$I$91,4,0))</f>
        <v>0</v>
      </c>
      <c r="AR6" s="16">
        <f>IF(ISNA(VLOOKUP(A6,'Données projet'!$A$71:$I$91,5,0)),0%,VLOOKUP(A6,'Données projet'!$A$71:$I$91,5,0)*VLOOKUP('Données projet'!$B$10,Paramètres!$A$1:$I$89,7,0))</f>
        <v>0</v>
      </c>
      <c r="AS6" s="16">
        <f>IF(ISNA(VLOOKUP(A6,'Données projet'!$A$71:$I$91,6,0)),0%,VLOOKUP(A6,'Données projet'!$A$71:$I$91,6,0)*VLOOKUP('Données projet'!$B$10,Paramètres!$A$1:$I$89,7,0))</f>
        <v>0</v>
      </c>
      <c r="AT6" s="16">
        <f>IF(ISNA(VLOOKUP(A6,'Données projet'!$A$71:$I$91,7,0)),0%,VLOOKUP(A6,'Données projet'!$A$71:$I$91,7,0))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projet'!$A$97:$I$117,2,0)</f>
        <v>#N/A</v>
      </c>
      <c r="BB6" s="12" t="e">
        <f>VLOOKUP(A6,'Données projet'!$A$97:$I$117,9,0)</f>
        <v>#N/A</v>
      </c>
      <c r="BC6" s="12">
        <f t="array" ref="BC6">INDEX(BB:BB,MIN(IF(ISNUMBER(BB6:BB202),ROW(BB6:BB202),"")))</f>
        <v>10.16068376068376</v>
      </c>
      <c r="BD6" s="12">
        <f>IF('Données projet'!$A$98&gt;35,BD5+BC6-BL5,IF(A6&lt;'Données projet'!$A$98,$BA$205^A6,IF(A6='Données projet'!$A$98,'Données projet'!$B$98,BD5+BC6-BL5)))</f>
        <v>2.3824981566543406</v>
      </c>
      <c r="BE6" s="13">
        <f>BD6*VLOOKUP('Données projet'!$B$11,Paramètres!$A$1:$I$89,3,0)*VLOOKUP('Données projet'!$B$11,Paramètres!$A$1:$I$89,5,0)</f>
        <v>1.0530641852412186</v>
      </c>
      <c r="BF6" s="13">
        <f t="shared" si="67"/>
        <v>0.48238429922817316</v>
      </c>
      <c r="BG6" s="20">
        <f t="shared" si="7"/>
        <v>2.6742394437841903</v>
      </c>
      <c r="BH6" s="59">
        <f t="shared" si="8"/>
        <v>296.0075727771175</v>
      </c>
      <c r="BI6" s="59">
        <f ca="1">AVERAGE(OFFSET($BH$3,0,0,'Données projet'!$E$11+1,1))-AVERAGE(OFFSET($H$3,0,0,'Données projet'!$E$11+1,1))</f>
        <v>211.31057120485542</v>
      </c>
      <c r="BJ6" s="59">
        <f t="shared" si="68"/>
        <v>283.33292006714777</v>
      </c>
      <c r="BK6" s="15">
        <f>IF(ISNA(VLOOKUP(A6,'Données projet'!$A$97:$I$117,3,0)),0,VLOOKUP(A6,'Données projet'!$A$97:$I$117,3,0))</f>
        <v>0</v>
      </c>
      <c r="BL6" s="15">
        <f>IF(ISNA(VLOOKUP(A6,'Données projet'!$A$97:$I$117,4,0)),0,VLOOKUP(A6,'Données projet'!$A$97:$I$117,4,0))</f>
        <v>0</v>
      </c>
      <c r="BM6" s="16">
        <f>IF(ISNA(VLOOKUP(A6,'Données projet'!$A$97:$I$117,5,0)),0%,VLOOKUP(A6,'Données projet'!$A$97:$I$117,5,0)*VLOOKUP('Données projet'!$B$11,Paramètres!$A$1:$I$89,7,0))</f>
        <v>0</v>
      </c>
      <c r="BN6" s="16">
        <f>IF(ISNA(VLOOKUP(A6,'Données projet'!$A$97:$I$117,6,0)),0%,VLOOKUP(A6,'Données projet'!$A$97:$I$117,6,0)*VLOOKUP('Données projet'!$B$11,Paramètres!$A$1:$I$89,7,0))</f>
        <v>0</v>
      </c>
      <c r="BO6" s="16">
        <f>IF(ISNA(VLOOKUP(A6,'Données projet'!$A$97:$I$117,7,0)),0%,VLOOKUP(A6,'Données projet'!$A$97:$I$117,7,0))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projet'!$A$123:$I$143,2,0)</f>
        <v>#N/A</v>
      </c>
      <c r="BW6" s="12" t="e">
        <f>VLOOKUP(A6,'Données projet'!$A$123:$I$143,9,0)</f>
        <v>#N/A</v>
      </c>
      <c r="BX6" s="12">
        <f t="array" ref="BX6">INDEX(BW:BW,MIN(IF(ISNUMBER(BW6:BW202),ROW(BW6:BW202),"")))</f>
        <v>2.9</v>
      </c>
      <c r="BY6" s="12">
        <f>IF('Données projet'!$A$124&gt;35,BY5+BX6-CG5,IF(A6&lt;'Données projet'!$A$124,$BV$205^A6,IF(A6='Données projet'!$A$124,'Données projet'!$B$124,BY5+BX6-CG5)))</f>
        <v>2.7461192933624794</v>
      </c>
      <c r="BZ6" s="13">
        <f>BY6*VLOOKUP('Données projet'!$B$12,Paramètres!$A$1:$I$89,3,0)*VLOOKUP('Données projet'!$B$12,Paramètres!$A$1:$I$89,5,0)</f>
        <v>2.8702438854224637</v>
      </c>
      <c r="CA6" s="13">
        <f t="shared" si="69"/>
        <v>1.1699548899103622</v>
      </c>
      <c r="CB6" s="20">
        <f t="shared" si="10"/>
        <v>7.036679533704671</v>
      </c>
      <c r="CC6" s="59">
        <f t="shared" si="11"/>
        <v>300.37001286703799</v>
      </c>
      <c r="CD6" s="59">
        <f ca="1">AVERAGE(OFFSET($CC$3,0,0,'Données projet'!$E$12+1,1))-AVERAGE(OFFSET($H$3,0,0,'Données projet'!$E$12+1,1))</f>
        <v>322.93502595881938</v>
      </c>
      <c r="CE6" s="59">
        <f t="shared" si="70"/>
        <v>302.67072119588164</v>
      </c>
      <c r="CF6" s="15">
        <f>IF(ISNA(VLOOKUP(A6,'Données projet'!$A$123:$I$143,3,0)),0,VLOOKUP(A6,'Données projet'!$A$123:$I$143,3,0))</f>
        <v>0</v>
      </c>
      <c r="CG6" s="15">
        <f>IF(ISNA(VLOOKUP(A6,'Données projet'!$A$123:$I$143,4,0)),0,VLOOKUP(A6,'Données projet'!$A$123:$I$143,4,0))</f>
        <v>0</v>
      </c>
      <c r="CH6" s="16">
        <f>IF(ISNA(VLOOKUP(A6,'Données projet'!$A$123:$I$143,5,0)),0%,VLOOKUP(A6,'Données projet'!$A$123:$I$143,5,0)*VLOOKUP('Données projet'!$B$12,Paramètres!$A$1:$I$89,7,0))</f>
        <v>0</v>
      </c>
      <c r="CI6" s="16">
        <f>IF(ISNA(VLOOKUP(A6,'Données projet'!$A$123:$I$143,6,0)),0%,VLOOKUP(A6,'Données projet'!$A$123:$I$143,6,0)*VLOOKUP('Données projet'!$B$12,Paramètres!$A$1:$I$89,7,0))</f>
        <v>0</v>
      </c>
      <c r="CJ6" s="16">
        <f>IF(ISNA(VLOOKUP(A6,'Données projet'!$A$123:$I$143,7,0)),0%,VLOOKUP(A6,'Données projet'!$A$123:$I$143,7,0))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projet'!$A$149:$I$169,2,0)</f>
        <v>#N/A</v>
      </c>
      <c r="CR6" s="12" t="e">
        <f>VLOOKUP(A6,'Données projet'!$A$149:$I$169,9,0)</f>
        <v>#N/A</v>
      </c>
      <c r="CS6" s="12">
        <f t="array" ref="CS6">INDEX(CR:CR,MIN(IF(ISNUMBER(CR6:CR202),ROW(CR6:CR202),"")))</f>
        <v>2.9235042735042733</v>
      </c>
      <c r="CT6" s="12">
        <f>IF('Données projet'!$A$150&gt;35,CT5+CS6-DB5,IF(A6&lt;'Données projet'!$A$150,$CQ$205^A6,IF(A6='Données projet'!$A$150,'Données projet'!$B$150,CT5+CS6-DB5)))</f>
        <v>1.5642367998361231</v>
      </c>
      <c r="CU6" s="17">
        <f>CT6*VLOOKUP('Données projet'!$B$13,Paramètres!$A$1:$I$89,3,0)*VLOOKUP('Données projet'!$B$13,Paramètres!$A$1:$I$89,5,0)</f>
        <v>1.5861361150338289</v>
      </c>
      <c r="CV6" s="13">
        <f t="shared" si="71"/>
        <v>0.69274418641277524</v>
      </c>
      <c r="CW6" s="20">
        <f t="shared" si="13"/>
        <v>3.969049858352836</v>
      </c>
      <c r="CX6" s="59">
        <f t="shared" si="14"/>
        <v>297.30238319168615</v>
      </c>
      <c r="CY6" s="59">
        <f ca="1">AVERAGE(OFFSET($CX$3,0,0,'Données projet'!$E$13+1,1))-AVERAGE(OFFSET($H$3,0,0,'Données projet'!$E$13+1,1))</f>
        <v>250.31277422753283</v>
      </c>
      <c r="CZ6" s="59">
        <f t="shared" si="72"/>
        <v>159.20429420478047</v>
      </c>
      <c r="DA6" s="15">
        <f>IF(ISNA(VLOOKUP(A6,'Données projet'!$A$149:$I$169,3,0)),0,VLOOKUP(A6,'Données projet'!$A$149:$I$169,3,0))</f>
        <v>0</v>
      </c>
      <c r="DB6" s="15">
        <f>IF(ISNA(VLOOKUP(A6,'Données projet'!$A$149:$I$169,4,0)),0,VLOOKUP(A6,'Données projet'!$A$149:$I$169,4,0))</f>
        <v>0</v>
      </c>
      <c r="DC6" s="16">
        <f>IF(ISNA(VLOOKUP(A6,'Données projet'!$A$149:$I$169,5,0)),0%,VLOOKUP(A6,'Données projet'!$A$149:$I$169,5,0)*VLOOKUP('Données projet'!$B$13,Paramètres!$A$1:$I$89,7,0))</f>
        <v>0</v>
      </c>
      <c r="DD6" s="16">
        <f>IF(ISNA(VLOOKUP(A6,'Données projet'!$A$149:$I$169,6,0)),0%,VLOOKUP(A6,'Données projet'!$A$149:$I$169,6,0)*VLOOKUP('Données projet'!$B$13,Paramètres!$A$1:$I$89,7,0))</f>
        <v>0</v>
      </c>
      <c r="DE6" s="16">
        <f>IF(ISNA(VLOOKUP(A6,'Données projet'!$A$149:$I$169,7,0)),0%,VLOOKUP(A6,'Données projet'!$A$149:$I$169,7,0))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projet'!$A$175:$I$195,2,0)</f>
        <v>#N/A</v>
      </c>
      <c r="DM6" s="12" t="e">
        <f>VLOOKUP(A6,'Données projet'!$A$175:$I$195,9,0)</f>
        <v>#N/A</v>
      </c>
      <c r="DN6" s="12">
        <f t="array" ref="DN6">INDEX(DM:DM,MIN(IF(ISNUMBER(DM6:DM202),ROW(DM6:DM202),"")))</f>
        <v>1.9</v>
      </c>
      <c r="DO6" s="12">
        <f>IF('Données projet'!$A$176&gt;35,DO5+DN6-DW5,IF(A6&lt;'Données projet'!$A$176,$DL$205^A6,IF(A6='Données projet'!$A$176,'Données projet'!$B$176,DO5+DN6-DW5)))</f>
        <v>2.4189454814875879</v>
      </c>
      <c r="DP6" s="17">
        <f>DO6*VLOOKUP('Données projet'!$B$14,Paramètres!$A$1:$I$89,3,0)*VLOOKUP('Données projet'!$B$14,Paramètres!$A$1:$I$89,5,0)</f>
        <v>1.7735708270266992</v>
      </c>
      <c r="DQ6" s="13">
        <f t="shared" si="73"/>
        <v>0.76460059525341872</v>
      </c>
      <c r="DR6" s="20">
        <f t="shared" si="16"/>
        <v>4.4206485604712045</v>
      </c>
      <c r="DS6" s="59">
        <f t="shared" si="17"/>
        <v>297.75398189380451</v>
      </c>
      <c r="DT6" s="59">
        <f ca="1">AVERAGE(OFFSET($DS$3,0,0,'Données projet'!$E$14+1,1))-AVERAGE(OFFSET($H$3,0,0,'Données projet'!$E$14+1,1))</f>
        <v>296.91321813251051</v>
      </c>
      <c r="DU6" s="59">
        <f t="shared" si="74"/>
        <v>291.0718079639509</v>
      </c>
      <c r="DV6" s="15">
        <f>IF(ISNA(VLOOKUP(A6,'Données projet'!$A$175:$I$195,3,0)),0,VLOOKUP(A6,'Données projet'!$A$175:$I$195,3,0))</f>
        <v>0</v>
      </c>
      <c r="DW6" s="15">
        <f>IF(ISNA(VLOOKUP(A6,'Données projet'!$A$175:$I$195,4,0)),0,VLOOKUP(A6,'Données projet'!$A$175:$I$195,4,0))</f>
        <v>0</v>
      </c>
      <c r="DX6" s="16">
        <f>IF(ISNA(VLOOKUP(A6,'Données projet'!$A$175:$I$195,5,0)),0%,VLOOKUP(A6,'Données projet'!$A$175:$I$195,5,0)*VLOOKUP('Données projet'!$B$14,Paramètres!$A$1:$I$89,7,0))</f>
        <v>0</v>
      </c>
      <c r="DY6" s="16">
        <f>IF(ISNA(VLOOKUP(A6,'Données projet'!$A$175:$I$195,6,0)),0%,VLOOKUP(A6,'Données projet'!$A$175:$I$195,6,0)*VLOOKUP('Données projet'!$B$14,Paramètres!$A$1:$I$89,7,0))</f>
        <v>0</v>
      </c>
      <c r="DZ6" s="16">
        <f>IF(ISNA(VLOOKUP(A6,'Données projet'!$A$175:$I$195,7,0)),0%,VLOOKUP(A6,'Données projet'!$A$175:$I$195,7,0))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projet'!$A$201:$I$221,2,0)</f>
        <v>#N/A</v>
      </c>
      <c r="EH6" s="12" t="e">
        <f>VLOOKUP(A6,'Données projet'!$A$201:$I$221,9,0)</f>
        <v>#N/A</v>
      </c>
      <c r="EI6" s="12">
        <f t="array" ref="EI6">INDEX(EH:EH,MIN(IF(ISNUMBER(EH6:EH202),ROW(EH6:EH202),"")))</f>
        <v>3.4425641025641025</v>
      </c>
      <c r="EJ6" s="12">
        <f>IF('Données projet'!$A$202&gt;35,EJ5+EI6-ER5,IF(A6&lt;'Données projet'!$A$202,$EG$205^A6,IF(A6='Données projet'!$A$202,'Données projet'!$B$202,EJ5+EI6-ER5)))</f>
        <v>1.590011732927042</v>
      </c>
      <c r="EK6" s="17">
        <f>EJ6*VLOOKUP('Données projet'!$B$15,Paramètres!$A$1:$I$89,3,0)*VLOOKUP('Données projet'!$B$15,Paramètres!$A$1:$I$89,5,0)</f>
        <v>0.7441254910098557</v>
      </c>
      <c r="EL6" s="13">
        <f t="shared" si="75"/>
        <v>0.35492666750402163</v>
      </c>
      <c r="EM6" s="20">
        <f t="shared" si="19"/>
        <v>1.9141825094116696</v>
      </c>
      <c r="EN6" s="59">
        <f t="shared" si="20"/>
        <v>295.24751584274497</v>
      </c>
      <c r="EO6" s="59">
        <f ca="1">AVERAGE(OFFSET($EN$3,0,0,'Données projet'!$E$15+1,1))-AVERAGE(OFFSET($H$3,0,0,'Données projet'!$E$15+1,1))</f>
        <v>147.64256291235483</v>
      </c>
      <c r="EP6" s="59">
        <f t="shared" si="76"/>
        <v>70.859031694091868</v>
      </c>
      <c r="EQ6" s="15">
        <f>IF(ISNA(VLOOKUP(A6,'Données projet'!$A$201:$I$221,3,0)),0,VLOOKUP(A6,'Données projet'!$A$201:$I$221,3,0))</f>
        <v>0</v>
      </c>
      <c r="ER6" s="15">
        <f>IF(ISNA(VLOOKUP(A6,'Données projet'!$A$201:$I$221,4,0)),0,VLOOKUP(A6,'Données projet'!$A$201:$I$221,4,0))</f>
        <v>0</v>
      </c>
      <c r="ES6" s="16">
        <f>IF(ISNA(VLOOKUP(A6,'Données projet'!$A$201:$I$221,5,0)),0%,VLOOKUP(A6,'Données projet'!$A$201:$I$221,5,0)*VLOOKUP('Données projet'!$B$15,Paramètres!$A$1:$I$89,7,0))</f>
        <v>0</v>
      </c>
      <c r="ET6" s="16">
        <f>IF(ISNA(VLOOKUP(A6,'Données projet'!$A$201:$I$221,6,0)),0%,VLOOKUP(A6,'Données projet'!$A$201:$I$221,6,0)*VLOOKUP('Données projet'!$B$15,Paramètres!$A$1:$I$89,7,0))</f>
        <v>0</v>
      </c>
      <c r="EU6" s="16">
        <f>IF(ISNA(VLOOKUP(A6,'Données projet'!$A$201:$I$221,7,0)),0%,VLOOKUP(A6,'Données projet'!$A$201:$I$221,7,0))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projet'!$A$227:$I$247,2,0)</f>
        <v>#N/A</v>
      </c>
      <c r="FC6" s="12" t="e">
        <f>VLOOKUP(A6,'Données projet'!$A$227:$I$247,9,0)</f>
        <v>#N/A</v>
      </c>
      <c r="FD6" s="12">
        <f t="array" ref="FD6">INDEX(FC:FC,MIN(IF(ISNUMBER(FC6:FC202),ROW(FC6:FC202),"")))</f>
        <v>1.8</v>
      </c>
      <c r="FE6" s="12">
        <f>IF('Données projet'!$A$228&gt;35,FE5+FD6-FM5,IF(A6&lt;'Données projet'!$A$228,$FB$205^A6,IF(A6='Données projet'!$A$228,'Données projet'!$B$228,FE5+FD6-FM5)))</f>
        <v>2.3800262745964411</v>
      </c>
      <c r="FF6" s="17">
        <f>FE6*VLOOKUP('Données projet'!$B$16,Paramètres!$A$1:$I$89,3,0)*VLOOKUP('Données projet'!$B$16,Paramètres!$A$1:$I$89,5,0)</f>
        <v>2.4876034622082006</v>
      </c>
      <c r="FG6" s="13">
        <f t="shared" si="77"/>
        <v>1.0310133560416559</v>
      </c>
      <c r="FH6" s="20">
        <f t="shared" si="22"/>
        <v>6.1282576251184997</v>
      </c>
      <c r="FI6" s="59">
        <f t="shared" si="23"/>
        <v>299.46159095845184</v>
      </c>
      <c r="FJ6" s="59">
        <f ca="1">AVERAGE(OFFSET($FI$3,0,0,'Données projet'!$E$16+1,1))-AVERAGE(OFFSET($H$3,0,0,'Données projet'!$E$16+1,1))</f>
        <v>259.03906550253788</v>
      </c>
      <c r="FK6" s="59">
        <f t="shared" si="78"/>
        <v>235.54542903570831</v>
      </c>
      <c r="FL6" s="15">
        <f>IF(ISNA(VLOOKUP(A6,'Données projet'!$A$227:$I$247,3,0)),0,VLOOKUP(A6,'Données projet'!$A$227:$I$247,3,0))</f>
        <v>0</v>
      </c>
      <c r="FM6" s="15">
        <f>IF(ISNA(VLOOKUP(A6,'Données projet'!$A$227:$I$247,4,0)),0,VLOOKUP(A6,'Données projet'!$A$227:$I$247,4,0))</f>
        <v>0</v>
      </c>
      <c r="FN6" s="16">
        <f>IF(ISNA(VLOOKUP(A6,'Données projet'!$A$227:$I$247,5,0)),0%,VLOOKUP(A6,'Données projet'!$A$227:$I$247,5,0)*VLOOKUP('Données projet'!$B$16,Paramètres!$A$1:$I$89,7,0))</f>
        <v>0</v>
      </c>
      <c r="FO6" s="16">
        <f>IF(ISNA(VLOOKUP(A6,'Données projet'!$A$227:$I$247,6,0)),0%,VLOOKUP(A6,'Données projet'!$A$227:$I$247,6,0)*VLOOKUP('Données projet'!$B$16,Paramètres!$A$1:$I$89,7,0))</f>
        <v>0</v>
      </c>
      <c r="FP6" s="16">
        <f>IF(ISNA(VLOOKUP(A6,'Données projet'!$A$227:$I$247,7,0)),0%,VLOOKUP(A6,'Données projet'!$A$227:$I$247,7,0))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projet'!$A$253:$I$273,2,0)</f>
        <v>#N/A</v>
      </c>
      <c r="FX6" s="12" t="e">
        <f>VLOOKUP(A6,'Données projet'!$A$253:$I$273,9,0)</f>
        <v>#N/A</v>
      </c>
      <c r="FY6" s="12">
        <f t="array" ref="FY6">INDEX(FX:FX,MIN(IF(ISNUMBER(FX6:FX202),ROW(FX6:FX202),"")))</f>
        <v>2.4666666666666668</v>
      </c>
      <c r="FZ6" s="12">
        <f>IF('Données projet'!$A$254&gt;35,FZ5+FY6-GH5,IF(A6&lt;'Données projet'!$A$254,$FW$205^A6,IF(A6='Données projet'!$A$254,'Données projet'!$B$254,FZ5+FY6-GH5)))</f>
        <v>2.0589241364785171</v>
      </c>
      <c r="GA6" s="17">
        <f>FZ6*VLOOKUP('Données projet'!$B$17,Paramètres!$A$1:$I$89,3,0)*VLOOKUP('Données projet'!$B$17,Paramètres!$A$1:$I$89,5,0)</f>
        <v>1.7986761256276329</v>
      </c>
      <c r="GB6" s="13">
        <f t="shared" si="79"/>
        <v>0.77415604497611523</v>
      </c>
      <c r="GC6" s="20">
        <f t="shared" si="25"/>
        <v>4.4810160304681945</v>
      </c>
      <c r="GD6" s="59">
        <f t="shared" si="26"/>
        <v>297.81434936380151</v>
      </c>
      <c r="GE6" s="59">
        <f ca="1">AVERAGE(OFFSET($GD$3,0,0,'Données projet'!$E$17+1,1))-AVERAGE(OFFSET($H$3,0,0,'Données projet'!$E$17+1,1))</f>
        <v>245.1983232777614</v>
      </c>
      <c r="GF6" s="59">
        <f t="shared" si="80"/>
        <v>242.34010522344573</v>
      </c>
      <c r="GG6" s="15">
        <f>IF(ISNA(VLOOKUP(A6,'Données projet'!$A$253:$I$273,3,0)),0,VLOOKUP(A6,'Données projet'!$A$253:$I$273,3,0))</f>
        <v>0</v>
      </c>
      <c r="GH6" s="15">
        <f>IF(ISNA(VLOOKUP(A6,'Données projet'!$A$253:$I$273,4,0)),0,VLOOKUP(A6,'Données projet'!$A$253:$I$273,4,0))</f>
        <v>0</v>
      </c>
      <c r="GI6" s="16">
        <f>IF(ISNA(VLOOKUP(A6,'Données projet'!$A$253:$I$273,5,0)),0%,VLOOKUP(A6,'Données projet'!$A$253:$I$273,5,0)*VLOOKUP('Données projet'!$B$17,Paramètres!$A$1:$I$89,7,0))</f>
        <v>0</v>
      </c>
      <c r="GJ6" s="16">
        <f>IF(ISNA(VLOOKUP(A6,'Données projet'!$A$253:$I$273,6,0)),0%,VLOOKUP(A6,'Données projet'!$A$253:$I$273,6,0)*VLOOKUP('Données projet'!$B$17,Paramètres!$A$1:$I$89,7,0))</f>
        <v>0</v>
      </c>
      <c r="GK6" s="16">
        <f>IF(ISNA(VLOOKUP(A6,'Données projet'!$A$253:$I$273,7,0)),0%,VLOOKUP(A6,'Données projet'!$A$253:$I$273,7,0))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projet'!$A$279:$I$299,2,0)</f>
        <v>#N/A</v>
      </c>
      <c r="GS6" s="12" t="e">
        <f>VLOOKUP(A6,'Données projet'!$A$279:$I$299,9,0)</f>
        <v>#N/A</v>
      </c>
      <c r="GT6" s="12">
        <f t="array" ref="GT6">INDEX(GS:GS,MIN(IF(ISNUMBER(GS6:GS202),ROW(GS6:GS202),"")))</f>
        <v>4.1333333333333337</v>
      </c>
      <c r="GU6" s="12">
        <f>IF('Données projet'!$A$280&gt;35,GU5+GT6-HC5,IF(A6&lt;'Données projet'!$A$280,$GR$205^A6,IF(A6='Données projet'!$A$280,'Données projet'!$B$280,GU5+GT6-HC5)))</f>
        <v>2.2828550557016296</v>
      </c>
      <c r="GV6" s="17">
        <f>GU6*VLOOKUP('Données projet'!$B$18,Paramètres!$A$1:$I$89,3,0)*VLOOKUP('Données projet'!$B$18,Paramètres!$A$1:$I$89,5,0)</f>
        <v>0.91999058744775675</v>
      </c>
      <c r="GW6" s="13">
        <f t="shared" si="81"/>
        <v>0.42810575198334</v>
      </c>
      <c r="GX6" s="20">
        <f t="shared" si="28"/>
        <v>2.3479344578424937</v>
      </c>
      <c r="GY6" s="59">
        <f t="shared" si="29"/>
        <v>295.6812677911758</v>
      </c>
      <c r="GZ6" s="59">
        <f ca="1">AVERAGE(OFFSET($GY$3,0,0,'Données projet'!$E$18+1,1))-AVERAGE(OFFSET($H$3,0,0,'Données projet'!$E$18+1,1))</f>
        <v>324.36162935850876</v>
      </c>
      <c r="HA6" s="59">
        <f t="shared" si="82"/>
        <v>265.23571072429735</v>
      </c>
      <c r="HB6" s="15">
        <f>IF(ISNA(VLOOKUP(A6,'Données projet'!$A$279:$I$299,3,0)),0,VLOOKUP(A6,'Données projet'!$A$279:$I$299,3,0))</f>
        <v>0</v>
      </c>
      <c r="HC6" s="15">
        <f>IF(ISNA(VLOOKUP(A6,'Données projet'!$A$279:$I$299,4,0)),0,VLOOKUP(A6,'Données projet'!$A$279:$I$299,4,0))</f>
        <v>0</v>
      </c>
      <c r="HD6" s="16">
        <f>IF(ISNA(VLOOKUP(A6,'Données projet'!$A$279:$I$299,5,0)),0%,VLOOKUP(A6,'Données projet'!$A$279:$I$299,5,0)*VLOOKUP('Données projet'!$B$18,Paramètres!$A$1:$I$89,7,0))</f>
        <v>0</v>
      </c>
      <c r="HE6" s="16">
        <f>IF(ISNA(VLOOKUP(A6,'Données projet'!$A$279:$I$299,6,0)),0%,VLOOKUP(A6,'Données projet'!$A$279:$I$299,6,0)*VLOOKUP('Données projet'!$B$18,Paramètres!$A$1:$I$89,7,0))</f>
        <v>0</v>
      </c>
      <c r="HF6" s="16">
        <f>IF(ISNA(VLOOKUP($A6,'Données projet'!$A$279:$I$299,7,0)),0%,VLOOKUP($A6,'Données projet'!$A$279:$I$299,7,0))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  <c r="HK6" s="74">
        <f>('Scénario référence'!$F$8+'Scénario référence'!$F$9+'Scénario référence'!$B$17+'Scénario référence'!$B$9+'Scénario référence'!$B$10)*70+IF((45+25*(1-EXP(-0.0175*$A6)))&lt;70,'Scénario référence'!$B$16*(45+25*(1-EXP(-0.0175*$A6))),70*'Scénario référence'!$B$16)+IF((32+38*(1-EXP(-0.0175*$A6)))&lt;70,'Scénario référence'!$B$18*(32+38*(1-EXP(-0.0175*$A6))),70*'Scénario référence'!$B$18)</f>
        <v>70</v>
      </c>
      <c r="HL6" s="12">
        <f>IF($A6&gt;30,10,('Scénario référence'!$B$16+'Scénario référence'!$B$17+'Scénario référence'!$B$18+'Scénario référence'!$B$9+'Scénario référence'!$B$10)*$A6*10/30+('Scénario référence'!$F$8+'Scénario référence'!$F$9)*10)</f>
        <v>10</v>
      </c>
      <c r="HM6" s="12">
        <f>VLOOKUP($A6,'Données projet'!$A$304:$I$324,2,0)</f>
        <v>2.31</v>
      </c>
      <c r="HN6" s="12">
        <f>VLOOKUP($A6,'Données projet'!$A$304:$I$324,9,0)</f>
        <v>2.1256410256410261</v>
      </c>
      <c r="HO6" s="12">
        <f t="array" ref="HO6">INDEX(HN:HN,MIN(IF(ISNUMBER(HN6:HN202),ROW(HN6:HN202),"")))</f>
        <v>2.1256410256410261</v>
      </c>
      <c r="HP6" s="12">
        <f>IF('Données projet'!$A$304&gt;35,HP5+HO6-HX5,IF($A6&lt;'Données projet'!$A$304,$CQ$205^$A6,IF($A6='Données projet'!$A$304,'Données projet'!$B$304,HP5+HO6-HX5)))</f>
        <v>2.31</v>
      </c>
      <c r="HQ6" s="17">
        <f>HP6*VLOOKUP('Données projet'!$B$19,Paramètres!$A$1:$I$89,3,0)*VLOOKUP('Données projet'!$B$19,Paramètres!$A$1:$I$89,5,0)</f>
        <v>1.1747736000000002</v>
      </c>
      <c r="HR6" s="13">
        <f t="shared" si="83"/>
        <v>0.5313290690347211</v>
      </c>
      <c r="HS6" s="14">
        <f t="shared" si="31"/>
        <v>2.9714621485688064</v>
      </c>
      <c r="HT6" s="59">
        <f t="shared" si="32"/>
        <v>296.30479548190215</v>
      </c>
      <c r="HU6" s="59">
        <f ca="1">AVERAGE(OFFSET(HT$3,0,0,'Données projet'!$E$19+1,1))-AVERAGE(OFFSET($H$3,0,0,'Données projet'!$E$19+1,1))</f>
        <v>91.60721429656013</v>
      </c>
      <c r="HV6" s="59">
        <f t="shared" si="84"/>
        <v>258.94957804210856</v>
      </c>
      <c r="HW6" s="15">
        <f>IF(ISNA(VLOOKUP($A6,'Données projet'!$A$304:$I$324,3,0)),0,VLOOKUP($A6,'Données projet'!$A$304:$I$324,3,0))</f>
        <v>0</v>
      </c>
      <c r="HX6" s="15">
        <f>IF(ISNA(VLOOKUP($A6,'Données projet'!$A$304:$I$324,4,0)),0,VLOOKUP($A6,'Données projet'!$A$304:$I$324,4,0))</f>
        <v>0</v>
      </c>
      <c r="HY6" s="16">
        <f>IF(ISNA(VLOOKUP($A6,'Données projet'!$A$304:$I$324,5,0)),0%,VLOOKUP($A6,'Données projet'!$A$304:$I$324,5,0)*VLOOKUP('Données projet'!$B$19,Paramètres!$A$1:$I$89,7,0))</f>
        <v>0</v>
      </c>
      <c r="HZ6" s="16">
        <f>IF(ISNA(VLOOKUP($A6,'Données projet'!$A$304:$I$324,6,0)),0%,VLOOKUP($A6,'Données projet'!$A$304:$I$324,6,0)*VLOOKUP('Données projet'!$B$19,Paramètres!$A$1:$I$89,7,0))</f>
        <v>0</v>
      </c>
      <c r="IA6" s="16">
        <f>IF(ISNA(VLOOKUP($A6,'Données projet'!$A$304:$I$324,7,0)),0%,VLOOKUP($A6,'Données projet'!$A$304:$I$324,7,0))</f>
        <v>0</v>
      </c>
      <c r="IB6" s="21">
        <f>EXP(-LN(2)/35)*IB5+(1-EXP(-LN(2)/35))/(LN(2)/35)*HX6*HY6*VLOOKUP('Données projet'!$B$19,Paramètres!$A$1:$I$89,3,0)*0.475*44/12</f>
        <v>0</v>
      </c>
      <c r="IC6" s="21">
        <f>EXP(-LN(2)/25)*IC5+(1-EXP(-LN(2)/25))/(LN(2)/25)*Calculateur!HX6*Calculateur!HZ6*VLOOKUP('Données projet'!$B$19,Paramètres!$A$1:$I$89,3,0)*0.475*44/12</f>
        <v>0</v>
      </c>
      <c r="ID6" s="21">
        <f>EXP(-LN(2)/2)*ID5+(1-EXP(-LN(2)/2))/(LN(2)/2)*HX6*IA6*VLOOKUP('Données projet'!$B$19,Paramètres!$A$1:$I$89,3,0)*0.475*44/12</f>
        <v>0</v>
      </c>
      <c r="IE6" s="22">
        <f t="shared" si="33"/>
        <v>0</v>
      </c>
      <c r="IF6" s="74">
        <f>('Scénario référence'!$F$8+'Scénario référence'!$F$9+'Scénario référence'!$B$17+'Scénario référence'!$B$9+'Scénario référence'!$B$10)*70+IF((45+25*(1-EXP(-0.0175*$A6)))&lt;70,'Scénario référence'!$B$16*(45+25*(1-EXP(-0.0175*$A6))),70*'Scénario référence'!$B$16)+IF((32+38*(1-EXP(-0.0175*$A6)))&lt;70,'Scénario référence'!$B$18*(32+38*(1-EXP(-0.0175*$A6))),70*'Scénario référence'!$B$18)</f>
        <v>70</v>
      </c>
      <c r="IG6" s="12">
        <f>IF($A6&gt;30,10,('Scénario référence'!$B$16+'Scénario référence'!$B$17+'Scénario référence'!$B$18+'Scénario référence'!$B$9+'Scénario référence'!$B$10)*$A6*10/30+('Scénario référence'!$F$8+'Scénario référence'!$F$9)*10)</f>
        <v>10</v>
      </c>
      <c r="IH6" s="12">
        <f>VLOOKUP($A6,'Données projet'!$A$330:$I$350,2,0)</f>
        <v>2.31</v>
      </c>
      <c r="II6" s="12">
        <f>VLOOKUP($A6,'Données projet'!$A$330:$I$350,9,0)</f>
        <v>2.1256410256410261</v>
      </c>
      <c r="IJ6" s="12">
        <f t="array" ref="IJ6">INDEX(II:II,MIN(IF(ISNUMBER(II6:II202),ROW(II6:II202),"")))</f>
        <v>2.1256410256410261</v>
      </c>
      <c r="IK6" s="12">
        <f>IF('Données projet'!$A$330&gt;35,IK5+IJ6-IS5,IF($A6&lt;'Données projet'!$A$330,$CQ$205^$A6,IF($A6='Données projet'!$A$330,'Données projet'!$B$330,IK5+IJ6-IS5)))</f>
        <v>2.31</v>
      </c>
      <c r="IL6" s="17">
        <f>IK6*VLOOKUP('Données projet'!$B$20,Paramètres!$A$1:$I$89,3,0)*VLOOKUP('Données projet'!$B$20,Paramètres!$A$1:$I$89,5,0)</f>
        <v>1.1747736000000002</v>
      </c>
      <c r="IM6" s="13">
        <f t="shared" si="85"/>
        <v>0.5313290690347211</v>
      </c>
      <c r="IN6" s="20">
        <f t="shared" si="86"/>
        <v>2.9714621485688064</v>
      </c>
      <c r="IO6" s="59">
        <f t="shared" si="87"/>
        <v>296.30479548190215</v>
      </c>
      <c r="IP6" s="59">
        <f ca="1">AVERAGE(OFFSET(IO$3,0,0,'Données projet'!$E$20+1,1))-AVERAGE(OFFSET($H$3,0,0,'Données projet'!$E$20+1,1))</f>
        <v>91.60721429656013</v>
      </c>
      <c r="IQ6" s="59">
        <f t="shared" si="88"/>
        <v>258.94957804210856</v>
      </c>
      <c r="IR6" s="15">
        <f>IF(ISNA(VLOOKUP($A6,'Données projet'!$A$330:$I$350,3,0)),0,VLOOKUP($A6,'Données projet'!$A$330:$I$350,3,0))</f>
        <v>0</v>
      </c>
      <c r="IS6" s="15">
        <f>IF(ISNA(VLOOKUP($A6,'Données projet'!$A$330:$I$350,4,0)),0,VLOOKUP($A6,'Données projet'!$A$330:$I$350,4,0))</f>
        <v>0</v>
      </c>
      <c r="IT6" s="16">
        <f>IF(ISNA(VLOOKUP($A6,'Données projet'!$A$330:$I$350,5,0)),0%,VLOOKUP($A6,'Données projet'!$A$330:$I$350,5,0)*VLOOKUP('Données projet'!$B$20,Paramètres!$A$1:$I$89,7,0))</f>
        <v>0</v>
      </c>
      <c r="IU6" s="16">
        <f>IF(ISNA(VLOOKUP($A6,'Données projet'!$A$330:$I$350,6,0)),0%,VLOOKUP($A6,'Données projet'!$A$330:$I$350,6,0)*VLOOKUP('Données projet'!$B$20,Paramètres!$A$1:$I$89,7,0))</f>
        <v>0</v>
      </c>
      <c r="IV6" s="16">
        <f>IF(ISNA(VLOOKUP($A6,'Données projet'!$A$330:$I$350,7,0)),0%,VLOOKUP($A6,'Données projet'!$A$330:$I$350,7,0))</f>
        <v>0</v>
      </c>
      <c r="IW6" s="21">
        <f>EXP(-LN(2)/35)*IW5+(1-EXP(-LN(2)/35))/(LN(2)/35)*IS6*IT6*VLOOKUP('Données projet'!$B$20,Paramètres!$A$1:$I$89,3,0)*0.475*44/12</f>
        <v>0</v>
      </c>
      <c r="IX6" s="21">
        <f>EXP(-LN(2)/25)*IX5+(1-EXP(-LN(2)/25))/(LN(2)/25)*Calculateur!IS6*Calculateur!IU6*VLOOKUP('Données projet'!$B$20,Paramètres!$A$1:$I$89,3,0)*0.475*44/12</f>
        <v>0</v>
      </c>
      <c r="IY6" s="21">
        <f>EXP(-LN(2)/2)*IY5+(1-EXP(-LN(2)/2))/(LN(2)/2)*IS6*IV6*VLOOKUP('Données projet'!$B$20,Paramètres!$A$1:$I$89,3,0)*0.475*44/12</f>
        <v>0</v>
      </c>
      <c r="IZ6" s="22">
        <f t="shared" si="89"/>
        <v>0</v>
      </c>
      <c r="JA6" s="74">
        <f>('Scénario référence'!$F$8+'Scénario référence'!$F$9+'Scénario référence'!$B$17+'Scénario référence'!$B$9+'Scénario référence'!$B$10)*70+IF((45+25*(1-EXP(-0.0175*$A6)))&lt;70,'Scénario référence'!$B$16*(45+25*(1-EXP(-0.0175*$A6))),70*'Scénario référence'!$B$16)+IF((32+38*(1-EXP(-0.0175*$A6)))&lt;70,'Scénario référence'!$B$18*(32+38*(1-EXP(-0.0175*$A6))),70*'Scénario référence'!$B$18)</f>
        <v>70</v>
      </c>
      <c r="JB6" s="12">
        <f>IF($A6&gt;30,10,('Scénario référence'!$B$16+'Scénario référence'!$B$17+'Scénario référence'!$B$18+'Scénario référence'!$B$9+'Scénario référence'!$B$10)*$A6*10/30+('Scénario référence'!$F$8+'Scénario référence'!$F$9)*10)</f>
        <v>10</v>
      </c>
      <c r="JC6" s="12" t="e">
        <f>VLOOKUP($A6,'Données projet'!$A$356:$I$376,2,0)</f>
        <v>#N/A</v>
      </c>
      <c r="JD6" s="12" t="e">
        <f>VLOOKUP($A6,'Données projet'!$A$356:$I$376,9,0)</f>
        <v>#N/A</v>
      </c>
      <c r="JE6" s="12">
        <f t="array" ref="JE6">INDEX(JD:JD,MIN(IF(ISNUMBER(JD6:JD202),ROW(JD6:JD202),"")))</f>
        <v>3.04</v>
      </c>
      <c r="JF6" s="12">
        <f>IF('Données projet'!$A$356&gt;35,JF5+JE6-JN5,IF($A6&lt;'Données projet'!$A$356,$CQ$205^$A6,IF($A6='Données projet'!$A$356,'Données projet'!$B$356,JF5+JE6-JN5)))</f>
        <v>9.120000000000001</v>
      </c>
      <c r="JG6" s="17">
        <f>JF6*VLOOKUP('Données projet'!$B$21,Paramètres!$A$1:$I$89,3,0)*VLOOKUP('Données projet'!$B$21,Paramètres!$A$1:$I$89,5,0)</f>
        <v>7.3981440000000012</v>
      </c>
      <c r="JH6" s="13">
        <f t="shared" si="90"/>
        <v>2.7009027904532474</v>
      </c>
      <c r="JI6" s="20">
        <f t="shared" si="91"/>
        <v>17.589173160039405</v>
      </c>
      <c r="JJ6" s="59">
        <f t="shared" si="92"/>
        <v>310.92250649337274</v>
      </c>
      <c r="JK6" s="59">
        <f ca="1">AVERAGE(OFFSET($JJ$3,0,0,'Données projet'!$E$22+1,1))-AVERAGE(OFFSET($H$3,0,0,'Données projet'!$E$22+1,1))</f>
        <v>353.35574633294613</v>
      </c>
      <c r="JL6" s="59">
        <f t="shared" si="93"/>
        <v>170.36796666474726</v>
      </c>
      <c r="JM6" s="15">
        <f>IF(ISNA(VLOOKUP($A6,'Données projet'!$A$356:$I$376,3,0)),0,VLOOKUP($A6,'Données projet'!$A$356:$I$376,3,0))</f>
        <v>0</v>
      </c>
      <c r="JN6" s="15">
        <f>IF(ISNA(VLOOKUP($A6,'Données projet'!$A$356:$I$376,4,0)),0,VLOOKUP($A6,'Données projet'!$A$356:$I$376,4,0))</f>
        <v>0</v>
      </c>
      <c r="JO6" s="16">
        <f>IF(ISNA(VLOOKUP($A6,'Données projet'!$A$356:$I$376,5,0)),0%,VLOOKUP($A6,'Données projet'!$A$356:$I$376,5,0)*VLOOKUP('Données projet'!$B$21,Paramètres!$A$1:$I$89,7,0))</f>
        <v>0</v>
      </c>
      <c r="JP6" s="16">
        <f>IF(ISNA(VLOOKUP($A6,'Données projet'!$A$356:$I$376,6,0)),0%,VLOOKUP($A6,'Données projet'!$A$356:$I$376,6,0)*VLOOKUP('Données projet'!$B$21,Paramètres!$A$1:$I$89,7,0))</f>
        <v>0</v>
      </c>
      <c r="JQ6" s="16">
        <f>IF(ISNA(VLOOKUP($A6,'Données projet'!$A$356:$I$376,7,0)),0%,VLOOKUP($A6,'Données projet'!$A$356:$I$376,7,0))</f>
        <v>0</v>
      </c>
      <c r="JR6" s="21">
        <f>EXP(-LN(2)/35)*JR5+(1-EXP(-LN(2)/35))/(LN(2)/35)*JN6*JO6*VLOOKUP('Données projet'!$B$21,Paramètres!$A$1:$I$89,3,0)*0.475*44/12</f>
        <v>0</v>
      </c>
      <c r="JS6" s="21">
        <f>EXP(-LN(2)/25)*JS5+(1-EXP(-LN(2)/25))/(LN(2)/25)*Calculateur!JN6*Calculateur!JP6*VLOOKUP('Données projet'!$B$21,Paramètres!$A$1:$I$89,3,0)*0.475*44/12</f>
        <v>0</v>
      </c>
      <c r="JT6" s="21">
        <f>EXP(-LN(2)/2)*JT5+(1-EXP(-LN(2)/2))/(LN(2)/2)*JN6*JQ6*VLOOKUP('Données projet'!$B$21,Paramètres!$A$1:$I$89,3,0)*0.475*44/12</f>
        <v>0</v>
      </c>
      <c r="JU6" s="18">
        <f t="shared" si="39"/>
        <v>0</v>
      </c>
      <c r="JV6" s="74">
        <f>('Scénario référence'!$F$8+'Scénario référence'!$F$9+'Scénario référence'!$B$17+'Scénario référence'!$B$9+'Scénario référence'!$B$10)*70+IF((45+25*(1-EXP(-0.0175*$A6)))&lt;70,'Scénario référence'!$B$16*(45+25*(1-EXP(-0.0175*$A6))),70*'Scénario référence'!$B$16)+IF((32+38*(1-EXP(-0.0175*$A6)))&lt;70,'Scénario référence'!$B$18*(32+38*(1-EXP(-0.0175*$A6))),70*'Scénario référence'!$B$18)</f>
        <v>70</v>
      </c>
      <c r="JW6" s="12">
        <f>IF($A6&gt;30,10,('Scénario référence'!$B$16+'Scénario référence'!$B$17+'Scénario référence'!$B$18+'Scénario référence'!$B$9+'Scénario référence'!$B$10)*$A6*10/30+('Scénario référence'!$F$8+'Scénario référence'!$F$9)*10)</f>
        <v>10</v>
      </c>
      <c r="JX6" s="12" t="e">
        <f>VLOOKUP($A6,'Données projet'!$A$382:$I$402,2,0)</f>
        <v>#N/A</v>
      </c>
      <c r="JY6" s="12" t="e">
        <f>VLOOKUP($A6,'Données projet'!$A$382:$I$402,9,0)</f>
        <v>#N/A</v>
      </c>
      <c r="JZ6" s="12">
        <f t="array" ref="JZ6">INDEX(JY:JY,MIN(IF(ISNUMBER(JY6:JY202),ROW(JY6:JY202),"")))</f>
        <v>4.0628205128205126</v>
      </c>
      <c r="KA6" s="12">
        <f>IF('Données projet'!$A$382&gt;35,KA5+JZ6-KI5,IF($A6&lt;'Données projet'!$A$382,$CQ$205^$A6,IF($A6='Données projet'!$A$382,'Données projet'!$B$382,KA5+JZ6-KI5)))</f>
        <v>12.188461538461539</v>
      </c>
      <c r="KB6" s="17">
        <f>KA6*VLOOKUP('Données projet'!$B$22,Paramètres!$A$1:$I$89,3,0)*VLOOKUP('Données projet'!$B$22,Paramètres!$A$1:$I$89,5,0)</f>
        <v>8.1760199999999994</v>
      </c>
      <c r="KC6" s="13">
        <f t="shared" si="94"/>
        <v>2.950353996045465</v>
      </c>
      <c r="KD6" s="20">
        <f t="shared" si="95"/>
        <v>19.378434709779182</v>
      </c>
      <c r="KE6" s="59">
        <f t="shared" si="96"/>
        <v>312.7117680431125</v>
      </c>
      <c r="KF6" s="59">
        <f ca="1">AVERAGE(OFFSET($KE$3,0,0,'Données projet'!$E$22+1,1))-AVERAGE(OFFSET($H$3,0,0,'Données projet'!$E$22+1,1))</f>
        <v>193.91714772848269</v>
      </c>
      <c r="KG6" s="59">
        <f t="shared" si="97"/>
        <v>159.20429420478047</v>
      </c>
      <c r="KH6" s="15">
        <f>IF(ISNA(VLOOKUP($A6,'Données projet'!$A$382:$I$402,3,0)),0,VLOOKUP($A6,'Données projet'!$A$382:$I$402,3,0))</f>
        <v>0</v>
      </c>
      <c r="KI6" s="15">
        <f>IF(ISNA(VLOOKUP($A6,'Données projet'!$A$382:$I$402,4,0)),0,VLOOKUP($A6,'Données projet'!$A$382:$I$402,4,0))</f>
        <v>0</v>
      </c>
      <c r="KJ6" s="16">
        <f>IF(ISNA(VLOOKUP($A6,'Données projet'!$A$382:$I$402,5,0)),0%,VLOOKUP($A6,'Données projet'!$A$382:$I$402,5,0)*VLOOKUP('Données projet'!$B$22,Paramètres!$A$1:$I$89,7,0))</f>
        <v>0</v>
      </c>
      <c r="KK6" s="16">
        <f>IF(ISNA(VLOOKUP($A6,'Données projet'!$A$382:$I$402,6,0)),0%,VLOOKUP($A6,'Données projet'!$A$382:$I$402,6,0)*VLOOKUP('Données projet'!$B$22,Paramètres!$A$1:$I$89,7,0))</f>
        <v>0</v>
      </c>
      <c r="KL6" s="16">
        <f>IF(ISNA(VLOOKUP($A6,'Données projet'!$A$382:$I$402,7,0)),0%,VLOOKUP($A6,'Données projet'!$A$382:$I$402,7,0))</f>
        <v>0</v>
      </c>
      <c r="KM6" s="21">
        <f>EXP(-LN(2)/35)*KM5+(1-EXP(-LN(2)/35))/(LN(2)/35)*KI6*KJ6*VLOOKUP('Données projet'!$B$22,Paramètres!$A$1:$I$89,3,0)*0.475*44/12</f>
        <v>0</v>
      </c>
      <c r="KN6" s="21">
        <f>EXP(-LN(2)/25)*KN5+(1-EXP(-LN(2)/25))/(LN(2)/25)*Calculateur!KI6*Calculateur!KK6*VLOOKUP('Données projet'!$B$22,Paramètres!$A$1:$I$89,3,0)*0.475*44/12</f>
        <v>0</v>
      </c>
      <c r="KO6" s="21">
        <f>EXP(-LN(2)/2)*KO5+(1-EXP(-LN(2)/2))/(LN(2)/2)*KI6*KL6*VLOOKUP('Données projet'!$B$22,Paramètres!$A$1:$I$89,3,0)*0.475*44/12</f>
        <v>0</v>
      </c>
      <c r="KP6" s="22">
        <f t="shared" si="98"/>
        <v>0</v>
      </c>
      <c r="KQ6" s="74">
        <f>('Scénario référence'!$F$8+'Scénario référence'!$F$9+'Scénario référence'!$B$17+'Scénario référence'!$B$9+'Scénario référence'!$B$10)*70+IF((45+25*(1-EXP(-0.0175*$A6)))&lt;70,'Scénario référence'!$B$16*(45+25*(1-EXP(-0.0175*$A6))),70*'Scénario référence'!$B$16)+IF((32+38*(1-EXP(-0.0175*$A6)))&lt;70,'Scénario référence'!$B$18*(32+38*(1-EXP(-0.0175*$A6))),70*'Scénario référence'!$B$18)</f>
        <v>70</v>
      </c>
      <c r="KR6" s="12">
        <f>IF($A6&gt;30,10,('Scénario référence'!$B$16+'Scénario référence'!$B$17+'Scénario référence'!$B$18+'Scénario référence'!$B$9+'Scénario référence'!$B$10)*$A6*10/30+('Scénario référence'!$F$8+'Scénario référence'!$F$9)*10)</f>
        <v>10</v>
      </c>
      <c r="KS6" s="12" t="e">
        <f>VLOOKUP($A6,'Données projet'!$A$408:$I$428,2,0)</f>
        <v>#N/A</v>
      </c>
      <c r="KT6" s="12" t="e">
        <f>VLOOKUP($A6,'Données projet'!$A$408:$I$428,9,0)</f>
        <v>#N/A</v>
      </c>
      <c r="KU6" s="12">
        <f t="array" ref="KU6">INDEX(KT:KT,MIN(IF(ISNUMBER(KT6:KT202),ROW(KT6:KT202),"")))</f>
        <v>2.4666666666666668</v>
      </c>
      <c r="KV6" s="12">
        <f>IF('Données projet'!$A$408&gt;35,KV5+KU6-LD5,IF($A6&lt;'Données projet'!$A$408,$CQ$205^$A6,IF($A6='Données projet'!$A$408,'Données projet'!$B$408,KV5+KU6-LD5)))</f>
        <v>7.4</v>
      </c>
      <c r="KW6" s="17">
        <f>KV6*VLOOKUP('Données projet'!$B$23,Paramètres!$A$1:$I$89,3,0)*VLOOKUP('Données projet'!$B$23,Paramètres!$A$1:$I$89,5,0)</f>
        <v>6.4646400000000019</v>
      </c>
      <c r="KX6" s="13">
        <f t="shared" si="99"/>
        <v>2.3974471828687896</v>
      </c>
      <c r="KY6" s="14">
        <f t="shared" si="43"/>
        <v>15.434801843496478</v>
      </c>
      <c r="KZ6" s="59">
        <f t="shared" si="44"/>
        <v>308.76813517682979</v>
      </c>
      <c r="LA6" s="59">
        <f ca="1">AVERAGE(OFFSET($KZ$3,0,0,'Données projet'!$E$23+1,1))-AVERAGE(OFFSET($H$3,0,0,'Données projet'!$E$23+1,1))</f>
        <v>248.33596943633819</v>
      </c>
      <c r="LB6" s="59">
        <f t="shared" si="100"/>
        <v>242.34010522344573</v>
      </c>
      <c r="LC6" s="15">
        <f>IF(ISNA(VLOOKUP($A6,'Données projet'!$A$408:$I$428,3,0)),0,VLOOKUP($A6,'Données projet'!$A$408:$I$428,3,0))</f>
        <v>0</v>
      </c>
      <c r="LD6" s="15">
        <f>IF(ISNA(VLOOKUP($A6,'Données projet'!$A$408:$I$428,4,0)),0,VLOOKUP($A6,'Données projet'!$A$408:$I$428,4,0))</f>
        <v>0</v>
      </c>
      <c r="LE6" s="16">
        <f>IF(ISNA(VLOOKUP($A6,'Données projet'!$A$408:$I$428,5,0)),0%,VLOOKUP($A6,'Données projet'!$A$408:$I$428,5,0)*VLOOKUP('Données projet'!$B$23,Paramètres!$A$1:$I$89,7,0))</f>
        <v>0</v>
      </c>
      <c r="LF6" s="16">
        <f>IF(ISNA(VLOOKUP($A6,'Données projet'!$A$408:$I$428,6,0)),0%,VLOOKUP($A6,'Données projet'!$A$408:$I$428,6,0)*VLOOKUP('Données projet'!$B$23,Paramètres!$A$1:$I$89,7,0))</f>
        <v>0</v>
      </c>
      <c r="LG6" s="16">
        <f>IF(ISNA(VLOOKUP($A6,'Données projet'!$A$408:$I$428,7,0)),0%,VLOOKUP($A6,'Données projet'!$A$408:$I$428,7,0))</f>
        <v>0</v>
      </c>
      <c r="LH6" s="21">
        <f>EXP(-LN(2)/35)*LH5+(1-EXP(-LN(2)/35))/(LN(2)/35)*LD6*LE6*VLOOKUP('Données projet'!$B$23,Paramètres!$A$1:$I$89,3,0)*0.475*44/12</f>
        <v>0</v>
      </c>
      <c r="LI6" s="21">
        <f>EXP(-LN(2)/25)*LI5+(1-EXP(-LN(2)/25))/(LN(2)/25)*Calculateur!LD6*Calculateur!LF6*VLOOKUP('Données projet'!$B$23,Paramètres!$A$1:$I$89,3,0)*0.475*44/12</f>
        <v>0</v>
      </c>
      <c r="LJ6" s="21">
        <f>EXP(-LN(2)/2)*LJ5+(1-EXP(-LN(2)/2))/(LN(2)/2)*LD6*LG6*VLOOKUP('Données projet'!$B$23,Paramètres!$A$1:$I$89,3,0)*0.475*44/12</f>
        <v>0</v>
      </c>
      <c r="LK6" s="22">
        <f t="shared" si="101"/>
        <v>0</v>
      </c>
      <c r="LL6" s="74">
        <f>('Scénario référence'!$F$8+'Scénario référence'!$F$9+'Scénario référence'!$B$17+'Scénario référence'!$B$9+'Scénario référence'!$B$10)*70+IF((45+25*(1-EXP(-0.0175*$A6)))&lt;70,'Scénario référence'!$B$16*(45+25*(1-EXP(-0.0175*$A6))),70*'Scénario référence'!$B$16)+IF((32+38*(1-EXP(-0.0175*$A6)))&lt;70,'Scénario référence'!$B$18*(32+38*(1-EXP(-0.0175*$A6))),70*'Scénario référence'!$B$18)</f>
        <v>70</v>
      </c>
      <c r="LM6" s="12">
        <f>IF($A6&gt;30,10,('Scénario référence'!$B$16+'Scénario référence'!$B$17+'Scénario référence'!$B$18+'Scénario référence'!$B$9+'Scénario référence'!$B$10)*$A6*10/30+('Scénario référence'!$F$8+'Scénario référence'!$F$9)*10)</f>
        <v>10</v>
      </c>
      <c r="LN6" s="12" t="e">
        <f>VLOOKUP($A6,'Données projet'!$A$434:$I$454,2,0)</f>
        <v>#N/A</v>
      </c>
      <c r="LO6" s="12" t="e">
        <f>VLOOKUP($A6,'Données projet'!$A$434:$I$454,9,0)</f>
        <v>#N/A</v>
      </c>
      <c r="LP6" s="12">
        <f t="array" ref="LP6">INDEX(LO:LO,MIN(IF(ISNUMBER(LO6:LO202),ROW(LO6:LO202),"")))</f>
        <v>2.9235042735042733</v>
      </c>
      <c r="LQ6" s="12">
        <f>IF('Données projet'!$A$434&gt;35,LQ5+LP6-LY5,IF($A6&lt;'Données projet'!$A$434,$CQ$205^$A6,IF($A6='Données projet'!$A$434,'Données projet'!$B$434,LQ5+LP6-LY5)))</f>
        <v>8.7705128205128204</v>
      </c>
      <c r="LR6" s="17">
        <f>LQ6*VLOOKUP('Données projet'!$B$24,Paramètres!$A$1:$I$89,3,0)*VLOOKUP('Données projet'!$B$24,Paramètres!$A$1:$I$89,5,0)</f>
        <v>8.8933</v>
      </c>
      <c r="LS6" s="13">
        <f t="shared" si="102"/>
        <v>3.1779282018001402</v>
      </c>
      <c r="LT6" s="14">
        <f t="shared" si="46"/>
        <v>21.024055784801913</v>
      </c>
      <c r="LU6" s="59">
        <f t="shared" si="103"/>
        <v>314.35738911813525</v>
      </c>
      <c r="LV6" s="59">
        <f ca="1">AVERAGE(OFFSET($LU$3,0,0,'Données projet'!$E$24+1,1))-AVERAGE(OFFSET($H$3,0,0,'Données projet'!$E$24+1,1))</f>
        <v>260.52627655062872</v>
      </c>
      <c r="LW6" s="59">
        <f t="shared" si="104"/>
        <v>159.20429420478047</v>
      </c>
      <c r="LX6" s="15">
        <f>IF(ISNA(VLOOKUP($A6,'Données projet'!$A$434:$I$454,3,0)),0,VLOOKUP($A6,'Données projet'!$A$434:$I$454,3,0))</f>
        <v>0</v>
      </c>
      <c r="LY6" s="15">
        <f>IF(ISNA(VLOOKUP($A6,'Données projet'!$A$434:$I$454,4,0)),0,VLOOKUP($A6,'Données projet'!$A$434:$I$454,4,0))</f>
        <v>0</v>
      </c>
      <c r="LZ6" s="16">
        <f>IF(ISNA(VLOOKUP($A6,'Données projet'!$A$434:$I$454,5,0)),0%,VLOOKUP($A6,'Données projet'!$A$434:$I$454,5,0)*VLOOKUP('Données projet'!$B$24,Paramètres!$A$1:$I$89,7,0))</f>
        <v>0</v>
      </c>
      <c r="MA6" s="16">
        <f>IF(ISNA(VLOOKUP($A6,'Données projet'!$A$434:$I$454,6,0)),0%,VLOOKUP($A6,'Données projet'!$A$434:$I$454,6,0)*VLOOKUP('Données projet'!$B$24,Paramètres!$A$1:$I$89,7,0))</f>
        <v>0</v>
      </c>
      <c r="MB6" s="16">
        <f>IF(ISNA(VLOOKUP($A6,'Données projet'!$A$434:$I$454,7,0)),0%,VLOOKUP($A6,'Données projet'!$A$434:$I$454,7,0))</f>
        <v>0</v>
      </c>
      <c r="MC6" s="21">
        <f>EXP(-LN(2)/35)*MC5+(1-EXP(-LN(2)/35))/(LN(2)/35)*LY6*LZ6*VLOOKUP('Données projet'!$B$24,Paramètres!$A$1:$I$89,3,0)*0.475*44/12</f>
        <v>0</v>
      </c>
      <c r="MD6" s="21">
        <f>EXP(-LN(2)/25)*MD5+(1-EXP(-LN(2)/25))/(LN(2)/25)*Calculateur!LY6*Calculateur!MA6*VLOOKUP('Données projet'!$B$24,Paramètres!$A$1:$I$89,3,0)*0.475*44/12</f>
        <v>0</v>
      </c>
      <c r="ME6" s="21">
        <f>EXP(-LN(2)/2)*ME5+(1-EXP(-LN(2)/2))/(LN(2)/2)*LY6*MB6*VLOOKUP('Données projet'!$B$24,Paramètres!$A$1:$I$89,3,0)*0.475*44/12</f>
        <v>0</v>
      </c>
      <c r="MF6" s="22">
        <f t="shared" si="105"/>
        <v>0</v>
      </c>
      <c r="MG6" s="74">
        <f>('Scénario référence'!$F$8+'Scénario référence'!$F$9+'Scénario référence'!$B$17+'Scénario référence'!$B$9+'Scénario référence'!$B$10)*70+IF((45+25*(1-EXP(-0.0175*$A6)))&lt;70,'Scénario référence'!$B$16*(45+25*(1-EXP(-0.0175*$A6))),70*'Scénario référence'!$B$16)+IF((32+38*(1-EXP(-0.0175*$A6)))&lt;70,'Scénario référence'!$B$18*(32+38*(1-EXP(-0.0175*$A6))),70*'Scénario référence'!$B$18)</f>
        <v>70</v>
      </c>
      <c r="MH6" s="12">
        <f>IF($A6&gt;30,10,('Scénario référence'!$B$16+'Scénario référence'!$B$17+'Scénario référence'!$B$18+'Scénario référence'!$B$9+'Scénario référence'!$B$10)*$A6*10/30+('Scénario référence'!$F$8+'Scénario référence'!$F$9)*10)</f>
        <v>10</v>
      </c>
      <c r="MI6" s="12" t="e">
        <f>VLOOKUP($A6,'Données projet'!$A$460:$I$480,2,0)</f>
        <v>#N/A</v>
      </c>
      <c r="MJ6" s="12" t="e">
        <f>VLOOKUP($A6,'Données projet'!$A$460:$I$480,9,0)</f>
        <v>#N/A</v>
      </c>
      <c r="MK6" s="12">
        <f t="array" ref="MK6">INDEX(MJ:MJ,MIN(IF(ISNUMBER(MJ6:MJ202),ROW(MJ6:MJ202),"")))</f>
        <v>0</v>
      </c>
      <c r="ML6" s="12">
        <f>IF('Données projet'!$A$460&gt;35,ML5+MK6-MT5,IF($A6&lt;'Données projet'!$A$460,$CQ$205^$A6,IF($A6='Données projet'!$A$460,'Données projet'!$B$460,ML5+MK6-MT5)))</f>
        <v>0</v>
      </c>
      <c r="MM6" s="17" t="e">
        <f>ML6*VLOOKUP('Données projet'!$B$25,Paramètres!$A$1:$I$89,3,0)*VLOOKUP('Données projet'!$B$25,Paramètres!$A$1:$I$89,5,0)</f>
        <v>#N/A</v>
      </c>
      <c r="MN6" s="13" t="e">
        <f t="shared" si="106"/>
        <v>#N/A</v>
      </c>
      <c r="MO6" s="14" t="e">
        <f t="shared" si="49"/>
        <v>#N/A</v>
      </c>
      <c r="MP6" s="59" t="e">
        <f t="shared" si="50"/>
        <v>#N/A</v>
      </c>
      <c r="MQ6" s="20" t="e">
        <f ca="1">AVERAGE(OFFSET($MP$3,0,0,'Données projet'!$E$25+1,1))-AVERAGE(OFFSET($H$3,0,0,'Données projet'!$E$25+1,1))</f>
        <v>#N/A</v>
      </c>
      <c r="MR6" s="59" t="e">
        <f t="shared" si="107"/>
        <v>#N/A</v>
      </c>
      <c r="MS6" s="15">
        <f>IF(ISNA(VLOOKUP($A6,'Données projet'!$A$460:$I$480,3,0)),0,VLOOKUP($A6,'Données projet'!$A$460:$I$480,3,0))</f>
        <v>0</v>
      </c>
      <c r="MT6" s="15">
        <f>IF(ISNA(VLOOKUP($A6,'Données projet'!$A$460:$I$480,4,0)),0,VLOOKUP($A6,'Données projet'!$A$460:$I$480,4,0))</f>
        <v>0</v>
      </c>
      <c r="MU6" s="16">
        <f>IF(ISNA(VLOOKUP($A6,'Données projet'!$A$460:$I$480,5,0)),0%,VLOOKUP($A6,'Données projet'!$A$460:$I$480,5,0)*VLOOKUP('Données projet'!$B$25,Paramètres!$A$1:$I$89,7,0))</f>
        <v>0</v>
      </c>
      <c r="MV6" s="16">
        <f>IF(ISNA(VLOOKUP($A6,'Données projet'!$A$460:$I$480,6,0)),0%,VLOOKUP($A6,'Données projet'!$A$460:$I$480,6,0)*VLOOKUP('Données projet'!$B$25,Paramètres!$A$1:$I$89,7,0))</f>
        <v>0</v>
      </c>
      <c r="MW6" s="16">
        <f>IF(ISNA(VLOOKUP($A6,'Données projet'!$A$460:$I$480,7,0)),0%,VLOOKUP($A6,'Données projet'!$A$460:$I$480,7,0))</f>
        <v>0</v>
      </c>
      <c r="MX6" s="21" t="e">
        <f>EXP(-LN(2)/35)*MX5+(1-EXP(-LN(2)/35))/(LN(2)/35)*MT6*MU6*VLOOKUP('Données projet'!$B$25,Paramètres!$A$1:$I$89,3,0)*0.475*44/12</f>
        <v>#N/A</v>
      </c>
      <c r="MY6" s="21" t="e">
        <f>EXP(-LN(2)/25)*MY5+(1-EXP(-LN(2)/25))/(LN(2)/25)*Calculateur!MT6*Calculateur!MV6*VLOOKUP('Données projet'!$B$25,Paramètres!$A$1:$I$89,3,0)*0.475*44/12</f>
        <v>#N/A</v>
      </c>
      <c r="MZ6" s="21" t="e">
        <f>EXP(-LN(2)/2)*MZ5+(1-EXP(-LN(2)/2))/(LN(2)/2)*MT6*MW6*VLOOKUP('Données projet'!$B$25,Paramètres!$A$1:$I$89,3,0)*0.475*44/12</f>
        <v>#N/A</v>
      </c>
      <c r="NA6" s="22" t="e">
        <f t="shared" si="108"/>
        <v>#N/A</v>
      </c>
      <c r="NB6" s="74">
        <f>('Scénario référence'!$F$8+'Scénario référence'!$F$9+'Scénario référence'!$B$17+'Scénario référence'!$B$9+'Scénario référence'!$B$10)*70+IF((45+25*(1-EXP(-0.0175*$A6)))&lt;70,'Scénario référence'!$B$16*(45+25*(1-EXP(-0.0175*$A6))),70*'Scénario référence'!$B$16)+IF((32+38*(1-EXP(-0.0175*$A6)))&lt;70,'Scénario référence'!$B$18*(32+38*(1-EXP(-0.0175*$A6))),70*'Scénario référence'!$B$18)</f>
        <v>70</v>
      </c>
      <c r="NC6" s="12">
        <f>IF($A6&gt;30,10,('Scénario référence'!$B$16+'Scénario référence'!$B$17+'Scénario référence'!$B$18+'Scénario référence'!$B$9+'Scénario référence'!$B$10)*$A6*10/30+('Scénario référence'!$F$8+'Scénario référence'!$F$9)*10)</f>
        <v>10</v>
      </c>
      <c r="ND6" s="12" t="e">
        <f>VLOOKUP($A6,'Données projet'!$A$486:$I$506,2,0)</f>
        <v>#N/A</v>
      </c>
      <c r="NE6" s="12" t="e">
        <f>VLOOKUP($A6,'Données projet'!$A$486:$I$506,9,0)</f>
        <v>#N/A</v>
      </c>
      <c r="NF6" s="12">
        <f t="array" ref="NF6">INDEX(NE:NE,MIN(IF(ISNUMBER(NE6:NE202),ROW(NE6:NE202),"")))</f>
        <v>0</v>
      </c>
      <c r="NG6" s="12">
        <f>IF('Données projet'!$A$486&gt;35,NG5+NF6-NO5,IF($A6&lt;'Données projet'!$A$486,$CQ$205^$A6,IF($A6='Données projet'!$A$486,'Données projet'!$B$486,NG5+NF6-NO5)))</f>
        <v>0</v>
      </c>
      <c r="NH6" s="17" t="e">
        <f>NG6*VLOOKUP('Données projet'!$B$26,Paramètres!$A$1:$I$89,3,0)*VLOOKUP('Données projet'!$B$26,Paramètres!$A$1:$I$89,5,0)</f>
        <v>#N/A</v>
      </c>
      <c r="NI6" s="13" t="e">
        <f t="shared" si="109"/>
        <v>#N/A</v>
      </c>
      <c r="NJ6" s="14" t="e">
        <f t="shared" si="52"/>
        <v>#N/A</v>
      </c>
      <c r="NK6" s="59" t="e">
        <f t="shared" si="53"/>
        <v>#N/A</v>
      </c>
      <c r="NL6" s="20" t="e">
        <f ca="1">AVERAGE(OFFSET($NK$3,0,0,'Données projet'!$E$26+1,1))-AVERAGE(OFFSET($H$3,0,0,'Données projet'!$E$26+1,1))</f>
        <v>#N/A</v>
      </c>
      <c r="NM6" s="59" t="e">
        <f t="shared" si="110"/>
        <v>#N/A</v>
      </c>
      <c r="NN6" s="15">
        <f>IF(ISNA(VLOOKUP($A6,'Données projet'!$A$486:$I$506,3,0)),0,VLOOKUP($A6,'Données projet'!$A$486:$I$506,3,0))</f>
        <v>0</v>
      </c>
      <c r="NO6" s="15">
        <f>IF(ISNA(VLOOKUP($A6,'Données projet'!$A$486:$I$506,4,0)),0,VLOOKUP($A6,'Données projet'!$A$486:$I$506,4,0))</f>
        <v>0</v>
      </c>
      <c r="NP6" s="16">
        <f>IF(ISNA(VLOOKUP($A6,'Données projet'!$A$486:$I$506,5,0)),0%,VLOOKUP($A6,'Données projet'!$A$486:$I$506,5,0)*VLOOKUP('Données projet'!$B$26,Paramètres!$A$1:$I$89,7,0))</f>
        <v>0</v>
      </c>
      <c r="NQ6" s="16">
        <f>IF(ISNA(VLOOKUP($A6,'Données projet'!$A$486:$I$506,6,0)),0%,VLOOKUP($A6,'Données projet'!$A$486:$I$506,6,0)*VLOOKUP('Données projet'!$B$26,Paramètres!$A$1:$I$89,7,0))</f>
        <v>0</v>
      </c>
      <c r="NR6" s="16">
        <f>IF(ISNA(VLOOKUP($A6,'Données projet'!$A$486:$I$506,7,0)),0%,VLOOKUP($A6,'Données projet'!$A$486:$I$506,7,0))</f>
        <v>0</v>
      </c>
      <c r="NS6" s="21" t="e">
        <f>EXP(-LN(2)/35)*NS5+(1-EXP(-LN(2)/35))/(LN(2)/35)*NO6*NP6*VLOOKUP('Données projet'!$B$26,Paramètres!$A$1:$I$89,3,0)*0.475*44/12</f>
        <v>#N/A</v>
      </c>
      <c r="NT6" s="21" t="e">
        <f>EXP(-LN(2)/25)*NT5+(1-EXP(-LN(2)/25))/(LN(2)/25)*Calculateur!NO6*Calculateur!NQ6*VLOOKUP('Données projet'!$B$26,Paramètres!$A$1:$I$89,3,0)*0.475*44/12</f>
        <v>#N/A</v>
      </c>
      <c r="NU6" s="21" t="e">
        <f>EXP(-LN(2)/2)*NU5+(1-EXP(-LN(2)/2))/(LN(2)/2)*NO6*NR6*VLOOKUP('Données projet'!$B$26,Paramètres!$A$1:$I$89,3,0)*0.475*44/12</f>
        <v>#N/A</v>
      </c>
      <c r="NV6" s="22" t="e">
        <f t="shared" si="111"/>
        <v>#N/A</v>
      </c>
      <c r="NW6" s="74">
        <f>('Scénario référence'!$F$8+'Scénario référence'!$F$9+'Scénario référence'!$B$17+'Scénario référence'!$B$9+'Scénario référence'!$B$10)*70+IF((45+25*(1-EXP(-0.0175*$A6)))&lt;70,'Scénario référence'!$B$16*(45+25*(1-EXP(-0.0175*$A6))),70*'Scénario référence'!$B$16)+IF((32+38*(1-EXP(-0.0175*$A6)))&lt;70,'Scénario référence'!$B$18*(32+38*(1-EXP(-0.0175*$A6))),70*'Scénario référence'!$B$18)</f>
        <v>70</v>
      </c>
      <c r="NX6" s="12">
        <f>IF($A6&gt;30,10,('Scénario référence'!$B$16+'Scénario référence'!$B$17+'Scénario référence'!$B$18+'Scénario référence'!$B$9+'Scénario référence'!$B$10)*$A6*10/30+('Scénario référence'!$F$8+'Scénario référence'!$F$9)*10)</f>
        <v>10</v>
      </c>
      <c r="NY6" s="12" t="e">
        <f>VLOOKUP($A6,'Données projet'!$A$512:$I$532,2,0)</f>
        <v>#N/A</v>
      </c>
      <c r="NZ6" s="12" t="e">
        <f>VLOOKUP($A6,'Données projet'!$A$512:$I$532,9,0)</f>
        <v>#N/A</v>
      </c>
      <c r="OA6" s="12">
        <f t="array" ref="OA6">INDEX(NZ:NZ,MIN(IF(ISNUMBER(NZ6:NZ202),ROW(NZ6:NZ202),"")))</f>
        <v>0</v>
      </c>
      <c r="OB6" s="12">
        <f>IF('Données projet'!$A$512&gt;35,OB5+OA6-OJ5,IF($A6&lt;'Données projet'!$A$512,$CQ$205^$A6,IF($A6='Données projet'!$A$512,'Données projet'!$B$512,OB5+OA6-OJ5)))</f>
        <v>0</v>
      </c>
      <c r="OC6" s="17" t="e">
        <f>OB6*VLOOKUP('Données projet'!$B$27,Paramètres!$A$1:$I$89,3,0)*VLOOKUP('Données projet'!$B$27,Paramètres!$A$1:$I$89,5,0)</f>
        <v>#N/A</v>
      </c>
      <c r="OD6" s="13" t="e">
        <f t="shared" si="112"/>
        <v>#N/A</v>
      </c>
      <c r="OE6" s="14" t="e">
        <f t="shared" si="55"/>
        <v>#N/A</v>
      </c>
      <c r="OF6" s="59" t="e">
        <f t="shared" si="56"/>
        <v>#N/A</v>
      </c>
      <c r="OG6" s="20" t="e">
        <f ca="1">AVERAGE(OFFSET($OF$3,0,0,'Données projet'!$E$27+1,1))-AVERAGE(OFFSET($H$3,0,0,'Données projet'!$E$27+1,1))</f>
        <v>#N/A</v>
      </c>
      <c r="OH6" s="59" t="e">
        <f t="shared" si="113"/>
        <v>#N/A</v>
      </c>
      <c r="OI6" s="15">
        <f>IF(ISNA(VLOOKUP($A6,'Données projet'!$A$512:$I$532,3,0)),0,VLOOKUP($A6,'Données projet'!$A$512:$I$532,3,0))</f>
        <v>0</v>
      </c>
      <c r="OJ6" s="15">
        <f>IF(ISNA(VLOOKUP($A6,'Données projet'!$A$512:$I$532,4,0)),0,VLOOKUP($A6,'Données projet'!$A$512:$I$532,4,0))</f>
        <v>0</v>
      </c>
      <c r="OK6" s="16">
        <f>IF(ISNA(VLOOKUP($A6,'Données projet'!$A$512:$I$532,5,0)),0%,VLOOKUP($A6,'Données projet'!$A$512:$I$532,5,0)*VLOOKUP('Données projet'!$B$27,Paramètres!$A$1:$I$89,7,0))</f>
        <v>0</v>
      </c>
      <c r="OL6" s="16">
        <f>IF(ISNA(VLOOKUP($A6,'Données projet'!$A$512:$I$532,6,0)),0%,VLOOKUP($A6,'Données projet'!$A$512:$I$532,6,0)*VLOOKUP('Données projet'!$B$27,Paramètres!$A$1:$I$89,7,0))</f>
        <v>0</v>
      </c>
      <c r="OM6" s="16">
        <f>IF(ISNA(VLOOKUP($A6,'Données projet'!$A$512:$I$532,7,0)),0%,VLOOKUP($A6,'Données projet'!$A$512:$I$532,7,0))</f>
        <v>0</v>
      </c>
      <c r="ON6" s="21" t="e">
        <f>EXP(-LN(2)/35)*ON5+(1-EXP(-LN(2)/35))/(LN(2)/35)*OJ6*OK6*VLOOKUP('Données projet'!$B$27,Paramètres!$A$1:$I$89,3,0)*0.475*44/12</f>
        <v>#N/A</v>
      </c>
      <c r="OO6" s="21" t="e">
        <f>EXP(-LN(2)/25)*OO5+(1-EXP(-LN(2)/25))/(LN(2)/25)*Calculateur!OJ6*Calculateur!OL6*VLOOKUP('Données projet'!$B$27,Paramètres!$A$1:$I$89,3,0)*0.475*44/12</f>
        <v>#N/A</v>
      </c>
      <c r="OP6" s="21" t="e">
        <f>EXP(-LN(2)/2)*OP5+(1-EXP(-LN(2)/2))/(LN(2)/2)*OJ6*OM6*VLOOKUP('Données projet'!$B$27,Paramètres!$A$1:$I$89,3,0)*0.475*44/12</f>
        <v>#N/A</v>
      </c>
      <c r="OQ6" s="22" t="e">
        <f t="shared" si="114"/>
        <v>#N/A</v>
      </c>
      <c r="OR6" s="74">
        <f>('Scénario référence'!$F$8+'Scénario référence'!$F$9+'Scénario référence'!$B$17+'Scénario référence'!$B$9+'Scénario référence'!$B$10)*70+IF((45+25*(1-EXP(-0.0175*$A6)))&lt;70,'Scénario référence'!$B$16*(45+25*(1-EXP(-0.0175*$A6))),70*'Scénario référence'!$B$16)+IF((32+38*(1-EXP(-0.0175*$A6)))&lt;70,'Scénario référence'!$B$18*(32+38*(1-EXP(-0.0175*$A6))),70*'Scénario référence'!$B$18)</f>
        <v>70</v>
      </c>
      <c r="OS6" s="12">
        <f>IF($A6&gt;30,10,('Scénario référence'!$B$16+'Scénario référence'!$B$17+'Scénario référence'!$B$18+'Scénario référence'!$B$9+'Scénario référence'!$B$10)*$A6*10/30+('Scénario référence'!$F$8+'Scénario référence'!$F$9)*10)</f>
        <v>10</v>
      </c>
      <c r="OT6" s="12" t="e">
        <f>VLOOKUP($A6,'Données projet'!$A$538:$I$558,2,0)</f>
        <v>#N/A</v>
      </c>
      <c r="OU6" s="12" t="e">
        <f>VLOOKUP($A6,'Données projet'!$A$538:$I$558,9,0)</f>
        <v>#N/A</v>
      </c>
      <c r="OV6" s="12">
        <f t="array" ref="OV6">INDEX(OU:OU,MIN(IF(ISNUMBER(OU6:OU202),ROW(OU6:OU202),"")))</f>
        <v>0</v>
      </c>
      <c r="OW6" s="12">
        <f>IF('Données projet'!$A$538&gt;35,OW5+OV6-PE5,IF($A6&lt;'Données projet'!$A$538,$CQ$205^$A6,IF($A6='Données projet'!$A$538,'Données projet'!$B$538,OW5+OV6-PE5)))</f>
        <v>0</v>
      </c>
      <c r="OX6" s="17" t="e">
        <f>OW6*VLOOKUP('Données projet'!$B$28,Paramètres!$A$1:$I$89,3,0)*VLOOKUP('Données projet'!$B$28,Paramètres!$A$1:$I$89,5,0)</f>
        <v>#N/A</v>
      </c>
      <c r="OY6" s="13" t="e">
        <f t="shared" si="115"/>
        <v>#N/A</v>
      </c>
      <c r="OZ6" s="14" t="e">
        <f t="shared" si="58"/>
        <v>#N/A</v>
      </c>
      <c r="PA6" s="59" t="e">
        <f t="shared" si="59"/>
        <v>#N/A</v>
      </c>
      <c r="PB6" s="20" t="e">
        <f ca="1">AVERAGE(OFFSET($PA$3,0,0,'Données projet'!$E$28+1,1))-AVERAGE(OFFSET($H$3,0,0,'Données projet'!$E$28+1,1))</f>
        <v>#N/A</v>
      </c>
      <c r="PC6" s="59" t="e">
        <f t="shared" si="116"/>
        <v>#N/A</v>
      </c>
      <c r="PD6" s="15">
        <f>IF(ISNA(VLOOKUP($A6,'Données projet'!$A$538:$I$558,3,0)),0,VLOOKUP($A6,'Données projet'!$A$538:$I$558,3,0))</f>
        <v>0</v>
      </c>
      <c r="PE6" s="15">
        <f>IF(ISNA(VLOOKUP($A6,'Données projet'!$A$538:$I$558,4,0)),0,VLOOKUP($A6,'Données projet'!$A$538:$I$558,4,0))</f>
        <v>0</v>
      </c>
      <c r="PF6" s="16">
        <f>IF(ISNA(VLOOKUP($A6,'Données projet'!$A$538:$I$558,5,0)),0%,VLOOKUP($A6,'Données projet'!$A$538:$I$558,5,0)*VLOOKUP('Données projet'!$B$28,Paramètres!$A$1:$I$89,7,0))</f>
        <v>0</v>
      </c>
      <c r="PG6" s="16">
        <f>IF(ISNA(VLOOKUP($A6,'Données projet'!$A$538:$I$558,6,0)),0%,VLOOKUP($A6,'Données projet'!$A$538:$I$558,6,0)*VLOOKUP('Données projet'!$B$28,Paramètres!$A$1:$I$89,7,0))</f>
        <v>0</v>
      </c>
      <c r="PH6" s="16">
        <f>IF(ISNA(VLOOKUP($A6,'Données projet'!$A$538:$I$558,7,0)),0%,VLOOKUP($A6,'Données projet'!$A$538:$I$558,7,0))</f>
        <v>0</v>
      </c>
      <c r="PI6" s="21" t="e">
        <f>EXP(-LN(2)/35)*PI5+(1-EXP(-LN(2)/35))/(LN(2)/35)*PE6*PF6*VLOOKUP('Données projet'!$B$28,Paramètres!$A$1:$I$89,3,0)*0.475*44/12</f>
        <v>#N/A</v>
      </c>
      <c r="PJ6" s="21" t="e">
        <f>EXP(-LN(2)/25)*PJ5+(1-EXP(-LN(2)/25))/(LN(2)/25)*Calculateur!PE6*Calculateur!PG6*VLOOKUP('Données projet'!$B$28,Paramètres!$A$1:$I$89,3,0)*0.475*44/12</f>
        <v>#N/A</v>
      </c>
      <c r="PK6" s="21" t="e">
        <f>EXP(-LN(2)/2)*PK5+(1-EXP(-LN(2)/2))/(LN(2)/2)*PE6*PH6*VLOOKUP('Données projet'!$B$28,Paramètres!$A$1:$I$89,3,0)*0.475*44/12</f>
        <v>#N/A</v>
      </c>
      <c r="PL6" s="22" t="e">
        <f t="shared" si="117"/>
        <v>#N/A</v>
      </c>
    </row>
    <row r="7" spans="1:428" x14ac:dyDescent="0.35">
      <c r="A7" s="10">
        <f t="shared" si="6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6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projet'!$A$42:$I$62,2,0)</f>
        <v>#N/A</v>
      </c>
      <c r="L7" s="12" t="e">
        <f>VLOOKUP(A7,'Données projet'!$A$45:$I$65,9,0)</f>
        <v>#N/A</v>
      </c>
      <c r="M7" s="12">
        <f t="array" ref="M7">INDEX(L:L,MIN(IF(ISNUMBER(L7:L203),ROW(L7:L203),"")))</f>
        <v>10.16068376068376</v>
      </c>
      <c r="N7" s="13">
        <f>IF('Données projet'!$A$46&gt;35,N6+M7-V6,IF(A7&lt;'Données projet'!$A$46,$K$205^A7,IF(A7='Données projet'!$A$46,'Données projet'!$B$46,N6+M7-V6)))</f>
        <v>3.1820727006504042</v>
      </c>
      <c r="O7" s="13">
        <f>N7*VLOOKUP('Données projet'!$B$9,Paramètres!$A$1:$I$89,3,0)*VLOOKUP('Données projet'!$B$9,Paramètres!$A$1:$I$89,5,0)</f>
        <v>1.7787786396635761</v>
      </c>
      <c r="P7" s="13">
        <f t="shared" si="63"/>
        <v>0.76658405325641277</v>
      </c>
      <c r="Q7" s="20">
        <f t="shared" si="2"/>
        <v>4.4331733568356464</v>
      </c>
      <c r="R7" s="59">
        <f t="shared" si="0"/>
        <v>297.76650669016897</v>
      </c>
      <c r="S7" s="59">
        <f ca="1">AVERAGE(OFFSET($R$3,0,0,'Données projet'!$E$9+1,1))-AVERAGE(OFFSET($H$3,0,0,'Données projet'!$E$9+1,1))</f>
        <v>274.57619581652199</v>
      </c>
      <c r="T7" s="59">
        <f t="shared" si="64"/>
        <v>366.15117322598775</v>
      </c>
      <c r="U7" s="15">
        <f>IF(ISNA(VLOOKUP(A7,'Données projet'!$A$45:$I$65,3,0)),0,VLOOKUP(A7,'Données projet'!$A$45:$I$65,3,0))</f>
        <v>0</v>
      </c>
      <c r="V7" s="15">
        <f>IF(ISNA(VLOOKUP(A7,'Données projet'!$A$45:$I$65,4,0)),0,VLOOKUP(A7,'Données projet'!$A$45:$I$65,4,0))</f>
        <v>0</v>
      </c>
      <c r="W7" s="16">
        <f>IF(ISNA(VLOOKUP(A7,'Données projet'!$A$45:$I$65,5,0)),0%,VLOOKUP(A7,'Données projet'!$A$45:$I$65,5,0)*VLOOKUP('Données projet'!$B$9,Paramètres!$A$1:$I$89,7,0))</f>
        <v>0</v>
      </c>
      <c r="X7" s="16">
        <f>IF(ISNA(VLOOKUP(A7,'Données projet'!$A$45:$I$65,6,0)),0%,VLOOKUP(A7,'Données projet'!$A$45:$I$65,6,0)*VLOOKUP('Données projet'!$B$9,Paramètres!$A$1:$I$89,7,0))</f>
        <v>0</v>
      </c>
      <c r="Y7" s="16">
        <f>IF(ISNA(VLOOKUP(A7,'Données projet'!$A$45:$I$65,7,0)),0%,VLOOKUP(A7,'Données projet'!$A$45:$I$65,7,0))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projet'!$A$71:$I$91,2,0)</f>
        <v>#N/A</v>
      </c>
      <c r="AG7" s="12" t="e">
        <f>VLOOKUP(A7,'Données projet'!$A$71:$I$91,9,0)</f>
        <v>#N/A</v>
      </c>
      <c r="AH7" s="12">
        <f t="array" ref="AH7">INDEX(AG:AG,MIN(IF(ISNUMBER(AG7:AG203),ROW(AG7:AG203),"")))</f>
        <v>4.0628205128205126</v>
      </c>
      <c r="AI7" s="13">
        <f>IF('Données projet'!$A$72&gt;35,AI6+AH7-AQ6,IF(A7&lt;'Données projet'!$A$72,$AF$205^A7,IF(A7='Données projet'!$A$72,'Données projet'!$B$72,AI6+AH7-AQ6)))</f>
        <v>1.8972585507745794</v>
      </c>
      <c r="AJ7" s="13">
        <f>AI7*VLOOKUP('Données projet'!$B$10,Paramètres!$A$1:$I$89,3,0)*VLOOKUP('Données projet'!$B$10,Paramètres!$A$1:$I$89,5,0)</f>
        <v>1.7166395367408394</v>
      </c>
      <c r="AK7" s="13">
        <f t="shared" si="65"/>
        <v>0.74287291975378222</v>
      </c>
      <c r="AL7" s="20">
        <f t="shared" si="4"/>
        <v>4.283650861728133</v>
      </c>
      <c r="AM7" s="59">
        <f t="shared" si="5"/>
        <v>297.61698419506143</v>
      </c>
      <c r="AN7" s="59">
        <f ca="1">AVERAGE(OFFSET($AM$3,0,0,'Données projet'!$E$10+1,1))-AVERAGE(OFFSET($H$3,0,0,'Données projet'!$E$10+1,1))</f>
        <v>270.87836509222456</v>
      </c>
      <c r="AO7" s="59">
        <f t="shared" si="66"/>
        <v>205.24998237949734</v>
      </c>
      <c r="AP7" s="15">
        <f>IF(ISNA(VLOOKUP(A7,'Données projet'!$A$71:$I$91,3,0)),0,VLOOKUP(A7,'Données projet'!$A$71:$I$91,3,0))</f>
        <v>0</v>
      </c>
      <c r="AQ7" s="15">
        <f>IF(ISNA(VLOOKUP(A7,'Données projet'!$A$71:$I$91,4,0)),0,VLOOKUP(A7,'Données projet'!$A$71:$I$91,4,0))</f>
        <v>0</v>
      </c>
      <c r="AR7" s="16">
        <f>IF(ISNA(VLOOKUP(A7,'Données projet'!$A$71:$I$91,5,0)),0%,VLOOKUP(A7,'Données projet'!$A$71:$I$91,5,0)*VLOOKUP('Données projet'!$B$10,Paramètres!$A$1:$I$89,7,0))</f>
        <v>0</v>
      </c>
      <c r="AS7" s="16">
        <f>IF(ISNA(VLOOKUP(A7,'Données projet'!$A$71:$I$91,6,0)),0%,VLOOKUP(A7,'Données projet'!$A$71:$I$91,6,0)*VLOOKUP('Données projet'!$B$10,Paramètres!$A$1:$I$89,7,0))</f>
        <v>0</v>
      </c>
      <c r="AT7" s="16">
        <f>IF(ISNA(VLOOKUP(A7,'Données projet'!$A$71:$I$91,7,0)),0%,VLOOKUP(A7,'Données projet'!$A$71:$I$91,7,0))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projet'!$A$97:$I$117,2,0)</f>
        <v>#N/A</v>
      </c>
      <c r="BB7" s="12" t="e">
        <f>VLOOKUP(A7,'Données projet'!$A$97:$I$117,9,0)</f>
        <v>#N/A</v>
      </c>
      <c r="BC7" s="12">
        <f t="array" ref="BC7">INDEX(BB:BB,MIN(IF(ISNUMBER(BB7:BB203),ROW(BB7:BB203),"")))</f>
        <v>10.16068376068376</v>
      </c>
      <c r="BD7" s="12">
        <f>IF('Données projet'!$A$98&gt;35,BD6+BC7-BL6,IF(A7&lt;'Données projet'!$A$98,$BA$205^A7,IF(A7='Données projet'!$A$98,'Données projet'!$B$98,BD6+BC7-BL6)))</f>
        <v>3.1820727006504042</v>
      </c>
      <c r="BE7" s="13">
        <f>BD7*VLOOKUP('Données projet'!$B$11,Paramètres!$A$1:$I$89,3,0)*VLOOKUP('Données projet'!$B$11,Paramètres!$A$1:$I$89,5,0)</f>
        <v>1.4064761336874787</v>
      </c>
      <c r="BF7" s="13">
        <f t="shared" si="67"/>
        <v>0.62293369723807945</v>
      </c>
      <c r="BG7" s="20">
        <f t="shared" si="7"/>
        <v>3.5345554555286793</v>
      </c>
      <c r="BH7" s="59">
        <f t="shared" si="8"/>
        <v>296.86788878886199</v>
      </c>
      <c r="BI7" s="59">
        <f ca="1">AVERAGE(OFFSET($BH$3,0,0,'Données projet'!$E$11+1,1))-AVERAGE(OFFSET($H$3,0,0,'Données projet'!$E$11+1,1))</f>
        <v>211.31057120485542</v>
      </c>
      <c r="BJ7" s="59">
        <f t="shared" si="68"/>
        <v>283.33292006714777</v>
      </c>
      <c r="BK7" s="15">
        <f>IF(ISNA(VLOOKUP(A7,'Données projet'!$A$97:$I$117,3,0)),0,VLOOKUP(A7,'Données projet'!$A$97:$I$117,3,0))</f>
        <v>0</v>
      </c>
      <c r="BL7" s="15">
        <f>IF(ISNA(VLOOKUP(A7,'Données projet'!$A$97:$I$117,4,0)),0,VLOOKUP(A7,'Données projet'!$A$97:$I$117,4,0))</f>
        <v>0</v>
      </c>
      <c r="BM7" s="16">
        <f>IF(ISNA(VLOOKUP(A7,'Données projet'!$A$97:$I$117,5,0)),0%,VLOOKUP(A7,'Données projet'!$A$97:$I$117,5,0)*VLOOKUP('Données projet'!$B$11,Paramètres!$A$1:$I$89,7,0))</f>
        <v>0</v>
      </c>
      <c r="BN7" s="16">
        <f>IF(ISNA(VLOOKUP(A7,'Données projet'!$A$97:$I$117,6,0)),0%,VLOOKUP(A7,'Données projet'!$A$97:$I$117,6,0)*VLOOKUP('Données projet'!$B$11,Paramètres!$A$1:$I$89,7,0))</f>
        <v>0</v>
      </c>
      <c r="BO7" s="16">
        <f>IF(ISNA(VLOOKUP(A7,'Données projet'!$A$97:$I$117,7,0)),0%,VLOOKUP(A7,'Données projet'!$A$97:$I$117,7,0))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projet'!$A$123:$I$143,2,0)</f>
        <v>#N/A</v>
      </c>
      <c r="BW7" s="12" t="e">
        <f>VLOOKUP(A7,'Données projet'!$A$123:$I$143,9,0)</f>
        <v>#N/A</v>
      </c>
      <c r="BX7" s="12">
        <f t="array" ref="BX7">INDEX(BW:BW,MIN(IF(ISNUMBER(BW7:BW203),ROW(BW7:BW203),"")))</f>
        <v>2.9</v>
      </c>
      <c r="BY7" s="12">
        <f>IF('Données projet'!$A$124&gt;35,BY6+BX7-CG6,IF(A7&lt;'Données projet'!$A$124,$BV$205^A7,IF(A7='Données projet'!$A$124,'Données projet'!$B$124,BY6+BX7-CG6)))</f>
        <v>3.8455565234187756</v>
      </c>
      <c r="BZ7" s="13">
        <f>BY7*VLOOKUP('Données projet'!$B$12,Paramètres!$A$1:$I$89,3,0)*VLOOKUP('Données projet'!$B$12,Paramètres!$A$1:$I$89,5,0)</f>
        <v>4.0193756782773047</v>
      </c>
      <c r="CA7" s="13">
        <f t="shared" si="69"/>
        <v>1.5753846299758951</v>
      </c>
      <c r="CB7" s="20">
        <f t="shared" si="10"/>
        <v>9.7442075368743222</v>
      </c>
      <c r="CC7" s="59">
        <f t="shared" si="11"/>
        <v>303.07754087020766</v>
      </c>
      <c r="CD7" s="59">
        <f ca="1">AVERAGE(OFFSET($CC$3,0,0,'Données projet'!$E$12+1,1))-AVERAGE(OFFSET($H$3,0,0,'Données projet'!$E$12+1,1))</f>
        <v>322.93502595881938</v>
      </c>
      <c r="CE7" s="59">
        <f t="shared" si="70"/>
        <v>302.67072119588164</v>
      </c>
      <c r="CF7" s="15">
        <f>IF(ISNA(VLOOKUP(A7,'Données projet'!$A$123:$I$143,3,0)),0,VLOOKUP(A7,'Données projet'!$A$123:$I$143,3,0))</f>
        <v>0</v>
      </c>
      <c r="CG7" s="15">
        <f>IF(ISNA(VLOOKUP(A7,'Données projet'!$A$123:$I$143,4,0)),0,VLOOKUP(A7,'Données projet'!$A$123:$I$143,4,0))</f>
        <v>0</v>
      </c>
      <c r="CH7" s="16">
        <f>IF(ISNA(VLOOKUP(A7,'Données projet'!$A$123:$I$143,5,0)),0%,VLOOKUP(A7,'Données projet'!$A$123:$I$143,5,0)*VLOOKUP('Données projet'!$B$12,Paramètres!$A$1:$I$89,7,0))</f>
        <v>0</v>
      </c>
      <c r="CI7" s="16">
        <f>IF(ISNA(VLOOKUP(A7,'Données projet'!$A$123:$I$143,6,0)),0%,VLOOKUP(A7,'Données projet'!$A$123:$I$143,6,0)*VLOOKUP('Données projet'!$B$12,Paramètres!$A$1:$I$89,7,0))</f>
        <v>0</v>
      </c>
      <c r="CJ7" s="16">
        <f>IF(ISNA(VLOOKUP(A7,'Données projet'!$A$123:$I$143,7,0)),0%,VLOOKUP(A7,'Données projet'!$A$123:$I$143,7,0))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projet'!$A$149:$I$169,2,0)</f>
        <v>#N/A</v>
      </c>
      <c r="CR7" s="12" t="e">
        <f>VLOOKUP(A7,'Données projet'!$A$149:$I$169,9,0)</f>
        <v>#N/A</v>
      </c>
      <c r="CS7" s="12">
        <f t="array" ref="CS7">INDEX(CR:CR,MIN(IF(ISNUMBER(CR7:CR203),ROW(CR7:CR203),"")))</f>
        <v>2.9235042735042733</v>
      </c>
      <c r="CT7" s="12">
        <f>IF('Données projet'!$A$150&gt;35,CT6+CS7-DB6,IF(A7&lt;'Données projet'!$A$150,$CQ$205^A7,IF(A7='Données projet'!$A$150,'Données projet'!$B$150,CT6+CS7-DB6)))</f>
        <v>1.8158083060704666</v>
      </c>
      <c r="CU7" s="17">
        <f>CT7*VLOOKUP('Données projet'!$B$13,Paramètres!$A$1:$I$89,3,0)*VLOOKUP('Données projet'!$B$13,Paramètres!$A$1:$I$89,5,0)</f>
        <v>1.8412296223554532</v>
      </c>
      <c r="CV7" s="13">
        <f t="shared" si="71"/>
        <v>0.7903172340072443</v>
      </c>
      <c r="CW7" s="20">
        <f t="shared" si="13"/>
        <v>4.5832774414983648</v>
      </c>
      <c r="CX7" s="59">
        <f t="shared" si="14"/>
        <v>297.91661077483167</v>
      </c>
      <c r="CY7" s="59">
        <f ca="1">AVERAGE(OFFSET($CX$3,0,0,'Données projet'!$E$13+1,1))-AVERAGE(OFFSET($H$3,0,0,'Données projet'!$E$13+1,1))</f>
        <v>250.31277422753283</v>
      </c>
      <c r="CZ7" s="59">
        <f t="shared" si="72"/>
        <v>159.20429420478047</v>
      </c>
      <c r="DA7" s="15">
        <f>IF(ISNA(VLOOKUP(A7,'Données projet'!$A$149:$I$169,3,0)),0,VLOOKUP(A7,'Données projet'!$A$149:$I$169,3,0))</f>
        <v>0</v>
      </c>
      <c r="DB7" s="15">
        <f>IF(ISNA(VLOOKUP(A7,'Données projet'!$A$149:$I$169,4,0)),0,VLOOKUP(A7,'Données projet'!$A$149:$I$169,4,0))</f>
        <v>0</v>
      </c>
      <c r="DC7" s="16">
        <f>IF(ISNA(VLOOKUP(A7,'Données projet'!$A$149:$I$169,5,0)),0%,VLOOKUP(A7,'Données projet'!$A$149:$I$169,5,0)*VLOOKUP('Données projet'!$B$13,Paramètres!$A$1:$I$89,7,0))</f>
        <v>0</v>
      </c>
      <c r="DD7" s="16">
        <f>IF(ISNA(VLOOKUP(A7,'Données projet'!$A$149:$I$169,6,0)),0%,VLOOKUP(A7,'Données projet'!$A$149:$I$169,6,0)*VLOOKUP('Données projet'!$B$13,Paramètres!$A$1:$I$89,7,0))</f>
        <v>0</v>
      </c>
      <c r="DE7" s="16">
        <f>IF(ISNA(VLOOKUP(A7,'Données projet'!$A$149:$I$169,7,0)),0%,VLOOKUP(A7,'Données projet'!$A$149:$I$169,7,0))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projet'!$A$175:$I$195,2,0)</f>
        <v>#N/A</v>
      </c>
      <c r="DM7" s="12" t="e">
        <f>VLOOKUP(A7,'Données projet'!$A$175:$I$195,9,0)</f>
        <v>#N/A</v>
      </c>
      <c r="DN7" s="12">
        <f t="array" ref="DN7">INDEX(DM:DM,MIN(IF(ISNUMBER(DM7:DM203),ROW(DM7:DM203),"")))</f>
        <v>1.9</v>
      </c>
      <c r="DO7" s="12">
        <f>IF('Données projet'!$A$176&gt;35,DO6+DN7-DW6,IF(A7&lt;'Données projet'!$A$176,$DL$205^A7,IF(A7='Données projet'!$A$176,'Données projet'!$B$176,DO6+DN7-DW6)))</f>
        <v>3.247143191135669</v>
      </c>
      <c r="DP7" s="17">
        <f>DO7*VLOOKUP('Données projet'!$B$14,Paramètres!$A$1:$I$89,3,0)*VLOOKUP('Données projet'!$B$14,Paramètres!$A$1:$I$89,5,0)</f>
        <v>2.3808053877406725</v>
      </c>
      <c r="DQ7" s="13">
        <f t="shared" si="73"/>
        <v>0.99180273134383279</v>
      </c>
      <c r="DR7" s="20">
        <f t="shared" si="16"/>
        <v>5.8739591407388465</v>
      </c>
      <c r="DS7" s="59">
        <f t="shared" si="17"/>
        <v>299.20729247407218</v>
      </c>
      <c r="DT7" s="59">
        <f ca="1">AVERAGE(OFFSET($DS$3,0,0,'Données projet'!$E$14+1,1))-AVERAGE(OFFSET($H$3,0,0,'Données projet'!$E$14+1,1))</f>
        <v>296.91321813251051</v>
      </c>
      <c r="DU7" s="59">
        <f t="shared" si="74"/>
        <v>291.0718079639509</v>
      </c>
      <c r="DV7" s="15">
        <f>IF(ISNA(VLOOKUP(A7,'Données projet'!$A$175:$I$195,3,0)),0,VLOOKUP(A7,'Données projet'!$A$175:$I$195,3,0))</f>
        <v>0</v>
      </c>
      <c r="DW7" s="15">
        <f>IF(ISNA(VLOOKUP(A7,'Données projet'!$A$175:$I$195,4,0)),0,VLOOKUP(A7,'Données projet'!$A$175:$I$195,4,0))</f>
        <v>0</v>
      </c>
      <c r="DX7" s="16">
        <f>IF(ISNA(VLOOKUP(A7,'Données projet'!$A$175:$I$195,5,0)),0%,VLOOKUP(A7,'Données projet'!$A$175:$I$195,5,0)*VLOOKUP('Données projet'!$B$14,Paramètres!$A$1:$I$89,7,0))</f>
        <v>0</v>
      </c>
      <c r="DY7" s="16">
        <f>IF(ISNA(VLOOKUP(A7,'Données projet'!$A$175:$I$195,6,0)),0%,VLOOKUP(A7,'Données projet'!$A$175:$I$195,6,0)*VLOOKUP('Données projet'!$B$14,Paramètres!$A$1:$I$89,7,0))</f>
        <v>0</v>
      </c>
      <c r="DZ7" s="16">
        <f>IF(ISNA(VLOOKUP(A7,'Données projet'!$A$175:$I$195,7,0)),0%,VLOOKUP(A7,'Données projet'!$A$175:$I$195,7,0))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projet'!$A$201:$I$221,2,0)</f>
        <v>#N/A</v>
      </c>
      <c r="EH7" s="12" t="e">
        <f>VLOOKUP(A7,'Données projet'!$A$201:$I$221,9,0)</f>
        <v>#N/A</v>
      </c>
      <c r="EI7" s="12">
        <f t="array" ref="EI7">INDEX(EH:EH,MIN(IF(ISNUMBER(EH7:EH203),ROW(EH7:EH203),"")))</f>
        <v>3.4425641025641025</v>
      </c>
      <c r="EJ7" s="12">
        <f>IF('Données projet'!$A$202&gt;35,EJ6+EI7-ER6,IF(A7&lt;'Données projet'!$A$202,$EG$205^A7,IF(A7='Données projet'!$A$202,'Données projet'!$B$202,EJ6+EI7-ER6)))</f>
        <v>1.8558111173927514</v>
      </c>
      <c r="EK7" s="17">
        <f>EJ7*VLOOKUP('Données projet'!$B$15,Paramètres!$A$1:$I$89,3,0)*VLOOKUP('Données projet'!$B$15,Paramètres!$A$1:$I$89,5,0)</f>
        <v>0.86851960293980757</v>
      </c>
      <c r="EL7" s="13">
        <f t="shared" si="75"/>
        <v>0.40687194183965542</v>
      </c>
      <c r="EM7" s="20">
        <f t="shared" si="19"/>
        <v>2.2213069404908978</v>
      </c>
      <c r="EN7" s="59">
        <f t="shared" si="20"/>
        <v>295.55464027382419</v>
      </c>
      <c r="EO7" s="59">
        <f ca="1">AVERAGE(OFFSET($EN$3,0,0,'Données projet'!$E$15+1,1))-AVERAGE(OFFSET($H$3,0,0,'Données projet'!$E$15+1,1))</f>
        <v>147.64256291235483</v>
      </c>
      <c r="EP7" s="59">
        <f t="shared" si="76"/>
        <v>70.859031694091868</v>
      </c>
      <c r="EQ7" s="15">
        <f>IF(ISNA(VLOOKUP(A7,'Données projet'!$A$201:$I$221,3,0)),0,VLOOKUP(A7,'Données projet'!$A$201:$I$221,3,0))</f>
        <v>0</v>
      </c>
      <c r="ER7" s="15">
        <f>IF(ISNA(VLOOKUP(A7,'Données projet'!$A$201:$I$221,4,0)),0,VLOOKUP(A7,'Données projet'!$A$201:$I$221,4,0))</f>
        <v>0</v>
      </c>
      <c r="ES7" s="16">
        <f>IF(ISNA(VLOOKUP(A7,'Données projet'!$A$201:$I$221,5,0)),0%,VLOOKUP(A7,'Données projet'!$A$201:$I$221,5,0)*VLOOKUP('Données projet'!$B$15,Paramètres!$A$1:$I$89,7,0))</f>
        <v>0</v>
      </c>
      <c r="ET7" s="16">
        <f>IF(ISNA(VLOOKUP(A7,'Données projet'!$A$201:$I$221,6,0)),0%,VLOOKUP(A7,'Données projet'!$A$201:$I$221,6,0)*VLOOKUP('Données projet'!$B$15,Paramètres!$A$1:$I$89,7,0))</f>
        <v>0</v>
      </c>
      <c r="EU7" s="16">
        <f>IF(ISNA(VLOOKUP(A7,'Données projet'!$A$201:$I$221,7,0)),0%,VLOOKUP(A7,'Données projet'!$A$201:$I$221,7,0))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projet'!$A$227:$I$247,2,0)</f>
        <v>#N/A</v>
      </c>
      <c r="FC7" s="12" t="e">
        <f>VLOOKUP(A7,'Données projet'!$A$227:$I$247,9,0)</f>
        <v>#N/A</v>
      </c>
      <c r="FD7" s="12">
        <f t="array" ref="FD7">INDEX(FC:FC,MIN(IF(ISNUMBER(FC7:FC203),ROW(FC7:FC203),"")))</f>
        <v>1.8</v>
      </c>
      <c r="FE7" s="12">
        <f>IF('Données projet'!$A$228&gt;35,FE6+FD7-FM6,IF(A7&lt;'Données projet'!$A$228,$FB$205^A7,IF(A7='Données projet'!$A$228,'Données projet'!$B$228,FE6+FD7-FM6)))</f>
        <v>3.1776715231464374</v>
      </c>
      <c r="FF7" s="17">
        <f>FE7*VLOOKUP('Données projet'!$B$16,Paramètres!$A$1:$I$89,3,0)*VLOOKUP('Données projet'!$B$16,Paramètres!$A$1:$I$89,5,0)</f>
        <v>3.3213022759926569</v>
      </c>
      <c r="FG7" s="13">
        <f t="shared" si="77"/>
        <v>1.331006480014882</v>
      </c>
      <c r="FH7" s="20">
        <f t="shared" si="22"/>
        <v>8.1027710833797961</v>
      </c>
      <c r="FI7" s="59">
        <f t="shared" si="23"/>
        <v>301.43610441671314</v>
      </c>
      <c r="FJ7" s="59">
        <f ca="1">AVERAGE(OFFSET($FI$3,0,0,'Données projet'!$E$16+1,1))-AVERAGE(OFFSET($H$3,0,0,'Données projet'!$E$16+1,1))</f>
        <v>259.03906550253788</v>
      </c>
      <c r="FK7" s="59">
        <f t="shared" si="78"/>
        <v>235.54542903570831</v>
      </c>
      <c r="FL7" s="15">
        <f>IF(ISNA(VLOOKUP(A7,'Données projet'!$A$227:$I$247,3,0)),0,VLOOKUP(A7,'Données projet'!$A$227:$I$247,3,0))</f>
        <v>0</v>
      </c>
      <c r="FM7" s="15">
        <f>IF(ISNA(VLOOKUP(A7,'Données projet'!$A$227:$I$247,4,0)),0,VLOOKUP(A7,'Données projet'!$A$227:$I$247,4,0))</f>
        <v>0</v>
      </c>
      <c r="FN7" s="16">
        <f>IF(ISNA(VLOOKUP(A7,'Données projet'!$A$227:$I$247,5,0)),0%,VLOOKUP(A7,'Données projet'!$A$227:$I$247,5,0)*VLOOKUP('Données projet'!$B$16,Paramètres!$A$1:$I$89,7,0))</f>
        <v>0</v>
      </c>
      <c r="FO7" s="16">
        <f>IF(ISNA(VLOOKUP(A7,'Données projet'!$A$227:$I$247,6,0)),0%,VLOOKUP(A7,'Données projet'!$A$227:$I$247,6,0)*VLOOKUP('Données projet'!$B$16,Paramètres!$A$1:$I$89,7,0))</f>
        <v>0</v>
      </c>
      <c r="FP7" s="16">
        <f>IF(ISNA(VLOOKUP(A7,'Données projet'!$A$227:$I$247,7,0)),0%,VLOOKUP(A7,'Données projet'!$A$227:$I$247,7,0))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projet'!$A$253:$I$273,2,0)</f>
        <v>#N/A</v>
      </c>
      <c r="FX7" s="12" t="e">
        <f>VLOOKUP(A7,'Données projet'!$A$253:$I$273,9,0)</f>
        <v>#N/A</v>
      </c>
      <c r="FY7" s="12">
        <f t="array" ref="FY7">INDEX(FX:FX,MIN(IF(ISNUMBER(FX7:FX203),ROW(FX7:FX203),"")))</f>
        <v>2.4666666666666668</v>
      </c>
      <c r="FZ7" s="12">
        <f>IF('Données projet'!$A$254&gt;35,FZ6+FY7-GH6,IF(A7&lt;'Données projet'!$A$254,$FW$205^A7,IF(A7='Données projet'!$A$254,'Données projet'!$B$254,FZ6+FY7-GH6)))</f>
        <v>2.6193113595857573</v>
      </c>
      <c r="GA7" s="17">
        <f>FZ7*VLOOKUP('Données projet'!$B$17,Paramètres!$A$1:$I$89,3,0)*VLOOKUP('Données projet'!$B$17,Paramètres!$A$1:$I$89,5,0)</f>
        <v>2.2882304037341177</v>
      </c>
      <c r="GB7" s="13">
        <f t="shared" si="79"/>
        <v>0.95764830769786036</v>
      </c>
      <c r="GC7" s="20">
        <f t="shared" si="25"/>
        <v>5.6532387557440282</v>
      </c>
      <c r="GD7" s="59">
        <f t="shared" si="26"/>
        <v>298.98657208907736</v>
      </c>
      <c r="GE7" s="59">
        <f ca="1">AVERAGE(OFFSET($GD$3,0,0,'Données projet'!$E$17+1,1))-AVERAGE(OFFSET($H$3,0,0,'Données projet'!$E$17+1,1))</f>
        <v>245.1983232777614</v>
      </c>
      <c r="GF7" s="59">
        <f t="shared" si="80"/>
        <v>242.34010522344573</v>
      </c>
      <c r="GG7" s="15">
        <f>IF(ISNA(VLOOKUP(A7,'Données projet'!$A$253:$I$273,3,0)),0,VLOOKUP(A7,'Données projet'!$A$253:$I$273,3,0))</f>
        <v>0</v>
      </c>
      <c r="GH7" s="15">
        <f>IF(ISNA(VLOOKUP(A7,'Données projet'!$A$253:$I$273,4,0)),0,VLOOKUP(A7,'Données projet'!$A$253:$I$273,4,0))</f>
        <v>0</v>
      </c>
      <c r="GI7" s="16">
        <f>IF(ISNA(VLOOKUP(A7,'Données projet'!$A$253:$I$273,5,0)),0%,VLOOKUP(A7,'Données projet'!$A$253:$I$273,5,0)*VLOOKUP('Données projet'!$B$17,Paramètres!$A$1:$I$89,7,0))</f>
        <v>0</v>
      </c>
      <c r="GJ7" s="16">
        <f>IF(ISNA(VLOOKUP(A7,'Données projet'!$A$253:$I$273,6,0)),0%,VLOOKUP(A7,'Données projet'!$A$253:$I$273,6,0)*VLOOKUP('Données projet'!$B$17,Paramètres!$A$1:$I$89,7,0))</f>
        <v>0</v>
      </c>
      <c r="GK7" s="16">
        <f>IF(ISNA(VLOOKUP(A7,'Données projet'!$A$253:$I$273,7,0)),0%,VLOOKUP(A7,'Données projet'!$A$253:$I$273,7,0))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projet'!$A$279:$I$299,2,0)</f>
        <v>#N/A</v>
      </c>
      <c r="GS7" s="12" t="e">
        <f>VLOOKUP(A7,'Données projet'!$A$279:$I$299,9,0)</f>
        <v>#N/A</v>
      </c>
      <c r="GT7" s="12">
        <f t="array" ref="GT7">INDEX(GS:GS,MIN(IF(ISNUMBER(GS7:GS203),ROW(GS7:GS203),"")))</f>
        <v>4.1333333333333337</v>
      </c>
      <c r="GU7" s="12">
        <f>IF('Données projet'!$A$280&gt;35,GU6+GT7-HC6,IF(A7&lt;'Données projet'!$A$280,$GR$205^A7,IF(A7='Données projet'!$A$280,'Données projet'!$B$280,GU6+GT7-HC6)))</f>
        <v>3.0058763898533787</v>
      </c>
      <c r="GV7" s="17">
        <f>GU7*VLOOKUP('Données projet'!$B$18,Paramètres!$A$1:$I$89,3,0)*VLOOKUP('Données projet'!$B$18,Paramètres!$A$1:$I$89,5,0)</f>
        <v>1.2113681851109117</v>
      </c>
      <c r="GW7" s="13">
        <f t="shared" si="81"/>
        <v>0.54592738841112431</v>
      </c>
      <c r="GX7" s="20">
        <f t="shared" si="28"/>
        <v>3.0606231238842128</v>
      </c>
      <c r="GY7" s="59">
        <f t="shared" si="29"/>
        <v>296.39395645721754</v>
      </c>
      <c r="GZ7" s="59">
        <f ca="1">AVERAGE(OFFSET($GY$3,0,0,'Données projet'!$E$18+1,1))-AVERAGE(OFFSET($H$3,0,0,'Données projet'!$E$18+1,1))</f>
        <v>324.36162935850876</v>
      </c>
      <c r="HA7" s="59">
        <f t="shared" si="82"/>
        <v>265.23571072429735</v>
      </c>
      <c r="HB7" s="15">
        <f>IF(ISNA(VLOOKUP(A7,'Données projet'!$A$279:$I$299,3,0)),0,VLOOKUP(A7,'Données projet'!$A$279:$I$299,3,0))</f>
        <v>0</v>
      </c>
      <c r="HC7" s="15">
        <f>IF(ISNA(VLOOKUP(A7,'Données projet'!$A$279:$I$299,4,0)),0,VLOOKUP(A7,'Données projet'!$A$279:$I$299,4,0))</f>
        <v>0</v>
      </c>
      <c r="HD7" s="16">
        <f>IF(ISNA(VLOOKUP(A7,'Données projet'!$A$279:$I$299,5,0)),0%,VLOOKUP(A7,'Données projet'!$A$279:$I$299,5,0)*VLOOKUP('Données projet'!$B$18,Paramètres!$A$1:$I$89,7,0))</f>
        <v>0</v>
      </c>
      <c r="HE7" s="16">
        <f>IF(ISNA(VLOOKUP(A7,'Données projet'!$A$279:$I$299,6,0)),0%,VLOOKUP(A7,'Données projet'!$A$279:$I$299,6,0)*VLOOKUP('Données projet'!$B$18,Paramètres!$A$1:$I$89,7,0))</f>
        <v>0</v>
      </c>
      <c r="HF7" s="16">
        <f>IF(ISNA(VLOOKUP($A7,'Données projet'!$A$279:$I$299,7,0)),0%,VLOOKUP($A7,'Données projet'!$A$279:$I$299,7,0))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  <c r="HK7" s="74">
        <f>('Scénario référence'!$F$8+'Scénario référence'!$F$9+'Scénario référence'!$B$17+'Scénario référence'!$B$9+'Scénario référence'!$B$10)*70+IF((45+25*(1-EXP(-0.0175*$A7)))&lt;70,'Scénario référence'!$B$16*(45+25*(1-EXP(-0.0175*$A7))),70*'Scénario référence'!$B$16)+IF((32+38*(1-EXP(-0.0175*$A7)))&lt;70,'Scénario référence'!$B$18*(32+38*(1-EXP(-0.0175*$A7))),70*'Scénario référence'!$B$18)</f>
        <v>70</v>
      </c>
      <c r="HL7" s="12">
        <f>IF($A7&gt;30,10,('Scénario référence'!$B$16+'Scénario référence'!$B$17+'Scénario référence'!$B$18+'Scénario référence'!$B$9+'Scénario référence'!$B$10)*$A7*10/30+('Scénario référence'!$F$8+'Scénario référence'!$F$9)*10)</f>
        <v>10</v>
      </c>
      <c r="HM7" s="12">
        <f>VLOOKUP($A7,'Données projet'!$A$304:$I$324,2,0)</f>
        <v>6.6838461538461518</v>
      </c>
      <c r="HN7" s="12">
        <f>VLOOKUP($A7,'Données projet'!$A$304:$I$324,9,0)</f>
        <v>4.3738461538461522</v>
      </c>
      <c r="HO7" s="12">
        <f t="array" ref="HO7">INDEX(HN:HN,MIN(IF(ISNUMBER(HN7:HN203),ROW(HN7:HN203),"")))</f>
        <v>4.3738461538461522</v>
      </c>
      <c r="HP7" s="12">
        <f>IF('Données projet'!$A$304&gt;35,HP6+HO7-HX6,IF($A7&lt;'Données projet'!$A$304,$CQ$205^$A7,IF($A7='Données projet'!$A$304,'Données projet'!$B$304,HP6+HO7-HX6)))</f>
        <v>6.6838461538461527</v>
      </c>
      <c r="HQ7" s="17">
        <f>HP7*VLOOKUP('Données projet'!$B$19,Paramètres!$A$1:$I$89,3,0)*VLOOKUP('Données projet'!$B$19,Paramètres!$A$1:$I$89,5,0)</f>
        <v>3.3991367999999995</v>
      </c>
      <c r="HR7" s="13">
        <f t="shared" si="83"/>
        <v>1.3585305157418814</v>
      </c>
      <c r="HS7" s="14">
        <f t="shared" si="31"/>
        <v>8.2862705749171095</v>
      </c>
      <c r="HT7" s="59">
        <f t="shared" si="32"/>
        <v>301.61960390825044</v>
      </c>
      <c r="HU7" s="59">
        <f ca="1">AVERAGE(OFFSET(HT$3,0,0,'Données projet'!$E$19+1,1))-AVERAGE(OFFSET($H$3,0,0,'Données projet'!$E$19+1,1))</f>
        <v>91.60721429656013</v>
      </c>
      <c r="HV7" s="59">
        <f t="shared" si="84"/>
        <v>258.94957804210856</v>
      </c>
      <c r="HW7" s="15">
        <f>IF(ISNA(VLOOKUP($A7,'Données projet'!$A$304:$I$324,3,0)),0,VLOOKUP($A7,'Données projet'!$A$304:$I$324,3,0))</f>
        <v>0</v>
      </c>
      <c r="HX7" s="15">
        <f>IF(ISNA(VLOOKUP($A7,'Données projet'!$A$304:$I$324,4,0)),0,VLOOKUP($A7,'Données projet'!$A$304:$I$324,4,0))</f>
        <v>0</v>
      </c>
      <c r="HY7" s="16">
        <f>IF(ISNA(VLOOKUP($A7,'Données projet'!$A$304:$I$324,5,0)),0%,VLOOKUP($A7,'Données projet'!$A$304:$I$324,5,0)*VLOOKUP('Données projet'!$B$19,Paramètres!$A$1:$I$89,7,0))</f>
        <v>0</v>
      </c>
      <c r="HZ7" s="16">
        <f>IF(ISNA(VLOOKUP($A7,'Données projet'!$A$304:$I$324,6,0)),0%,VLOOKUP($A7,'Données projet'!$A$304:$I$324,6,0)*VLOOKUP('Données projet'!$B$19,Paramètres!$A$1:$I$89,7,0))</f>
        <v>0</v>
      </c>
      <c r="IA7" s="16">
        <f>IF(ISNA(VLOOKUP($A7,'Données projet'!$A$304:$I$324,7,0)),0%,VLOOKUP($A7,'Données projet'!$A$304:$I$324,7,0))</f>
        <v>0</v>
      </c>
      <c r="IB7" s="21">
        <f>EXP(-LN(2)/35)*IB6+(1-EXP(-LN(2)/35))/(LN(2)/35)*HX7*HY7*VLOOKUP('Données projet'!$B$19,Paramètres!$A$1:$I$89,3,0)*0.475*44/12</f>
        <v>0</v>
      </c>
      <c r="IC7" s="21">
        <f>EXP(-LN(2)/25)*IC6+(1-EXP(-LN(2)/25))/(LN(2)/25)*Calculateur!HX7*Calculateur!HZ7*VLOOKUP('Données projet'!$B$19,Paramètres!$A$1:$I$89,3,0)*0.475*44/12</f>
        <v>0</v>
      </c>
      <c r="ID7" s="21">
        <f>EXP(-LN(2)/2)*ID6+(1-EXP(-LN(2)/2))/(LN(2)/2)*HX7*IA7*VLOOKUP('Données projet'!$B$19,Paramètres!$A$1:$I$89,3,0)*0.475*44/12</f>
        <v>0</v>
      </c>
      <c r="IE7" s="22">
        <f t="shared" si="33"/>
        <v>0</v>
      </c>
      <c r="IF7" s="74">
        <f>('Scénario référence'!$F$8+'Scénario référence'!$F$9+'Scénario référence'!$B$17+'Scénario référence'!$B$9+'Scénario référence'!$B$10)*70+IF((45+25*(1-EXP(-0.0175*$A7)))&lt;70,'Scénario référence'!$B$16*(45+25*(1-EXP(-0.0175*$A7))),70*'Scénario référence'!$B$16)+IF((32+38*(1-EXP(-0.0175*$A7)))&lt;70,'Scénario référence'!$B$18*(32+38*(1-EXP(-0.0175*$A7))),70*'Scénario référence'!$B$18)</f>
        <v>70</v>
      </c>
      <c r="IG7" s="12">
        <f>IF($A7&gt;30,10,('Scénario référence'!$B$16+'Scénario référence'!$B$17+'Scénario référence'!$B$18+'Scénario référence'!$B$9+'Scénario référence'!$B$10)*$A7*10/30+('Scénario référence'!$F$8+'Scénario référence'!$F$9)*10)</f>
        <v>10</v>
      </c>
      <c r="IH7" s="12">
        <f>VLOOKUP($A7,'Données projet'!$A$330:$I$350,2,0)</f>
        <v>6.6838461538461518</v>
      </c>
      <c r="II7" s="12">
        <f>VLOOKUP($A7,'Données projet'!$A$330:$I$350,9,0)</f>
        <v>4.3738461538461522</v>
      </c>
      <c r="IJ7" s="12">
        <f t="array" ref="IJ7">INDEX(II:II,MIN(IF(ISNUMBER(II7:II203),ROW(II7:II203),"")))</f>
        <v>4.3738461538461522</v>
      </c>
      <c r="IK7" s="12">
        <f>IF('Données projet'!$A$330&gt;35,IK6+IJ7-IS6,IF($A7&lt;'Données projet'!$A$330,$CQ$205^$A7,IF($A7='Données projet'!$A$330,'Données projet'!$B$330,IK6+IJ7-IS6)))</f>
        <v>6.6838461538461527</v>
      </c>
      <c r="IL7" s="17">
        <f>IK7*VLOOKUP('Données projet'!$B$20,Paramètres!$A$1:$I$89,3,0)*VLOOKUP('Données projet'!$B$20,Paramètres!$A$1:$I$89,5,0)</f>
        <v>3.3991367999999995</v>
      </c>
      <c r="IM7" s="13">
        <f t="shared" si="85"/>
        <v>1.3585305157418814</v>
      </c>
      <c r="IN7" s="20">
        <f t="shared" si="86"/>
        <v>8.2862705749171095</v>
      </c>
      <c r="IO7" s="59">
        <f t="shared" si="87"/>
        <v>301.61960390825044</v>
      </c>
      <c r="IP7" s="59">
        <f ca="1">AVERAGE(OFFSET(IO$3,0,0,'Données projet'!$E$20+1,1))-AVERAGE(OFFSET($H$3,0,0,'Données projet'!$E$20+1,1))</f>
        <v>91.60721429656013</v>
      </c>
      <c r="IQ7" s="59">
        <f t="shared" si="88"/>
        <v>258.94957804210856</v>
      </c>
      <c r="IR7" s="15">
        <f>IF(ISNA(VLOOKUP($A7,'Données projet'!$A$330:$I$350,3,0)),0,VLOOKUP($A7,'Données projet'!$A$330:$I$350,3,0))</f>
        <v>0</v>
      </c>
      <c r="IS7" s="15">
        <f>IF(ISNA(VLOOKUP($A7,'Données projet'!$A$330:$I$350,4,0)),0,VLOOKUP($A7,'Données projet'!$A$330:$I$350,4,0))</f>
        <v>0</v>
      </c>
      <c r="IT7" s="16">
        <f>IF(ISNA(VLOOKUP($A7,'Données projet'!$A$330:$I$350,5,0)),0%,VLOOKUP($A7,'Données projet'!$A$330:$I$350,5,0)*VLOOKUP('Données projet'!$B$20,Paramètres!$A$1:$I$89,7,0))</f>
        <v>0</v>
      </c>
      <c r="IU7" s="16">
        <f>IF(ISNA(VLOOKUP($A7,'Données projet'!$A$330:$I$350,6,0)),0%,VLOOKUP($A7,'Données projet'!$A$330:$I$350,6,0)*VLOOKUP('Données projet'!$B$20,Paramètres!$A$1:$I$89,7,0))</f>
        <v>0</v>
      </c>
      <c r="IV7" s="16">
        <f>IF(ISNA(VLOOKUP($A7,'Données projet'!$A$330:$I$350,7,0)),0%,VLOOKUP($A7,'Données projet'!$A$330:$I$350,7,0))</f>
        <v>0</v>
      </c>
      <c r="IW7" s="21">
        <f>EXP(-LN(2)/35)*IW6+(1-EXP(-LN(2)/35))/(LN(2)/35)*IS7*IT7*VLOOKUP('Données projet'!$B$20,Paramètres!$A$1:$I$89,3,0)*0.475*44/12</f>
        <v>0</v>
      </c>
      <c r="IX7" s="21">
        <f>EXP(-LN(2)/25)*IX6+(1-EXP(-LN(2)/25))/(LN(2)/25)*Calculateur!IS7*Calculateur!IU7*VLOOKUP('Données projet'!$B$20,Paramètres!$A$1:$I$89,3,0)*0.475*44/12</f>
        <v>0</v>
      </c>
      <c r="IY7" s="21">
        <f>EXP(-LN(2)/2)*IY6+(1-EXP(-LN(2)/2))/(LN(2)/2)*IS7*IV7*VLOOKUP('Données projet'!$B$20,Paramètres!$A$1:$I$89,3,0)*0.475*44/12</f>
        <v>0</v>
      </c>
      <c r="IZ7" s="22">
        <f t="shared" si="89"/>
        <v>0</v>
      </c>
      <c r="JA7" s="74">
        <f>('Scénario référence'!$F$8+'Scénario référence'!$F$9+'Scénario référence'!$B$17+'Scénario référence'!$B$9+'Scénario référence'!$B$10)*70+IF((45+25*(1-EXP(-0.0175*$A7)))&lt;70,'Scénario référence'!$B$16*(45+25*(1-EXP(-0.0175*$A7))),70*'Scénario référence'!$B$16)+IF((32+38*(1-EXP(-0.0175*$A7)))&lt;70,'Scénario référence'!$B$18*(32+38*(1-EXP(-0.0175*$A7))),70*'Scénario référence'!$B$18)</f>
        <v>70</v>
      </c>
      <c r="JB7" s="12">
        <f>IF($A7&gt;30,10,('Scénario référence'!$B$16+'Scénario référence'!$B$17+'Scénario référence'!$B$18+'Scénario référence'!$B$9+'Scénario référence'!$B$10)*$A7*10/30+('Scénario référence'!$F$8+'Scénario référence'!$F$9)*10)</f>
        <v>10</v>
      </c>
      <c r="JC7" s="12" t="e">
        <f>VLOOKUP($A7,'Données projet'!$A$356:$I$376,2,0)</f>
        <v>#N/A</v>
      </c>
      <c r="JD7" s="12" t="e">
        <f>VLOOKUP($A7,'Données projet'!$A$356:$I$376,9,0)</f>
        <v>#N/A</v>
      </c>
      <c r="JE7" s="12">
        <f t="array" ref="JE7">INDEX(JD:JD,MIN(IF(ISNUMBER(JD7:JD203),ROW(JD7:JD203),"")))</f>
        <v>3.04</v>
      </c>
      <c r="JF7" s="12">
        <f>IF('Données projet'!$A$356&gt;35,JF6+JE7-JN6,IF($A7&lt;'Données projet'!$A$356,$CQ$205^$A7,IF($A7='Données projet'!$A$356,'Données projet'!$B$356,JF6+JE7-JN6)))</f>
        <v>12.16</v>
      </c>
      <c r="JG7" s="17">
        <f>JF7*VLOOKUP('Données projet'!$B$21,Paramètres!$A$1:$I$89,3,0)*VLOOKUP('Données projet'!$B$21,Paramètres!$A$1:$I$89,5,0)</f>
        <v>9.864192000000001</v>
      </c>
      <c r="JH7" s="13">
        <f t="shared" si="90"/>
        <v>3.4826098276043722</v>
      </c>
      <c r="JI7" s="20">
        <f t="shared" si="91"/>
        <v>23.245679849744281</v>
      </c>
      <c r="JJ7" s="59">
        <f t="shared" si="92"/>
        <v>316.57901318307762</v>
      </c>
      <c r="JK7" s="59">
        <f ca="1">AVERAGE(OFFSET($JJ$3,0,0,'Données projet'!$E$22+1,1))-AVERAGE(OFFSET($H$3,0,0,'Données projet'!$E$22+1,1))</f>
        <v>353.35574633294613</v>
      </c>
      <c r="JL7" s="59">
        <f t="shared" si="93"/>
        <v>170.36796666474726</v>
      </c>
      <c r="JM7" s="15">
        <f>IF(ISNA(VLOOKUP($A7,'Données projet'!$A$356:$I$376,3,0)),0,VLOOKUP($A7,'Données projet'!$A$356:$I$376,3,0))</f>
        <v>0</v>
      </c>
      <c r="JN7" s="15">
        <f>IF(ISNA(VLOOKUP($A7,'Données projet'!$A$356:$I$376,4,0)),0,VLOOKUP($A7,'Données projet'!$A$356:$I$376,4,0))</f>
        <v>0</v>
      </c>
      <c r="JO7" s="16">
        <f>IF(ISNA(VLOOKUP($A7,'Données projet'!$A$356:$I$376,5,0)),0%,VLOOKUP($A7,'Données projet'!$A$356:$I$376,5,0)*VLOOKUP('Données projet'!$B$21,Paramètres!$A$1:$I$89,7,0))</f>
        <v>0</v>
      </c>
      <c r="JP7" s="16">
        <f>IF(ISNA(VLOOKUP($A7,'Données projet'!$A$356:$I$376,6,0)),0%,VLOOKUP($A7,'Données projet'!$A$356:$I$376,6,0)*VLOOKUP('Données projet'!$B$21,Paramètres!$A$1:$I$89,7,0))</f>
        <v>0</v>
      </c>
      <c r="JQ7" s="16">
        <f>IF(ISNA(VLOOKUP($A7,'Données projet'!$A$356:$I$376,7,0)),0%,VLOOKUP($A7,'Données projet'!$A$356:$I$376,7,0))</f>
        <v>0</v>
      </c>
      <c r="JR7" s="21">
        <f>EXP(-LN(2)/35)*JR6+(1-EXP(-LN(2)/35))/(LN(2)/35)*JN7*JO7*VLOOKUP('Données projet'!$B$21,Paramètres!$A$1:$I$89,3,0)*0.475*44/12</f>
        <v>0</v>
      </c>
      <c r="JS7" s="21">
        <f>EXP(-LN(2)/25)*JS6+(1-EXP(-LN(2)/25))/(LN(2)/25)*Calculateur!JN7*Calculateur!JP7*VLOOKUP('Données projet'!$B$21,Paramètres!$A$1:$I$89,3,0)*0.475*44/12</f>
        <v>0</v>
      </c>
      <c r="JT7" s="21">
        <f>EXP(-LN(2)/2)*JT6+(1-EXP(-LN(2)/2))/(LN(2)/2)*JN7*JQ7*VLOOKUP('Données projet'!$B$21,Paramètres!$A$1:$I$89,3,0)*0.475*44/12</f>
        <v>0</v>
      </c>
      <c r="JU7" s="18">
        <f t="shared" si="39"/>
        <v>0</v>
      </c>
      <c r="JV7" s="74">
        <f>('Scénario référence'!$F$8+'Scénario référence'!$F$9+'Scénario référence'!$B$17+'Scénario référence'!$B$9+'Scénario référence'!$B$10)*70+IF((45+25*(1-EXP(-0.0175*$A7)))&lt;70,'Scénario référence'!$B$16*(45+25*(1-EXP(-0.0175*$A7))),70*'Scénario référence'!$B$16)+IF((32+38*(1-EXP(-0.0175*$A7)))&lt;70,'Scénario référence'!$B$18*(32+38*(1-EXP(-0.0175*$A7))),70*'Scénario référence'!$B$18)</f>
        <v>70</v>
      </c>
      <c r="JW7" s="12">
        <f>IF($A7&gt;30,10,('Scénario référence'!$B$16+'Scénario référence'!$B$17+'Scénario référence'!$B$18+'Scénario référence'!$B$9+'Scénario référence'!$B$10)*$A7*10/30+('Scénario référence'!$F$8+'Scénario référence'!$F$9)*10)</f>
        <v>10</v>
      </c>
      <c r="JX7" s="12" t="e">
        <f>VLOOKUP($A7,'Données projet'!$A$382:$I$402,2,0)</f>
        <v>#N/A</v>
      </c>
      <c r="JY7" s="12" t="e">
        <f>VLOOKUP($A7,'Données projet'!$A$382:$I$402,9,0)</f>
        <v>#N/A</v>
      </c>
      <c r="JZ7" s="12">
        <f t="array" ref="JZ7">INDEX(JY:JY,MIN(IF(ISNUMBER(JY7:JY203),ROW(JY7:JY203),"")))</f>
        <v>4.0628205128205126</v>
      </c>
      <c r="KA7" s="12">
        <f>IF('Données projet'!$A$382&gt;35,KA6+JZ7-KI6,IF($A7&lt;'Données projet'!$A$382,$CQ$205^$A7,IF($A7='Données projet'!$A$382,'Données projet'!$B$382,KA6+JZ7-KI6)))</f>
        <v>16.25128205128205</v>
      </c>
      <c r="KB7" s="17">
        <f>KA7*VLOOKUP('Données projet'!$B$22,Paramètres!$A$1:$I$89,3,0)*VLOOKUP('Données projet'!$B$22,Paramètres!$A$1:$I$89,5,0)</f>
        <v>10.901359999999999</v>
      </c>
      <c r="KC7" s="13">
        <f t="shared" si="94"/>
        <v>3.8042582864729826</v>
      </c>
      <c r="KD7" s="20">
        <f t="shared" si="95"/>
        <v>25.612285182273776</v>
      </c>
      <c r="KE7" s="59">
        <f t="shared" si="96"/>
        <v>318.94561851560707</v>
      </c>
      <c r="KF7" s="59">
        <f ca="1">AVERAGE(OFFSET($KE$3,0,0,'Données projet'!$E$22+1,1))-AVERAGE(OFFSET($H$3,0,0,'Données projet'!$E$22+1,1))</f>
        <v>193.91714772848269</v>
      </c>
      <c r="KG7" s="59">
        <f t="shared" si="97"/>
        <v>159.20429420478047</v>
      </c>
      <c r="KH7" s="15">
        <f>IF(ISNA(VLOOKUP($A7,'Données projet'!$A$382:$I$402,3,0)),0,VLOOKUP($A7,'Données projet'!$A$382:$I$402,3,0))</f>
        <v>0</v>
      </c>
      <c r="KI7" s="15">
        <f>IF(ISNA(VLOOKUP($A7,'Données projet'!$A$382:$I$402,4,0)),0,VLOOKUP($A7,'Données projet'!$A$382:$I$402,4,0))</f>
        <v>0</v>
      </c>
      <c r="KJ7" s="16">
        <f>IF(ISNA(VLOOKUP($A7,'Données projet'!$A$382:$I$402,5,0)),0%,VLOOKUP($A7,'Données projet'!$A$382:$I$402,5,0)*VLOOKUP('Données projet'!$B$22,Paramètres!$A$1:$I$89,7,0))</f>
        <v>0</v>
      </c>
      <c r="KK7" s="16">
        <f>IF(ISNA(VLOOKUP($A7,'Données projet'!$A$382:$I$402,6,0)),0%,VLOOKUP($A7,'Données projet'!$A$382:$I$402,6,0)*VLOOKUP('Données projet'!$B$22,Paramètres!$A$1:$I$89,7,0))</f>
        <v>0</v>
      </c>
      <c r="KL7" s="16">
        <f>IF(ISNA(VLOOKUP($A7,'Données projet'!$A$382:$I$402,7,0)),0%,VLOOKUP($A7,'Données projet'!$A$382:$I$402,7,0))</f>
        <v>0</v>
      </c>
      <c r="KM7" s="21">
        <f>EXP(-LN(2)/35)*KM6+(1-EXP(-LN(2)/35))/(LN(2)/35)*KI7*KJ7*VLOOKUP('Données projet'!$B$22,Paramètres!$A$1:$I$89,3,0)*0.475*44/12</f>
        <v>0</v>
      </c>
      <c r="KN7" s="21">
        <f>EXP(-LN(2)/25)*KN6+(1-EXP(-LN(2)/25))/(LN(2)/25)*Calculateur!KI7*Calculateur!KK7*VLOOKUP('Données projet'!$B$22,Paramètres!$A$1:$I$89,3,0)*0.475*44/12</f>
        <v>0</v>
      </c>
      <c r="KO7" s="21">
        <f>EXP(-LN(2)/2)*KO6+(1-EXP(-LN(2)/2))/(LN(2)/2)*KI7*KL7*VLOOKUP('Données projet'!$B$22,Paramètres!$A$1:$I$89,3,0)*0.475*44/12</f>
        <v>0</v>
      </c>
      <c r="KP7" s="22">
        <f t="shared" si="98"/>
        <v>0</v>
      </c>
      <c r="KQ7" s="74">
        <f>('Scénario référence'!$F$8+'Scénario référence'!$F$9+'Scénario référence'!$B$17+'Scénario référence'!$B$9+'Scénario référence'!$B$10)*70+IF((45+25*(1-EXP(-0.0175*$A7)))&lt;70,'Scénario référence'!$B$16*(45+25*(1-EXP(-0.0175*$A7))),70*'Scénario référence'!$B$16)+IF((32+38*(1-EXP(-0.0175*$A7)))&lt;70,'Scénario référence'!$B$18*(32+38*(1-EXP(-0.0175*$A7))),70*'Scénario référence'!$B$18)</f>
        <v>70</v>
      </c>
      <c r="KR7" s="12">
        <f>IF($A7&gt;30,10,('Scénario référence'!$B$16+'Scénario référence'!$B$17+'Scénario référence'!$B$18+'Scénario référence'!$B$9+'Scénario référence'!$B$10)*$A7*10/30+('Scénario référence'!$F$8+'Scénario référence'!$F$9)*10)</f>
        <v>10</v>
      </c>
      <c r="KS7" s="12" t="e">
        <f>VLOOKUP($A7,'Données projet'!$A$408:$I$428,2,0)</f>
        <v>#N/A</v>
      </c>
      <c r="KT7" s="12" t="e">
        <f>VLOOKUP($A7,'Données projet'!$A$408:$I$428,9,0)</f>
        <v>#N/A</v>
      </c>
      <c r="KU7" s="12">
        <f t="array" ref="KU7">INDEX(KT:KT,MIN(IF(ISNUMBER(KT7:KT203),ROW(KT7:KT203),"")))</f>
        <v>2.4666666666666668</v>
      </c>
      <c r="KV7" s="12">
        <f>IF('Données projet'!$A$408&gt;35,KV6+KU7-LD6,IF($A7&lt;'Données projet'!$A$408,$CQ$205^$A7,IF($A7='Données projet'!$A$408,'Données projet'!$B$408,KV6+KU7-LD6)))</f>
        <v>9.8666666666666671</v>
      </c>
      <c r="KW7" s="17">
        <f>KV7*VLOOKUP('Données projet'!$B$23,Paramètres!$A$1:$I$89,3,0)*VLOOKUP('Données projet'!$B$23,Paramètres!$A$1:$I$89,5,0)</f>
        <v>8.6195200000000014</v>
      </c>
      <c r="KX7" s="13">
        <f t="shared" si="99"/>
        <v>3.0913267777475726</v>
      </c>
      <c r="KY7" s="14">
        <f t="shared" si="43"/>
        <v>20.396391471243689</v>
      </c>
      <c r="KZ7" s="59">
        <f t="shared" si="44"/>
        <v>313.72972480457702</v>
      </c>
      <c r="LA7" s="59">
        <f ca="1">AVERAGE(OFFSET($KZ$3,0,0,'Données projet'!$E$23+1,1))-AVERAGE(OFFSET($H$3,0,0,'Données projet'!$E$23+1,1))</f>
        <v>248.33596943633819</v>
      </c>
      <c r="LB7" s="59">
        <f t="shared" si="100"/>
        <v>242.34010522344573</v>
      </c>
      <c r="LC7" s="15">
        <f>IF(ISNA(VLOOKUP($A7,'Données projet'!$A$408:$I$428,3,0)),0,VLOOKUP($A7,'Données projet'!$A$408:$I$428,3,0))</f>
        <v>0</v>
      </c>
      <c r="LD7" s="15">
        <f>IF(ISNA(VLOOKUP($A7,'Données projet'!$A$408:$I$428,4,0)),0,VLOOKUP($A7,'Données projet'!$A$408:$I$428,4,0))</f>
        <v>0</v>
      </c>
      <c r="LE7" s="16">
        <f>IF(ISNA(VLOOKUP($A7,'Données projet'!$A$408:$I$428,5,0)),0%,VLOOKUP($A7,'Données projet'!$A$408:$I$428,5,0)*VLOOKUP('Données projet'!$B$23,Paramètres!$A$1:$I$89,7,0))</f>
        <v>0</v>
      </c>
      <c r="LF7" s="16">
        <f>IF(ISNA(VLOOKUP($A7,'Données projet'!$A$408:$I$428,6,0)),0%,VLOOKUP($A7,'Données projet'!$A$408:$I$428,6,0)*VLOOKUP('Données projet'!$B$23,Paramètres!$A$1:$I$89,7,0))</f>
        <v>0</v>
      </c>
      <c r="LG7" s="16">
        <f>IF(ISNA(VLOOKUP($A7,'Données projet'!$A$408:$I$428,7,0)),0%,VLOOKUP($A7,'Données projet'!$A$408:$I$428,7,0))</f>
        <v>0</v>
      </c>
      <c r="LH7" s="21">
        <f>EXP(-LN(2)/35)*LH6+(1-EXP(-LN(2)/35))/(LN(2)/35)*LD7*LE7*VLOOKUP('Données projet'!$B$23,Paramètres!$A$1:$I$89,3,0)*0.475*44/12</f>
        <v>0</v>
      </c>
      <c r="LI7" s="21">
        <f>EXP(-LN(2)/25)*LI6+(1-EXP(-LN(2)/25))/(LN(2)/25)*Calculateur!LD7*Calculateur!LF7*VLOOKUP('Données projet'!$B$23,Paramètres!$A$1:$I$89,3,0)*0.475*44/12</f>
        <v>0</v>
      </c>
      <c r="LJ7" s="21">
        <f>EXP(-LN(2)/2)*LJ6+(1-EXP(-LN(2)/2))/(LN(2)/2)*LD7*LG7*VLOOKUP('Données projet'!$B$23,Paramètres!$A$1:$I$89,3,0)*0.475*44/12</f>
        <v>0</v>
      </c>
      <c r="LK7" s="22">
        <f t="shared" si="101"/>
        <v>0</v>
      </c>
      <c r="LL7" s="74">
        <f>('Scénario référence'!$F$8+'Scénario référence'!$F$9+'Scénario référence'!$B$17+'Scénario référence'!$B$9+'Scénario référence'!$B$10)*70+IF((45+25*(1-EXP(-0.0175*$A7)))&lt;70,'Scénario référence'!$B$16*(45+25*(1-EXP(-0.0175*$A7))),70*'Scénario référence'!$B$16)+IF((32+38*(1-EXP(-0.0175*$A7)))&lt;70,'Scénario référence'!$B$18*(32+38*(1-EXP(-0.0175*$A7))),70*'Scénario référence'!$B$18)</f>
        <v>70</v>
      </c>
      <c r="LM7" s="12">
        <f>IF($A7&gt;30,10,('Scénario référence'!$B$16+'Scénario référence'!$B$17+'Scénario référence'!$B$18+'Scénario référence'!$B$9+'Scénario référence'!$B$10)*$A7*10/30+('Scénario référence'!$F$8+'Scénario référence'!$F$9)*10)</f>
        <v>10</v>
      </c>
      <c r="LN7" s="12" t="e">
        <f>VLOOKUP($A7,'Données projet'!$A$434:$I$454,2,0)</f>
        <v>#N/A</v>
      </c>
      <c r="LO7" s="12" t="e">
        <f>VLOOKUP($A7,'Données projet'!$A$434:$I$454,9,0)</f>
        <v>#N/A</v>
      </c>
      <c r="LP7" s="12">
        <f t="array" ref="LP7">INDEX(LO:LO,MIN(IF(ISNUMBER(LO7:LO203),ROW(LO7:LO203),"")))</f>
        <v>2.9235042735042733</v>
      </c>
      <c r="LQ7" s="12">
        <f>IF('Données projet'!$A$434&gt;35,LQ6+LP7-LY6,IF($A7&lt;'Données projet'!$A$434,$CQ$205^$A7,IF($A7='Données projet'!$A$434,'Données projet'!$B$434,LQ6+LP7-LY6)))</f>
        <v>11.694017094017093</v>
      </c>
      <c r="LR7" s="17">
        <f>LQ7*VLOOKUP('Données projet'!$B$24,Paramètres!$A$1:$I$89,3,0)*VLOOKUP('Données projet'!$B$24,Paramètres!$A$1:$I$89,5,0)</f>
        <v>11.857733333333334</v>
      </c>
      <c r="LS7" s="13">
        <f t="shared" si="102"/>
        <v>4.0976980090249713</v>
      </c>
      <c r="LT7" s="14">
        <f t="shared" si="46"/>
        <v>27.789042921274046</v>
      </c>
      <c r="LU7" s="59">
        <f t="shared" si="103"/>
        <v>321.12237625460739</v>
      </c>
      <c r="LV7" s="59">
        <f ca="1">AVERAGE(OFFSET($LU$3,0,0,'Données projet'!$E$24+1,1))-AVERAGE(OFFSET($H$3,0,0,'Données projet'!$E$24+1,1))</f>
        <v>260.52627655062872</v>
      </c>
      <c r="LW7" s="59">
        <f t="shared" si="104"/>
        <v>159.20429420478047</v>
      </c>
      <c r="LX7" s="15">
        <f>IF(ISNA(VLOOKUP($A7,'Données projet'!$A$434:$I$454,3,0)),0,VLOOKUP($A7,'Données projet'!$A$434:$I$454,3,0))</f>
        <v>0</v>
      </c>
      <c r="LY7" s="15">
        <f>IF(ISNA(VLOOKUP($A7,'Données projet'!$A$434:$I$454,4,0)),0,VLOOKUP($A7,'Données projet'!$A$434:$I$454,4,0))</f>
        <v>0</v>
      </c>
      <c r="LZ7" s="16">
        <f>IF(ISNA(VLOOKUP($A7,'Données projet'!$A$434:$I$454,5,0)),0%,VLOOKUP($A7,'Données projet'!$A$434:$I$454,5,0)*VLOOKUP('Données projet'!$B$24,Paramètres!$A$1:$I$89,7,0))</f>
        <v>0</v>
      </c>
      <c r="MA7" s="16">
        <f>IF(ISNA(VLOOKUP($A7,'Données projet'!$A$434:$I$454,6,0)),0%,VLOOKUP($A7,'Données projet'!$A$434:$I$454,6,0)*VLOOKUP('Données projet'!$B$24,Paramètres!$A$1:$I$89,7,0))</f>
        <v>0</v>
      </c>
      <c r="MB7" s="16">
        <f>IF(ISNA(VLOOKUP($A7,'Données projet'!$A$434:$I$454,7,0)),0%,VLOOKUP($A7,'Données projet'!$A$434:$I$454,7,0))</f>
        <v>0</v>
      </c>
      <c r="MC7" s="21">
        <f>EXP(-LN(2)/35)*MC6+(1-EXP(-LN(2)/35))/(LN(2)/35)*LY7*LZ7*VLOOKUP('Données projet'!$B$24,Paramètres!$A$1:$I$89,3,0)*0.475*44/12</f>
        <v>0</v>
      </c>
      <c r="MD7" s="21">
        <f>EXP(-LN(2)/25)*MD6+(1-EXP(-LN(2)/25))/(LN(2)/25)*Calculateur!LY7*Calculateur!MA7*VLOOKUP('Données projet'!$B$24,Paramètres!$A$1:$I$89,3,0)*0.475*44/12</f>
        <v>0</v>
      </c>
      <c r="ME7" s="21">
        <f>EXP(-LN(2)/2)*ME6+(1-EXP(-LN(2)/2))/(LN(2)/2)*LY7*MB7*VLOOKUP('Données projet'!$B$24,Paramètres!$A$1:$I$89,3,0)*0.475*44/12</f>
        <v>0</v>
      </c>
      <c r="MF7" s="22">
        <f t="shared" si="105"/>
        <v>0</v>
      </c>
      <c r="MG7" s="74">
        <f>('Scénario référence'!$F$8+'Scénario référence'!$F$9+'Scénario référence'!$B$17+'Scénario référence'!$B$9+'Scénario référence'!$B$10)*70+IF((45+25*(1-EXP(-0.0175*$A7)))&lt;70,'Scénario référence'!$B$16*(45+25*(1-EXP(-0.0175*$A7))),70*'Scénario référence'!$B$16)+IF((32+38*(1-EXP(-0.0175*$A7)))&lt;70,'Scénario référence'!$B$18*(32+38*(1-EXP(-0.0175*$A7))),70*'Scénario référence'!$B$18)</f>
        <v>70</v>
      </c>
      <c r="MH7" s="12">
        <f>IF($A7&gt;30,10,('Scénario référence'!$B$16+'Scénario référence'!$B$17+'Scénario référence'!$B$18+'Scénario référence'!$B$9+'Scénario référence'!$B$10)*$A7*10/30+('Scénario référence'!$F$8+'Scénario référence'!$F$9)*10)</f>
        <v>10</v>
      </c>
      <c r="MI7" s="12" t="e">
        <f>VLOOKUP($A7,'Données projet'!$A$460:$I$480,2,0)</f>
        <v>#N/A</v>
      </c>
      <c r="MJ7" s="12" t="e">
        <f>VLOOKUP($A7,'Données projet'!$A$460:$I$480,9,0)</f>
        <v>#N/A</v>
      </c>
      <c r="MK7" s="12">
        <f t="array" ref="MK7">INDEX(MJ:MJ,MIN(IF(ISNUMBER(MJ7:MJ203),ROW(MJ7:MJ203),"")))</f>
        <v>0</v>
      </c>
      <c r="ML7" s="12">
        <f>IF('Données projet'!$A$460&gt;35,ML6+MK7-MT6,IF($A7&lt;'Données projet'!$A$460,$CQ$205^$A7,IF($A7='Données projet'!$A$460,'Données projet'!$B$460,ML6+MK7-MT6)))</f>
        <v>0</v>
      </c>
      <c r="MM7" s="17" t="e">
        <f>ML7*VLOOKUP('Données projet'!$B$25,Paramètres!$A$1:$I$89,3,0)*VLOOKUP('Données projet'!$B$25,Paramètres!$A$1:$I$89,5,0)</f>
        <v>#N/A</v>
      </c>
      <c r="MN7" s="13" t="e">
        <f t="shared" si="106"/>
        <v>#N/A</v>
      </c>
      <c r="MO7" s="14" t="e">
        <f t="shared" si="49"/>
        <v>#N/A</v>
      </c>
      <c r="MP7" s="59" t="e">
        <f t="shared" si="50"/>
        <v>#N/A</v>
      </c>
      <c r="MQ7" s="20" t="e">
        <f ca="1">AVERAGE(OFFSET($MP$3,0,0,'Données projet'!$E$25+1,1))-AVERAGE(OFFSET($H$3,0,0,'Données projet'!$E$25+1,1))</f>
        <v>#N/A</v>
      </c>
      <c r="MR7" s="59" t="e">
        <f t="shared" si="107"/>
        <v>#N/A</v>
      </c>
      <c r="MS7" s="15">
        <f>IF(ISNA(VLOOKUP($A7,'Données projet'!$A$460:$I$480,3,0)),0,VLOOKUP($A7,'Données projet'!$A$460:$I$480,3,0))</f>
        <v>0</v>
      </c>
      <c r="MT7" s="15">
        <f>IF(ISNA(VLOOKUP($A7,'Données projet'!$A$460:$I$480,4,0)),0,VLOOKUP($A7,'Données projet'!$A$460:$I$480,4,0))</f>
        <v>0</v>
      </c>
      <c r="MU7" s="16">
        <f>IF(ISNA(VLOOKUP($A7,'Données projet'!$A$460:$I$480,5,0)),0%,VLOOKUP($A7,'Données projet'!$A$460:$I$480,5,0)*VLOOKUP('Données projet'!$B$25,Paramètres!$A$1:$I$89,7,0))</f>
        <v>0</v>
      </c>
      <c r="MV7" s="16">
        <f>IF(ISNA(VLOOKUP($A7,'Données projet'!$A$460:$I$480,6,0)),0%,VLOOKUP($A7,'Données projet'!$A$460:$I$480,6,0)*VLOOKUP('Données projet'!$B$25,Paramètres!$A$1:$I$89,7,0))</f>
        <v>0</v>
      </c>
      <c r="MW7" s="16">
        <f>IF(ISNA(VLOOKUP($A7,'Données projet'!$A$460:$I$480,7,0)),0%,VLOOKUP($A7,'Données projet'!$A$460:$I$480,7,0))</f>
        <v>0</v>
      </c>
      <c r="MX7" s="21" t="e">
        <f>EXP(-LN(2)/35)*MX6+(1-EXP(-LN(2)/35))/(LN(2)/35)*MT7*MU7*VLOOKUP('Données projet'!$B$25,Paramètres!$A$1:$I$89,3,0)*0.475*44/12</f>
        <v>#N/A</v>
      </c>
      <c r="MY7" s="21" t="e">
        <f>EXP(-LN(2)/25)*MY6+(1-EXP(-LN(2)/25))/(LN(2)/25)*Calculateur!MT7*Calculateur!MV7*VLOOKUP('Données projet'!$B$25,Paramètres!$A$1:$I$89,3,0)*0.475*44/12</f>
        <v>#N/A</v>
      </c>
      <c r="MZ7" s="21" t="e">
        <f>EXP(-LN(2)/2)*MZ6+(1-EXP(-LN(2)/2))/(LN(2)/2)*MT7*MW7*VLOOKUP('Données projet'!$B$25,Paramètres!$A$1:$I$89,3,0)*0.475*44/12</f>
        <v>#N/A</v>
      </c>
      <c r="NA7" s="22" t="e">
        <f t="shared" si="108"/>
        <v>#N/A</v>
      </c>
      <c r="NB7" s="74">
        <f>('Scénario référence'!$F$8+'Scénario référence'!$F$9+'Scénario référence'!$B$17+'Scénario référence'!$B$9+'Scénario référence'!$B$10)*70+IF((45+25*(1-EXP(-0.0175*$A7)))&lt;70,'Scénario référence'!$B$16*(45+25*(1-EXP(-0.0175*$A7))),70*'Scénario référence'!$B$16)+IF((32+38*(1-EXP(-0.0175*$A7)))&lt;70,'Scénario référence'!$B$18*(32+38*(1-EXP(-0.0175*$A7))),70*'Scénario référence'!$B$18)</f>
        <v>70</v>
      </c>
      <c r="NC7" s="12">
        <f>IF($A7&gt;30,10,('Scénario référence'!$B$16+'Scénario référence'!$B$17+'Scénario référence'!$B$18+'Scénario référence'!$B$9+'Scénario référence'!$B$10)*$A7*10/30+('Scénario référence'!$F$8+'Scénario référence'!$F$9)*10)</f>
        <v>10</v>
      </c>
      <c r="ND7" s="12" t="e">
        <f>VLOOKUP($A7,'Données projet'!$A$486:$I$506,2,0)</f>
        <v>#N/A</v>
      </c>
      <c r="NE7" s="12" t="e">
        <f>VLOOKUP($A7,'Données projet'!$A$486:$I$506,9,0)</f>
        <v>#N/A</v>
      </c>
      <c r="NF7" s="12">
        <f t="array" ref="NF7">INDEX(NE:NE,MIN(IF(ISNUMBER(NE7:NE203),ROW(NE7:NE203),"")))</f>
        <v>0</v>
      </c>
      <c r="NG7" s="12">
        <f>IF('Données projet'!$A$486&gt;35,NG6+NF7-NO6,IF($A7&lt;'Données projet'!$A$486,$CQ$205^$A7,IF($A7='Données projet'!$A$486,'Données projet'!$B$486,NG6+NF7-NO6)))</f>
        <v>0</v>
      </c>
      <c r="NH7" s="17" t="e">
        <f>NG7*VLOOKUP('Données projet'!$B$26,Paramètres!$A$1:$I$89,3,0)*VLOOKUP('Données projet'!$B$26,Paramètres!$A$1:$I$89,5,0)</f>
        <v>#N/A</v>
      </c>
      <c r="NI7" s="13" t="e">
        <f t="shared" si="109"/>
        <v>#N/A</v>
      </c>
      <c r="NJ7" s="14" t="e">
        <f t="shared" si="52"/>
        <v>#N/A</v>
      </c>
      <c r="NK7" s="59" t="e">
        <f t="shared" si="53"/>
        <v>#N/A</v>
      </c>
      <c r="NL7" s="20" t="e">
        <f ca="1">AVERAGE(OFFSET($NK$3,0,0,'Données projet'!$E$26+1,1))-AVERAGE(OFFSET($H$3,0,0,'Données projet'!$E$26+1,1))</f>
        <v>#N/A</v>
      </c>
      <c r="NM7" s="59" t="e">
        <f t="shared" si="110"/>
        <v>#N/A</v>
      </c>
      <c r="NN7" s="15">
        <f>IF(ISNA(VLOOKUP($A7,'Données projet'!$A$486:$I$506,3,0)),0,VLOOKUP($A7,'Données projet'!$A$486:$I$506,3,0))</f>
        <v>0</v>
      </c>
      <c r="NO7" s="15">
        <f>IF(ISNA(VLOOKUP($A7,'Données projet'!$A$486:$I$506,4,0)),0,VLOOKUP($A7,'Données projet'!$A$486:$I$506,4,0))</f>
        <v>0</v>
      </c>
      <c r="NP7" s="16">
        <f>IF(ISNA(VLOOKUP($A7,'Données projet'!$A$486:$I$506,5,0)),0%,VLOOKUP($A7,'Données projet'!$A$486:$I$506,5,0)*VLOOKUP('Données projet'!$B$26,Paramètres!$A$1:$I$89,7,0))</f>
        <v>0</v>
      </c>
      <c r="NQ7" s="16">
        <f>IF(ISNA(VLOOKUP($A7,'Données projet'!$A$486:$I$506,6,0)),0%,VLOOKUP($A7,'Données projet'!$A$486:$I$506,6,0)*VLOOKUP('Données projet'!$B$26,Paramètres!$A$1:$I$89,7,0))</f>
        <v>0</v>
      </c>
      <c r="NR7" s="16">
        <f>IF(ISNA(VLOOKUP($A7,'Données projet'!$A$486:$I$506,7,0)),0%,VLOOKUP($A7,'Données projet'!$A$486:$I$506,7,0))</f>
        <v>0</v>
      </c>
      <c r="NS7" s="21" t="e">
        <f>EXP(-LN(2)/35)*NS6+(1-EXP(-LN(2)/35))/(LN(2)/35)*NO7*NP7*VLOOKUP('Données projet'!$B$26,Paramètres!$A$1:$I$89,3,0)*0.475*44/12</f>
        <v>#N/A</v>
      </c>
      <c r="NT7" s="21" t="e">
        <f>EXP(-LN(2)/25)*NT6+(1-EXP(-LN(2)/25))/(LN(2)/25)*Calculateur!NO7*Calculateur!NQ7*VLOOKUP('Données projet'!$B$26,Paramètres!$A$1:$I$89,3,0)*0.475*44/12</f>
        <v>#N/A</v>
      </c>
      <c r="NU7" s="21" t="e">
        <f>EXP(-LN(2)/2)*NU6+(1-EXP(-LN(2)/2))/(LN(2)/2)*NO7*NR7*VLOOKUP('Données projet'!$B$26,Paramètres!$A$1:$I$89,3,0)*0.475*44/12</f>
        <v>#N/A</v>
      </c>
      <c r="NV7" s="22" t="e">
        <f t="shared" si="111"/>
        <v>#N/A</v>
      </c>
      <c r="NW7" s="74">
        <f>('Scénario référence'!$F$8+'Scénario référence'!$F$9+'Scénario référence'!$B$17+'Scénario référence'!$B$9+'Scénario référence'!$B$10)*70+IF((45+25*(1-EXP(-0.0175*$A7)))&lt;70,'Scénario référence'!$B$16*(45+25*(1-EXP(-0.0175*$A7))),70*'Scénario référence'!$B$16)+IF((32+38*(1-EXP(-0.0175*$A7)))&lt;70,'Scénario référence'!$B$18*(32+38*(1-EXP(-0.0175*$A7))),70*'Scénario référence'!$B$18)</f>
        <v>70</v>
      </c>
      <c r="NX7" s="12">
        <f>IF($A7&gt;30,10,('Scénario référence'!$B$16+'Scénario référence'!$B$17+'Scénario référence'!$B$18+'Scénario référence'!$B$9+'Scénario référence'!$B$10)*$A7*10/30+('Scénario référence'!$F$8+'Scénario référence'!$F$9)*10)</f>
        <v>10</v>
      </c>
      <c r="NY7" s="12" t="e">
        <f>VLOOKUP($A7,'Données projet'!$A$512:$I$532,2,0)</f>
        <v>#N/A</v>
      </c>
      <c r="NZ7" s="12" t="e">
        <f>VLOOKUP($A7,'Données projet'!$A$512:$I$532,9,0)</f>
        <v>#N/A</v>
      </c>
      <c r="OA7" s="12">
        <f t="array" ref="OA7">INDEX(NZ:NZ,MIN(IF(ISNUMBER(NZ7:NZ203),ROW(NZ7:NZ203),"")))</f>
        <v>0</v>
      </c>
      <c r="OB7" s="12">
        <f>IF('Données projet'!$A$512&gt;35,OB6+OA7-OJ6,IF($A7&lt;'Données projet'!$A$512,$CQ$205^$A7,IF($A7='Données projet'!$A$512,'Données projet'!$B$512,OB6+OA7-OJ6)))</f>
        <v>0</v>
      </c>
      <c r="OC7" s="17" t="e">
        <f>OB7*VLOOKUP('Données projet'!$B$27,Paramètres!$A$1:$I$89,3,0)*VLOOKUP('Données projet'!$B$27,Paramètres!$A$1:$I$89,5,0)</f>
        <v>#N/A</v>
      </c>
      <c r="OD7" s="13" t="e">
        <f t="shared" si="112"/>
        <v>#N/A</v>
      </c>
      <c r="OE7" s="14" t="e">
        <f t="shared" si="55"/>
        <v>#N/A</v>
      </c>
      <c r="OF7" s="59" t="e">
        <f t="shared" si="56"/>
        <v>#N/A</v>
      </c>
      <c r="OG7" s="20" t="e">
        <f ca="1">AVERAGE(OFFSET($OF$3,0,0,'Données projet'!$E$27+1,1))-AVERAGE(OFFSET($H$3,0,0,'Données projet'!$E$27+1,1))</f>
        <v>#N/A</v>
      </c>
      <c r="OH7" s="59" t="e">
        <f t="shared" si="113"/>
        <v>#N/A</v>
      </c>
      <c r="OI7" s="15">
        <f>IF(ISNA(VLOOKUP($A7,'Données projet'!$A$512:$I$532,3,0)),0,VLOOKUP($A7,'Données projet'!$A$512:$I$532,3,0))</f>
        <v>0</v>
      </c>
      <c r="OJ7" s="15">
        <f>IF(ISNA(VLOOKUP($A7,'Données projet'!$A$512:$I$532,4,0)),0,VLOOKUP($A7,'Données projet'!$A$512:$I$532,4,0))</f>
        <v>0</v>
      </c>
      <c r="OK7" s="16">
        <f>IF(ISNA(VLOOKUP($A7,'Données projet'!$A$512:$I$532,5,0)),0%,VLOOKUP($A7,'Données projet'!$A$512:$I$532,5,0)*VLOOKUP('Données projet'!$B$27,Paramètres!$A$1:$I$89,7,0))</f>
        <v>0</v>
      </c>
      <c r="OL7" s="16">
        <f>IF(ISNA(VLOOKUP($A7,'Données projet'!$A$512:$I$532,6,0)),0%,VLOOKUP($A7,'Données projet'!$A$512:$I$532,6,0)*VLOOKUP('Données projet'!$B$27,Paramètres!$A$1:$I$89,7,0))</f>
        <v>0</v>
      </c>
      <c r="OM7" s="16">
        <f>IF(ISNA(VLOOKUP($A7,'Données projet'!$A$512:$I$532,7,0)),0%,VLOOKUP($A7,'Données projet'!$A$512:$I$532,7,0))</f>
        <v>0</v>
      </c>
      <c r="ON7" s="21" t="e">
        <f>EXP(-LN(2)/35)*ON6+(1-EXP(-LN(2)/35))/(LN(2)/35)*OJ7*OK7*VLOOKUP('Données projet'!$B$27,Paramètres!$A$1:$I$89,3,0)*0.475*44/12</f>
        <v>#N/A</v>
      </c>
      <c r="OO7" s="21" t="e">
        <f>EXP(-LN(2)/25)*OO6+(1-EXP(-LN(2)/25))/(LN(2)/25)*Calculateur!OJ7*Calculateur!OL7*VLOOKUP('Données projet'!$B$27,Paramètres!$A$1:$I$89,3,0)*0.475*44/12</f>
        <v>#N/A</v>
      </c>
      <c r="OP7" s="21" t="e">
        <f>EXP(-LN(2)/2)*OP6+(1-EXP(-LN(2)/2))/(LN(2)/2)*OJ7*OM7*VLOOKUP('Données projet'!$B$27,Paramètres!$A$1:$I$89,3,0)*0.475*44/12</f>
        <v>#N/A</v>
      </c>
      <c r="OQ7" s="22" t="e">
        <f t="shared" si="114"/>
        <v>#N/A</v>
      </c>
      <c r="OR7" s="74">
        <f>('Scénario référence'!$F$8+'Scénario référence'!$F$9+'Scénario référence'!$B$17+'Scénario référence'!$B$9+'Scénario référence'!$B$10)*70+IF((45+25*(1-EXP(-0.0175*$A7)))&lt;70,'Scénario référence'!$B$16*(45+25*(1-EXP(-0.0175*$A7))),70*'Scénario référence'!$B$16)+IF((32+38*(1-EXP(-0.0175*$A7)))&lt;70,'Scénario référence'!$B$18*(32+38*(1-EXP(-0.0175*$A7))),70*'Scénario référence'!$B$18)</f>
        <v>70</v>
      </c>
      <c r="OS7" s="12">
        <f>IF($A7&gt;30,10,('Scénario référence'!$B$16+'Scénario référence'!$B$17+'Scénario référence'!$B$18+'Scénario référence'!$B$9+'Scénario référence'!$B$10)*$A7*10/30+('Scénario référence'!$F$8+'Scénario référence'!$F$9)*10)</f>
        <v>10</v>
      </c>
      <c r="OT7" s="12" t="e">
        <f>VLOOKUP($A7,'Données projet'!$A$538:$I$558,2,0)</f>
        <v>#N/A</v>
      </c>
      <c r="OU7" s="12" t="e">
        <f>VLOOKUP($A7,'Données projet'!$A$538:$I$558,9,0)</f>
        <v>#N/A</v>
      </c>
      <c r="OV7" s="12">
        <f t="array" ref="OV7">INDEX(OU:OU,MIN(IF(ISNUMBER(OU7:OU203),ROW(OU7:OU203),"")))</f>
        <v>0</v>
      </c>
      <c r="OW7" s="12">
        <f>IF('Données projet'!$A$538&gt;35,OW6+OV7-PE6,IF($A7&lt;'Données projet'!$A$538,$CQ$205^$A7,IF($A7='Données projet'!$A$538,'Données projet'!$B$538,OW6+OV7-PE6)))</f>
        <v>0</v>
      </c>
      <c r="OX7" s="17" t="e">
        <f>OW7*VLOOKUP('Données projet'!$B$28,Paramètres!$A$1:$I$89,3,0)*VLOOKUP('Données projet'!$B$28,Paramètres!$A$1:$I$89,5,0)</f>
        <v>#N/A</v>
      </c>
      <c r="OY7" s="13" t="e">
        <f t="shared" si="115"/>
        <v>#N/A</v>
      </c>
      <c r="OZ7" s="14" t="e">
        <f t="shared" si="58"/>
        <v>#N/A</v>
      </c>
      <c r="PA7" s="59" t="e">
        <f t="shared" si="59"/>
        <v>#N/A</v>
      </c>
      <c r="PB7" s="20" t="e">
        <f ca="1">AVERAGE(OFFSET($PA$3,0,0,'Données projet'!$E$28+1,1))-AVERAGE(OFFSET($H$3,0,0,'Données projet'!$E$28+1,1))</f>
        <v>#N/A</v>
      </c>
      <c r="PC7" s="59" t="e">
        <f t="shared" si="116"/>
        <v>#N/A</v>
      </c>
      <c r="PD7" s="15">
        <f>IF(ISNA(VLOOKUP($A7,'Données projet'!$A$538:$I$558,3,0)),0,VLOOKUP($A7,'Données projet'!$A$538:$I$558,3,0))</f>
        <v>0</v>
      </c>
      <c r="PE7" s="15">
        <f>IF(ISNA(VLOOKUP($A7,'Données projet'!$A$538:$I$558,4,0)),0,VLOOKUP($A7,'Données projet'!$A$538:$I$558,4,0))</f>
        <v>0</v>
      </c>
      <c r="PF7" s="16">
        <f>IF(ISNA(VLOOKUP($A7,'Données projet'!$A$538:$I$558,5,0)),0%,VLOOKUP($A7,'Données projet'!$A$538:$I$558,5,0)*VLOOKUP('Données projet'!$B$28,Paramètres!$A$1:$I$89,7,0))</f>
        <v>0</v>
      </c>
      <c r="PG7" s="16">
        <f>IF(ISNA(VLOOKUP($A7,'Données projet'!$A$538:$I$558,6,0)),0%,VLOOKUP($A7,'Données projet'!$A$538:$I$558,6,0)*VLOOKUP('Données projet'!$B$28,Paramètres!$A$1:$I$89,7,0))</f>
        <v>0</v>
      </c>
      <c r="PH7" s="16">
        <f>IF(ISNA(VLOOKUP($A7,'Données projet'!$A$538:$I$558,7,0)),0%,VLOOKUP($A7,'Données projet'!$A$538:$I$558,7,0))</f>
        <v>0</v>
      </c>
      <c r="PI7" s="21" t="e">
        <f>EXP(-LN(2)/35)*PI6+(1-EXP(-LN(2)/35))/(LN(2)/35)*PE7*PF7*VLOOKUP('Données projet'!$B$28,Paramètres!$A$1:$I$89,3,0)*0.475*44/12</f>
        <v>#N/A</v>
      </c>
      <c r="PJ7" s="21" t="e">
        <f>EXP(-LN(2)/25)*PJ6+(1-EXP(-LN(2)/25))/(LN(2)/25)*Calculateur!PE7*Calculateur!PG7*VLOOKUP('Données projet'!$B$28,Paramètres!$A$1:$I$89,3,0)*0.475*44/12</f>
        <v>#N/A</v>
      </c>
      <c r="PK7" s="21" t="e">
        <f>EXP(-LN(2)/2)*PK6+(1-EXP(-LN(2)/2))/(LN(2)/2)*PE7*PH7*VLOOKUP('Données projet'!$B$28,Paramètres!$A$1:$I$89,3,0)*0.475*44/12</f>
        <v>#N/A</v>
      </c>
      <c r="PL7" s="22" t="e">
        <f t="shared" si="117"/>
        <v>#N/A</v>
      </c>
    </row>
    <row r="8" spans="1:428" x14ac:dyDescent="0.35">
      <c r="A8" s="10">
        <f t="shared" si="6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6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projet'!$A$45:$I$65,2,0)</f>
        <v>#N/A</v>
      </c>
      <c r="L8" s="12" t="e">
        <f>VLOOKUP(A8,'Données projet'!$A$45:$I$65,9,0)</f>
        <v>#N/A</v>
      </c>
      <c r="M8" s="12">
        <f t="array" ref="M8">INDEX(L:L,MIN(IF(ISNUMBER(L8:L204),ROW(L8:L204),"")))</f>
        <v>10.16068376068376</v>
      </c>
      <c r="N8" s="13">
        <f>IF('Données projet'!$A$46&gt;35,N7+M8-V7,IF(A8&lt;'Données projet'!$A$46,$K$205^A8,IF(A8='Données projet'!$A$46,'Données projet'!$B$46,N7+M8-V7)))</f>
        <v>4.2499872010157462</v>
      </c>
      <c r="O8" s="13">
        <f>N8*VLOOKUP('Données projet'!$B$9,Paramètres!$A$1:$I$89,3,0)*VLOOKUP('Données projet'!$B$9,Paramètres!$A$1:$I$89,5,0)</f>
        <v>2.3757428453678022</v>
      </c>
      <c r="P8" s="13">
        <f t="shared" si="63"/>
        <v>0.98993901605593615</v>
      </c>
      <c r="Q8" s="20">
        <f t="shared" si="2"/>
        <v>5.8618959086463436</v>
      </c>
      <c r="R8" s="59">
        <f t="shared" si="0"/>
        <v>299.19522924197963</v>
      </c>
      <c r="S8" s="59">
        <f ca="1">AVERAGE(OFFSET($R$3,0,0,'Données projet'!$E$9+1,1))-AVERAGE(OFFSET($H$3,0,0,'Données projet'!$E$9+1,1))</f>
        <v>274.57619581652199</v>
      </c>
      <c r="T8" s="59">
        <f t="shared" si="64"/>
        <v>366.15117322598775</v>
      </c>
      <c r="U8" s="15">
        <f>IF(ISNA(VLOOKUP(A8,'Données projet'!$A$45:$I$65,3,0)),0,VLOOKUP(A8,'Données projet'!$A$45:$I$65,3,0))</f>
        <v>0</v>
      </c>
      <c r="V8" s="15">
        <f>IF(ISNA(VLOOKUP(A8,'Données projet'!$A$45:$I$65,4,0)),0,VLOOKUP(A8,'Données projet'!$A$45:$I$65,4,0))</f>
        <v>0</v>
      </c>
      <c r="W8" s="16">
        <f>IF(ISNA(VLOOKUP(A8,'Données projet'!$A$45:$I$65,5,0)),0%,VLOOKUP(A8,'Données projet'!$A$45:$I$65,5,0)*VLOOKUP('Données projet'!$B$9,Paramètres!$A$1:$I$89,7,0))</f>
        <v>0</v>
      </c>
      <c r="X8" s="16">
        <f>IF(ISNA(VLOOKUP(A8,'Données projet'!$A$45:$I$65,6,0)),0%,VLOOKUP(A8,'Données projet'!$A$45:$I$65,6,0)*VLOOKUP('Données projet'!$B$9,Paramètres!$A$1:$I$89,7,0))</f>
        <v>0</v>
      </c>
      <c r="Y8" s="16">
        <f>IF(ISNA(VLOOKUP(A8,'Données projet'!$A$45:$I$65,7,0)),0%,VLOOKUP(A8,'Données projet'!$A$45:$I$65,7,0))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projet'!$A$71:$I$91,2,0)</f>
        <v>#N/A</v>
      </c>
      <c r="AG8" s="12" t="e">
        <f>VLOOKUP(A8,'Données projet'!$A$71:$I$91,9,0)</f>
        <v>#N/A</v>
      </c>
      <c r="AH8" s="12">
        <f t="array" ref="AH8">INDEX(AG:AG,MIN(IF(ISNUMBER(AG8:AG204),ROW(AG8:AG204),"")))</f>
        <v>4.0628205128205126</v>
      </c>
      <c r="AI8" s="13">
        <f>IF('Données projet'!$A$72&gt;35,AI7+AH8-AQ7,IF(A8&lt;'Données projet'!$A$72,$AF$205^A8,IF(A8='Données projet'!$A$72,'Données projet'!$B$72,AI7+AH8-AQ7)))</f>
        <v>2.2266817443634719</v>
      </c>
      <c r="AJ8" s="13">
        <f>AI8*VLOOKUP('Données projet'!$B$10,Paramètres!$A$1:$I$89,3,0)*VLOOKUP('Données projet'!$B$10,Paramètres!$A$1:$I$89,5,0)</f>
        <v>2.0147016423000692</v>
      </c>
      <c r="AK8" s="13">
        <f t="shared" si="65"/>
        <v>0.85576136422669402</v>
      </c>
      <c r="AL8" s="20">
        <f t="shared" si="4"/>
        <v>4.999389736367446</v>
      </c>
      <c r="AM8" s="59">
        <f t="shared" si="5"/>
        <v>298.33272306970076</v>
      </c>
      <c r="AN8" s="59">
        <f ca="1">AVERAGE(OFFSET($AM$3,0,0,'Données projet'!$E$10+1,1))-AVERAGE(OFFSET($H$3,0,0,'Données projet'!$E$10+1,1))</f>
        <v>270.87836509222456</v>
      </c>
      <c r="AO8" s="59">
        <f t="shared" si="66"/>
        <v>205.24998237949734</v>
      </c>
      <c r="AP8" s="15">
        <f>IF(ISNA(VLOOKUP(A8,'Données projet'!$A$71:$I$91,3,0)),0,VLOOKUP(A8,'Données projet'!$A$71:$I$91,3,0))</f>
        <v>0</v>
      </c>
      <c r="AQ8" s="15">
        <f>IF(ISNA(VLOOKUP(A8,'Données projet'!$A$71:$I$91,4,0)),0,VLOOKUP(A8,'Données projet'!$A$71:$I$91,4,0))</f>
        <v>0</v>
      </c>
      <c r="AR8" s="16">
        <f>IF(ISNA(VLOOKUP(A8,'Données projet'!$A$71:$I$91,5,0)),0%,VLOOKUP(A8,'Données projet'!$A$71:$I$91,5,0)*VLOOKUP('Données projet'!$B$10,Paramètres!$A$1:$I$89,7,0))</f>
        <v>0</v>
      </c>
      <c r="AS8" s="16">
        <f>IF(ISNA(VLOOKUP(A8,'Données projet'!$A$71:$I$91,6,0)),0%,VLOOKUP(A8,'Données projet'!$A$71:$I$91,6,0)*VLOOKUP('Données projet'!$B$10,Paramètres!$A$1:$I$89,7,0))</f>
        <v>0</v>
      </c>
      <c r="AT8" s="16">
        <f>IF(ISNA(VLOOKUP(A8,'Données projet'!$A$71:$I$91,7,0)),0%,VLOOKUP(A8,'Données projet'!$A$71:$I$91,7,0))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projet'!$A$97:$I$117,2,0)</f>
        <v>#N/A</v>
      </c>
      <c r="BB8" s="12" t="e">
        <f>VLOOKUP(A8,'Données projet'!$A$97:$I$117,9,0)</f>
        <v>#N/A</v>
      </c>
      <c r="BC8" s="12">
        <f t="array" ref="BC8">INDEX(BB:BB,MIN(IF(ISNUMBER(BB8:BB204),ROW(BB8:BB204),"")))</f>
        <v>10.16068376068376</v>
      </c>
      <c r="BD8" s="12">
        <f>IF('Données projet'!$A$98&gt;35,BD7+BC8-BL7,IF(A8&lt;'Données projet'!$A$98,$BA$205^A8,IF(A8='Données projet'!$A$98,'Données projet'!$B$98,BD7+BC8-BL7)))</f>
        <v>4.2499872010157462</v>
      </c>
      <c r="BE8" s="13">
        <f>BD8*VLOOKUP('Données projet'!$B$11,Paramètres!$A$1:$I$89,3,0)*VLOOKUP('Données projet'!$B$11,Paramètres!$A$1:$I$89,5,0)</f>
        <v>1.87849434284896</v>
      </c>
      <c r="BF8" s="13">
        <f t="shared" si="67"/>
        <v>0.80443412394554947</v>
      </c>
      <c r="BG8" s="20">
        <f t="shared" si="7"/>
        <v>4.6727670796671035</v>
      </c>
      <c r="BH8" s="59">
        <f t="shared" si="8"/>
        <v>298.00610041300041</v>
      </c>
      <c r="BI8" s="59">
        <f ca="1">AVERAGE(OFFSET($BH$3,0,0,'Données projet'!$E$11+1,1))-AVERAGE(OFFSET($H$3,0,0,'Données projet'!$E$11+1,1))</f>
        <v>211.31057120485542</v>
      </c>
      <c r="BJ8" s="59">
        <f t="shared" si="68"/>
        <v>283.33292006714777</v>
      </c>
      <c r="BK8" s="15">
        <f>IF(ISNA(VLOOKUP(A8,'Données projet'!$A$97:$I$117,3,0)),0,VLOOKUP(A8,'Données projet'!$A$97:$I$117,3,0))</f>
        <v>0</v>
      </c>
      <c r="BL8" s="15">
        <f>IF(ISNA(VLOOKUP(A8,'Données projet'!$A$97:$I$117,4,0)),0,VLOOKUP(A8,'Données projet'!$A$97:$I$117,4,0))</f>
        <v>0</v>
      </c>
      <c r="BM8" s="16">
        <f>IF(ISNA(VLOOKUP(A8,'Données projet'!$A$97:$I$117,5,0)),0%,VLOOKUP(A8,'Données projet'!$A$97:$I$117,5,0)*VLOOKUP('Données projet'!$B$11,Paramètres!$A$1:$I$89,7,0))</f>
        <v>0</v>
      </c>
      <c r="BN8" s="16">
        <f>IF(ISNA(VLOOKUP(A8,'Données projet'!$A$97:$I$117,6,0)),0%,VLOOKUP(A8,'Données projet'!$A$97:$I$117,6,0)*VLOOKUP('Données projet'!$B$11,Paramètres!$A$1:$I$89,7,0))</f>
        <v>0</v>
      </c>
      <c r="BO8" s="16">
        <f>IF(ISNA(VLOOKUP(A8,'Données projet'!$A$97:$I$117,7,0)),0%,VLOOKUP(A8,'Données projet'!$A$97:$I$117,7,0))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projet'!$A$123:$I$143,2,0)</f>
        <v>#N/A</v>
      </c>
      <c r="BW8" s="12" t="e">
        <f>VLOOKUP(A8,'Données projet'!$A$123:$I$143,9,0)</f>
        <v>#N/A</v>
      </c>
      <c r="BX8" s="12">
        <f t="array" ref="BX8">INDEX(BW:BW,MIN(IF(ISNUMBER(BW8:BW204),ROW(BW8:BW204),"")))</f>
        <v>2.9</v>
      </c>
      <c r="BY8" s="12">
        <f>IF('Données projet'!$A$124&gt;35,BY7+BX8-CG7,IF(A8&lt;'Données projet'!$A$124,$BV$205^A8,IF(A8='Données projet'!$A$124,'Données projet'!$B$124,BY7+BX8-CG7)))</f>
        <v>5.3851648071345055</v>
      </c>
      <c r="BZ8" s="13">
        <f>BY8*VLOOKUP('Données projet'!$B$12,Paramètres!$A$1:$I$89,3,0)*VLOOKUP('Données projet'!$B$12,Paramètres!$A$1:$I$89,5,0)</f>
        <v>5.6285742564169858</v>
      </c>
      <c r="CA8" s="13">
        <f t="shared" si="69"/>
        <v>2.1213097648187431</v>
      </c>
      <c r="CB8" s="20">
        <f t="shared" si="10"/>
        <v>13.497714670318894</v>
      </c>
      <c r="CC8" s="59">
        <f t="shared" si="11"/>
        <v>306.8310480036522</v>
      </c>
      <c r="CD8" s="59">
        <f ca="1">AVERAGE(OFFSET($CC$3,0,0,'Données projet'!$E$12+1,1))-AVERAGE(OFFSET($H$3,0,0,'Données projet'!$E$12+1,1))</f>
        <v>322.93502595881938</v>
      </c>
      <c r="CE8" s="59">
        <f t="shared" si="70"/>
        <v>302.67072119588164</v>
      </c>
      <c r="CF8" s="15">
        <f>IF(ISNA(VLOOKUP(A8,'Données projet'!$A$123:$I$143,3,0)),0,VLOOKUP(A8,'Données projet'!$A$123:$I$143,3,0))</f>
        <v>0</v>
      </c>
      <c r="CG8" s="15">
        <f>IF(ISNA(VLOOKUP(A8,'Données projet'!$A$123:$I$143,4,0)),0,VLOOKUP(A8,'Données projet'!$A$123:$I$143,4,0))</f>
        <v>0</v>
      </c>
      <c r="CH8" s="16">
        <f>IF(ISNA(VLOOKUP(A8,'Données projet'!$A$123:$I$143,5,0)),0%,VLOOKUP(A8,'Données projet'!$A$123:$I$143,5,0)*VLOOKUP('Données projet'!$B$12,Paramètres!$A$1:$I$89,7,0))</f>
        <v>0</v>
      </c>
      <c r="CI8" s="16">
        <f>IF(ISNA(VLOOKUP(A8,'Données projet'!$A$123:$I$143,6,0)),0%,VLOOKUP(A8,'Données projet'!$A$123:$I$143,6,0)*VLOOKUP('Données projet'!$B$12,Paramètres!$A$1:$I$89,7,0))</f>
        <v>0</v>
      </c>
      <c r="CJ8" s="16">
        <f>IF(ISNA(VLOOKUP(A8,'Données projet'!$A$123:$I$143,7,0)),0%,VLOOKUP(A8,'Données projet'!$A$123:$I$143,7,0))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projet'!$A$149:$I$169,2,0)</f>
        <v>#N/A</v>
      </c>
      <c r="CR8" s="12" t="e">
        <f>VLOOKUP(A8,'Données projet'!$A$149:$I$169,9,0)</f>
        <v>#N/A</v>
      </c>
      <c r="CS8" s="12">
        <f t="array" ref="CS8">INDEX(CR:CR,MIN(IF(ISNUMBER(CR8:CR204),ROW(CR8:CR204),"")))</f>
        <v>2.9235042735042733</v>
      </c>
      <c r="CT8" s="12">
        <f>IF('Données projet'!$A$150&gt;35,CT7+CS8-DB7,IF(A8&lt;'Données projet'!$A$150,$CQ$205^A8,IF(A8='Données projet'!$A$150,'Données projet'!$B$150,CT7+CS8-DB7)))</f>
        <v>2.1078393020416879</v>
      </c>
      <c r="CU8" s="17">
        <f>CT8*VLOOKUP('Données projet'!$B$13,Paramètres!$A$1:$I$89,3,0)*VLOOKUP('Données projet'!$B$13,Paramètres!$A$1:$I$89,5,0)</f>
        <v>2.1373490522702716</v>
      </c>
      <c r="CV8" s="13">
        <f t="shared" si="71"/>
        <v>0.90163344943134527</v>
      </c>
      <c r="CW8" s="20">
        <f t="shared" si="13"/>
        <v>5.2928945237969822</v>
      </c>
      <c r="CX8" s="59">
        <f t="shared" si="14"/>
        <v>298.62622785713029</v>
      </c>
      <c r="CY8" s="59">
        <f ca="1">AVERAGE(OFFSET($CX$3,0,0,'Données projet'!$E$13+1,1))-AVERAGE(OFFSET($H$3,0,0,'Données projet'!$E$13+1,1))</f>
        <v>250.31277422753283</v>
      </c>
      <c r="CZ8" s="59">
        <f t="shared" si="72"/>
        <v>159.20429420478047</v>
      </c>
      <c r="DA8" s="15">
        <f>IF(ISNA(VLOOKUP(A8,'Données projet'!$A$149:$I$169,3,0)),0,VLOOKUP(A8,'Données projet'!$A$149:$I$169,3,0))</f>
        <v>0</v>
      </c>
      <c r="DB8" s="15">
        <f>IF(ISNA(VLOOKUP(A8,'Données projet'!$A$149:$I$169,4,0)),0,VLOOKUP(A8,'Données projet'!$A$149:$I$169,4,0))</f>
        <v>0</v>
      </c>
      <c r="DC8" s="16">
        <f>IF(ISNA(VLOOKUP(A8,'Données projet'!$A$149:$I$169,5,0)),0%,VLOOKUP(A8,'Données projet'!$A$149:$I$169,5,0)*VLOOKUP('Données projet'!$B$13,Paramètres!$A$1:$I$89,7,0))</f>
        <v>0</v>
      </c>
      <c r="DD8" s="16">
        <f>IF(ISNA(VLOOKUP(A8,'Données projet'!$A$149:$I$169,6,0)),0%,VLOOKUP(A8,'Données projet'!$A$149:$I$169,6,0)*VLOOKUP('Données projet'!$B$13,Paramètres!$A$1:$I$89,7,0))</f>
        <v>0</v>
      </c>
      <c r="DE8" s="16">
        <f>IF(ISNA(VLOOKUP(A8,'Données projet'!$A$149:$I$169,7,0)),0%,VLOOKUP(A8,'Données projet'!$A$149:$I$169,7,0))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projet'!$A$175:$I$195,2,0)</f>
        <v>#N/A</v>
      </c>
      <c r="DM8" s="12" t="e">
        <f>VLOOKUP(A8,'Données projet'!$A$175:$I$195,9,0)</f>
        <v>#N/A</v>
      </c>
      <c r="DN8" s="12">
        <f t="array" ref="DN8">INDEX(DM:DM,MIN(IF(ISNUMBER(DM8:DM204),ROW(DM8:DM204),"")))</f>
        <v>1.9</v>
      </c>
      <c r="DO8" s="12">
        <f>IF('Données projet'!$A$176&gt;35,DO7+DN8-DW7,IF(A8&lt;'Données projet'!$A$176,$DL$205^A8,IF(A8='Données projet'!$A$176,'Données projet'!$B$176,DO7+DN8-DW7)))</f>
        <v>4.3588989435406749</v>
      </c>
      <c r="DP8" s="17">
        <f>DO8*VLOOKUP('Données projet'!$B$14,Paramètres!$A$1:$I$89,3,0)*VLOOKUP('Données projet'!$B$14,Paramètres!$A$1:$I$89,5,0)</f>
        <v>3.1959447054040226</v>
      </c>
      <c r="DQ8" s="13">
        <f t="shared" si="73"/>
        <v>1.2865182998910156</v>
      </c>
      <c r="DR8" s="20">
        <f t="shared" si="16"/>
        <v>7.8069564008888577</v>
      </c>
      <c r="DS8" s="59">
        <f t="shared" si="17"/>
        <v>301.14028973422216</v>
      </c>
      <c r="DT8" s="59">
        <f ca="1">AVERAGE(OFFSET($DS$3,0,0,'Données projet'!$E$14+1,1))-AVERAGE(OFFSET($H$3,0,0,'Données projet'!$E$14+1,1))</f>
        <v>296.91321813251051</v>
      </c>
      <c r="DU8" s="59">
        <f t="shared" si="74"/>
        <v>291.0718079639509</v>
      </c>
      <c r="DV8" s="15">
        <f>IF(ISNA(VLOOKUP(A8,'Données projet'!$A$175:$I$195,3,0)),0,VLOOKUP(A8,'Données projet'!$A$175:$I$195,3,0))</f>
        <v>0</v>
      </c>
      <c r="DW8" s="15">
        <f>IF(ISNA(VLOOKUP(A8,'Données projet'!$A$175:$I$195,4,0)),0,VLOOKUP(A8,'Données projet'!$A$175:$I$195,4,0))</f>
        <v>0</v>
      </c>
      <c r="DX8" s="16">
        <f>IF(ISNA(VLOOKUP(A8,'Données projet'!$A$175:$I$195,5,0)),0%,VLOOKUP(A8,'Données projet'!$A$175:$I$195,5,0)*VLOOKUP('Données projet'!$B$14,Paramètres!$A$1:$I$89,7,0))</f>
        <v>0</v>
      </c>
      <c r="DY8" s="16">
        <f>IF(ISNA(VLOOKUP(A8,'Données projet'!$A$175:$I$195,6,0)),0%,VLOOKUP(A8,'Données projet'!$A$175:$I$195,6,0)*VLOOKUP('Données projet'!$B$14,Paramètres!$A$1:$I$89,7,0))</f>
        <v>0</v>
      </c>
      <c r="DZ8" s="16">
        <f>IF(ISNA(VLOOKUP(A8,'Données projet'!$A$175:$I$195,7,0)),0%,VLOOKUP(A8,'Données projet'!$A$175:$I$195,7,0))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projet'!$A$201:$I$221,2,0)</f>
        <v>#N/A</v>
      </c>
      <c r="EH8" s="12" t="e">
        <f>VLOOKUP(A8,'Données projet'!$A$201:$I$221,9,0)</f>
        <v>#N/A</v>
      </c>
      <c r="EI8" s="12">
        <f t="array" ref="EI8">INDEX(EH:EH,MIN(IF(ISNUMBER(EH8:EH204),ROW(EH8:EH204),"")))</f>
        <v>3.4425641025641025</v>
      </c>
      <c r="EJ8" s="12">
        <f>IF('Données projet'!$A$202&gt;35,EJ7+EI8-ER7,IF(A8&lt;'Données projet'!$A$202,$EG$205^A8,IF(A8='Données projet'!$A$202,'Données projet'!$B$202,EJ7+EI8-ER7)))</f>
        <v>2.1660437040287945</v>
      </c>
      <c r="EK8" s="17">
        <f>EJ8*VLOOKUP('Données projet'!$B$15,Paramètres!$A$1:$I$89,3,0)*VLOOKUP('Données projet'!$B$15,Paramètres!$A$1:$I$89,5,0)</f>
        <v>1.0137084534854759</v>
      </c>
      <c r="EL8" s="13">
        <f t="shared" si="75"/>
        <v>0.46641966415357117</v>
      </c>
      <c r="EM8" s="20">
        <f t="shared" si="19"/>
        <v>2.5778898048880068</v>
      </c>
      <c r="EN8" s="59">
        <f t="shared" si="20"/>
        <v>295.91122313822132</v>
      </c>
      <c r="EO8" s="59">
        <f ca="1">AVERAGE(OFFSET($EN$3,0,0,'Données projet'!$E$15+1,1))-AVERAGE(OFFSET($H$3,0,0,'Données projet'!$E$15+1,1))</f>
        <v>147.64256291235483</v>
      </c>
      <c r="EP8" s="59">
        <f t="shared" si="76"/>
        <v>70.859031694091868</v>
      </c>
      <c r="EQ8" s="15">
        <f>IF(ISNA(VLOOKUP(A8,'Données projet'!$A$201:$I$221,3,0)),0,VLOOKUP(A8,'Données projet'!$A$201:$I$221,3,0))</f>
        <v>0</v>
      </c>
      <c r="ER8" s="15">
        <f>IF(ISNA(VLOOKUP(A8,'Données projet'!$A$201:$I$221,4,0)),0,VLOOKUP(A8,'Données projet'!$A$201:$I$221,4,0))</f>
        <v>0</v>
      </c>
      <c r="ES8" s="16">
        <f>IF(ISNA(VLOOKUP(A8,'Données projet'!$A$201:$I$221,5,0)),0%,VLOOKUP(A8,'Données projet'!$A$201:$I$221,5,0)*VLOOKUP('Données projet'!$B$15,Paramètres!$A$1:$I$89,7,0))</f>
        <v>0</v>
      </c>
      <c r="ET8" s="16">
        <f>IF(ISNA(VLOOKUP(A8,'Données projet'!$A$201:$I$221,6,0)),0%,VLOOKUP(A8,'Données projet'!$A$201:$I$221,6,0)*VLOOKUP('Données projet'!$B$15,Paramètres!$A$1:$I$89,7,0))</f>
        <v>0</v>
      </c>
      <c r="EU8" s="16">
        <f>IF(ISNA(VLOOKUP(A8,'Données projet'!$A$201:$I$221,7,0)),0%,VLOOKUP(A8,'Données projet'!$A$201:$I$221,7,0))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projet'!$A$227:$I$247,2,0)</f>
        <v>#N/A</v>
      </c>
      <c r="FC8" s="12" t="e">
        <f>VLOOKUP(A8,'Données projet'!$A$227:$I$247,9,0)</f>
        <v>#N/A</v>
      </c>
      <c r="FD8" s="12">
        <f t="array" ref="FD8">INDEX(FC:FC,MIN(IF(ISNUMBER(FC8:FC204),ROW(FC8:FC204),"")))</f>
        <v>1.8</v>
      </c>
      <c r="FE8" s="12">
        <f>IF('Données projet'!$A$228&gt;35,FE7+FD8-FM7,IF(A8&lt;'Données projet'!$A$228,$FB$205^A8,IF(A8='Données projet'!$A$228,'Données projet'!$B$228,FE7+FD8-FM7)))</f>
        <v>4.2426406871192865</v>
      </c>
      <c r="FF8" s="17">
        <f>FE8*VLOOKUP('Données projet'!$B$16,Paramètres!$A$1:$I$89,3,0)*VLOOKUP('Données projet'!$B$16,Paramètres!$A$1:$I$89,5,0)</f>
        <v>4.4344080461770785</v>
      </c>
      <c r="FG8" s="13">
        <f t="shared" si="77"/>
        <v>1.7182883611160802</v>
      </c>
      <c r="FH8" s="20">
        <f t="shared" si="22"/>
        <v>10.715946242702252</v>
      </c>
      <c r="FI8" s="59">
        <f t="shared" si="23"/>
        <v>304.04927957603559</v>
      </c>
      <c r="FJ8" s="59">
        <f ca="1">AVERAGE(OFFSET($FI$3,0,0,'Données projet'!$E$16+1,1))-AVERAGE(OFFSET($H$3,0,0,'Données projet'!$E$16+1,1))</f>
        <v>259.03906550253788</v>
      </c>
      <c r="FK8" s="59">
        <f t="shared" si="78"/>
        <v>235.54542903570831</v>
      </c>
      <c r="FL8" s="15">
        <f>IF(ISNA(VLOOKUP(A8,'Données projet'!$A$227:$I$247,3,0)),0,VLOOKUP(A8,'Données projet'!$A$227:$I$247,3,0))</f>
        <v>0</v>
      </c>
      <c r="FM8" s="15">
        <f>IF(ISNA(VLOOKUP(A8,'Données projet'!$A$227:$I$247,4,0)),0,VLOOKUP(A8,'Données projet'!$A$227:$I$247,4,0))</f>
        <v>0</v>
      </c>
      <c r="FN8" s="16">
        <f>IF(ISNA(VLOOKUP(A8,'Données projet'!$A$227:$I$247,5,0)),0%,VLOOKUP(A8,'Données projet'!$A$227:$I$247,5,0)*VLOOKUP('Données projet'!$B$16,Paramètres!$A$1:$I$89,7,0))</f>
        <v>0</v>
      </c>
      <c r="FO8" s="16">
        <f>IF(ISNA(VLOOKUP(A8,'Données projet'!$A$227:$I$247,6,0)),0%,VLOOKUP(A8,'Données projet'!$A$227:$I$247,6,0)*VLOOKUP('Données projet'!$B$16,Paramètres!$A$1:$I$89,7,0))</f>
        <v>0</v>
      </c>
      <c r="FP8" s="16">
        <f>IF(ISNA(VLOOKUP(A8,'Données projet'!$A$227:$I$247,7,0)),0%,VLOOKUP(A8,'Données projet'!$A$227:$I$247,7,0))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projet'!$A$253:$I$273,2,0)</f>
        <v>#N/A</v>
      </c>
      <c r="FX8" s="12" t="e">
        <f>VLOOKUP(A8,'Données projet'!$A$253:$I$273,9,0)</f>
        <v>#N/A</v>
      </c>
      <c r="FY8" s="12">
        <f t="array" ref="FY8">INDEX(FX:FX,MIN(IF(ISNUMBER(FX8:FX204),ROW(FX8:FX204),"")))</f>
        <v>2.4666666666666668</v>
      </c>
      <c r="FZ8" s="12">
        <f>IF('Données projet'!$A$254&gt;35,FZ7+FY8-GH7,IF(A8&lt;'Données projet'!$A$254,$FW$205^A8,IF(A8='Données projet'!$A$254,'Données projet'!$B$254,FZ7+FY8-GH7)))</f>
        <v>3.332221851645953</v>
      </c>
      <c r="GA8" s="17">
        <f>FZ8*VLOOKUP('Données projet'!$B$17,Paramètres!$A$1:$I$89,3,0)*VLOOKUP('Données projet'!$B$17,Paramètres!$A$1:$I$89,5,0)</f>
        <v>2.9110290095979048</v>
      </c>
      <c r="GB8" s="13">
        <f t="shared" si="79"/>
        <v>1.1846323324451606</v>
      </c>
      <c r="GC8" s="20">
        <f t="shared" si="25"/>
        <v>7.133276837391672</v>
      </c>
      <c r="GD8" s="59">
        <f t="shared" si="26"/>
        <v>300.466610170725</v>
      </c>
      <c r="GE8" s="59">
        <f ca="1">AVERAGE(OFFSET($GD$3,0,0,'Données projet'!$E$17+1,1))-AVERAGE(OFFSET($H$3,0,0,'Données projet'!$E$17+1,1))</f>
        <v>245.1983232777614</v>
      </c>
      <c r="GF8" s="59">
        <f t="shared" si="80"/>
        <v>242.34010522344573</v>
      </c>
      <c r="GG8" s="15">
        <f>IF(ISNA(VLOOKUP(A8,'Données projet'!$A$253:$I$273,3,0)),0,VLOOKUP(A8,'Données projet'!$A$253:$I$273,3,0))</f>
        <v>0</v>
      </c>
      <c r="GH8" s="15">
        <f>IF(ISNA(VLOOKUP(A8,'Données projet'!$A$253:$I$273,4,0)),0,VLOOKUP(A8,'Données projet'!$A$253:$I$273,4,0))</f>
        <v>0</v>
      </c>
      <c r="GI8" s="16">
        <f>IF(ISNA(VLOOKUP(A8,'Données projet'!$A$253:$I$273,5,0)),0%,VLOOKUP(A8,'Données projet'!$A$253:$I$273,5,0)*VLOOKUP('Données projet'!$B$17,Paramètres!$A$1:$I$89,7,0))</f>
        <v>0</v>
      </c>
      <c r="GJ8" s="16">
        <f>IF(ISNA(VLOOKUP(A8,'Données projet'!$A$253:$I$273,6,0)),0%,VLOOKUP(A8,'Données projet'!$A$253:$I$273,6,0)*VLOOKUP('Données projet'!$B$17,Paramètres!$A$1:$I$89,7,0))</f>
        <v>0</v>
      </c>
      <c r="GK8" s="16">
        <f>IF(ISNA(VLOOKUP(A8,'Données projet'!$A$253:$I$273,7,0)),0%,VLOOKUP(A8,'Données projet'!$A$253:$I$273,7,0))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projet'!$A$279:$I$299,2,0)</f>
        <v>#N/A</v>
      </c>
      <c r="GS8" s="12" t="e">
        <f>VLOOKUP(A8,'Données projet'!$A$279:$I$299,9,0)</f>
        <v>#N/A</v>
      </c>
      <c r="GT8" s="12">
        <f t="array" ref="GT8">INDEX(GS:GS,MIN(IF(ISNUMBER(GS8:GS204),ROW(GS8:GS204),"")))</f>
        <v>4.1333333333333337</v>
      </c>
      <c r="GU8" s="12">
        <f>IF('Données projet'!$A$280&gt;35,GU7+GT8-HC7,IF(A8&lt;'Données projet'!$A$280,$GR$205^A8,IF(A8='Données projet'!$A$280,'Données projet'!$B$280,GU7+GT8-HC7)))</f>
        <v>3.957891609680408</v>
      </c>
      <c r="GV8" s="17">
        <f>GU8*VLOOKUP('Données projet'!$B$18,Paramètres!$A$1:$I$89,3,0)*VLOOKUP('Données projet'!$B$18,Paramètres!$A$1:$I$89,5,0)</f>
        <v>1.5950303187012043</v>
      </c>
      <c r="GW8" s="13">
        <f t="shared" si="81"/>
        <v>0.69617544739036541</v>
      </c>
      <c r="GX8" s="20">
        <f t="shared" si="28"/>
        <v>3.9905167092761502</v>
      </c>
      <c r="GY8" s="59">
        <f t="shared" si="29"/>
        <v>297.32385004260948</v>
      </c>
      <c r="GZ8" s="59">
        <f ca="1">AVERAGE(OFFSET($GY$3,0,0,'Données projet'!$E$18+1,1))-AVERAGE(OFFSET($H$3,0,0,'Données projet'!$E$18+1,1))</f>
        <v>324.36162935850876</v>
      </c>
      <c r="HA8" s="59">
        <f t="shared" si="82"/>
        <v>265.23571072429735</v>
      </c>
      <c r="HB8" s="15">
        <f>IF(ISNA(VLOOKUP(A8,'Données projet'!$A$279:$I$299,3,0)),0,VLOOKUP(A8,'Données projet'!$A$279:$I$299,3,0))</f>
        <v>0</v>
      </c>
      <c r="HC8" s="15">
        <f>IF(ISNA(VLOOKUP(A8,'Données projet'!$A$279:$I$299,4,0)),0,VLOOKUP(A8,'Données projet'!$A$279:$I$299,4,0))</f>
        <v>0</v>
      </c>
      <c r="HD8" s="16">
        <f>IF(ISNA(VLOOKUP(A8,'Données projet'!$A$279:$I$299,5,0)),0%,VLOOKUP(A8,'Données projet'!$A$279:$I$299,5,0)*VLOOKUP('Données projet'!$B$18,Paramètres!$A$1:$I$89,7,0))</f>
        <v>0</v>
      </c>
      <c r="HE8" s="16">
        <f>IF(ISNA(VLOOKUP(A8,'Données projet'!$A$279:$I$299,6,0)),0%,VLOOKUP(A8,'Données projet'!$A$279:$I$299,6,0)*VLOOKUP('Données projet'!$B$18,Paramètres!$A$1:$I$89,7,0))</f>
        <v>0</v>
      </c>
      <c r="HF8" s="16">
        <f>IF(ISNA(VLOOKUP($A8,'Données projet'!$A$279:$I$299,7,0)),0%,VLOOKUP($A8,'Données projet'!$A$279:$I$299,7,0))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  <c r="HK8" s="74">
        <f>('Scénario référence'!$F$8+'Scénario référence'!$F$9+'Scénario référence'!$B$17+'Scénario référence'!$B$9+'Scénario référence'!$B$10)*70+IF((45+25*(1-EXP(-0.0175*$A8)))&lt;70,'Scénario référence'!$B$16*(45+25*(1-EXP(-0.0175*$A8))),70*'Scénario référence'!$B$16)+IF((32+38*(1-EXP(-0.0175*$A8)))&lt;70,'Scénario référence'!$B$18*(32+38*(1-EXP(-0.0175*$A8))),70*'Scénario référence'!$B$18)</f>
        <v>70</v>
      </c>
      <c r="HL8" s="12">
        <f>IF($A8&gt;30,10,('Scénario référence'!$B$16+'Scénario référence'!$B$17+'Scénario référence'!$B$18+'Scénario référence'!$B$9+'Scénario référence'!$B$10)*$A8*10/30+('Scénario référence'!$F$8+'Scénario référence'!$F$9)*10)</f>
        <v>10</v>
      </c>
      <c r="HM8" s="12">
        <f>VLOOKUP($A8,'Données projet'!$A$304:$I$324,2,0)</f>
        <v>13.14935897435897</v>
      </c>
      <c r="HN8" s="12">
        <f>VLOOKUP($A8,'Données projet'!$A$304:$I$324,9,0)</f>
        <v>6.4655128205128181</v>
      </c>
      <c r="HO8" s="12">
        <f t="array" ref="HO8">INDEX(HN:HN,MIN(IF(ISNUMBER(HN8:HN204),ROW(HN8:HN204),"")))</f>
        <v>6.4655128205128181</v>
      </c>
      <c r="HP8" s="12">
        <f>IF('Données projet'!$A$304&gt;35,HP7+HO8-HX7,IF($A8&lt;'Données projet'!$A$304,$CQ$205^$A8,IF($A8='Données projet'!$A$304,'Données projet'!$B$304,HP7+HO8-HX7)))</f>
        <v>13.149358974358972</v>
      </c>
      <c r="HQ8" s="17">
        <f>HP8*VLOOKUP('Données projet'!$B$19,Paramètres!$A$1:$I$89,3,0)*VLOOKUP('Données projet'!$B$19,Paramètres!$A$1:$I$89,5,0)</f>
        <v>6.6872379999999989</v>
      </c>
      <c r="HR8" s="13">
        <f t="shared" si="83"/>
        <v>2.4702455167163944</v>
      </c>
      <c r="HS8" s="14">
        <f t="shared" si="31"/>
        <v>15.949283791614382</v>
      </c>
      <c r="HT8" s="59">
        <f t="shared" si="32"/>
        <v>309.28261712494771</v>
      </c>
      <c r="HU8" s="59">
        <f ca="1">AVERAGE(OFFSET(HT$3,0,0,'Données projet'!$E$19+1,1))-AVERAGE(OFFSET($H$3,0,0,'Données projet'!$E$19+1,1))</f>
        <v>91.60721429656013</v>
      </c>
      <c r="HV8" s="59">
        <f t="shared" si="84"/>
        <v>258.94957804210856</v>
      </c>
      <c r="HW8" s="15">
        <f>IF(ISNA(VLOOKUP($A8,'Données projet'!$A$304:$I$324,3,0)),0,VLOOKUP($A8,'Données projet'!$A$304:$I$324,3,0))</f>
        <v>0</v>
      </c>
      <c r="HX8" s="15">
        <f>IF(ISNA(VLOOKUP($A8,'Données projet'!$A$304:$I$324,4,0)),0,VLOOKUP($A8,'Données projet'!$A$304:$I$324,4,0))</f>
        <v>0</v>
      </c>
      <c r="HY8" s="16">
        <f>IF(ISNA(VLOOKUP($A8,'Données projet'!$A$304:$I$324,5,0)),0%,VLOOKUP($A8,'Données projet'!$A$304:$I$324,5,0)*VLOOKUP('Données projet'!$B$19,Paramètres!$A$1:$I$89,7,0))</f>
        <v>0</v>
      </c>
      <c r="HZ8" s="16">
        <f>IF(ISNA(VLOOKUP($A8,'Données projet'!$A$304:$I$324,6,0)),0%,VLOOKUP($A8,'Données projet'!$A$304:$I$324,6,0)*VLOOKUP('Données projet'!$B$19,Paramètres!$A$1:$I$89,7,0))</f>
        <v>0</v>
      </c>
      <c r="IA8" s="16">
        <f>IF(ISNA(VLOOKUP($A8,'Données projet'!$A$304:$I$324,7,0)),0%,VLOOKUP($A8,'Données projet'!$A$304:$I$324,7,0))</f>
        <v>0</v>
      </c>
      <c r="IB8" s="21">
        <f>EXP(-LN(2)/35)*IB7+(1-EXP(-LN(2)/35))/(LN(2)/35)*HX8*HY8*VLOOKUP('Données projet'!$B$19,Paramètres!$A$1:$I$89,3,0)*0.475*44/12</f>
        <v>0</v>
      </c>
      <c r="IC8" s="21">
        <f>EXP(-LN(2)/25)*IC7+(1-EXP(-LN(2)/25))/(LN(2)/25)*Calculateur!HX8*Calculateur!HZ8*VLOOKUP('Données projet'!$B$19,Paramètres!$A$1:$I$89,3,0)*0.475*44/12</f>
        <v>0</v>
      </c>
      <c r="ID8" s="21">
        <f>EXP(-LN(2)/2)*ID7+(1-EXP(-LN(2)/2))/(LN(2)/2)*HX8*IA8*VLOOKUP('Données projet'!$B$19,Paramètres!$A$1:$I$89,3,0)*0.475*44/12</f>
        <v>0</v>
      </c>
      <c r="IE8" s="22">
        <f t="shared" si="33"/>
        <v>0</v>
      </c>
      <c r="IF8" s="74">
        <f>('Scénario référence'!$F$8+'Scénario référence'!$F$9+'Scénario référence'!$B$17+'Scénario référence'!$B$9+'Scénario référence'!$B$10)*70+IF((45+25*(1-EXP(-0.0175*$A8)))&lt;70,'Scénario référence'!$B$16*(45+25*(1-EXP(-0.0175*$A8))),70*'Scénario référence'!$B$16)+IF((32+38*(1-EXP(-0.0175*$A8)))&lt;70,'Scénario référence'!$B$18*(32+38*(1-EXP(-0.0175*$A8))),70*'Scénario référence'!$B$18)</f>
        <v>70</v>
      </c>
      <c r="IG8" s="12">
        <f>IF($A8&gt;30,10,('Scénario référence'!$B$16+'Scénario référence'!$B$17+'Scénario référence'!$B$18+'Scénario référence'!$B$9+'Scénario référence'!$B$10)*$A8*10/30+('Scénario référence'!$F$8+'Scénario référence'!$F$9)*10)</f>
        <v>10</v>
      </c>
      <c r="IH8" s="12">
        <f>VLOOKUP($A8,'Données projet'!$A$330:$I$350,2,0)</f>
        <v>13.14935897435897</v>
      </c>
      <c r="II8" s="12">
        <f>VLOOKUP($A8,'Données projet'!$A$330:$I$350,9,0)</f>
        <v>6.4655128205128181</v>
      </c>
      <c r="IJ8" s="12">
        <f t="array" ref="IJ8">INDEX(II:II,MIN(IF(ISNUMBER(II8:II204),ROW(II8:II204),"")))</f>
        <v>6.4655128205128181</v>
      </c>
      <c r="IK8" s="12">
        <f>IF('Données projet'!$A$330&gt;35,IK7+IJ8-IS7,IF($A8&lt;'Données projet'!$A$330,$CQ$205^$A8,IF($A8='Données projet'!$A$330,'Données projet'!$B$330,IK7+IJ8-IS7)))</f>
        <v>13.149358974358972</v>
      </c>
      <c r="IL8" s="17">
        <f>IK8*VLOOKUP('Données projet'!$B$20,Paramètres!$A$1:$I$89,3,0)*VLOOKUP('Données projet'!$B$20,Paramètres!$A$1:$I$89,5,0)</f>
        <v>6.6872379999999989</v>
      </c>
      <c r="IM8" s="13">
        <f t="shared" si="85"/>
        <v>2.4702455167163944</v>
      </c>
      <c r="IN8" s="20">
        <f t="shared" si="86"/>
        <v>15.949283791614382</v>
      </c>
      <c r="IO8" s="59">
        <f t="shared" si="87"/>
        <v>309.28261712494771</v>
      </c>
      <c r="IP8" s="59">
        <f ca="1">AVERAGE(OFFSET(IO$3,0,0,'Données projet'!$E$20+1,1))-AVERAGE(OFFSET($H$3,0,0,'Données projet'!$E$20+1,1))</f>
        <v>91.60721429656013</v>
      </c>
      <c r="IQ8" s="59">
        <f t="shared" si="88"/>
        <v>258.94957804210856</v>
      </c>
      <c r="IR8" s="15">
        <f>IF(ISNA(VLOOKUP($A8,'Données projet'!$A$330:$I$350,3,0)),0,VLOOKUP($A8,'Données projet'!$A$330:$I$350,3,0))</f>
        <v>0</v>
      </c>
      <c r="IS8" s="15">
        <f>IF(ISNA(VLOOKUP($A8,'Données projet'!$A$330:$I$350,4,0)),0,VLOOKUP($A8,'Données projet'!$A$330:$I$350,4,0))</f>
        <v>0</v>
      </c>
      <c r="IT8" s="16">
        <f>IF(ISNA(VLOOKUP($A8,'Données projet'!$A$330:$I$350,5,0)),0%,VLOOKUP($A8,'Données projet'!$A$330:$I$350,5,0)*VLOOKUP('Données projet'!$B$20,Paramètres!$A$1:$I$89,7,0))</f>
        <v>0</v>
      </c>
      <c r="IU8" s="16">
        <f>IF(ISNA(VLOOKUP($A8,'Données projet'!$A$330:$I$350,6,0)),0%,VLOOKUP($A8,'Données projet'!$A$330:$I$350,6,0)*VLOOKUP('Données projet'!$B$20,Paramètres!$A$1:$I$89,7,0))</f>
        <v>0</v>
      </c>
      <c r="IV8" s="16">
        <f>IF(ISNA(VLOOKUP($A8,'Données projet'!$A$330:$I$350,7,0)),0%,VLOOKUP($A8,'Données projet'!$A$330:$I$350,7,0))</f>
        <v>0</v>
      </c>
      <c r="IW8" s="21">
        <f>EXP(-LN(2)/35)*IW7+(1-EXP(-LN(2)/35))/(LN(2)/35)*IS8*IT8*VLOOKUP('Données projet'!$B$20,Paramètres!$A$1:$I$89,3,0)*0.475*44/12</f>
        <v>0</v>
      </c>
      <c r="IX8" s="21">
        <f>EXP(-LN(2)/25)*IX7+(1-EXP(-LN(2)/25))/(LN(2)/25)*Calculateur!IS8*Calculateur!IU8*VLOOKUP('Données projet'!$B$20,Paramètres!$A$1:$I$89,3,0)*0.475*44/12</f>
        <v>0</v>
      </c>
      <c r="IY8" s="21">
        <f>EXP(-LN(2)/2)*IY7+(1-EXP(-LN(2)/2))/(LN(2)/2)*IS8*IV8*VLOOKUP('Données projet'!$B$20,Paramètres!$A$1:$I$89,3,0)*0.475*44/12</f>
        <v>0</v>
      </c>
      <c r="IZ8" s="22">
        <f t="shared" si="89"/>
        <v>0</v>
      </c>
      <c r="JA8" s="74">
        <f>('Scénario référence'!$F$8+'Scénario référence'!$F$9+'Scénario référence'!$B$17+'Scénario référence'!$B$9+'Scénario référence'!$B$10)*70+IF((45+25*(1-EXP(-0.0175*$A8)))&lt;70,'Scénario référence'!$B$16*(45+25*(1-EXP(-0.0175*$A8))),70*'Scénario référence'!$B$16)+IF((32+38*(1-EXP(-0.0175*$A8)))&lt;70,'Scénario référence'!$B$18*(32+38*(1-EXP(-0.0175*$A8))),70*'Scénario référence'!$B$18)</f>
        <v>70</v>
      </c>
      <c r="JB8" s="12">
        <f>IF($A8&gt;30,10,('Scénario référence'!$B$16+'Scénario référence'!$B$17+'Scénario référence'!$B$18+'Scénario référence'!$B$9+'Scénario référence'!$B$10)*$A8*10/30+('Scénario référence'!$F$8+'Scénario référence'!$F$9)*10)</f>
        <v>10</v>
      </c>
      <c r="JC8" s="12" t="e">
        <f>VLOOKUP($A8,'Données projet'!$A$356:$I$376,2,0)</f>
        <v>#N/A</v>
      </c>
      <c r="JD8" s="12" t="e">
        <f>VLOOKUP($A8,'Données projet'!$A$356:$I$376,9,0)</f>
        <v>#N/A</v>
      </c>
      <c r="JE8" s="12">
        <f t="array" ref="JE8">INDEX(JD:JD,MIN(IF(ISNUMBER(JD8:JD204),ROW(JD8:JD204),"")))</f>
        <v>3.04</v>
      </c>
      <c r="JF8" s="12">
        <f>IF('Données projet'!$A$356&gt;35,JF7+JE8-JN7,IF($A8&lt;'Données projet'!$A$356,$CQ$205^$A8,IF($A8='Données projet'!$A$356,'Données projet'!$B$356,JF7+JE8-JN7)))</f>
        <v>15.2</v>
      </c>
      <c r="JG8" s="17">
        <f>JF8*VLOOKUP('Données projet'!$B$21,Paramètres!$A$1:$I$89,3,0)*VLOOKUP('Données projet'!$B$21,Paramètres!$A$1:$I$89,5,0)</f>
        <v>12.33024</v>
      </c>
      <c r="JH8" s="13">
        <f t="shared" si="90"/>
        <v>4.2416468638466469</v>
      </c>
      <c r="JI8" s="20">
        <f t="shared" si="91"/>
        <v>28.862702954532907</v>
      </c>
      <c r="JJ8" s="59">
        <f t="shared" si="92"/>
        <v>322.19603628786621</v>
      </c>
      <c r="JK8" s="59">
        <f ca="1">AVERAGE(OFFSET($JJ$3,0,0,'Données projet'!$E$22+1,1))-AVERAGE(OFFSET($H$3,0,0,'Données projet'!$E$22+1,1))</f>
        <v>353.35574633294613</v>
      </c>
      <c r="JL8" s="59">
        <f t="shared" si="93"/>
        <v>170.36796666474726</v>
      </c>
      <c r="JM8" s="15">
        <f>IF(ISNA(VLOOKUP($A8,'Données projet'!$A$356:$I$376,3,0)),0,VLOOKUP($A8,'Données projet'!$A$356:$I$376,3,0))</f>
        <v>0</v>
      </c>
      <c r="JN8" s="15">
        <f>IF(ISNA(VLOOKUP($A8,'Données projet'!$A$356:$I$376,4,0)),0,VLOOKUP($A8,'Données projet'!$A$356:$I$376,4,0))</f>
        <v>0</v>
      </c>
      <c r="JO8" s="16">
        <f>IF(ISNA(VLOOKUP($A8,'Données projet'!$A$356:$I$376,5,0)),0%,VLOOKUP($A8,'Données projet'!$A$356:$I$376,5,0)*VLOOKUP('Données projet'!$B$21,Paramètres!$A$1:$I$89,7,0))</f>
        <v>0</v>
      </c>
      <c r="JP8" s="16">
        <f>IF(ISNA(VLOOKUP($A8,'Données projet'!$A$356:$I$376,6,0)),0%,VLOOKUP($A8,'Données projet'!$A$356:$I$376,6,0)*VLOOKUP('Données projet'!$B$21,Paramètres!$A$1:$I$89,7,0))</f>
        <v>0</v>
      </c>
      <c r="JQ8" s="16">
        <f>IF(ISNA(VLOOKUP($A8,'Données projet'!$A$356:$I$376,7,0)),0%,VLOOKUP($A8,'Données projet'!$A$356:$I$376,7,0))</f>
        <v>0</v>
      </c>
      <c r="JR8" s="21">
        <f>EXP(-LN(2)/35)*JR7+(1-EXP(-LN(2)/35))/(LN(2)/35)*JN8*JO8*VLOOKUP('Données projet'!$B$21,Paramètres!$A$1:$I$89,3,0)*0.475*44/12</f>
        <v>0</v>
      </c>
      <c r="JS8" s="21">
        <f>EXP(-LN(2)/25)*JS7+(1-EXP(-LN(2)/25))/(LN(2)/25)*Calculateur!JN8*Calculateur!JP8*VLOOKUP('Données projet'!$B$21,Paramètres!$A$1:$I$89,3,0)*0.475*44/12</f>
        <v>0</v>
      </c>
      <c r="JT8" s="21">
        <f>EXP(-LN(2)/2)*JT7+(1-EXP(-LN(2)/2))/(LN(2)/2)*JN8*JQ8*VLOOKUP('Données projet'!$B$21,Paramètres!$A$1:$I$89,3,0)*0.475*44/12</f>
        <v>0</v>
      </c>
      <c r="JU8" s="18">
        <f t="shared" si="39"/>
        <v>0</v>
      </c>
      <c r="JV8" s="74">
        <f>('Scénario référence'!$F$8+'Scénario référence'!$F$9+'Scénario référence'!$B$17+'Scénario référence'!$B$9+'Scénario référence'!$B$10)*70+IF((45+25*(1-EXP(-0.0175*$A8)))&lt;70,'Scénario référence'!$B$16*(45+25*(1-EXP(-0.0175*$A8))),70*'Scénario référence'!$B$16)+IF((32+38*(1-EXP(-0.0175*$A8)))&lt;70,'Scénario référence'!$B$18*(32+38*(1-EXP(-0.0175*$A8))),70*'Scénario référence'!$B$18)</f>
        <v>70</v>
      </c>
      <c r="JW8" s="12">
        <f>IF($A8&gt;30,10,('Scénario référence'!$B$16+'Scénario référence'!$B$17+'Scénario référence'!$B$18+'Scénario référence'!$B$9+'Scénario référence'!$B$10)*$A8*10/30+('Scénario référence'!$F$8+'Scénario référence'!$F$9)*10)</f>
        <v>10</v>
      </c>
      <c r="JX8" s="12" t="e">
        <f>VLOOKUP($A8,'Données projet'!$A$382:$I$402,2,0)</f>
        <v>#N/A</v>
      </c>
      <c r="JY8" s="12" t="e">
        <f>VLOOKUP($A8,'Données projet'!$A$382:$I$402,9,0)</f>
        <v>#N/A</v>
      </c>
      <c r="JZ8" s="12">
        <f t="array" ref="JZ8">INDEX(JY:JY,MIN(IF(ISNUMBER(JY8:JY204),ROW(JY8:JY204),"")))</f>
        <v>4.0628205128205126</v>
      </c>
      <c r="KA8" s="12">
        <f>IF('Données projet'!$A$382&gt;35,KA7+JZ8-KI7,IF($A8&lt;'Données projet'!$A$382,$CQ$205^$A8,IF($A8='Données projet'!$A$382,'Données projet'!$B$382,KA7+JZ8-KI7)))</f>
        <v>20.314102564102562</v>
      </c>
      <c r="KB8" s="17">
        <f>KA8*VLOOKUP('Données projet'!$B$22,Paramètres!$A$1:$I$89,3,0)*VLOOKUP('Données projet'!$B$22,Paramètres!$A$1:$I$89,5,0)</f>
        <v>13.626699999999998</v>
      </c>
      <c r="KC8" s="13">
        <f t="shared" si="94"/>
        <v>4.633398809760048</v>
      </c>
      <c r="KD8" s="20">
        <f t="shared" si="95"/>
        <v>31.803005426998741</v>
      </c>
      <c r="KE8" s="59">
        <f t="shared" si="96"/>
        <v>325.13633876033208</v>
      </c>
      <c r="KF8" s="59">
        <f ca="1">AVERAGE(OFFSET($KE$3,0,0,'Données projet'!$E$22+1,1))-AVERAGE(OFFSET($H$3,0,0,'Données projet'!$E$22+1,1))</f>
        <v>193.91714772848269</v>
      </c>
      <c r="KG8" s="59">
        <f t="shared" si="97"/>
        <v>159.20429420478047</v>
      </c>
      <c r="KH8" s="15">
        <f>IF(ISNA(VLOOKUP($A8,'Données projet'!$A$382:$I$402,3,0)),0,VLOOKUP($A8,'Données projet'!$A$382:$I$402,3,0))</f>
        <v>0</v>
      </c>
      <c r="KI8" s="15">
        <f>IF(ISNA(VLOOKUP($A8,'Données projet'!$A$382:$I$402,4,0)),0,VLOOKUP($A8,'Données projet'!$A$382:$I$402,4,0))</f>
        <v>0</v>
      </c>
      <c r="KJ8" s="16">
        <f>IF(ISNA(VLOOKUP($A8,'Données projet'!$A$382:$I$402,5,0)),0%,VLOOKUP($A8,'Données projet'!$A$382:$I$402,5,0)*VLOOKUP('Données projet'!$B$22,Paramètres!$A$1:$I$89,7,0))</f>
        <v>0</v>
      </c>
      <c r="KK8" s="16">
        <f>IF(ISNA(VLOOKUP($A8,'Données projet'!$A$382:$I$402,6,0)),0%,VLOOKUP($A8,'Données projet'!$A$382:$I$402,6,0)*VLOOKUP('Données projet'!$B$22,Paramètres!$A$1:$I$89,7,0))</f>
        <v>0</v>
      </c>
      <c r="KL8" s="16">
        <f>IF(ISNA(VLOOKUP($A8,'Données projet'!$A$382:$I$402,7,0)),0%,VLOOKUP($A8,'Données projet'!$A$382:$I$402,7,0))</f>
        <v>0</v>
      </c>
      <c r="KM8" s="21">
        <f>EXP(-LN(2)/35)*KM7+(1-EXP(-LN(2)/35))/(LN(2)/35)*KI8*KJ8*VLOOKUP('Données projet'!$B$22,Paramètres!$A$1:$I$89,3,0)*0.475*44/12</f>
        <v>0</v>
      </c>
      <c r="KN8" s="21">
        <f>EXP(-LN(2)/25)*KN7+(1-EXP(-LN(2)/25))/(LN(2)/25)*Calculateur!KI8*Calculateur!KK8*VLOOKUP('Données projet'!$B$22,Paramètres!$A$1:$I$89,3,0)*0.475*44/12</f>
        <v>0</v>
      </c>
      <c r="KO8" s="21">
        <f>EXP(-LN(2)/2)*KO7+(1-EXP(-LN(2)/2))/(LN(2)/2)*KI8*KL8*VLOOKUP('Données projet'!$B$22,Paramètres!$A$1:$I$89,3,0)*0.475*44/12</f>
        <v>0</v>
      </c>
      <c r="KP8" s="22">
        <f t="shared" si="98"/>
        <v>0</v>
      </c>
      <c r="KQ8" s="74">
        <f>('Scénario référence'!$F$8+'Scénario référence'!$F$9+'Scénario référence'!$B$17+'Scénario référence'!$B$9+'Scénario référence'!$B$10)*70+IF((45+25*(1-EXP(-0.0175*$A8)))&lt;70,'Scénario référence'!$B$16*(45+25*(1-EXP(-0.0175*$A8))),70*'Scénario référence'!$B$16)+IF((32+38*(1-EXP(-0.0175*$A8)))&lt;70,'Scénario référence'!$B$18*(32+38*(1-EXP(-0.0175*$A8))),70*'Scénario référence'!$B$18)</f>
        <v>70</v>
      </c>
      <c r="KR8" s="12">
        <f>IF($A8&gt;30,10,('Scénario référence'!$B$16+'Scénario référence'!$B$17+'Scénario référence'!$B$18+'Scénario référence'!$B$9+'Scénario référence'!$B$10)*$A8*10/30+('Scénario référence'!$F$8+'Scénario référence'!$F$9)*10)</f>
        <v>10</v>
      </c>
      <c r="KS8" s="12" t="e">
        <f>VLOOKUP($A8,'Données projet'!$A$408:$I$428,2,0)</f>
        <v>#N/A</v>
      </c>
      <c r="KT8" s="12" t="e">
        <f>VLOOKUP($A8,'Données projet'!$A$408:$I$428,9,0)</f>
        <v>#N/A</v>
      </c>
      <c r="KU8" s="12">
        <f t="array" ref="KU8">INDEX(KT:KT,MIN(IF(ISNUMBER(KT8:KT204),ROW(KT8:KT204),"")))</f>
        <v>2.4666666666666668</v>
      </c>
      <c r="KV8" s="12">
        <f>IF('Données projet'!$A$408&gt;35,KV7+KU8-LD7,IF($A8&lt;'Données projet'!$A$408,$CQ$205^$A8,IF($A8='Données projet'!$A$408,'Données projet'!$B$408,KV7+KU8-LD7)))</f>
        <v>12.333333333333334</v>
      </c>
      <c r="KW8" s="17">
        <f>KV8*VLOOKUP('Données projet'!$B$23,Paramètres!$A$1:$I$89,3,0)*VLOOKUP('Données projet'!$B$23,Paramètres!$A$1:$I$89,5,0)</f>
        <v>10.774400000000002</v>
      </c>
      <c r="KX8" s="13">
        <f t="shared" si="99"/>
        <v>3.7650834233641057</v>
      </c>
      <c r="KY8" s="14">
        <f t="shared" si="43"/>
        <v>25.322933629025822</v>
      </c>
      <c r="KZ8" s="59">
        <f t="shared" si="44"/>
        <v>318.65626696235915</v>
      </c>
      <c r="LA8" s="59">
        <f ca="1">AVERAGE(OFFSET($KZ$3,0,0,'Données projet'!$E$23+1,1))-AVERAGE(OFFSET($H$3,0,0,'Données projet'!$E$23+1,1))</f>
        <v>248.33596943633819</v>
      </c>
      <c r="LB8" s="59">
        <f t="shared" si="100"/>
        <v>242.34010522344573</v>
      </c>
      <c r="LC8" s="15">
        <f>IF(ISNA(VLOOKUP($A8,'Données projet'!$A$408:$I$428,3,0)),0,VLOOKUP($A8,'Données projet'!$A$408:$I$428,3,0))</f>
        <v>0</v>
      </c>
      <c r="LD8" s="15">
        <f>IF(ISNA(VLOOKUP($A8,'Données projet'!$A$408:$I$428,4,0)),0,VLOOKUP($A8,'Données projet'!$A$408:$I$428,4,0))</f>
        <v>0</v>
      </c>
      <c r="LE8" s="16">
        <f>IF(ISNA(VLOOKUP($A8,'Données projet'!$A$408:$I$428,5,0)),0%,VLOOKUP($A8,'Données projet'!$A$408:$I$428,5,0)*VLOOKUP('Données projet'!$B$23,Paramètres!$A$1:$I$89,7,0))</f>
        <v>0</v>
      </c>
      <c r="LF8" s="16">
        <f>IF(ISNA(VLOOKUP($A8,'Données projet'!$A$408:$I$428,6,0)),0%,VLOOKUP($A8,'Données projet'!$A$408:$I$428,6,0)*VLOOKUP('Données projet'!$B$23,Paramètres!$A$1:$I$89,7,0))</f>
        <v>0</v>
      </c>
      <c r="LG8" s="16">
        <f>IF(ISNA(VLOOKUP($A8,'Données projet'!$A$408:$I$428,7,0)),0%,VLOOKUP($A8,'Données projet'!$A$408:$I$428,7,0))</f>
        <v>0</v>
      </c>
      <c r="LH8" s="21">
        <f>EXP(-LN(2)/35)*LH7+(1-EXP(-LN(2)/35))/(LN(2)/35)*LD8*LE8*VLOOKUP('Données projet'!$B$23,Paramètres!$A$1:$I$89,3,0)*0.475*44/12</f>
        <v>0</v>
      </c>
      <c r="LI8" s="21">
        <f>EXP(-LN(2)/25)*LI7+(1-EXP(-LN(2)/25))/(LN(2)/25)*Calculateur!LD8*Calculateur!LF8*VLOOKUP('Données projet'!$B$23,Paramètres!$A$1:$I$89,3,0)*0.475*44/12</f>
        <v>0</v>
      </c>
      <c r="LJ8" s="21">
        <f>EXP(-LN(2)/2)*LJ7+(1-EXP(-LN(2)/2))/(LN(2)/2)*LD8*LG8*VLOOKUP('Données projet'!$B$23,Paramètres!$A$1:$I$89,3,0)*0.475*44/12</f>
        <v>0</v>
      </c>
      <c r="LK8" s="22">
        <f t="shared" si="101"/>
        <v>0</v>
      </c>
      <c r="LL8" s="74">
        <f>('Scénario référence'!$F$8+'Scénario référence'!$F$9+'Scénario référence'!$B$17+'Scénario référence'!$B$9+'Scénario référence'!$B$10)*70+IF((45+25*(1-EXP(-0.0175*$A8)))&lt;70,'Scénario référence'!$B$16*(45+25*(1-EXP(-0.0175*$A8))),70*'Scénario référence'!$B$16)+IF((32+38*(1-EXP(-0.0175*$A8)))&lt;70,'Scénario référence'!$B$18*(32+38*(1-EXP(-0.0175*$A8))),70*'Scénario référence'!$B$18)</f>
        <v>70</v>
      </c>
      <c r="LM8" s="12">
        <f>IF($A8&gt;30,10,('Scénario référence'!$B$16+'Scénario référence'!$B$17+'Scénario référence'!$B$18+'Scénario référence'!$B$9+'Scénario référence'!$B$10)*$A8*10/30+('Scénario référence'!$F$8+'Scénario référence'!$F$9)*10)</f>
        <v>10</v>
      </c>
      <c r="LN8" s="12" t="e">
        <f>VLOOKUP($A8,'Données projet'!$A$434:$I$454,2,0)</f>
        <v>#N/A</v>
      </c>
      <c r="LO8" s="12" t="e">
        <f>VLOOKUP($A8,'Données projet'!$A$434:$I$454,9,0)</f>
        <v>#N/A</v>
      </c>
      <c r="LP8" s="12">
        <f t="array" ref="LP8">INDEX(LO:LO,MIN(IF(ISNUMBER(LO8:LO204),ROW(LO8:LO204),"")))</f>
        <v>2.9235042735042733</v>
      </c>
      <c r="LQ8" s="12">
        <f>IF('Données projet'!$A$434&gt;35,LQ7+LP8-LY7,IF($A8&lt;'Données projet'!$A$434,$CQ$205^$A8,IF($A8='Données projet'!$A$434,'Données projet'!$B$434,LQ7+LP8-LY7)))</f>
        <v>14.617521367521366</v>
      </c>
      <c r="LR8" s="17">
        <f>LQ8*VLOOKUP('Données projet'!$B$24,Paramètres!$A$1:$I$89,3,0)*VLOOKUP('Données projet'!$B$24,Paramètres!$A$1:$I$89,5,0)</f>
        <v>14.822166666666666</v>
      </c>
      <c r="LS8" s="13">
        <f t="shared" si="102"/>
        <v>4.9907939072599188</v>
      </c>
      <c r="LT8" s="14">
        <f t="shared" si="46"/>
        <v>34.507572999588795</v>
      </c>
      <c r="LU8" s="59">
        <f t="shared" si="103"/>
        <v>327.84090633292209</v>
      </c>
      <c r="LV8" s="59">
        <f ca="1">AVERAGE(OFFSET($LU$3,0,0,'Données projet'!$E$24+1,1))-AVERAGE(OFFSET($H$3,0,0,'Données projet'!$E$24+1,1))</f>
        <v>260.52627655062872</v>
      </c>
      <c r="LW8" s="59">
        <f t="shared" si="104"/>
        <v>159.20429420478047</v>
      </c>
      <c r="LX8" s="15">
        <f>IF(ISNA(VLOOKUP($A8,'Données projet'!$A$434:$I$454,3,0)),0,VLOOKUP($A8,'Données projet'!$A$434:$I$454,3,0))</f>
        <v>0</v>
      </c>
      <c r="LY8" s="15">
        <f>IF(ISNA(VLOOKUP($A8,'Données projet'!$A$434:$I$454,4,0)),0,VLOOKUP($A8,'Données projet'!$A$434:$I$454,4,0))</f>
        <v>0</v>
      </c>
      <c r="LZ8" s="16">
        <f>IF(ISNA(VLOOKUP($A8,'Données projet'!$A$434:$I$454,5,0)),0%,VLOOKUP($A8,'Données projet'!$A$434:$I$454,5,0)*VLOOKUP('Données projet'!$B$24,Paramètres!$A$1:$I$89,7,0))</f>
        <v>0</v>
      </c>
      <c r="MA8" s="16">
        <f>IF(ISNA(VLOOKUP($A8,'Données projet'!$A$434:$I$454,6,0)),0%,VLOOKUP($A8,'Données projet'!$A$434:$I$454,6,0)*VLOOKUP('Données projet'!$B$24,Paramètres!$A$1:$I$89,7,0))</f>
        <v>0</v>
      </c>
      <c r="MB8" s="16">
        <f>IF(ISNA(VLOOKUP($A8,'Données projet'!$A$434:$I$454,7,0)),0%,VLOOKUP($A8,'Données projet'!$A$434:$I$454,7,0))</f>
        <v>0</v>
      </c>
      <c r="MC8" s="21">
        <f>EXP(-LN(2)/35)*MC7+(1-EXP(-LN(2)/35))/(LN(2)/35)*LY8*LZ8*VLOOKUP('Données projet'!$B$24,Paramètres!$A$1:$I$89,3,0)*0.475*44/12</f>
        <v>0</v>
      </c>
      <c r="MD8" s="21">
        <f>EXP(-LN(2)/25)*MD7+(1-EXP(-LN(2)/25))/(LN(2)/25)*Calculateur!LY8*Calculateur!MA8*VLOOKUP('Données projet'!$B$24,Paramètres!$A$1:$I$89,3,0)*0.475*44/12</f>
        <v>0</v>
      </c>
      <c r="ME8" s="21">
        <f>EXP(-LN(2)/2)*ME7+(1-EXP(-LN(2)/2))/(LN(2)/2)*LY8*MB8*VLOOKUP('Données projet'!$B$24,Paramètres!$A$1:$I$89,3,0)*0.475*44/12</f>
        <v>0</v>
      </c>
      <c r="MF8" s="22">
        <f t="shared" si="105"/>
        <v>0</v>
      </c>
      <c r="MG8" s="74">
        <f>('Scénario référence'!$F$8+'Scénario référence'!$F$9+'Scénario référence'!$B$17+'Scénario référence'!$B$9+'Scénario référence'!$B$10)*70+IF((45+25*(1-EXP(-0.0175*$A8)))&lt;70,'Scénario référence'!$B$16*(45+25*(1-EXP(-0.0175*$A8))),70*'Scénario référence'!$B$16)+IF((32+38*(1-EXP(-0.0175*$A8)))&lt;70,'Scénario référence'!$B$18*(32+38*(1-EXP(-0.0175*$A8))),70*'Scénario référence'!$B$18)</f>
        <v>70</v>
      </c>
      <c r="MH8" s="12">
        <f>IF($A8&gt;30,10,('Scénario référence'!$B$16+'Scénario référence'!$B$17+'Scénario référence'!$B$18+'Scénario référence'!$B$9+'Scénario référence'!$B$10)*$A8*10/30+('Scénario référence'!$F$8+'Scénario référence'!$F$9)*10)</f>
        <v>10</v>
      </c>
      <c r="MI8" s="12" t="e">
        <f>VLOOKUP($A8,'Données projet'!$A$460:$I$480,2,0)</f>
        <v>#N/A</v>
      </c>
      <c r="MJ8" s="12" t="e">
        <f>VLOOKUP($A8,'Données projet'!$A$460:$I$480,9,0)</f>
        <v>#N/A</v>
      </c>
      <c r="MK8" s="12">
        <f t="array" ref="MK8">INDEX(MJ:MJ,MIN(IF(ISNUMBER(MJ8:MJ204),ROW(MJ8:MJ204),"")))</f>
        <v>0</v>
      </c>
      <c r="ML8" s="12">
        <f>IF('Données projet'!$A$460&gt;35,ML7+MK8-MT7,IF($A8&lt;'Données projet'!$A$460,$CQ$205^$A8,IF($A8='Données projet'!$A$460,'Données projet'!$B$460,ML7+MK8-MT7)))</f>
        <v>0</v>
      </c>
      <c r="MM8" s="17" t="e">
        <f>ML8*VLOOKUP('Données projet'!$B$25,Paramètres!$A$1:$I$89,3,0)*VLOOKUP('Données projet'!$B$25,Paramètres!$A$1:$I$89,5,0)</f>
        <v>#N/A</v>
      </c>
      <c r="MN8" s="13" t="e">
        <f t="shared" si="106"/>
        <v>#N/A</v>
      </c>
      <c r="MO8" s="14" t="e">
        <f t="shared" si="49"/>
        <v>#N/A</v>
      </c>
      <c r="MP8" s="59" t="e">
        <f t="shared" si="50"/>
        <v>#N/A</v>
      </c>
      <c r="MQ8" s="20" t="e">
        <f ca="1">AVERAGE(OFFSET($MP$3,0,0,'Données projet'!$E$25+1,1))-AVERAGE(OFFSET($H$3,0,0,'Données projet'!$E$25+1,1))</f>
        <v>#N/A</v>
      </c>
      <c r="MR8" s="59" t="e">
        <f t="shared" si="107"/>
        <v>#N/A</v>
      </c>
      <c r="MS8" s="15">
        <f>IF(ISNA(VLOOKUP($A8,'Données projet'!$A$460:$I$480,3,0)),0,VLOOKUP($A8,'Données projet'!$A$460:$I$480,3,0))</f>
        <v>0</v>
      </c>
      <c r="MT8" s="15">
        <f>IF(ISNA(VLOOKUP($A8,'Données projet'!$A$460:$I$480,4,0)),0,VLOOKUP($A8,'Données projet'!$A$460:$I$480,4,0))</f>
        <v>0</v>
      </c>
      <c r="MU8" s="16">
        <f>IF(ISNA(VLOOKUP($A8,'Données projet'!$A$460:$I$480,5,0)),0%,VLOOKUP($A8,'Données projet'!$A$460:$I$480,5,0)*VLOOKUP('Données projet'!$B$25,Paramètres!$A$1:$I$89,7,0))</f>
        <v>0</v>
      </c>
      <c r="MV8" s="16">
        <f>IF(ISNA(VLOOKUP($A8,'Données projet'!$A$460:$I$480,6,0)),0%,VLOOKUP($A8,'Données projet'!$A$460:$I$480,6,0)*VLOOKUP('Données projet'!$B$25,Paramètres!$A$1:$I$89,7,0))</f>
        <v>0</v>
      </c>
      <c r="MW8" s="16">
        <f>IF(ISNA(VLOOKUP($A8,'Données projet'!$A$460:$I$480,7,0)),0%,VLOOKUP($A8,'Données projet'!$A$460:$I$480,7,0))</f>
        <v>0</v>
      </c>
      <c r="MX8" s="21" t="e">
        <f>EXP(-LN(2)/35)*MX7+(1-EXP(-LN(2)/35))/(LN(2)/35)*MT8*MU8*VLOOKUP('Données projet'!$B$25,Paramètres!$A$1:$I$89,3,0)*0.475*44/12</f>
        <v>#N/A</v>
      </c>
      <c r="MY8" s="21" t="e">
        <f>EXP(-LN(2)/25)*MY7+(1-EXP(-LN(2)/25))/(LN(2)/25)*Calculateur!MT8*Calculateur!MV8*VLOOKUP('Données projet'!$B$25,Paramètres!$A$1:$I$89,3,0)*0.475*44/12</f>
        <v>#N/A</v>
      </c>
      <c r="MZ8" s="21" t="e">
        <f>EXP(-LN(2)/2)*MZ7+(1-EXP(-LN(2)/2))/(LN(2)/2)*MT8*MW8*VLOOKUP('Données projet'!$B$25,Paramètres!$A$1:$I$89,3,0)*0.475*44/12</f>
        <v>#N/A</v>
      </c>
      <c r="NA8" s="22" t="e">
        <f t="shared" si="108"/>
        <v>#N/A</v>
      </c>
      <c r="NB8" s="74">
        <f>('Scénario référence'!$F$8+'Scénario référence'!$F$9+'Scénario référence'!$B$17+'Scénario référence'!$B$9+'Scénario référence'!$B$10)*70+IF((45+25*(1-EXP(-0.0175*$A8)))&lt;70,'Scénario référence'!$B$16*(45+25*(1-EXP(-0.0175*$A8))),70*'Scénario référence'!$B$16)+IF((32+38*(1-EXP(-0.0175*$A8)))&lt;70,'Scénario référence'!$B$18*(32+38*(1-EXP(-0.0175*$A8))),70*'Scénario référence'!$B$18)</f>
        <v>70</v>
      </c>
      <c r="NC8" s="12">
        <f>IF($A8&gt;30,10,('Scénario référence'!$B$16+'Scénario référence'!$B$17+'Scénario référence'!$B$18+'Scénario référence'!$B$9+'Scénario référence'!$B$10)*$A8*10/30+('Scénario référence'!$F$8+'Scénario référence'!$F$9)*10)</f>
        <v>10</v>
      </c>
      <c r="ND8" s="12" t="e">
        <f>VLOOKUP($A8,'Données projet'!$A$486:$I$506,2,0)</f>
        <v>#N/A</v>
      </c>
      <c r="NE8" s="12" t="e">
        <f>VLOOKUP($A8,'Données projet'!$A$486:$I$506,9,0)</f>
        <v>#N/A</v>
      </c>
      <c r="NF8" s="12">
        <f t="array" ref="NF8">INDEX(NE:NE,MIN(IF(ISNUMBER(NE8:NE204),ROW(NE8:NE204),"")))</f>
        <v>0</v>
      </c>
      <c r="NG8" s="12">
        <f>IF('Données projet'!$A$486&gt;35,NG7+NF8-NO7,IF($A8&lt;'Données projet'!$A$486,$CQ$205^$A8,IF($A8='Données projet'!$A$486,'Données projet'!$B$486,NG7+NF8-NO7)))</f>
        <v>0</v>
      </c>
      <c r="NH8" s="17" t="e">
        <f>NG8*VLOOKUP('Données projet'!$B$26,Paramètres!$A$1:$I$89,3,0)*VLOOKUP('Données projet'!$B$26,Paramètres!$A$1:$I$89,5,0)</f>
        <v>#N/A</v>
      </c>
      <c r="NI8" s="13" t="e">
        <f t="shared" si="109"/>
        <v>#N/A</v>
      </c>
      <c r="NJ8" s="14" t="e">
        <f t="shared" si="52"/>
        <v>#N/A</v>
      </c>
      <c r="NK8" s="59" t="e">
        <f t="shared" si="53"/>
        <v>#N/A</v>
      </c>
      <c r="NL8" s="20" t="e">
        <f ca="1">AVERAGE(OFFSET($NK$3,0,0,'Données projet'!$E$26+1,1))-AVERAGE(OFFSET($H$3,0,0,'Données projet'!$E$26+1,1))</f>
        <v>#N/A</v>
      </c>
      <c r="NM8" s="59" t="e">
        <f t="shared" si="110"/>
        <v>#N/A</v>
      </c>
      <c r="NN8" s="15">
        <f>IF(ISNA(VLOOKUP($A8,'Données projet'!$A$486:$I$506,3,0)),0,VLOOKUP($A8,'Données projet'!$A$486:$I$506,3,0))</f>
        <v>0</v>
      </c>
      <c r="NO8" s="15">
        <f>IF(ISNA(VLOOKUP($A8,'Données projet'!$A$486:$I$506,4,0)),0,VLOOKUP($A8,'Données projet'!$A$486:$I$506,4,0))</f>
        <v>0</v>
      </c>
      <c r="NP8" s="16">
        <f>IF(ISNA(VLOOKUP($A8,'Données projet'!$A$486:$I$506,5,0)),0%,VLOOKUP($A8,'Données projet'!$A$486:$I$506,5,0)*VLOOKUP('Données projet'!$B$26,Paramètres!$A$1:$I$89,7,0))</f>
        <v>0</v>
      </c>
      <c r="NQ8" s="16">
        <f>IF(ISNA(VLOOKUP($A8,'Données projet'!$A$486:$I$506,6,0)),0%,VLOOKUP($A8,'Données projet'!$A$486:$I$506,6,0)*VLOOKUP('Données projet'!$B$26,Paramètres!$A$1:$I$89,7,0))</f>
        <v>0</v>
      </c>
      <c r="NR8" s="16">
        <f>IF(ISNA(VLOOKUP($A8,'Données projet'!$A$486:$I$506,7,0)),0%,VLOOKUP($A8,'Données projet'!$A$486:$I$506,7,0))</f>
        <v>0</v>
      </c>
      <c r="NS8" s="21" t="e">
        <f>EXP(-LN(2)/35)*NS7+(1-EXP(-LN(2)/35))/(LN(2)/35)*NO8*NP8*VLOOKUP('Données projet'!$B$26,Paramètres!$A$1:$I$89,3,0)*0.475*44/12</f>
        <v>#N/A</v>
      </c>
      <c r="NT8" s="21" t="e">
        <f>EXP(-LN(2)/25)*NT7+(1-EXP(-LN(2)/25))/(LN(2)/25)*Calculateur!NO8*Calculateur!NQ8*VLOOKUP('Données projet'!$B$26,Paramètres!$A$1:$I$89,3,0)*0.475*44/12</f>
        <v>#N/A</v>
      </c>
      <c r="NU8" s="21" t="e">
        <f>EXP(-LN(2)/2)*NU7+(1-EXP(-LN(2)/2))/(LN(2)/2)*NO8*NR8*VLOOKUP('Données projet'!$B$26,Paramètres!$A$1:$I$89,3,0)*0.475*44/12</f>
        <v>#N/A</v>
      </c>
      <c r="NV8" s="22" t="e">
        <f t="shared" si="111"/>
        <v>#N/A</v>
      </c>
      <c r="NW8" s="74">
        <f>('Scénario référence'!$F$8+'Scénario référence'!$F$9+'Scénario référence'!$B$17+'Scénario référence'!$B$9+'Scénario référence'!$B$10)*70+IF((45+25*(1-EXP(-0.0175*$A8)))&lt;70,'Scénario référence'!$B$16*(45+25*(1-EXP(-0.0175*$A8))),70*'Scénario référence'!$B$16)+IF((32+38*(1-EXP(-0.0175*$A8)))&lt;70,'Scénario référence'!$B$18*(32+38*(1-EXP(-0.0175*$A8))),70*'Scénario référence'!$B$18)</f>
        <v>70</v>
      </c>
      <c r="NX8" s="12">
        <f>IF($A8&gt;30,10,('Scénario référence'!$B$16+'Scénario référence'!$B$17+'Scénario référence'!$B$18+'Scénario référence'!$B$9+'Scénario référence'!$B$10)*$A8*10/30+('Scénario référence'!$F$8+'Scénario référence'!$F$9)*10)</f>
        <v>10</v>
      </c>
      <c r="NY8" s="12" t="e">
        <f>VLOOKUP($A8,'Données projet'!$A$512:$I$532,2,0)</f>
        <v>#N/A</v>
      </c>
      <c r="NZ8" s="12" t="e">
        <f>VLOOKUP($A8,'Données projet'!$A$512:$I$532,9,0)</f>
        <v>#N/A</v>
      </c>
      <c r="OA8" s="12">
        <f t="array" ref="OA8">INDEX(NZ:NZ,MIN(IF(ISNUMBER(NZ8:NZ204),ROW(NZ8:NZ204),"")))</f>
        <v>0</v>
      </c>
      <c r="OB8" s="12">
        <f>IF('Données projet'!$A$512&gt;35,OB7+OA8-OJ7,IF($A8&lt;'Données projet'!$A$512,$CQ$205^$A8,IF($A8='Données projet'!$A$512,'Données projet'!$B$512,OB7+OA8-OJ7)))</f>
        <v>0</v>
      </c>
      <c r="OC8" s="17" t="e">
        <f>OB8*VLOOKUP('Données projet'!$B$27,Paramètres!$A$1:$I$89,3,0)*VLOOKUP('Données projet'!$B$27,Paramètres!$A$1:$I$89,5,0)</f>
        <v>#N/A</v>
      </c>
      <c r="OD8" s="13" t="e">
        <f t="shared" si="112"/>
        <v>#N/A</v>
      </c>
      <c r="OE8" s="14" t="e">
        <f t="shared" si="55"/>
        <v>#N/A</v>
      </c>
      <c r="OF8" s="59" t="e">
        <f t="shared" si="56"/>
        <v>#N/A</v>
      </c>
      <c r="OG8" s="20" t="e">
        <f ca="1">AVERAGE(OFFSET($OF$3,0,0,'Données projet'!$E$27+1,1))-AVERAGE(OFFSET($H$3,0,0,'Données projet'!$E$27+1,1))</f>
        <v>#N/A</v>
      </c>
      <c r="OH8" s="59" t="e">
        <f t="shared" si="113"/>
        <v>#N/A</v>
      </c>
      <c r="OI8" s="15">
        <f>IF(ISNA(VLOOKUP($A8,'Données projet'!$A$512:$I$532,3,0)),0,VLOOKUP($A8,'Données projet'!$A$512:$I$532,3,0))</f>
        <v>0</v>
      </c>
      <c r="OJ8" s="15">
        <f>IF(ISNA(VLOOKUP($A8,'Données projet'!$A$512:$I$532,4,0)),0,VLOOKUP($A8,'Données projet'!$A$512:$I$532,4,0))</f>
        <v>0</v>
      </c>
      <c r="OK8" s="16">
        <f>IF(ISNA(VLOOKUP($A8,'Données projet'!$A$512:$I$532,5,0)),0%,VLOOKUP($A8,'Données projet'!$A$512:$I$532,5,0)*VLOOKUP('Données projet'!$B$27,Paramètres!$A$1:$I$89,7,0))</f>
        <v>0</v>
      </c>
      <c r="OL8" s="16">
        <f>IF(ISNA(VLOOKUP($A8,'Données projet'!$A$512:$I$532,6,0)),0%,VLOOKUP($A8,'Données projet'!$A$512:$I$532,6,0)*VLOOKUP('Données projet'!$B$27,Paramètres!$A$1:$I$89,7,0))</f>
        <v>0</v>
      </c>
      <c r="OM8" s="16">
        <f>IF(ISNA(VLOOKUP($A8,'Données projet'!$A$512:$I$532,7,0)),0%,VLOOKUP($A8,'Données projet'!$A$512:$I$532,7,0))</f>
        <v>0</v>
      </c>
      <c r="ON8" s="21" t="e">
        <f>EXP(-LN(2)/35)*ON7+(1-EXP(-LN(2)/35))/(LN(2)/35)*OJ8*OK8*VLOOKUP('Données projet'!$B$27,Paramètres!$A$1:$I$89,3,0)*0.475*44/12</f>
        <v>#N/A</v>
      </c>
      <c r="OO8" s="21" t="e">
        <f>EXP(-LN(2)/25)*OO7+(1-EXP(-LN(2)/25))/(LN(2)/25)*Calculateur!OJ8*Calculateur!OL8*VLOOKUP('Données projet'!$B$27,Paramètres!$A$1:$I$89,3,0)*0.475*44/12</f>
        <v>#N/A</v>
      </c>
      <c r="OP8" s="21" t="e">
        <f>EXP(-LN(2)/2)*OP7+(1-EXP(-LN(2)/2))/(LN(2)/2)*OJ8*OM8*VLOOKUP('Données projet'!$B$27,Paramètres!$A$1:$I$89,3,0)*0.475*44/12</f>
        <v>#N/A</v>
      </c>
      <c r="OQ8" s="22" t="e">
        <f t="shared" si="114"/>
        <v>#N/A</v>
      </c>
      <c r="OR8" s="74">
        <f>('Scénario référence'!$F$8+'Scénario référence'!$F$9+'Scénario référence'!$B$17+'Scénario référence'!$B$9+'Scénario référence'!$B$10)*70+IF((45+25*(1-EXP(-0.0175*$A8)))&lt;70,'Scénario référence'!$B$16*(45+25*(1-EXP(-0.0175*$A8))),70*'Scénario référence'!$B$16)+IF((32+38*(1-EXP(-0.0175*$A8)))&lt;70,'Scénario référence'!$B$18*(32+38*(1-EXP(-0.0175*$A8))),70*'Scénario référence'!$B$18)</f>
        <v>70</v>
      </c>
      <c r="OS8" s="12">
        <f>IF($A8&gt;30,10,('Scénario référence'!$B$16+'Scénario référence'!$B$17+'Scénario référence'!$B$18+'Scénario référence'!$B$9+'Scénario référence'!$B$10)*$A8*10/30+('Scénario référence'!$F$8+'Scénario référence'!$F$9)*10)</f>
        <v>10</v>
      </c>
      <c r="OT8" s="12" t="e">
        <f>VLOOKUP($A8,'Données projet'!$A$538:$I$558,2,0)</f>
        <v>#N/A</v>
      </c>
      <c r="OU8" s="12" t="e">
        <f>VLOOKUP($A8,'Données projet'!$A$538:$I$558,9,0)</f>
        <v>#N/A</v>
      </c>
      <c r="OV8" s="12">
        <f t="array" ref="OV8">INDEX(OU:OU,MIN(IF(ISNUMBER(OU8:OU204),ROW(OU8:OU204),"")))</f>
        <v>0</v>
      </c>
      <c r="OW8" s="12">
        <f>IF('Données projet'!$A$538&gt;35,OW7+OV8-PE7,IF($A8&lt;'Données projet'!$A$538,$CQ$205^$A8,IF($A8='Données projet'!$A$538,'Données projet'!$B$538,OW7+OV8-PE7)))</f>
        <v>0</v>
      </c>
      <c r="OX8" s="17" t="e">
        <f>OW8*VLOOKUP('Données projet'!$B$28,Paramètres!$A$1:$I$89,3,0)*VLOOKUP('Données projet'!$B$28,Paramètres!$A$1:$I$89,5,0)</f>
        <v>#N/A</v>
      </c>
      <c r="OY8" s="13" t="e">
        <f t="shared" si="115"/>
        <v>#N/A</v>
      </c>
      <c r="OZ8" s="14" t="e">
        <f t="shared" si="58"/>
        <v>#N/A</v>
      </c>
      <c r="PA8" s="59" t="e">
        <f t="shared" si="59"/>
        <v>#N/A</v>
      </c>
      <c r="PB8" s="20" t="e">
        <f ca="1">AVERAGE(OFFSET($PA$3,0,0,'Données projet'!$E$28+1,1))-AVERAGE(OFFSET($H$3,0,0,'Données projet'!$E$28+1,1))</f>
        <v>#N/A</v>
      </c>
      <c r="PC8" s="59" t="e">
        <f t="shared" si="116"/>
        <v>#N/A</v>
      </c>
      <c r="PD8" s="15">
        <f>IF(ISNA(VLOOKUP($A8,'Données projet'!$A$538:$I$558,3,0)),0,VLOOKUP($A8,'Données projet'!$A$538:$I$558,3,0))</f>
        <v>0</v>
      </c>
      <c r="PE8" s="15">
        <f>IF(ISNA(VLOOKUP($A8,'Données projet'!$A$538:$I$558,4,0)),0,VLOOKUP($A8,'Données projet'!$A$538:$I$558,4,0))</f>
        <v>0</v>
      </c>
      <c r="PF8" s="16">
        <f>IF(ISNA(VLOOKUP($A8,'Données projet'!$A$538:$I$558,5,0)),0%,VLOOKUP($A8,'Données projet'!$A$538:$I$558,5,0)*VLOOKUP('Données projet'!$B$28,Paramètres!$A$1:$I$89,7,0))</f>
        <v>0</v>
      </c>
      <c r="PG8" s="16">
        <f>IF(ISNA(VLOOKUP($A8,'Données projet'!$A$538:$I$558,6,0)),0%,VLOOKUP($A8,'Données projet'!$A$538:$I$558,6,0)*VLOOKUP('Données projet'!$B$28,Paramètres!$A$1:$I$89,7,0))</f>
        <v>0</v>
      </c>
      <c r="PH8" s="16">
        <f>IF(ISNA(VLOOKUP($A8,'Données projet'!$A$538:$I$558,7,0)),0%,VLOOKUP($A8,'Données projet'!$A$538:$I$558,7,0))</f>
        <v>0</v>
      </c>
      <c r="PI8" s="21" t="e">
        <f>EXP(-LN(2)/35)*PI7+(1-EXP(-LN(2)/35))/(LN(2)/35)*PE8*PF8*VLOOKUP('Données projet'!$B$28,Paramètres!$A$1:$I$89,3,0)*0.475*44/12</f>
        <v>#N/A</v>
      </c>
      <c r="PJ8" s="21" t="e">
        <f>EXP(-LN(2)/25)*PJ7+(1-EXP(-LN(2)/25))/(LN(2)/25)*Calculateur!PE8*Calculateur!PG8*VLOOKUP('Données projet'!$B$28,Paramètres!$A$1:$I$89,3,0)*0.475*44/12</f>
        <v>#N/A</v>
      </c>
      <c r="PK8" s="21" t="e">
        <f>EXP(-LN(2)/2)*PK7+(1-EXP(-LN(2)/2))/(LN(2)/2)*PE8*PH8*VLOOKUP('Données projet'!$B$28,Paramètres!$A$1:$I$89,3,0)*0.475*44/12</f>
        <v>#N/A</v>
      </c>
      <c r="PL8" s="22" t="e">
        <f t="shared" si="117"/>
        <v>#N/A</v>
      </c>
    </row>
    <row r="9" spans="1:428" x14ac:dyDescent="0.35">
      <c r="A9" s="10">
        <f t="shared" si="6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6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projet'!$A$45:$I$65,2,0)</f>
        <v>#N/A</v>
      </c>
      <c r="L9" s="12" t="e">
        <f>VLOOKUP(A9,'Données projet'!$A$45:$I$65,9,0)</f>
        <v>#N/A</v>
      </c>
      <c r="M9" s="12">
        <f t="array" ref="M9">INDEX(L:L,MIN(IF(ISNUMBER(L9:L205),ROW(L9:L205),"")))</f>
        <v>10.16068376068376</v>
      </c>
      <c r="N9" s="13">
        <f>IF('Données projet'!$A$46&gt;35,N8+M9-V8,IF(A9&lt;'Données projet'!$A$46,$K$205^A9,IF(A9='Données projet'!$A$46,'Données projet'!$B$46,N8+M9-V8)))</f>
        <v>5.6762974664613317</v>
      </c>
      <c r="O9" s="13">
        <f>N9*VLOOKUP('Données projet'!$B$9,Paramètres!$A$1:$I$89,3,0)*VLOOKUP('Données projet'!$B$9,Paramètres!$A$1:$I$89,5,0)</f>
        <v>3.1730502837518846</v>
      </c>
      <c r="P9" s="13">
        <f t="shared" si="63"/>
        <v>1.27837156453606</v>
      </c>
      <c r="Q9" s="20">
        <f t="shared" si="2"/>
        <v>7.7528930524348363</v>
      </c>
      <c r="R9" s="59">
        <f t="shared" si="0"/>
        <v>301.08622638576816</v>
      </c>
      <c r="S9" s="59">
        <f ca="1">AVERAGE(OFFSET($R$3,0,0,'Données projet'!$E$9+1,1))-AVERAGE(OFFSET($H$3,0,0,'Données projet'!$E$9+1,1))</f>
        <v>274.57619581652199</v>
      </c>
      <c r="T9" s="59">
        <f t="shared" si="64"/>
        <v>366.15117322598775</v>
      </c>
      <c r="U9" s="15">
        <f>IF(ISNA(VLOOKUP(A9,'Données projet'!$A$45:$I$65,3,0)),0,VLOOKUP(A9,'Données projet'!$A$45:$I$65,3,0))</f>
        <v>0</v>
      </c>
      <c r="V9" s="15">
        <f>IF(ISNA(VLOOKUP(A9,'Données projet'!$A$45:$I$65,4,0)),0,VLOOKUP(A9,'Données projet'!$A$45:$I$65,4,0))</f>
        <v>0</v>
      </c>
      <c r="W9" s="16">
        <f>IF(ISNA(VLOOKUP(A9,'Données projet'!$A$45:$I$65,5,0)),0%,VLOOKUP(A9,'Données projet'!$A$45:$I$65,5,0)*VLOOKUP('Données projet'!$B$9,Paramètres!$A$1:$I$89,7,0))</f>
        <v>0</v>
      </c>
      <c r="X9" s="16">
        <f>IF(ISNA(VLOOKUP(A9,'Données projet'!$A$45:$I$65,6,0)),0%,VLOOKUP(A9,'Données projet'!$A$45:$I$65,6,0)*VLOOKUP('Données projet'!$B$9,Paramètres!$A$1:$I$89,7,0))</f>
        <v>0</v>
      </c>
      <c r="Y9" s="16">
        <f>IF(ISNA(VLOOKUP(A9,'Données projet'!$A$45:$I$65,7,0)),0%,VLOOKUP(A9,'Données projet'!$A$45:$I$65,7,0))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projet'!$A$71:$I$91,2,0)</f>
        <v>#N/A</v>
      </c>
      <c r="AG9" s="12" t="e">
        <f>VLOOKUP(A9,'Données projet'!$A$71:$I$91,9,0)</f>
        <v>#N/A</v>
      </c>
      <c r="AH9" s="12">
        <f t="array" ref="AH9">INDEX(AG:AG,MIN(IF(ISNUMBER(AG9:AG205),ROW(AG9:AG205),"")))</f>
        <v>4.0628205128205126</v>
      </c>
      <c r="AI9" s="13">
        <f>IF('Données projet'!$A$72&gt;35,AI8+AH9-AQ8,IF(A9&lt;'Données projet'!$A$72,$AF$205^A9,IF(A9='Données projet'!$A$72,'Données projet'!$B$72,AI8+AH9-AQ8)))</f>
        <v>2.6133030675536255</v>
      </c>
      <c r="AJ9" s="13">
        <f>AI9*VLOOKUP('Données projet'!$B$10,Paramètres!$A$1:$I$89,3,0)*VLOOKUP('Données projet'!$B$10,Paramètres!$A$1:$I$89,5,0)</f>
        <v>2.3645166155225201</v>
      </c>
      <c r="AK9" s="13">
        <f t="shared" si="65"/>
        <v>0.98580456095486013</v>
      </c>
      <c r="AL9" s="20">
        <f t="shared" si="4"/>
        <v>5.8351427156981037</v>
      </c>
      <c r="AM9" s="59">
        <f t="shared" si="5"/>
        <v>299.16847604903143</v>
      </c>
      <c r="AN9" s="59">
        <f ca="1">AVERAGE(OFFSET($AM$3,0,0,'Données projet'!$E$10+1,1))-AVERAGE(OFFSET($H$3,0,0,'Données projet'!$E$10+1,1))</f>
        <v>270.87836509222456</v>
      </c>
      <c r="AO9" s="59">
        <f t="shared" si="66"/>
        <v>205.24998237949734</v>
      </c>
      <c r="AP9" s="15">
        <f>IF(ISNA(VLOOKUP(A9,'Données projet'!$A$71:$I$91,3,0)),0,VLOOKUP(A9,'Données projet'!$A$71:$I$91,3,0))</f>
        <v>0</v>
      </c>
      <c r="AQ9" s="15">
        <f>IF(ISNA(VLOOKUP(A9,'Données projet'!$A$71:$I$91,4,0)),0,VLOOKUP(A9,'Données projet'!$A$71:$I$91,4,0))</f>
        <v>0</v>
      </c>
      <c r="AR9" s="16">
        <f>IF(ISNA(VLOOKUP(A9,'Données projet'!$A$71:$I$91,5,0)),0%,VLOOKUP(A9,'Données projet'!$A$71:$I$91,5,0)*VLOOKUP('Données projet'!$B$10,Paramètres!$A$1:$I$89,7,0))</f>
        <v>0</v>
      </c>
      <c r="AS9" s="16">
        <f>IF(ISNA(VLOOKUP(A9,'Données projet'!$A$71:$I$91,6,0)),0%,VLOOKUP(A9,'Données projet'!$A$71:$I$91,6,0)*VLOOKUP('Données projet'!$B$10,Paramètres!$A$1:$I$89,7,0))</f>
        <v>0</v>
      </c>
      <c r="AT9" s="16">
        <f>IF(ISNA(VLOOKUP(A9,'Données projet'!$A$71:$I$91,7,0)),0%,VLOOKUP(A9,'Données projet'!$A$71:$I$91,7,0))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projet'!$A$97:$I$117,2,0)</f>
        <v>#N/A</v>
      </c>
      <c r="BB9" s="12" t="e">
        <f>VLOOKUP(A9,'Données projet'!$A$97:$I$117,9,0)</f>
        <v>#N/A</v>
      </c>
      <c r="BC9" s="12">
        <f t="array" ref="BC9">INDEX(BB:BB,MIN(IF(ISNUMBER(BB9:BB205),ROW(BB9:BB205),"")))</f>
        <v>10.16068376068376</v>
      </c>
      <c r="BD9" s="12">
        <f>IF('Données projet'!$A$98&gt;35,BD8+BC9-BL8,IF(A9&lt;'Données projet'!$A$98,$BA$205^A9,IF(A9='Données projet'!$A$98,'Données projet'!$B$98,BD8+BC9-BL8)))</f>
        <v>5.6762974664613317</v>
      </c>
      <c r="BE9" s="13">
        <f>BD9*VLOOKUP('Données projet'!$B$11,Paramètres!$A$1:$I$89,3,0)*VLOOKUP('Données projet'!$B$11,Paramètres!$A$1:$I$89,5,0)</f>
        <v>2.508923480175909</v>
      </c>
      <c r="BF9" s="13">
        <f t="shared" si="67"/>
        <v>1.0388172330974779</v>
      </c>
      <c r="BG9" s="20">
        <f t="shared" si="7"/>
        <v>6.1789817422844822</v>
      </c>
      <c r="BH9" s="59">
        <f t="shared" si="8"/>
        <v>299.51231507561778</v>
      </c>
      <c r="BI9" s="59">
        <f ca="1">AVERAGE(OFFSET($BH$3,0,0,'Données projet'!$E$11+1,1))-AVERAGE(OFFSET($H$3,0,0,'Données projet'!$E$11+1,1))</f>
        <v>211.31057120485542</v>
      </c>
      <c r="BJ9" s="59">
        <f t="shared" si="68"/>
        <v>283.33292006714777</v>
      </c>
      <c r="BK9" s="15">
        <f>IF(ISNA(VLOOKUP(A9,'Données projet'!$A$97:$I$117,3,0)),0,VLOOKUP(A9,'Données projet'!$A$97:$I$117,3,0))</f>
        <v>0</v>
      </c>
      <c r="BL9" s="15">
        <f>IF(ISNA(VLOOKUP(A9,'Données projet'!$A$97:$I$117,4,0)),0,VLOOKUP(A9,'Données projet'!$A$97:$I$117,4,0))</f>
        <v>0</v>
      </c>
      <c r="BM9" s="16">
        <f>IF(ISNA(VLOOKUP(A9,'Données projet'!$A$97:$I$117,5,0)),0%,VLOOKUP(A9,'Données projet'!$A$97:$I$117,5,0)*VLOOKUP('Données projet'!$B$11,Paramètres!$A$1:$I$89,7,0))</f>
        <v>0</v>
      </c>
      <c r="BN9" s="16">
        <f>IF(ISNA(VLOOKUP(A9,'Données projet'!$A$97:$I$117,6,0)),0%,VLOOKUP(A9,'Données projet'!$A$97:$I$117,6,0)*VLOOKUP('Données projet'!$B$11,Paramètres!$A$1:$I$89,7,0))</f>
        <v>0</v>
      </c>
      <c r="BO9" s="16">
        <f>IF(ISNA(VLOOKUP(A9,'Données projet'!$A$97:$I$117,7,0)),0%,VLOOKUP(A9,'Données projet'!$A$97:$I$117,7,0))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projet'!$A$123:$I$143,2,0)</f>
        <v>#N/A</v>
      </c>
      <c r="BW9" s="12" t="e">
        <f>VLOOKUP(A9,'Données projet'!$A$123:$I$143,9,0)</f>
        <v>#N/A</v>
      </c>
      <c r="BX9" s="12">
        <f t="array" ref="BX9">INDEX(BW:BW,MIN(IF(ISNUMBER(BW9:BW205),ROW(BW9:BW205),"")))</f>
        <v>2.9</v>
      </c>
      <c r="BY9" s="12">
        <f>IF('Données projet'!$A$124&gt;35,BY8+BX9-CG8,IF(A9&lt;'Données projet'!$A$124,$BV$205^A9,IF(A9='Données projet'!$A$124,'Données projet'!$B$124,BY8+BX9-CG8)))</f>
        <v>7.5411711733776423</v>
      </c>
      <c r="BZ9" s="13">
        <f>BY9*VLOOKUP('Données projet'!$B$12,Paramètres!$A$1:$I$89,3,0)*VLOOKUP('Données projet'!$B$12,Paramètres!$A$1:$I$89,5,0)</f>
        <v>7.882032110414313</v>
      </c>
      <c r="CA9" s="13">
        <f t="shared" si="69"/>
        <v>2.8564167966931366</v>
      </c>
      <c r="CB9" s="20">
        <f t="shared" si="10"/>
        <v>18.702798513212141</v>
      </c>
      <c r="CC9" s="59">
        <f t="shared" si="11"/>
        <v>312.03613184654546</v>
      </c>
      <c r="CD9" s="59">
        <f ca="1">AVERAGE(OFFSET($CC$3,0,0,'Données projet'!$E$12+1,1))-AVERAGE(OFFSET($H$3,0,0,'Données projet'!$E$12+1,1))</f>
        <v>322.93502595881938</v>
      </c>
      <c r="CE9" s="59">
        <f t="shared" si="70"/>
        <v>302.67072119588164</v>
      </c>
      <c r="CF9" s="15">
        <f>IF(ISNA(VLOOKUP(A9,'Données projet'!$A$123:$I$143,3,0)),0,VLOOKUP(A9,'Données projet'!$A$123:$I$143,3,0))</f>
        <v>0</v>
      </c>
      <c r="CG9" s="15">
        <f>IF(ISNA(VLOOKUP(A9,'Données projet'!$A$123:$I$143,4,0)),0,VLOOKUP(A9,'Données projet'!$A$123:$I$143,4,0))</f>
        <v>0</v>
      </c>
      <c r="CH9" s="16">
        <f>IF(ISNA(VLOOKUP(A9,'Données projet'!$A$123:$I$143,5,0)),0%,VLOOKUP(A9,'Données projet'!$A$123:$I$143,5,0)*VLOOKUP('Données projet'!$B$12,Paramètres!$A$1:$I$89,7,0))</f>
        <v>0</v>
      </c>
      <c r="CI9" s="16">
        <f>IF(ISNA(VLOOKUP(A9,'Données projet'!$A$123:$I$143,6,0)),0%,VLOOKUP(A9,'Données projet'!$A$123:$I$143,6,0)*VLOOKUP('Données projet'!$B$12,Paramètres!$A$1:$I$89,7,0))</f>
        <v>0</v>
      </c>
      <c r="CJ9" s="16">
        <f>IF(ISNA(VLOOKUP(A9,'Données projet'!$A$123:$I$143,7,0)),0%,VLOOKUP(A9,'Données projet'!$A$123:$I$143,7,0))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projet'!$A$149:$I$169,2,0)</f>
        <v>#N/A</v>
      </c>
      <c r="CR9" s="12" t="e">
        <f>VLOOKUP(A9,'Données projet'!$A$149:$I$169,9,0)</f>
        <v>#N/A</v>
      </c>
      <c r="CS9" s="12">
        <f t="array" ref="CS9">INDEX(CR:CR,MIN(IF(ISNUMBER(CR9:CR205),ROW(CR9:CR205),"")))</f>
        <v>2.9235042735042733</v>
      </c>
      <c r="CT9" s="12">
        <f>IF('Données projet'!$A$150&gt;35,CT8+CS9-DB8,IF(A9&lt;'Données projet'!$A$150,$CQ$205^A9,IF(A9='Données projet'!$A$150,'Données projet'!$B$150,CT8+CS9-DB8)))</f>
        <v>2.4468367659615553</v>
      </c>
      <c r="CU9" s="17">
        <f>CT9*VLOOKUP('Données projet'!$B$13,Paramètres!$A$1:$I$89,3,0)*VLOOKUP('Données projet'!$B$13,Paramètres!$A$1:$I$89,5,0)</f>
        <v>2.4810924806850174</v>
      </c>
      <c r="CV9" s="13">
        <f t="shared" si="71"/>
        <v>1.0286285584479797</v>
      </c>
      <c r="CW9" s="20">
        <f t="shared" si="13"/>
        <v>6.1127641431566362</v>
      </c>
      <c r="CX9" s="59">
        <f t="shared" si="14"/>
        <v>299.44609747648997</v>
      </c>
      <c r="CY9" s="59">
        <f ca="1">AVERAGE(OFFSET($CX$3,0,0,'Données projet'!$E$13+1,1))-AVERAGE(OFFSET($H$3,0,0,'Données projet'!$E$13+1,1))</f>
        <v>250.31277422753283</v>
      </c>
      <c r="CZ9" s="59">
        <f t="shared" si="72"/>
        <v>159.20429420478047</v>
      </c>
      <c r="DA9" s="15">
        <f>IF(ISNA(VLOOKUP(A9,'Données projet'!$A$149:$I$169,3,0)),0,VLOOKUP(A9,'Données projet'!$A$149:$I$169,3,0))</f>
        <v>0</v>
      </c>
      <c r="DB9" s="15">
        <f>IF(ISNA(VLOOKUP(A9,'Données projet'!$A$149:$I$169,4,0)),0,VLOOKUP(A9,'Données projet'!$A$149:$I$169,4,0))</f>
        <v>0</v>
      </c>
      <c r="DC9" s="16">
        <f>IF(ISNA(VLOOKUP(A9,'Données projet'!$A$149:$I$169,5,0)),0%,VLOOKUP(A9,'Données projet'!$A$149:$I$169,5,0)*VLOOKUP('Données projet'!$B$13,Paramètres!$A$1:$I$89,7,0))</f>
        <v>0</v>
      </c>
      <c r="DD9" s="16">
        <f>IF(ISNA(VLOOKUP(A9,'Données projet'!$A$149:$I$169,6,0)),0%,VLOOKUP(A9,'Données projet'!$A$149:$I$169,6,0)*VLOOKUP('Données projet'!$B$13,Paramètres!$A$1:$I$89,7,0))</f>
        <v>0</v>
      </c>
      <c r="DE9" s="16">
        <f>IF(ISNA(VLOOKUP(A9,'Données projet'!$A$149:$I$169,7,0)),0%,VLOOKUP(A9,'Données projet'!$A$149:$I$169,7,0))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projet'!$A$175:$I$195,2,0)</f>
        <v>#N/A</v>
      </c>
      <c r="DM9" s="12" t="e">
        <f>VLOOKUP(A9,'Données projet'!$A$175:$I$195,9,0)</f>
        <v>#N/A</v>
      </c>
      <c r="DN9" s="12">
        <f t="array" ref="DN9">INDEX(DM:DM,MIN(IF(ISNUMBER(DM9:DM205),ROW(DM9:DM205),"")))</f>
        <v>1.9</v>
      </c>
      <c r="DO9" s="12">
        <f>IF('Données projet'!$A$176&gt;35,DO8+DN9-DW8,IF(A9&lt;'Données projet'!$A$176,$DL$205^A9,IF(A9='Données projet'!$A$176,'Données projet'!$B$176,DO8+DN9-DW8)))</f>
        <v>5.8512972424092187</v>
      </c>
      <c r="DP9" s="17">
        <f>DO9*VLOOKUP('Données projet'!$B$14,Paramètres!$A$1:$I$89,3,0)*VLOOKUP('Données projet'!$B$14,Paramètres!$A$1:$I$89,5,0)</f>
        <v>4.290171138134439</v>
      </c>
      <c r="DQ9" s="13">
        <f t="shared" si="73"/>
        <v>1.6688090117596963</v>
      </c>
      <c r="DR9" s="20">
        <f t="shared" si="16"/>
        <v>10.378557094398952</v>
      </c>
      <c r="DS9" s="59">
        <f t="shared" si="17"/>
        <v>303.71189042773227</v>
      </c>
      <c r="DT9" s="59">
        <f ca="1">AVERAGE(OFFSET($DS$3,0,0,'Données projet'!$E$14+1,1))-AVERAGE(OFFSET($H$3,0,0,'Données projet'!$E$14+1,1))</f>
        <v>296.91321813251051</v>
      </c>
      <c r="DU9" s="59">
        <f t="shared" si="74"/>
        <v>291.0718079639509</v>
      </c>
      <c r="DV9" s="15">
        <f>IF(ISNA(VLOOKUP(A9,'Données projet'!$A$175:$I$195,3,0)),0,VLOOKUP(A9,'Données projet'!$A$175:$I$195,3,0))</f>
        <v>0</v>
      </c>
      <c r="DW9" s="15">
        <f>IF(ISNA(VLOOKUP(A9,'Données projet'!$A$175:$I$195,4,0)),0,VLOOKUP(A9,'Données projet'!$A$175:$I$195,4,0))</f>
        <v>0</v>
      </c>
      <c r="DX9" s="16">
        <f>IF(ISNA(VLOOKUP(A9,'Données projet'!$A$175:$I$195,5,0)),0%,VLOOKUP(A9,'Données projet'!$A$175:$I$195,5,0)*VLOOKUP('Données projet'!$B$14,Paramètres!$A$1:$I$89,7,0))</f>
        <v>0</v>
      </c>
      <c r="DY9" s="16">
        <f>IF(ISNA(VLOOKUP(A9,'Données projet'!$A$175:$I$195,6,0)),0%,VLOOKUP(A9,'Données projet'!$A$175:$I$195,6,0)*VLOOKUP('Données projet'!$B$14,Paramètres!$A$1:$I$89,7,0))</f>
        <v>0</v>
      </c>
      <c r="DZ9" s="16">
        <f>IF(ISNA(VLOOKUP(A9,'Données projet'!$A$175:$I$195,7,0)),0%,VLOOKUP(A9,'Données projet'!$A$175:$I$195,7,0))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projet'!$A$201:$I$221,2,0)</f>
        <v>#N/A</v>
      </c>
      <c r="EH9" s="12" t="e">
        <f>VLOOKUP(A9,'Données projet'!$A$201:$I$221,9,0)</f>
        <v>#N/A</v>
      </c>
      <c r="EI9" s="12">
        <f t="array" ref="EI9">INDEX(EH:EH,MIN(IF(ISNUMBER(EH9:EH205),ROW(EH9:EH205),"")))</f>
        <v>3.4425641025641025</v>
      </c>
      <c r="EJ9" s="12">
        <f>IF('Données projet'!$A$202&gt;35,EJ8+EI9-ER8,IF(A9&lt;'Données projet'!$A$202,$EG$205^A9,IF(A9='Données projet'!$A$202,'Données projet'!$B$202,EJ8+EI9-ER8)))</f>
        <v>2.5281373108456551</v>
      </c>
      <c r="EK9" s="17">
        <f>EJ9*VLOOKUP('Données projet'!$B$15,Paramètres!$A$1:$I$89,3,0)*VLOOKUP('Données projet'!$B$15,Paramètres!$A$1:$I$89,5,0)</f>
        <v>1.1831682614757666</v>
      </c>
      <c r="EL9" s="13">
        <f t="shared" si="75"/>
        <v>0.53468249033221249</v>
      </c>
      <c r="EM9" s="20">
        <f t="shared" si="19"/>
        <v>2.9919233927322302</v>
      </c>
      <c r="EN9" s="59">
        <f t="shared" si="20"/>
        <v>296.32525672606556</v>
      </c>
      <c r="EO9" s="59">
        <f ca="1">AVERAGE(OFFSET($EN$3,0,0,'Données projet'!$E$15+1,1))-AVERAGE(OFFSET($H$3,0,0,'Données projet'!$E$15+1,1))</f>
        <v>147.64256291235483</v>
      </c>
      <c r="EP9" s="59">
        <f t="shared" si="76"/>
        <v>70.859031694091868</v>
      </c>
      <c r="EQ9" s="15">
        <f>IF(ISNA(VLOOKUP(A9,'Données projet'!$A$201:$I$221,3,0)),0,VLOOKUP(A9,'Données projet'!$A$201:$I$221,3,0))</f>
        <v>0</v>
      </c>
      <c r="ER9" s="15">
        <f>IF(ISNA(VLOOKUP(A9,'Données projet'!$A$201:$I$221,4,0)),0,VLOOKUP(A9,'Données projet'!$A$201:$I$221,4,0))</f>
        <v>0</v>
      </c>
      <c r="ES9" s="16">
        <f>IF(ISNA(VLOOKUP(A9,'Données projet'!$A$201:$I$221,5,0)),0%,VLOOKUP(A9,'Données projet'!$A$201:$I$221,5,0)*VLOOKUP('Données projet'!$B$15,Paramètres!$A$1:$I$89,7,0))</f>
        <v>0</v>
      </c>
      <c r="ET9" s="16">
        <f>IF(ISNA(VLOOKUP(A9,'Données projet'!$A$201:$I$221,6,0)),0%,VLOOKUP(A9,'Données projet'!$A$201:$I$221,6,0)*VLOOKUP('Données projet'!$B$15,Paramètres!$A$1:$I$89,7,0))</f>
        <v>0</v>
      </c>
      <c r="EU9" s="16">
        <f>IF(ISNA(VLOOKUP(A9,'Données projet'!$A$201:$I$221,7,0)),0%,VLOOKUP(A9,'Données projet'!$A$201:$I$221,7,0))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projet'!$A$227:$I$247,2,0)</f>
        <v>#N/A</v>
      </c>
      <c r="FC9" s="12" t="e">
        <f>VLOOKUP(A9,'Données projet'!$A$227:$I$247,9,0)</f>
        <v>#N/A</v>
      </c>
      <c r="FD9" s="12">
        <f t="array" ref="FD9">INDEX(FC:FC,MIN(IF(ISNUMBER(FC9:FC205),ROW(FC9:FC205),"")))</f>
        <v>1.8</v>
      </c>
      <c r="FE9" s="12">
        <f>IF('Données projet'!$A$228&gt;35,FE8+FD9-FM8,IF(A9&lt;'Données projet'!$A$228,$FB$205^A9,IF(A9='Données projet'!$A$228,'Données projet'!$B$228,FE8+FD9-FM8)))</f>
        <v>5.6645250677694134</v>
      </c>
      <c r="FF9" s="17">
        <f>FE9*VLOOKUP('Données projet'!$B$16,Paramètres!$A$1:$I$89,3,0)*VLOOKUP('Données projet'!$B$16,Paramètres!$A$1:$I$89,5,0)</f>
        <v>5.920561600832591</v>
      </c>
      <c r="FG9" s="13">
        <f t="shared" si="77"/>
        <v>2.2182573385472719</v>
      </c>
      <c r="FH9" s="20">
        <f t="shared" si="22"/>
        <v>14.175109652753262</v>
      </c>
      <c r="FI9" s="59">
        <f t="shared" si="23"/>
        <v>307.50844298608655</v>
      </c>
      <c r="FJ9" s="59">
        <f ca="1">AVERAGE(OFFSET($FI$3,0,0,'Données projet'!$E$16+1,1))-AVERAGE(OFFSET($H$3,0,0,'Données projet'!$E$16+1,1))</f>
        <v>259.03906550253788</v>
      </c>
      <c r="FK9" s="59">
        <f t="shared" si="78"/>
        <v>235.54542903570831</v>
      </c>
      <c r="FL9" s="15">
        <f>IF(ISNA(VLOOKUP(A9,'Données projet'!$A$227:$I$247,3,0)),0,VLOOKUP(A9,'Données projet'!$A$227:$I$247,3,0))</f>
        <v>0</v>
      </c>
      <c r="FM9" s="15">
        <f>IF(ISNA(VLOOKUP(A9,'Données projet'!$A$227:$I$247,4,0)),0,VLOOKUP(A9,'Données projet'!$A$227:$I$247,4,0))</f>
        <v>0</v>
      </c>
      <c r="FN9" s="16">
        <f>IF(ISNA(VLOOKUP(A9,'Données projet'!$A$227:$I$247,5,0)),0%,VLOOKUP(A9,'Données projet'!$A$227:$I$247,5,0)*VLOOKUP('Données projet'!$B$16,Paramètres!$A$1:$I$89,7,0))</f>
        <v>0</v>
      </c>
      <c r="FO9" s="16">
        <f>IF(ISNA(VLOOKUP(A9,'Données projet'!$A$227:$I$247,6,0)),0%,VLOOKUP(A9,'Données projet'!$A$227:$I$247,6,0)*VLOOKUP('Données projet'!$B$16,Paramètres!$A$1:$I$89,7,0))</f>
        <v>0</v>
      </c>
      <c r="FP9" s="16">
        <f>IF(ISNA(VLOOKUP(A9,'Données projet'!$A$227:$I$247,7,0)),0%,VLOOKUP(A9,'Données projet'!$A$227:$I$247,7,0))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projet'!$A$253:$I$273,2,0)</f>
        <v>#N/A</v>
      </c>
      <c r="FX9" s="12" t="e">
        <f>VLOOKUP(A9,'Données projet'!$A$253:$I$273,9,0)</f>
        <v>#N/A</v>
      </c>
      <c r="FY9" s="12">
        <f t="array" ref="FY9">INDEX(FX:FX,MIN(IF(ISNUMBER(FX9:FX205),ROW(FX9:FX205),"")))</f>
        <v>2.4666666666666668</v>
      </c>
      <c r="FZ9" s="12">
        <f>IF('Données projet'!$A$254&gt;35,FZ8+FY9-GH8,IF(A9&lt;'Données projet'!$A$254,$FW$205^A9,IF(A9='Données projet'!$A$254,'Données projet'!$B$254,FZ8+FY9-GH8)))</f>
        <v>4.2391685997738069</v>
      </c>
      <c r="GA9" s="17">
        <f>FZ9*VLOOKUP('Données projet'!$B$17,Paramètres!$A$1:$I$89,3,0)*VLOOKUP('Données projet'!$B$17,Paramètres!$A$1:$I$89,5,0)</f>
        <v>3.7033376887623981</v>
      </c>
      <c r="GB9" s="13">
        <f t="shared" si="79"/>
        <v>1.4654166376047331</v>
      </c>
      <c r="GC9" s="20">
        <f t="shared" si="25"/>
        <v>9.002247118422753</v>
      </c>
      <c r="GD9" s="59">
        <f t="shared" si="26"/>
        <v>302.33558045175607</v>
      </c>
      <c r="GE9" s="59">
        <f ca="1">AVERAGE(OFFSET($GD$3,0,0,'Données projet'!$E$17+1,1))-AVERAGE(OFFSET($H$3,0,0,'Données projet'!$E$17+1,1))</f>
        <v>245.1983232777614</v>
      </c>
      <c r="GF9" s="59">
        <f t="shared" si="80"/>
        <v>242.34010522344573</v>
      </c>
      <c r="GG9" s="15">
        <f>IF(ISNA(VLOOKUP(A9,'Données projet'!$A$253:$I$273,3,0)),0,VLOOKUP(A9,'Données projet'!$A$253:$I$273,3,0))</f>
        <v>0</v>
      </c>
      <c r="GH9" s="15">
        <f>IF(ISNA(VLOOKUP(A9,'Données projet'!$A$253:$I$273,4,0)),0,VLOOKUP(A9,'Données projet'!$A$253:$I$273,4,0))</f>
        <v>0</v>
      </c>
      <c r="GI9" s="16">
        <f>IF(ISNA(VLOOKUP(A9,'Données projet'!$A$253:$I$273,5,0)),0%,VLOOKUP(A9,'Données projet'!$A$253:$I$273,5,0)*VLOOKUP('Données projet'!$B$17,Paramètres!$A$1:$I$89,7,0))</f>
        <v>0</v>
      </c>
      <c r="GJ9" s="16">
        <f>IF(ISNA(VLOOKUP(A9,'Données projet'!$A$253:$I$273,6,0)),0%,VLOOKUP(A9,'Données projet'!$A$253:$I$273,6,0)*VLOOKUP('Données projet'!$B$17,Paramètres!$A$1:$I$89,7,0))</f>
        <v>0</v>
      </c>
      <c r="GK9" s="16">
        <f>IF(ISNA(VLOOKUP(A9,'Données projet'!$A$253:$I$273,7,0)),0%,VLOOKUP(A9,'Données projet'!$A$253:$I$273,7,0))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projet'!$A$279:$I$299,2,0)</f>
        <v>#N/A</v>
      </c>
      <c r="GS9" s="12" t="e">
        <f>VLOOKUP(A9,'Données projet'!$A$279:$I$299,9,0)</f>
        <v>#N/A</v>
      </c>
      <c r="GT9" s="12">
        <f t="array" ref="GT9">INDEX(GS:GS,MIN(IF(ISNUMBER(GS9:GS205),ROW(GS9:GS205),"")))</f>
        <v>4.1333333333333337</v>
      </c>
      <c r="GU9" s="12">
        <f>IF('Données projet'!$A$280&gt;35,GU8+GT9-HC8,IF(A9&lt;'Données projet'!$A$280,$GR$205^A9,IF(A9='Données projet'!$A$280,'Données projet'!$B$280,GU8+GT9-HC8)))</f>
        <v>5.211427205342491</v>
      </c>
      <c r="GV9" s="17">
        <f>GU9*VLOOKUP('Données projet'!$B$18,Paramètres!$A$1:$I$89,3,0)*VLOOKUP('Données projet'!$B$18,Paramètres!$A$1:$I$89,5,0)</f>
        <v>2.1002051637530239</v>
      </c>
      <c r="GW9" s="13">
        <f t="shared" si="81"/>
        <v>0.88777420557656628</v>
      </c>
      <c r="GX9" s="20">
        <f t="shared" si="28"/>
        <v>5.2040640682490364</v>
      </c>
      <c r="GY9" s="59">
        <f t="shared" si="29"/>
        <v>298.53739740158233</v>
      </c>
      <c r="GZ9" s="59">
        <f ca="1">AVERAGE(OFFSET($GY$3,0,0,'Données projet'!$E$18+1,1))-AVERAGE(OFFSET($H$3,0,0,'Données projet'!$E$18+1,1))</f>
        <v>324.36162935850876</v>
      </c>
      <c r="HA9" s="59">
        <f t="shared" si="82"/>
        <v>265.23571072429735</v>
      </c>
      <c r="HB9" s="15">
        <f>IF(ISNA(VLOOKUP(A9,'Données projet'!$A$279:$I$299,3,0)),0,VLOOKUP(A9,'Données projet'!$A$279:$I$299,3,0))</f>
        <v>0</v>
      </c>
      <c r="HC9" s="15">
        <f>IF(ISNA(VLOOKUP(A9,'Données projet'!$A$279:$I$299,4,0)),0,VLOOKUP(A9,'Données projet'!$A$279:$I$299,4,0))</f>
        <v>0</v>
      </c>
      <c r="HD9" s="16">
        <f>IF(ISNA(VLOOKUP(A9,'Données projet'!$A$279:$I$299,5,0)),0%,VLOOKUP(A9,'Données projet'!$A$279:$I$299,5,0)*VLOOKUP('Données projet'!$B$18,Paramètres!$A$1:$I$89,7,0))</f>
        <v>0</v>
      </c>
      <c r="HE9" s="16">
        <f>IF(ISNA(VLOOKUP(A9,'Données projet'!$A$279:$I$299,6,0)),0%,VLOOKUP(A9,'Données projet'!$A$279:$I$299,6,0)*VLOOKUP('Données projet'!$B$18,Paramètres!$A$1:$I$89,7,0))</f>
        <v>0</v>
      </c>
      <c r="HF9" s="16">
        <f>IF(ISNA(VLOOKUP($A9,'Données projet'!$A$279:$I$299,7,0)),0%,VLOOKUP($A9,'Données projet'!$A$279:$I$299,7,0))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  <c r="HK9" s="74">
        <f>('Scénario référence'!$F$8+'Scénario référence'!$F$9+'Scénario référence'!$B$17+'Scénario référence'!$B$9+'Scénario référence'!$B$10)*70+IF((45+25*(1-EXP(-0.0175*$A9)))&lt;70,'Scénario référence'!$B$16*(45+25*(1-EXP(-0.0175*$A9))),70*'Scénario référence'!$B$16)+IF((32+38*(1-EXP(-0.0175*$A9)))&lt;70,'Scénario référence'!$B$18*(32+38*(1-EXP(-0.0175*$A9))),70*'Scénario référence'!$B$18)</f>
        <v>70</v>
      </c>
      <c r="HL9" s="12">
        <f>IF($A9&gt;30,10,('Scénario référence'!$B$16+'Scénario référence'!$B$17+'Scénario référence'!$B$18+'Scénario référence'!$B$9+'Scénario référence'!$B$10)*$A9*10/30+('Scénario référence'!$F$8+'Scénario référence'!$F$9)*10)</f>
        <v>10</v>
      </c>
      <c r="HM9" s="12">
        <f>VLOOKUP($A9,'Données projet'!$A$304:$I$324,2,0)</f>
        <v>21.549999999999997</v>
      </c>
      <c r="HN9" s="12">
        <f>VLOOKUP($A9,'Données projet'!$A$304:$I$324,9,0)</f>
        <v>8.4006410256410273</v>
      </c>
      <c r="HO9" s="12">
        <f t="array" ref="HO9">INDEX(HN:HN,MIN(IF(ISNUMBER(HN9:HN205),ROW(HN9:HN205),"")))</f>
        <v>8.4006410256410273</v>
      </c>
      <c r="HP9" s="12">
        <f>IF('Données projet'!$A$304&gt;35,HP8+HO9-HX8,IF($A9&lt;'Données projet'!$A$304,$CQ$205^$A9,IF($A9='Données projet'!$A$304,'Données projet'!$B$304,HP8+HO9-HX8)))</f>
        <v>21.549999999999997</v>
      </c>
      <c r="HQ9" s="17">
        <f>HP9*VLOOKUP('Données projet'!$B$19,Paramètres!$A$1:$I$89,3,0)*VLOOKUP('Données projet'!$B$19,Paramètres!$A$1:$I$89,5,0)</f>
        <v>10.959467999999999</v>
      </c>
      <c r="HR9" s="13">
        <f t="shared" si="83"/>
        <v>3.8221703848080173</v>
      </c>
      <c r="HS9" s="14">
        <f t="shared" si="31"/>
        <v>25.744686853540628</v>
      </c>
      <c r="HT9" s="59">
        <f t="shared" si="32"/>
        <v>319.07802018687391</v>
      </c>
      <c r="HU9" s="59">
        <f ca="1">AVERAGE(OFFSET(HT$3,0,0,'Données projet'!$E$19+1,1))-AVERAGE(OFFSET($H$3,0,0,'Données projet'!$E$19+1,1))</f>
        <v>91.60721429656013</v>
      </c>
      <c r="HV9" s="59">
        <f t="shared" si="84"/>
        <v>258.94957804210856</v>
      </c>
      <c r="HW9" s="15">
        <f>IF(ISNA(VLOOKUP($A9,'Données projet'!$A$304:$I$324,3,0)),0,VLOOKUP($A9,'Données projet'!$A$304:$I$324,3,0))</f>
        <v>0</v>
      </c>
      <c r="HX9" s="15">
        <f>IF(ISNA(VLOOKUP($A9,'Données projet'!$A$304:$I$324,4,0)),0,VLOOKUP($A9,'Données projet'!$A$304:$I$324,4,0))</f>
        <v>0</v>
      </c>
      <c r="HY9" s="16">
        <f>IF(ISNA(VLOOKUP($A9,'Données projet'!$A$304:$I$324,5,0)),0%,VLOOKUP($A9,'Données projet'!$A$304:$I$324,5,0)*VLOOKUP('Données projet'!$B$19,Paramètres!$A$1:$I$89,7,0))</f>
        <v>0</v>
      </c>
      <c r="HZ9" s="16">
        <f>IF(ISNA(VLOOKUP($A9,'Données projet'!$A$304:$I$324,6,0)),0%,VLOOKUP($A9,'Données projet'!$A$304:$I$324,6,0)*VLOOKUP('Données projet'!$B$19,Paramètres!$A$1:$I$89,7,0))</f>
        <v>0</v>
      </c>
      <c r="IA9" s="16">
        <f>IF(ISNA(VLOOKUP($A9,'Données projet'!$A$304:$I$324,7,0)),0%,VLOOKUP($A9,'Données projet'!$A$304:$I$324,7,0))</f>
        <v>0</v>
      </c>
      <c r="IB9" s="21">
        <f>EXP(-LN(2)/35)*IB8+(1-EXP(-LN(2)/35))/(LN(2)/35)*HX9*HY9*VLOOKUP('Données projet'!$B$19,Paramètres!$A$1:$I$89,3,0)*0.475*44/12</f>
        <v>0</v>
      </c>
      <c r="IC9" s="21">
        <f>EXP(-LN(2)/25)*IC8+(1-EXP(-LN(2)/25))/(LN(2)/25)*Calculateur!HX9*Calculateur!HZ9*VLOOKUP('Données projet'!$B$19,Paramètres!$A$1:$I$89,3,0)*0.475*44/12</f>
        <v>0</v>
      </c>
      <c r="ID9" s="21">
        <f>EXP(-LN(2)/2)*ID8+(1-EXP(-LN(2)/2))/(LN(2)/2)*HX9*IA9*VLOOKUP('Données projet'!$B$19,Paramètres!$A$1:$I$89,3,0)*0.475*44/12</f>
        <v>0</v>
      </c>
      <c r="IE9" s="22">
        <f t="shared" si="33"/>
        <v>0</v>
      </c>
      <c r="IF9" s="74">
        <f>('Scénario référence'!$F$8+'Scénario référence'!$F$9+'Scénario référence'!$B$17+'Scénario référence'!$B$9+'Scénario référence'!$B$10)*70+IF((45+25*(1-EXP(-0.0175*$A9)))&lt;70,'Scénario référence'!$B$16*(45+25*(1-EXP(-0.0175*$A9))),70*'Scénario référence'!$B$16)+IF((32+38*(1-EXP(-0.0175*$A9)))&lt;70,'Scénario référence'!$B$18*(32+38*(1-EXP(-0.0175*$A9))),70*'Scénario référence'!$B$18)</f>
        <v>70</v>
      </c>
      <c r="IG9" s="12">
        <f>IF($A9&gt;30,10,('Scénario référence'!$B$16+'Scénario référence'!$B$17+'Scénario référence'!$B$18+'Scénario référence'!$B$9+'Scénario référence'!$B$10)*$A9*10/30+('Scénario référence'!$F$8+'Scénario référence'!$F$9)*10)</f>
        <v>10</v>
      </c>
      <c r="IH9" s="12">
        <f>VLOOKUP($A9,'Données projet'!$A$330:$I$350,2,0)</f>
        <v>21.549999999999997</v>
      </c>
      <c r="II9" s="12">
        <f>VLOOKUP($A9,'Données projet'!$A$330:$I$350,9,0)</f>
        <v>8.4006410256410273</v>
      </c>
      <c r="IJ9" s="12">
        <f t="array" ref="IJ9">INDEX(II:II,MIN(IF(ISNUMBER(II9:II205),ROW(II9:II205),"")))</f>
        <v>8.4006410256410273</v>
      </c>
      <c r="IK9" s="12">
        <f>IF('Données projet'!$A$330&gt;35,IK8+IJ9-IS8,IF($A9&lt;'Données projet'!$A$330,$CQ$205^$A9,IF($A9='Données projet'!$A$330,'Données projet'!$B$330,IK8+IJ9-IS8)))</f>
        <v>21.549999999999997</v>
      </c>
      <c r="IL9" s="17">
        <f>IK9*VLOOKUP('Données projet'!$B$20,Paramètres!$A$1:$I$89,3,0)*VLOOKUP('Données projet'!$B$20,Paramètres!$A$1:$I$89,5,0)</f>
        <v>10.959467999999999</v>
      </c>
      <c r="IM9" s="13">
        <f t="shared" si="85"/>
        <v>3.8221703848080173</v>
      </c>
      <c r="IN9" s="20">
        <f t="shared" si="86"/>
        <v>25.744686853540628</v>
      </c>
      <c r="IO9" s="59">
        <f t="shared" si="87"/>
        <v>319.07802018687391</v>
      </c>
      <c r="IP9" s="59">
        <f ca="1">AVERAGE(OFFSET(IO$3,0,0,'Données projet'!$E$20+1,1))-AVERAGE(OFFSET($H$3,0,0,'Données projet'!$E$20+1,1))</f>
        <v>91.60721429656013</v>
      </c>
      <c r="IQ9" s="59">
        <f t="shared" si="88"/>
        <v>258.94957804210856</v>
      </c>
      <c r="IR9" s="15">
        <f>IF(ISNA(VLOOKUP($A9,'Données projet'!$A$330:$I$350,3,0)),0,VLOOKUP($A9,'Données projet'!$A$330:$I$350,3,0))</f>
        <v>0</v>
      </c>
      <c r="IS9" s="15">
        <f>IF(ISNA(VLOOKUP($A9,'Données projet'!$A$330:$I$350,4,0)),0,VLOOKUP($A9,'Données projet'!$A$330:$I$350,4,0))</f>
        <v>0</v>
      </c>
      <c r="IT9" s="16">
        <f>IF(ISNA(VLOOKUP($A9,'Données projet'!$A$330:$I$350,5,0)),0%,VLOOKUP($A9,'Données projet'!$A$330:$I$350,5,0)*VLOOKUP('Données projet'!$B$20,Paramètres!$A$1:$I$89,7,0))</f>
        <v>0</v>
      </c>
      <c r="IU9" s="16">
        <f>IF(ISNA(VLOOKUP($A9,'Données projet'!$A$330:$I$350,6,0)),0%,VLOOKUP($A9,'Données projet'!$A$330:$I$350,6,0)*VLOOKUP('Données projet'!$B$20,Paramètres!$A$1:$I$89,7,0))</f>
        <v>0</v>
      </c>
      <c r="IV9" s="16">
        <f>IF(ISNA(VLOOKUP($A9,'Données projet'!$A$330:$I$350,7,0)),0%,VLOOKUP($A9,'Données projet'!$A$330:$I$350,7,0))</f>
        <v>0</v>
      </c>
      <c r="IW9" s="21">
        <f>EXP(-LN(2)/35)*IW8+(1-EXP(-LN(2)/35))/(LN(2)/35)*IS9*IT9*VLOOKUP('Données projet'!$B$20,Paramètres!$A$1:$I$89,3,0)*0.475*44/12</f>
        <v>0</v>
      </c>
      <c r="IX9" s="21">
        <f>EXP(-LN(2)/25)*IX8+(1-EXP(-LN(2)/25))/(LN(2)/25)*Calculateur!IS9*Calculateur!IU9*VLOOKUP('Données projet'!$B$20,Paramètres!$A$1:$I$89,3,0)*0.475*44/12</f>
        <v>0</v>
      </c>
      <c r="IY9" s="21">
        <f>EXP(-LN(2)/2)*IY8+(1-EXP(-LN(2)/2))/(LN(2)/2)*IS9*IV9*VLOOKUP('Données projet'!$B$20,Paramètres!$A$1:$I$89,3,0)*0.475*44/12</f>
        <v>0</v>
      </c>
      <c r="IZ9" s="22">
        <f t="shared" si="89"/>
        <v>0</v>
      </c>
      <c r="JA9" s="74">
        <f>('Scénario référence'!$F$8+'Scénario référence'!$F$9+'Scénario référence'!$B$17+'Scénario référence'!$B$9+'Scénario référence'!$B$10)*70+IF((45+25*(1-EXP(-0.0175*$A9)))&lt;70,'Scénario référence'!$B$16*(45+25*(1-EXP(-0.0175*$A9))),70*'Scénario référence'!$B$16)+IF((32+38*(1-EXP(-0.0175*$A9)))&lt;70,'Scénario référence'!$B$18*(32+38*(1-EXP(-0.0175*$A9))),70*'Scénario référence'!$B$18)</f>
        <v>70</v>
      </c>
      <c r="JB9" s="12">
        <f>IF($A9&gt;30,10,('Scénario référence'!$B$16+'Scénario référence'!$B$17+'Scénario référence'!$B$18+'Scénario référence'!$B$9+'Scénario référence'!$B$10)*$A9*10/30+('Scénario référence'!$F$8+'Scénario référence'!$F$9)*10)</f>
        <v>10</v>
      </c>
      <c r="JC9" s="12" t="e">
        <f>VLOOKUP($A9,'Données projet'!$A$356:$I$376,2,0)</f>
        <v>#N/A</v>
      </c>
      <c r="JD9" s="12" t="e">
        <f>VLOOKUP($A9,'Données projet'!$A$356:$I$376,9,0)</f>
        <v>#N/A</v>
      </c>
      <c r="JE9" s="12">
        <f t="array" ref="JE9">INDEX(JD:JD,MIN(IF(ISNUMBER(JD9:JD205),ROW(JD9:JD205),"")))</f>
        <v>3.04</v>
      </c>
      <c r="JF9" s="12">
        <f>IF('Données projet'!$A$356&gt;35,JF8+JE9-JN8,IF($A9&lt;'Données projet'!$A$356,$CQ$205^$A9,IF($A9='Données projet'!$A$356,'Données projet'!$B$356,JF8+JE9-JN8)))</f>
        <v>18.239999999999998</v>
      </c>
      <c r="JG9" s="17">
        <f>JF9*VLOOKUP('Données projet'!$B$21,Paramètres!$A$1:$I$89,3,0)*VLOOKUP('Données projet'!$B$21,Paramètres!$A$1:$I$89,5,0)</f>
        <v>14.796288000000001</v>
      </c>
      <c r="JH9" s="13">
        <f t="shared" si="90"/>
        <v>4.9830937480549888</v>
      </c>
      <c r="JI9" s="20">
        <f t="shared" si="91"/>
        <v>34.449089877862434</v>
      </c>
      <c r="JJ9" s="59">
        <f t="shared" si="92"/>
        <v>327.78242321119575</v>
      </c>
      <c r="JK9" s="59">
        <f ca="1">AVERAGE(OFFSET($JJ$3,0,0,'Données projet'!$E$22+1,1))-AVERAGE(OFFSET($H$3,0,0,'Données projet'!$E$22+1,1))</f>
        <v>353.35574633294613</v>
      </c>
      <c r="JL9" s="59">
        <f t="shared" si="93"/>
        <v>170.36796666474726</v>
      </c>
      <c r="JM9" s="15">
        <f>IF(ISNA(VLOOKUP($A9,'Données projet'!$A$356:$I$376,3,0)),0,VLOOKUP($A9,'Données projet'!$A$356:$I$376,3,0))</f>
        <v>0</v>
      </c>
      <c r="JN9" s="15">
        <f>IF(ISNA(VLOOKUP($A9,'Données projet'!$A$356:$I$376,4,0)),0,VLOOKUP($A9,'Données projet'!$A$356:$I$376,4,0))</f>
        <v>0</v>
      </c>
      <c r="JO9" s="16">
        <f>IF(ISNA(VLOOKUP($A9,'Données projet'!$A$356:$I$376,5,0)),0%,VLOOKUP($A9,'Données projet'!$A$356:$I$376,5,0)*VLOOKUP('Données projet'!$B$21,Paramètres!$A$1:$I$89,7,0))</f>
        <v>0</v>
      </c>
      <c r="JP9" s="16">
        <f>IF(ISNA(VLOOKUP($A9,'Données projet'!$A$356:$I$376,6,0)),0%,VLOOKUP($A9,'Données projet'!$A$356:$I$376,6,0)*VLOOKUP('Données projet'!$B$21,Paramètres!$A$1:$I$89,7,0))</f>
        <v>0</v>
      </c>
      <c r="JQ9" s="16">
        <f>IF(ISNA(VLOOKUP($A9,'Données projet'!$A$356:$I$376,7,0)),0%,VLOOKUP($A9,'Données projet'!$A$356:$I$376,7,0))</f>
        <v>0</v>
      </c>
      <c r="JR9" s="21">
        <f>EXP(-LN(2)/35)*JR8+(1-EXP(-LN(2)/35))/(LN(2)/35)*JN9*JO9*VLOOKUP('Données projet'!$B$21,Paramètres!$A$1:$I$89,3,0)*0.475*44/12</f>
        <v>0</v>
      </c>
      <c r="JS9" s="21">
        <f>EXP(-LN(2)/25)*JS8+(1-EXP(-LN(2)/25))/(LN(2)/25)*Calculateur!JN9*Calculateur!JP9*VLOOKUP('Données projet'!$B$21,Paramètres!$A$1:$I$89,3,0)*0.475*44/12</f>
        <v>0</v>
      </c>
      <c r="JT9" s="21">
        <f>EXP(-LN(2)/2)*JT8+(1-EXP(-LN(2)/2))/(LN(2)/2)*JN9*JQ9*VLOOKUP('Données projet'!$B$21,Paramètres!$A$1:$I$89,3,0)*0.475*44/12</f>
        <v>0</v>
      </c>
      <c r="JU9" s="18">
        <f t="shared" si="39"/>
        <v>0</v>
      </c>
      <c r="JV9" s="74">
        <f>('Scénario référence'!$F$8+'Scénario référence'!$F$9+'Scénario référence'!$B$17+'Scénario référence'!$B$9+'Scénario référence'!$B$10)*70+IF((45+25*(1-EXP(-0.0175*$A9)))&lt;70,'Scénario référence'!$B$16*(45+25*(1-EXP(-0.0175*$A9))),70*'Scénario référence'!$B$16)+IF((32+38*(1-EXP(-0.0175*$A9)))&lt;70,'Scénario référence'!$B$18*(32+38*(1-EXP(-0.0175*$A9))),70*'Scénario référence'!$B$18)</f>
        <v>70</v>
      </c>
      <c r="JW9" s="12">
        <f>IF($A9&gt;30,10,('Scénario référence'!$B$16+'Scénario référence'!$B$17+'Scénario référence'!$B$18+'Scénario référence'!$B$9+'Scénario référence'!$B$10)*$A9*10/30+('Scénario référence'!$F$8+'Scénario référence'!$F$9)*10)</f>
        <v>10</v>
      </c>
      <c r="JX9" s="12" t="e">
        <f>VLOOKUP($A9,'Données projet'!$A$382:$I$402,2,0)</f>
        <v>#N/A</v>
      </c>
      <c r="JY9" s="12" t="e">
        <f>VLOOKUP($A9,'Données projet'!$A$382:$I$402,9,0)</f>
        <v>#N/A</v>
      </c>
      <c r="JZ9" s="12">
        <f t="array" ref="JZ9">INDEX(JY:JY,MIN(IF(ISNUMBER(JY9:JY205),ROW(JY9:JY205),"")))</f>
        <v>4.0628205128205126</v>
      </c>
      <c r="KA9" s="12">
        <f>IF('Données projet'!$A$382&gt;35,KA8+JZ9-KI8,IF($A9&lt;'Données projet'!$A$382,$CQ$205^$A9,IF($A9='Données projet'!$A$382,'Données projet'!$B$382,KA8+JZ9-KI8)))</f>
        <v>24.376923076923074</v>
      </c>
      <c r="KB9" s="17">
        <f>KA9*VLOOKUP('Données projet'!$B$22,Paramètres!$A$1:$I$89,3,0)*VLOOKUP('Données projet'!$B$22,Paramètres!$A$1:$I$89,5,0)</f>
        <v>16.352039999999999</v>
      </c>
      <c r="KC9" s="13">
        <f t="shared" si="94"/>
        <v>5.4433245817692111</v>
      </c>
      <c r="KD9" s="20">
        <f t="shared" si="95"/>
        <v>37.960259979914703</v>
      </c>
      <c r="KE9" s="59">
        <f t="shared" si="96"/>
        <v>331.29359331324804</v>
      </c>
      <c r="KF9" s="59">
        <f ca="1">AVERAGE(OFFSET($KE$3,0,0,'Données projet'!$E$22+1,1))-AVERAGE(OFFSET($H$3,0,0,'Données projet'!$E$22+1,1))</f>
        <v>193.91714772848269</v>
      </c>
      <c r="KG9" s="59">
        <f t="shared" si="97"/>
        <v>159.20429420478047</v>
      </c>
      <c r="KH9" s="15">
        <f>IF(ISNA(VLOOKUP($A9,'Données projet'!$A$382:$I$402,3,0)),0,VLOOKUP($A9,'Données projet'!$A$382:$I$402,3,0))</f>
        <v>0</v>
      </c>
      <c r="KI9" s="15">
        <f>IF(ISNA(VLOOKUP($A9,'Données projet'!$A$382:$I$402,4,0)),0,VLOOKUP($A9,'Données projet'!$A$382:$I$402,4,0))</f>
        <v>0</v>
      </c>
      <c r="KJ9" s="16">
        <f>IF(ISNA(VLOOKUP($A9,'Données projet'!$A$382:$I$402,5,0)),0%,VLOOKUP($A9,'Données projet'!$A$382:$I$402,5,0)*VLOOKUP('Données projet'!$B$22,Paramètres!$A$1:$I$89,7,0))</f>
        <v>0</v>
      </c>
      <c r="KK9" s="16">
        <f>IF(ISNA(VLOOKUP($A9,'Données projet'!$A$382:$I$402,6,0)),0%,VLOOKUP($A9,'Données projet'!$A$382:$I$402,6,0)*VLOOKUP('Données projet'!$B$22,Paramètres!$A$1:$I$89,7,0))</f>
        <v>0</v>
      </c>
      <c r="KL9" s="16">
        <f>IF(ISNA(VLOOKUP($A9,'Données projet'!$A$382:$I$402,7,0)),0%,VLOOKUP($A9,'Données projet'!$A$382:$I$402,7,0))</f>
        <v>0</v>
      </c>
      <c r="KM9" s="21">
        <f>EXP(-LN(2)/35)*KM8+(1-EXP(-LN(2)/35))/(LN(2)/35)*KI9*KJ9*VLOOKUP('Données projet'!$B$22,Paramètres!$A$1:$I$89,3,0)*0.475*44/12</f>
        <v>0</v>
      </c>
      <c r="KN9" s="21">
        <f>EXP(-LN(2)/25)*KN8+(1-EXP(-LN(2)/25))/(LN(2)/25)*Calculateur!KI9*Calculateur!KK9*VLOOKUP('Données projet'!$B$22,Paramètres!$A$1:$I$89,3,0)*0.475*44/12</f>
        <v>0</v>
      </c>
      <c r="KO9" s="21">
        <f>EXP(-LN(2)/2)*KO8+(1-EXP(-LN(2)/2))/(LN(2)/2)*KI9*KL9*VLOOKUP('Données projet'!$B$22,Paramètres!$A$1:$I$89,3,0)*0.475*44/12</f>
        <v>0</v>
      </c>
      <c r="KP9" s="22">
        <f t="shared" si="98"/>
        <v>0</v>
      </c>
      <c r="KQ9" s="74">
        <f>('Scénario référence'!$F$8+'Scénario référence'!$F$9+'Scénario référence'!$B$17+'Scénario référence'!$B$9+'Scénario référence'!$B$10)*70+IF((45+25*(1-EXP(-0.0175*$A9)))&lt;70,'Scénario référence'!$B$16*(45+25*(1-EXP(-0.0175*$A9))),70*'Scénario référence'!$B$16)+IF((32+38*(1-EXP(-0.0175*$A9)))&lt;70,'Scénario référence'!$B$18*(32+38*(1-EXP(-0.0175*$A9))),70*'Scénario référence'!$B$18)</f>
        <v>70</v>
      </c>
      <c r="KR9" s="12">
        <f>IF($A9&gt;30,10,('Scénario référence'!$B$16+'Scénario référence'!$B$17+'Scénario référence'!$B$18+'Scénario référence'!$B$9+'Scénario référence'!$B$10)*$A9*10/30+('Scénario référence'!$F$8+'Scénario référence'!$F$9)*10)</f>
        <v>10</v>
      </c>
      <c r="KS9" s="12" t="e">
        <f>VLOOKUP($A9,'Données projet'!$A$408:$I$428,2,0)</f>
        <v>#N/A</v>
      </c>
      <c r="KT9" s="12" t="e">
        <f>VLOOKUP($A9,'Données projet'!$A$408:$I$428,9,0)</f>
        <v>#N/A</v>
      </c>
      <c r="KU9" s="12">
        <f t="array" ref="KU9">INDEX(KT:KT,MIN(IF(ISNUMBER(KT9:KT205),ROW(KT9:KT205),"")))</f>
        <v>2.4666666666666668</v>
      </c>
      <c r="KV9" s="12">
        <f>IF('Données projet'!$A$408&gt;35,KV8+KU9-LD8,IF($A9&lt;'Données projet'!$A$408,$CQ$205^$A9,IF($A9='Données projet'!$A$408,'Données projet'!$B$408,KV8+KU9-LD8)))</f>
        <v>14.8</v>
      </c>
      <c r="KW9" s="17">
        <f>KV9*VLOOKUP('Données projet'!$B$23,Paramètres!$A$1:$I$89,3,0)*VLOOKUP('Données projet'!$B$23,Paramètres!$A$1:$I$89,5,0)</f>
        <v>12.929280000000004</v>
      </c>
      <c r="KX9" s="13">
        <f t="shared" si="99"/>
        <v>4.423226230308237</v>
      </c>
      <c r="KY9" s="14">
        <f t="shared" si="43"/>
        <v>30.22228168445352</v>
      </c>
      <c r="KZ9" s="59">
        <f t="shared" si="44"/>
        <v>323.55561501778686</v>
      </c>
      <c r="LA9" s="59">
        <f ca="1">AVERAGE(OFFSET($KZ$3,0,0,'Données projet'!$E$23+1,1))-AVERAGE(OFFSET($H$3,0,0,'Données projet'!$E$23+1,1))</f>
        <v>248.33596943633819</v>
      </c>
      <c r="LB9" s="59">
        <f t="shared" si="100"/>
        <v>242.34010522344573</v>
      </c>
      <c r="LC9" s="15">
        <f>IF(ISNA(VLOOKUP($A9,'Données projet'!$A$408:$I$428,3,0)),0,VLOOKUP($A9,'Données projet'!$A$408:$I$428,3,0))</f>
        <v>0</v>
      </c>
      <c r="LD9" s="15">
        <f>IF(ISNA(VLOOKUP($A9,'Données projet'!$A$408:$I$428,4,0)),0,VLOOKUP($A9,'Données projet'!$A$408:$I$428,4,0))</f>
        <v>0</v>
      </c>
      <c r="LE9" s="16">
        <f>IF(ISNA(VLOOKUP($A9,'Données projet'!$A$408:$I$428,5,0)),0%,VLOOKUP($A9,'Données projet'!$A$408:$I$428,5,0)*VLOOKUP('Données projet'!$B$23,Paramètres!$A$1:$I$89,7,0))</f>
        <v>0</v>
      </c>
      <c r="LF9" s="16">
        <f>IF(ISNA(VLOOKUP($A9,'Données projet'!$A$408:$I$428,6,0)),0%,VLOOKUP($A9,'Données projet'!$A$408:$I$428,6,0)*VLOOKUP('Données projet'!$B$23,Paramètres!$A$1:$I$89,7,0))</f>
        <v>0</v>
      </c>
      <c r="LG9" s="16">
        <f>IF(ISNA(VLOOKUP($A9,'Données projet'!$A$408:$I$428,7,0)),0%,VLOOKUP($A9,'Données projet'!$A$408:$I$428,7,0))</f>
        <v>0</v>
      </c>
      <c r="LH9" s="21">
        <f>EXP(-LN(2)/35)*LH8+(1-EXP(-LN(2)/35))/(LN(2)/35)*LD9*LE9*VLOOKUP('Données projet'!$B$23,Paramètres!$A$1:$I$89,3,0)*0.475*44/12</f>
        <v>0</v>
      </c>
      <c r="LI9" s="21">
        <f>EXP(-LN(2)/25)*LI8+(1-EXP(-LN(2)/25))/(LN(2)/25)*Calculateur!LD9*Calculateur!LF9*VLOOKUP('Données projet'!$B$23,Paramètres!$A$1:$I$89,3,0)*0.475*44/12</f>
        <v>0</v>
      </c>
      <c r="LJ9" s="21">
        <f>EXP(-LN(2)/2)*LJ8+(1-EXP(-LN(2)/2))/(LN(2)/2)*LD9*LG9*VLOOKUP('Données projet'!$B$23,Paramètres!$A$1:$I$89,3,0)*0.475*44/12</f>
        <v>0</v>
      </c>
      <c r="LK9" s="22">
        <f t="shared" si="101"/>
        <v>0</v>
      </c>
      <c r="LL9" s="74">
        <f>('Scénario référence'!$F$8+'Scénario référence'!$F$9+'Scénario référence'!$B$17+'Scénario référence'!$B$9+'Scénario référence'!$B$10)*70+IF((45+25*(1-EXP(-0.0175*$A9)))&lt;70,'Scénario référence'!$B$16*(45+25*(1-EXP(-0.0175*$A9))),70*'Scénario référence'!$B$16)+IF((32+38*(1-EXP(-0.0175*$A9)))&lt;70,'Scénario référence'!$B$18*(32+38*(1-EXP(-0.0175*$A9))),70*'Scénario référence'!$B$18)</f>
        <v>70</v>
      </c>
      <c r="LM9" s="12">
        <f>IF($A9&gt;30,10,('Scénario référence'!$B$16+'Scénario référence'!$B$17+'Scénario référence'!$B$18+'Scénario référence'!$B$9+'Scénario référence'!$B$10)*$A9*10/30+('Scénario référence'!$F$8+'Scénario référence'!$F$9)*10)</f>
        <v>10</v>
      </c>
      <c r="LN9" s="12" t="e">
        <f>VLOOKUP($A9,'Données projet'!$A$434:$I$454,2,0)</f>
        <v>#N/A</v>
      </c>
      <c r="LO9" s="12" t="e">
        <f>VLOOKUP($A9,'Données projet'!$A$434:$I$454,9,0)</f>
        <v>#N/A</v>
      </c>
      <c r="LP9" s="12">
        <f t="array" ref="LP9">INDEX(LO:LO,MIN(IF(ISNUMBER(LO9:LO205),ROW(LO9:LO205),"")))</f>
        <v>2.9235042735042733</v>
      </c>
      <c r="LQ9" s="12">
        <f>IF('Données projet'!$A$434&gt;35,LQ8+LP9-LY8,IF($A9&lt;'Données projet'!$A$434,$CQ$205^$A9,IF($A9='Données projet'!$A$434,'Données projet'!$B$434,LQ8+LP9-LY8)))</f>
        <v>17.541025641025641</v>
      </c>
      <c r="LR9" s="17">
        <f>LQ9*VLOOKUP('Données projet'!$B$24,Paramètres!$A$1:$I$89,3,0)*VLOOKUP('Données projet'!$B$24,Paramètres!$A$1:$I$89,5,0)</f>
        <v>17.7866</v>
      </c>
      <c r="LS9" s="13">
        <f t="shared" si="102"/>
        <v>5.8631929331675199</v>
      </c>
      <c r="LT9" s="14">
        <f t="shared" si="46"/>
        <v>41.190056025266763</v>
      </c>
      <c r="LU9" s="59">
        <f t="shared" si="103"/>
        <v>334.52338935860007</v>
      </c>
      <c r="LV9" s="59">
        <f ca="1">AVERAGE(OFFSET($LU$3,0,0,'Données projet'!$E$24+1,1))-AVERAGE(OFFSET($H$3,0,0,'Données projet'!$E$24+1,1))</f>
        <v>260.52627655062872</v>
      </c>
      <c r="LW9" s="59">
        <f t="shared" si="104"/>
        <v>159.20429420478047</v>
      </c>
      <c r="LX9" s="15">
        <f>IF(ISNA(VLOOKUP($A9,'Données projet'!$A$434:$I$454,3,0)),0,VLOOKUP($A9,'Données projet'!$A$434:$I$454,3,0))</f>
        <v>0</v>
      </c>
      <c r="LY9" s="15">
        <f>IF(ISNA(VLOOKUP($A9,'Données projet'!$A$434:$I$454,4,0)),0,VLOOKUP($A9,'Données projet'!$A$434:$I$454,4,0))</f>
        <v>0</v>
      </c>
      <c r="LZ9" s="16">
        <f>IF(ISNA(VLOOKUP($A9,'Données projet'!$A$434:$I$454,5,0)),0%,VLOOKUP($A9,'Données projet'!$A$434:$I$454,5,0)*VLOOKUP('Données projet'!$B$24,Paramètres!$A$1:$I$89,7,0))</f>
        <v>0</v>
      </c>
      <c r="MA9" s="16">
        <f>IF(ISNA(VLOOKUP($A9,'Données projet'!$A$434:$I$454,6,0)),0%,VLOOKUP($A9,'Données projet'!$A$434:$I$454,6,0)*VLOOKUP('Données projet'!$B$24,Paramètres!$A$1:$I$89,7,0))</f>
        <v>0</v>
      </c>
      <c r="MB9" s="16">
        <f>IF(ISNA(VLOOKUP($A9,'Données projet'!$A$434:$I$454,7,0)),0%,VLOOKUP($A9,'Données projet'!$A$434:$I$454,7,0))</f>
        <v>0</v>
      </c>
      <c r="MC9" s="21">
        <f>EXP(-LN(2)/35)*MC8+(1-EXP(-LN(2)/35))/(LN(2)/35)*LY9*LZ9*VLOOKUP('Données projet'!$B$24,Paramètres!$A$1:$I$89,3,0)*0.475*44/12</f>
        <v>0</v>
      </c>
      <c r="MD9" s="21">
        <f>EXP(-LN(2)/25)*MD8+(1-EXP(-LN(2)/25))/(LN(2)/25)*Calculateur!LY9*Calculateur!MA9*VLOOKUP('Données projet'!$B$24,Paramètres!$A$1:$I$89,3,0)*0.475*44/12</f>
        <v>0</v>
      </c>
      <c r="ME9" s="21">
        <f>EXP(-LN(2)/2)*ME8+(1-EXP(-LN(2)/2))/(LN(2)/2)*LY9*MB9*VLOOKUP('Données projet'!$B$24,Paramètres!$A$1:$I$89,3,0)*0.475*44/12</f>
        <v>0</v>
      </c>
      <c r="MF9" s="22">
        <f t="shared" si="105"/>
        <v>0</v>
      </c>
      <c r="MG9" s="74">
        <f>('Scénario référence'!$F$8+'Scénario référence'!$F$9+'Scénario référence'!$B$17+'Scénario référence'!$B$9+'Scénario référence'!$B$10)*70+IF((45+25*(1-EXP(-0.0175*$A9)))&lt;70,'Scénario référence'!$B$16*(45+25*(1-EXP(-0.0175*$A9))),70*'Scénario référence'!$B$16)+IF((32+38*(1-EXP(-0.0175*$A9)))&lt;70,'Scénario référence'!$B$18*(32+38*(1-EXP(-0.0175*$A9))),70*'Scénario référence'!$B$18)</f>
        <v>70</v>
      </c>
      <c r="MH9" s="12">
        <f>IF($A9&gt;30,10,('Scénario référence'!$B$16+'Scénario référence'!$B$17+'Scénario référence'!$B$18+'Scénario référence'!$B$9+'Scénario référence'!$B$10)*$A9*10/30+('Scénario référence'!$F$8+'Scénario référence'!$F$9)*10)</f>
        <v>10</v>
      </c>
      <c r="MI9" s="12" t="e">
        <f>VLOOKUP($A9,'Données projet'!$A$460:$I$480,2,0)</f>
        <v>#N/A</v>
      </c>
      <c r="MJ9" s="12" t="e">
        <f>VLOOKUP($A9,'Données projet'!$A$460:$I$480,9,0)</f>
        <v>#N/A</v>
      </c>
      <c r="MK9" s="12">
        <f t="array" ref="MK9">INDEX(MJ:MJ,MIN(IF(ISNUMBER(MJ9:MJ205),ROW(MJ9:MJ205),"")))</f>
        <v>0</v>
      </c>
      <c r="ML9" s="12">
        <f>IF('Données projet'!$A$460&gt;35,ML8+MK9-MT8,IF($A9&lt;'Données projet'!$A$460,$CQ$205^$A9,IF($A9='Données projet'!$A$460,'Données projet'!$B$460,ML8+MK9-MT8)))</f>
        <v>0</v>
      </c>
      <c r="MM9" s="17" t="e">
        <f>ML9*VLOOKUP('Données projet'!$B$25,Paramètres!$A$1:$I$89,3,0)*VLOOKUP('Données projet'!$B$25,Paramètres!$A$1:$I$89,5,0)</f>
        <v>#N/A</v>
      </c>
      <c r="MN9" s="13" t="e">
        <f t="shared" si="106"/>
        <v>#N/A</v>
      </c>
      <c r="MO9" s="14" t="e">
        <f t="shared" si="49"/>
        <v>#N/A</v>
      </c>
      <c r="MP9" s="59" t="e">
        <f t="shared" si="50"/>
        <v>#N/A</v>
      </c>
      <c r="MQ9" s="20" t="e">
        <f ca="1">AVERAGE(OFFSET($MP$3,0,0,'Données projet'!$E$25+1,1))-AVERAGE(OFFSET($H$3,0,0,'Données projet'!$E$25+1,1))</f>
        <v>#N/A</v>
      </c>
      <c r="MR9" s="59" t="e">
        <f t="shared" si="107"/>
        <v>#N/A</v>
      </c>
      <c r="MS9" s="15">
        <f>IF(ISNA(VLOOKUP($A9,'Données projet'!$A$460:$I$480,3,0)),0,VLOOKUP($A9,'Données projet'!$A$460:$I$480,3,0))</f>
        <v>0</v>
      </c>
      <c r="MT9" s="15">
        <f>IF(ISNA(VLOOKUP($A9,'Données projet'!$A$460:$I$480,4,0)),0,VLOOKUP($A9,'Données projet'!$A$460:$I$480,4,0))</f>
        <v>0</v>
      </c>
      <c r="MU9" s="16">
        <f>IF(ISNA(VLOOKUP($A9,'Données projet'!$A$460:$I$480,5,0)),0%,VLOOKUP($A9,'Données projet'!$A$460:$I$480,5,0)*VLOOKUP('Données projet'!$B$25,Paramètres!$A$1:$I$89,7,0))</f>
        <v>0</v>
      </c>
      <c r="MV9" s="16">
        <f>IF(ISNA(VLOOKUP($A9,'Données projet'!$A$460:$I$480,6,0)),0%,VLOOKUP($A9,'Données projet'!$A$460:$I$480,6,0)*VLOOKUP('Données projet'!$B$25,Paramètres!$A$1:$I$89,7,0))</f>
        <v>0</v>
      </c>
      <c r="MW9" s="16">
        <f>IF(ISNA(VLOOKUP($A9,'Données projet'!$A$460:$I$480,7,0)),0%,VLOOKUP($A9,'Données projet'!$A$460:$I$480,7,0))</f>
        <v>0</v>
      </c>
      <c r="MX9" s="21" t="e">
        <f>EXP(-LN(2)/35)*MX8+(1-EXP(-LN(2)/35))/(LN(2)/35)*MT9*MU9*VLOOKUP('Données projet'!$B$25,Paramètres!$A$1:$I$89,3,0)*0.475*44/12</f>
        <v>#N/A</v>
      </c>
      <c r="MY9" s="21" t="e">
        <f>EXP(-LN(2)/25)*MY8+(1-EXP(-LN(2)/25))/(LN(2)/25)*Calculateur!MT9*Calculateur!MV9*VLOOKUP('Données projet'!$B$25,Paramètres!$A$1:$I$89,3,0)*0.475*44/12</f>
        <v>#N/A</v>
      </c>
      <c r="MZ9" s="21" t="e">
        <f>EXP(-LN(2)/2)*MZ8+(1-EXP(-LN(2)/2))/(LN(2)/2)*MT9*MW9*VLOOKUP('Données projet'!$B$25,Paramètres!$A$1:$I$89,3,0)*0.475*44/12</f>
        <v>#N/A</v>
      </c>
      <c r="NA9" s="22" t="e">
        <f t="shared" si="108"/>
        <v>#N/A</v>
      </c>
      <c r="NB9" s="74">
        <f>('Scénario référence'!$F$8+'Scénario référence'!$F$9+'Scénario référence'!$B$17+'Scénario référence'!$B$9+'Scénario référence'!$B$10)*70+IF((45+25*(1-EXP(-0.0175*$A9)))&lt;70,'Scénario référence'!$B$16*(45+25*(1-EXP(-0.0175*$A9))),70*'Scénario référence'!$B$16)+IF((32+38*(1-EXP(-0.0175*$A9)))&lt;70,'Scénario référence'!$B$18*(32+38*(1-EXP(-0.0175*$A9))),70*'Scénario référence'!$B$18)</f>
        <v>70</v>
      </c>
      <c r="NC9" s="12">
        <f>IF($A9&gt;30,10,('Scénario référence'!$B$16+'Scénario référence'!$B$17+'Scénario référence'!$B$18+'Scénario référence'!$B$9+'Scénario référence'!$B$10)*$A9*10/30+('Scénario référence'!$F$8+'Scénario référence'!$F$9)*10)</f>
        <v>10</v>
      </c>
      <c r="ND9" s="12" t="e">
        <f>VLOOKUP($A9,'Données projet'!$A$486:$I$506,2,0)</f>
        <v>#N/A</v>
      </c>
      <c r="NE9" s="12" t="e">
        <f>VLOOKUP($A9,'Données projet'!$A$486:$I$506,9,0)</f>
        <v>#N/A</v>
      </c>
      <c r="NF9" s="12">
        <f t="array" ref="NF9">INDEX(NE:NE,MIN(IF(ISNUMBER(NE9:NE205),ROW(NE9:NE205),"")))</f>
        <v>0</v>
      </c>
      <c r="NG9" s="12">
        <f>IF('Données projet'!$A$486&gt;35,NG8+NF9-NO8,IF($A9&lt;'Données projet'!$A$486,$CQ$205^$A9,IF($A9='Données projet'!$A$486,'Données projet'!$B$486,NG8+NF9-NO8)))</f>
        <v>0</v>
      </c>
      <c r="NH9" s="17" t="e">
        <f>NG9*VLOOKUP('Données projet'!$B$26,Paramètres!$A$1:$I$89,3,0)*VLOOKUP('Données projet'!$B$26,Paramètres!$A$1:$I$89,5,0)</f>
        <v>#N/A</v>
      </c>
      <c r="NI9" s="13" t="e">
        <f t="shared" si="109"/>
        <v>#N/A</v>
      </c>
      <c r="NJ9" s="14" t="e">
        <f t="shared" si="52"/>
        <v>#N/A</v>
      </c>
      <c r="NK9" s="59" t="e">
        <f t="shared" si="53"/>
        <v>#N/A</v>
      </c>
      <c r="NL9" s="20" t="e">
        <f ca="1">AVERAGE(OFFSET($NK$3,0,0,'Données projet'!$E$26+1,1))-AVERAGE(OFFSET($H$3,0,0,'Données projet'!$E$26+1,1))</f>
        <v>#N/A</v>
      </c>
      <c r="NM9" s="59" t="e">
        <f t="shared" si="110"/>
        <v>#N/A</v>
      </c>
      <c r="NN9" s="15">
        <f>IF(ISNA(VLOOKUP($A9,'Données projet'!$A$486:$I$506,3,0)),0,VLOOKUP($A9,'Données projet'!$A$486:$I$506,3,0))</f>
        <v>0</v>
      </c>
      <c r="NO9" s="15">
        <f>IF(ISNA(VLOOKUP($A9,'Données projet'!$A$486:$I$506,4,0)),0,VLOOKUP($A9,'Données projet'!$A$486:$I$506,4,0))</f>
        <v>0</v>
      </c>
      <c r="NP9" s="16">
        <f>IF(ISNA(VLOOKUP($A9,'Données projet'!$A$486:$I$506,5,0)),0%,VLOOKUP($A9,'Données projet'!$A$486:$I$506,5,0)*VLOOKUP('Données projet'!$B$26,Paramètres!$A$1:$I$89,7,0))</f>
        <v>0</v>
      </c>
      <c r="NQ9" s="16">
        <f>IF(ISNA(VLOOKUP($A9,'Données projet'!$A$486:$I$506,6,0)),0%,VLOOKUP($A9,'Données projet'!$A$486:$I$506,6,0)*VLOOKUP('Données projet'!$B$26,Paramètres!$A$1:$I$89,7,0))</f>
        <v>0</v>
      </c>
      <c r="NR9" s="16">
        <f>IF(ISNA(VLOOKUP($A9,'Données projet'!$A$486:$I$506,7,0)),0%,VLOOKUP($A9,'Données projet'!$A$486:$I$506,7,0))</f>
        <v>0</v>
      </c>
      <c r="NS9" s="21" t="e">
        <f>EXP(-LN(2)/35)*NS8+(1-EXP(-LN(2)/35))/(LN(2)/35)*NO9*NP9*VLOOKUP('Données projet'!$B$26,Paramètres!$A$1:$I$89,3,0)*0.475*44/12</f>
        <v>#N/A</v>
      </c>
      <c r="NT9" s="21" t="e">
        <f>EXP(-LN(2)/25)*NT8+(1-EXP(-LN(2)/25))/(LN(2)/25)*Calculateur!NO9*Calculateur!NQ9*VLOOKUP('Données projet'!$B$26,Paramètres!$A$1:$I$89,3,0)*0.475*44/12</f>
        <v>#N/A</v>
      </c>
      <c r="NU9" s="21" t="e">
        <f>EXP(-LN(2)/2)*NU8+(1-EXP(-LN(2)/2))/(LN(2)/2)*NO9*NR9*VLOOKUP('Données projet'!$B$26,Paramètres!$A$1:$I$89,3,0)*0.475*44/12</f>
        <v>#N/A</v>
      </c>
      <c r="NV9" s="22" t="e">
        <f t="shared" si="111"/>
        <v>#N/A</v>
      </c>
      <c r="NW9" s="74">
        <f>('Scénario référence'!$F$8+'Scénario référence'!$F$9+'Scénario référence'!$B$17+'Scénario référence'!$B$9+'Scénario référence'!$B$10)*70+IF((45+25*(1-EXP(-0.0175*$A9)))&lt;70,'Scénario référence'!$B$16*(45+25*(1-EXP(-0.0175*$A9))),70*'Scénario référence'!$B$16)+IF((32+38*(1-EXP(-0.0175*$A9)))&lt;70,'Scénario référence'!$B$18*(32+38*(1-EXP(-0.0175*$A9))),70*'Scénario référence'!$B$18)</f>
        <v>70</v>
      </c>
      <c r="NX9" s="12">
        <f>IF($A9&gt;30,10,('Scénario référence'!$B$16+'Scénario référence'!$B$17+'Scénario référence'!$B$18+'Scénario référence'!$B$9+'Scénario référence'!$B$10)*$A9*10/30+('Scénario référence'!$F$8+'Scénario référence'!$F$9)*10)</f>
        <v>10</v>
      </c>
      <c r="NY9" s="12" t="e">
        <f>VLOOKUP($A9,'Données projet'!$A$512:$I$532,2,0)</f>
        <v>#N/A</v>
      </c>
      <c r="NZ9" s="12" t="e">
        <f>VLOOKUP($A9,'Données projet'!$A$512:$I$532,9,0)</f>
        <v>#N/A</v>
      </c>
      <c r="OA9" s="12">
        <f t="array" ref="OA9">INDEX(NZ:NZ,MIN(IF(ISNUMBER(NZ9:NZ205),ROW(NZ9:NZ205),"")))</f>
        <v>0</v>
      </c>
      <c r="OB9" s="12">
        <f>IF('Données projet'!$A$512&gt;35,OB8+OA9-OJ8,IF($A9&lt;'Données projet'!$A$512,$CQ$205^$A9,IF($A9='Données projet'!$A$512,'Données projet'!$B$512,OB8+OA9-OJ8)))</f>
        <v>0</v>
      </c>
      <c r="OC9" s="17" t="e">
        <f>OB9*VLOOKUP('Données projet'!$B$27,Paramètres!$A$1:$I$89,3,0)*VLOOKUP('Données projet'!$B$27,Paramètres!$A$1:$I$89,5,0)</f>
        <v>#N/A</v>
      </c>
      <c r="OD9" s="13" t="e">
        <f t="shared" si="112"/>
        <v>#N/A</v>
      </c>
      <c r="OE9" s="14" t="e">
        <f t="shared" si="55"/>
        <v>#N/A</v>
      </c>
      <c r="OF9" s="59" t="e">
        <f t="shared" si="56"/>
        <v>#N/A</v>
      </c>
      <c r="OG9" s="20" t="e">
        <f ca="1">AVERAGE(OFFSET($OF$3,0,0,'Données projet'!$E$27+1,1))-AVERAGE(OFFSET($H$3,0,0,'Données projet'!$E$27+1,1))</f>
        <v>#N/A</v>
      </c>
      <c r="OH9" s="59" t="e">
        <f t="shared" si="113"/>
        <v>#N/A</v>
      </c>
      <c r="OI9" s="15">
        <f>IF(ISNA(VLOOKUP($A9,'Données projet'!$A$512:$I$532,3,0)),0,VLOOKUP($A9,'Données projet'!$A$512:$I$532,3,0))</f>
        <v>0</v>
      </c>
      <c r="OJ9" s="15">
        <f>IF(ISNA(VLOOKUP($A9,'Données projet'!$A$512:$I$532,4,0)),0,VLOOKUP($A9,'Données projet'!$A$512:$I$532,4,0))</f>
        <v>0</v>
      </c>
      <c r="OK9" s="16">
        <f>IF(ISNA(VLOOKUP($A9,'Données projet'!$A$512:$I$532,5,0)),0%,VLOOKUP($A9,'Données projet'!$A$512:$I$532,5,0)*VLOOKUP('Données projet'!$B$27,Paramètres!$A$1:$I$89,7,0))</f>
        <v>0</v>
      </c>
      <c r="OL9" s="16">
        <f>IF(ISNA(VLOOKUP($A9,'Données projet'!$A$512:$I$532,6,0)),0%,VLOOKUP($A9,'Données projet'!$A$512:$I$532,6,0)*VLOOKUP('Données projet'!$B$27,Paramètres!$A$1:$I$89,7,0))</f>
        <v>0</v>
      </c>
      <c r="OM9" s="16">
        <f>IF(ISNA(VLOOKUP($A9,'Données projet'!$A$512:$I$532,7,0)),0%,VLOOKUP($A9,'Données projet'!$A$512:$I$532,7,0))</f>
        <v>0</v>
      </c>
      <c r="ON9" s="21" t="e">
        <f>EXP(-LN(2)/35)*ON8+(1-EXP(-LN(2)/35))/(LN(2)/35)*OJ9*OK9*VLOOKUP('Données projet'!$B$27,Paramètres!$A$1:$I$89,3,0)*0.475*44/12</f>
        <v>#N/A</v>
      </c>
      <c r="OO9" s="21" t="e">
        <f>EXP(-LN(2)/25)*OO8+(1-EXP(-LN(2)/25))/(LN(2)/25)*Calculateur!OJ9*Calculateur!OL9*VLOOKUP('Données projet'!$B$27,Paramètres!$A$1:$I$89,3,0)*0.475*44/12</f>
        <v>#N/A</v>
      </c>
      <c r="OP9" s="21" t="e">
        <f>EXP(-LN(2)/2)*OP8+(1-EXP(-LN(2)/2))/(LN(2)/2)*OJ9*OM9*VLOOKUP('Données projet'!$B$27,Paramètres!$A$1:$I$89,3,0)*0.475*44/12</f>
        <v>#N/A</v>
      </c>
      <c r="OQ9" s="22" t="e">
        <f t="shared" si="114"/>
        <v>#N/A</v>
      </c>
      <c r="OR9" s="74">
        <f>('Scénario référence'!$F$8+'Scénario référence'!$F$9+'Scénario référence'!$B$17+'Scénario référence'!$B$9+'Scénario référence'!$B$10)*70+IF((45+25*(1-EXP(-0.0175*$A9)))&lt;70,'Scénario référence'!$B$16*(45+25*(1-EXP(-0.0175*$A9))),70*'Scénario référence'!$B$16)+IF((32+38*(1-EXP(-0.0175*$A9)))&lt;70,'Scénario référence'!$B$18*(32+38*(1-EXP(-0.0175*$A9))),70*'Scénario référence'!$B$18)</f>
        <v>70</v>
      </c>
      <c r="OS9" s="12">
        <f>IF($A9&gt;30,10,('Scénario référence'!$B$16+'Scénario référence'!$B$17+'Scénario référence'!$B$18+'Scénario référence'!$B$9+'Scénario référence'!$B$10)*$A9*10/30+('Scénario référence'!$F$8+'Scénario référence'!$F$9)*10)</f>
        <v>10</v>
      </c>
      <c r="OT9" s="12" t="e">
        <f>VLOOKUP($A9,'Données projet'!$A$538:$I$558,2,0)</f>
        <v>#N/A</v>
      </c>
      <c r="OU9" s="12" t="e">
        <f>VLOOKUP($A9,'Données projet'!$A$538:$I$558,9,0)</f>
        <v>#N/A</v>
      </c>
      <c r="OV9" s="12">
        <f t="array" ref="OV9">INDEX(OU:OU,MIN(IF(ISNUMBER(OU9:OU205),ROW(OU9:OU205),"")))</f>
        <v>0</v>
      </c>
      <c r="OW9" s="12">
        <f>IF('Données projet'!$A$538&gt;35,OW8+OV9-PE8,IF($A9&lt;'Données projet'!$A$538,$CQ$205^$A9,IF($A9='Données projet'!$A$538,'Données projet'!$B$538,OW8+OV9-PE8)))</f>
        <v>0</v>
      </c>
      <c r="OX9" s="17" t="e">
        <f>OW9*VLOOKUP('Données projet'!$B$28,Paramètres!$A$1:$I$89,3,0)*VLOOKUP('Données projet'!$B$28,Paramètres!$A$1:$I$89,5,0)</f>
        <v>#N/A</v>
      </c>
      <c r="OY9" s="13" t="e">
        <f t="shared" si="115"/>
        <v>#N/A</v>
      </c>
      <c r="OZ9" s="14" t="e">
        <f t="shared" si="58"/>
        <v>#N/A</v>
      </c>
      <c r="PA9" s="59" t="e">
        <f t="shared" si="59"/>
        <v>#N/A</v>
      </c>
      <c r="PB9" s="20" t="e">
        <f ca="1">AVERAGE(OFFSET($PA$3,0,0,'Données projet'!$E$28+1,1))-AVERAGE(OFFSET($H$3,0,0,'Données projet'!$E$28+1,1))</f>
        <v>#N/A</v>
      </c>
      <c r="PC9" s="59" t="e">
        <f t="shared" si="116"/>
        <v>#N/A</v>
      </c>
      <c r="PD9" s="15">
        <f>IF(ISNA(VLOOKUP($A9,'Données projet'!$A$538:$I$558,3,0)),0,VLOOKUP($A9,'Données projet'!$A$538:$I$558,3,0))</f>
        <v>0</v>
      </c>
      <c r="PE9" s="15">
        <f>IF(ISNA(VLOOKUP($A9,'Données projet'!$A$538:$I$558,4,0)),0,VLOOKUP($A9,'Données projet'!$A$538:$I$558,4,0))</f>
        <v>0</v>
      </c>
      <c r="PF9" s="16">
        <f>IF(ISNA(VLOOKUP($A9,'Données projet'!$A$538:$I$558,5,0)),0%,VLOOKUP($A9,'Données projet'!$A$538:$I$558,5,0)*VLOOKUP('Données projet'!$B$28,Paramètres!$A$1:$I$89,7,0))</f>
        <v>0</v>
      </c>
      <c r="PG9" s="16">
        <f>IF(ISNA(VLOOKUP($A9,'Données projet'!$A$538:$I$558,6,0)),0%,VLOOKUP($A9,'Données projet'!$A$538:$I$558,6,0)*VLOOKUP('Données projet'!$B$28,Paramètres!$A$1:$I$89,7,0))</f>
        <v>0</v>
      </c>
      <c r="PH9" s="16">
        <f>IF(ISNA(VLOOKUP($A9,'Données projet'!$A$538:$I$558,7,0)),0%,VLOOKUP($A9,'Données projet'!$A$538:$I$558,7,0))</f>
        <v>0</v>
      </c>
      <c r="PI9" s="21" t="e">
        <f>EXP(-LN(2)/35)*PI8+(1-EXP(-LN(2)/35))/(LN(2)/35)*PE9*PF9*VLOOKUP('Données projet'!$B$28,Paramètres!$A$1:$I$89,3,0)*0.475*44/12</f>
        <v>#N/A</v>
      </c>
      <c r="PJ9" s="21" t="e">
        <f>EXP(-LN(2)/25)*PJ8+(1-EXP(-LN(2)/25))/(LN(2)/25)*Calculateur!PE9*Calculateur!PG9*VLOOKUP('Données projet'!$B$28,Paramètres!$A$1:$I$89,3,0)*0.475*44/12</f>
        <v>#N/A</v>
      </c>
      <c r="PK9" s="21" t="e">
        <f>EXP(-LN(2)/2)*PK8+(1-EXP(-LN(2)/2))/(LN(2)/2)*PE9*PH9*VLOOKUP('Données projet'!$B$28,Paramètres!$A$1:$I$89,3,0)*0.475*44/12</f>
        <v>#N/A</v>
      </c>
      <c r="PL9" s="22" t="e">
        <f t="shared" si="117"/>
        <v>#N/A</v>
      </c>
    </row>
    <row r="10" spans="1:428" x14ac:dyDescent="0.35">
      <c r="A10" s="10">
        <f t="shared" si="6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6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projet'!$A$45:$I$65,2,0)</f>
        <v>#N/A</v>
      </c>
      <c r="L10" s="12" t="e">
        <f>VLOOKUP(A10,'Données projet'!$A$45:$I$65,9,0)</f>
        <v>#N/A</v>
      </c>
      <c r="M10" s="12">
        <f t="array" ref="M10">INDEX(L:L,MIN(IF(ISNUMBER(L10:L206),ROW(L10:L206),"")))</f>
        <v>10.16068376068376</v>
      </c>
      <c r="N10" s="13">
        <f>IF('Données projet'!$A$46&gt;35,N9+M10-V9,IF(A10&lt;'Données projet'!$A$46,$K$205^A10,IF(A10='Données projet'!$A$46,'Données projet'!$B$46,N9+M10-V9)))</f>
        <v>7.5812823436396872</v>
      </c>
      <c r="O10" s="13">
        <f>N10*VLOOKUP('Données projet'!$B$9,Paramètres!$A$1:$I$89,3,0)*VLOOKUP('Données projet'!$B$9,Paramètres!$A$1:$I$89,5,0)</f>
        <v>4.2379368300945854</v>
      </c>
      <c r="P10" s="13">
        <f t="shared" si="63"/>
        <v>1.6508429615446465</v>
      </c>
      <c r="Q10" s="20">
        <f t="shared" si="2"/>
        <v>10.256291470438329</v>
      </c>
      <c r="R10" s="59">
        <f t="shared" si="0"/>
        <v>303.58962480377164</v>
      </c>
      <c r="S10" s="59">
        <f ca="1">AVERAGE(OFFSET($R$3,0,0,'Données projet'!$E$9+1,1))-AVERAGE(OFFSET($H$3,0,0,'Données projet'!$E$9+1,1))</f>
        <v>274.57619581652199</v>
      </c>
      <c r="T10" s="59">
        <f t="shared" si="64"/>
        <v>366.15117322598775</v>
      </c>
      <c r="U10" s="15">
        <f>IF(ISNA(VLOOKUP(A10,'Données projet'!$A$45:$I$65,3,0)),0,VLOOKUP(A10,'Données projet'!$A$45:$I$65,3,0))</f>
        <v>0</v>
      </c>
      <c r="V10" s="15">
        <f>IF(ISNA(VLOOKUP(A10,'Données projet'!$A$45:$I$65,4,0)),0,VLOOKUP(A10,'Données projet'!$A$45:$I$65,4,0))</f>
        <v>0</v>
      </c>
      <c r="W10" s="16">
        <f>IF(ISNA(VLOOKUP(A10,'Données projet'!$A$45:$I$65,5,0)),0%,VLOOKUP(A10,'Données projet'!$A$45:$I$65,5,0)*VLOOKUP('Données projet'!$B$9,Paramètres!$A$1:$I$89,7,0))</f>
        <v>0</v>
      </c>
      <c r="X10" s="16">
        <f>IF(ISNA(VLOOKUP(A10,'Données projet'!$A$45:$I$65,6,0)),0%,VLOOKUP(A10,'Données projet'!$A$45:$I$65,6,0)*VLOOKUP('Données projet'!$B$9,Paramètres!$A$1:$I$89,7,0))</f>
        <v>0</v>
      </c>
      <c r="Y10" s="16">
        <f>IF(ISNA(VLOOKUP(A10,'Données projet'!$A$45:$I$65,7,0)),0%,VLOOKUP(A10,'Données projet'!$A$45:$I$65,7,0))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projet'!$A$71:$I$91,2,0)</f>
        <v>#N/A</v>
      </c>
      <c r="AG10" s="12" t="e">
        <f>VLOOKUP(A10,'Données projet'!$A$71:$I$91,9,0)</f>
        <v>#N/A</v>
      </c>
      <c r="AH10" s="12">
        <f t="array" ref="AH10">INDEX(AG:AG,MIN(IF(ISNUMBER(AG10:AG206),ROW(AG10:AG206),"")))</f>
        <v>4.0628205128205126</v>
      </c>
      <c r="AI10" s="13">
        <f>IF('Données projet'!$A$72&gt;35,AI9+AH10-AQ9,IF(A10&lt;'Données projet'!$A$72,$AF$205^A10,IF(A10='Données projet'!$A$72,'Données projet'!$B$72,AI9+AH10-AQ9)))</f>
        <v>3.067053897654088</v>
      </c>
      <c r="AJ10" s="13">
        <f>AI10*VLOOKUP('Données projet'!$B$10,Paramètres!$A$1:$I$89,3,0)*VLOOKUP('Données projet'!$B$10,Paramètres!$A$1:$I$89,5,0)</f>
        <v>2.775070366597419</v>
      </c>
      <c r="AK10" s="13">
        <f t="shared" si="65"/>
        <v>1.1356093801659046</v>
      </c>
      <c r="AL10" s="20">
        <f t="shared" si="4"/>
        <v>6.811100558946122</v>
      </c>
      <c r="AM10" s="59">
        <f t="shared" si="5"/>
        <v>300.14443389227944</v>
      </c>
      <c r="AN10" s="59">
        <f ca="1">AVERAGE(OFFSET($AM$3,0,0,'Données projet'!$E$10+1,1))-AVERAGE(OFFSET($H$3,0,0,'Données projet'!$E$10+1,1))</f>
        <v>270.87836509222456</v>
      </c>
      <c r="AO10" s="59">
        <f t="shared" si="66"/>
        <v>205.24998237949734</v>
      </c>
      <c r="AP10" s="15">
        <f>IF(ISNA(VLOOKUP(A10,'Données projet'!$A$71:$I$91,3,0)),0,VLOOKUP(A10,'Données projet'!$A$71:$I$91,3,0))</f>
        <v>0</v>
      </c>
      <c r="AQ10" s="15">
        <f>IF(ISNA(VLOOKUP(A10,'Données projet'!$A$71:$I$91,4,0)),0,VLOOKUP(A10,'Données projet'!$A$71:$I$91,4,0))</f>
        <v>0</v>
      </c>
      <c r="AR10" s="16">
        <f>IF(ISNA(VLOOKUP(A10,'Données projet'!$A$71:$I$91,5,0)),0%,VLOOKUP(A10,'Données projet'!$A$71:$I$91,5,0)*VLOOKUP('Données projet'!$B$10,Paramètres!$A$1:$I$89,7,0))</f>
        <v>0</v>
      </c>
      <c r="AS10" s="16">
        <f>IF(ISNA(VLOOKUP(A10,'Données projet'!$A$71:$I$91,6,0)),0%,VLOOKUP(A10,'Données projet'!$A$71:$I$91,6,0)*VLOOKUP('Données projet'!$B$10,Paramètres!$A$1:$I$89,7,0))</f>
        <v>0</v>
      </c>
      <c r="AT10" s="16">
        <f>IF(ISNA(VLOOKUP(A10,'Données projet'!$A$71:$I$91,7,0)),0%,VLOOKUP(A10,'Données projet'!$A$71:$I$91,7,0))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projet'!$A$97:$I$117,2,0)</f>
        <v>#N/A</v>
      </c>
      <c r="BB10" s="12" t="e">
        <f>VLOOKUP(A10,'Données projet'!$A$97:$I$117,9,0)</f>
        <v>#N/A</v>
      </c>
      <c r="BC10" s="12">
        <f t="array" ref="BC10">INDEX(BB:BB,MIN(IF(ISNUMBER(BB10:BB206),ROW(BB10:BB206),"")))</f>
        <v>10.16068376068376</v>
      </c>
      <c r="BD10" s="12">
        <f>IF('Données projet'!$A$98&gt;35,BD9+BC10-BL9,IF(A10&lt;'Données projet'!$A$98,$BA$205^A10,IF(A10='Données projet'!$A$98,'Données projet'!$B$98,BD9+BC10-BL9)))</f>
        <v>7.5812823436396872</v>
      </c>
      <c r="BE10" s="13">
        <f>BD10*VLOOKUP('Données projet'!$B$11,Paramètres!$A$1:$I$89,3,0)*VLOOKUP('Données projet'!$B$11,Paramètres!$A$1:$I$89,5,0)</f>
        <v>3.3509267958887419</v>
      </c>
      <c r="BF10" s="13">
        <f t="shared" si="67"/>
        <v>1.3414911322848657</v>
      </c>
      <c r="BG10" s="20">
        <f t="shared" si="7"/>
        <v>8.172627891569034</v>
      </c>
      <c r="BH10" s="59">
        <f t="shared" si="8"/>
        <v>301.50596122490236</v>
      </c>
      <c r="BI10" s="59">
        <f ca="1">AVERAGE(OFFSET($BH$3,0,0,'Données projet'!$E$11+1,1))-AVERAGE(OFFSET($H$3,0,0,'Données projet'!$E$11+1,1))</f>
        <v>211.31057120485542</v>
      </c>
      <c r="BJ10" s="59">
        <f t="shared" si="68"/>
        <v>283.33292006714777</v>
      </c>
      <c r="BK10" s="15">
        <f>IF(ISNA(VLOOKUP(A10,'Données projet'!$A$97:$I$117,3,0)),0,VLOOKUP(A10,'Données projet'!$A$97:$I$117,3,0))</f>
        <v>0</v>
      </c>
      <c r="BL10" s="15">
        <f>IF(ISNA(VLOOKUP(A10,'Données projet'!$A$97:$I$117,4,0)),0,VLOOKUP(A10,'Données projet'!$A$97:$I$117,4,0))</f>
        <v>0</v>
      </c>
      <c r="BM10" s="16">
        <f>IF(ISNA(VLOOKUP(A10,'Données projet'!$A$97:$I$117,5,0)),0%,VLOOKUP(A10,'Données projet'!$A$97:$I$117,5,0)*VLOOKUP('Données projet'!$B$11,Paramètres!$A$1:$I$89,7,0))</f>
        <v>0</v>
      </c>
      <c r="BN10" s="16">
        <f>IF(ISNA(VLOOKUP(A10,'Données projet'!$A$97:$I$117,6,0)),0%,VLOOKUP(A10,'Données projet'!$A$97:$I$117,6,0)*VLOOKUP('Données projet'!$B$11,Paramètres!$A$1:$I$89,7,0))</f>
        <v>0</v>
      </c>
      <c r="BO10" s="16">
        <f>IF(ISNA(VLOOKUP(A10,'Données projet'!$A$97:$I$117,7,0)),0%,VLOOKUP(A10,'Données projet'!$A$97:$I$117,7,0))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projet'!$A$123:$I$143,2,0)</f>
        <v>#N/A</v>
      </c>
      <c r="BW10" s="12" t="e">
        <f>VLOOKUP(A10,'Données projet'!$A$123:$I$143,9,0)</f>
        <v>#N/A</v>
      </c>
      <c r="BX10" s="12">
        <f t="array" ref="BX10">INDEX(BW:BW,MIN(IF(ISNUMBER(BW10:BW206),ROW(BW10:BW206),"")))</f>
        <v>2.9</v>
      </c>
      <c r="BY10" s="12">
        <f>IF('Données projet'!$A$124&gt;35,BY9+BX10-CG9,IF(A10&lt;'Données projet'!$A$124,$BV$205^A10,IF(A10='Données projet'!$A$124,'Données projet'!$B$124,BY9+BX10-CG9)))</f>
        <v>10.560356962676241</v>
      </c>
      <c r="BZ10" s="13">
        <f>BY10*VLOOKUP('Données projet'!$B$12,Paramètres!$A$1:$I$89,3,0)*VLOOKUP('Données projet'!$B$12,Paramètres!$A$1:$I$89,5,0)</f>
        <v>11.037685097389209</v>
      </c>
      <c r="CA10" s="13">
        <f t="shared" si="69"/>
        <v>3.8462637808711757</v>
      </c>
      <c r="CB10" s="20">
        <f t="shared" si="10"/>
        <v>25.92287762963684</v>
      </c>
      <c r="CC10" s="59">
        <f t="shared" si="11"/>
        <v>319.25621096297016</v>
      </c>
      <c r="CD10" s="59">
        <f ca="1">AVERAGE(OFFSET($CC$3,0,0,'Données projet'!$E$12+1,1))-AVERAGE(OFFSET($H$3,0,0,'Données projet'!$E$12+1,1))</f>
        <v>322.93502595881938</v>
      </c>
      <c r="CE10" s="59">
        <f t="shared" si="70"/>
        <v>302.67072119588164</v>
      </c>
      <c r="CF10" s="15">
        <f>IF(ISNA(VLOOKUP(A10,'Données projet'!$A$123:$I$143,3,0)),0,VLOOKUP(A10,'Données projet'!$A$123:$I$143,3,0))</f>
        <v>0</v>
      </c>
      <c r="CG10" s="15">
        <f>IF(ISNA(VLOOKUP(A10,'Données projet'!$A$123:$I$143,4,0)),0,VLOOKUP(A10,'Données projet'!$A$123:$I$143,4,0))</f>
        <v>0</v>
      </c>
      <c r="CH10" s="16">
        <f>IF(ISNA(VLOOKUP(A10,'Données projet'!$A$123:$I$143,5,0)),0%,VLOOKUP(A10,'Données projet'!$A$123:$I$143,5,0)*VLOOKUP('Données projet'!$B$12,Paramètres!$A$1:$I$89,7,0))</f>
        <v>0</v>
      </c>
      <c r="CI10" s="16">
        <f>IF(ISNA(VLOOKUP(A10,'Données projet'!$A$123:$I$143,6,0)),0%,VLOOKUP(A10,'Données projet'!$A$123:$I$143,6,0)*VLOOKUP('Données projet'!$B$12,Paramètres!$A$1:$I$89,7,0))</f>
        <v>0</v>
      </c>
      <c r="CJ10" s="16">
        <f>IF(ISNA(VLOOKUP(A10,'Données projet'!$A$123:$I$143,7,0)),0%,VLOOKUP(A10,'Données projet'!$A$123:$I$143,7,0))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projet'!$A$149:$I$169,2,0)</f>
        <v>#N/A</v>
      </c>
      <c r="CR10" s="12" t="e">
        <f>VLOOKUP(A10,'Données projet'!$A$149:$I$169,9,0)</f>
        <v>#N/A</v>
      </c>
      <c r="CS10" s="12">
        <f t="array" ref="CS10">INDEX(CR:CR,MIN(IF(ISNUMBER(CR10:CR206),ROW(CR10:CR206),"")))</f>
        <v>2.9235042735042733</v>
      </c>
      <c r="CT10" s="12">
        <f>IF('Données projet'!$A$150&gt;35,CT9+CS10-DB9,IF(A10&lt;'Données projet'!$A$150,$CQ$205^A10,IF(A10='Données projet'!$A$150,'Données projet'!$B$150,CT9+CS10-DB9)))</f>
        <v>2.8403541738035183</v>
      </c>
      <c r="CU10" s="17">
        <f>CT10*VLOOKUP('Données projet'!$B$13,Paramètres!$A$1:$I$89,3,0)*VLOOKUP('Données projet'!$B$13,Paramètres!$A$1:$I$89,5,0)</f>
        <v>2.8801191322367679</v>
      </c>
      <c r="CV10" s="13">
        <f t="shared" si="71"/>
        <v>1.1735109338746152</v>
      </c>
      <c r="CW10" s="20">
        <f t="shared" si="13"/>
        <v>7.0600723651439914</v>
      </c>
      <c r="CX10" s="59">
        <f t="shared" si="14"/>
        <v>300.3934056984773</v>
      </c>
      <c r="CY10" s="59">
        <f ca="1">AVERAGE(OFFSET($CX$3,0,0,'Données projet'!$E$13+1,1))-AVERAGE(OFFSET($H$3,0,0,'Données projet'!$E$13+1,1))</f>
        <v>250.31277422753283</v>
      </c>
      <c r="CZ10" s="59">
        <f t="shared" si="72"/>
        <v>159.20429420478047</v>
      </c>
      <c r="DA10" s="15">
        <f>IF(ISNA(VLOOKUP(A10,'Données projet'!$A$149:$I$169,3,0)),0,VLOOKUP(A10,'Données projet'!$A$149:$I$169,3,0))</f>
        <v>0</v>
      </c>
      <c r="DB10" s="15">
        <f>IF(ISNA(VLOOKUP(A10,'Données projet'!$A$149:$I$169,4,0)),0,VLOOKUP(A10,'Données projet'!$A$149:$I$169,4,0))</f>
        <v>0</v>
      </c>
      <c r="DC10" s="16">
        <f>IF(ISNA(VLOOKUP(A10,'Données projet'!$A$149:$I$169,5,0)),0%,VLOOKUP(A10,'Données projet'!$A$149:$I$169,5,0)*VLOOKUP('Données projet'!$B$13,Paramètres!$A$1:$I$89,7,0))</f>
        <v>0</v>
      </c>
      <c r="DD10" s="16">
        <f>IF(ISNA(VLOOKUP(A10,'Données projet'!$A$149:$I$169,6,0)),0%,VLOOKUP(A10,'Données projet'!$A$149:$I$169,6,0)*VLOOKUP('Données projet'!$B$13,Paramètres!$A$1:$I$89,7,0))</f>
        <v>0</v>
      </c>
      <c r="DE10" s="16">
        <f>IF(ISNA(VLOOKUP(A10,'Données projet'!$A$149:$I$169,7,0)),0%,VLOOKUP(A10,'Données projet'!$A$149:$I$169,7,0))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projet'!$A$175:$I$195,2,0)</f>
        <v>#N/A</v>
      </c>
      <c r="DM10" s="12" t="e">
        <f>VLOOKUP(A10,'Données projet'!$A$175:$I$195,9,0)</f>
        <v>#N/A</v>
      </c>
      <c r="DN10" s="12">
        <f t="array" ref="DN10">INDEX(DM:DM,MIN(IF(ISNUMBER(DM10:DM206),ROW(DM10:DM206),"")))</f>
        <v>1.9</v>
      </c>
      <c r="DO10" s="12">
        <f>IF('Données projet'!$A$176&gt;35,DO9+DN10-DW9,IF(A10&lt;'Données projet'!$A$176,$DL$205^A10,IF(A10='Données projet'!$A$176,'Données projet'!$B$176,DO9+DN10-DW9)))</f>
        <v>7.8546623499408135</v>
      </c>
      <c r="DP10" s="17">
        <f>DO10*VLOOKUP('Données projet'!$B$14,Paramètres!$A$1:$I$89,3,0)*VLOOKUP('Données projet'!$B$14,Paramètres!$A$1:$I$89,5,0)</f>
        <v>5.7590384349766044</v>
      </c>
      <c r="DQ10" s="13">
        <f t="shared" si="73"/>
        <v>2.1646979432521807</v>
      </c>
      <c r="DR10" s="20">
        <f t="shared" si="16"/>
        <v>13.800507525415135</v>
      </c>
      <c r="DS10" s="59">
        <f t="shared" si="17"/>
        <v>307.13384085874844</v>
      </c>
      <c r="DT10" s="59">
        <f ca="1">AVERAGE(OFFSET($DS$3,0,0,'Données projet'!$E$14+1,1))-AVERAGE(OFFSET($H$3,0,0,'Données projet'!$E$14+1,1))</f>
        <v>296.91321813251051</v>
      </c>
      <c r="DU10" s="59">
        <f t="shared" si="74"/>
        <v>291.0718079639509</v>
      </c>
      <c r="DV10" s="15">
        <f>IF(ISNA(VLOOKUP(A10,'Données projet'!$A$175:$I$195,3,0)),0,VLOOKUP(A10,'Données projet'!$A$175:$I$195,3,0))</f>
        <v>0</v>
      </c>
      <c r="DW10" s="15">
        <f>IF(ISNA(VLOOKUP(A10,'Données projet'!$A$175:$I$195,4,0)),0,VLOOKUP(A10,'Données projet'!$A$175:$I$195,4,0))</f>
        <v>0</v>
      </c>
      <c r="DX10" s="16">
        <f>IF(ISNA(VLOOKUP(A10,'Données projet'!$A$175:$I$195,5,0)),0%,VLOOKUP(A10,'Données projet'!$A$175:$I$195,5,0)*VLOOKUP('Données projet'!$B$14,Paramètres!$A$1:$I$89,7,0))</f>
        <v>0</v>
      </c>
      <c r="DY10" s="16">
        <f>IF(ISNA(VLOOKUP(A10,'Données projet'!$A$175:$I$195,6,0)),0%,VLOOKUP(A10,'Données projet'!$A$175:$I$195,6,0)*VLOOKUP('Données projet'!$B$14,Paramètres!$A$1:$I$89,7,0))</f>
        <v>0</v>
      </c>
      <c r="DZ10" s="16">
        <f>IF(ISNA(VLOOKUP(A10,'Données projet'!$A$175:$I$195,7,0)),0%,VLOOKUP(A10,'Données projet'!$A$175:$I$195,7,0))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projet'!$A$201:$I$221,2,0)</f>
        <v>#N/A</v>
      </c>
      <c r="EH10" s="12" t="e">
        <f>VLOOKUP(A10,'Données projet'!$A$201:$I$221,9,0)</f>
        <v>#N/A</v>
      </c>
      <c r="EI10" s="12">
        <f t="array" ref="EI10">INDEX(EH:EH,MIN(IF(ISNUMBER(EH10:EH206),ROW(EH10:EH206),"")))</f>
        <v>3.4425641025641025</v>
      </c>
      <c r="EJ10" s="12">
        <f>IF('Données projet'!$A$202&gt;35,EJ9+EI10-ER9,IF(A10&lt;'Données projet'!$A$202,$EG$205^A10,IF(A10='Données projet'!$A$202,'Données projet'!$B$202,EJ9+EI10-ER9)))</f>
        <v>2.9507614507509188</v>
      </c>
      <c r="EK10" s="17">
        <f>EJ10*VLOOKUP('Données projet'!$B$15,Paramètres!$A$1:$I$89,3,0)*VLOOKUP('Données projet'!$B$15,Paramètres!$A$1:$I$89,5,0)</f>
        <v>1.38095635895143</v>
      </c>
      <c r="EL10" s="13">
        <f t="shared" si="75"/>
        <v>0.61293591895758326</v>
      </c>
      <c r="EM10" s="20">
        <f t="shared" si="19"/>
        <v>3.472695717358198</v>
      </c>
      <c r="EN10" s="59">
        <f t="shared" si="20"/>
        <v>296.80602905069151</v>
      </c>
      <c r="EO10" s="59">
        <f ca="1">AVERAGE(OFFSET($EN$3,0,0,'Données projet'!$E$15+1,1))-AVERAGE(OFFSET($H$3,0,0,'Données projet'!$E$15+1,1))</f>
        <v>147.64256291235483</v>
      </c>
      <c r="EP10" s="59">
        <f t="shared" si="76"/>
        <v>70.859031694091868</v>
      </c>
      <c r="EQ10" s="15">
        <f>IF(ISNA(VLOOKUP(A10,'Données projet'!$A$201:$I$221,3,0)),0,VLOOKUP(A10,'Données projet'!$A$201:$I$221,3,0))</f>
        <v>0</v>
      </c>
      <c r="ER10" s="15">
        <f>IF(ISNA(VLOOKUP(A10,'Données projet'!$A$201:$I$221,4,0)),0,VLOOKUP(A10,'Données projet'!$A$201:$I$221,4,0))</f>
        <v>0</v>
      </c>
      <c r="ES10" s="16">
        <f>IF(ISNA(VLOOKUP(A10,'Données projet'!$A$201:$I$221,5,0)),0%,VLOOKUP(A10,'Données projet'!$A$201:$I$221,5,0)*VLOOKUP('Données projet'!$B$15,Paramètres!$A$1:$I$89,7,0))</f>
        <v>0</v>
      </c>
      <c r="ET10" s="16">
        <f>IF(ISNA(VLOOKUP(A10,'Données projet'!$A$201:$I$221,6,0)),0%,VLOOKUP(A10,'Données projet'!$A$201:$I$221,6,0)*VLOOKUP('Données projet'!$B$15,Paramètres!$A$1:$I$89,7,0))</f>
        <v>0</v>
      </c>
      <c r="EU10" s="16">
        <f>IF(ISNA(VLOOKUP(A10,'Données projet'!$A$201:$I$221,7,0)),0%,VLOOKUP(A10,'Données projet'!$A$201:$I$221,7,0))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projet'!$A$227:$I$247,2,0)</f>
        <v>#N/A</v>
      </c>
      <c r="FC10" s="12" t="e">
        <f>VLOOKUP(A10,'Données projet'!$A$227:$I$247,9,0)</f>
        <v>#N/A</v>
      </c>
      <c r="FD10" s="12">
        <f t="array" ref="FD10">INDEX(FC:FC,MIN(IF(ISNUMBER(FC10:FC206),ROW(FC10:FC206),"")))</f>
        <v>1.8</v>
      </c>
      <c r="FE10" s="12">
        <f>IF('Données projet'!$A$228&gt;35,FE9+FD10-FM9,IF(A10&lt;'Données projet'!$A$228,$FB$205^A10,IF(A10='Données projet'!$A$228,'Données projet'!$B$228,FE9+FD10-FM9)))</f>
        <v>7.5629417171254145</v>
      </c>
      <c r="FF10" s="17">
        <f>FE10*VLOOKUP('Données projet'!$B$16,Paramètres!$A$1:$I$89,3,0)*VLOOKUP('Données projet'!$B$16,Paramètres!$A$1:$I$89,5,0)</f>
        <v>7.9047866827394841</v>
      </c>
      <c r="FG10" s="13">
        <f t="shared" si="77"/>
        <v>2.8637018857665457</v>
      </c>
      <c r="FH10" s="20">
        <f t="shared" si="22"/>
        <v>18.755117590148</v>
      </c>
      <c r="FI10" s="59">
        <f t="shared" si="23"/>
        <v>312.08845092348133</v>
      </c>
      <c r="FJ10" s="59">
        <f ca="1">AVERAGE(OFFSET($FI$3,0,0,'Données projet'!$E$16+1,1))-AVERAGE(OFFSET($H$3,0,0,'Données projet'!$E$16+1,1))</f>
        <v>259.03906550253788</v>
      </c>
      <c r="FK10" s="59">
        <f t="shared" si="78"/>
        <v>235.54542903570831</v>
      </c>
      <c r="FL10" s="15">
        <f>IF(ISNA(VLOOKUP(A10,'Données projet'!$A$227:$I$247,3,0)),0,VLOOKUP(A10,'Données projet'!$A$227:$I$247,3,0))</f>
        <v>0</v>
      </c>
      <c r="FM10" s="15">
        <f>IF(ISNA(VLOOKUP(A10,'Données projet'!$A$227:$I$247,4,0)),0,VLOOKUP(A10,'Données projet'!$A$227:$I$247,4,0))</f>
        <v>0</v>
      </c>
      <c r="FN10" s="16">
        <f>IF(ISNA(VLOOKUP(A10,'Données projet'!$A$227:$I$247,5,0)),0%,VLOOKUP(A10,'Données projet'!$A$227:$I$247,5,0)*VLOOKUP('Données projet'!$B$16,Paramètres!$A$1:$I$89,7,0))</f>
        <v>0</v>
      </c>
      <c r="FO10" s="16">
        <f>IF(ISNA(VLOOKUP(A10,'Données projet'!$A$227:$I$247,6,0)),0%,VLOOKUP(A10,'Données projet'!$A$227:$I$247,6,0)*VLOOKUP('Données projet'!$B$16,Paramètres!$A$1:$I$89,7,0))</f>
        <v>0</v>
      </c>
      <c r="FP10" s="16">
        <f>IF(ISNA(VLOOKUP(A10,'Données projet'!$A$227:$I$247,7,0)),0%,VLOOKUP(A10,'Données projet'!$A$227:$I$247,7,0))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projet'!$A$253:$I$273,2,0)</f>
        <v>#N/A</v>
      </c>
      <c r="FX10" s="12" t="e">
        <f>VLOOKUP(A10,'Données projet'!$A$253:$I$273,9,0)</f>
        <v>#N/A</v>
      </c>
      <c r="FY10" s="12">
        <f t="array" ref="FY10">INDEX(FX:FX,MIN(IF(ISNUMBER(FX10:FX206),ROW(FX10:FX206),"")))</f>
        <v>2.4666666666666668</v>
      </c>
      <c r="FZ10" s="12">
        <f>IF('Données projet'!$A$254&gt;35,FZ9+FY10-GH9,IF(A10&lt;'Données projet'!$A$254,$FW$205^A10,IF(A10='Données projet'!$A$254,'Données projet'!$B$254,FZ9+FY10-GH9)))</f>
        <v>5.3929633792034757</v>
      </c>
      <c r="GA10" s="17">
        <f>FZ10*VLOOKUP('Données projet'!$B$17,Paramètres!$A$1:$I$89,3,0)*VLOOKUP('Données projet'!$B$17,Paramètres!$A$1:$I$89,5,0)</f>
        <v>4.711292808072157</v>
      </c>
      <c r="GB10" s="13">
        <f t="shared" si="79"/>
        <v>1.8127530905190552</v>
      </c>
      <c r="GC10" s="20">
        <f t="shared" si="25"/>
        <v>11.362713273379695</v>
      </c>
      <c r="GD10" s="59">
        <f t="shared" si="26"/>
        <v>304.69604660671303</v>
      </c>
      <c r="GE10" s="59">
        <f ca="1">AVERAGE(OFFSET($GD$3,0,0,'Données projet'!$E$17+1,1))-AVERAGE(OFFSET($H$3,0,0,'Données projet'!$E$17+1,1))</f>
        <v>245.1983232777614</v>
      </c>
      <c r="GF10" s="59">
        <f t="shared" si="80"/>
        <v>242.34010522344573</v>
      </c>
      <c r="GG10" s="15">
        <f>IF(ISNA(VLOOKUP(A10,'Données projet'!$A$253:$I$273,3,0)),0,VLOOKUP(A10,'Données projet'!$A$253:$I$273,3,0))</f>
        <v>0</v>
      </c>
      <c r="GH10" s="15">
        <f>IF(ISNA(VLOOKUP(A10,'Données projet'!$A$253:$I$273,4,0)),0,VLOOKUP(A10,'Données projet'!$A$253:$I$273,4,0))</f>
        <v>0</v>
      </c>
      <c r="GI10" s="16">
        <f>IF(ISNA(VLOOKUP(A10,'Données projet'!$A$253:$I$273,5,0)),0%,VLOOKUP(A10,'Données projet'!$A$253:$I$273,5,0)*VLOOKUP('Données projet'!$B$17,Paramètres!$A$1:$I$89,7,0))</f>
        <v>0</v>
      </c>
      <c r="GJ10" s="16">
        <f>IF(ISNA(VLOOKUP(A10,'Données projet'!$A$253:$I$273,6,0)),0%,VLOOKUP(A10,'Données projet'!$A$253:$I$273,6,0)*VLOOKUP('Données projet'!$B$17,Paramètres!$A$1:$I$89,7,0))</f>
        <v>0</v>
      </c>
      <c r="GK10" s="16">
        <f>IF(ISNA(VLOOKUP(A10,'Données projet'!$A$253:$I$273,7,0)),0%,VLOOKUP(A10,'Données projet'!$A$253:$I$273,7,0))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projet'!$A$279:$I$299,2,0)</f>
        <v>#N/A</v>
      </c>
      <c r="GS10" s="12" t="e">
        <f>VLOOKUP(A10,'Données projet'!$A$279:$I$299,9,0)</f>
        <v>#N/A</v>
      </c>
      <c r="GT10" s="12">
        <f t="array" ref="GT10">INDEX(GS:GS,MIN(IF(ISNUMBER(GS10:GS206),ROW(GS10:GS206),"")))</f>
        <v>4.1333333333333337</v>
      </c>
      <c r="GU10" s="12">
        <f>IF('Données projet'!$A$280&gt;35,GU9+GT10-HC9,IF(A10&lt;'Données projet'!$A$280,$GR$205^A10,IF(A10='Données projet'!$A$280,'Données projet'!$B$280,GU9+GT10-HC9)))</f>
        <v>6.8619801133909482</v>
      </c>
      <c r="GV10" s="17">
        <f>GU10*VLOOKUP('Données projet'!$B$18,Paramètres!$A$1:$I$89,3,0)*VLOOKUP('Données projet'!$B$18,Paramètres!$A$1:$I$89,5,0)</f>
        <v>2.7653779856965519</v>
      </c>
      <c r="GW10" s="13">
        <f t="shared" si="81"/>
        <v>1.1321040450959328</v>
      </c>
      <c r="GX10" s="20">
        <f t="shared" si="28"/>
        <v>6.7881145369635769</v>
      </c>
      <c r="GY10" s="59">
        <f t="shared" si="29"/>
        <v>300.12144787029689</v>
      </c>
      <c r="GZ10" s="59">
        <f ca="1">AVERAGE(OFFSET($GY$3,0,0,'Données projet'!$E$18+1,1))-AVERAGE(OFFSET($H$3,0,0,'Données projet'!$E$18+1,1))</f>
        <v>324.36162935850876</v>
      </c>
      <c r="HA10" s="59">
        <f t="shared" si="82"/>
        <v>265.23571072429735</v>
      </c>
      <c r="HB10" s="15">
        <f>IF(ISNA(VLOOKUP(A10,'Données projet'!$A$279:$I$299,3,0)),0,VLOOKUP(A10,'Données projet'!$A$279:$I$299,3,0))</f>
        <v>0</v>
      </c>
      <c r="HC10" s="15">
        <f>IF(ISNA(VLOOKUP(A10,'Données projet'!$A$279:$I$299,4,0)),0,VLOOKUP(A10,'Données projet'!$A$279:$I$299,4,0))</f>
        <v>0</v>
      </c>
      <c r="HD10" s="16">
        <f>IF(ISNA(VLOOKUP(A10,'Données projet'!$A$279:$I$299,5,0)),0%,VLOOKUP(A10,'Données projet'!$A$279:$I$299,5,0)*VLOOKUP('Données projet'!$B$18,Paramètres!$A$1:$I$89,7,0))</f>
        <v>0</v>
      </c>
      <c r="HE10" s="16">
        <f>IF(ISNA(VLOOKUP(A10,'Données projet'!$A$279:$I$299,6,0)),0%,VLOOKUP(A10,'Données projet'!$A$279:$I$299,6,0)*VLOOKUP('Données projet'!$B$18,Paramètres!$A$1:$I$89,7,0))</f>
        <v>0</v>
      </c>
      <c r="HF10" s="16">
        <f>IF(ISNA(VLOOKUP($A10,'Données projet'!$A$279:$I$299,7,0)),0%,VLOOKUP($A10,'Données projet'!$A$279:$I$299,7,0))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  <c r="HK10" s="74">
        <f>('Scénario référence'!$F$8+'Scénario référence'!$F$9+'Scénario référence'!$B$17+'Scénario référence'!$B$9+'Scénario référence'!$B$10)*70+IF((45+25*(1-EXP(-0.0175*$A10)))&lt;70,'Scénario référence'!$B$16*(45+25*(1-EXP(-0.0175*$A10))),70*'Scénario référence'!$B$16)+IF((32+38*(1-EXP(-0.0175*$A10)))&lt;70,'Scénario référence'!$B$18*(32+38*(1-EXP(-0.0175*$A10))),70*'Scénario référence'!$B$18)</f>
        <v>70</v>
      </c>
      <c r="HL10" s="12">
        <f>IF($A10&gt;30,10,('Scénario référence'!$B$16+'Scénario référence'!$B$17+'Scénario référence'!$B$18+'Scénario référence'!$B$9+'Scénario référence'!$B$10)*$A10*10/30+('Scénario référence'!$F$8+'Scénario référence'!$F$9)*10)</f>
        <v>10</v>
      </c>
      <c r="HM10" s="12">
        <f>VLOOKUP($A10,'Données projet'!$A$304:$I$324,2,0)</f>
        <v>31.729230769230764</v>
      </c>
      <c r="HN10" s="12">
        <f>VLOOKUP($A10,'Données projet'!$A$304:$I$324,9,0)</f>
        <v>10.179230769230767</v>
      </c>
      <c r="HO10" s="12">
        <f t="array" ref="HO10">INDEX(HN:HN,MIN(IF(ISNUMBER(HN10:HN206),ROW(HN10:HN206),"")))</f>
        <v>10.179230769230767</v>
      </c>
      <c r="HP10" s="12">
        <f>IF('Données projet'!$A$304&gt;35,HP9+HO10-HX9,IF($A10&lt;'Données projet'!$A$304,$CQ$205^$A10,IF($A10='Données projet'!$A$304,'Données projet'!$B$304,HP9+HO10-HX9)))</f>
        <v>31.729230769230764</v>
      </c>
      <c r="HQ10" s="17">
        <f>HP10*VLOOKUP('Données projet'!$B$19,Paramètres!$A$1:$I$89,3,0)*VLOOKUP('Données projet'!$B$19,Paramètres!$A$1:$I$89,5,0)</f>
        <v>16.136217599999998</v>
      </c>
      <c r="HR10" s="13">
        <f t="shared" si="83"/>
        <v>5.3797944668297326</v>
      </c>
      <c r="HS10" s="14">
        <f t="shared" si="31"/>
        <v>37.47372101639511</v>
      </c>
      <c r="HT10" s="59">
        <f t="shared" si="32"/>
        <v>330.80705434972845</v>
      </c>
      <c r="HU10" s="59">
        <f ca="1">AVERAGE(OFFSET(HT$3,0,0,'Données projet'!$E$19+1,1))-AVERAGE(OFFSET($H$3,0,0,'Données projet'!$E$19+1,1))</f>
        <v>91.60721429656013</v>
      </c>
      <c r="HV10" s="59">
        <f t="shared" si="84"/>
        <v>258.94957804210856</v>
      </c>
      <c r="HW10" s="15">
        <f>IF(ISNA(VLOOKUP($A10,'Données projet'!$A$304:$I$324,3,0)),0,VLOOKUP($A10,'Données projet'!$A$304:$I$324,3,0))</f>
        <v>0</v>
      </c>
      <c r="HX10" s="15">
        <f>IF(ISNA(VLOOKUP($A10,'Données projet'!$A$304:$I$324,4,0)),0,VLOOKUP($A10,'Données projet'!$A$304:$I$324,4,0))</f>
        <v>0</v>
      </c>
      <c r="HY10" s="16">
        <f>IF(ISNA(VLOOKUP($A10,'Données projet'!$A$304:$I$324,5,0)),0%,VLOOKUP($A10,'Données projet'!$A$304:$I$324,5,0)*VLOOKUP('Données projet'!$B$19,Paramètres!$A$1:$I$89,7,0))</f>
        <v>0</v>
      </c>
      <c r="HZ10" s="16">
        <f>IF(ISNA(VLOOKUP($A10,'Données projet'!$A$304:$I$324,6,0)),0%,VLOOKUP($A10,'Données projet'!$A$304:$I$324,6,0)*VLOOKUP('Données projet'!$B$19,Paramètres!$A$1:$I$89,7,0))</f>
        <v>0</v>
      </c>
      <c r="IA10" s="16">
        <f>IF(ISNA(VLOOKUP($A10,'Données projet'!$A$304:$I$324,7,0)),0%,VLOOKUP($A10,'Données projet'!$A$304:$I$324,7,0))</f>
        <v>0</v>
      </c>
      <c r="IB10" s="21">
        <f>EXP(-LN(2)/35)*IB9+(1-EXP(-LN(2)/35))/(LN(2)/35)*HX10*HY10*VLOOKUP('Données projet'!$B$19,Paramètres!$A$1:$I$89,3,0)*0.475*44/12</f>
        <v>0</v>
      </c>
      <c r="IC10" s="21">
        <f>EXP(-LN(2)/25)*IC9+(1-EXP(-LN(2)/25))/(LN(2)/25)*Calculateur!HX10*Calculateur!HZ10*VLOOKUP('Données projet'!$B$19,Paramètres!$A$1:$I$89,3,0)*0.475*44/12</f>
        <v>0</v>
      </c>
      <c r="ID10" s="21">
        <f>EXP(-LN(2)/2)*ID9+(1-EXP(-LN(2)/2))/(LN(2)/2)*HX10*IA10*VLOOKUP('Données projet'!$B$19,Paramètres!$A$1:$I$89,3,0)*0.475*44/12</f>
        <v>0</v>
      </c>
      <c r="IE10" s="22">
        <f t="shared" si="33"/>
        <v>0</v>
      </c>
      <c r="IF10" s="74">
        <f>('Scénario référence'!$F$8+'Scénario référence'!$F$9+'Scénario référence'!$B$17+'Scénario référence'!$B$9+'Scénario référence'!$B$10)*70+IF((45+25*(1-EXP(-0.0175*$A10)))&lt;70,'Scénario référence'!$B$16*(45+25*(1-EXP(-0.0175*$A10))),70*'Scénario référence'!$B$16)+IF((32+38*(1-EXP(-0.0175*$A10)))&lt;70,'Scénario référence'!$B$18*(32+38*(1-EXP(-0.0175*$A10))),70*'Scénario référence'!$B$18)</f>
        <v>70</v>
      </c>
      <c r="IG10" s="12">
        <f>IF($A10&gt;30,10,('Scénario référence'!$B$16+'Scénario référence'!$B$17+'Scénario référence'!$B$18+'Scénario référence'!$B$9+'Scénario référence'!$B$10)*$A10*10/30+('Scénario référence'!$F$8+'Scénario référence'!$F$9)*10)</f>
        <v>10</v>
      </c>
      <c r="IH10" s="12">
        <f>VLOOKUP($A10,'Données projet'!$A$330:$I$350,2,0)</f>
        <v>31.729230769230764</v>
      </c>
      <c r="II10" s="12">
        <f>VLOOKUP($A10,'Données projet'!$A$330:$I$350,9,0)</f>
        <v>10.179230769230767</v>
      </c>
      <c r="IJ10" s="12">
        <f t="array" ref="IJ10">INDEX(II:II,MIN(IF(ISNUMBER(II10:II206),ROW(II10:II206),"")))</f>
        <v>10.179230769230767</v>
      </c>
      <c r="IK10" s="12">
        <f>IF('Données projet'!$A$330&gt;35,IK9+IJ10-IS9,IF($A10&lt;'Données projet'!$A$330,$CQ$205^$A10,IF($A10='Données projet'!$A$330,'Données projet'!$B$330,IK9+IJ10-IS9)))</f>
        <v>31.729230769230764</v>
      </c>
      <c r="IL10" s="17">
        <f>IK10*VLOOKUP('Données projet'!$B$20,Paramètres!$A$1:$I$89,3,0)*VLOOKUP('Données projet'!$B$20,Paramètres!$A$1:$I$89,5,0)</f>
        <v>16.136217599999998</v>
      </c>
      <c r="IM10" s="13">
        <f t="shared" si="85"/>
        <v>5.3797944668297326</v>
      </c>
      <c r="IN10" s="20">
        <f t="shared" si="86"/>
        <v>37.47372101639511</v>
      </c>
      <c r="IO10" s="59">
        <f t="shared" si="87"/>
        <v>330.80705434972845</v>
      </c>
      <c r="IP10" s="59">
        <f ca="1">AVERAGE(OFFSET(IO$3,0,0,'Données projet'!$E$20+1,1))-AVERAGE(OFFSET($H$3,0,0,'Données projet'!$E$20+1,1))</f>
        <v>91.60721429656013</v>
      </c>
      <c r="IQ10" s="59">
        <f t="shared" si="88"/>
        <v>258.94957804210856</v>
      </c>
      <c r="IR10" s="15">
        <f>IF(ISNA(VLOOKUP($A10,'Données projet'!$A$330:$I$350,3,0)),0,VLOOKUP($A10,'Données projet'!$A$330:$I$350,3,0))</f>
        <v>0</v>
      </c>
      <c r="IS10" s="15">
        <f>IF(ISNA(VLOOKUP($A10,'Données projet'!$A$330:$I$350,4,0)),0,VLOOKUP($A10,'Données projet'!$A$330:$I$350,4,0))</f>
        <v>0</v>
      </c>
      <c r="IT10" s="16">
        <f>IF(ISNA(VLOOKUP($A10,'Données projet'!$A$330:$I$350,5,0)),0%,VLOOKUP($A10,'Données projet'!$A$330:$I$350,5,0)*VLOOKUP('Données projet'!$B$20,Paramètres!$A$1:$I$89,7,0))</f>
        <v>0</v>
      </c>
      <c r="IU10" s="16">
        <f>IF(ISNA(VLOOKUP($A10,'Données projet'!$A$330:$I$350,6,0)),0%,VLOOKUP($A10,'Données projet'!$A$330:$I$350,6,0)*VLOOKUP('Données projet'!$B$20,Paramètres!$A$1:$I$89,7,0))</f>
        <v>0</v>
      </c>
      <c r="IV10" s="16">
        <f>IF(ISNA(VLOOKUP($A10,'Données projet'!$A$330:$I$350,7,0)),0%,VLOOKUP($A10,'Données projet'!$A$330:$I$350,7,0))</f>
        <v>0</v>
      </c>
      <c r="IW10" s="21">
        <f>EXP(-LN(2)/35)*IW9+(1-EXP(-LN(2)/35))/(LN(2)/35)*IS10*IT10*VLOOKUP('Données projet'!$B$20,Paramètres!$A$1:$I$89,3,0)*0.475*44/12</f>
        <v>0</v>
      </c>
      <c r="IX10" s="21">
        <f>EXP(-LN(2)/25)*IX9+(1-EXP(-LN(2)/25))/(LN(2)/25)*Calculateur!IS10*Calculateur!IU10*VLOOKUP('Données projet'!$B$20,Paramètres!$A$1:$I$89,3,0)*0.475*44/12</f>
        <v>0</v>
      </c>
      <c r="IY10" s="21">
        <f>EXP(-LN(2)/2)*IY9+(1-EXP(-LN(2)/2))/(LN(2)/2)*IS10*IV10*VLOOKUP('Données projet'!$B$20,Paramètres!$A$1:$I$89,3,0)*0.475*44/12</f>
        <v>0</v>
      </c>
      <c r="IZ10" s="22">
        <f t="shared" si="89"/>
        <v>0</v>
      </c>
      <c r="JA10" s="74">
        <f>('Scénario référence'!$F$8+'Scénario référence'!$F$9+'Scénario référence'!$B$17+'Scénario référence'!$B$9+'Scénario référence'!$B$10)*70+IF((45+25*(1-EXP(-0.0175*$A10)))&lt;70,'Scénario référence'!$B$16*(45+25*(1-EXP(-0.0175*$A10))),70*'Scénario référence'!$B$16)+IF((32+38*(1-EXP(-0.0175*$A10)))&lt;70,'Scénario référence'!$B$18*(32+38*(1-EXP(-0.0175*$A10))),70*'Scénario référence'!$B$18)</f>
        <v>70</v>
      </c>
      <c r="JB10" s="12">
        <f>IF($A10&gt;30,10,('Scénario référence'!$B$16+'Scénario référence'!$B$17+'Scénario référence'!$B$18+'Scénario référence'!$B$9+'Scénario référence'!$B$10)*$A10*10/30+('Scénario référence'!$F$8+'Scénario référence'!$F$9)*10)</f>
        <v>10</v>
      </c>
      <c r="JC10" s="12" t="e">
        <f>VLOOKUP($A10,'Données projet'!$A$356:$I$376,2,0)</f>
        <v>#N/A</v>
      </c>
      <c r="JD10" s="12" t="e">
        <f>VLOOKUP($A10,'Données projet'!$A$356:$I$376,9,0)</f>
        <v>#N/A</v>
      </c>
      <c r="JE10" s="12">
        <f t="array" ref="JE10">INDEX(JD:JD,MIN(IF(ISNUMBER(JD10:JD206),ROW(JD10:JD206),"")))</f>
        <v>3.04</v>
      </c>
      <c r="JF10" s="12">
        <f>IF('Données projet'!$A$356&gt;35,JF9+JE10-JN9,IF($A10&lt;'Données projet'!$A$356,$CQ$205^$A10,IF($A10='Données projet'!$A$356,'Données projet'!$B$356,JF9+JE10-JN9)))</f>
        <v>21.279999999999998</v>
      </c>
      <c r="JG10" s="17">
        <f>JF10*VLOOKUP('Données projet'!$B$21,Paramètres!$A$1:$I$89,3,0)*VLOOKUP('Données projet'!$B$21,Paramètres!$A$1:$I$89,5,0)</f>
        <v>17.262336000000001</v>
      </c>
      <c r="JH10" s="13">
        <f t="shared" si="90"/>
        <v>5.7102252623838465</v>
      </c>
      <c r="JI10" s="20">
        <f t="shared" si="91"/>
        <v>40.010544198651864</v>
      </c>
      <c r="JJ10" s="59">
        <f t="shared" si="92"/>
        <v>333.34387753198519</v>
      </c>
      <c r="JK10" s="59">
        <f ca="1">AVERAGE(OFFSET($JJ$3,0,0,'Données projet'!$E$22+1,1))-AVERAGE(OFFSET($H$3,0,0,'Données projet'!$E$22+1,1))</f>
        <v>353.35574633294613</v>
      </c>
      <c r="JL10" s="59">
        <f t="shared" si="93"/>
        <v>170.36796666474726</v>
      </c>
      <c r="JM10" s="15">
        <f>IF(ISNA(VLOOKUP($A10,'Données projet'!$A$356:$I$376,3,0)),0,VLOOKUP($A10,'Données projet'!$A$356:$I$376,3,0))</f>
        <v>0</v>
      </c>
      <c r="JN10" s="15">
        <f>IF(ISNA(VLOOKUP($A10,'Données projet'!$A$356:$I$376,4,0)),0,VLOOKUP($A10,'Données projet'!$A$356:$I$376,4,0))</f>
        <v>0</v>
      </c>
      <c r="JO10" s="16">
        <f>IF(ISNA(VLOOKUP($A10,'Données projet'!$A$356:$I$376,5,0)),0%,VLOOKUP($A10,'Données projet'!$A$356:$I$376,5,0)*VLOOKUP('Données projet'!$B$21,Paramètres!$A$1:$I$89,7,0))</f>
        <v>0</v>
      </c>
      <c r="JP10" s="16">
        <f>IF(ISNA(VLOOKUP($A10,'Données projet'!$A$356:$I$376,6,0)),0%,VLOOKUP($A10,'Données projet'!$A$356:$I$376,6,0)*VLOOKUP('Données projet'!$B$21,Paramètres!$A$1:$I$89,7,0))</f>
        <v>0</v>
      </c>
      <c r="JQ10" s="16">
        <f>IF(ISNA(VLOOKUP($A10,'Données projet'!$A$356:$I$376,7,0)),0%,VLOOKUP($A10,'Données projet'!$A$356:$I$376,7,0))</f>
        <v>0</v>
      </c>
      <c r="JR10" s="21">
        <f>EXP(-LN(2)/35)*JR9+(1-EXP(-LN(2)/35))/(LN(2)/35)*JN10*JO10*VLOOKUP('Données projet'!$B$21,Paramètres!$A$1:$I$89,3,0)*0.475*44/12</f>
        <v>0</v>
      </c>
      <c r="JS10" s="21">
        <f>EXP(-LN(2)/25)*JS9+(1-EXP(-LN(2)/25))/(LN(2)/25)*Calculateur!JN10*Calculateur!JP10*VLOOKUP('Données projet'!$B$21,Paramètres!$A$1:$I$89,3,0)*0.475*44/12</f>
        <v>0</v>
      </c>
      <c r="JT10" s="21">
        <f>EXP(-LN(2)/2)*JT9+(1-EXP(-LN(2)/2))/(LN(2)/2)*JN10*JQ10*VLOOKUP('Données projet'!$B$21,Paramètres!$A$1:$I$89,3,0)*0.475*44/12</f>
        <v>0</v>
      </c>
      <c r="JU10" s="18">
        <f t="shared" si="39"/>
        <v>0</v>
      </c>
      <c r="JV10" s="74">
        <f>('Scénario référence'!$F$8+'Scénario référence'!$F$9+'Scénario référence'!$B$17+'Scénario référence'!$B$9+'Scénario référence'!$B$10)*70+IF((45+25*(1-EXP(-0.0175*$A10)))&lt;70,'Scénario référence'!$B$16*(45+25*(1-EXP(-0.0175*$A10))),70*'Scénario référence'!$B$16)+IF((32+38*(1-EXP(-0.0175*$A10)))&lt;70,'Scénario référence'!$B$18*(32+38*(1-EXP(-0.0175*$A10))),70*'Scénario référence'!$B$18)</f>
        <v>70</v>
      </c>
      <c r="JW10" s="12">
        <f>IF($A10&gt;30,10,('Scénario référence'!$B$16+'Scénario référence'!$B$17+'Scénario référence'!$B$18+'Scénario référence'!$B$9+'Scénario référence'!$B$10)*$A10*10/30+('Scénario référence'!$F$8+'Scénario référence'!$F$9)*10)</f>
        <v>10</v>
      </c>
      <c r="JX10" s="12" t="e">
        <f>VLOOKUP($A10,'Données projet'!$A$382:$I$402,2,0)</f>
        <v>#N/A</v>
      </c>
      <c r="JY10" s="12" t="e">
        <f>VLOOKUP($A10,'Données projet'!$A$382:$I$402,9,0)</f>
        <v>#N/A</v>
      </c>
      <c r="JZ10" s="12">
        <f t="array" ref="JZ10">INDEX(JY:JY,MIN(IF(ISNUMBER(JY10:JY206),ROW(JY10:JY206),"")))</f>
        <v>4.0628205128205126</v>
      </c>
      <c r="KA10" s="12">
        <f>IF('Données projet'!$A$382&gt;35,KA9+JZ10-KI9,IF($A10&lt;'Données projet'!$A$382,$CQ$205^$A10,IF($A10='Données projet'!$A$382,'Données projet'!$B$382,KA9+JZ10-KI9)))</f>
        <v>28.439743589743586</v>
      </c>
      <c r="KB10" s="17">
        <f>KA10*VLOOKUP('Données projet'!$B$22,Paramètres!$A$1:$I$89,3,0)*VLOOKUP('Données projet'!$B$22,Paramètres!$A$1:$I$89,5,0)</f>
        <v>19.077379999999998</v>
      </c>
      <c r="KC10" s="13">
        <f t="shared" si="94"/>
        <v>6.2376128384712297</v>
      </c>
      <c r="KD10" s="20">
        <f t="shared" si="95"/>
        <v>44.090279193670717</v>
      </c>
      <c r="KE10" s="59">
        <f t="shared" si="96"/>
        <v>337.42361252700402</v>
      </c>
      <c r="KF10" s="59">
        <f ca="1">AVERAGE(OFFSET($KE$3,0,0,'Données projet'!$E$22+1,1))-AVERAGE(OFFSET($H$3,0,0,'Données projet'!$E$22+1,1))</f>
        <v>193.91714772848269</v>
      </c>
      <c r="KG10" s="59">
        <f t="shared" si="97"/>
        <v>159.20429420478047</v>
      </c>
      <c r="KH10" s="15">
        <f>IF(ISNA(VLOOKUP($A10,'Données projet'!$A$382:$I$402,3,0)),0,VLOOKUP($A10,'Données projet'!$A$382:$I$402,3,0))</f>
        <v>0</v>
      </c>
      <c r="KI10" s="15">
        <f>IF(ISNA(VLOOKUP($A10,'Données projet'!$A$382:$I$402,4,0)),0,VLOOKUP($A10,'Données projet'!$A$382:$I$402,4,0))</f>
        <v>0</v>
      </c>
      <c r="KJ10" s="16">
        <f>IF(ISNA(VLOOKUP($A10,'Données projet'!$A$382:$I$402,5,0)),0%,VLOOKUP($A10,'Données projet'!$A$382:$I$402,5,0)*VLOOKUP('Données projet'!$B$22,Paramètres!$A$1:$I$89,7,0))</f>
        <v>0</v>
      </c>
      <c r="KK10" s="16">
        <f>IF(ISNA(VLOOKUP($A10,'Données projet'!$A$382:$I$402,6,0)),0%,VLOOKUP($A10,'Données projet'!$A$382:$I$402,6,0)*VLOOKUP('Données projet'!$B$22,Paramètres!$A$1:$I$89,7,0))</f>
        <v>0</v>
      </c>
      <c r="KL10" s="16">
        <f>IF(ISNA(VLOOKUP($A10,'Données projet'!$A$382:$I$402,7,0)),0%,VLOOKUP($A10,'Données projet'!$A$382:$I$402,7,0))</f>
        <v>0</v>
      </c>
      <c r="KM10" s="21">
        <f>EXP(-LN(2)/35)*KM9+(1-EXP(-LN(2)/35))/(LN(2)/35)*KI10*KJ10*VLOOKUP('Données projet'!$B$22,Paramètres!$A$1:$I$89,3,0)*0.475*44/12</f>
        <v>0</v>
      </c>
      <c r="KN10" s="21">
        <f>EXP(-LN(2)/25)*KN9+(1-EXP(-LN(2)/25))/(LN(2)/25)*Calculateur!KI10*Calculateur!KK10*VLOOKUP('Données projet'!$B$22,Paramètres!$A$1:$I$89,3,0)*0.475*44/12</f>
        <v>0</v>
      </c>
      <c r="KO10" s="21">
        <f>EXP(-LN(2)/2)*KO9+(1-EXP(-LN(2)/2))/(LN(2)/2)*KI10*KL10*VLOOKUP('Données projet'!$B$22,Paramètres!$A$1:$I$89,3,0)*0.475*44/12</f>
        <v>0</v>
      </c>
      <c r="KP10" s="22">
        <f t="shared" si="98"/>
        <v>0</v>
      </c>
      <c r="KQ10" s="74">
        <f>('Scénario référence'!$F$8+'Scénario référence'!$F$9+'Scénario référence'!$B$17+'Scénario référence'!$B$9+'Scénario référence'!$B$10)*70+IF((45+25*(1-EXP(-0.0175*$A10)))&lt;70,'Scénario référence'!$B$16*(45+25*(1-EXP(-0.0175*$A10))),70*'Scénario référence'!$B$16)+IF((32+38*(1-EXP(-0.0175*$A10)))&lt;70,'Scénario référence'!$B$18*(32+38*(1-EXP(-0.0175*$A10))),70*'Scénario référence'!$B$18)</f>
        <v>70</v>
      </c>
      <c r="KR10" s="12">
        <f>IF($A10&gt;30,10,('Scénario référence'!$B$16+'Scénario référence'!$B$17+'Scénario référence'!$B$18+'Scénario référence'!$B$9+'Scénario référence'!$B$10)*$A10*10/30+('Scénario référence'!$F$8+'Scénario référence'!$F$9)*10)</f>
        <v>10</v>
      </c>
      <c r="KS10" s="12" t="e">
        <f>VLOOKUP($A10,'Données projet'!$A$408:$I$428,2,0)</f>
        <v>#N/A</v>
      </c>
      <c r="KT10" s="12" t="e">
        <f>VLOOKUP($A10,'Données projet'!$A$408:$I$428,9,0)</f>
        <v>#N/A</v>
      </c>
      <c r="KU10" s="12">
        <f t="array" ref="KU10">INDEX(KT:KT,MIN(IF(ISNUMBER(KT10:KT206),ROW(KT10:KT206),"")))</f>
        <v>2.4666666666666668</v>
      </c>
      <c r="KV10" s="12">
        <f>IF('Données projet'!$A$408&gt;35,KV9+KU10-LD9,IF($A10&lt;'Données projet'!$A$408,$CQ$205^$A10,IF($A10='Données projet'!$A$408,'Données projet'!$B$408,KV9+KU10-LD9)))</f>
        <v>17.266666666666666</v>
      </c>
      <c r="KW10" s="17">
        <f>KV10*VLOOKUP('Données projet'!$B$23,Paramètres!$A$1:$I$89,3,0)*VLOOKUP('Données projet'!$B$23,Paramètres!$A$1:$I$89,5,0)</f>
        <v>15.084160000000002</v>
      </c>
      <c r="KX10" s="13">
        <f t="shared" si="99"/>
        <v>5.0686620478299371</v>
      </c>
      <c r="KY10" s="14">
        <f t="shared" si="43"/>
        <v>35.099498399970479</v>
      </c>
      <c r="KZ10" s="59">
        <f t="shared" si="44"/>
        <v>328.43283173330377</v>
      </c>
      <c r="LA10" s="59">
        <f ca="1">AVERAGE(OFFSET($KZ$3,0,0,'Données projet'!$E$23+1,1))-AVERAGE(OFFSET($H$3,0,0,'Données projet'!$E$23+1,1))</f>
        <v>248.33596943633819</v>
      </c>
      <c r="LB10" s="59">
        <f t="shared" si="100"/>
        <v>242.34010522344573</v>
      </c>
      <c r="LC10" s="15">
        <f>IF(ISNA(VLOOKUP($A10,'Données projet'!$A$408:$I$428,3,0)),0,VLOOKUP($A10,'Données projet'!$A$408:$I$428,3,0))</f>
        <v>0</v>
      </c>
      <c r="LD10" s="15">
        <f>IF(ISNA(VLOOKUP($A10,'Données projet'!$A$408:$I$428,4,0)),0,VLOOKUP($A10,'Données projet'!$A$408:$I$428,4,0))</f>
        <v>0</v>
      </c>
      <c r="LE10" s="16">
        <f>IF(ISNA(VLOOKUP($A10,'Données projet'!$A$408:$I$428,5,0)),0%,VLOOKUP($A10,'Données projet'!$A$408:$I$428,5,0)*VLOOKUP('Données projet'!$B$23,Paramètres!$A$1:$I$89,7,0))</f>
        <v>0</v>
      </c>
      <c r="LF10" s="16">
        <f>IF(ISNA(VLOOKUP($A10,'Données projet'!$A$408:$I$428,6,0)),0%,VLOOKUP($A10,'Données projet'!$A$408:$I$428,6,0)*VLOOKUP('Données projet'!$B$23,Paramètres!$A$1:$I$89,7,0))</f>
        <v>0</v>
      </c>
      <c r="LG10" s="16">
        <f>IF(ISNA(VLOOKUP($A10,'Données projet'!$A$408:$I$428,7,0)),0%,VLOOKUP($A10,'Données projet'!$A$408:$I$428,7,0))</f>
        <v>0</v>
      </c>
      <c r="LH10" s="21">
        <f>EXP(-LN(2)/35)*LH9+(1-EXP(-LN(2)/35))/(LN(2)/35)*LD10*LE10*VLOOKUP('Données projet'!$B$23,Paramètres!$A$1:$I$89,3,0)*0.475*44/12</f>
        <v>0</v>
      </c>
      <c r="LI10" s="21">
        <f>EXP(-LN(2)/25)*LI9+(1-EXP(-LN(2)/25))/(LN(2)/25)*Calculateur!LD10*Calculateur!LF10*VLOOKUP('Données projet'!$B$23,Paramètres!$A$1:$I$89,3,0)*0.475*44/12</f>
        <v>0</v>
      </c>
      <c r="LJ10" s="21">
        <f>EXP(-LN(2)/2)*LJ9+(1-EXP(-LN(2)/2))/(LN(2)/2)*LD10*LG10*VLOOKUP('Données projet'!$B$23,Paramètres!$A$1:$I$89,3,0)*0.475*44/12</f>
        <v>0</v>
      </c>
      <c r="LK10" s="22">
        <f t="shared" si="101"/>
        <v>0</v>
      </c>
      <c r="LL10" s="74">
        <f>('Scénario référence'!$F$8+'Scénario référence'!$F$9+'Scénario référence'!$B$17+'Scénario référence'!$B$9+'Scénario référence'!$B$10)*70+IF((45+25*(1-EXP(-0.0175*$A10)))&lt;70,'Scénario référence'!$B$16*(45+25*(1-EXP(-0.0175*$A10))),70*'Scénario référence'!$B$16)+IF((32+38*(1-EXP(-0.0175*$A10)))&lt;70,'Scénario référence'!$B$18*(32+38*(1-EXP(-0.0175*$A10))),70*'Scénario référence'!$B$18)</f>
        <v>70</v>
      </c>
      <c r="LM10" s="12">
        <f>IF($A10&gt;30,10,('Scénario référence'!$B$16+'Scénario référence'!$B$17+'Scénario référence'!$B$18+'Scénario référence'!$B$9+'Scénario référence'!$B$10)*$A10*10/30+('Scénario référence'!$F$8+'Scénario référence'!$F$9)*10)</f>
        <v>10</v>
      </c>
      <c r="LN10" s="12" t="e">
        <f>VLOOKUP($A10,'Données projet'!$A$434:$I$454,2,0)</f>
        <v>#N/A</v>
      </c>
      <c r="LO10" s="12" t="e">
        <f>VLOOKUP($A10,'Données projet'!$A$434:$I$454,9,0)</f>
        <v>#N/A</v>
      </c>
      <c r="LP10" s="12">
        <f t="array" ref="LP10">INDEX(LO:LO,MIN(IF(ISNUMBER(LO10:LO206),ROW(LO10:LO206),"")))</f>
        <v>2.9235042735042733</v>
      </c>
      <c r="LQ10" s="12">
        <f>IF('Données projet'!$A$434&gt;35,LQ9+LP10-LY9,IF($A10&lt;'Données projet'!$A$434,$CQ$205^$A10,IF($A10='Données projet'!$A$434,'Données projet'!$B$434,LQ9+LP10-LY9)))</f>
        <v>20.464529914529916</v>
      </c>
      <c r="LR10" s="17">
        <f>LQ10*VLOOKUP('Données projet'!$B$24,Paramètres!$A$1:$I$89,3,0)*VLOOKUP('Données projet'!$B$24,Paramètres!$A$1:$I$89,5,0)</f>
        <v>20.751033333333336</v>
      </c>
      <c r="LS10" s="13">
        <f t="shared" si="102"/>
        <v>6.7187482511786287</v>
      </c>
      <c r="LT10" s="14">
        <f t="shared" si="46"/>
        <v>47.843202926358337</v>
      </c>
      <c r="LU10" s="59">
        <f t="shared" si="103"/>
        <v>341.17653625969166</v>
      </c>
      <c r="LV10" s="59">
        <f ca="1">AVERAGE(OFFSET($LU$3,0,0,'Données projet'!$E$24+1,1))-AVERAGE(OFFSET($H$3,0,0,'Données projet'!$E$24+1,1))</f>
        <v>260.52627655062872</v>
      </c>
      <c r="LW10" s="59">
        <f t="shared" si="104"/>
        <v>159.20429420478047</v>
      </c>
      <c r="LX10" s="15">
        <f>IF(ISNA(VLOOKUP($A10,'Données projet'!$A$434:$I$454,3,0)),0,VLOOKUP($A10,'Données projet'!$A$434:$I$454,3,0))</f>
        <v>0</v>
      </c>
      <c r="LY10" s="15">
        <f>IF(ISNA(VLOOKUP($A10,'Données projet'!$A$434:$I$454,4,0)),0,VLOOKUP($A10,'Données projet'!$A$434:$I$454,4,0))</f>
        <v>0</v>
      </c>
      <c r="LZ10" s="16">
        <f>IF(ISNA(VLOOKUP($A10,'Données projet'!$A$434:$I$454,5,0)),0%,VLOOKUP($A10,'Données projet'!$A$434:$I$454,5,0)*VLOOKUP('Données projet'!$B$24,Paramètres!$A$1:$I$89,7,0))</f>
        <v>0</v>
      </c>
      <c r="MA10" s="16">
        <f>IF(ISNA(VLOOKUP($A10,'Données projet'!$A$434:$I$454,6,0)),0%,VLOOKUP($A10,'Données projet'!$A$434:$I$454,6,0)*VLOOKUP('Données projet'!$B$24,Paramètres!$A$1:$I$89,7,0))</f>
        <v>0</v>
      </c>
      <c r="MB10" s="16">
        <f>IF(ISNA(VLOOKUP($A10,'Données projet'!$A$434:$I$454,7,0)),0%,VLOOKUP($A10,'Données projet'!$A$434:$I$454,7,0))</f>
        <v>0</v>
      </c>
      <c r="MC10" s="21">
        <f>EXP(-LN(2)/35)*MC9+(1-EXP(-LN(2)/35))/(LN(2)/35)*LY10*LZ10*VLOOKUP('Données projet'!$B$24,Paramètres!$A$1:$I$89,3,0)*0.475*44/12</f>
        <v>0</v>
      </c>
      <c r="MD10" s="21">
        <f>EXP(-LN(2)/25)*MD9+(1-EXP(-LN(2)/25))/(LN(2)/25)*Calculateur!LY10*Calculateur!MA10*VLOOKUP('Données projet'!$B$24,Paramètres!$A$1:$I$89,3,0)*0.475*44/12</f>
        <v>0</v>
      </c>
      <c r="ME10" s="21">
        <f>EXP(-LN(2)/2)*ME9+(1-EXP(-LN(2)/2))/(LN(2)/2)*LY10*MB10*VLOOKUP('Données projet'!$B$24,Paramètres!$A$1:$I$89,3,0)*0.475*44/12</f>
        <v>0</v>
      </c>
      <c r="MF10" s="22">
        <f t="shared" si="105"/>
        <v>0</v>
      </c>
      <c r="MG10" s="74">
        <f>('Scénario référence'!$F$8+'Scénario référence'!$F$9+'Scénario référence'!$B$17+'Scénario référence'!$B$9+'Scénario référence'!$B$10)*70+IF((45+25*(1-EXP(-0.0175*$A10)))&lt;70,'Scénario référence'!$B$16*(45+25*(1-EXP(-0.0175*$A10))),70*'Scénario référence'!$B$16)+IF((32+38*(1-EXP(-0.0175*$A10)))&lt;70,'Scénario référence'!$B$18*(32+38*(1-EXP(-0.0175*$A10))),70*'Scénario référence'!$B$18)</f>
        <v>70</v>
      </c>
      <c r="MH10" s="12">
        <f>IF($A10&gt;30,10,('Scénario référence'!$B$16+'Scénario référence'!$B$17+'Scénario référence'!$B$18+'Scénario référence'!$B$9+'Scénario référence'!$B$10)*$A10*10/30+('Scénario référence'!$F$8+'Scénario référence'!$F$9)*10)</f>
        <v>10</v>
      </c>
      <c r="MI10" s="12" t="e">
        <f>VLOOKUP($A10,'Données projet'!$A$460:$I$480,2,0)</f>
        <v>#N/A</v>
      </c>
      <c r="MJ10" s="12" t="e">
        <f>VLOOKUP($A10,'Données projet'!$A$460:$I$480,9,0)</f>
        <v>#N/A</v>
      </c>
      <c r="MK10" s="12">
        <f t="array" ref="MK10">INDEX(MJ:MJ,MIN(IF(ISNUMBER(MJ10:MJ206),ROW(MJ10:MJ206),"")))</f>
        <v>0</v>
      </c>
      <c r="ML10" s="12">
        <f>IF('Données projet'!$A$460&gt;35,ML9+MK10-MT9,IF($A10&lt;'Données projet'!$A$460,$CQ$205^$A10,IF($A10='Données projet'!$A$460,'Données projet'!$B$460,ML9+MK10-MT9)))</f>
        <v>0</v>
      </c>
      <c r="MM10" s="17" t="e">
        <f>ML10*VLOOKUP('Données projet'!$B$25,Paramètres!$A$1:$I$89,3,0)*VLOOKUP('Données projet'!$B$25,Paramètres!$A$1:$I$89,5,0)</f>
        <v>#N/A</v>
      </c>
      <c r="MN10" s="13" t="e">
        <f t="shared" si="106"/>
        <v>#N/A</v>
      </c>
      <c r="MO10" s="14" t="e">
        <f t="shared" si="49"/>
        <v>#N/A</v>
      </c>
      <c r="MP10" s="59" t="e">
        <f t="shared" si="50"/>
        <v>#N/A</v>
      </c>
      <c r="MQ10" s="20" t="e">
        <f ca="1">AVERAGE(OFFSET($MP$3,0,0,'Données projet'!$E$25+1,1))-AVERAGE(OFFSET($H$3,0,0,'Données projet'!$E$25+1,1))</f>
        <v>#N/A</v>
      </c>
      <c r="MR10" s="59" t="e">
        <f t="shared" si="107"/>
        <v>#N/A</v>
      </c>
      <c r="MS10" s="15">
        <f>IF(ISNA(VLOOKUP($A10,'Données projet'!$A$460:$I$480,3,0)),0,VLOOKUP($A10,'Données projet'!$A$460:$I$480,3,0))</f>
        <v>0</v>
      </c>
      <c r="MT10" s="15">
        <f>IF(ISNA(VLOOKUP($A10,'Données projet'!$A$460:$I$480,4,0)),0,VLOOKUP($A10,'Données projet'!$A$460:$I$480,4,0))</f>
        <v>0</v>
      </c>
      <c r="MU10" s="16">
        <f>IF(ISNA(VLOOKUP($A10,'Données projet'!$A$460:$I$480,5,0)),0%,VLOOKUP($A10,'Données projet'!$A$460:$I$480,5,0)*VLOOKUP('Données projet'!$B$25,Paramètres!$A$1:$I$89,7,0))</f>
        <v>0</v>
      </c>
      <c r="MV10" s="16">
        <f>IF(ISNA(VLOOKUP($A10,'Données projet'!$A$460:$I$480,6,0)),0%,VLOOKUP($A10,'Données projet'!$A$460:$I$480,6,0)*VLOOKUP('Données projet'!$B$25,Paramètres!$A$1:$I$89,7,0))</f>
        <v>0</v>
      </c>
      <c r="MW10" s="16">
        <f>IF(ISNA(VLOOKUP($A10,'Données projet'!$A$460:$I$480,7,0)),0%,VLOOKUP($A10,'Données projet'!$A$460:$I$480,7,0))</f>
        <v>0</v>
      </c>
      <c r="MX10" s="21" t="e">
        <f>EXP(-LN(2)/35)*MX9+(1-EXP(-LN(2)/35))/(LN(2)/35)*MT10*MU10*VLOOKUP('Données projet'!$B$25,Paramètres!$A$1:$I$89,3,0)*0.475*44/12</f>
        <v>#N/A</v>
      </c>
      <c r="MY10" s="21" t="e">
        <f>EXP(-LN(2)/25)*MY9+(1-EXP(-LN(2)/25))/(LN(2)/25)*Calculateur!MT10*Calculateur!MV10*VLOOKUP('Données projet'!$B$25,Paramètres!$A$1:$I$89,3,0)*0.475*44/12</f>
        <v>#N/A</v>
      </c>
      <c r="MZ10" s="21" t="e">
        <f>EXP(-LN(2)/2)*MZ9+(1-EXP(-LN(2)/2))/(LN(2)/2)*MT10*MW10*VLOOKUP('Données projet'!$B$25,Paramètres!$A$1:$I$89,3,0)*0.475*44/12</f>
        <v>#N/A</v>
      </c>
      <c r="NA10" s="22" t="e">
        <f t="shared" si="108"/>
        <v>#N/A</v>
      </c>
      <c r="NB10" s="74">
        <f>('Scénario référence'!$F$8+'Scénario référence'!$F$9+'Scénario référence'!$B$17+'Scénario référence'!$B$9+'Scénario référence'!$B$10)*70+IF((45+25*(1-EXP(-0.0175*$A10)))&lt;70,'Scénario référence'!$B$16*(45+25*(1-EXP(-0.0175*$A10))),70*'Scénario référence'!$B$16)+IF((32+38*(1-EXP(-0.0175*$A10)))&lt;70,'Scénario référence'!$B$18*(32+38*(1-EXP(-0.0175*$A10))),70*'Scénario référence'!$B$18)</f>
        <v>70</v>
      </c>
      <c r="NC10" s="12">
        <f>IF($A10&gt;30,10,('Scénario référence'!$B$16+'Scénario référence'!$B$17+'Scénario référence'!$B$18+'Scénario référence'!$B$9+'Scénario référence'!$B$10)*$A10*10/30+('Scénario référence'!$F$8+'Scénario référence'!$F$9)*10)</f>
        <v>10</v>
      </c>
      <c r="ND10" s="12" t="e">
        <f>VLOOKUP($A10,'Données projet'!$A$486:$I$506,2,0)</f>
        <v>#N/A</v>
      </c>
      <c r="NE10" s="12" t="e">
        <f>VLOOKUP($A10,'Données projet'!$A$486:$I$506,9,0)</f>
        <v>#N/A</v>
      </c>
      <c r="NF10" s="12">
        <f t="array" ref="NF10">INDEX(NE:NE,MIN(IF(ISNUMBER(NE10:NE206),ROW(NE10:NE206),"")))</f>
        <v>0</v>
      </c>
      <c r="NG10" s="12">
        <f>IF('Données projet'!$A$486&gt;35,NG9+NF10-NO9,IF($A10&lt;'Données projet'!$A$486,$CQ$205^$A10,IF($A10='Données projet'!$A$486,'Données projet'!$B$486,NG9+NF10-NO9)))</f>
        <v>0</v>
      </c>
      <c r="NH10" s="17" t="e">
        <f>NG10*VLOOKUP('Données projet'!$B$26,Paramètres!$A$1:$I$89,3,0)*VLOOKUP('Données projet'!$B$26,Paramètres!$A$1:$I$89,5,0)</f>
        <v>#N/A</v>
      </c>
      <c r="NI10" s="13" t="e">
        <f t="shared" si="109"/>
        <v>#N/A</v>
      </c>
      <c r="NJ10" s="14" t="e">
        <f t="shared" si="52"/>
        <v>#N/A</v>
      </c>
      <c r="NK10" s="59" t="e">
        <f t="shared" si="53"/>
        <v>#N/A</v>
      </c>
      <c r="NL10" s="20" t="e">
        <f ca="1">AVERAGE(OFFSET($NK$3,0,0,'Données projet'!$E$26+1,1))-AVERAGE(OFFSET($H$3,0,0,'Données projet'!$E$26+1,1))</f>
        <v>#N/A</v>
      </c>
      <c r="NM10" s="59" t="e">
        <f t="shared" si="110"/>
        <v>#N/A</v>
      </c>
      <c r="NN10" s="15">
        <f>IF(ISNA(VLOOKUP($A10,'Données projet'!$A$486:$I$506,3,0)),0,VLOOKUP($A10,'Données projet'!$A$486:$I$506,3,0))</f>
        <v>0</v>
      </c>
      <c r="NO10" s="15">
        <f>IF(ISNA(VLOOKUP($A10,'Données projet'!$A$486:$I$506,4,0)),0,VLOOKUP($A10,'Données projet'!$A$486:$I$506,4,0))</f>
        <v>0</v>
      </c>
      <c r="NP10" s="16">
        <f>IF(ISNA(VLOOKUP($A10,'Données projet'!$A$486:$I$506,5,0)),0%,VLOOKUP($A10,'Données projet'!$A$486:$I$506,5,0)*VLOOKUP('Données projet'!$B$26,Paramètres!$A$1:$I$89,7,0))</f>
        <v>0</v>
      </c>
      <c r="NQ10" s="16">
        <f>IF(ISNA(VLOOKUP($A10,'Données projet'!$A$486:$I$506,6,0)),0%,VLOOKUP($A10,'Données projet'!$A$486:$I$506,6,0)*VLOOKUP('Données projet'!$B$26,Paramètres!$A$1:$I$89,7,0))</f>
        <v>0</v>
      </c>
      <c r="NR10" s="16">
        <f>IF(ISNA(VLOOKUP($A10,'Données projet'!$A$486:$I$506,7,0)),0%,VLOOKUP($A10,'Données projet'!$A$486:$I$506,7,0))</f>
        <v>0</v>
      </c>
      <c r="NS10" s="21" t="e">
        <f>EXP(-LN(2)/35)*NS9+(1-EXP(-LN(2)/35))/(LN(2)/35)*NO10*NP10*VLOOKUP('Données projet'!$B$26,Paramètres!$A$1:$I$89,3,0)*0.475*44/12</f>
        <v>#N/A</v>
      </c>
      <c r="NT10" s="21" t="e">
        <f>EXP(-LN(2)/25)*NT9+(1-EXP(-LN(2)/25))/(LN(2)/25)*Calculateur!NO10*Calculateur!NQ10*VLOOKUP('Données projet'!$B$26,Paramètres!$A$1:$I$89,3,0)*0.475*44/12</f>
        <v>#N/A</v>
      </c>
      <c r="NU10" s="21" t="e">
        <f>EXP(-LN(2)/2)*NU9+(1-EXP(-LN(2)/2))/(LN(2)/2)*NO10*NR10*VLOOKUP('Données projet'!$B$26,Paramètres!$A$1:$I$89,3,0)*0.475*44/12</f>
        <v>#N/A</v>
      </c>
      <c r="NV10" s="22" t="e">
        <f t="shared" si="111"/>
        <v>#N/A</v>
      </c>
      <c r="NW10" s="74">
        <f>('Scénario référence'!$F$8+'Scénario référence'!$F$9+'Scénario référence'!$B$17+'Scénario référence'!$B$9+'Scénario référence'!$B$10)*70+IF((45+25*(1-EXP(-0.0175*$A10)))&lt;70,'Scénario référence'!$B$16*(45+25*(1-EXP(-0.0175*$A10))),70*'Scénario référence'!$B$16)+IF((32+38*(1-EXP(-0.0175*$A10)))&lt;70,'Scénario référence'!$B$18*(32+38*(1-EXP(-0.0175*$A10))),70*'Scénario référence'!$B$18)</f>
        <v>70</v>
      </c>
      <c r="NX10" s="12">
        <f>IF($A10&gt;30,10,('Scénario référence'!$B$16+'Scénario référence'!$B$17+'Scénario référence'!$B$18+'Scénario référence'!$B$9+'Scénario référence'!$B$10)*$A10*10/30+('Scénario référence'!$F$8+'Scénario référence'!$F$9)*10)</f>
        <v>10</v>
      </c>
      <c r="NY10" s="12" t="e">
        <f>VLOOKUP($A10,'Données projet'!$A$512:$I$532,2,0)</f>
        <v>#N/A</v>
      </c>
      <c r="NZ10" s="12" t="e">
        <f>VLOOKUP($A10,'Données projet'!$A$512:$I$532,9,0)</f>
        <v>#N/A</v>
      </c>
      <c r="OA10" s="12">
        <f t="array" ref="OA10">INDEX(NZ:NZ,MIN(IF(ISNUMBER(NZ10:NZ206),ROW(NZ10:NZ206),"")))</f>
        <v>0</v>
      </c>
      <c r="OB10" s="12">
        <f>IF('Données projet'!$A$512&gt;35,OB9+OA10-OJ9,IF($A10&lt;'Données projet'!$A$512,$CQ$205^$A10,IF($A10='Données projet'!$A$512,'Données projet'!$B$512,OB9+OA10-OJ9)))</f>
        <v>0</v>
      </c>
      <c r="OC10" s="17" t="e">
        <f>OB10*VLOOKUP('Données projet'!$B$27,Paramètres!$A$1:$I$89,3,0)*VLOOKUP('Données projet'!$B$27,Paramètres!$A$1:$I$89,5,0)</f>
        <v>#N/A</v>
      </c>
      <c r="OD10" s="13" t="e">
        <f t="shared" si="112"/>
        <v>#N/A</v>
      </c>
      <c r="OE10" s="14" t="e">
        <f t="shared" si="55"/>
        <v>#N/A</v>
      </c>
      <c r="OF10" s="59" t="e">
        <f t="shared" si="56"/>
        <v>#N/A</v>
      </c>
      <c r="OG10" s="20" t="e">
        <f ca="1">AVERAGE(OFFSET($OF$3,0,0,'Données projet'!$E$27+1,1))-AVERAGE(OFFSET($H$3,0,0,'Données projet'!$E$27+1,1))</f>
        <v>#N/A</v>
      </c>
      <c r="OH10" s="59" t="e">
        <f t="shared" si="113"/>
        <v>#N/A</v>
      </c>
      <c r="OI10" s="15">
        <f>IF(ISNA(VLOOKUP($A10,'Données projet'!$A$512:$I$532,3,0)),0,VLOOKUP($A10,'Données projet'!$A$512:$I$532,3,0))</f>
        <v>0</v>
      </c>
      <c r="OJ10" s="15">
        <f>IF(ISNA(VLOOKUP($A10,'Données projet'!$A$512:$I$532,4,0)),0,VLOOKUP($A10,'Données projet'!$A$512:$I$532,4,0))</f>
        <v>0</v>
      </c>
      <c r="OK10" s="16">
        <f>IF(ISNA(VLOOKUP($A10,'Données projet'!$A$512:$I$532,5,0)),0%,VLOOKUP($A10,'Données projet'!$A$512:$I$532,5,0)*VLOOKUP('Données projet'!$B$27,Paramètres!$A$1:$I$89,7,0))</f>
        <v>0</v>
      </c>
      <c r="OL10" s="16">
        <f>IF(ISNA(VLOOKUP($A10,'Données projet'!$A$512:$I$532,6,0)),0%,VLOOKUP($A10,'Données projet'!$A$512:$I$532,6,0)*VLOOKUP('Données projet'!$B$27,Paramètres!$A$1:$I$89,7,0))</f>
        <v>0</v>
      </c>
      <c r="OM10" s="16">
        <f>IF(ISNA(VLOOKUP($A10,'Données projet'!$A$512:$I$532,7,0)),0%,VLOOKUP($A10,'Données projet'!$A$512:$I$532,7,0))</f>
        <v>0</v>
      </c>
      <c r="ON10" s="21" t="e">
        <f>EXP(-LN(2)/35)*ON9+(1-EXP(-LN(2)/35))/(LN(2)/35)*OJ10*OK10*VLOOKUP('Données projet'!$B$27,Paramètres!$A$1:$I$89,3,0)*0.475*44/12</f>
        <v>#N/A</v>
      </c>
      <c r="OO10" s="21" t="e">
        <f>EXP(-LN(2)/25)*OO9+(1-EXP(-LN(2)/25))/(LN(2)/25)*Calculateur!OJ10*Calculateur!OL10*VLOOKUP('Données projet'!$B$27,Paramètres!$A$1:$I$89,3,0)*0.475*44/12</f>
        <v>#N/A</v>
      </c>
      <c r="OP10" s="21" t="e">
        <f>EXP(-LN(2)/2)*OP9+(1-EXP(-LN(2)/2))/(LN(2)/2)*OJ10*OM10*VLOOKUP('Données projet'!$B$27,Paramètres!$A$1:$I$89,3,0)*0.475*44/12</f>
        <v>#N/A</v>
      </c>
      <c r="OQ10" s="22" t="e">
        <f t="shared" si="114"/>
        <v>#N/A</v>
      </c>
      <c r="OR10" s="74">
        <f>('Scénario référence'!$F$8+'Scénario référence'!$F$9+'Scénario référence'!$B$17+'Scénario référence'!$B$9+'Scénario référence'!$B$10)*70+IF((45+25*(1-EXP(-0.0175*$A10)))&lt;70,'Scénario référence'!$B$16*(45+25*(1-EXP(-0.0175*$A10))),70*'Scénario référence'!$B$16)+IF((32+38*(1-EXP(-0.0175*$A10)))&lt;70,'Scénario référence'!$B$18*(32+38*(1-EXP(-0.0175*$A10))),70*'Scénario référence'!$B$18)</f>
        <v>70</v>
      </c>
      <c r="OS10" s="12">
        <f>IF($A10&gt;30,10,('Scénario référence'!$B$16+'Scénario référence'!$B$17+'Scénario référence'!$B$18+'Scénario référence'!$B$9+'Scénario référence'!$B$10)*$A10*10/30+('Scénario référence'!$F$8+'Scénario référence'!$F$9)*10)</f>
        <v>10</v>
      </c>
      <c r="OT10" s="12" t="e">
        <f>VLOOKUP($A10,'Données projet'!$A$538:$I$558,2,0)</f>
        <v>#N/A</v>
      </c>
      <c r="OU10" s="12" t="e">
        <f>VLOOKUP($A10,'Données projet'!$A$538:$I$558,9,0)</f>
        <v>#N/A</v>
      </c>
      <c r="OV10" s="12">
        <f t="array" ref="OV10">INDEX(OU:OU,MIN(IF(ISNUMBER(OU10:OU206),ROW(OU10:OU206),"")))</f>
        <v>0</v>
      </c>
      <c r="OW10" s="12">
        <f>IF('Données projet'!$A$538&gt;35,OW9+OV10-PE9,IF($A10&lt;'Données projet'!$A$538,$CQ$205^$A10,IF($A10='Données projet'!$A$538,'Données projet'!$B$538,OW9+OV10-PE9)))</f>
        <v>0</v>
      </c>
      <c r="OX10" s="17" t="e">
        <f>OW10*VLOOKUP('Données projet'!$B$28,Paramètres!$A$1:$I$89,3,0)*VLOOKUP('Données projet'!$B$28,Paramètres!$A$1:$I$89,5,0)</f>
        <v>#N/A</v>
      </c>
      <c r="OY10" s="13" t="e">
        <f t="shared" si="115"/>
        <v>#N/A</v>
      </c>
      <c r="OZ10" s="14" t="e">
        <f t="shared" si="58"/>
        <v>#N/A</v>
      </c>
      <c r="PA10" s="59" t="e">
        <f t="shared" si="59"/>
        <v>#N/A</v>
      </c>
      <c r="PB10" s="20" t="e">
        <f ca="1">AVERAGE(OFFSET($PA$3,0,0,'Données projet'!$E$28+1,1))-AVERAGE(OFFSET($H$3,0,0,'Données projet'!$E$28+1,1))</f>
        <v>#N/A</v>
      </c>
      <c r="PC10" s="59" t="e">
        <f t="shared" si="116"/>
        <v>#N/A</v>
      </c>
      <c r="PD10" s="15">
        <f>IF(ISNA(VLOOKUP($A10,'Données projet'!$A$538:$I$558,3,0)),0,VLOOKUP($A10,'Données projet'!$A$538:$I$558,3,0))</f>
        <v>0</v>
      </c>
      <c r="PE10" s="15">
        <f>IF(ISNA(VLOOKUP($A10,'Données projet'!$A$538:$I$558,4,0)),0,VLOOKUP($A10,'Données projet'!$A$538:$I$558,4,0))</f>
        <v>0</v>
      </c>
      <c r="PF10" s="16">
        <f>IF(ISNA(VLOOKUP($A10,'Données projet'!$A$538:$I$558,5,0)),0%,VLOOKUP($A10,'Données projet'!$A$538:$I$558,5,0)*VLOOKUP('Données projet'!$B$28,Paramètres!$A$1:$I$89,7,0))</f>
        <v>0</v>
      </c>
      <c r="PG10" s="16">
        <f>IF(ISNA(VLOOKUP($A10,'Données projet'!$A$538:$I$558,6,0)),0%,VLOOKUP($A10,'Données projet'!$A$538:$I$558,6,0)*VLOOKUP('Données projet'!$B$28,Paramètres!$A$1:$I$89,7,0))</f>
        <v>0</v>
      </c>
      <c r="PH10" s="16">
        <f>IF(ISNA(VLOOKUP($A10,'Données projet'!$A$538:$I$558,7,0)),0%,VLOOKUP($A10,'Données projet'!$A$538:$I$558,7,0))</f>
        <v>0</v>
      </c>
      <c r="PI10" s="21" t="e">
        <f>EXP(-LN(2)/35)*PI9+(1-EXP(-LN(2)/35))/(LN(2)/35)*PE10*PF10*VLOOKUP('Données projet'!$B$28,Paramètres!$A$1:$I$89,3,0)*0.475*44/12</f>
        <v>#N/A</v>
      </c>
      <c r="PJ10" s="21" t="e">
        <f>EXP(-LN(2)/25)*PJ9+(1-EXP(-LN(2)/25))/(LN(2)/25)*Calculateur!PE10*Calculateur!PG10*VLOOKUP('Données projet'!$B$28,Paramètres!$A$1:$I$89,3,0)*0.475*44/12</f>
        <v>#N/A</v>
      </c>
      <c r="PK10" s="21" t="e">
        <f>EXP(-LN(2)/2)*PK9+(1-EXP(-LN(2)/2))/(LN(2)/2)*PE10*PH10*VLOOKUP('Données projet'!$B$28,Paramètres!$A$1:$I$89,3,0)*0.475*44/12</f>
        <v>#N/A</v>
      </c>
      <c r="PL10" s="22" t="e">
        <f t="shared" si="117"/>
        <v>#N/A</v>
      </c>
    </row>
    <row r="11" spans="1:428" x14ac:dyDescent="0.35">
      <c r="A11" s="10">
        <f t="shared" si="6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6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projet'!$A$45:$I$65,2,0)</f>
        <v>#N/A</v>
      </c>
      <c r="L11" s="12" t="e">
        <f>VLOOKUP(A11,'Données projet'!$A$45:$I$65,9,0)</f>
        <v>#N/A</v>
      </c>
      <c r="M11" s="12">
        <f t="array" ref="M11">INDEX(L:L,MIN(IF(ISNUMBER(L11:L207),ROW(L11:L207),"")))</f>
        <v>10.16068376068376</v>
      </c>
      <c r="N11" s="13">
        <f>IF('Données projet'!$A$46&gt;35,N10+M11-V10,IF(A11&lt;'Données projet'!$A$46,$K$205^A11,IF(A11='Données projet'!$A$46,'Données projet'!$B$46,N10+M11-V10)))</f>
        <v>10.125586672224557</v>
      </c>
      <c r="O11" s="13">
        <f>N11*VLOOKUP('Données projet'!$B$9,Paramètres!$A$1:$I$89,3,0)*VLOOKUP('Données projet'!$B$9,Paramètres!$A$1:$I$89,5,0)</f>
        <v>5.6602029497735273</v>
      </c>
      <c r="P11" s="13">
        <f t="shared" si="63"/>
        <v>2.1318390984944533</v>
      </c>
      <c r="Q11" s="20">
        <f t="shared" si="2"/>
        <v>13.571139900733398</v>
      </c>
      <c r="R11" s="59">
        <f t="shared" si="0"/>
        <v>306.9044732340667</v>
      </c>
      <c r="S11" s="59">
        <f ca="1">AVERAGE(OFFSET($R$3,0,0,'Données projet'!$E$9+1,1))-AVERAGE(OFFSET($H$3,0,0,'Données projet'!$E$9+1,1))</f>
        <v>274.57619581652199</v>
      </c>
      <c r="T11" s="59">
        <f t="shared" si="64"/>
        <v>366.15117322598775</v>
      </c>
      <c r="U11" s="15">
        <f>IF(ISNA(VLOOKUP(A11,'Données projet'!$A$45:$I$65,3,0)),0,VLOOKUP(A11,'Données projet'!$A$45:$I$65,3,0))</f>
        <v>0</v>
      </c>
      <c r="V11" s="15">
        <f>IF(ISNA(VLOOKUP(A11,'Données projet'!$A$45:$I$65,4,0)),0,VLOOKUP(A11,'Données projet'!$A$45:$I$65,4,0))</f>
        <v>0</v>
      </c>
      <c r="W11" s="16">
        <f>IF(ISNA(VLOOKUP(A11,'Données projet'!$A$45:$I$65,5,0)),0%,VLOOKUP(A11,'Données projet'!$A$45:$I$65,5,0)*VLOOKUP('Données projet'!$B$9,Paramètres!$A$1:$I$89,7,0))</f>
        <v>0</v>
      </c>
      <c r="X11" s="16">
        <f>IF(ISNA(VLOOKUP(A11,'Données projet'!$A$45:$I$65,6,0)),0%,VLOOKUP(A11,'Données projet'!$A$45:$I$65,6,0)*VLOOKUP('Données projet'!$B$9,Paramètres!$A$1:$I$89,7,0))</f>
        <v>0</v>
      </c>
      <c r="Y11" s="16">
        <f>IF(ISNA(VLOOKUP(A11,'Données projet'!$A$45:$I$65,7,0)),0%,VLOOKUP(A11,'Données projet'!$A$45:$I$65,7,0))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projet'!$A$71:$I$91,2,0)</f>
        <v>#N/A</v>
      </c>
      <c r="AG11" s="12" t="e">
        <f>VLOOKUP(A11,'Données projet'!$A$71:$I$91,9,0)</f>
        <v>#N/A</v>
      </c>
      <c r="AH11" s="12">
        <f t="array" ref="AH11">INDEX(AG:AG,MIN(IF(ISNUMBER(AG11:AG207),ROW(AG11:AG207),"")))</f>
        <v>4.0628205128205126</v>
      </c>
      <c r="AI11" s="13">
        <f>IF('Données projet'!$A$72&gt;35,AI10+AH11-AQ10,IF(A11&lt;'Données projet'!$A$72,$AF$205^A11,IF(A11='Données projet'!$A$72,'Données projet'!$B$72,AI10+AH11-AQ10)))</f>
        <v>3.5995900084872572</v>
      </c>
      <c r="AJ11" s="13">
        <f>AI11*VLOOKUP('Données projet'!$B$10,Paramètres!$A$1:$I$89,3,0)*VLOOKUP('Données projet'!$B$10,Paramètres!$A$1:$I$89,5,0)</f>
        <v>3.2569090396792704</v>
      </c>
      <c r="AK11" s="13">
        <f t="shared" si="65"/>
        <v>1.3081788372653314</v>
      </c>
      <c r="AL11" s="20">
        <f t="shared" si="4"/>
        <v>7.9508613856785146</v>
      </c>
      <c r="AM11" s="59">
        <f t="shared" si="5"/>
        <v>301.28419471901185</v>
      </c>
      <c r="AN11" s="59">
        <f ca="1">AVERAGE(OFFSET($AM$3,0,0,'Données projet'!$E$10+1,1))-AVERAGE(OFFSET($H$3,0,0,'Données projet'!$E$10+1,1))</f>
        <v>270.87836509222456</v>
      </c>
      <c r="AO11" s="59">
        <f t="shared" si="66"/>
        <v>205.24998237949734</v>
      </c>
      <c r="AP11" s="15">
        <f>IF(ISNA(VLOOKUP(A11,'Données projet'!$A$71:$I$91,3,0)),0,VLOOKUP(A11,'Données projet'!$A$71:$I$91,3,0))</f>
        <v>0</v>
      </c>
      <c r="AQ11" s="15">
        <f>IF(ISNA(VLOOKUP(A11,'Données projet'!$A$71:$I$91,4,0)),0,VLOOKUP(A11,'Données projet'!$A$71:$I$91,4,0))</f>
        <v>0</v>
      </c>
      <c r="AR11" s="16">
        <f>IF(ISNA(VLOOKUP(A11,'Données projet'!$A$71:$I$91,5,0)),0%,VLOOKUP(A11,'Données projet'!$A$71:$I$91,5,0)*VLOOKUP('Données projet'!$B$10,Paramètres!$A$1:$I$89,7,0))</f>
        <v>0</v>
      </c>
      <c r="AS11" s="16">
        <f>IF(ISNA(VLOOKUP(A11,'Données projet'!$A$71:$I$91,6,0)),0%,VLOOKUP(A11,'Données projet'!$A$71:$I$91,6,0)*VLOOKUP('Données projet'!$B$10,Paramètres!$A$1:$I$89,7,0))</f>
        <v>0</v>
      </c>
      <c r="AT11" s="16">
        <f>IF(ISNA(VLOOKUP(A11,'Données projet'!$A$71:$I$91,7,0)),0%,VLOOKUP(A11,'Données projet'!$A$71:$I$91,7,0))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projet'!$A$97:$I$117,2,0)</f>
        <v>#N/A</v>
      </c>
      <c r="BB11" s="12" t="e">
        <f>VLOOKUP(A11,'Données projet'!$A$97:$I$117,9,0)</f>
        <v>#N/A</v>
      </c>
      <c r="BC11" s="12">
        <f t="array" ref="BC11">INDEX(BB:BB,MIN(IF(ISNUMBER(BB11:BB207),ROW(BB11:BB207),"")))</f>
        <v>10.16068376068376</v>
      </c>
      <c r="BD11" s="12">
        <f>IF('Données projet'!$A$98&gt;35,BD10+BC11-BL10,IF(A11&lt;'Données projet'!$A$98,$BA$205^A11,IF(A11='Données projet'!$A$98,'Données projet'!$B$98,BD10+BC11-BL10)))</f>
        <v>10.125586672224557</v>
      </c>
      <c r="BE11" s="13">
        <f>BD11*VLOOKUP('Données projet'!$B$11,Paramètres!$A$1:$I$89,3,0)*VLOOKUP('Données projet'!$B$11,Paramètres!$A$1:$I$89,5,0)</f>
        <v>4.4755093091232547</v>
      </c>
      <c r="BF11" s="13">
        <f t="shared" si="67"/>
        <v>1.7323532962896719</v>
      </c>
      <c r="BG11" s="20">
        <f t="shared" si="7"/>
        <v>10.81202737109418</v>
      </c>
      <c r="BH11" s="59">
        <f t="shared" si="8"/>
        <v>304.1453607044275</v>
      </c>
      <c r="BI11" s="59">
        <f ca="1">AVERAGE(OFFSET($BH$3,0,0,'Données projet'!$E$11+1,1))-AVERAGE(OFFSET($H$3,0,0,'Données projet'!$E$11+1,1))</f>
        <v>211.31057120485542</v>
      </c>
      <c r="BJ11" s="59">
        <f t="shared" si="68"/>
        <v>283.33292006714777</v>
      </c>
      <c r="BK11" s="15">
        <f>IF(ISNA(VLOOKUP(A11,'Données projet'!$A$97:$I$117,3,0)),0,VLOOKUP(A11,'Données projet'!$A$97:$I$117,3,0))</f>
        <v>0</v>
      </c>
      <c r="BL11" s="15">
        <f>IF(ISNA(VLOOKUP(A11,'Données projet'!$A$97:$I$117,4,0)),0,VLOOKUP(A11,'Données projet'!$A$97:$I$117,4,0))</f>
        <v>0</v>
      </c>
      <c r="BM11" s="16">
        <f>IF(ISNA(VLOOKUP(A11,'Données projet'!$A$97:$I$117,5,0)),0%,VLOOKUP(A11,'Données projet'!$A$97:$I$117,5,0)*VLOOKUP('Données projet'!$B$11,Paramètres!$A$1:$I$89,7,0))</f>
        <v>0</v>
      </c>
      <c r="BN11" s="16">
        <f>IF(ISNA(VLOOKUP(A11,'Données projet'!$A$97:$I$117,6,0)),0%,VLOOKUP(A11,'Données projet'!$A$97:$I$117,6,0)*VLOOKUP('Données projet'!$B$11,Paramètres!$A$1:$I$89,7,0))</f>
        <v>0</v>
      </c>
      <c r="BO11" s="16">
        <f>IF(ISNA(VLOOKUP(A11,'Données projet'!$A$97:$I$117,7,0)),0%,VLOOKUP(A11,'Données projet'!$A$97:$I$117,7,0))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projet'!$A$123:$I$143,2,0)</f>
        <v>#N/A</v>
      </c>
      <c r="BW11" s="12" t="e">
        <f>VLOOKUP(A11,'Données projet'!$A$123:$I$143,9,0)</f>
        <v>#N/A</v>
      </c>
      <c r="BX11" s="12">
        <f t="array" ref="BX11">INDEX(BW:BW,MIN(IF(ISNUMBER(BW11:BW207),ROW(BW11:BW207),"")))</f>
        <v>2.9</v>
      </c>
      <c r="BY11" s="12">
        <f>IF('Données projet'!$A$124&gt;35,BY10+BX11-CG10,IF(A11&lt;'Données projet'!$A$124,$BV$205^A11,IF(A11='Données projet'!$A$124,'Données projet'!$B$124,BY10+BX11-CG10)))</f>
        <v>14.7883049748087</v>
      </c>
      <c r="BZ11" s="13">
        <f>BY11*VLOOKUP('Données projet'!$B$12,Paramètres!$A$1:$I$89,3,0)*VLOOKUP('Données projet'!$B$12,Paramètres!$A$1:$I$89,5,0)</f>
        <v>15.456736359670055</v>
      </c>
      <c r="CA11" s="13">
        <f t="shared" si="69"/>
        <v>5.1791269009368985</v>
      </c>
      <c r="CB11" s="20">
        <f t="shared" si="10"/>
        <v>35.940795178890447</v>
      </c>
      <c r="CC11" s="59">
        <f t="shared" si="11"/>
        <v>329.27412851222374</v>
      </c>
      <c r="CD11" s="59">
        <f ca="1">AVERAGE(OFFSET($CC$3,0,0,'Données projet'!$E$12+1,1))-AVERAGE(OFFSET($H$3,0,0,'Données projet'!$E$12+1,1))</f>
        <v>322.93502595881938</v>
      </c>
      <c r="CE11" s="59">
        <f t="shared" si="70"/>
        <v>302.67072119588164</v>
      </c>
      <c r="CF11" s="15">
        <f>IF(ISNA(VLOOKUP(A11,'Données projet'!$A$123:$I$143,3,0)),0,VLOOKUP(A11,'Données projet'!$A$123:$I$143,3,0))</f>
        <v>0</v>
      </c>
      <c r="CG11" s="15">
        <f>IF(ISNA(VLOOKUP(A11,'Données projet'!$A$123:$I$143,4,0)),0,VLOOKUP(A11,'Données projet'!$A$123:$I$143,4,0))</f>
        <v>0</v>
      </c>
      <c r="CH11" s="16">
        <f>IF(ISNA(VLOOKUP(A11,'Données projet'!$A$123:$I$143,5,0)),0%,VLOOKUP(A11,'Données projet'!$A$123:$I$143,5,0)*VLOOKUP('Données projet'!$B$12,Paramètres!$A$1:$I$89,7,0))</f>
        <v>0</v>
      </c>
      <c r="CI11" s="16">
        <f>IF(ISNA(VLOOKUP(A11,'Données projet'!$A$123:$I$143,6,0)),0%,VLOOKUP(A11,'Données projet'!$A$123:$I$143,6,0)*VLOOKUP('Données projet'!$B$12,Paramètres!$A$1:$I$89,7,0))</f>
        <v>0</v>
      </c>
      <c r="CJ11" s="16">
        <f>IF(ISNA(VLOOKUP(A11,'Données projet'!$A$123:$I$143,7,0)),0%,VLOOKUP(A11,'Données projet'!$A$123:$I$143,7,0))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projet'!$A$149:$I$169,2,0)</f>
        <v>#N/A</v>
      </c>
      <c r="CR11" s="12" t="e">
        <f>VLOOKUP(A11,'Données projet'!$A$149:$I$169,9,0)</f>
        <v>#N/A</v>
      </c>
      <c r="CS11" s="12">
        <f t="array" ref="CS11">INDEX(CR:CR,MIN(IF(ISNUMBER(CR11:CR207),ROW(CR11:CR207),"")))</f>
        <v>2.9235042735042733</v>
      </c>
      <c r="CT11" s="12">
        <f>IF('Données projet'!$A$150&gt;35,CT10+CS11-DB10,IF(A11&lt;'Données projet'!$A$150,$CQ$205^A11,IF(A11='Données projet'!$A$150,'Données projet'!$B$150,CT10+CS11-DB10)))</f>
        <v>3.2971598043944974</v>
      </c>
      <c r="CU11" s="17">
        <f>CT11*VLOOKUP('Données projet'!$B$13,Paramètres!$A$1:$I$89,3,0)*VLOOKUP('Données projet'!$B$13,Paramètres!$A$1:$I$89,5,0)</f>
        <v>3.3433200416560207</v>
      </c>
      <c r="CV11" s="13">
        <f t="shared" si="71"/>
        <v>1.3387999979323115</v>
      </c>
      <c r="CW11" s="20">
        <f t="shared" si="13"/>
        <v>8.1546924022830094</v>
      </c>
      <c r="CX11" s="59">
        <f t="shared" si="14"/>
        <v>301.4880257356163</v>
      </c>
      <c r="CY11" s="59">
        <f ca="1">AVERAGE(OFFSET($CX$3,0,0,'Données projet'!$E$13+1,1))-AVERAGE(OFFSET($H$3,0,0,'Données projet'!$E$13+1,1))</f>
        <v>250.31277422753283</v>
      </c>
      <c r="CZ11" s="59">
        <f t="shared" si="72"/>
        <v>159.20429420478047</v>
      </c>
      <c r="DA11" s="15">
        <f>IF(ISNA(VLOOKUP(A11,'Données projet'!$A$149:$I$169,3,0)),0,VLOOKUP(A11,'Données projet'!$A$149:$I$169,3,0))</f>
        <v>0</v>
      </c>
      <c r="DB11" s="15">
        <f>IF(ISNA(VLOOKUP(A11,'Données projet'!$A$149:$I$169,4,0)),0,VLOOKUP(A11,'Données projet'!$A$149:$I$169,4,0))</f>
        <v>0</v>
      </c>
      <c r="DC11" s="16">
        <f>IF(ISNA(VLOOKUP(A11,'Données projet'!$A$149:$I$169,5,0)),0%,VLOOKUP(A11,'Données projet'!$A$149:$I$169,5,0)*VLOOKUP('Données projet'!$B$13,Paramètres!$A$1:$I$89,7,0))</f>
        <v>0</v>
      </c>
      <c r="DD11" s="16">
        <f>IF(ISNA(VLOOKUP(A11,'Données projet'!$A$149:$I$169,6,0)),0%,VLOOKUP(A11,'Données projet'!$A$149:$I$169,6,0)*VLOOKUP('Données projet'!$B$13,Paramètres!$A$1:$I$89,7,0))</f>
        <v>0</v>
      </c>
      <c r="DE11" s="16">
        <f>IF(ISNA(VLOOKUP(A11,'Données projet'!$A$149:$I$169,7,0)),0%,VLOOKUP(A11,'Données projet'!$A$149:$I$169,7,0))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projet'!$A$175:$I$195,2,0)</f>
        <v>#N/A</v>
      </c>
      <c r="DM11" s="12" t="e">
        <f>VLOOKUP(A11,'Données projet'!$A$175:$I$195,9,0)</f>
        <v>#N/A</v>
      </c>
      <c r="DN11" s="12">
        <f t="array" ref="DN11">INDEX(DM:DM,MIN(IF(ISNUMBER(DM11:DM207),ROW(DM11:DM207),"")))</f>
        <v>1.9</v>
      </c>
      <c r="DO11" s="12">
        <f>IF('Données projet'!$A$176&gt;35,DO10+DN11-DW10,IF(A11&lt;'Données projet'!$A$176,$DL$205^A11,IF(A11='Données projet'!$A$176,'Données projet'!$B$176,DO10+DN11-DW10)))</f>
        <v>10.543938903738736</v>
      </c>
      <c r="DP11" s="17">
        <f>DO11*VLOOKUP('Données projet'!$B$14,Paramètres!$A$1:$I$89,3,0)*VLOOKUP('Données projet'!$B$14,Paramètres!$A$1:$I$89,5,0)</f>
        <v>7.730816004221241</v>
      </c>
      <c r="DQ11" s="13">
        <f t="shared" si="73"/>
        <v>2.8079409641844508</v>
      </c>
      <c r="DR11" s="20">
        <f t="shared" si="16"/>
        <v>18.355001719973249</v>
      </c>
      <c r="DS11" s="59">
        <f t="shared" si="17"/>
        <v>311.68833505330656</v>
      </c>
      <c r="DT11" s="59">
        <f ca="1">AVERAGE(OFFSET($DS$3,0,0,'Données projet'!$E$14+1,1))-AVERAGE(OFFSET($H$3,0,0,'Données projet'!$E$14+1,1))</f>
        <v>296.91321813251051</v>
      </c>
      <c r="DU11" s="59">
        <f t="shared" si="74"/>
        <v>291.0718079639509</v>
      </c>
      <c r="DV11" s="15">
        <f>IF(ISNA(VLOOKUP(A11,'Données projet'!$A$175:$I$195,3,0)),0,VLOOKUP(A11,'Données projet'!$A$175:$I$195,3,0))</f>
        <v>0</v>
      </c>
      <c r="DW11" s="15">
        <f>IF(ISNA(VLOOKUP(A11,'Données projet'!$A$175:$I$195,4,0)),0,VLOOKUP(A11,'Données projet'!$A$175:$I$195,4,0))</f>
        <v>0</v>
      </c>
      <c r="DX11" s="16">
        <f>IF(ISNA(VLOOKUP(A11,'Données projet'!$A$175:$I$195,5,0)),0%,VLOOKUP(A11,'Données projet'!$A$175:$I$195,5,0)*VLOOKUP('Données projet'!$B$14,Paramètres!$A$1:$I$89,7,0))</f>
        <v>0</v>
      </c>
      <c r="DY11" s="16">
        <f>IF(ISNA(VLOOKUP(A11,'Données projet'!$A$175:$I$195,6,0)),0%,VLOOKUP(A11,'Données projet'!$A$175:$I$195,6,0)*VLOOKUP('Données projet'!$B$14,Paramètres!$A$1:$I$89,7,0))</f>
        <v>0</v>
      </c>
      <c r="DZ11" s="16">
        <f>IF(ISNA(VLOOKUP(A11,'Données projet'!$A$175:$I$195,7,0)),0%,VLOOKUP(A11,'Données projet'!$A$175:$I$195,7,0))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projet'!$A$201:$I$221,2,0)</f>
        <v>#N/A</v>
      </c>
      <c r="EH11" s="12" t="e">
        <f>VLOOKUP(A11,'Données projet'!$A$201:$I$221,9,0)</f>
        <v>#N/A</v>
      </c>
      <c r="EI11" s="12">
        <f t="array" ref="EI11">INDEX(EH:EH,MIN(IF(ISNUMBER(EH11:EH207),ROW(EH11:EH207),"")))</f>
        <v>3.4425641025641025</v>
      </c>
      <c r="EJ11" s="12">
        <f>IF('Données projet'!$A$202&gt;35,EJ10+EI11-ER10,IF(A11&lt;'Données projet'!$A$202,$EG$205^A11,IF(A11='Données projet'!$A$202,'Données projet'!$B$202,EJ10+EI11-ER10)))</f>
        <v>3.4440349034385327</v>
      </c>
      <c r="EK11" s="17">
        <f>EJ11*VLOOKUP('Données projet'!$B$15,Paramètres!$A$1:$I$89,3,0)*VLOOKUP('Données projet'!$B$15,Paramètres!$A$1:$I$89,5,0)</f>
        <v>1.6118083348092334</v>
      </c>
      <c r="EL11" s="13">
        <f t="shared" si="75"/>
        <v>0.70264212414165761</v>
      </c>
      <c r="EM11" s="20">
        <f t="shared" si="19"/>
        <v>4.0310012160061346</v>
      </c>
      <c r="EN11" s="59">
        <f t="shared" si="20"/>
        <v>297.36433454933945</v>
      </c>
      <c r="EO11" s="59">
        <f ca="1">AVERAGE(OFFSET($EN$3,0,0,'Données projet'!$E$15+1,1))-AVERAGE(OFFSET($H$3,0,0,'Données projet'!$E$15+1,1))</f>
        <v>147.64256291235483</v>
      </c>
      <c r="EP11" s="59">
        <f t="shared" si="76"/>
        <v>70.859031694091868</v>
      </c>
      <c r="EQ11" s="15">
        <f>IF(ISNA(VLOOKUP(A11,'Données projet'!$A$201:$I$221,3,0)),0,VLOOKUP(A11,'Données projet'!$A$201:$I$221,3,0))</f>
        <v>0</v>
      </c>
      <c r="ER11" s="15">
        <f>IF(ISNA(VLOOKUP(A11,'Données projet'!$A$201:$I$221,4,0)),0,VLOOKUP(A11,'Données projet'!$A$201:$I$221,4,0))</f>
        <v>0</v>
      </c>
      <c r="ES11" s="16">
        <f>IF(ISNA(VLOOKUP(A11,'Données projet'!$A$201:$I$221,5,0)),0%,VLOOKUP(A11,'Données projet'!$A$201:$I$221,5,0)*VLOOKUP('Données projet'!$B$15,Paramètres!$A$1:$I$89,7,0))</f>
        <v>0</v>
      </c>
      <c r="ET11" s="16">
        <f>IF(ISNA(VLOOKUP(A11,'Données projet'!$A$201:$I$221,6,0)),0%,VLOOKUP(A11,'Données projet'!$A$201:$I$221,6,0)*VLOOKUP('Données projet'!$B$15,Paramètres!$A$1:$I$89,7,0))</f>
        <v>0</v>
      </c>
      <c r="EU11" s="16">
        <f>IF(ISNA(VLOOKUP(A11,'Données projet'!$A$201:$I$221,7,0)),0%,VLOOKUP(A11,'Données projet'!$A$201:$I$221,7,0))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projet'!$A$227:$I$247,2,0)</f>
        <v>#N/A</v>
      </c>
      <c r="FC11" s="12" t="e">
        <f>VLOOKUP(A11,'Données projet'!$A$227:$I$247,9,0)</f>
        <v>#N/A</v>
      </c>
      <c r="FD11" s="12">
        <f t="array" ref="FD11">INDEX(FC:FC,MIN(IF(ISNUMBER(FC11:FC207),ROW(FC11:FC207),"")))</f>
        <v>1.8</v>
      </c>
      <c r="FE11" s="12">
        <f>IF('Données projet'!$A$228&gt;35,FE10+FD11-FM10,IF(A11&lt;'Données projet'!$A$228,$FB$205^A11,IF(A11='Données projet'!$A$228,'Données projet'!$B$228,FE10+FD11-FM10)))</f>
        <v>10.097596309015799</v>
      </c>
      <c r="FF11" s="17">
        <f>FE11*VLOOKUP('Données projet'!$B$16,Paramètres!$A$1:$I$89,3,0)*VLOOKUP('Données projet'!$B$16,Paramètres!$A$1:$I$89,5,0)</f>
        <v>10.554007662183313</v>
      </c>
      <c r="FG11" s="13">
        <f t="shared" si="77"/>
        <v>3.6969509118872272</v>
      </c>
      <c r="FH11" s="20">
        <f t="shared" si="22"/>
        <v>24.820419516506192</v>
      </c>
      <c r="FI11" s="59">
        <f t="shared" si="23"/>
        <v>318.15375284983952</v>
      </c>
      <c r="FJ11" s="59">
        <f ca="1">AVERAGE(OFFSET($FI$3,0,0,'Données projet'!$E$16+1,1))-AVERAGE(OFFSET($H$3,0,0,'Données projet'!$E$16+1,1))</f>
        <v>259.03906550253788</v>
      </c>
      <c r="FK11" s="59">
        <f t="shared" si="78"/>
        <v>235.54542903570831</v>
      </c>
      <c r="FL11" s="15">
        <f>IF(ISNA(VLOOKUP(A11,'Données projet'!$A$227:$I$247,3,0)),0,VLOOKUP(A11,'Données projet'!$A$227:$I$247,3,0))</f>
        <v>0</v>
      </c>
      <c r="FM11" s="15">
        <f>IF(ISNA(VLOOKUP(A11,'Données projet'!$A$227:$I$247,4,0)),0,VLOOKUP(A11,'Données projet'!$A$227:$I$247,4,0))</f>
        <v>0</v>
      </c>
      <c r="FN11" s="16">
        <f>IF(ISNA(VLOOKUP(A11,'Données projet'!$A$227:$I$247,5,0)),0%,VLOOKUP(A11,'Données projet'!$A$227:$I$247,5,0)*VLOOKUP('Données projet'!$B$16,Paramètres!$A$1:$I$89,7,0))</f>
        <v>0</v>
      </c>
      <c r="FO11" s="16">
        <f>IF(ISNA(VLOOKUP(A11,'Données projet'!$A$227:$I$247,6,0)),0%,VLOOKUP(A11,'Données projet'!$A$227:$I$247,6,0)*VLOOKUP('Données projet'!$B$16,Paramètres!$A$1:$I$89,7,0))</f>
        <v>0</v>
      </c>
      <c r="FP11" s="16">
        <f>IF(ISNA(VLOOKUP(A11,'Données projet'!$A$227:$I$247,7,0)),0%,VLOOKUP(A11,'Données projet'!$A$227:$I$247,7,0))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projet'!$A$253:$I$273,2,0)</f>
        <v>#N/A</v>
      </c>
      <c r="FX11" s="12" t="e">
        <f>VLOOKUP(A11,'Données projet'!$A$253:$I$273,9,0)</f>
        <v>#N/A</v>
      </c>
      <c r="FY11" s="12">
        <f t="array" ref="FY11">INDEX(FX:FX,MIN(IF(ISNUMBER(FX11:FX207),ROW(FX11:FX207),"")))</f>
        <v>2.4666666666666668</v>
      </c>
      <c r="FZ11" s="12">
        <f>IF('Données projet'!$A$254&gt;35,FZ10+FY11-GH10,IF(A11&lt;'Données projet'!$A$254,$FW$205^A11,IF(A11='Données projet'!$A$254,'Données projet'!$B$254,FZ10+FY11-GH10)))</f>
        <v>6.8607919984549888</v>
      </c>
      <c r="GA11" s="17">
        <f>FZ11*VLOOKUP('Données projet'!$B$17,Paramètres!$A$1:$I$89,3,0)*VLOOKUP('Données projet'!$B$17,Paramètres!$A$1:$I$89,5,0)</f>
        <v>5.9935878898502795</v>
      </c>
      <c r="GB11" s="13">
        <f t="shared" si="79"/>
        <v>2.2424160357272664</v>
      </c>
      <c r="GC11" s="20">
        <f t="shared" si="25"/>
        <v>14.344373503714223</v>
      </c>
      <c r="GD11" s="59">
        <f t="shared" si="26"/>
        <v>307.67770683704754</v>
      </c>
      <c r="GE11" s="59">
        <f ca="1">AVERAGE(OFFSET($GD$3,0,0,'Données projet'!$E$17+1,1))-AVERAGE(OFFSET($H$3,0,0,'Données projet'!$E$17+1,1))</f>
        <v>245.1983232777614</v>
      </c>
      <c r="GF11" s="59">
        <f t="shared" si="80"/>
        <v>242.34010522344573</v>
      </c>
      <c r="GG11" s="15">
        <f>IF(ISNA(VLOOKUP(A11,'Données projet'!$A$253:$I$273,3,0)),0,VLOOKUP(A11,'Données projet'!$A$253:$I$273,3,0))</f>
        <v>0</v>
      </c>
      <c r="GH11" s="15">
        <f>IF(ISNA(VLOOKUP(A11,'Données projet'!$A$253:$I$273,4,0)),0,VLOOKUP(A11,'Données projet'!$A$253:$I$273,4,0))</f>
        <v>0</v>
      </c>
      <c r="GI11" s="16">
        <f>IF(ISNA(VLOOKUP(A11,'Données projet'!$A$253:$I$273,5,0)),0%,VLOOKUP(A11,'Données projet'!$A$253:$I$273,5,0)*VLOOKUP('Données projet'!$B$17,Paramètres!$A$1:$I$89,7,0))</f>
        <v>0</v>
      </c>
      <c r="GJ11" s="16">
        <f>IF(ISNA(VLOOKUP(A11,'Données projet'!$A$253:$I$273,6,0)),0%,VLOOKUP(A11,'Données projet'!$A$253:$I$273,6,0)*VLOOKUP('Données projet'!$B$17,Paramètres!$A$1:$I$89,7,0))</f>
        <v>0</v>
      </c>
      <c r="GK11" s="16">
        <f>IF(ISNA(VLOOKUP(A11,'Données projet'!$A$253:$I$273,7,0)),0%,VLOOKUP(A11,'Données projet'!$A$253:$I$273,7,0))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projet'!$A$279:$I$299,2,0)</f>
        <v>#N/A</v>
      </c>
      <c r="GS11" s="12" t="e">
        <f>VLOOKUP(A11,'Données projet'!$A$279:$I$299,9,0)</f>
        <v>#N/A</v>
      </c>
      <c r="GT11" s="12">
        <f t="array" ref="GT11">INDEX(GS:GS,MIN(IF(ISNUMBER(GS11:GS207),ROW(GS11:GS207),"")))</f>
        <v>4.1333333333333337</v>
      </c>
      <c r="GU11" s="12">
        <f>IF('Données projet'!$A$280&gt;35,GU10+GT11-HC10,IF(A11&lt;'Données projet'!$A$280,$GR$205^A11,IF(A11='Données projet'!$A$280,'Données projet'!$B$280,GU10+GT11-HC10)))</f>
        <v>9.0352928710779814</v>
      </c>
      <c r="GV11" s="17">
        <f>GU11*VLOOKUP('Données projet'!$B$18,Paramètres!$A$1:$I$89,3,0)*VLOOKUP('Données projet'!$B$18,Paramètres!$A$1:$I$89,5,0)</f>
        <v>3.6412230270444268</v>
      </c>
      <c r="GW11" s="13">
        <f t="shared" si="81"/>
        <v>1.443677413549314</v>
      </c>
      <c r="GX11" s="20">
        <f t="shared" si="28"/>
        <v>8.8562016007007642</v>
      </c>
      <c r="GY11" s="59">
        <f t="shared" si="29"/>
        <v>302.1895349340341</v>
      </c>
      <c r="GZ11" s="59">
        <f ca="1">AVERAGE(OFFSET($GY$3,0,0,'Données projet'!$E$18+1,1))-AVERAGE(OFFSET($H$3,0,0,'Données projet'!$E$18+1,1))</f>
        <v>324.36162935850876</v>
      </c>
      <c r="HA11" s="59">
        <f t="shared" si="82"/>
        <v>265.23571072429735</v>
      </c>
      <c r="HB11" s="15">
        <f>IF(ISNA(VLOOKUP(A11,'Données projet'!$A$279:$I$299,3,0)),0,VLOOKUP(A11,'Données projet'!$A$279:$I$299,3,0))</f>
        <v>0</v>
      </c>
      <c r="HC11" s="15">
        <f>IF(ISNA(VLOOKUP(A11,'Données projet'!$A$279:$I$299,4,0)),0,VLOOKUP(A11,'Données projet'!$A$279:$I$299,4,0))</f>
        <v>0</v>
      </c>
      <c r="HD11" s="16">
        <f>IF(ISNA(VLOOKUP(A11,'Données projet'!$A$279:$I$299,5,0)),0%,VLOOKUP(A11,'Données projet'!$A$279:$I$299,5,0)*VLOOKUP('Données projet'!$B$18,Paramètres!$A$1:$I$89,7,0))</f>
        <v>0</v>
      </c>
      <c r="HE11" s="16">
        <f>IF(ISNA(VLOOKUP(A11,'Données projet'!$A$279:$I$299,6,0)),0%,VLOOKUP(A11,'Données projet'!$A$279:$I$299,6,0)*VLOOKUP('Données projet'!$B$18,Paramètres!$A$1:$I$89,7,0))</f>
        <v>0</v>
      </c>
      <c r="HF11" s="16">
        <f>IF(ISNA(VLOOKUP($A11,'Données projet'!$A$279:$I$299,7,0)),0%,VLOOKUP($A11,'Données projet'!$A$279:$I$299,7,0))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  <c r="HK11" s="74">
        <f>('Scénario référence'!$F$8+'Scénario référence'!$F$9+'Scénario référence'!$B$17+'Scénario référence'!$B$9+'Scénario référence'!$B$10)*70+IF((45+25*(1-EXP(-0.0175*$A11)))&lt;70,'Scénario référence'!$B$16*(45+25*(1-EXP(-0.0175*$A11))),70*'Scénario référence'!$B$16)+IF((32+38*(1-EXP(-0.0175*$A11)))&lt;70,'Scénario référence'!$B$18*(32+38*(1-EXP(-0.0175*$A11))),70*'Scénario référence'!$B$18)</f>
        <v>70</v>
      </c>
      <c r="HL11" s="12">
        <f>IF($A11&gt;30,10,('Scénario référence'!$B$16+'Scénario référence'!$B$17+'Scénario référence'!$B$18+'Scénario référence'!$B$9+'Scénario référence'!$B$10)*$A11*10/30+('Scénario référence'!$F$8+'Scénario référence'!$F$9)*10)</f>
        <v>10</v>
      </c>
      <c r="HM11" s="12">
        <f>VLOOKUP($A11,'Données projet'!$A$304:$I$324,2,0)</f>
        <v>43.530512820512811</v>
      </c>
      <c r="HN11" s="12">
        <f>VLOOKUP($A11,'Données projet'!$A$304:$I$324,9,0)</f>
        <v>11.801282051282048</v>
      </c>
      <c r="HO11" s="12">
        <f t="array" ref="HO11">INDEX(HN:HN,MIN(IF(ISNUMBER(HN11:HN207),ROW(HN11:HN207),"")))</f>
        <v>11.801282051282048</v>
      </c>
      <c r="HP11" s="12">
        <f>IF('Données projet'!$A$304&gt;35,HP10+HO11-HX10,IF($A11&lt;'Données projet'!$A$304,$CQ$205^$A11,IF($A11='Données projet'!$A$304,'Données projet'!$B$304,HP10+HO11-HX10)))</f>
        <v>43.530512820512811</v>
      </c>
      <c r="HQ11" s="17">
        <f>HP11*VLOOKUP('Données projet'!$B$19,Paramètres!$A$1:$I$89,3,0)*VLOOKUP('Données projet'!$B$19,Paramètres!$A$1:$I$89,5,0)</f>
        <v>22.137877599999996</v>
      </c>
      <c r="HR11" s="13">
        <f t="shared" si="83"/>
        <v>7.1140058582669683</v>
      </c>
      <c r="HS11" s="14">
        <f t="shared" si="31"/>
        <v>50.947030356481626</v>
      </c>
      <c r="HT11" s="59">
        <f t="shared" si="32"/>
        <v>344.28036368981492</v>
      </c>
      <c r="HU11" s="59">
        <f ca="1">AVERAGE(OFFSET(HT$3,0,0,'Données projet'!$E$19+1,1))-AVERAGE(OFFSET($H$3,0,0,'Données projet'!$E$19+1,1))</f>
        <v>91.60721429656013</v>
      </c>
      <c r="HV11" s="59">
        <f t="shared" si="84"/>
        <v>258.94957804210856</v>
      </c>
      <c r="HW11" s="15">
        <f>IF(ISNA(VLOOKUP($A11,'Données projet'!$A$304:$I$324,3,0)),0,VLOOKUP($A11,'Données projet'!$A$304:$I$324,3,0))</f>
        <v>0</v>
      </c>
      <c r="HX11" s="15">
        <f>IF(ISNA(VLOOKUP($A11,'Données projet'!$A$304:$I$324,4,0)),0,VLOOKUP($A11,'Données projet'!$A$304:$I$324,4,0))</f>
        <v>0</v>
      </c>
      <c r="HY11" s="16">
        <f>IF(ISNA(VLOOKUP($A11,'Données projet'!$A$304:$I$324,5,0)),0%,VLOOKUP($A11,'Données projet'!$A$304:$I$324,5,0)*VLOOKUP('Données projet'!$B$19,Paramètres!$A$1:$I$89,7,0))</f>
        <v>0</v>
      </c>
      <c r="HZ11" s="16">
        <f>IF(ISNA(VLOOKUP($A11,'Données projet'!$A$304:$I$324,6,0)),0%,VLOOKUP($A11,'Données projet'!$A$304:$I$324,6,0)*VLOOKUP('Données projet'!$B$19,Paramètres!$A$1:$I$89,7,0))</f>
        <v>0</v>
      </c>
      <c r="IA11" s="16">
        <f>IF(ISNA(VLOOKUP($A11,'Données projet'!$A$304:$I$324,7,0)),0%,VLOOKUP($A11,'Données projet'!$A$304:$I$324,7,0))</f>
        <v>0</v>
      </c>
      <c r="IB11" s="21">
        <f>EXP(-LN(2)/35)*IB10+(1-EXP(-LN(2)/35))/(LN(2)/35)*HX11*HY11*VLOOKUP('Données projet'!$B$19,Paramètres!$A$1:$I$89,3,0)*0.475*44/12</f>
        <v>0</v>
      </c>
      <c r="IC11" s="21">
        <f>EXP(-LN(2)/25)*IC10+(1-EXP(-LN(2)/25))/(LN(2)/25)*Calculateur!HX11*Calculateur!HZ11*VLOOKUP('Données projet'!$B$19,Paramètres!$A$1:$I$89,3,0)*0.475*44/12</f>
        <v>0</v>
      </c>
      <c r="ID11" s="21">
        <f>EXP(-LN(2)/2)*ID10+(1-EXP(-LN(2)/2))/(LN(2)/2)*HX11*IA11*VLOOKUP('Données projet'!$B$19,Paramètres!$A$1:$I$89,3,0)*0.475*44/12</f>
        <v>0</v>
      </c>
      <c r="IE11" s="22">
        <f t="shared" si="33"/>
        <v>0</v>
      </c>
      <c r="IF11" s="74">
        <f>('Scénario référence'!$F$8+'Scénario référence'!$F$9+'Scénario référence'!$B$17+'Scénario référence'!$B$9+'Scénario référence'!$B$10)*70+IF((45+25*(1-EXP(-0.0175*$A11)))&lt;70,'Scénario référence'!$B$16*(45+25*(1-EXP(-0.0175*$A11))),70*'Scénario référence'!$B$16)+IF((32+38*(1-EXP(-0.0175*$A11)))&lt;70,'Scénario référence'!$B$18*(32+38*(1-EXP(-0.0175*$A11))),70*'Scénario référence'!$B$18)</f>
        <v>70</v>
      </c>
      <c r="IG11" s="12">
        <f>IF($A11&gt;30,10,('Scénario référence'!$B$16+'Scénario référence'!$B$17+'Scénario référence'!$B$18+'Scénario référence'!$B$9+'Scénario référence'!$B$10)*$A11*10/30+('Scénario référence'!$F$8+'Scénario référence'!$F$9)*10)</f>
        <v>10</v>
      </c>
      <c r="IH11" s="12">
        <f>VLOOKUP($A11,'Données projet'!$A$330:$I$350,2,0)</f>
        <v>43.530512820512811</v>
      </c>
      <c r="II11" s="12">
        <f>VLOOKUP($A11,'Données projet'!$A$330:$I$350,9,0)</f>
        <v>11.801282051282048</v>
      </c>
      <c r="IJ11" s="12">
        <f t="array" ref="IJ11">INDEX(II:II,MIN(IF(ISNUMBER(II11:II207),ROW(II11:II207),"")))</f>
        <v>11.801282051282048</v>
      </c>
      <c r="IK11" s="12">
        <f>IF('Données projet'!$A$330&gt;35,IK10+IJ11-IS10,IF($A11&lt;'Données projet'!$A$330,$CQ$205^$A11,IF($A11='Données projet'!$A$330,'Données projet'!$B$330,IK10+IJ11-IS10)))</f>
        <v>43.530512820512811</v>
      </c>
      <c r="IL11" s="17">
        <f>IK11*VLOOKUP('Données projet'!$B$20,Paramètres!$A$1:$I$89,3,0)*VLOOKUP('Données projet'!$B$20,Paramètres!$A$1:$I$89,5,0)</f>
        <v>22.137877599999996</v>
      </c>
      <c r="IM11" s="13">
        <f t="shared" si="85"/>
        <v>7.1140058582669683</v>
      </c>
      <c r="IN11" s="20">
        <f t="shared" si="86"/>
        <v>50.947030356481626</v>
      </c>
      <c r="IO11" s="59">
        <f t="shared" si="87"/>
        <v>344.28036368981492</v>
      </c>
      <c r="IP11" s="59">
        <f ca="1">AVERAGE(OFFSET(IO$3,0,0,'Données projet'!$E$20+1,1))-AVERAGE(OFFSET($H$3,0,0,'Données projet'!$E$20+1,1))</f>
        <v>91.60721429656013</v>
      </c>
      <c r="IQ11" s="59">
        <f t="shared" si="88"/>
        <v>258.94957804210856</v>
      </c>
      <c r="IR11" s="15">
        <f>IF(ISNA(VLOOKUP($A11,'Données projet'!$A$330:$I$350,3,0)),0,VLOOKUP($A11,'Données projet'!$A$330:$I$350,3,0))</f>
        <v>0</v>
      </c>
      <c r="IS11" s="15">
        <f>IF(ISNA(VLOOKUP($A11,'Données projet'!$A$330:$I$350,4,0)),0,VLOOKUP($A11,'Données projet'!$A$330:$I$350,4,0))</f>
        <v>0</v>
      </c>
      <c r="IT11" s="16">
        <f>IF(ISNA(VLOOKUP($A11,'Données projet'!$A$330:$I$350,5,0)),0%,VLOOKUP($A11,'Données projet'!$A$330:$I$350,5,0)*VLOOKUP('Données projet'!$B$20,Paramètres!$A$1:$I$89,7,0))</f>
        <v>0</v>
      </c>
      <c r="IU11" s="16">
        <f>IF(ISNA(VLOOKUP($A11,'Données projet'!$A$330:$I$350,6,0)),0%,VLOOKUP($A11,'Données projet'!$A$330:$I$350,6,0)*VLOOKUP('Données projet'!$B$20,Paramètres!$A$1:$I$89,7,0))</f>
        <v>0</v>
      </c>
      <c r="IV11" s="16">
        <f>IF(ISNA(VLOOKUP($A11,'Données projet'!$A$330:$I$350,7,0)),0%,VLOOKUP($A11,'Données projet'!$A$330:$I$350,7,0))</f>
        <v>0</v>
      </c>
      <c r="IW11" s="21">
        <f>EXP(-LN(2)/35)*IW10+(1-EXP(-LN(2)/35))/(LN(2)/35)*IS11*IT11*VLOOKUP('Données projet'!$B$20,Paramètres!$A$1:$I$89,3,0)*0.475*44/12</f>
        <v>0</v>
      </c>
      <c r="IX11" s="21">
        <f>EXP(-LN(2)/25)*IX10+(1-EXP(-LN(2)/25))/(LN(2)/25)*Calculateur!IS11*Calculateur!IU11*VLOOKUP('Données projet'!$B$20,Paramètres!$A$1:$I$89,3,0)*0.475*44/12</f>
        <v>0</v>
      </c>
      <c r="IY11" s="21">
        <f>EXP(-LN(2)/2)*IY10+(1-EXP(-LN(2)/2))/(LN(2)/2)*IS11*IV11*VLOOKUP('Données projet'!$B$20,Paramètres!$A$1:$I$89,3,0)*0.475*44/12</f>
        <v>0</v>
      </c>
      <c r="IZ11" s="22">
        <f t="shared" si="89"/>
        <v>0</v>
      </c>
      <c r="JA11" s="74">
        <f>('Scénario référence'!$F$8+'Scénario référence'!$F$9+'Scénario référence'!$B$17+'Scénario référence'!$B$9+'Scénario référence'!$B$10)*70+IF((45+25*(1-EXP(-0.0175*$A11)))&lt;70,'Scénario référence'!$B$16*(45+25*(1-EXP(-0.0175*$A11))),70*'Scénario référence'!$B$16)+IF((32+38*(1-EXP(-0.0175*$A11)))&lt;70,'Scénario référence'!$B$18*(32+38*(1-EXP(-0.0175*$A11))),70*'Scénario référence'!$B$18)</f>
        <v>70</v>
      </c>
      <c r="JB11" s="12">
        <f>IF($A11&gt;30,10,('Scénario référence'!$B$16+'Scénario référence'!$B$17+'Scénario référence'!$B$18+'Scénario référence'!$B$9+'Scénario référence'!$B$10)*$A11*10/30+('Scénario référence'!$F$8+'Scénario référence'!$F$9)*10)</f>
        <v>10</v>
      </c>
      <c r="JC11" s="12" t="e">
        <f>VLOOKUP($A11,'Données projet'!$A$356:$I$376,2,0)</f>
        <v>#N/A</v>
      </c>
      <c r="JD11" s="12" t="e">
        <f>VLOOKUP($A11,'Données projet'!$A$356:$I$376,9,0)</f>
        <v>#N/A</v>
      </c>
      <c r="JE11" s="12">
        <f t="array" ref="JE11">INDEX(JD:JD,MIN(IF(ISNUMBER(JD11:JD207),ROW(JD11:JD207),"")))</f>
        <v>3.04</v>
      </c>
      <c r="JF11" s="12">
        <f>IF('Données projet'!$A$356&gt;35,JF10+JE11-JN10,IF($A11&lt;'Données projet'!$A$356,$CQ$205^$A11,IF($A11='Données projet'!$A$356,'Données projet'!$B$356,JF10+JE11-JN10)))</f>
        <v>24.319999999999997</v>
      </c>
      <c r="JG11" s="17">
        <f>JF11*VLOOKUP('Données projet'!$B$21,Paramètres!$A$1:$I$89,3,0)*VLOOKUP('Données projet'!$B$21,Paramètres!$A$1:$I$89,5,0)</f>
        <v>19.728383999999998</v>
      </c>
      <c r="JH11" s="13">
        <f t="shared" si="90"/>
        <v>6.4253224218921074</v>
      </c>
      <c r="JI11" s="20">
        <f t="shared" si="91"/>
        <v>45.551038684795422</v>
      </c>
      <c r="JJ11" s="59">
        <f t="shared" si="92"/>
        <v>338.88437201812872</v>
      </c>
      <c r="JK11" s="59">
        <f ca="1">AVERAGE(OFFSET($JJ$3,0,0,'Données projet'!$E$22+1,1))-AVERAGE(OFFSET($H$3,0,0,'Données projet'!$E$22+1,1))</f>
        <v>353.35574633294613</v>
      </c>
      <c r="JL11" s="59">
        <f t="shared" si="93"/>
        <v>170.36796666474726</v>
      </c>
      <c r="JM11" s="15">
        <f>IF(ISNA(VLOOKUP($A11,'Données projet'!$A$356:$I$376,3,0)),0,VLOOKUP($A11,'Données projet'!$A$356:$I$376,3,0))</f>
        <v>0</v>
      </c>
      <c r="JN11" s="15">
        <f>IF(ISNA(VLOOKUP($A11,'Données projet'!$A$356:$I$376,4,0)),0,VLOOKUP($A11,'Données projet'!$A$356:$I$376,4,0))</f>
        <v>0</v>
      </c>
      <c r="JO11" s="16">
        <f>IF(ISNA(VLOOKUP($A11,'Données projet'!$A$356:$I$376,5,0)),0%,VLOOKUP($A11,'Données projet'!$A$356:$I$376,5,0)*VLOOKUP('Données projet'!$B$21,Paramètres!$A$1:$I$89,7,0))</f>
        <v>0</v>
      </c>
      <c r="JP11" s="16">
        <f>IF(ISNA(VLOOKUP($A11,'Données projet'!$A$356:$I$376,6,0)),0%,VLOOKUP($A11,'Données projet'!$A$356:$I$376,6,0)*VLOOKUP('Données projet'!$B$21,Paramètres!$A$1:$I$89,7,0))</f>
        <v>0</v>
      </c>
      <c r="JQ11" s="16">
        <f>IF(ISNA(VLOOKUP($A11,'Données projet'!$A$356:$I$376,7,0)),0%,VLOOKUP($A11,'Données projet'!$A$356:$I$376,7,0))</f>
        <v>0</v>
      </c>
      <c r="JR11" s="21">
        <f>EXP(-LN(2)/35)*JR10+(1-EXP(-LN(2)/35))/(LN(2)/35)*JN11*JO11*VLOOKUP('Données projet'!$B$21,Paramètres!$A$1:$I$89,3,0)*0.475*44/12</f>
        <v>0</v>
      </c>
      <c r="JS11" s="21">
        <f>EXP(-LN(2)/25)*JS10+(1-EXP(-LN(2)/25))/(LN(2)/25)*Calculateur!JN11*Calculateur!JP11*VLOOKUP('Données projet'!$B$21,Paramètres!$A$1:$I$89,3,0)*0.475*44/12</f>
        <v>0</v>
      </c>
      <c r="JT11" s="21">
        <f>EXP(-LN(2)/2)*JT10+(1-EXP(-LN(2)/2))/(LN(2)/2)*JN11*JQ11*VLOOKUP('Données projet'!$B$21,Paramètres!$A$1:$I$89,3,0)*0.475*44/12</f>
        <v>0</v>
      </c>
      <c r="JU11" s="18">
        <f t="shared" si="39"/>
        <v>0</v>
      </c>
      <c r="JV11" s="74">
        <f>('Scénario référence'!$F$8+'Scénario référence'!$F$9+'Scénario référence'!$B$17+'Scénario référence'!$B$9+'Scénario référence'!$B$10)*70+IF((45+25*(1-EXP(-0.0175*$A11)))&lt;70,'Scénario référence'!$B$16*(45+25*(1-EXP(-0.0175*$A11))),70*'Scénario référence'!$B$16)+IF((32+38*(1-EXP(-0.0175*$A11)))&lt;70,'Scénario référence'!$B$18*(32+38*(1-EXP(-0.0175*$A11))),70*'Scénario référence'!$B$18)</f>
        <v>70</v>
      </c>
      <c r="JW11" s="12">
        <f>IF($A11&gt;30,10,('Scénario référence'!$B$16+'Scénario référence'!$B$17+'Scénario référence'!$B$18+'Scénario référence'!$B$9+'Scénario référence'!$B$10)*$A11*10/30+('Scénario référence'!$F$8+'Scénario référence'!$F$9)*10)</f>
        <v>10</v>
      </c>
      <c r="JX11" s="12" t="e">
        <f>VLOOKUP($A11,'Données projet'!$A$382:$I$402,2,0)</f>
        <v>#N/A</v>
      </c>
      <c r="JY11" s="12" t="e">
        <f>VLOOKUP($A11,'Données projet'!$A$382:$I$402,9,0)</f>
        <v>#N/A</v>
      </c>
      <c r="JZ11" s="12">
        <f t="array" ref="JZ11">INDEX(JY:JY,MIN(IF(ISNUMBER(JY11:JY207),ROW(JY11:JY207),"")))</f>
        <v>4.0628205128205126</v>
      </c>
      <c r="KA11" s="12">
        <f>IF('Données projet'!$A$382&gt;35,KA10+JZ11-KI10,IF($A11&lt;'Données projet'!$A$382,$CQ$205^$A11,IF($A11='Données projet'!$A$382,'Données projet'!$B$382,KA10+JZ11-KI10)))</f>
        <v>32.502564102564101</v>
      </c>
      <c r="KB11" s="17">
        <f>KA11*VLOOKUP('Données projet'!$B$22,Paramètres!$A$1:$I$89,3,0)*VLOOKUP('Données projet'!$B$22,Paramètres!$A$1:$I$89,5,0)</f>
        <v>21.802719999999997</v>
      </c>
      <c r="KC11" s="13">
        <f t="shared" si="94"/>
        <v>7.0187552659489381</v>
      </c>
      <c r="KD11" s="20">
        <f t="shared" si="95"/>
        <v>50.197402754861052</v>
      </c>
      <c r="KE11" s="59">
        <f t="shared" si="96"/>
        <v>343.53073608819437</v>
      </c>
      <c r="KF11" s="59">
        <f ca="1">AVERAGE(OFFSET($KE$3,0,0,'Données projet'!$E$22+1,1))-AVERAGE(OFFSET($H$3,0,0,'Données projet'!$E$22+1,1))</f>
        <v>193.91714772848269</v>
      </c>
      <c r="KG11" s="59">
        <f t="shared" si="97"/>
        <v>159.20429420478047</v>
      </c>
      <c r="KH11" s="15">
        <f>IF(ISNA(VLOOKUP($A11,'Données projet'!$A$382:$I$402,3,0)),0,VLOOKUP($A11,'Données projet'!$A$382:$I$402,3,0))</f>
        <v>0</v>
      </c>
      <c r="KI11" s="15">
        <f>IF(ISNA(VLOOKUP($A11,'Données projet'!$A$382:$I$402,4,0)),0,VLOOKUP($A11,'Données projet'!$A$382:$I$402,4,0))</f>
        <v>0</v>
      </c>
      <c r="KJ11" s="16">
        <f>IF(ISNA(VLOOKUP($A11,'Données projet'!$A$382:$I$402,5,0)),0%,VLOOKUP($A11,'Données projet'!$A$382:$I$402,5,0)*VLOOKUP('Données projet'!$B$22,Paramètres!$A$1:$I$89,7,0))</f>
        <v>0</v>
      </c>
      <c r="KK11" s="16">
        <f>IF(ISNA(VLOOKUP($A11,'Données projet'!$A$382:$I$402,6,0)),0%,VLOOKUP($A11,'Données projet'!$A$382:$I$402,6,0)*VLOOKUP('Données projet'!$B$22,Paramètres!$A$1:$I$89,7,0))</f>
        <v>0</v>
      </c>
      <c r="KL11" s="16">
        <f>IF(ISNA(VLOOKUP($A11,'Données projet'!$A$382:$I$402,7,0)),0%,VLOOKUP($A11,'Données projet'!$A$382:$I$402,7,0))</f>
        <v>0</v>
      </c>
      <c r="KM11" s="21">
        <f>EXP(-LN(2)/35)*KM10+(1-EXP(-LN(2)/35))/(LN(2)/35)*KI11*KJ11*VLOOKUP('Données projet'!$B$22,Paramètres!$A$1:$I$89,3,0)*0.475*44/12</f>
        <v>0</v>
      </c>
      <c r="KN11" s="21">
        <f>EXP(-LN(2)/25)*KN10+(1-EXP(-LN(2)/25))/(LN(2)/25)*Calculateur!KI11*Calculateur!KK11*VLOOKUP('Données projet'!$B$22,Paramètres!$A$1:$I$89,3,0)*0.475*44/12</f>
        <v>0</v>
      </c>
      <c r="KO11" s="21">
        <f>EXP(-LN(2)/2)*KO10+(1-EXP(-LN(2)/2))/(LN(2)/2)*KI11*KL11*VLOOKUP('Données projet'!$B$22,Paramètres!$A$1:$I$89,3,0)*0.475*44/12</f>
        <v>0</v>
      </c>
      <c r="KP11" s="22">
        <f t="shared" si="98"/>
        <v>0</v>
      </c>
      <c r="KQ11" s="74">
        <f>('Scénario référence'!$F$8+'Scénario référence'!$F$9+'Scénario référence'!$B$17+'Scénario référence'!$B$9+'Scénario référence'!$B$10)*70+IF((45+25*(1-EXP(-0.0175*$A11)))&lt;70,'Scénario référence'!$B$16*(45+25*(1-EXP(-0.0175*$A11))),70*'Scénario référence'!$B$16)+IF((32+38*(1-EXP(-0.0175*$A11)))&lt;70,'Scénario référence'!$B$18*(32+38*(1-EXP(-0.0175*$A11))),70*'Scénario référence'!$B$18)</f>
        <v>70</v>
      </c>
      <c r="KR11" s="12">
        <f>IF($A11&gt;30,10,('Scénario référence'!$B$16+'Scénario référence'!$B$17+'Scénario référence'!$B$18+'Scénario référence'!$B$9+'Scénario référence'!$B$10)*$A11*10/30+('Scénario référence'!$F$8+'Scénario référence'!$F$9)*10)</f>
        <v>10</v>
      </c>
      <c r="KS11" s="12" t="e">
        <f>VLOOKUP($A11,'Données projet'!$A$408:$I$428,2,0)</f>
        <v>#N/A</v>
      </c>
      <c r="KT11" s="12" t="e">
        <f>VLOOKUP($A11,'Données projet'!$A$408:$I$428,9,0)</f>
        <v>#N/A</v>
      </c>
      <c r="KU11" s="12">
        <f t="array" ref="KU11">INDEX(KT:KT,MIN(IF(ISNUMBER(KT11:KT207),ROW(KT11:KT207),"")))</f>
        <v>2.4666666666666668</v>
      </c>
      <c r="KV11" s="12">
        <f>IF('Données projet'!$A$408&gt;35,KV10+KU11-LD10,IF($A11&lt;'Données projet'!$A$408,$CQ$205^$A11,IF($A11='Données projet'!$A$408,'Données projet'!$B$408,KV10+KU11-LD10)))</f>
        <v>19.733333333333334</v>
      </c>
      <c r="KW11" s="17">
        <f>KV11*VLOOKUP('Données projet'!$B$23,Paramètres!$A$1:$I$89,3,0)*VLOOKUP('Données projet'!$B$23,Paramètres!$A$1:$I$89,5,0)</f>
        <v>17.239040000000003</v>
      </c>
      <c r="KX11" s="13">
        <f t="shared" si="99"/>
        <v>5.7034156111941554</v>
      </c>
      <c r="KY11" s="14">
        <f t="shared" si="43"/>
        <v>39.958110189496495</v>
      </c>
      <c r="KZ11" s="59">
        <f t="shared" si="44"/>
        <v>333.29144352282981</v>
      </c>
      <c r="LA11" s="59">
        <f ca="1">AVERAGE(OFFSET($KZ$3,0,0,'Données projet'!$E$23+1,1))-AVERAGE(OFFSET($H$3,0,0,'Données projet'!$E$23+1,1))</f>
        <v>248.33596943633819</v>
      </c>
      <c r="LB11" s="59">
        <f t="shared" si="100"/>
        <v>242.34010522344573</v>
      </c>
      <c r="LC11" s="15">
        <f>IF(ISNA(VLOOKUP($A11,'Données projet'!$A$408:$I$428,3,0)),0,VLOOKUP($A11,'Données projet'!$A$408:$I$428,3,0))</f>
        <v>0</v>
      </c>
      <c r="LD11" s="15">
        <f>IF(ISNA(VLOOKUP($A11,'Données projet'!$A$408:$I$428,4,0)),0,VLOOKUP($A11,'Données projet'!$A$408:$I$428,4,0))</f>
        <v>0</v>
      </c>
      <c r="LE11" s="16">
        <f>IF(ISNA(VLOOKUP($A11,'Données projet'!$A$408:$I$428,5,0)),0%,VLOOKUP($A11,'Données projet'!$A$408:$I$428,5,0)*VLOOKUP('Données projet'!$B$23,Paramètres!$A$1:$I$89,7,0))</f>
        <v>0</v>
      </c>
      <c r="LF11" s="16">
        <f>IF(ISNA(VLOOKUP($A11,'Données projet'!$A$408:$I$428,6,0)),0%,VLOOKUP($A11,'Données projet'!$A$408:$I$428,6,0)*VLOOKUP('Données projet'!$B$23,Paramètres!$A$1:$I$89,7,0))</f>
        <v>0</v>
      </c>
      <c r="LG11" s="16">
        <f>IF(ISNA(VLOOKUP($A11,'Données projet'!$A$408:$I$428,7,0)),0%,VLOOKUP($A11,'Données projet'!$A$408:$I$428,7,0))</f>
        <v>0</v>
      </c>
      <c r="LH11" s="21">
        <f>EXP(-LN(2)/35)*LH10+(1-EXP(-LN(2)/35))/(LN(2)/35)*LD11*LE11*VLOOKUP('Données projet'!$B$23,Paramètres!$A$1:$I$89,3,0)*0.475*44/12</f>
        <v>0</v>
      </c>
      <c r="LI11" s="21">
        <f>EXP(-LN(2)/25)*LI10+(1-EXP(-LN(2)/25))/(LN(2)/25)*Calculateur!LD11*Calculateur!LF11*VLOOKUP('Données projet'!$B$23,Paramètres!$A$1:$I$89,3,0)*0.475*44/12</f>
        <v>0</v>
      </c>
      <c r="LJ11" s="21">
        <f>EXP(-LN(2)/2)*LJ10+(1-EXP(-LN(2)/2))/(LN(2)/2)*LD11*LG11*VLOOKUP('Données projet'!$B$23,Paramètres!$A$1:$I$89,3,0)*0.475*44/12</f>
        <v>0</v>
      </c>
      <c r="LK11" s="22">
        <f t="shared" si="101"/>
        <v>0</v>
      </c>
      <c r="LL11" s="74">
        <f>('Scénario référence'!$F$8+'Scénario référence'!$F$9+'Scénario référence'!$B$17+'Scénario référence'!$B$9+'Scénario référence'!$B$10)*70+IF((45+25*(1-EXP(-0.0175*$A11)))&lt;70,'Scénario référence'!$B$16*(45+25*(1-EXP(-0.0175*$A11))),70*'Scénario référence'!$B$16)+IF((32+38*(1-EXP(-0.0175*$A11)))&lt;70,'Scénario référence'!$B$18*(32+38*(1-EXP(-0.0175*$A11))),70*'Scénario référence'!$B$18)</f>
        <v>70</v>
      </c>
      <c r="LM11" s="12">
        <f>IF($A11&gt;30,10,('Scénario référence'!$B$16+'Scénario référence'!$B$17+'Scénario référence'!$B$18+'Scénario référence'!$B$9+'Scénario référence'!$B$10)*$A11*10/30+('Scénario référence'!$F$8+'Scénario référence'!$F$9)*10)</f>
        <v>10</v>
      </c>
      <c r="LN11" s="12" t="e">
        <f>VLOOKUP($A11,'Données projet'!$A$434:$I$454,2,0)</f>
        <v>#N/A</v>
      </c>
      <c r="LO11" s="12" t="e">
        <f>VLOOKUP($A11,'Données projet'!$A$434:$I$454,9,0)</f>
        <v>#N/A</v>
      </c>
      <c r="LP11" s="12">
        <f t="array" ref="LP11">INDEX(LO:LO,MIN(IF(ISNUMBER(LO11:LO207),ROW(LO11:LO207),"")))</f>
        <v>2.9235042735042733</v>
      </c>
      <c r="LQ11" s="12">
        <f>IF('Données projet'!$A$434&gt;35,LQ10+LP11-LY10,IF($A11&lt;'Données projet'!$A$434,$CQ$205^$A11,IF($A11='Données projet'!$A$434,'Données projet'!$B$434,LQ10+LP11-LY10)))</f>
        <v>23.38803418803419</v>
      </c>
      <c r="LR11" s="17">
        <f>LQ11*VLOOKUP('Données projet'!$B$24,Paramètres!$A$1:$I$89,3,0)*VLOOKUP('Données projet'!$B$24,Paramètres!$A$1:$I$89,5,0)</f>
        <v>23.715466666666671</v>
      </c>
      <c r="LS11" s="13">
        <f t="shared" si="102"/>
        <v>7.5601437424421736</v>
      </c>
      <c r="LT11" s="14">
        <f t="shared" si="46"/>
        <v>54.471688129197901</v>
      </c>
      <c r="LU11" s="59">
        <f t="shared" si="103"/>
        <v>347.80502146253122</v>
      </c>
      <c r="LV11" s="59">
        <f ca="1">AVERAGE(OFFSET($LU$3,0,0,'Données projet'!$E$24+1,1))-AVERAGE(OFFSET($H$3,0,0,'Données projet'!$E$24+1,1))</f>
        <v>260.52627655062872</v>
      </c>
      <c r="LW11" s="59">
        <f t="shared" si="104"/>
        <v>159.20429420478047</v>
      </c>
      <c r="LX11" s="15">
        <f>IF(ISNA(VLOOKUP($A11,'Données projet'!$A$434:$I$454,3,0)),0,VLOOKUP($A11,'Données projet'!$A$434:$I$454,3,0))</f>
        <v>0</v>
      </c>
      <c r="LY11" s="15">
        <f>IF(ISNA(VLOOKUP($A11,'Données projet'!$A$434:$I$454,4,0)),0,VLOOKUP($A11,'Données projet'!$A$434:$I$454,4,0))</f>
        <v>0</v>
      </c>
      <c r="LZ11" s="16">
        <f>IF(ISNA(VLOOKUP($A11,'Données projet'!$A$434:$I$454,5,0)),0%,VLOOKUP($A11,'Données projet'!$A$434:$I$454,5,0)*VLOOKUP('Données projet'!$B$24,Paramètres!$A$1:$I$89,7,0))</f>
        <v>0</v>
      </c>
      <c r="MA11" s="16">
        <f>IF(ISNA(VLOOKUP($A11,'Données projet'!$A$434:$I$454,6,0)),0%,VLOOKUP($A11,'Données projet'!$A$434:$I$454,6,0)*VLOOKUP('Données projet'!$B$24,Paramètres!$A$1:$I$89,7,0))</f>
        <v>0</v>
      </c>
      <c r="MB11" s="16">
        <f>IF(ISNA(VLOOKUP($A11,'Données projet'!$A$434:$I$454,7,0)),0%,VLOOKUP($A11,'Données projet'!$A$434:$I$454,7,0))</f>
        <v>0</v>
      </c>
      <c r="MC11" s="21">
        <f>EXP(-LN(2)/35)*MC10+(1-EXP(-LN(2)/35))/(LN(2)/35)*LY11*LZ11*VLOOKUP('Données projet'!$B$24,Paramètres!$A$1:$I$89,3,0)*0.475*44/12</f>
        <v>0</v>
      </c>
      <c r="MD11" s="21">
        <f>EXP(-LN(2)/25)*MD10+(1-EXP(-LN(2)/25))/(LN(2)/25)*Calculateur!LY11*Calculateur!MA11*VLOOKUP('Données projet'!$B$24,Paramètres!$A$1:$I$89,3,0)*0.475*44/12</f>
        <v>0</v>
      </c>
      <c r="ME11" s="21">
        <f>EXP(-LN(2)/2)*ME10+(1-EXP(-LN(2)/2))/(LN(2)/2)*LY11*MB11*VLOOKUP('Données projet'!$B$24,Paramètres!$A$1:$I$89,3,0)*0.475*44/12</f>
        <v>0</v>
      </c>
      <c r="MF11" s="22">
        <f t="shared" si="105"/>
        <v>0</v>
      </c>
      <c r="MG11" s="74">
        <f>('Scénario référence'!$F$8+'Scénario référence'!$F$9+'Scénario référence'!$B$17+'Scénario référence'!$B$9+'Scénario référence'!$B$10)*70+IF((45+25*(1-EXP(-0.0175*$A11)))&lt;70,'Scénario référence'!$B$16*(45+25*(1-EXP(-0.0175*$A11))),70*'Scénario référence'!$B$16)+IF((32+38*(1-EXP(-0.0175*$A11)))&lt;70,'Scénario référence'!$B$18*(32+38*(1-EXP(-0.0175*$A11))),70*'Scénario référence'!$B$18)</f>
        <v>70</v>
      </c>
      <c r="MH11" s="12">
        <f>IF($A11&gt;30,10,('Scénario référence'!$B$16+'Scénario référence'!$B$17+'Scénario référence'!$B$18+'Scénario référence'!$B$9+'Scénario référence'!$B$10)*$A11*10/30+('Scénario référence'!$F$8+'Scénario référence'!$F$9)*10)</f>
        <v>10</v>
      </c>
      <c r="MI11" s="12" t="e">
        <f>VLOOKUP($A11,'Données projet'!$A$460:$I$480,2,0)</f>
        <v>#N/A</v>
      </c>
      <c r="MJ11" s="12" t="e">
        <f>VLOOKUP($A11,'Données projet'!$A$460:$I$480,9,0)</f>
        <v>#N/A</v>
      </c>
      <c r="MK11" s="12">
        <f t="array" ref="MK11">INDEX(MJ:MJ,MIN(IF(ISNUMBER(MJ11:MJ207),ROW(MJ11:MJ207),"")))</f>
        <v>0</v>
      </c>
      <c r="ML11" s="12">
        <f>IF('Données projet'!$A$460&gt;35,ML10+MK11-MT10,IF($A11&lt;'Données projet'!$A$460,$CQ$205^$A11,IF($A11='Données projet'!$A$460,'Données projet'!$B$460,ML10+MK11-MT10)))</f>
        <v>0</v>
      </c>
      <c r="MM11" s="17" t="e">
        <f>ML11*VLOOKUP('Données projet'!$B$25,Paramètres!$A$1:$I$89,3,0)*VLOOKUP('Données projet'!$B$25,Paramètres!$A$1:$I$89,5,0)</f>
        <v>#N/A</v>
      </c>
      <c r="MN11" s="13" t="e">
        <f t="shared" si="106"/>
        <v>#N/A</v>
      </c>
      <c r="MO11" s="14" t="e">
        <f t="shared" si="49"/>
        <v>#N/A</v>
      </c>
      <c r="MP11" s="59" t="e">
        <f t="shared" si="50"/>
        <v>#N/A</v>
      </c>
      <c r="MQ11" s="20" t="e">
        <f ca="1">AVERAGE(OFFSET($MP$3,0,0,'Données projet'!$E$25+1,1))-AVERAGE(OFFSET($H$3,0,0,'Données projet'!$E$25+1,1))</f>
        <v>#N/A</v>
      </c>
      <c r="MR11" s="59" t="e">
        <f t="shared" si="107"/>
        <v>#N/A</v>
      </c>
      <c r="MS11" s="15">
        <f>IF(ISNA(VLOOKUP($A11,'Données projet'!$A$460:$I$480,3,0)),0,VLOOKUP($A11,'Données projet'!$A$460:$I$480,3,0))</f>
        <v>0</v>
      </c>
      <c r="MT11" s="15">
        <f>IF(ISNA(VLOOKUP($A11,'Données projet'!$A$460:$I$480,4,0)),0,VLOOKUP($A11,'Données projet'!$A$460:$I$480,4,0))</f>
        <v>0</v>
      </c>
      <c r="MU11" s="16">
        <f>IF(ISNA(VLOOKUP($A11,'Données projet'!$A$460:$I$480,5,0)),0%,VLOOKUP($A11,'Données projet'!$A$460:$I$480,5,0)*VLOOKUP('Données projet'!$B$25,Paramètres!$A$1:$I$89,7,0))</f>
        <v>0</v>
      </c>
      <c r="MV11" s="16">
        <f>IF(ISNA(VLOOKUP($A11,'Données projet'!$A$460:$I$480,6,0)),0%,VLOOKUP($A11,'Données projet'!$A$460:$I$480,6,0)*VLOOKUP('Données projet'!$B$25,Paramètres!$A$1:$I$89,7,0))</f>
        <v>0</v>
      </c>
      <c r="MW11" s="16">
        <f>IF(ISNA(VLOOKUP($A11,'Données projet'!$A$460:$I$480,7,0)),0%,VLOOKUP($A11,'Données projet'!$A$460:$I$480,7,0))</f>
        <v>0</v>
      </c>
      <c r="MX11" s="21" t="e">
        <f>EXP(-LN(2)/35)*MX10+(1-EXP(-LN(2)/35))/(LN(2)/35)*MT11*MU11*VLOOKUP('Données projet'!$B$25,Paramètres!$A$1:$I$89,3,0)*0.475*44/12</f>
        <v>#N/A</v>
      </c>
      <c r="MY11" s="21" t="e">
        <f>EXP(-LN(2)/25)*MY10+(1-EXP(-LN(2)/25))/(LN(2)/25)*Calculateur!MT11*Calculateur!MV11*VLOOKUP('Données projet'!$B$25,Paramètres!$A$1:$I$89,3,0)*0.475*44/12</f>
        <v>#N/A</v>
      </c>
      <c r="MZ11" s="21" t="e">
        <f>EXP(-LN(2)/2)*MZ10+(1-EXP(-LN(2)/2))/(LN(2)/2)*MT11*MW11*VLOOKUP('Données projet'!$B$25,Paramètres!$A$1:$I$89,3,0)*0.475*44/12</f>
        <v>#N/A</v>
      </c>
      <c r="NA11" s="22" t="e">
        <f t="shared" si="108"/>
        <v>#N/A</v>
      </c>
      <c r="NB11" s="74">
        <f>('Scénario référence'!$F$8+'Scénario référence'!$F$9+'Scénario référence'!$B$17+'Scénario référence'!$B$9+'Scénario référence'!$B$10)*70+IF((45+25*(1-EXP(-0.0175*$A11)))&lt;70,'Scénario référence'!$B$16*(45+25*(1-EXP(-0.0175*$A11))),70*'Scénario référence'!$B$16)+IF((32+38*(1-EXP(-0.0175*$A11)))&lt;70,'Scénario référence'!$B$18*(32+38*(1-EXP(-0.0175*$A11))),70*'Scénario référence'!$B$18)</f>
        <v>70</v>
      </c>
      <c r="NC11" s="12">
        <f>IF($A11&gt;30,10,('Scénario référence'!$B$16+'Scénario référence'!$B$17+'Scénario référence'!$B$18+'Scénario référence'!$B$9+'Scénario référence'!$B$10)*$A11*10/30+('Scénario référence'!$F$8+'Scénario référence'!$F$9)*10)</f>
        <v>10</v>
      </c>
      <c r="ND11" s="12" t="e">
        <f>VLOOKUP($A11,'Données projet'!$A$486:$I$506,2,0)</f>
        <v>#N/A</v>
      </c>
      <c r="NE11" s="12" t="e">
        <f>VLOOKUP($A11,'Données projet'!$A$486:$I$506,9,0)</f>
        <v>#N/A</v>
      </c>
      <c r="NF11" s="12">
        <f t="array" ref="NF11">INDEX(NE:NE,MIN(IF(ISNUMBER(NE11:NE207),ROW(NE11:NE207),"")))</f>
        <v>0</v>
      </c>
      <c r="NG11" s="12">
        <f>IF('Données projet'!$A$486&gt;35,NG10+NF11-NO10,IF($A11&lt;'Données projet'!$A$486,$CQ$205^$A11,IF($A11='Données projet'!$A$486,'Données projet'!$B$486,NG10+NF11-NO10)))</f>
        <v>0</v>
      </c>
      <c r="NH11" s="17" t="e">
        <f>NG11*VLOOKUP('Données projet'!$B$26,Paramètres!$A$1:$I$89,3,0)*VLOOKUP('Données projet'!$B$26,Paramètres!$A$1:$I$89,5,0)</f>
        <v>#N/A</v>
      </c>
      <c r="NI11" s="13" t="e">
        <f t="shared" si="109"/>
        <v>#N/A</v>
      </c>
      <c r="NJ11" s="14" t="e">
        <f t="shared" si="52"/>
        <v>#N/A</v>
      </c>
      <c r="NK11" s="59" t="e">
        <f t="shared" si="53"/>
        <v>#N/A</v>
      </c>
      <c r="NL11" s="20" t="e">
        <f ca="1">AVERAGE(OFFSET($NK$3,0,0,'Données projet'!$E$26+1,1))-AVERAGE(OFFSET($H$3,0,0,'Données projet'!$E$26+1,1))</f>
        <v>#N/A</v>
      </c>
      <c r="NM11" s="59" t="e">
        <f t="shared" si="110"/>
        <v>#N/A</v>
      </c>
      <c r="NN11" s="15">
        <f>IF(ISNA(VLOOKUP($A11,'Données projet'!$A$486:$I$506,3,0)),0,VLOOKUP($A11,'Données projet'!$A$486:$I$506,3,0))</f>
        <v>0</v>
      </c>
      <c r="NO11" s="15">
        <f>IF(ISNA(VLOOKUP($A11,'Données projet'!$A$486:$I$506,4,0)),0,VLOOKUP($A11,'Données projet'!$A$486:$I$506,4,0))</f>
        <v>0</v>
      </c>
      <c r="NP11" s="16">
        <f>IF(ISNA(VLOOKUP($A11,'Données projet'!$A$486:$I$506,5,0)),0%,VLOOKUP($A11,'Données projet'!$A$486:$I$506,5,0)*VLOOKUP('Données projet'!$B$26,Paramètres!$A$1:$I$89,7,0))</f>
        <v>0</v>
      </c>
      <c r="NQ11" s="16">
        <f>IF(ISNA(VLOOKUP($A11,'Données projet'!$A$486:$I$506,6,0)),0%,VLOOKUP($A11,'Données projet'!$A$486:$I$506,6,0)*VLOOKUP('Données projet'!$B$26,Paramètres!$A$1:$I$89,7,0))</f>
        <v>0</v>
      </c>
      <c r="NR11" s="16">
        <f>IF(ISNA(VLOOKUP($A11,'Données projet'!$A$486:$I$506,7,0)),0%,VLOOKUP($A11,'Données projet'!$A$486:$I$506,7,0))</f>
        <v>0</v>
      </c>
      <c r="NS11" s="21" t="e">
        <f>EXP(-LN(2)/35)*NS10+(1-EXP(-LN(2)/35))/(LN(2)/35)*NO11*NP11*VLOOKUP('Données projet'!$B$26,Paramètres!$A$1:$I$89,3,0)*0.475*44/12</f>
        <v>#N/A</v>
      </c>
      <c r="NT11" s="21" t="e">
        <f>EXP(-LN(2)/25)*NT10+(1-EXP(-LN(2)/25))/(LN(2)/25)*Calculateur!NO11*Calculateur!NQ11*VLOOKUP('Données projet'!$B$26,Paramètres!$A$1:$I$89,3,0)*0.475*44/12</f>
        <v>#N/A</v>
      </c>
      <c r="NU11" s="21" t="e">
        <f>EXP(-LN(2)/2)*NU10+(1-EXP(-LN(2)/2))/(LN(2)/2)*NO11*NR11*VLOOKUP('Données projet'!$B$26,Paramètres!$A$1:$I$89,3,0)*0.475*44/12</f>
        <v>#N/A</v>
      </c>
      <c r="NV11" s="22" t="e">
        <f t="shared" si="111"/>
        <v>#N/A</v>
      </c>
      <c r="NW11" s="74">
        <f>('Scénario référence'!$F$8+'Scénario référence'!$F$9+'Scénario référence'!$B$17+'Scénario référence'!$B$9+'Scénario référence'!$B$10)*70+IF((45+25*(1-EXP(-0.0175*$A11)))&lt;70,'Scénario référence'!$B$16*(45+25*(1-EXP(-0.0175*$A11))),70*'Scénario référence'!$B$16)+IF((32+38*(1-EXP(-0.0175*$A11)))&lt;70,'Scénario référence'!$B$18*(32+38*(1-EXP(-0.0175*$A11))),70*'Scénario référence'!$B$18)</f>
        <v>70</v>
      </c>
      <c r="NX11" s="12">
        <f>IF($A11&gt;30,10,('Scénario référence'!$B$16+'Scénario référence'!$B$17+'Scénario référence'!$B$18+'Scénario référence'!$B$9+'Scénario référence'!$B$10)*$A11*10/30+('Scénario référence'!$F$8+'Scénario référence'!$F$9)*10)</f>
        <v>10</v>
      </c>
      <c r="NY11" s="12" t="e">
        <f>VLOOKUP($A11,'Données projet'!$A$512:$I$532,2,0)</f>
        <v>#N/A</v>
      </c>
      <c r="NZ11" s="12" t="e">
        <f>VLOOKUP($A11,'Données projet'!$A$512:$I$532,9,0)</f>
        <v>#N/A</v>
      </c>
      <c r="OA11" s="12">
        <f t="array" ref="OA11">INDEX(NZ:NZ,MIN(IF(ISNUMBER(NZ11:NZ207),ROW(NZ11:NZ207),"")))</f>
        <v>0</v>
      </c>
      <c r="OB11" s="12">
        <f>IF('Données projet'!$A$512&gt;35,OB10+OA11-OJ10,IF($A11&lt;'Données projet'!$A$512,$CQ$205^$A11,IF($A11='Données projet'!$A$512,'Données projet'!$B$512,OB10+OA11-OJ10)))</f>
        <v>0</v>
      </c>
      <c r="OC11" s="17" t="e">
        <f>OB11*VLOOKUP('Données projet'!$B$27,Paramètres!$A$1:$I$89,3,0)*VLOOKUP('Données projet'!$B$27,Paramètres!$A$1:$I$89,5,0)</f>
        <v>#N/A</v>
      </c>
      <c r="OD11" s="13" t="e">
        <f t="shared" si="112"/>
        <v>#N/A</v>
      </c>
      <c r="OE11" s="14" t="e">
        <f t="shared" si="55"/>
        <v>#N/A</v>
      </c>
      <c r="OF11" s="59" t="e">
        <f t="shared" si="56"/>
        <v>#N/A</v>
      </c>
      <c r="OG11" s="20" t="e">
        <f ca="1">AVERAGE(OFFSET($OF$3,0,0,'Données projet'!$E$27+1,1))-AVERAGE(OFFSET($H$3,0,0,'Données projet'!$E$27+1,1))</f>
        <v>#N/A</v>
      </c>
      <c r="OH11" s="59" t="e">
        <f t="shared" si="113"/>
        <v>#N/A</v>
      </c>
      <c r="OI11" s="15">
        <f>IF(ISNA(VLOOKUP($A11,'Données projet'!$A$512:$I$532,3,0)),0,VLOOKUP($A11,'Données projet'!$A$512:$I$532,3,0))</f>
        <v>0</v>
      </c>
      <c r="OJ11" s="15">
        <f>IF(ISNA(VLOOKUP($A11,'Données projet'!$A$512:$I$532,4,0)),0,VLOOKUP($A11,'Données projet'!$A$512:$I$532,4,0))</f>
        <v>0</v>
      </c>
      <c r="OK11" s="16">
        <f>IF(ISNA(VLOOKUP($A11,'Données projet'!$A$512:$I$532,5,0)),0%,VLOOKUP($A11,'Données projet'!$A$512:$I$532,5,0)*VLOOKUP('Données projet'!$B$27,Paramètres!$A$1:$I$89,7,0))</f>
        <v>0</v>
      </c>
      <c r="OL11" s="16">
        <f>IF(ISNA(VLOOKUP($A11,'Données projet'!$A$512:$I$532,6,0)),0%,VLOOKUP($A11,'Données projet'!$A$512:$I$532,6,0)*VLOOKUP('Données projet'!$B$27,Paramètres!$A$1:$I$89,7,0))</f>
        <v>0</v>
      </c>
      <c r="OM11" s="16">
        <f>IF(ISNA(VLOOKUP($A11,'Données projet'!$A$512:$I$532,7,0)),0%,VLOOKUP($A11,'Données projet'!$A$512:$I$532,7,0))</f>
        <v>0</v>
      </c>
      <c r="ON11" s="21" t="e">
        <f>EXP(-LN(2)/35)*ON10+(1-EXP(-LN(2)/35))/(LN(2)/35)*OJ11*OK11*VLOOKUP('Données projet'!$B$27,Paramètres!$A$1:$I$89,3,0)*0.475*44/12</f>
        <v>#N/A</v>
      </c>
      <c r="OO11" s="21" t="e">
        <f>EXP(-LN(2)/25)*OO10+(1-EXP(-LN(2)/25))/(LN(2)/25)*Calculateur!OJ11*Calculateur!OL11*VLOOKUP('Données projet'!$B$27,Paramètres!$A$1:$I$89,3,0)*0.475*44/12</f>
        <v>#N/A</v>
      </c>
      <c r="OP11" s="21" t="e">
        <f>EXP(-LN(2)/2)*OP10+(1-EXP(-LN(2)/2))/(LN(2)/2)*OJ11*OM11*VLOOKUP('Données projet'!$B$27,Paramètres!$A$1:$I$89,3,0)*0.475*44/12</f>
        <v>#N/A</v>
      </c>
      <c r="OQ11" s="22" t="e">
        <f t="shared" si="114"/>
        <v>#N/A</v>
      </c>
      <c r="OR11" s="74">
        <f>('Scénario référence'!$F$8+'Scénario référence'!$F$9+'Scénario référence'!$B$17+'Scénario référence'!$B$9+'Scénario référence'!$B$10)*70+IF((45+25*(1-EXP(-0.0175*$A11)))&lt;70,'Scénario référence'!$B$16*(45+25*(1-EXP(-0.0175*$A11))),70*'Scénario référence'!$B$16)+IF((32+38*(1-EXP(-0.0175*$A11)))&lt;70,'Scénario référence'!$B$18*(32+38*(1-EXP(-0.0175*$A11))),70*'Scénario référence'!$B$18)</f>
        <v>70</v>
      </c>
      <c r="OS11" s="12">
        <f>IF($A11&gt;30,10,('Scénario référence'!$B$16+'Scénario référence'!$B$17+'Scénario référence'!$B$18+'Scénario référence'!$B$9+'Scénario référence'!$B$10)*$A11*10/30+('Scénario référence'!$F$8+'Scénario référence'!$F$9)*10)</f>
        <v>10</v>
      </c>
      <c r="OT11" s="12" t="e">
        <f>VLOOKUP($A11,'Données projet'!$A$538:$I$558,2,0)</f>
        <v>#N/A</v>
      </c>
      <c r="OU11" s="12" t="e">
        <f>VLOOKUP($A11,'Données projet'!$A$538:$I$558,9,0)</f>
        <v>#N/A</v>
      </c>
      <c r="OV11" s="12">
        <f t="array" ref="OV11">INDEX(OU:OU,MIN(IF(ISNUMBER(OU11:OU207),ROW(OU11:OU207),"")))</f>
        <v>0</v>
      </c>
      <c r="OW11" s="12">
        <f>IF('Données projet'!$A$538&gt;35,OW10+OV11-PE10,IF($A11&lt;'Données projet'!$A$538,$CQ$205^$A11,IF($A11='Données projet'!$A$538,'Données projet'!$B$538,OW10+OV11-PE10)))</f>
        <v>0</v>
      </c>
      <c r="OX11" s="17" t="e">
        <f>OW11*VLOOKUP('Données projet'!$B$28,Paramètres!$A$1:$I$89,3,0)*VLOOKUP('Données projet'!$B$28,Paramètres!$A$1:$I$89,5,0)</f>
        <v>#N/A</v>
      </c>
      <c r="OY11" s="13" t="e">
        <f t="shared" si="115"/>
        <v>#N/A</v>
      </c>
      <c r="OZ11" s="14" t="e">
        <f t="shared" si="58"/>
        <v>#N/A</v>
      </c>
      <c r="PA11" s="59" t="e">
        <f t="shared" si="59"/>
        <v>#N/A</v>
      </c>
      <c r="PB11" s="20" t="e">
        <f ca="1">AVERAGE(OFFSET($PA$3,0,0,'Données projet'!$E$28+1,1))-AVERAGE(OFFSET($H$3,0,0,'Données projet'!$E$28+1,1))</f>
        <v>#N/A</v>
      </c>
      <c r="PC11" s="59" t="e">
        <f t="shared" si="116"/>
        <v>#N/A</v>
      </c>
      <c r="PD11" s="15">
        <f>IF(ISNA(VLOOKUP($A11,'Données projet'!$A$538:$I$558,3,0)),0,VLOOKUP($A11,'Données projet'!$A$538:$I$558,3,0))</f>
        <v>0</v>
      </c>
      <c r="PE11" s="15">
        <f>IF(ISNA(VLOOKUP($A11,'Données projet'!$A$538:$I$558,4,0)),0,VLOOKUP($A11,'Données projet'!$A$538:$I$558,4,0))</f>
        <v>0</v>
      </c>
      <c r="PF11" s="16">
        <f>IF(ISNA(VLOOKUP($A11,'Données projet'!$A$538:$I$558,5,0)),0%,VLOOKUP($A11,'Données projet'!$A$538:$I$558,5,0)*VLOOKUP('Données projet'!$B$28,Paramètres!$A$1:$I$89,7,0))</f>
        <v>0</v>
      </c>
      <c r="PG11" s="16">
        <f>IF(ISNA(VLOOKUP($A11,'Données projet'!$A$538:$I$558,6,0)),0%,VLOOKUP($A11,'Données projet'!$A$538:$I$558,6,0)*VLOOKUP('Données projet'!$B$28,Paramètres!$A$1:$I$89,7,0))</f>
        <v>0</v>
      </c>
      <c r="PH11" s="16">
        <f>IF(ISNA(VLOOKUP($A11,'Données projet'!$A$538:$I$558,7,0)),0%,VLOOKUP($A11,'Données projet'!$A$538:$I$558,7,0))</f>
        <v>0</v>
      </c>
      <c r="PI11" s="21" t="e">
        <f>EXP(-LN(2)/35)*PI10+(1-EXP(-LN(2)/35))/(LN(2)/35)*PE11*PF11*VLOOKUP('Données projet'!$B$28,Paramètres!$A$1:$I$89,3,0)*0.475*44/12</f>
        <v>#N/A</v>
      </c>
      <c r="PJ11" s="21" t="e">
        <f>EXP(-LN(2)/25)*PJ10+(1-EXP(-LN(2)/25))/(LN(2)/25)*Calculateur!PE11*Calculateur!PG11*VLOOKUP('Données projet'!$B$28,Paramètres!$A$1:$I$89,3,0)*0.475*44/12</f>
        <v>#N/A</v>
      </c>
      <c r="PK11" s="21" t="e">
        <f>EXP(-LN(2)/2)*PK10+(1-EXP(-LN(2)/2))/(LN(2)/2)*PE11*PH11*VLOOKUP('Données projet'!$B$28,Paramètres!$A$1:$I$89,3,0)*0.475*44/12</f>
        <v>#N/A</v>
      </c>
      <c r="PL11" s="22" t="e">
        <f t="shared" si="117"/>
        <v>#N/A</v>
      </c>
    </row>
    <row r="12" spans="1:428" x14ac:dyDescent="0.35">
      <c r="A12" s="10">
        <f t="shared" si="6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6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projet'!$A$45:$I$65,2,0)</f>
        <v>#N/A</v>
      </c>
      <c r="L12" s="12" t="e">
        <f>VLOOKUP(A12,'Données projet'!$A$45:$I$65,9,0)</f>
        <v>#N/A</v>
      </c>
      <c r="M12" s="12">
        <f t="array" ref="M12">INDEX(L:L,MIN(IF(ISNUMBER(L12:L208),ROW(L12:L208),"")))</f>
        <v>10.16068376068376</v>
      </c>
      <c r="N12" s="13">
        <f>IF('Données projet'!$A$46&gt;35,N11+M12-V11,IF(A12&lt;'Données projet'!$A$46,$K$205^A12,IF(A12='Données projet'!$A$46,'Données projet'!$B$46,N11+M12-V11)))</f>
        <v>13.523768250465828</v>
      </c>
      <c r="O12" s="13">
        <f>N12*VLOOKUP('Données projet'!$B$9,Paramètres!$A$1:$I$89,3,0)*VLOOKUP('Données projet'!$B$9,Paramètres!$A$1:$I$89,5,0)</f>
        <v>7.5597864520103979</v>
      </c>
      <c r="P12" s="13">
        <f t="shared" si="63"/>
        <v>2.7529801730003816</v>
      </c>
      <c r="Q12" s="20">
        <f t="shared" si="2"/>
        <v>17.961401871893774</v>
      </c>
      <c r="R12" s="59">
        <f t="shared" si="0"/>
        <v>311.29473520522708</v>
      </c>
      <c r="S12" s="59">
        <f ca="1">AVERAGE(OFFSET($R$3,0,0,'Données projet'!$E$9+1,1))-AVERAGE(OFFSET($H$3,0,0,'Données projet'!$E$9+1,1))</f>
        <v>274.57619581652199</v>
      </c>
      <c r="T12" s="59">
        <f t="shared" si="64"/>
        <v>366.15117322598775</v>
      </c>
      <c r="U12" s="15">
        <f>IF(ISNA(VLOOKUP(A12,'Données projet'!$A$45:$I$65,3,0)),0,VLOOKUP(A12,'Données projet'!$A$45:$I$65,3,0))</f>
        <v>0</v>
      </c>
      <c r="V12" s="15">
        <f>IF(ISNA(VLOOKUP(A12,'Données projet'!$A$45:$I$65,4,0)),0,VLOOKUP(A12,'Données projet'!$A$45:$I$65,4,0))</f>
        <v>0</v>
      </c>
      <c r="W12" s="16">
        <f>IF(ISNA(VLOOKUP(A12,'Données projet'!$A$45:$I$65,5,0)),0%,VLOOKUP(A12,'Données projet'!$A$45:$I$65,5,0)*VLOOKUP('Données projet'!$B$9,Paramètres!$A$1:$I$89,7,0))</f>
        <v>0</v>
      </c>
      <c r="X12" s="16">
        <f>IF(ISNA(VLOOKUP(A12,'Données projet'!$A$45:$I$65,6,0)),0%,VLOOKUP(A12,'Données projet'!$A$45:$I$65,6,0)*VLOOKUP('Données projet'!$B$9,Paramètres!$A$1:$I$89,7,0))</f>
        <v>0</v>
      </c>
      <c r="Y12" s="16">
        <f>IF(ISNA(VLOOKUP(A12,'Données projet'!$A$45:$I$65,7,0)),0%,VLOOKUP(A12,'Données projet'!$A$45:$I$65,7,0))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projet'!$A$71:$I$91,2,0)</f>
        <v>#N/A</v>
      </c>
      <c r="AG12" s="12" t="e">
        <f>VLOOKUP(A12,'Données projet'!$A$71:$I$91,9,0)</f>
        <v>#N/A</v>
      </c>
      <c r="AH12" s="12">
        <f t="array" ref="AH12">INDEX(AG:AG,MIN(IF(ISNUMBER(AG12:AG208),ROW(AG12:AG208),"")))</f>
        <v>4.0628205128205126</v>
      </c>
      <c r="AI12" s="13">
        <f>IF('Données projet'!$A$72&gt;35,AI11+AH12-AQ11,IF(A12&lt;'Données projet'!$A$72,$AF$205^A12,IF(A12='Données projet'!$A$72,'Données projet'!$B$72,AI11+AH12-AQ11)))</f>
        <v>4.2245909793472531</v>
      </c>
      <c r="AJ12" s="13">
        <f>AI12*VLOOKUP('Données projet'!$B$10,Paramètres!$A$1:$I$89,3,0)*VLOOKUP('Données projet'!$B$10,Paramètres!$A$1:$I$89,5,0)</f>
        <v>3.822409918113395</v>
      </c>
      <c r="AK12" s="13">
        <f t="shared" si="65"/>
        <v>1.5069722918446318</v>
      </c>
      <c r="AL12" s="20">
        <f t="shared" si="4"/>
        <v>9.2820073490102306</v>
      </c>
      <c r="AM12" s="59">
        <f t="shared" si="5"/>
        <v>302.61534068234357</v>
      </c>
      <c r="AN12" s="59">
        <f ca="1">AVERAGE(OFFSET($AM$3,0,0,'Données projet'!$E$10+1,1))-AVERAGE(OFFSET($H$3,0,0,'Données projet'!$E$10+1,1))</f>
        <v>270.87836509222456</v>
      </c>
      <c r="AO12" s="59">
        <f t="shared" si="66"/>
        <v>205.24998237949734</v>
      </c>
      <c r="AP12" s="15">
        <f>IF(ISNA(VLOOKUP(A12,'Données projet'!$A$71:$I$91,3,0)),0,VLOOKUP(A12,'Données projet'!$A$71:$I$91,3,0))</f>
        <v>0</v>
      </c>
      <c r="AQ12" s="15">
        <f>IF(ISNA(VLOOKUP(A12,'Données projet'!$A$71:$I$91,4,0)),0,VLOOKUP(A12,'Données projet'!$A$71:$I$91,4,0))</f>
        <v>0</v>
      </c>
      <c r="AR12" s="16">
        <f>IF(ISNA(VLOOKUP(A12,'Données projet'!$A$71:$I$91,5,0)),0%,VLOOKUP(A12,'Données projet'!$A$71:$I$91,5,0)*VLOOKUP('Données projet'!$B$10,Paramètres!$A$1:$I$89,7,0))</f>
        <v>0</v>
      </c>
      <c r="AS12" s="16">
        <f>IF(ISNA(VLOOKUP(A12,'Données projet'!$A$71:$I$91,6,0)),0%,VLOOKUP(A12,'Données projet'!$A$71:$I$91,6,0)*VLOOKUP('Données projet'!$B$10,Paramètres!$A$1:$I$89,7,0))</f>
        <v>0</v>
      </c>
      <c r="AT12" s="16">
        <f>IF(ISNA(VLOOKUP(A12,'Données projet'!$A$71:$I$91,7,0)),0%,VLOOKUP(A12,'Données projet'!$A$71:$I$91,7,0))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projet'!$A$97:$I$117,2,0)</f>
        <v>#N/A</v>
      </c>
      <c r="BB12" s="12" t="e">
        <f>VLOOKUP(A12,'Données projet'!$A$97:$I$117,9,0)</f>
        <v>#N/A</v>
      </c>
      <c r="BC12" s="12">
        <f t="array" ref="BC12">INDEX(BB:BB,MIN(IF(ISNUMBER(BB12:BB208),ROW(BB12:BB208),"")))</f>
        <v>10.16068376068376</v>
      </c>
      <c r="BD12" s="12">
        <f>IF('Données projet'!$A$98&gt;35,BD11+BC12-BL11,IF(A12&lt;'Données projet'!$A$98,$BA$205^A12,IF(A12='Données projet'!$A$98,'Données projet'!$B$98,BD11+BC12-BL11)))</f>
        <v>13.523768250465828</v>
      </c>
      <c r="BE12" s="13">
        <f>BD12*VLOOKUP('Données projet'!$B$11,Paramètres!$A$1:$I$89,3,0)*VLOOKUP('Données projet'!$B$11,Paramètres!$A$1:$I$89,5,0)</f>
        <v>5.9775055667058963</v>
      </c>
      <c r="BF12" s="13">
        <f t="shared" si="67"/>
        <v>2.2370986068720566</v>
      </c>
      <c r="BG12" s="20">
        <f t="shared" si="7"/>
        <v>14.307102268981602</v>
      </c>
      <c r="BH12" s="59">
        <f t="shared" si="8"/>
        <v>307.64043560231494</v>
      </c>
      <c r="BI12" s="59">
        <f ca="1">AVERAGE(OFFSET($BH$3,0,0,'Données projet'!$E$11+1,1))-AVERAGE(OFFSET($H$3,0,0,'Données projet'!$E$11+1,1))</f>
        <v>211.31057120485542</v>
      </c>
      <c r="BJ12" s="59">
        <f t="shared" si="68"/>
        <v>283.33292006714777</v>
      </c>
      <c r="BK12" s="15">
        <f>IF(ISNA(VLOOKUP(A12,'Données projet'!$A$97:$I$117,3,0)),0,VLOOKUP(A12,'Données projet'!$A$97:$I$117,3,0))</f>
        <v>0</v>
      </c>
      <c r="BL12" s="15">
        <f>IF(ISNA(VLOOKUP(A12,'Données projet'!$A$97:$I$117,4,0)),0,VLOOKUP(A12,'Données projet'!$A$97:$I$117,4,0))</f>
        <v>0</v>
      </c>
      <c r="BM12" s="16">
        <f>IF(ISNA(VLOOKUP(A12,'Données projet'!$A$97:$I$117,5,0)),0%,VLOOKUP(A12,'Données projet'!$A$97:$I$117,5,0)*VLOOKUP('Données projet'!$B$11,Paramètres!$A$1:$I$89,7,0))</f>
        <v>0</v>
      </c>
      <c r="BN12" s="16">
        <f>IF(ISNA(VLOOKUP(A12,'Données projet'!$A$97:$I$117,6,0)),0%,VLOOKUP(A12,'Données projet'!$A$97:$I$117,6,0)*VLOOKUP('Données projet'!$B$11,Paramètres!$A$1:$I$89,7,0))</f>
        <v>0</v>
      </c>
      <c r="BO12" s="16">
        <f>IF(ISNA(VLOOKUP(A12,'Données projet'!$A$97:$I$117,7,0)),0%,VLOOKUP(A12,'Données projet'!$A$97:$I$117,7,0))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projet'!$A$123:$I$143,2,0)</f>
        <v>#N/A</v>
      </c>
      <c r="BW12" s="12" t="e">
        <f>VLOOKUP(A12,'Données projet'!$A$123:$I$143,9,0)</f>
        <v>#N/A</v>
      </c>
      <c r="BX12" s="12">
        <f t="array" ref="BX12">INDEX(BW:BW,MIN(IF(ISNUMBER(BW12:BW208),ROW(BW12:BW208),"")))</f>
        <v>2.9</v>
      </c>
      <c r="BY12" s="12">
        <f>IF('Données projet'!$A$124&gt;35,BY11+BX12-CG11,IF(A12&lt;'Données projet'!$A$124,$BV$205^A12,IF(A12='Données projet'!$A$124,'Données projet'!$B$124,BY11+BX12-CG11)))</f>
        <v>20.708955653761308</v>
      </c>
      <c r="BZ12" s="13">
        <f>BY12*VLOOKUP('Données projet'!$B$12,Paramètres!$A$1:$I$89,3,0)*VLOOKUP('Données projet'!$B$12,Paramètres!$A$1:$I$89,5,0)</f>
        <v>21.645000449311322</v>
      </c>
      <c r="CA12" s="13">
        <f t="shared" si="69"/>
        <v>6.9738730841629319</v>
      </c>
      <c r="CB12" s="20">
        <f t="shared" si="10"/>
        <v>49.844538070800986</v>
      </c>
      <c r="CC12" s="59">
        <f t="shared" si="11"/>
        <v>343.17787140413429</v>
      </c>
      <c r="CD12" s="59">
        <f ca="1">AVERAGE(OFFSET($CC$3,0,0,'Données projet'!$E$12+1,1))-AVERAGE(OFFSET($H$3,0,0,'Données projet'!$E$12+1,1))</f>
        <v>322.93502595881938</v>
      </c>
      <c r="CE12" s="59">
        <f t="shared" si="70"/>
        <v>302.67072119588164</v>
      </c>
      <c r="CF12" s="15">
        <f>IF(ISNA(VLOOKUP(A12,'Données projet'!$A$123:$I$143,3,0)),0,VLOOKUP(A12,'Données projet'!$A$123:$I$143,3,0))</f>
        <v>0</v>
      </c>
      <c r="CG12" s="15">
        <f>IF(ISNA(VLOOKUP(A12,'Données projet'!$A$123:$I$143,4,0)),0,VLOOKUP(A12,'Données projet'!$A$123:$I$143,4,0))</f>
        <v>0</v>
      </c>
      <c r="CH12" s="16">
        <f>IF(ISNA(VLOOKUP(A12,'Données projet'!$A$123:$I$143,5,0)),0%,VLOOKUP(A12,'Données projet'!$A$123:$I$143,5,0)*VLOOKUP('Données projet'!$B$12,Paramètres!$A$1:$I$89,7,0))</f>
        <v>0</v>
      </c>
      <c r="CI12" s="16">
        <f>IF(ISNA(VLOOKUP(A12,'Données projet'!$A$123:$I$143,6,0)),0%,VLOOKUP(A12,'Données projet'!$A$123:$I$143,6,0)*VLOOKUP('Données projet'!$B$12,Paramètres!$A$1:$I$89,7,0))</f>
        <v>0</v>
      </c>
      <c r="CJ12" s="16">
        <f>IF(ISNA(VLOOKUP(A12,'Données projet'!$A$123:$I$143,7,0)),0%,VLOOKUP(A12,'Données projet'!$A$123:$I$143,7,0))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projet'!$A$149:$I$169,2,0)</f>
        <v>#N/A</v>
      </c>
      <c r="CR12" s="12" t="e">
        <f>VLOOKUP(A12,'Données projet'!$A$149:$I$169,9,0)</f>
        <v>#N/A</v>
      </c>
      <c r="CS12" s="12">
        <f t="array" ref="CS12">INDEX(CR:CR,MIN(IF(ISNUMBER(CR12:CR208),ROW(CR12:CR208),"")))</f>
        <v>2.9235042735042733</v>
      </c>
      <c r="CT12" s="12">
        <f>IF('Données projet'!$A$150&gt;35,CT11+CS12-DB11,IF(A12&lt;'Données projet'!$A$150,$CQ$205^A12,IF(A12='Données projet'!$A$150,'Données projet'!$B$150,CT11+CS12-DB11)))</f>
        <v>3.8274321125090722</v>
      </c>
      <c r="CU12" s="17">
        <f>CT12*VLOOKUP('Données projet'!$B$13,Paramètres!$A$1:$I$89,3,0)*VLOOKUP('Données projet'!$B$13,Paramètres!$A$1:$I$89,5,0)</f>
        <v>3.8810161620841996</v>
      </c>
      <c r="CV12" s="13">
        <f t="shared" si="71"/>
        <v>1.5273700335672085</v>
      </c>
      <c r="CW12" s="20">
        <f t="shared" si="13"/>
        <v>9.4196059574262012</v>
      </c>
      <c r="CX12" s="59">
        <f t="shared" si="14"/>
        <v>302.75293929075951</v>
      </c>
      <c r="CY12" s="59">
        <f ca="1">AVERAGE(OFFSET($CX$3,0,0,'Données projet'!$E$13+1,1))-AVERAGE(OFFSET($H$3,0,0,'Données projet'!$E$13+1,1))</f>
        <v>250.31277422753283</v>
      </c>
      <c r="CZ12" s="59">
        <f t="shared" si="72"/>
        <v>159.20429420478047</v>
      </c>
      <c r="DA12" s="15">
        <f>IF(ISNA(VLOOKUP(A12,'Données projet'!$A$149:$I$169,3,0)),0,VLOOKUP(A12,'Données projet'!$A$149:$I$169,3,0))</f>
        <v>0</v>
      </c>
      <c r="DB12" s="15">
        <f>IF(ISNA(VLOOKUP(A12,'Données projet'!$A$149:$I$169,4,0)),0,VLOOKUP(A12,'Données projet'!$A$149:$I$169,4,0))</f>
        <v>0</v>
      </c>
      <c r="DC12" s="16">
        <f>IF(ISNA(VLOOKUP(A12,'Données projet'!$A$149:$I$169,5,0)),0%,VLOOKUP(A12,'Données projet'!$A$149:$I$169,5,0)*VLOOKUP('Données projet'!$B$13,Paramètres!$A$1:$I$89,7,0))</f>
        <v>0</v>
      </c>
      <c r="DD12" s="16">
        <f>IF(ISNA(VLOOKUP(A12,'Données projet'!$A$149:$I$169,6,0)),0%,VLOOKUP(A12,'Données projet'!$A$149:$I$169,6,0)*VLOOKUP('Données projet'!$B$13,Paramètres!$A$1:$I$89,7,0))</f>
        <v>0</v>
      </c>
      <c r="DE12" s="16">
        <f>IF(ISNA(VLOOKUP(A12,'Données projet'!$A$149:$I$169,7,0)),0%,VLOOKUP(A12,'Données projet'!$A$149:$I$169,7,0))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projet'!$A$175:$I$195,2,0)</f>
        <v>#N/A</v>
      </c>
      <c r="DM12" s="12" t="e">
        <f>VLOOKUP(A12,'Données projet'!$A$175:$I$195,9,0)</f>
        <v>#N/A</v>
      </c>
      <c r="DN12" s="12">
        <f t="array" ref="DN12">INDEX(DM:DM,MIN(IF(ISNUMBER(DM12:DM208),ROW(DM12:DM208),"")))</f>
        <v>1.9</v>
      </c>
      <c r="DO12" s="12">
        <f>IF('Données projet'!$A$176&gt;35,DO11+DN12-DW11,IF(A12&lt;'Données projet'!$A$176,$DL$205^A12,IF(A12='Données projet'!$A$176,'Données projet'!$B$176,DO11+DN12-DW11)))</f>
        <v>14.153969025366564</v>
      </c>
      <c r="DP12" s="17">
        <f>DO12*VLOOKUP('Données projet'!$B$14,Paramètres!$A$1:$I$89,3,0)*VLOOKUP('Données projet'!$B$14,Paramètres!$A$1:$I$89,5,0)</f>
        <v>10.377690089398765</v>
      </c>
      <c r="DQ12" s="13">
        <f t="shared" si="73"/>
        <v>3.6423245482922235</v>
      </c>
      <c r="DR12" s="20">
        <f t="shared" si="16"/>
        <v>24.418192160645134</v>
      </c>
      <c r="DS12" s="59">
        <f t="shared" si="17"/>
        <v>317.75152549397842</v>
      </c>
      <c r="DT12" s="59">
        <f ca="1">AVERAGE(OFFSET($DS$3,0,0,'Données projet'!$E$14+1,1))-AVERAGE(OFFSET($H$3,0,0,'Données projet'!$E$14+1,1))</f>
        <v>296.91321813251051</v>
      </c>
      <c r="DU12" s="59">
        <f t="shared" si="74"/>
        <v>291.0718079639509</v>
      </c>
      <c r="DV12" s="15">
        <f>IF(ISNA(VLOOKUP(A12,'Données projet'!$A$175:$I$195,3,0)),0,VLOOKUP(A12,'Données projet'!$A$175:$I$195,3,0))</f>
        <v>0</v>
      </c>
      <c r="DW12" s="15">
        <f>IF(ISNA(VLOOKUP(A12,'Données projet'!$A$175:$I$195,4,0)),0,VLOOKUP(A12,'Données projet'!$A$175:$I$195,4,0))</f>
        <v>0</v>
      </c>
      <c r="DX12" s="16">
        <f>IF(ISNA(VLOOKUP(A12,'Données projet'!$A$175:$I$195,5,0)),0%,VLOOKUP(A12,'Données projet'!$A$175:$I$195,5,0)*VLOOKUP('Données projet'!$B$14,Paramètres!$A$1:$I$89,7,0))</f>
        <v>0</v>
      </c>
      <c r="DY12" s="16">
        <f>IF(ISNA(VLOOKUP(A12,'Données projet'!$A$175:$I$195,6,0)),0%,VLOOKUP(A12,'Données projet'!$A$175:$I$195,6,0)*VLOOKUP('Données projet'!$B$14,Paramètres!$A$1:$I$89,7,0))</f>
        <v>0</v>
      </c>
      <c r="DZ12" s="16">
        <f>IF(ISNA(VLOOKUP(A12,'Données projet'!$A$175:$I$195,7,0)),0%,VLOOKUP(A12,'Données projet'!$A$175:$I$195,7,0))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projet'!$A$201:$I$221,2,0)</f>
        <v>#N/A</v>
      </c>
      <c r="EH12" s="12" t="e">
        <f>VLOOKUP(A12,'Données projet'!$A$201:$I$221,9,0)</f>
        <v>#N/A</v>
      </c>
      <c r="EI12" s="12">
        <f t="array" ref="EI12">INDEX(EH:EH,MIN(IF(ISNUMBER(EH12:EH208),ROW(EH12:EH208),"")))</f>
        <v>3.4425641025641025</v>
      </c>
      <c r="EJ12" s="12">
        <f>IF('Données projet'!$A$202&gt;35,EJ11+EI12-ER11,IF(A12&lt;'Données projet'!$A$202,$EG$205^A12,IF(A12='Données projet'!$A$202,'Données projet'!$B$202,EJ11+EI12-ER11)))</f>
        <v>4.0197679866952116</v>
      </c>
      <c r="EK12" s="17">
        <f>EJ12*VLOOKUP('Données projet'!$B$15,Paramètres!$A$1:$I$89,3,0)*VLOOKUP('Données projet'!$B$15,Paramètres!$A$1:$I$89,5,0)</f>
        <v>1.881251417773359</v>
      </c>
      <c r="EL12" s="13">
        <f t="shared" si="75"/>
        <v>0.80547727641405575</v>
      </c>
      <c r="EM12" s="20">
        <f t="shared" si="19"/>
        <v>4.6793858090430804</v>
      </c>
      <c r="EN12" s="59">
        <f t="shared" si="20"/>
        <v>298.0127191423764</v>
      </c>
      <c r="EO12" s="59">
        <f ca="1">AVERAGE(OFFSET($EN$3,0,0,'Données projet'!$E$15+1,1))-AVERAGE(OFFSET($H$3,0,0,'Données projet'!$E$15+1,1))</f>
        <v>147.64256291235483</v>
      </c>
      <c r="EP12" s="59">
        <f t="shared" si="76"/>
        <v>70.859031694091868</v>
      </c>
      <c r="EQ12" s="15">
        <f>IF(ISNA(VLOOKUP(A12,'Données projet'!$A$201:$I$221,3,0)),0,VLOOKUP(A12,'Données projet'!$A$201:$I$221,3,0))</f>
        <v>0</v>
      </c>
      <c r="ER12" s="15">
        <f>IF(ISNA(VLOOKUP(A12,'Données projet'!$A$201:$I$221,4,0)),0,VLOOKUP(A12,'Données projet'!$A$201:$I$221,4,0))</f>
        <v>0</v>
      </c>
      <c r="ES12" s="16">
        <f>IF(ISNA(VLOOKUP(A12,'Données projet'!$A$201:$I$221,5,0)),0%,VLOOKUP(A12,'Données projet'!$A$201:$I$221,5,0)*VLOOKUP('Données projet'!$B$15,Paramètres!$A$1:$I$89,7,0))</f>
        <v>0</v>
      </c>
      <c r="ET12" s="16">
        <f>IF(ISNA(VLOOKUP(A12,'Données projet'!$A$201:$I$221,6,0)),0%,VLOOKUP(A12,'Données projet'!$A$201:$I$221,6,0)*VLOOKUP('Données projet'!$B$15,Paramètres!$A$1:$I$89,7,0))</f>
        <v>0</v>
      </c>
      <c r="EU12" s="16">
        <f>IF(ISNA(VLOOKUP(A12,'Données projet'!$A$201:$I$221,7,0)),0%,VLOOKUP(A12,'Données projet'!$A$201:$I$221,7,0))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projet'!$A$227:$I$247,2,0)</f>
        <v>#N/A</v>
      </c>
      <c r="FC12" s="12" t="e">
        <f>VLOOKUP(A12,'Données projet'!$A$227:$I$247,9,0)</f>
        <v>#N/A</v>
      </c>
      <c r="FD12" s="12">
        <f t="array" ref="FD12">INDEX(FC:FC,MIN(IF(ISNUMBER(FC12:FC208),ROW(FC12:FC208),"")))</f>
        <v>1.8</v>
      </c>
      <c r="FE12" s="12">
        <f>IF('Données projet'!$A$228&gt;35,FE11+FD12-FM11,IF(A12&lt;'Données projet'!$A$228,$FB$205^A12,IF(A12='Données projet'!$A$228,'Données projet'!$B$228,FE11+FD12-FM11)))</f>
        <v>13.48171849440139</v>
      </c>
      <c r="FF12" s="17">
        <f>FE12*VLOOKUP('Données projet'!$B$16,Paramètres!$A$1:$I$89,3,0)*VLOOKUP('Données projet'!$B$16,Paramètres!$A$1:$I$89,5,0)</f>
        <v>14.091092170348333</v>
      </c>
      <c r="FG12" s="13">
        <f t="shared" si="77"/>
        <v>4.7726497345394394</v>
      </c>
      <c r="FH12" s="20">
        <f t="shared" si="22"/>
        <v>32.854350484346199</v>
      </c>
      <c r="FI12" s="59">
        <f t="shared" si="23"/>
        <v>326.1876838176795</v>
      </c>
      <c r="FJ12" s="59">
        <f ca="1">AVERAGE(OFFSET($FI$3,0,0,'Données projet'!$E$16+1,1))-AVERAGE(OFFSET($H$3,0,0,'Données projet'!$E$16+1,1))</f>
        <v>259.03906550253788</v>
      </c>
      <c r="FK12" s="59">
        <f t="shared" si="78"/>
        <v>235.54542903570831</v>
      </c>
      <c r="FL12" s="15">
        <f>IF(ISNA(VLOOKUP(A12,'Données projet'!$A$227:$I$247,3,0)),0,VLOOKUP(A12,'Données projet'!$A$227:$I$247,3,0))</f>
        <v>0</v>
      </c>
      <c r="FM12" s="15">
        <f>IF(ISNA(VLOOKUP(A12,'Données projet'!$A$227:$I$247,4,0)),0,VLOOKUP(A12,'Données projet'!$A$227:$I$247,4,0))</f>
        <v>0</v>
      </c>
      <c r="FN12" s="16">
        <f>IF(ISNA(VLOOKUP(A12,'Données projet'!$A$227:$I$247,5,0)),0%,VLOOKUP(A12,'Données projet'!$A$227:$I$247,5,0)*VLOOKUP('Données projet'!$B$16,Paramètres!$A$1:$I$89,7,0))</f>
        <v>0</v>
      </c>
      <c r="FO12" s="16">
        <f>IF(ISNA(VLOOKUP(A12,'Données projet'!$A$227:$I$247,6,0)),0%,VLOOKUP(A12,'Données projet'!$A$227:$I$247,6,0)*VLOOKUP('Données projet'!$B$16,Paramètres!$A$1:$I$89,7,0))</f>
        <v>0</v>
      </c>
      <c r="FP12" s="16">
        <f>IF(ISNA(VLOOKUP(A12,'Données projet'!$A$227:$I$247,7,0)),0%,VLOOKUP(A12,'Données projet'!$A$227:$I$247,7,0))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projet'!$A$253:$I$273,2,0)</f>
        <v>#N/A</v>
      </c>
      <c r="FX12" s="12" t="e">
        <f>VLOOKUP(A12,'Données projet'!$A$253:$I$273,9,0)</f>
        <v>#N/A</v>
      </c>
      <c r="FY12" s="12">
        <f t="array" ref="FY12">INDEX(FX:FX,MIN(IF(ISNUMBER(FX12:FX208),ROW(FX12:FX208),"")))</f>
        <v>2.4666666666666668</v>
      </c>
      <c r="FZ12" s="12">
        <f>IF('Données projet'!$A$254&gt;35,FZ11+FY12-GH11,IF(A12&lt;'Données projet'!$A$254,$FW$205^A12,IF(A12='Données projet'!$A$254,'Données projet'!$B$254,FZ11+FY12-GH11)))</f>
        <v>8.7281265486761299</v>
      </c>
      <c r="GA12" s="17">
        <f>FZ12*VLOOKUP('Données projet'!$B$17,Paramètres!$A$1:$I$89,3,0)*VLOOKUP('Données projet'!$B$17,Paramètres!$A$1:$I$89,5,0)</f>
        <v>7.6248913529234681</v>
      </c>
      <c r="GB12" s="13">
        <f t="shared" si="79"/>
        <v>2.7739186895259813</v>
      </c>
      <c r="GC12" s="20">
        <f t="shared" si="25"/>
        <v>18.111260823932788</v>
      </c>
      <c r="GD12" s="59">
        <f t="shared" si="26"/>
        <v>311.44459415726612</v>
      </c>
      <c r="GE12" s="59">
        <f ca="1">AVERAGE(OFFSET($GD$3,0,0,'Données projet'!$E$17+1,1))-AVERAGE(OFFSET($H$3,0,0,'Données projet'!$E$17+1,1))</f>
        <v>245.1983232777614</v>
      </c>
      <c r="GF12" s="59">
        <f t="shared" si="80"/>
        <v>242.34010522344573</v>
      </c>
      <c r="GG12" s="15">
        <f>IF(ISNA(VLOOKUP(A12,'Données projet'!$A$253:$I$273,3,0)),0,VLOOKUP(A12,'Données projet'!$A$253:$I$273,3,0))</f>
        <v>0</v>
      </c>
      <c r="GH12" s="15">
        <f>IF(ISNA(VLOOKUP(A12,'Données projet'!$A$253:$I$273,4,0)),0,VLOOKUP(A12,'Données projet'!$A$253:$I$273,4,0))</f>
        <v>0</v>
      </c>
      <c r="GI12" s="16">
        <f>IF(ISNA(VLOOKUP(A12,'Données projet'!$A$253:$I$273,5,0)),0%,VLOOKUP(A12,'Données projet'!$A$253:$I$273,5,0)*VLOOKUP('Données projet'!$B$17,Paramètres!$A$1:$I$89,7,0))</f>
        <v>0</v>
      </c>
      <c r="GJ12" s="16">
        <f>IF(ISNA(VLOOKUP(A12,'Données projet'!$A$253:$I$273,6,0)),0%,VLOOKUP(A12,'Données projet'!$A$253:$I$273,6,0)*VLOOKUP('Données projet'!$B$17,Paramètres!$A$1:$I$89,7,0))</f>
        <v>0</v>
      </c>
      <c r="GK12" s="16">
        <f>IF(ISNA(VLOOKUP(A12,'Données projet'!$A$253:$I$273,7,0)),0%,VLOOKUP(A12,'Données projet'!$A$253:$I$273,7,0))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projet'!$A$279:$I$299,2,0)</f>
        <v>#N/A</v>
      </c>
      <c r="GS12" s="12" t="e">
        <f>VLOOKUP(A12,'Données projet'!$A$279:$I$299,9,0)</f>
        <v>#N/A</v>
      </c>
      <c r="GT12" s="12">
        <f t="array" ref="GT12">INDEX(GS:GS,MIN(IF(ISNUMBER(GS12:GS208),ROW(GS12:GS208),"")))</f>
        <v>4.1333333333333337</v>
      </c>
      <c r="GU12" s="12">
        <f>IF('Données projet'!$A$280&gt;35,GU11+GT12-HC11,IF(A12&lt;'Données projet'!$A$280,$GR$205^A12,IF(A12='Données projet'!$A$280,'Données projet'!$B$280,GU11+GT12-HC11)))</f>
        <v>11.896932943137122</v>
      </c>
      <c r="GV12" s="17">
        <f>GU12*VLOOKUP('Données projet'!$B$18,Paramètres!$A$1:$I$89,3,0)*VLOOKUP('Données projet'!$B$18,Paramètres!$A$1:$I$89,5,0)</f>
        <v>4.7944639760842609</v>
      </c>
      <c r="GW12" s="13">
        <f t="shared" si="81"/>
        <v>1.8410008191568863</v>
      </c>
      <c r="GX12" s="20">
        <f t="shared" si="28"/>
        <v>11.556767851711664</v>
      </c>
      <c r="GY12" s="59">
        <f t="shared" si="29"/>
        <v>304.89010118504495</v>
      </c>
      <c r="GZ12" s="59">
        <f ca="1">AVERAGE(OFFSET($GY$3,0,0,'Données projet'!$E$18+1,1))-AVERAGE(OFFSET($H$3,0,0,'Données projet'!$E$18+1,1))</f>
        <v>324.36162935850876</v>
      </c>
      <c r="HA12" s="59">
        <f t="shared" si="82"/>
        <v>265.23571072429735</v>
      </c>
      <c r="HB12" s="15">
        <f>IF(ISNA(VLOOKUP(A12,'Données projet'!$A$279:$I$299,3,0)),0,VLOOKUP(A12,'Données projet'!$A$279:$I$299,3,0))</f>
        <v>0</v>
      </c>
      <c r="HC12" s="15">
        <f>IF(ISNA(VLOOKUP(A12,'Données projet'!$A$279:$I$299,4,0)),0,VLOOKUP(A12,'Données projet'!$A$279:$I$299,4,0))</f>
        <v>0</v>
      </c>
      <c r="HD12" s="16">
        <f>IF(ISNA(VLOOKUP(A12,'Données projet'!$A$279:$I$299,5,0)),0%,VLOOKUP(A12,'Données projet'!$A$279:$I$299,5,0)*VLOOKUP('Données projet'!$B$18,Paramètres!$A$1:$I$89,7,0))</f>
        <v>0</v>
      </c>
      <c r="HE12" s="16">
        <f>IF(ISNA(VLOOKUP(A12,'Données projet'!$A$279:$I$299,6,0)),0%,VLOOKUP(A12,'Données projet'!$A$279:$I$299,6,0)*VLOOKUP('Données projet'!$B$18,Paramètres!$A$1:$I$89,7,0))</f>
        <v>0</v>
      </c>
      <c r="HF12" s="16">
        <f>IF(ISNA(VLOOKUP($A12,'Données projet'!$A$279:$I$299,7,0)),0%,VLOOKUP($A12,'Données projet'!$A$279:$I$299,7,0))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  <c r="HK12" s="74">
        <f>('Scénario référence'!$F$8+'Scénario référence'!$F$9+'Scénario référence'!$B$17+'Scénario référence'!$B$9+'Scénario référence'!$B$10)*70+IF((45+25*(1-EXP(-0.0175*$A12)))&lt;70,'Scénario référence'!$B$16*(45+25*(1-EXP(-0.0175*$A12))),70*'Scénario référence'!$B$16)+IF((32+38*(1-EXP(-0.0175*$A12)))&lt;70,'Scénario référence'!$B$18*(32+38*(1-EXP(-0.0175*$A12))),70*'Scénario référence'!$B$18)</f>
        <v>70</v>
      </c>
      <c r="HL12" s="12">
        <f>IF($A12&gt;30,10,('Scénario référence'!$B$16+'Scénario référence'!$B$17+'Scénario référence'!$B$18+'Scénario référence'!$B$9+'Scénario référence'!$B$10)*$A12*10/30+('Scénario référence'!$F$8+'Scénario référence'!$F$9)*10)</f>
        <v>10</v>
      </c>
      <c r="HM12" s="12">
        <f>VLOOKUP($A12,'Données projet'!$A$304:$I$324,2,0)</f>
        <v>56.797307692307676</v>
      </c>
      <c r="HN12" s="12">
        <f>VLOOKUP($A12,'Données projet'!$A$304:$I$324,9,0)</f>
        <v>13.266794871794865</v>
      </c>
      <c r="HO12" s="12">
        <f t="array" ref="HO12">INDEX(HN:HN,MIN(IF(ISNUMBER(HN12:HN208),ROW(HN12:HN208),"")))</f>
        <v>13.266794871794865</v>
      </c>
      <c r="HP12" s="12">
        <f>IF('Données projet'!$A$304&gt;35,HP11+HO12-HX11,IF($A12&lt;'Données projet'!$A$304,$CQ$205^$A12,IF($A12='Données projet'!$A$304,'Données projet'!$B$304,HP11+HO12-HX11)))</f>
        <v>56.797307692307676</v>
      </c>
      <c r="HQ12" s="17">
        <f>HP12*VLOOKUP('Données projet'!$B$19,Paramètres!$A$1:$I$89,3,0)*VLOOKUP('Données projet'!$B$19,Paramètres!$A$1:$I$89,5,0)</f>
        <v>28.884838799999994</v>
      </c>
      <c r="HR12" s="13">
        <f t="shared" si="83"/>
        <v>8.9991197527674434</v>
      </c>
      <c r="HS12" s="14">
        <f t="shared" si="31"/>
        <v>65.98122781273662</v>
      </c>
      <c r="HT12" s="59">
        <f t="shared" si="32"/>
        <v>359.31456114606993</v>
      </c>
      <c r="HU12" s="59">
        <f ca="1">AVERAGE(OFFSET(HT$3,0,0,'Données projet'!$E$19+1,1))-AVERAGE(OFFSET($H$3,0,0,'Données projet'!$E$19+1,1))</f>
        <v>91.60721429656013</v>
      </c>
      <c r="HV12" s="59">
        <f t="shared" si="84"/>
        <v>258.94957804210856</v>
      </c>
      <c r="HW12" s="15">
        <f>IF(ISNA(VLOOKUP($A12,'Données projet'!$A$304:$I$324,3,0)),0,VLOOKUP($A12,'Données projet'!$A$304:$I$324,3,0))</f>
        <v>0</v>
      </c>
      <c r="HX12" s="15">
        <f>IF(ISNA(VLOOKUP($A12,'Données projet'!$A$304:$I$324,4,0)),0,VLOOKUP($A12,'Données projet'!$A$304:$I$324,4,0))</f>
        <v>0</v>
      </c>
      <c r="HY12" s="16">
        <f>IF(ISNA(VLOOKUP($A12,'Données projet'!$A$304:$I$324,5,0)),0%,VLOOKUP($A12,'Données projet'!$A$304:$I$324,5,0)*VLOOKUP('Données projet'!$B$19,Paramètres!$A$1:$I$89,7,0))</f>
        <v>0</v>
      </c>
      <c r="HZ12" s="16">
        <f>IF(ISNA(VLOOKUP($A12,'Données projet'!$A$304:$I$324,6,0)),0%,VLOOKUP($A12,'Données projet'!$A$304:$I$324,6,0)*VLOOKUP('Données projet'!$B$19,Paramètres!$A$1:$I$89,7,0))</f>
        <v>0</v>
      </c>
      <c r="IA12" s="16">
        <f>IF(ISNA(VLOOKUP($A12,'Données projet'!$A$304:$I$324,7,0)),0%,VLOOKUP($A12,'Données projet'!$A$304:$I$324,7,0))</f>
        <v>0</v>
      </c>
      <c r="IB12" s="21">
        <f>EXP(-LN(2)/35)*IB11+(1-EXP(-LN(2)/35))/(LN(2)/35)*HX12*HY12*VLOOKUP('Données projet'!$B$19,Paramètres!$A$1:$I$89,3,0)*0.475*44/12</f>
        <v>0</v>
      </c>
      <c r="IC12" s="21">
        <f>EXP(-LN(2)/25)*IC11+(1-EXP(-LN(2)/25))/(LN(2)/25)*Calculateur!HX12*Calculateur!HZ12*VLOOKUP('Données projet'!$B$19,Paramètres!$A$1:$I$89,3,0)*0.475*44/12</f>
        <v>0</v>
      </c>
      <c r="ID12" s="21">
        <f>EXP(-LN(2)/2)*ID11+(1-EXP(-LN(2)/2))/(LN(2)/2)*HX12*IA12*VLOOKUP('Données projet'!$B$19,Paramètres!$A$1:$I$89,3,0)*0.475*44/12</f>
        <v>0</v>
      </c>
      <c r="IE12" s="22">
        <f t="shared" si="33"/>
        <v>0</v>
      </c>
      <c r="IF12" s="74">
        <f>('Scénario référence'!$F$8+'Scénario référence'!$F$9+'Scénario référence'!$B$17+'Scénario référence'!$B$9+'Scénario référence'!$B$10)*70+IF((45+25*(1-EXP(-0.0175*$A12)))&lt;70,'Scénario référence'!$B$16*(45+25*(1-EXP(-0.0175*$A12))),70*'Scénario référence'!$B$16)+IF((32+38*(1-EXP(-0.0175*$A12)))&lt;70,'Scénario référence'!$B$18*(32+38*(1-EXP(-0.0175*$A12))),70*'Scénario référence'!$B$18)</f>
        <v>70</v>
      </c>
      <c r="IG12" s="12">
        <f>IF($A12&gt;30,10,('Scénario référence'!$B$16+'Scénario référence'!$B$17+'Scénario référence'!$B$18+'Scénario référence'!$B$9+'Scénario référence'!$B$10)*$A12*10/30+('Scénario référence'!$F$8+'Scénario référence'!$F$9)*10)</f>
        <v>10</v>
      </c>
      <c r="IH12" s="12">
        <f>VLOOKUP($A12,'Données projet'!$A$330:$I$350,2,0)</f>
        <v>56.797307692307676</v>
      </c>
      <c r="II12" s="12">
        <f>VLOOKUP($A12,'Données projet'!$A$330:$I$350,9,0)</f>
        <v>13.266794871794865</v>
      </c>
      <c r="IJ12" s="12">
        <f t="array" ref="IJ12">INDEX(II:II,MIN(IF(ISNUMBER(II12:II208),ROW(II12:II208),"")))</f>
        <v>13.266794871794865</v>
      </c>
      <c r="IK12" s="12">
        <f>IF('Données projet'!$A$330&gt;35,IK11+IJ12-IS11,IF($A12&lt;'Données projet'!$A$330,$CQ$205^$A12,IF($A12='Données projet'!$A$330,'Données projet'!$B$330,IK11+IJ12-IS11)))</f>
        <v>56.797307692307676</v>
      </c>
      <c r="IL12" s="17">
        <f>IK12*VLOOKUP('Données projet'!$B$20,Paramètres!$A$1:$I$89,3,0)*VLOOKUP('Données projet'!$B$20,Paramètres!$A$1:$I$89,5,0)</f>
        <v>28.884838799999994</v>
      </c>
      <c r="IM12" s="13">
        <f t="shared" si="85"/>
        <v>8.9991197527674434</v>
      </c>
      <c r="IN12" s="20">
        <f t="shared" si="86"/>
        <v>65.98122781273662</v>
      </c>
      <c r="IO12" s="59">
        <f t="shared" si="87"/>
        <v>359.31456114606993</v>
      </c>
      <c r="IP12" s="59">
        <f ca="1">AVERAGE(OFFSET(IO$3,0,0,'Données projet'!$E$20+1,1))-AVERAGE(OFFSET($H$3,0,0,'Données projet'!$E$20+1,1))</f>
        <v>91.60721429656013</v>
      </c>
      <c r="IQ12" s="59">
        <f t="shared" si="88"/>
        <v>258.94957804210856</v>
      </c>
      <c r="IR12" s="15">
        <f>IF(ISNA(VLOOKUP($A12,'Données projet'!$A$330:$I$350,3,0)),0,VLOOKUP($A12,'Données projet'!$A$330:$I$350,3,0))</f>
        <v>0</v>
      </c>
      <c r="IS12" s="15">
        <f>IF(ISNA(VLOOKUP($A12,'Données projet'!$A$330:$I$350,4,0)),0,VLOOKUP($A12,'Données projet'!$A$330:$I$350,4,0))</f>
        <v>0</v>
      </c>
      <c r="IT12" s="16">
        <f>IF(ISNA(VLOOKUP($A12,'Données projet'!$A$330:$I$350,5,0)),0%,VLOOKUP($A12,'Données projet'!$A$330:$I$350,5,0)*VLOOKUP('Données projet'!$B$20,Paramètres!$A$1:$I$89,7,0))</f>
        <v>0</v>
      </c>
      <c r="IU12" s="16">
        <f>IF(ISNA(VLOOKUP($A12,'Données projet'!$A$330:$I$350,6,0)),0%,VLOOKUP($A12,'Données projet'!$A$330:$I$350,6,0)*VLOOKUP('Données projet'!$B$20,Paramètres!$A$1:$I$89,7,0))</f>
        <v>0</v>
      </c>
      <c r="IV12" s="16">
        <f>IF(ISNA(VLOOKUP($A12,'Données projet'!$A$330:$I$350,7,0)),0%,VLOOKUP($A12,'Données projet'!$A$330:$I$350,7,0))</f>
        <v>0</v>
      </c>
      <c r="IW12" s="21">
        <f>EXP(-LN(2)/35)*IW11+(1-EXP(-LN(2)/35))/(LN(2)/35)*IS12*IT12*VLOOKUP('Données projet'!$B$20,Paramètres!$A$1:$I$89,3,0)*0.475*44/12</f>
        <v>0</v>
      </c>
      <c r="IX12" s="21">
        <f>EXP(-LN(2)/25)*IX11+(1-EXP(-LN(2)/25))/(LN(2)/25)*Calculateur!IS12*Calculateur!IU12*VLOOKUP('Données projet'!$B$20,Paramètres!$A$1:$I$89,3,0)*0.475*44/12</f>
        <v>0</v>
      </c>
      <c r="IY12" s="21">
        <f>EXP(-LN(2)/2)*IY11+(1-EXP(-LN(2)/2))/(LN(2)/2)*IS12*IV12*VLOOKUP('Données projet'!$B$20,Paramètres!$A$1:$I$89,3,0)*0.475*44/12</f>
        <v>0</v>
      </c>
      <c r="IZ12" s="22">
        <f t="shared" si="89"/>
        <v>0</v>
      </c>
      <c r="JA12" s="74">
        <f>('Scénario référence'!$F$8+'Scénario référence'!$F$9+'Scénario référence'!$B$17+'Scénario référence'!$B$9+'Scénario référence'!$B$10)*70+IF((45+25*(1-EXP(-0.0175*$A12)))&lt;70,'Scénario référence'!$B$16*(45+25*(1-EXP(-0.0175*$A12))),70*'Scénario référence'!$B$16)+IF((32+38*(1-EXP(-0.0175*$A12)))&lt;70,'Scénario référence'!$B$18*(32+38*(1-EXP(-0.0175*$A12))),70*'Scénario référence'!$B$18)</f>
        <v>70</v>
      </c>
      <c r="JB12" s="12">
        <f>IF($A12&gt;30,10,('Scénario référence'!$B$16+'Scénario référence'!$B$17+'Scénario référence'!$B$18+'Scénario référence'!$B$9+'Scénario référence'!$B$10)*$A12*10/30+('Scénario référence'!$F$8+'Scénario référence'!$F$9)*10)</f>
        <v>10</v>
      </c>
      <c r="JC12" s="12" t="e">
        <f>VLOOKUP($A12,'Données projet'!$A$356:$I$376,2,0)</f>
        <v>#N/A</v>
      </c>
      <c r="JD12" s="12" t="e">
        <f>VLOOKUP($A12,'Données projet'!$A$356:$I$376,9,0)</f>
        <v>#N/A</v>
      </c>
      <c r="JE12" s="12">
        <f t="array" ref="JE12">INDEX(JD:JD,MIN(IF(ISNUMBER(JD12:JD208),ROW(JD12:JD208),"")))</f>
        <v>3.04</v>
      </c>
      <c r="JF12" s="12">
        <f>IF('Données projet'!$A$356&gt;35,JF11+JE12-JN11,IF($A12&lt;'Données projet'!$A$356,$CQ$205^$A12,IF($A12='Données projet'!$A$356,'Données projet'!$B$356,JF11+JE12-JN11)))</f>
        <v>27.359999999999996</v>
      </c>
      <c r="JG12" s="17">
        <f>JF12*VLOOKUP('Données projet'!$B$21,Paramètres!$A$1:$I$89,3,0)*VLOOKUP('Données projet'!$B$21,Paramètres!$A$1:$I$89,5,0)</f>
        <v>22.194431999999999</v>
      </c>
      <c r="JH12" s="13">
        <f t="shared" si="90"/>
        <v>7.1300618016649029</v>
      </c>
      <c r="JI12" s="20">
        <f t="shared" si="91"/>
        <v>51.073493371233035</v>
      </c>
      <c r="JJ12" s="59">
        <f t="shared" si="92"/>
        <v>344.40682670456636</v>
      </c>
      <c r="JK12" s="59">
        <f ca="1">AVERAGE(OFFSET($JJ$3,0,0,'Données projet'!$E$22+1,1))-AVERAGE(OFFSET($H$3,0,0,'Données projet'!$E$22+1,1))</f>
        <v>353.35574633294613</v>
      </c>
      <c r="JL12" s="59">
        <f t="shared" si="93"/>
        <v>170.36796666474726</v>
      </c>
      <c r="JM12" s="15">
        <f>IF(ISNA(VLOOKUP($A12,'Données projet'!$A$356:$I$376,3,0)),0,VLOOKUP($A12,'Données projet'!$A$356:$I$376,3,0))</f>
        <v>0</v>
      </c>
      <c r="JN12" s="15">
        <f>IF(ISNA(VLOOKUP($A12,'Données projet'!$A$356:$I$376,4,0)),0,VLOOKUP($A12,'Données projet'!$A$356:$I$376,4,0))</f>
        <v>0</v>
      </c>
      <c r="JO12" s="16">
        <f>IF(ISNA(VLOOKUP($A12,'Données projet'!$A$356:$I$376,5,0)),0%,VLOOKUP($A12,'Données projet'!$A$356:$I$376,5,0)*VLOOKUP('Données projet'!$B$21,Paramètres!$A$1:$I$89,7,0))</f>
        <v>0</v>
      </c>
      <c r="JP12" s="16">
        <f>IF(ISNA(VLOOKUP($A12,'Données projet'!$A$356:$I$376,6,0)),0%,VLOOKUP($A12,'Données projet'!$A$356:$I$376,6,0)*VLOOKUP('Données projet'!$B$21,Paramètres!$A$1:$I$89,7,0))</f>
        <v>0</v>
      </c>
      <c r="JQ12" s="16">
        <f>IF(ISNA(VLOOKUP($A12,'Données projet'!$A$356:$I$376,7,0)),0%,VLOOKUP($A12,'Données projet'!$A$356:$I$376,7,0))</f>
        <v>0</v>
      </c>
      <c r="JR12" s="21">
        <f>EXP(-LN(2)/35)*JR11+(1-EXP(-LN(2)/35))/(LN(2)/35)*JN12*JO12*VLOOKUP('Données projet'!$B$21,Paramètres!$A$1:$I$89,3,0)*0.475*44/12</f>
        <v>0</v>
      </c>
      <c r="JS12" s="21">
        <f>EXP(-LN(2)/25)*JS11+(1-EXP(-LN(2)/25))/(LN(2)/25)*Calculateur!JN12*Calculateur!JP12*VLOOKUP('Données projet'!$B$21,Paramètres!$A$1:$I$89,3,0)*0.475*44/12</f>
        <v>0</v>
      </c>
      <c r="JT12" s="21">
        <f>EXP(-LN(2)/2)*JT11+(1-EXP(-LN(2)/2))/(LN(2)/2)*JN12*JQ12*VLOOKUP('Données projet'!$B$21,Paramètres!$A$1:$I$89,3,0)*0.475*44/12</f>
        <v>0</v>
      </c>
      <c r="JU12" s="18">
        <f t="shared" si="39"/>
        <v>0</v>
      </c>
      <c r="JV12" s="74">
        <f>('Scénario référence'!$F$8+'Scénario référence'!$F$9+'Scénario référence'!$B$17+'Scénario référence'!$B$9+'Scénario référence'!$B$10)*70+IF((45+25*(1-EXP(-0.0175*$A12)))&lt;70,'Scénario référence'!$B$16*(45+25*(1-EXP(-0.0175*$A12))),70*'Scénario référence'!$B$16)+IF((32+38*(1-EXP(-0.0175*$A12)))&lt;70,'Scénario référence'!$B$18*(32+38*(1-EXP(-0.0175*$A12))),70*'Scénario référence'!$B$18)</f>
        <v>70</v>
      </c>
      <c r="JW12" s="12">
        <f>IF($A12&gt;30,10,('Scénario référence'!$B$16+'Scénario référence'!$B$17+'Scénario référence'!$B$18+'Scénario référence'!$B$9+'Scénario référence'!$B$10)*$A12*10/30+('Scénario référence'!$F$8+'Scénario référence'!$F$9)*10)</f>
        <v>10</v>
      </c>
      <c r="JX12" s="12" t="e">
        <f>VLOOKUP($A12,'Données projet'!$A$382:$I$402,2,0)</f>
        <v>#N/A</v>
      </c>
      <c r="JY12" s="12" t="e">
        <f>VLOOKUP($A12,'Données projet'!$A$382:$I$402,9,0)</f>
        <v>#N/A</v>
      </c>
      <c r="JZ12" s="12">
        <f t="array" ref="JZ12">INDEX(JY:JY,MIN(IF(ISNUMBER(JY12:JY208),ROW(JY12:JY208),"")))</f>
        <v>4.0628205128205126</v>
      </c>
      <c r="KA12" s="12">
        <f>IF('Données projet'!$A$382&gt;35,KA11+JZ12-KI11,IF($A12&lt;'Données projet'!$A$382,$CQ$205^$A12,IF($A12='Données projet'!$A$382,'Données projet'!$B$382,KA11+JZ12-KI11)))</f>
        <v>36.565384615384616</v>
      </c>
      <c r="KB12" s="17">
        <f>KA12*VLOOKUP('Données projet'!$B$22,Paramètres!$A$1:$I$89,3,0)*VLOOKUP('Données projet'!$B$22,Paramètres!$A$1:$I$89,5,0)</f>
        <v>24.52806</v>
      </c>
      <c r="KC12" s="13">
        <f t="shared" si="94"/>
        <v>7.7885832851700023</v>
      </c>
      <c r="KD12" s="20">
        <f t="shared" si="95"/>
        <v>56.284820388337749</v>
      </c>
      <c r="KE12" s="59">
        <f t="shared" si="96"/>
        <v>349.61815372167109</v>
      </c>
      <c r="KF12" s="59">
        <f ca="1">AVERAGE(OFFSET($KE$3,0,0,'Données projet'!$E$22+1,1))-AVERAGE(OFFSET($H$3,0,0,'Données projet'!$E$22+1,1))</f>
        <v>193.91714772848269</v>
      </c>
      <c r="KG12" s="59">
        <f t="shared" si="97"/>
        <v>159.20429420478047</v>
      </c>
      <c r="KH12" s="15">
        <f>IF(ISNA(VLOOKUP($A12,'Données projet'!$A$382:$I$402,3,0)),0,VLOOKUP($A12,'Données projet'!$A$382:$I$402,3,0))</f>
        <v>0</v>
      </c>
      <c r="KI12" s="15">
        <f>IF(ISNA(VLOOKUP($A12,'Données projet'!$A$382:$I$402,4,0)),0,VLOOKUP($A12,'Données projet'!$A$382:$I$402,4,0))</f>
        <v>0</v>
      </c>
      <c r="KJ12" s="16">
        <f>IF(ISNA(VLOOKUP($A12,'Données projet'!$A$382:$I$402,5,0)),0%,VLOOKUP($A12,'Données projet'!$A$382:$I$402,5,0)*VLOOKUP('Données projet'!$B$22,Paramètres!$A$1:$I$89,7,0))</f>
        <v>0</v>
      </c>
      <c r="KK12" s="16">
        <f>IF(ISNA(VLOOKUP($A12,'Données projet'!$A$382:$I$402,6,0)),0%,VLOOKUP($A12,'Données projet'!$A$382:$I$402,6,0)*VLOOKUP('Données projet'!$B$22,Paramètres!$A$1:$I$89,7,0))</f>
        <v>0</v>
      </c>
      <c r="KL12" s="16">
        <f>IF(ISNA(VLOOKUP($A12,'Données projet'!$A$382:$I$402,7,0)),0%,VLOOKUP($A12,'Données projet'!$A$382:$I$402,7,0))</f>
        <v>0</v>
      </c>
      <c r="KM12" s="21">
        <f>EXP(-LN(2)/35)*KM11+(1-EXP(-LN(2)/35))/(LN(2)/35)*KI12*KJ12*VLOOKUP('Données projet'!$B$22,Paramètres!$A$1:$I$89,3,0)*0.475*44/12</f>
        <v>0</v>
      </c>
      <c r="KN12" s="21">
        <f>EXP(-LN(2)/25)*KN11+(1-EXP(-LN(2)/25))/(LN(2)/25)*Calculateur!KI12*Calculateur!KK12*VLOOKUP('Données projet'!$B$22,Paramètres!$A$1:$I$89,3,0)*0.475*44/12</f>
        <v>0</v>
      </c>
      <c r="KO12" s="21">
        <f>EXP(-LN(2)/2)*KO11+(1-EXP(-LN(2)/2))/(LN(2)/2)*KI12*KL12*VLOOKUP('Données projet'!$B$22,Paramètres!$A$1:$I$89,3,0)*0.475*44/12</f>
        <v>0</v>
      </c>
      <c r="KP12" s="22">
        <f t="shared" si="98"/>
        <v>0</v>
      </c>
      <c r="KQ12" s="74">
        <f>('Scénario référence'!$F$8+'Scénario référence'!$F$9+'Scénario référence'!$B$17+'Scénario référence'!$B$9+'Scénario référence'!$B$10)*70+IF((45+25*(1-EXP(-0.0175*$A12)))&lt;70,'Scénario référence'!$B$16*(45+25*(1-EXP(-0.0175*$A12))),70*'Scénario référence'!$B$16)+IF((32+38*(1-EXP(-0.0175*$A12)))&lt;70,'Scénario référence'!$B$18*(32+38*(1-EXP(-0.0175*$A12))),70*'Scénario référence'!$B$18)</f>
        <v>70</v>
      </c>
      <c r="KR12" s="12">
        <f>IF($A12&gt;30,10,('Scénario référence'!$B$16+'Scénario référence'!$B$17+'Scénario référence'!$B$18+'Scénario référence'!$B$9+'Scénario référence'!$B$10)*$A12*10/30+('Scénario référence'!$F$8+'Scénario référence'!$F$9)*10)</f>
        <v>10</v>
      </c>
      <c r="KS12" s="12" t="e">
        <f>VLOOKUP($A12,'Données projet'!$A$408:$I$428,2,0)</f>
        <v>#N/A</v>
      </c>
      <c r="KT12" s="12" t="e">
        <f>VLOOKUP($A12,'Données projet'!$A$408:$I$428,9,0)</f>
        <v>#N/A</v>
      </c>
      <c r="KU12" s="12">
        <f t="array" ref="KU12">INDEX(KT:KT,MIN(IF(ISNUMBER(KT12:KT208),ROW(KT12:KT208),"")))</f>
        <v>2.4666666666666668</v>
      </c>
      <c r="KV12" s="12">
        <f>IF('Données projet'!$A$408&gt;35,KV11+KU12-LD11,IF($A12&lt;'Données projet'!$A$408,$CQ$205^$A12,IF($A12='Données projet'!$A$408,'Données projet'!$B$408,KV11+KU12-LD11)))</f>
        <v>22.200000000000003</v>
      </c>
      <c r="KW12" s="17">
        <f>KV12*VLOOKUP('Données projet'!$B$23,Paramètres!$A$1:$I$89,3,0)*VLOOKUP('Données projet'!$B$23,Paramètres!$A$1:$I$89,5,0)</f>
        <v>19.393920000000005</v>
      </c>
      <c r="KX12" s="13">
        <f t="shared" si="99"/>
        <v>6.3289751265773235</v>
      </c>
      <c r="KY12" s="14">
        <f t="shared" si="43"/>
        <v>44.800709012122184</v>
      </c>
      <c r="KZ12" s="59">
        <f t="shared" si="44"/>
        <v>338.1340423454555</v>
      </c>
      <c r="LA12" s="59">
        <f ca="1">AVERAGE(OFFSET($KZ$3,0,0,'Données projet'!$E$23+1,1))-AVERAGE(OFFSET($H$3,0,0,'Données projet'!$E$23+1,1))</f>
        <v>248.33596943633819</v>
      </c>
      <c r="LB12" s="59">
        <f t="shared" si="100"/>
        <v>242.34010522344573</v>
      </c>
      <c r="LC12" s="15">
        <f>IF(ISNA(VLOOKUP($A12,'Données projet'!$A$408:$I$428,3,0)),0,VLOOKUP($A12,'Données projet'!$A$408:$I$428,3,0))</f>
        <v>0</v>
      </c>
      <c r="LD12" s="15">
        <f>IF(ISNA(VLOOKUP($A12,'Données projet'!$A$408:$I$428,4,0)),0,VLOOKUP($A12,'Données projet'!$A$408:$I$428,4,0))</f>
        <v>0</v>
      </c>
      <c r="LE12" s="16">
        <f>IF(ISNA(VLOOKUP($A12,'Données projet'!$A$408:$I$428,5,0)),0%,VLOOKUP($A12,'Données projet'!$A$408:$I$428,5,0)*VLOOKUP('Données projet'!$B$23,Paramètres!$A$1:$I$89,7,0))</f>
        <v>0</v>
      </c>
      <c r="LF12" s="16">
        <f>IF(ISNA(VLOOKUP($A12,'Données projet'!$A$408:$I$428,6,0)),0%,VLOOKUP($A12,'Données projet'!$A$408:$I$428,6,0)*VLOOKUP('Données projet'!$B$23,Paramètres!$A$1:$I$89,7,0))</f>
        <v>0</v>
      </c>
      <c r="LG12" s="16">
        <f>IF(ISNA(VLOOKUP($A12,'Données projet'!$A$408:$I$428,7,0)),0%,VLOOKUP($A12,'Données projet'!$A$408:$I$428,7,0))</f>
        <v>0</v>
      </c>
      <c r="LH12" s="21">
        <f>EXP(-LN(2)/35)*LH11+(1-EXP(-LN(2)/35))/(LN(2)/35)*LD12*LE12*VLOOKUP('Données projet'!$B$23,Paramètres!$A$1:$I$89,3,0)*0.475*44/12</f>
        <v>0</v>
      </c>
      <c r="LI12" s="21">
        <f>EXP(-LN(2)/25)*LI11+(1-EXP(-LN(2)/25))/(LN(2)/25)*Calculateur!LD12*Calculateur!LF12*VLOOKUP('Données projet'!$B$23,Paramètres!$A$1:$I$89,3,0)*0.475*44/12</f>
        <v>0</v>
      </c>
      <c r="LJ12" s="21">
        <f>EXP(-LN(2)/2)*LJ11+(1-EXP(-LN(2)/2))/(LN(2)/2)*LD12*LG12*VLOOKUP('Données projet'!$B$23,Paramètres!$A$1:$I$89,3,0)*0.475*44/12</f>
        <v>0</v>
      </c>
      <c r="LK12" s="22">
        <f t="shared" si="101"/>
        <v>0</v>
      </c>
      <c r="LL12" s="74">
        <f>('Scénario référence'!$F$8+'Scénario référence'!$F$9+'Scénario référence'!$B$17+'Scénario référence'!$B$9+'Scénario référence'!$B$10)*70+IF((45+25*(1-EXP(-0.0175*$A12)))&lt;70,'Scénario référence'!$B$16*(45+25*(1-EXP(-0.0175*$A12))),70*'Scénario référence'!$B$16)+IF((32+38*(1-EXP(-0.0175*$A12)))&lt;70,'Scénario référence'!$B$18*(32+38*(1-EXP(-0.0175*$A12))),70*'Scénario référence'!$B$18)</f>
        <v>70</v>
      </c>
      <c r="LM12" s="12">
        <f>IF($A12&gt;30,10,('Scénario référence'!$B$16+'Scénario référence'!$B$17+'Scénario référence'!$B$18+'Scénario référence'!$B$9+'Scénario référence'!$B$10)*$A12*10/30+('Scénario référence'!$F$8+'Scénario référence'!$F$9)*10)</f>
        <v>10</v>
      </c>
      <c r="LN12" s="12" t="e">
        <f>VLOOKUP($A12,'Données projet'!$A$434:$I$454,2,0)</f>
        <v>#N/A</v>
      </c>
      <c r="LO12" s="12" t="e">
        <f>VLOOKUP($A12,'Données projet'!$A$434:$I$454,9,0)</f>
        <v>#N/A</v>
      </c>
      <c r="LP12" s="12">
        <f t="array" ref="LP12">INDEX(LO:LO,MIN(IF(ISNUMBER(LO12:LO208),ROW(LO12:LO208),"")))</f>
        <v>2.9235042735042733</v>
      </c>
      <c r="LQ12" s="12">
        <f>IF('Données projet'!$A$434&gt;35,LQ11+LP12-LY11,IF($A12&lt;'Données projet'!$A$434,$CQ$205^$A12,IF($A12='Données projet'!$A$434,'Données projet'!$B$434,LQ11+LP12-LY11)))</f>
        <v>26.311538461538465</v>
      </c>
      <c r="LR12" s="17">
        <f>LQ12*VLOOKUP('Données projet'!$B$24,Paramètres!$A$1:$I$89,3,0)*VLOOKUP('Données projet'!$B$24,Paramètres!$A$1:$I$89,5,0)</f>
        <v>26.679900000000004</v>
      </c>
      <c r="LS12" s="13">
        <f t="shared" si="102"/>
        <v>8.3893520937443142</v>
      </c>
      <c r="LT12" s="14">
        <f t="shared" si="46"/>
        <v>61.07894739660469</v>
      </c>
      <c r="LU12" s="59">
        <f t="shared" si="103"/>
        <v>354.412280729938</v>
      </c>
      <c r="LV12" s="59">
        <f ca="1">AVERAGE(OFFSET($LU$3,0,0,'Données projet'!$E$24+1,1))-AVERAGE(OFFSET($H$3,0,0,'Données projet'!$E$24+1,1))</f>
        <v>260.52627655062872</v>
      </c>
      <c r="LW12" s="59">
        <f t="shared" si="104"/>
        <v>159.20429420478047</v>
      </c>
      <c r="LX12" s="15">
        <f>IF(ISNA(VLOOKUP($A12,'Données projet'!$A$434:$I$454,3,0)),0,VLOOKUP($A12,'Données projet'!$A$434:$I$454,3,0))</f>
        <v>0</v>
      </c>
      <c r="LY12" s="15">
        <f>IF(ISNA(VLOOKUP($A12,'Données projet'!$A$434:$I$454,4,0)),0,VLOOKUP($A12,'Données projet'!$A$434:$I$454,4,0))</f>
        <v>0</v>
      </c>
      <c r="LZ12" s="16">
        <f>IF(ISNA(VLOOKUP($A12,'Données projet'!$A$434:$I$454,5,0)),0%,VLOOKUP($A12,'Données projet'!$A$434:$I$454,5,0)*VLOOKUP('Données projet'!$B$24,Paramètres!$A$1:$I$89,7,0))</f>
        <v>0</v>
      </c>
      <c r="MA12" s="16">
        <f>IF(ISNA(VLOOKUP($A12,'Données projet'!$A$434:$I$454,6,0)),0%,VLOOKUP($A12,'Données projet'!$A$434:$I$454,6,0)*VLOOKUP('Données projet'!$B$24,Paramètres!$A$1:$I$89,7,0))</f>
        <v>0</v>
      </c>
      <c r="MB12" s="16">
        <f>IF(ISNA(VLOOKUP($A12,'Données projet'!$A$434:$I$454,7,0)),0%,VLOOKUP($A12,'Données projet'!$A$434:$I$454,7,0))</f>
        <v>0</v>
      </c>
      <c r="MC12" s="21">
        <f>EXP(-LN(2)/35)*MC11+(1-EXP(-LN(2)/35))/(LN(2)/35)*LY12*LZ12*VLOOKUP('Données projet'!$B$24,Paramètres!$A$1:$I$89,3,0)*0.475*44/12</f>
        <v>0</v>
      </c>
      <c r="MD12" s="21">
        <f>EXP(-LN(2)/25)*MD11+(1-EXP(-LN(2)/25))/(LN(2)/25)*Calculateur!LY12*Calculateur!MA12*VLOOKUP('Données projet'!$B$24,Paramètres!$A$1:$I$89,3,0)*0.475*44/12</f>
        <v>0</v>
      </c>
      <c r="ME12" s="21">
        <f>EXP(-LN(2)/2)*ME11+(1-EXP(-LN(2)/2))/(LN(2)/2)*LY12*MB12*VLOOKUP('Données projet'!$B$24,Paramètres!$A$1:$I$89,3,0)*0.475*44/12</f>
        <v>0</v>
      </c>
      <c r="MF12" s="22">
        <f t="shared" si="105"/>
        <v>0</v>
      </c>
      <c r="MG12" s="74">
        <f>('Scénario référence'!$F$8+'Scénario référence'!$F$9+'Scénario référence'!$B$17+'Scénario référence'!$B$9+'Scénario référence'!$B$10)*70+IF((45+25*(1-EXP(-0.0175*$A12)))&lt;70,'Scénario référence'!$B$16*(45+25*(1-EXP(-0.0175*$A12))),70*'Scénario référence'!$B$16)+IF((32+38*(1-EXP(-0.0175*$A12)))&lt;70,'Scénario référence'!$B$18*(32+38*(1-EXP(-0.0175*$A12))),70*'Scénario référence'!$B$18)</f>
        <v>70</v>
      </c>
      <c r="MH12" s="12">
        <f>IF($A12&gt;30,10,('Scénario référence'!$B$16+'Scénario référence'!$B$17+'Scénario référence'!$B$18+'Scénario référence'!$B$9+'Scénario référence'!$B$10)*$A12*10/30+('Scénario référence'!$F$8+'Scénario référence'!$F$9)*10)</f>
        <v>10</v>
      </c>
      <c r="MI12" s="12" t="e">
        <f>VLOOKUP($A12,'Données projet'!$A$460:$I$480,2,0)</f>
        <v>#N/A</v>
      </c>
      <c r="MJ12" s="12" t="e">
        <f>VLOOKUP($A12,'Données projet'!$A$460:$I$480,9,0)</f>
        <v>#N/A</v>
      </c>
      <c r="MK12" s="12">
        <f t="array" ref="MK12">INDEX(MJ:MJ,MIN(IF(ISNUMBER(MJ12:MJ208),ROW(MJ12:MJ208),"")))</f>
        <v>0</v>
      </c>
      <c r="ML12" s="12">
        <f>IF('Données projet'!$A$460&gt;35,ML11+MK12-MT11,IF($A12&lt;'Données projet'!$A$460,$CQ$205^$A12,IF($A12='Données projet'!$A$460,'Données projet'!$B$460,ML11+MK12-MT11)))</f>
        <v>0</v>
      </c>
      <c r="MM12" s="17" t="e">
        <f>ML12*VLOOKUP('Données projet'!$B$25,Paramètres!$A$1:$I$89,3,0)*VLOOKUP('Données projet'!$B$25,Paramètres!$A$1:$I$89,5,0)</f>
        <v>#N/A</v>
      </c>
      <c r="MN12" s="13" t="e">
        <f t="shared" si="106"/>
        <v>#N/A</v>
      </c>
      <c r="MO12" s="14" t="e">
        <f t="shared" si="49"/>
        <v>#N/A</v>
      </c>
      <c r="MP12" s="59" t="e">
        <f t="shared" si="50"/>
        <v>#N/A</v>
      </c>
      <c r="MQ12" s="20" t="e">
        <f ca="1">AVERAGE(OFFSET($MP$3,0,0,'Données projet'!$E$25+1,1))-AVERAGE(OFFSET($H$3,0,0,'Données projet'!$E$25+1,1))</f>
        <v>#N/A</v>
      </c>
      <c r="MR12" s="59" t="e">
        <f t="shared" si="107"/>
        <v>#N/A</v>
      </c>
      <c r="MS12" s="15">
        <f>IF(ISNA(VLOOKUP($A12,'Données projet'!$A$460:$I$480,3,0)),0,VLOOKUP($A12,'Données projet'!$A$460:$I$480,3,0))</f>
        <v>0</v>
      </c>
      <c r="MT12" s="15">
        <f>IF(ISNA(VLOOKUP($A12,'Données projet'!$A$460:$I$480,4,0)),0,VLOOKUP($A12,'Données projet'!$A$460:$I$480,4,0))</f>
        <v>0</v>
      </c>
      <c r="MU12" s="16">
        <f>IF(ISNA(VLOOKUP($A12,'Données projet'!$A$460:$I$480,5,0)),0%,VLOOKUP($A12,'Données projet'!$A$460:$I$480,5,0)*VLOOKUP('Données projet'!$B$25,Paramètres!$A$1:$I$89,7,0))</f>
        <v>0</v>
      </c>
      <c r="MV12" s="16">
        <f>IF(ISNA(VLOOKUP($A12,'Données projet'!$A$460:$I$480,6,0)),0%,VLOOKUP($A12,'Données projet'!$A$460:$I$480,6,0)*VLOOKUP('Données projet'!$B$25,Paramètres!$A$1:$I$89,7,0))</f>
        <v>0</v>
      </c>
      <c r="MW12" s="16">
        <f>IF(ISNA(VLOOKUP($A12,'Données projet'!$A$460:$I$480,7,0)),0%,VLOOKUP($A12,'Données projet'!$A$460:$I$480,7,0))</f>
        <v>0</v>
      </c>
      <c r="MX12" s="21" t="e">
        <f>EXP(-LN(2)/35)*MX11+(1-EXP(-LN(2)/35))/(LN(2)/35)*MT12*MU12*VLOOKUP('Données projet'!$B$25,Paramètres!$A$1:$I$89,3,0)*0.475*44/12</f>
        <v>#N/A</v>
      </c>
      <c r="MY12" s="21" t="e">
        <f>EXP(-LN(2)/25)*MY11+(1-EXP(-LN(2)/25))/(LN(2)/25)*Calculateur!MT12*Calculateur!MV12*VLOOKUP('Données projet'!$B$25,Paramètres!$A$1:$I$89,3,0)*0.475*44/12</f>
        <v>#N/A</v>
      </c>
      <c r="MZ12" s="21" t="e">
        <f>EXP(-LN(2)/2)*MZ11+(1-EXP(-LN(2)/2))/(LN(2)/2)*MT12*MW12*VLOOKUP('Données projet'!$B$25,Paramètres!$A$1:$I$89,3,0)*0.475*44/12</f>
        <v>#N/A</v>
      </c>
      <c r="NA12" s="22" t="e">
        <f t="shared" si="108"/>
        <v>#N/A</v>
      </c>
      <c r="NB12" s="74">
        <f>('Scénario référence'!$F$8+'Scénario référence'!$F$9+'Scénario référence'!$B$17+'Scénario référence'!$B$9+'Scénario référence'!$B$10)*70+IF((45+25*(1-EXP(-0.0175*$A12)))&lt;70,'Scénario référence'!$B$16*(45+25*(1-EXP(-0.0175*$A12))),70*'Scénario référence'!$B$16)+IF((32+38*(1-EXP(-0.0175*$A12)))&lt;70,'Scénario référence'!$B$18*(32+38*(1-EXP(-0.0175*$A12))),70*'Scénario référence'!$B$18)</f>
        <v>70</v>
      </c>
      <c r="NC12" s="12">
        <f>IF($A12&gt;30,10,('Scénario référence'!$B$16+'Scénario référence'!$B$17+'Scénario référence'!$B$18+'Scénario référence'!$B$9+'Scénario référence'!$B$10)*$A12*10/30+('Scénario référence'!$F$8+'Scénario référence'!$F$9)*10)</f>
        <v>10</v>
      </c>
      <c r="ND12" s="12" t="e">
        <f>VLOOKUP($A12,'Données projet'!$A$486:$I$506,2,0)</f>
        <v>#N/A</v>
      </c>
      <c r="NE12" s="12" t="e">
        <f>VLOOKUP($A12,'Données projet'!$A$486:$I$506,9,0)</f>
        <v>#N/A</v>
      </c>
      <c r="NF12" s="12">
        <f t="array" ref="NF12">INDEX(NE:NE,MIN(IF(ISNUMBER(NE12:NE208),ROW(NE12:NE208),"")))</f>
        <v>0</v>
      </c>
      <c r="NG12" s="12">
        <f>IF('Données projet'!$A$486&gt;35,NG11+NF12-NO11,IF($A12&lt;'Données projet'!$A$486,$CQ$205^$A12,IF($A12='Données projet'!$A$486,'Données projet'!$B$486,NG11+NF12-NO11)))</f>
        <v>0</v>
      </c>
      <c r="NH12" s="17" t="e">
        <f>NG12*VLOOKUP('Données projet'!$B$26,Paramètres!$A$1:$I$89,3,0)*VLOOKUP('Données projet'!$B$26,Paramètres!$A$1:$I$89,5,0)</f>
        <v>#N/A</v>
      </c>
      <c r="NI12" s="13" t="e">
        <f t="shared" si="109"/>
        <v>#N/A</v>
      </c>
      <c r="NJ12" s="14" t="e">
        <f t="shared" si="52"/>
        <v>#N/A</v>
      </c>
      <c r="NK12" s="59" t="e">
        <f t="shared" si="53"/>
        <v>#N/A</v>
      </c>
      <c r="NL12" s="20" t="e">
        <f ca="1">AVERAGE(OFFSET($NK$3,0,0,'Données projet'!$E$26+1,1))-AVERAGE(OFFSET($H$3,0,0,'Données projet'!$E$26+1,1))</f>
        <v>#N/A</v>
      </c>
      <c r="NM12" s="59" t="e">
        <f t="shared" si="110"/>
        <v>#N/A</v>
      </c>
      <c r="NN12" s="15">
        <f>IF(ISNA(VLOOKUP($A12,'Données projet'!$A$486:$I$506,3,0)),0,VLOOKUP($A12,'Données projet'!$A$486:$I$506,3,0))</f>
        <v>0</v>
      </c>
      <c r="NO12" s="15">
        <f>IF(ISNA(VLOOKUP($A12,'Données projet'!$A$486:$I$506,4,0)),0,VLOOKUP($A12,'Données projet'!$A$486:$I$506,4,0))</f>
        <v>0</v>
      </c>
      <c r="NP12" s="16">
        <f>IF(ISNA(VLOOKUP($A12,'Données projet'!$A$486:$I$506,5,0)),0%,VLOOKUP($A12,'Données projet'!$A$486:$I$506,5,0)*VLOOKUP('Données projet'!$B$26,Paramètres!$A$1:$I$89,7,0))</f>
        <v>0</v>
      </c>
      <c r="NQ12" s="16">
        <f>IF(ISNA(VLOOKUP($A12,'Données projet'!$A$486:$I$506,6,0)),0%,VLOOKUP($A12,'Données projet'!$A$486:$I$506,6,0)*VLOOKUP('Données projet'!$B$26,Paramètres!$A$1:$I$89,7,0))</f>
        <v>0</v>
      </c>
      <c r="NR12" s="16">
        <f>IF(ISNA(VLOOKUP($A12,'Données projet'!$A$486:$I$506,7,0)),0%,VLOOKUP($A12,'Données projet'!$A$486:$I$506,7,0))</f>
        <v>0</v>
      </c>
      <c r="NS12" s="21" t="e">
        <f>EXP(-LN(2)/35)*NS11+(1-EXP(-LN(2)/35))/(LN(2)/35)*NO12*NP12*VLOOKUP('Données projet'!$B$26,Paramètres!$A$1:$I$89,3,0)*0.475*44/12</f>
        <v>#N/A</v>
      </c>
      <c r="NT12" s="21" t="e">
        <f>EXP(-LN(2)/25)*NT11+(1-EXP(-LN(2)/25))/(LN(2)/25)*Calculateur!NO12*Calculateur!NQ12*VLOOKUP('Données projet'!$B$26,Paramètres!$A$1:$I$89,3,0)*0.475*44/12</f>
        <v>#N/A</v>
      </c>
      <c r="NU12" s="21" t="e">
        <f>EXP(-LN(2)/2)*NU11+(1-EXP(-LN(2)/2))/(LN(2)/2)*NO12*NR12*VLOOKUP('Données projet'!$B$26,Paramètres!$A$1:$I$89,3,0)*0.475*44/12</f>
        <v>#N/A</v>
      </c>
      <c r="NV12" s="22" t="e">
        <f t="shared" si="111"/>
        <v>#N/A</v>
      </c>
      <c r="NW12" s="74">
        <f>('Scénario référence'!$F$8+'Scénario référence'!$F$9+'Scénario référence'!$B$17+'Scénario référence'!$B$9+'Scénario référence'!$B$10)*70+IF((45+25*(1-EXP(-0.0175*$A12)))&lt;70,'Scénario référence'!$B$16*(45+25*(1-EXP(-0.0175*$A12))),70*'Scénario référence'!$B$16)+IF((32+38*(1-EXP(-0.0175*$A12)))&lt;70,'Scénario référence'!$B$18*(32+38*(1-EXP(-0.0175*$A12))),70*'Scénario référence'!$B$18)</f>
        <v>70</v>
      </c>
      <c r="NX12" s="12">
        <f>IF($A12&gt;30,10,('Scénario référence'!$B$16+'Scénario référence'!$B$17+'Scénario référence'!$B$18+'Scénario référence'!$B$9+'Scénario référence'!$B$10)*$A12*10/30+('Scénario référence'!$F$8+'Scénario référence'!$F$9)*10)</f>
        <v>10</v>
      </c>
      <c r="NY12" s="12" t="e">
        <f>VLOOKUP($A12,'Données projet'!$A$512:$I$532,2,0)</f>
        <v>#N/A</v>
      </c>
      <c r="NZ12" s="12" t="e">
        <f>VLOOKUP($A12,'Données projet'!$A$512:$I$532,9,0)</f>
        <v>#N/A</v>
      </c>
      <c r="OA12" s="12">
        <f t="array" ref="OA12">INDEX(NZ:NZ,MIN(IF(ISNUMBER(NZ12:NZ208),ROW(NZ12:NZ208),"")))</f>
        <v>0</v>
      </c>
      <c r="OB12" s="12">
        <f>IF('Données projet'!$A$512&gt;35,OB11+OA12-OJ11,IF($A12&lt;'Données projet'!$A$512,$CQ$205^$A12,IF($A12='Données projet'!$A$512,'Données projet'!$B$512,OB11+OA12-OJ11)))</f>
        <v>0</v>
      </c>
      <c r="OC12" s="17" t="e">
        <f>OB12*VLOOKUP('Données projet'!$B$27,Paramètres!$A$1:$I$89,3,0)*VLOOKUP('Données projet'!$B$27,Paramètres!$A$1:$I$89,5,0)</f>
        <v>#N/A</v>
      </c>
      <c r="OD12" s="13" t="e">
        <f t="shared" si="112"/>
        <v>#N/A</v>
      </c>
      <c r="OE12" s="14" t="e">
        <f t="shared" si="55"/>
        <v>#N/A</v>
      </c>
      <c r="OF12" s="59" t="e">
        <f t="shared" si="56"/>
        <v>#N/A</v>
      </c>
      <c r="OG12" s="20" t="e">
        <f ca="1">AVERAGE(OFFSET($OF$3,0,0,'Données projet'!$E$27+1,1))-AVERAGE(OFFSET($H$3,0,0,'Données projet'!$E$27+1,1))</f>
        <v>#N/A</v>
      </c>
      <c r="OH12" s="59" t="e">
        <f t="shared" si="113"/>
        <v>#N/A</v>
      </c>
      <c r="OI12" s="15">
        <f>IF(ISNA(VLOOKUP($A12,'Données projet'!$A$512:$I$532,3,0)),0,VLOOKUP($A12,'Données projet'!$A$512:$I$532,3,0))</f>
        <v>0</v>
      </c>
      <c r="OJ12" s="15">
        <f>IF(ISNA(VLOOKUP($A12,'Données projet'!$A$512:$I$532,4,0)),0,VLOOKUP($A12,'Données projet'!$A$512:$I$532,4,0))</f>
        <v>0</v>
      </c>
      <c r="OK12" s="16">
        <f>IF(ISNA(VLOOKUP($A12,'Données projet'!$A$512:$I$532,5,0)),0%,VLOOKUP($A12,'Données projet'!$A$512:$I$532,5,0)*VLOOKUP('Données projet'!$B$27,Paramètres!$A$1:$I$89,7,0))</f>
        <v>0</v>
      </c>
      <c r="OL12" s="16">
        <f>IF(ISNA(VLOOKUP($A12,'Données projet'!$A$512:$I$532,6,0)),0%,VLOOKUP($A12,'Données projet'!$A$512:$I$532,6,0)*VLOOKUP('Données projet'!$B$27,Paramètres!$A$1:$I$89,7,0))</f>
        <v>0</v>
      </c>
      <c r="OM12" s="16">
        <f>IF(ISNA(VLOOKUP($A12,'Données projet'!$A$512:$I$532,7,0)),0%,VLOOKUP($A12,'Données projet'!$A$512:$I$532,7,0))</f>
        <v>0</v>
      </c>
      <c r="ON12" s="21" t="e">
        <f>EXP(-LN(2)/35)*ON11+(1-EXP(-LN(2)/35))/(LN(2)/35)*OJ12*OK12*VLOOKUP('Données projet'!$B$27,Paramètres!$A$1:$I$89,3,0)*0.475*44/12</f>
        <v>#N/A</v>
      </c>
      <c r="OO12" s="21" t="e">
        <f>EXP(-LN(2)/25)*OO11+(1-EXP(-LN(2)/25))/(LN(2)/25)*Calculateur!OJ12*Calculateur!OL12*VLOOKUP('Données projet'!$B$27,Paramètres!$A$1:$I$89,3,0)*0.475*44/12</f>
        <v>#N/A</v>
      </c>
      <c r="OP12" s="21" t="e">
        <f>EXP(-LN(2)/2)*OP11+(1-EXP(-LN(2)/2))/(LN(2)/2)*OJ12*OM12*VLOOKUP('Données projet'!$B$27,Paramètres!$A$1:$I$89,3,0)*0.475*44/12</f>
        <v>#N/A</v>
      </c>
      <c r="OQ12" s="22" t="e">
        <f t="shared" si="114"/>
        <v>#N/A</v>
      </c>
      <c r="OR12" s="74">
        <f>('Scénario référence'!$F$8+'Scénario référence'!$F$9+'Scénario référence'!$B$17+'Scénario référence'!$B$9+'Scénario référence'!$B$10)*70+IF((45+25*(1-EXP(-0.0175*$A12)))&lt;70,'Scénario référence'!$B$16*(45+25*(1-EXP(-0.0175*$A12))),70*'Scénario référence'!$B$16)+IF((32+38*(1-EXP(-0.0175*$A12)))&lt;70,'Scénario référence'!$B$18*(32+38*(1-EXP(-0.0175*$A12))),70*'Scénario référence'!$B$18)</f>
        <v>70</v>
      </c>
      <c r="OS12" s="12">
        <f>IF($A12&gt;30,10,('Scénario référence'!$B$16+'Scénario référence'!$B$17+'Scénario référence'!$B$18+'Scénario référence'!$B$9+'Scénario référence'!$B$10)*$A12*10/30+('Scénario référence'!$F$8+'Scénario référence'!$F$9)*10)</f>
        <v>10</v>
      </c>
      <c r="OT12" s="12" t="e">
        <f>VLOOKUP($A12,'Données projet'!$A$538:$I$558,2,0)</f>
        <v>#N/A</v>
      </c>
      <c r="OU12" s="12" t="e">
        <f>VLOOKUP($A12,'Données projet'!$A$538:$I$558,9,0)</f>
        <v>#N/A</v>
      </c>
      <c r="OV12" s="12">
        <f t="array" ref="OV12">INDEX(OU:OU,MIN(IF(ISNUMBER(OU12:OU208),ROW(OU12:OU208),"")))</f>
        <v>0</v>
      </c>
      <c r="OW12" s="12">
        <f>IF('Données projet'!$A$538&gt;35,OW11+OV12-PE11,IF($A12&lt;'Données projet'!$A$538,$CQ$205^$A12,IF($A12='Données projet'!$A$538,'Données projet'!$B$538,OW11+OV12-PE11)))</f>
        <v>0</v>
      </c>
      <c r="OX12" s="17" t="e">
        <f>OW12*VLOOKUP('Données projet'!$B$28,Paramètres!$A$1:$I$89,3,0)*VLOOKUP('Données projet'!$B$28,Paramètres!$A$1:$I$89,5,0)</f>
        <v>#N/A</v>
      </c>
      <c r="OY12" s="13" t="e">
        <f t="shared" si="115"/>
        <v>#N/A</v>
      </c>
      <c r="OZ12" s="14" t="e">
        <f t="shared" si="58"/>
        <v>#N/A</v>
      </c>
      <c r="PA12" s="59" t="e">
        <f t="shared" si="59"/>
        <v>#N/A</v>
      </c>
      <c r="PB12" s="20" t="e">
        <f ca="1">AVERAGE(OFFSET($PA$3,0,0,'Données projet'!$E$28+1,1))-AVERAGE(OFFSET($H$3,0,0,'Données projet'!$E$28+1,1))</f>
        <v>#N/A</v>
      </c>
      <c r="PC12" s="59" t="e">
        <f t="shared" si="116"/>
        <v>#N/A</v>
      </c>
      <c r="PD12" s="15">
        <f>IF(ISNA(VLOOKUP($A12,'Données projet'!$A$538:$I$558,3,0)),0,VLOOKUP($A12,'Données projet'!$A$538:$I$558,3,0))</f>
        <v>0</v>
      </c>
      <c r="PE12" s="15">
        <f>IF(ISNA(VLOOKUP($A12,'Données projet'!$A$538:$I$558,4,0)),0,VLOOKUP($A12,'Données projet'!$A$538:$I$558,4,0))</f>
        <v>0</v>
      </c>
      <c r="PF12" s="16">
        <f>IF(ISNA(VLOOKUP($A12,'Données projet'!$A$538:$I$558,5,0)),0%,VLOOKUP($A12,'Données projet'!$A$538:$I$558,5,0)*VLOOKUP('Données projet'!$B$28,Paramètres!$A$1:$I$89,7,0))</f>
        <v>0</v>
      </c>
      <c r="PG12" s="16">
        <f>IF(ISNA(VLOOKUP($A12,'Données projet'!$A$538:$I$558,6,0)),0%,VLOOKUP($A12,'Données projet'!$A$538:$I$558,6,0)*VLOOKUP('Données projet'!$B$28,Paramètres!$A$1:$I$89,7,0))</f>
        <v>0</v>
      </c>
      <c r="PH12" s="16">
        <f>IF(ISNA(VLOOKUP($A12,'Données projet'!$A$538:$I$558,7,0)),0%,VLOOKUP($A12,'Données projet'!$A$538:$I$558,7,0))</f>
        <v>0</v>
      </c>
      <c r="PI12" s="21" t="e">
        <f>EXP(-LN(2)/35)*PI11+(1-EXP(-LN(2)/35))/(LN(2)/35)*PE12*PF12*VLOOKUP('Données projet'!$B$28,Paramètres!$A$1:$I$89,3,0)*0.475*44/12</f>
        <v>#N/A</v>
      </c>
      <c r="PJ12" s="21" t="e">
        <f>EXP(-LN(2)/25)*PJ11+(1-EXP(-LN(2)/25))/(LN(2)/25)*Calculateur!PE12*Calculateur!PG12*VLOOKUP('Données projet'!$B$28,Paramètres!$A$1:$I$89,3,0)*0.475*44/12</f>
        <v>#N/A</v>
      </c>
      <c r="PK12" s="21" t="e">
        <f>EXP(-LN(2)/2)*PK11+(1-EXP(-LN(2)/2))/(LN(2)/2)*PE12*PH12*VLOOKUP('Données projet'!$B$28,Paramètres!$A$1:$I$89,3,0)*0.475*44/12</f>
        <v>#N/A</v>
      </c>
      <c r="PL12" s="22" t="e">
        <f t="shared" si="117"/>
        <v>#N/A</v>
      </c>
    </row>
    <row r="13" spans="1:428" x14ac:dyDescent="0.35">
      <c r="A13" s="10">
        <f t="shared" si="6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6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projet'!$A$45:$I$65,2,0)</f>
        <v>#N/A</v>
      </c>
      <c r="L13" s="12" t="e">
        <f>VLOOKUP(A13,'Données projet'!$A$45:$I$65,9,0)</f>
        <v>#N/A</v>
      </c>
      <c r="M13" s="12">
        <f t="array" ref="M13">INDEX(L:L,MIN(IF(ISNUMBER(L13:L209),ROW(L13:L209),"")))</f>
        <v>10.16068376068376</v>
      </c>
      <c r="N13" s="13">
        <f>IF('Données projet'!$A$46&gt;35,N12+M13-V12,IF(A13&lt;'Données projet'!$A$46,$K$205^A13,IF(A13='Données projet'!$A$46,'Données projet'!$B$46,N12+M13-V12)))</f>
        <v>18.062391208797656</v>
      </c>
      <c r="O13" s="13">
        <f>N13*VLOOKUP('Données projet'!$B$9,Paramètres!$A$1:$I$89,3,0)*VLOOKUP('Données projet'!$B$9,Paramètres!$A$1:$I$89,5,0)</f>
        <v>10.09687668571789</v>
      </c>
      <c r="P13" s="13">
        <f t="shared" si="63"/>
        <v>3.5550993685619052</v>
      </c>
      <c r="Q13" s="20">
        <f t="shared" si="2"/>
        <v>23.777191627870639</v>
      </c>
      <c r="R13" s="59">
        <f t="shared" si="0"/>
        <v>317.11052496120396</v>
      </c>
      <c r="S13" s="59">
        <f ca="1">AVERAGE(OFFSET($R$3,0,0,'Données projet'!$E$9+1,1))-AVERAGE(OFFSET($H$3,0,0,'Données projet'!$E$9+1,1))</f>
        <v>274.57619581652199</v>
      </c>
      <c r="T13" s="59">
        <f t="shared" si="64"/>
        <v>366.15117322598775</v>
      </c>
      <c r="U13" s="15">
        <f>IF(ISNA(VLOOKUP(A13,'Données projet'!$A$45:$I$65,3,0)),0,VLOOKUP(A13,'Données projet'!$A$45:$I$65,3,0))</f>
        <v>0</v>
      </c>
      <c r="V13" s="15">
        <f>IF(ISNA(VLOOKUP(A13,'Données projet'!$A$45:$I$65,4,0)),0,VLOOKUP(A13,'Données projet'!$A$45:$I$65,4,0))</f>
        <v>0</v>
      </c>
      <c r="W13" s="16">
        <f>IF(ISNA(VLOOKUP(A13,'Données projet'!$A$45:$I$65,5,0)),0%,VLOOKUP(A13,'Données projet'!$A$45:$I$65,5,0)*VLOOKUP('Données projet'!$B$9,Paramètres!$A$1:$I$89,7,0))</f>
        <v>0</v>
      </c>
      <c r="X13" s="16">
        <f>IF(ISNA(VLOOKUP(A13,'Données projet'!$A$45:$I$65,6,0)),0%,VLOOKUP(A13,'Données projet'!$A$45:$I$65,6,0)*VLOOKUP('Données projet'!$B$9,Paramètres!$A$1:$I$89,7,0))</f>
        <v>0</v>
      </c>
      <c r="Y13" s="16">
        <f>IF(ISNA(VLOOKUP(A13,'Données projet'!$A$45:$I$65,7,0)),0%,VLOOKUP(A13,'Données projet'!$A$45:$I$65,7,0))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projet'!$A$71:$I$91,2,0)</f>
        <v>#N/A</v>
      </c>
      <c r="AG13" s="12" t="e">
        <f>VLOOKUP(A13,'Données projet'!$A$71:$I$91,9,0)</f>
        <v>#N/A</v>
      </c>
      <c r="AH13" s="12">
        <f t="array" ref="AH13">INDEX(AG:AG,MIN(IF(ISNUMBER(AG13:AG209),ROW(AG13:AG209),"")))</f>
        <v>4.0628205128205126</v>
      </c>
      <c r="AI13" s="13">
        <f>IF('Données projet'!$A$72&gt;35,AI12+AH13-AQ12,IF(A13&lt;'Données projet'!$A$72,$AF$205^A13,IF(A13='Données projet'!$A$72,'Données projet'!$B$72,AI12+AH13-AQ12)))</f>
        <v>4.9581115906815549</v>
      </c>
      <c r="AJ13" s="13">
        <f>AI13*VLOOKUP('Données projet'!$B$10,Paramètres!$A$1:$I$89,3,0)*VLOOKUP('Données projet'!$B$10,Paramètres!$A$1:$I$89,5,0)</f>
        <v>4.4860993672486709</v>
      </c>
      <c r="AK13" s="13">
        <f t="shared" si="65"/>
        <v>1.7359747946502311</v>
      </c>
      <c r="AL13" s="20">
        <f t="shared" si="4"/>
        <v>10.836779165307254</v>
      </c>
      <c r="AM13" s="59">
        <f t="shared" si="5"/>
        <v>304.17011249864055</v>
      </c>
      <c r="AN13" s="59">
        <f ca="1">AVERAGE(OFFSET($AM$3,0,0,'Données projet'!$E$10+1,1))-AVERAGE(OFFSET($H$3,0,0,'Données projet'!$E$10+1,1))</f>
        <v>270.87836509222456</v>
      </c>
      <c r="AO13" s="59">
        <f t="shared" si="66"/>
        <v>205.24998237949734</v>
      </c>
      <c r="AP13" s="15">
        <f>IF(ISNA(VLOOKUP(A13,'Données projet'!$A$71:$I$91,3,0)),0,VLOOKUP(A13,'Données projet'!$A$71:$I$91,3,0))</f>
        <v>0</v>
      </c>
      <c r="AQ13" s="15">
        <f>IF(ISNA(VLOOKUP(A13,'Données projet'!$A$71:$I$91,4,0)),0,VLOOKUP(A13,'Données projet'!$A$71:$I$91,4,0))</f>
        <v>0</v>
      </c>
      <c r="AR13" s="16">
        <f>IF(ISNA(VLOOKUP(A13,'Données projet'!$A$71:$I$91,5,0)),0%,VLOOKUP(A13,'Données projet'!$A$71:$I$91,5,0)*VLOOKUP('Données projet'!$B$10,Paramètres!$A$1:$I$89,7,0))</f>
        <v>0</v>
      </c>
      <c r="AS13" s="16">
        <f>IF(ISNA(VLOOKUP(A13,'Données projet'!$A$71:$I$91,6,0)),0%,VLOOKUP(A13,'Données projet'!$A$71:$I$91,6,0)*VLOOKUP('Données projet'!$B$10,Paramètres!$A$1:$I$89,7,0))</f>
        <v>0</v>
      </c>
      <c r="AT13" s="16">
        <f>IF(ISNA(VLOOKUP(A13,'Données projet'!$A$71:$I$91,7,0)),0%,VLOOKUP(A13,'Données projet'!$A$71:$I$91,7,0))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projet'!$A$97:$I$117,2,0)</f>
        <v>#N/A</v>
      </c>
      <c r="BB13" s="12" t="e">
        <f>VLOOKUP(A13,'Données projet'!$A$97:$I$117,9,0)</f>
        <v>#N/A</v>
      </c>
      <c r="BC13" s="12">
        <f t="array" ref="BC13">INDEX(BB:BB,MIN(IF(ISNUMBER(BB13:BB209),ROW(BB13:BB209),"")))</f>
        <v>10.16068376068376</v>
      </c>
      <c r="BD13" s="12">
        <f>IF('Données projet'!$A$98&gt;35,BD12+BC13-BL12,IF(A13&lt;'Données projet'!$A$98,$BA$205^A13,IF(A13='Données projet'!$A$98,'Données projet'!$B$98,BD12+BC13-BL12)))</f>
        <v>18.062391208797656</v>
      </c>
      <c r="BE13" s="13">
        <f>BD13*VLOOKUP('Données projet'!$B$11,Paramètres!$A$1:$I$89,3,0)*VLOOKUP('Données projet'!$B$11,Paramètres!$A$1:$I$89,5,0)</f>
        <v>7.9835769142885651</v>
      </c>
      <c r="BF13" s="13">
        <f t="shared" si="67"/>
        <v>2.8889085082053967</v>
      </c>
      <c r="BG13" s="20">
        <f t="shared" si="7"/>
        <v>18.936245444176983</v>
      </c>
      <c r="BH13" s="59">
        <f t="shared" si="8"/>
        <v>312.26957877751028</v>
      </c>
      <c r="BI13" s="59">
        <f ca="1">AVERAGE(OFFSET($BH$3,0,0,'Données projet'!$E$11+1,1))-AVERAGE(OFFSET($H$3,0,0,'Données projet'!$E$11+1,1))</f>
        <v>211.31057120485542</v>
      </c>
      <c r="BJ13" s="59">
        <f t="shared" si="68"/>
        <v>283.33292006714777</v>
      </c>
      <c r="BK13" s="15">
        <f>IF(ISNA(VLOOKUP(A13,'Données projet'!$A$97:$I$117,3,0)),0,VLOOKUP(A13,'Données projet'!$A$97:$I$117,3,0))</f>
        <v>0</v>
      </c>
      <c r="BL13" s="15">
        <f>IF(ISNA(VLOOKUP(A13,'Données projet'!$A$97:$I$117,4,0)),0,VLOOKUP(A13,'Données projet'!$A$97:$I$117,4,0))</f>
        <v>0</v>
      </c>
      <c r="BM13" s="16">
        <f>IF(ISNA(VLOOKUP(A13,'Données projet'!$A$97:$I$117,5,0)),0%,VLOOKUP(A13,'Données projet'!$A$97:$I$117,5,0)*VLOOKUP('Données projet'!$B$11,Paramètres!$A$1:$I$89,7,0))</f>
        <v>0</v>
      </c>
      <c r="BN13" s="16">
        <f>IF(ISNA(VLOOKUP(A13,'Données projet'!$A$97:$I$117,6,0)),0%,VLOOKUP(A13,'Données projet'!$A$97:$I$117,6,0)*VLOOKUP('Données projet'!$B$11,Paramètres!$A$1:$I$89,7,0))</f>
        <v>0</v>
      </c>
      <c r="BO13" s="16">
        <f>IF(ISNA(VLOOKUP(A13,'Données projet'!$A$97:$I$117,7,0)),0%,VLOOKUP(A13,'Données projet'!$A$97:$I$117,7,0))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>
        <f>VLOOKUP(A13,'Données projet'!$A$123:$I$143,2,0)</f>
        <v>29</v>
      </c>
      <c r="BW13" s="12">
        <f>VLOOKUP(A13,'Données projet'!$A$123:$I$143,9,0)</f>
        <v>2.9</v>
      </c>
      <c r="BX13" s="12">
        <f t="array" ref="BX13">INDEX(BW:BW,MIN(IF(ISNUMBER(BW13:BW209),ROW(BW13:BW209),"")))</f>
        <v>2.9</v>
      </c>
      <c r="BY13" s="12">
        <f>IF('Données projet'!$A$124&gt;35,BY12+BX13-CG12,IF(A13&lt;'Données projet'!$A$124,$BV$205^A13,IF(A13='Données projet'!$A$124,'Données projet'!$B$124,BY12+BX13-CG12)))</f>
        <v>29</v>
      </c>
      <c r="BZ13" s="13">
        <f>BY13*VLOOKUP('Données projet'!$B$12,Paramètres!$A$1:$I$89,3,0)*VLOOKUP('Données projet'!$B$12,Paramètres!$A$1:$I$89,5,0)</f>
        <v>30.3108</v>
      </c>
      <c r="CA13" s="13">
        <f t="shared" si="69"/>
        <v>9.3905607497692607</v>
      </c>
      <c r="CB13" s="20">
        <f t="shared" si="10"/>
        <v>69.146536639181463</v>
      </c>
      <c r="CC13" s="59">
        <f t="shared" si="11"/>
        <v>362.47986997251479</v>
      </c>
      <c r="CD13" s="59">
        <f ca="1">AVERAGE(OFFSET($CC$3,0,0,'Données projet'!$E$12+1,1))-AVERAGE(OFFSET($H$3,0,0,'Données projet'!$E$12+1,1))</f>
        <v>322.93502595881938</v>
      </c>
      <c r="CE13" s="59">
        <f t="shared" si="70"/>
        <v>302.67072119588164</v>
      </c>
      <c r="CF13" s="15">
        <f>IF(ISNA(VLOOKUP(A13,'Données projet'!$A$123:$I$143,3,0)),0,VLOOKUP(A13,'Données projet'!$A$123:$I$143,3,0))</f>
        <v>0</v>
      </c>
      <c r="CG13" s="15">
        <f>IF(ISNA(VLOOKUP(A13,'Données projet'!$A$123:$I$143,4,0)),0,VLOOKUP(A13,'Données projet'!$A$123:$I$143,4,0))</f>
        <v>0</v>
      </c>
      <c r="CH13" s="16">
        <f>IF(ISNA(VLOOKUP(A13,'Données projet'!$A$123:$I$143,5,0)),0%,VLOOKUP(A13,'Données projet'!$A$123:$I$143,5,0)*VLOOKUP('Données projet'!$B$12,Paramètres!$A$1:$I$89,7,0))</f>
        <v>0</v>
      </c>
      <c r="CI13" s="16">
        <f>IF(ISNA(VLOOKUP(A13,'Données projet'!$A$123:$I$143,6,0)),0%,VLOOKUP(A13,'Données projet'!$A$123:$I$143,6,0)*VLOOKUP('Données projet'!$B$12,Paramètres!$A$1:$I$89,7,0))</f>
        <v>0</v>
      </c>
      <c r="CJ13" s="16">
        <f>IF(ISNA(VLOOKUP(A13,'Données projet'!$A$123:$I$143,7,0)),0%,VLOOKUP(A13,'Données projet'!$A$123:$I$143,7,0))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projet'!$A$149:$I$169,2,0)</f>
        <v>#N/A</v>
      </c>
      <c r="CR13" s="12" t="e">
        <f>VLOOKUP(A13,'Données projet'!$A$149:$I$169,9,0)</f>
        <v>#N/A</v>
      </c>
      <c r="CS13" s="12">
        <f t="array" ref="CS13">INDEX(CR:CR,MIN(IF(ISNUMBER(CR13:CR209),ROW(CR13:CR209),"")))</f>
        <v>2.9235042735042733</v>
      </c>
      <c r="CT13" s="12">
        <f>IF('Données projet'!$A$150&gt;35,CT12+CS13-DB12,IF(A13&lt;'Données projet'!$A$150,$CQ$205^A13,IF(A13='Données projet'!$A$150,'Données projet'!$B$150,CT12+CS13-DB12)))</f>
        <v>4.4429865232315908</v>
      </c>
      <c r="CU13" s="17">
        <f>CT13*VLOOKUP('Données projet'!$B$13,Paramètres!$A$1:$I$89,3,0)*VLOOKUP('Données projet'!$B$13,Paramètres!$A$1:$I$89,5,0)</f>
        <v>4.5051883345568333</v>
      </c>
      <c r="CV13" s="13">
        <f t="shared" si="71"/>
        <v>1.7425001665984783</v>
      </c>
      <c r="CW13" s="20">
        <f t="shared" si="13"/>
        <v>10.881390806178834</v>
      </c>
      <c r="CX13" s="59">
        <f t="shared" si="14"/>
        <v>304.21472413951216</v>
      </c>
      <c r="CY13" s="59">
        <f ca="1">AVERAGE(OFFSET($CX$3,0,0,'Données projet'!$E$13+1,1))-AVERAGE(OFFSET($H$3,0,0,'Données projet'!$E$13+1,1))</f>
        <v>250.31277422753283</v>
      </c>
      <c r="CZ13" s="59">
        <f t="shared" si="72"/>
        <v>159.20429420478047</v>
      </c>
      <c r="DA13" s="15">
        <f>IF(ISNA(VLOOKUP(A13,'Données projet'!$A$149:$I$169,3,0)),0,VLOOKUP(A13,'Données projet'!$A$149:$I$169,3,0))</f>
        <v>0</v>
      </c>
      <c r="DB13" s="15">
        <f>IF(ISNA(VLOOKUP(A13,'Données projet'!$A$149:$I$169,4,0)),0,VLOOKUP(A13,'Données projet'!$A$149:$I$169,4,0))</f>
        <v>0</v>
      </c>
      <c r="DC13" s="16">
        <f>IF(ISNA(VLOOKUP(A13,'Données projet'!$A$149:$I$169,5,0)),0%,VLOOKUP(A13,'Données projet'!$A$149:$I$169,5,0)*VLOOKUP('Données projet'!$B$13,Paramètres!$A$1:$I$89,7,0))</f>
        <v>0</v>
      </c>
      <c r="DD13" s="16">
        <f>IF(ISNA(VLOOKUP(A13,'Données projet'!$A$149:$I$169,6,0)),0%,VLOOKUP(A13,'Données projet'!$A$149:$I$169,6,0)*VLOOKUP('Données projet'!$B$13,Paramètres!$A$1:$I$89,7,0))</f>
        <v>0</v>
      </c>
      <c r="DE13" s="16">
        <f>IF(ISNA(VLOOKUP(A13,'Données projet'!$A$149:$I$169,7,0)),0%,VLOOKUP(A13,'Données projet'!$A$149:$I$169,7,0))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>
        <f>VLOOKUP(A13,'Données projet'!$A$175:$I$195,2,0)</f>
        <v>19</v>
      </c>
      <c r="DM13" s="12">
        <f>VLOOKUP(A13,'Données projet'!$A$175:$I$195,9,0)</f>
        <v>1.9</v>
      </c>
      <c r="DN13" s="12">
        <f t="array" ref="DN13">INDEX(DM:DM,MIN(IF(ISNUMBER(DM13:DM209),ROW(DM13:DM209),"")))</f>
        <v>1.9</v>
      </c>
      <c r="DO13" s="12">
        <f>IF('Données projet'!$A$176&gt;35,DO12+DN13-DW12,IF(A13&lt;'Données projet'!$A$176,$DL$205^A13,IF(A13='Données projet'!$A$176,'Données projet'!$B$176,DO12+DN13-DW12)))</f>
        <v>19</v>
      </c>
      <c r="DP13" s="17">
        <f>DO13*VLOOKUP('Données projet'!$B$14,Paramètres!$A$1:$I$89,3,0)*VLOOKUP('Données projet'!$B$14,Paramètres!$A$1:$I$89,5,0)</f>
        <v>13.9308</v>
      </c>
      <c r="DQ13" s="13">
        <f t="shared" si="73"/>
        <v>4.7246463812124082</v>
      </c>
      <c r="DR13" s="20">
        <f t="shared" si="16"/>
        <v>32.491569113944941</v>
      </c>
      <c r="DS13" s="59">
        <f t="shared" si="17"/>
        <v>325.82490244727825</v>
      </c>
      <c r="DT13" s="59">
        <f ca="1">AVERAGE(OFFSET($DS$3,0,0,'Données projet'!$E$14+1,1))-AVERAGE(OFFSET($H$3,0,0,'Données projet'!$E$14+1,1))</f>
        <v>296.91321813251051</v>
      </c>
      <c r="DU13" s="59">
        <f t="shared" si="74"/>
        <v>291.0718079639509</v>
      </c>
      <c r="DV13" s="15">
        <f>IF(ISNA(VLOOKUP(A13,'Données projet'!$A$175:$I$195,3,0)),0,VLOOKUP(A13,'Données projet'!$A$175:$I$195,3,0))</f>
        <v>1</v>
      </c>
      <c r="DW13" s="15">
        <f>IF(ISNA(VLOOKUP(A13,'Données projet'!$A$175:$I$195,4,0)),0,VLOOKUP(A13,'Données projet'!$A$175:$I$195,4,0))</f>
        <v>7</v>
      </c>
      <c r="DX13" s="16">
        <f>IF(ISNA(VLOOKUP(A13,'Données projet'!$A$175:$I$195,5,0)),0%,VLOOKUP(A13,'Données projet'!$A$175:$I$195,5,0)*VLOOKUP('Données projet'!$B$14,Paramètres!$A$1:$I$89,7,0))</f>
        <v>0</v>
      </c>
      <c r="DY13" s="16">
        <f>IF(ISNA(VLOOKUP(A13,'Données projet'!$A$175:$I$195,6,0)),0%,VLOOKUP(A13,'Données projet'!$A$175:$I$195,6,0)*VLOOKUP('Données projet'!$B$14,Paramètres!$A$1:$I$89,7,0))</f>
        <v>0</v>
      </c>
      <c r="DZ13" s="16">
        <f>IF(ISNA(VLOOKUP(A13,'Données projet'!$A$175:$I$195,7,0)),0%,VLOOKUP(A13,'Données projet'!$A$175:$I$195,7,0))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projet'!$A$201:$I$221,2,0)</f>
        <v>#N/A</v>
      </c>
      <c r="EH13" s="12" t="e">
        <f>VLOOKUP(A13,'Données projet'!$A$201:$I$221,9,0)</f>
        <v>#N/A</v>
      </c>
      <c r="EI13" s="12">
        <f t="array" ref="EI13">INDEX(EH:EH,MIN(IF(ISNUMBER(EH13:EH209),ROW(EH13:EH209),"")))</f>
        <v>3.4425641025641025</v>
      </c>
      <c r="EJ13" s="12">
        <f>IF('Données projet'!$A$202&gt;35,EJ12+EI13-ER12,IF(A13&lt;'Données projet'!$A$202,$EG$205^A13,IF(A13='Données projet'!$A$202,'Données projet'!$B$202,EJ12+EI13-ER12)))</f>
        <v>4.6917453277627805</v>
      </c>
      <c r="EK13" s="17">
        <f>EJ13*VLOOKUP('Données projet'!$B$15,Paramètres!$A$1:$I$89,3,0)*VLOOKUP('Données projet'!$B$15,Paramètres!$A$1:$I$89,5,0)</f>
        <v>2.1957368133929811</v>
      </c>
      <c r="EL13" s="13">
        <f t="shared" si="75"/>
        <v>0.9233628621568436</v>
      </c>
      <c r="EM13" s="20">
        <f t="shared" si="19"/>
        <v>5.432431934915944</v>
      </c>
      <c r="EN13" s="59">
        <f t="shared" si="20"/>
        <v>298.76576526824925</v>
      </c>
      <c r="EO13" s="59">
        <f ca="1">AVERAGE(OFFSET($EN$3,0,0,'Données projet'!$E$15+1,1))-AVERAGE(OFFSET($H$3,0,0,'Données projet'!$E$15+1,1))</f>
        <v>147.64256291235483</v>
      </c>
      <c r="EP13" s="59">
        <f t="shared" si="76"/>
        <v>70.859031694091868</v>
      </c>
      <c r="EQ13" s="15">
        <f>IF(ISNA(VLOOKUP(A13,'Données projet'!$A$201:$I$221,3,0)),0,VLOOKUP(A13,'Données projet'!$A$201:$I$221,3,0))</f>
        <v>0</v>
      </c>
      <c r="ER13" s="15">
        <f>IF(ISNA(VLOOKUP(A13,'Données projet'!$A$201:$I$221,4,0)),0,VLOOKUP(A13,'Données projet'!$A$201:$I$221,4,0))</f>
        <v>0</v>
      </c>
      <c r="ES13" s="16">
        <f>IF(ISNA(VLOOKUP(A13,'Données projet'!$A$201:$I$221,5,0)),0%,VLOOKUP(A13,'Données projet'!$A$201:$I$221,5,0)*VLOOKUP('Données projet'!$B$15,Paramètres!$A$1:$I$89,7,0))</f>
        <v>0</v>
      </c>
      <c r="ET13" s="16">
        <f>IF(ISNA(VLOOKUP(A13,'Données projet'!$A$201:$I$221,6,0)),0%,VLOOKUP(A13,'Données projet'!$A$201:$I$221,6,0)*VLOOKUP('Données projet'!$B$15,Paramètres!$A$1:$I$89,7,0))</f>
        <v>0</v>
      </c>
      <c r="EU13" s="16">
        <f>IF(ISNA(VLOOKUP(A13,'Données projet'!$A$201:$I$221,7,0)),0%,VLOOKUP(A13,'Données projet'!$A$201:$I$221,7,0))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>
        <f>VLOOKUP(A13,'Données projet'!$A$227:$I$247,2,0)</f>
        <v>18</v>
      </c>
      <c r="FC13" s="12">
        <f>VLOOKUP(A13,'Données projet'!$A$227:$I$247,9,0)</f>
        <v>1.8</v>
      </c>
      <c r="FD13" s="12">
        <f t="array" ref="FD13">INDEX(FC:FC,MIN(IF(ISNUMBER(FC13:FC209),ROW(FC13:FC209),"")))</f>
        <v>1.8</v>
      </c>
      <c r="FE13" s="12">
        <f>IF('Données projet'!$A$228&gt;35,FE12+FD13-FM12,IF(A13&lt;'Données projet'!$A$228,$FB$205^A13,IF(A13='Données projet'!$A$228,'Données projet'!$B$228,FE12+FD13-FM12)))</f>
        <v>18</v>
      </c>
      <c r="FF13" s="17">
        <f>FE13*VLOOKUP('Données projet'!$B$16,Paramètres!$A$1:$I$89,3,0)*VLOOKUP('Données projet'!$B$16,Paramètres!$A$1:$I$89,5,0)</f>
        <v>18.813600000000001</v>
      </c>
      <c r="FG13" s="13">
        <f t="shared" si="77"/>
        <v>6.1613437753144318</v>
      </c>
      <c r="FH13" s="20">
        <f t="shared" si="22"/>
        <v>43.498027075339301</v>
      </c>
      <c r="FI13" s="59">
        <f t="shared" si="23"/>
        <v>336.83136040867259</v>
      </c>
      <c r="FJ13" s="59">
        <f ca="1">AVERAGE(OFFSET($FI$3,0,0,'Données projet'!$E$16+1,1))-AVERAGE(OFFSET($H$3,0,0,'Données projet'!$E$16+1,1))</f>
        <v>259.03906550253788</v>
      </c>
      <c r="FK13" s="59">
        <f t="shared" si="78"/>
        <v>235.54542903570831</v>
      </c>
      <c r="FL13" s="15">
        <f>IF(ISNA(VLOOKUP(A13,'Données projet'!$A$227:$I$247,3,0)),0,VLOOKUP(A13,'Données projet'!$A$227:$I$247,3,0))</f>
        <v>0</v>
      </c>
      <c r="FM13" s="15">
        <f>IF(ISNA(VLOOKUP(A13,'Données projet'!$A$227:$I$247,4,0)),0,VLOOKUP(A13,'Données projet'!$A$227:$I$247,4,0))</f>
        <v>0</v>
      </c>
      <c r="FN13" s="16">
        <f>IF(ISNA(VLOOKUP(A13,'Données projet'!$A$227:$I$247,5,0)),0%,VLOOKUP(A13,'Données projet'!$A$227:$I$247,5,0)*VLOOKUP('Données projet'!$B$16,Paramètres!$A$1:$I$89,7,0))</f>
        <v>0</v>
      </c>
      <c r="FO13" s="16">
        <f>IF(ISNA(VLOOKUP(A13,'Données projet'!$A$227:$I$247,6,0)),0%,VLOOKUP(A13,'Données projet'!$A$227:$I$247,6,0)*VLOOKUP('Données projet'!$B$16,Paramètres!$A$1:$I$89,7,0))</f>
        <v>0</v>
      </c>
      <c r="FP13" s="16">
        <f>IF(ISNA(VLOOKUP(A13,'Données projet'!$A$227:$I$247,7,0)),0%,VLOOKUP(A13,'Données projet'!$A$227:$I$247,7,0))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projet'!$A$253:$I$273,2,0)</f>
        <v>#N/A</v>
      </c>
      <c r="FX13" s="12" t="e">
        <f>VLOOKUP(A13,'Données projet'!$A$253:$I$273,9,0)</f>
        <v>#N/A</v>
      </c>
      <c r="FY13" s="12">
        <f t="array" ref="FY13">INDEX(FX:FX,MIN(IF(ISNUMBER(FX13:FX209),ROW(FX13:FX209),"")))</f>
        <v>2.4666666666666668</v>
      </c>
      <c r="FZ13" s="12">
        <f>IF('Données projet'!$A$254&gt;35,FZ12+FY13-GH12,IF(A13&lt;'Données projet'!$A$254,$FW$205^A13,IF(A13='Données projet'!$A$254,'Données projet'!$B$254,FZ12+FY13-GH12)))</f>
        <v>11.103702468586782</v>
      </c>
      <c r="GA13" s="17">
        <f>FZ13*VLOOKUP('Données projet'!$B$17,Paramètres!$A$1:$I$89,3,0)*VLOOKUP('Données projet'!$B$17,Paramètres!$A$1:$I$89,5,0)</f>
        <v>9.7001944765574137</v>
      </c>
      <c r="GB13" s="13">
        <f t="shared" si="79"/>
        <v>3.4313993360317685</v>
      </c>
      <c r="GC13" s="20">
        <f t="shared" si="25"/>
        <v>22.870859223592827</v>
      </c>
      <c r="GD13" s="59">
        <f t="shared" si="26"/>
        <v>316.20419255692616</v>
      </c>
      <c r="GE13" s="59">
        <f ca="1">AVERAGE(OFFSET($GD$3,0,0,'Données projet'!$E$17+1,1))-AVERAGE(OFFSET($H$3,0,0,'Données projet'!$E$17+1,1))</f>
        <v>245.1983232777614</v>
      </c>
      <c r="GF13" s="59">
        <f t="shared" si="80"/>
        <v>242.34010522344573</v>
      </c>
      <c r="GG13" s="15">
        <f>IF(ISNA(VLOOKUP(A13,'Données projet'!$A$253:$I$273,3,0)),0,VLOOKUP(A13,'Données projet'!$A$253:$I$273,3,0))</f>
        <v>0</v>
      </c>
      <c r="GH13" s="15">
        <f>IF(ISNA(VLOOKUP(A13,'Données projet'!$A$253:$I$273,4,0)),0,VLOOKUP(A13,'Données projet'!$A$253:$I$273,4,0))</f>
        <v>0</v>
      </c>
      <c r="GI13" s="16">
        <f>IF(ISNA(VLOOKUP(A13,'Données projet'!$A$253:$I$273,5,0)),0%,VLOOKUP(A13,'Données projet'!$A$253:$I$273,5,0)*VLOOKUP('Données projet'!$B$17,Paramètres!$A$1:$I$89,7,0))</f>
        <v>0</v>
      </c>
      <c r="GJ13" s="16">
        <f>IF(ISNA(VLOOKUP(A13,'Données projet'!$A$253:$I$273,6,0)),0%,VLOOKUP(A13,'Données projet'!$A$253:$I$273,6,0)*VLOOKUP('Données projet'!$B$17,Paramètres!$A$1:$I$89,7,0))</f>
        <v>0</v>
      </c>
      <c r="GK13" s="16">
        <f>IF(ISNA(VLOOKUP(A13,'Données projet'!$A$253:$I$273,7,0)),0%,VLOOKUP(A13,'Données projet'!$A$253:$I$273,7,0))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projet'!$A$279:$I$299,2,0)</f>
        <v>#N/A</v>
      </c>
      <c r="GS13" s="12" t="e">
        <f>VLOOKUP(A13,'Données projet'!$A$279:$I$299,9,0)</f>
        <v>#N/A</v>
      </c>
      <c r="GT13" s="12">
        <f t="array" ref="GT13">INDEX(GS:GS,MIN(IF(ISNUMBER(GS13:GS209),ROW(GS13:GS209),"")))</f>
        <v>4.1333333333333337</v>
      </c>
      <c r="GU13" s="12">
        <f>IF('Données projet'!$A$280&gt;35,GU12+GT13-HC12,IF(A13&lt;'Données projet'!$A$280,$GR$205^A13,IF(A13='Données projet'!$A$280,'Données projet'!$B$280,GU12+GT13-HC12)))</f>
        <v>15.664905993978572</v>
      </c>
      <c r="GV13" s="17">
        <f>GU13*VLOOKUP('Données projet'!$B$18,Paramètres!$A$1:$I$89,3,0)*VLOOKUP('Données projet'!$B$18,Paramètres!$A$1:$I$89,5,0)</f>
        <v>6.3129571155733641</v>
      </c>
      <c r="GW13" s="13">
        <f t="shared" si="81"/>
        <v>2.3476740609272904</v>
      </c>
      <c r="GX13" s="20">
        <f t="shared" si="28"/>
        <v>15.083932632405306</v>
      </c>
      <c r="GY13" s="59">
        <f t="shared" si="29"/>
        <v>308.41726596573864</v>
      </c>
      <c r="GZ13" s="59">
        <f ca="1">AVERAGE(OFFSET($GY$3,0,0,'Données projet'!$E$18+1,1))-AVERAGE(OFFSET($H$3,0,0,'Données projet'!$E$18+1,1))</f>
        <v>324.36162935850876</v>
      </c>
      <c r="HA13" s="59">
        <f t="shared" si="82"/>
        <v>265.23571072429735</v>
      </c>
      <c r="HB13" s="15">
        <f>IF(ISNA(VLOOKUP(A13,'Données projet'!$A$279:$I$299,3,0)),0,VLOOKUP(A13,'Données projet'!$A$279:$I$299,3,0))</f>
        <v>0</v>
      </c>
      <c r="HC13" s="15">
        <f>IF(ISNA(VLOOKUP(A13,'Données projet'!$A$279:$I$299,4,0)),0,VLOOKUP(A13,'Données projet'!$A$279:$I$299,4,0))</f>
        <v>0</v>
      </c>
      <c r="HD13" s="16">
        <f>IF(ISNA(VLOOKUP(A13,'Données projet'!$A$279:$I$299,5,0)),0%,VLOOKUP(A13,'Données projet'!$A$279:$I$299,5,0)*VLOOKUP('Données projet'!$B$18,Paramètres!$A$1:$I$89,7,0))</f>
        <v>0</v>
      </c>
      <c r="HE13" s="16">
        <f>IF(ISNA(VLOOKUP(A13,'Données projet'!$A$279:$I$299,6,0)),0%,VLOOKUP(A13,'Données projet'!$A$279:$I$299,6,0)*VLOOKUP('Données projet'!$B$18,Paramètres!$A$1:$I$89,7,0))</f>
        <v>0</v>
      </c>
      <c r="HF13" s="16">
        <f>IF(ISNA(VLOOKUP($A13,'Données projet'!$A$279:$I$299,7,0)),0%,VLOOKUP($A13,'Données projet'!$A$279:$I$299,7,0))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  <c r="HK13" s="74">
        <f>('Scénario référence'!$F$8+'Scénario référence'!$F$9+'Scénario référence'!$B$17+'Scénario référence'!$B$9+'Scénario référence'!$B$10)*70+IF((45+25*(1-EXP(-0.0175*$A13)))&lt;70,'Scénario référence'!$B$16*(45+25*(1-EXP(-0.0175*$A13))),70*'Scénario référence'!$B$16)+IF((32+38*(1-EXP(-0.0175*$A13)))&lt;70,'Scénario référence'!$B$18*(32+38*(1-EXP(-0.0175*$A13))),70*'Scénario référence'!$B$18)</f>
        <v>70</v>
      </c>
      <c r="HL13" s="12">
        <f>IF($A13&gt;30,10,('Scénario référence'!$B$16+'Scénario référence'!$B$17+'Scénario référence'!$B$18+'Scénario référence'!$B$9+'Scénario référence'!$B$10)*$A13*10/30+('Scénario référence'!$F$8+'Scénario référence'!$F$9)*10)</f>
        <v>10</v>
      </c>
      <c r="HM13" s="12">
        <f>VLOOKUP($A13,'Données projet'!$A$304:$I$324,2,0)</f>
        <v>71.373076923076894</v>
      </c>
      <c r="HN13" s="12">
        <f>VLOOKUP($A13,'Données projet'!$A$304:$I$324,9,0)</f>
        <v>14.575769230769218</v>
      </c>
      <c r="HO13" s="12">
        <f t="array" ref="HO13">INDEX(HN:HN,MIN(IF(ISNUMBER(HN13:HN209),ROW(HN13:HN209),"")))</f>
        <v>14.575769230769218</v>
      </c>
      <c r="HP13" s="12">
        <f>IF('Données projet'!$A$304&gt;35,HP12+HO13-HX12,IF($A13&lt;'Données projet'!$A$304,$CQ$205^$A13,IF($A13='Données projet'!$A$304,'Données projet'!$B$304,HP12+HO13-HX12)))</f>
        <v>71.373076923076894</v>
      </c>
      <c r="HQ13" s="17">
        <f>HP13*VLOOKUP('Données projet'!$B$19,Paramètres!$A$1:$I$89,3,0)*VLOOKUP('Données projet'!$B$19,Paramètres!$A$1:$I$89,5,0)</f>
        <v>36.297491999999991</v>
      </c>
      <c r="HR13" s="13">
        <f t="shared" si="83"/>
        <v>11.011818502484722</v>
      </c>
      <c r="HS13" s="14">
        <f t="shared" si="31"/>
        <v>82.397049125160876</v>
      </c>
      <c r="HT13" s="59">
        <f t="shared" si="32"/>
        <v>375.7303824584942</v>
      </c>
      <c r="HU13" s="59">
        <f ca="1">AVERAGE(OFFSET(HT$3,0,0,'Données projet'!$E$19+1,1))-AVERAGE(OFFSET($H$3,0,0,'Données projet'!$E$19+1,1))</f>
        <v>91.60721429656013</v>
      </c>
      <c r="HV13" s="59">
        <f t="shared" si="84"/>
        <v>258.94957804210856</v>
      </c>
      <c r="HW13" s="15">
        <f>IF(ISNA(VLOOKUP($A13,'Données projet'!$A$304:$I$324,3,0)),0,VLOOKUP($A13,'Données projet'!$A$304:$I$324,3,0))</f>
        <v>0</v>
      </c>
      <c r="HX13" s="15">
        <f>IF(ISNA(VLOOKUP($A13,'Données projet'!$A$304:$I$324,4,0)),0,VLOOKUP($A13,'Données projet'!$A$304:$I$324,4,0))</f>
        <v>0</v>
      </c>
      <c r="HY13" s="16">
        <f>IF(ISNA(VLOOKUP($A13,'Données projet'!$A$304:$I$324,5,0)),0%,VLOOKUP($A13,'Données projet'!$A$304:$I$324,5,0)*VLOOKUP('Données projet'!$B$19,Paramètres!$A$1:$I$89,7,0))</f>
        <v>0</v>
      </c>
      <c r="HZ13" s="16">
        <f>IF(ISNA(VLOOKUP($A13,'Données projet'!$A$304:$I$324,6,0)),0%,VLOOKUP($A13,'Données projet'!$A$304:$I$324,6,0)*VLOOKUP('Données projet'!$B$19,Paramètres!$A$1:$I$89,7,0))</f>
        <v>0</v>
      </c>
      <c r="IA13" s="16">
        <f>IF(ISNA(VLOOKUP($A13,'Données projet'!$A$304:$I$324,7,0)),0%,VLOOKUP($A13,'Données projet'!$A$304:$I$324,7,0))</f>
        <v>0</v>
      </c>
      <c r="IB13" s="21">
        <f>EXP(-LN(2)/35)*IB12+(1-EXP(-LN(2)/35))/(LN(2)/35)*HX13*HY13*VLOOKUP('Données projet'!$B$19,Paramètres!$A$1:$I$89,3,0)*0.475*44/12</f>
        <v>0</v>
      </c>
      <c r="IC13" s="21">
        <f>EXP(-LN(2)/25)*IC12+(1-EXP(-LN(2)/25))/(LN(2)/25)*Calculateur!HX13*Calculateur!HZ13*VLOOKUP('Données projet'!$B$19,Paramètres!$A$1:$I$89,3,0)*0.475*44/12</f>
        <v>0</v>
      </c>
      <c r="ID13" s="21">
        <f>EXP(-LN(2)/2)*ID12+(1-EXP(-LN(2)/2))/(LN(2)/2)*HX13*IA13*VLOOKUP('Données projet'!$B$19,Paramètres!$A$1:$I$89,3,0)*0.475*44/12</f>
        <v>0</v>
      </c>
      <c r="IE13" s="22">
        <f t="shared" si="33"/>
        <v>0</v>
      </c>
      <c r="IF13" s="74">
        <f>('Scénario référence'!$F$8+'Scénario référence'!$F$9+'Scénario référence'!$B$17+'Scénario référence'!$B$9+'Scénario référence'!$B$10)*70+IF((45+25*(1-EXP(-0.0175*$A13)))&lt;70,'Scénario référence'!$B$16*(45+25*(1-EXP(-0.0175*$A13))),70*'Scénario référence'!$B$16)+IF((32+38*(1-EXP(-0.0175*$A13)))&lt;70,'Scénario référence'!$B$18*(32+38*(1-EXP(-0.0175*$A13))),70*'Scénario référence'!$B$18)</f>
        <v>70</v>
      </c>
      <c r="IG13" s="12">
        <f>IF($A13&gt;30,10,('Scénario référence'!$B$16+'Scénario référence'!$B$17+'Scénario référence'!$B$18+'Scénario référence'!$B$9+'Scénario référence'!$B$10)*$A13*10/30+('Scénario référence'!$F$8+'Scénario référence'!$F$9)*10)</f>
        <v>10</v>
      </c>
      <c r="IH13" s="12">
        <f>VLOOKUP($A13,'Données projet'!$A$330:$I$350,2,0)</f>
        <v>71.373076923076894</v>
      </c>
      <c r="II13" s="12">
        <f>VLOOKUP($A13,'Données projet'!$A$330:$I$350,9,0)</f>
        <v>14.575769230769218</v>
      </c>
      <c r="IJ13" s="12">
        <f t="array" ref="IJ13">INDEX(II:II,MIN(IF(ISNUMBER(II13:II209),ROW(II13:II209),"")))</f>
        <v>14.575769230769218</v>
      </c>
      <c r="IK13" s="12">
        <f>IF('Données projet'!$A$330&gt;35,IK12+IJ13-IS12,IF($A13&lt;'Données projet'!$A$330,$CQ$205^$A13,IF($A13='Données projet'!$A$330,'Données projet'!$B$330,IK12+IJ13-IS12)))</f>
        <v>71.373076923076894</v>
      </c>
      <c r="IL13" s="17">
        <f>IK13*VLOOKUP('Données projet'!$B$20,Paramètres!$A$1:$I$89,3,0)*VLOOKUP('Données projet'!$B$20,Paramètres!$A$1:$I$89,5,0)</f>
        <v>36.297491999999991</v>
      </c>
      <c r="IM13" s="13">
        <f t="shared" si="85"/>
        <v>11.011818502484722</v>
      </c>
      <c r="IN13" s="20">
        <f t="shared" si="86"/>
        <v>82.397049125160876</v>
      </c>
      <c r="IO13" s="59">
        <f t="shared" si="87"/>
        <v>375.7303824584942</v>
      </c>
      <c r="IP13" s="59">
        <f ca="1">AVERAGE(OFFSET(IO$3,0,0,'Données projet'!$E$20+1,1))-AVERAGE(OFFSET($H$3,0,0,'Données projet'!$E$20+1,1))</f>
        <v>91.60721429656013</v>
      </c>
      <c r="IQ13" s="59">
        <f t="shared" si="88"/>
        <v>258.94957804210856</v>
      </c>
      <c r="IR13" s="15">
        <f>IF(ISNA(VLOOKUP($A13,'Données projet'!$A$330:$I$350,3,0)),0,VLOOKUP($A13,'Données projet'!$A$330:$I$350,3,0))</f>
        <v>0</v>
      </c>
      <c r="IS13" s="15">
        <f>IF(ISNA(VLOOKUP($A13,'Données projet'!$A$330:$I$350,4,0)),0,VLOOKUP($A13,'Données projet'!$A$330:$I$350,4,0))</f>
        <v>0</v>
      </c>
      <c r="IT13" s="16">
        <f>IF(ISNA(VLOOKUP($A13,'Données projet'!$A$330:$I$350,5,0)),0%,VLOOKUP($A13,'Données projet'!$A$330:$I$350,5,0)*VLOOKUP('Données projet'!$B$20,Paramètres!$A$1:$I$89,7,0))</f>
        <v>0</v>
      </c>
      <c r="IU13" s="16">
        <f>IF(ISNA(VLOOKUP($A13,'Données projet'!$A$330:$I$350,6,0)),0%,VLOOKUP($A13,'Données projet'!$A$330:$I$350,6,0)*VLOOKUP('Données projet'!$B$20,Paramètres!$A$1:$I$89,7,0))</f>
        <v>0</v>
      </c>
      <c r="IV13" s="16">
        <f>IF(ISNA(VLOOKUP($A13,'Données projet'!$A$330:$I$350,7,0)),0%,VLOOKUP($A13,'Données projet'!$A$330:$I$350,7,0))</f>
        <v>0</v>
      </c>
      <c r="IW13" s="21">
        <f>EXP(-LN(2)/35)*IW12+(1-EXP(-LN(2)/35))/(LN(2)/35)*IS13*IT13*VLOOKUP('Données projet'!$B$20,Paramètres!$A$1:$I$89,3,0)*0.475*44/12</f>
        <v>0</v>
      </c>
      <c r="IX13" s="21">
        <f>EXP(-LN(2)/25)*IX12+(1-EXP(-LN(2)/25))/(LN(2)/25)*Calculateur!IS13*Calculateur!IU13*VLOOKUP('Données projet'!$B$20,Paramètres!$A$1:$I$89,3,0)*0.475*44/12</f>
        <v>0</v>
      </c>
      <c r="IY13" s="21">
        <f>EXP(-LN(2)/2)*IY12+(1-EXP(-LN(2)/2))/(LN(2)/2)*IS13*IV13*VLOOKUP('Données projet'!$B$20,Paramètres!$A$1:$I$89,3,0)*0.475*44/12</f>
        <v>0</v>
      </c>
      <c r="IZ13" s="22">
        <f t="shared" si="89"/>
        <v>0</v>
      </c>
      <c r="JA13" s="74">
        <f>('Scénario référence'!$F$8+'Scénario référence'!$F$9+'Scénario référence'!$B$17+'Scénario référence'!$B$9+'Scénario référence'!$B$10)*70+IF((45+25*(1-EXP(-0.0175*$A13)))&lt;70,'Scénario référence'!$B$16*(45+25*(1-EXP(-0.0175*$A13))),70*'Scénario référence'!$B$16)+IF((32+38*(1-EXP(-0.0175*$A13)))&lt;70,'Scénario référence'!$B$18*(32+38*(1-EXP(-0.0175*$A13))),70*'Scénario référence'!$B$18)</f>
        <v>70</v>
      </c>
      <c r="JB13" s="12">
        <f>IF($A13&gt;30,10,('Scénario référence'!$B$16+'Scénario référence'!$B$17+'Scénario référence'!$B$18+'Scénario référence'!$B$9+'Scénario référence'!$B$10)*$A13*10/30+('Scénario référence'!$F$8+'Scénario référence'!$F$9)*10)</f>
        <v>10</v>
      </c>
      <c r="JC13" s="12" t="e">
        <f>VLOOKUP($A13,'Données projet'!$A$356:$I$376,2,0)</f>
        <v>#N/A</v>
      </c>
      <c r="JD13" s="12" t="e">
        <f>VLOOKUP($A13,'Données projet'!$A$356:$I$376,9,0)</f>
        <v>#N/A</v>
      </c>
      <c r="JE13" s="12">
        <f t="array" ref="JE13">INDEX(JD:JD,MIN(IF(ISNUMBER(JD13:JD209),ROW(JD13:JD209),"")))</f>
        <v>3.04</v>
      </c>
      <c r="JF13" s="12">
        <f>IF('Données projet'!$A$356&gt;35,JF12+JE13-JN12,IF($A13&lt;'Données projet'!$A$356,$CQ$205^$A13,IF($A13='Données projet'!$A$356,'Données projet'!$B$356,JF12+JE13-JN12)))</f>
        <v>30.399999999999995</v>
      </c>
      <c r="JG13" s="17">
        <f>JF13*VLOOKUP('Données projet'!$B$21,Paramètres!$A$1:$I$89,3,0)*VLOOKUP('Données projet'!$B$21,Paramètres!$A$1:$I$89,5,0)</f>
        <v>24.660479999999996</v>
      </c>
      <c r="JH13" s="13">
        <f t="shared" si="90"/>
        <v>7.8257255475471146</v>
      </c>
      <c r="JI13" s="20">
        <f t="shared" si="91"/>
        <v>56.580141328644544</v>
      </c>
      <c r="JJ13" s="59">
        <f t="shared" si="92"/>
        <v>349.91347466197783</v>
      </c>
      <c r="JK13" s="59">
        <f ca="1">AVERAGE(OFFSET($JJ$3,0,0,'Données projet'!$E$22+1,1))-AVERAGE(OFFSET($H$3,0,0,'Données projet'!$E$22+1,1))</f>
        <v>353.35574633294613</v>
      </c>
      <c r="JL13" s="59">
        <f t="shared" si="93"/>
        <v>170.36796666474726</v>
      </c>
      <c r="JM13" s="15">
        <f>IF(ISNA(VLOOKUP($A13,'Données projet'!$A$356:$I$376,3,0)),0,VLOOKUP($A13,'Données projet'!$A$356:$I$376,3,0))</f>
        <v>0</v>
      </c>
      <c r="JN13" s="15">
        <f>IF(ISNA(VLOOKUP($A13,'Données projet'!$A$356:$I$376,4,0)),0,VLOOKUP($A13,'Données projet'!$A$356:$I$376,4,0))</f>
        <v>0</v>
      </c>
      <c r="JO13" s="16">
        <f>IF(ISNA(VLOOKUP($A13,'Données projet'!$A$356:$I$376,5,0)),0%,VLOOKUP($A13,'Données projet'!$A$356:$I$376,5,0)*VLOOKUP('Données projet'!$B$21,Paramètres!$A$1:$I$89,7,0))</f>
        <v>0</v>
      </c>
      <c r="JP13" s="16">
        <f>IF(ISNA(VLOOKUP($A13,'Données projet'!$A$356:$I$376,6,0)),0%,VLOOKUP($A13,'Données projet'!$A$356:$I$376,6,0)*VLOOKUP('Données projet'!$B$21,Paramètres!$A$1:$I$89,7,0))</f>
        <v>0</v>
      </c>
      <c r="JQ13" s="16">
        <f>IF(ISNA(VLOOKUP($A13,'Données projet'!$A$356:$I$376,7,0)),0%,VLOOKUP($A13,'Données projet'!$A$356:$I$376,7,0))</f>
        <v>0</v>
      </c>
      <c r="JR13" s="21">
        <f>EXP(-LN(2)/35)*JR12+(1-EXP(-LN(2)/35))/(LN(2)/35)*JN13*JO13*VLOOKUP('Données projet'!$B$21,Paramètres!$A$1:$I$89,3,0)*0.475*44/12</f>
        <v>0</v>
      </c>
      <c r="JS13" s="21">
        <f>EXP(-LN(2)/25)*JS12+(1-EXP(-LN(2)/25))/(LN(2)/25)*Calculateur!JN13*Calculateur!JP13*VLOOKUP('Données projet'!$B$21,Paramètres!$A$1:$I$89,3,0)*0.475*44/12</f>
        <v>0</v>
      </c>
      <c r="JT13" s="21">
        <f>EXP(-LN(2)/2)*JT12+(1-EXP(-LN(2)/2))/(LN(2)/2)*JN13*JQ13*VLOOKUP('Données projet'!$B$21,Paramètres!$A$1:$I$89,3,0)*0.475*44/12</f>
        <v>0</v>
      </c>
      <c r="JU13" s="18">
        <f t="shared" si="39"/>
        <v>0</v>
      </c>
      <c r="JV13" s="74">
        <f>('Scénario référence'!$F$8+'Scénario référence'!$F$9+'Scénario référence'!$B$17+'Scénario référence'!$B$9+'Scénario référence'!$B$10)*70+IF((45+25*(1-EXP(-0.0175*$A13)))&lt;70,'Scénario référence'!$B$16*(45+25*(1-EXP(-0.0175*$A13))),70*'Scénario référence'!$B$16)+IF((32+38*(1-EXP(-0.0175*$A13)))&lt;70,'Scénario référence'!$B$18*(32+38*(1-EXP(-0.0175*$A13))),70*'Scénario référence'!$B$18)</f>
        <v>70</v>
      </c>
      <c r="JW13" s="12">
        <f>IF($A13&gt;30,10,('Scénario référence'!$B$16+'Scénario référence'!$B$17+'Scénario référence'!$B$18+'Scénario référence'!$B$9+'Scénario référence'!$B$10)*$A13*10/30+('Scénario référence'!$F$8+'Scénario référence'!$F$9)*10)</f>
        <v>10</v>
      </c>
      <c r="JX13" s="12" t="e">
        <f>VLOOKUP($A13,'Données projet'!$A$382:$I$402,2,0)</f>
        <v>#N/A</v>
      </c>
      <c r="JY13" s="12" t="e">
        <f>VLOOKUP($A13,'Données projet'!$A$382:$I$402,9,0)</f>
        <v>#N/A</v>
      </c>
      <c r="JZ13" s="12">
        <f t="array" ref="JZ13">INDEX(JY:JY,MIN(IF(ISNUMBER(JY13:JY209),ROW(JY13:JY209),"")))</f>
        <v>4.0628205128205126</v>
      </c>
      <c r="KA13" s="12">
        <f>IF('Données projet'!$A$382&gt;35,KA12+JZ13-KI12,IF($A13&lt;'Données projet'!$A$382,$CQ$205^$A13,IF($A13='Données projet'!$A$382,'Données projet'!$B$382,KA12+JZ13-KI12)))</f>
        <v>40.628205128205131</v>
      </c>
      <c r="KB13" s="17">
        <f>KA13*VLOOKUP('Données projet'!$B$22,Paramètres!$A$1:$I$89,3,0)*VLOOKUP('Données projet'!$B$22,Paramètres!$A$1:$I$89,5,0)</f>
        <v>27.253399999999999</v>
      </c>
      <c r="KC13" s="13">
        <f t="shared" si="94"/>
        <v>8.5484974589870895</v>
      </c>
      <c r="KD13" s="20">
        <f t="shared" si="95"/>
        <v>62.354971407735839</v>
      </c>
      <c r="KE13" s="59">
        <f t="shared" si="96"/>
        <v>355.68830474106915</v>
      </c>
      <c r="KF13" s="59">
        <f ca="1">AVERAGE(OFFSET($KE$3,0,0,'Données projet'!$E$22+1,1))-AVERAGE(OFFSET($H$3,0,0,'Données projet'!$E$22+1,1))</f>
        <v>193.91714772848269</v>
      </c>
      <c r="KG13" s="59">
        <f t="shared" si="97"/>
        <v>159.20429420478047</v>
      </c>
      <c r="KH13" s="15">
        <f>IF(ISNA(VLOOKUP($A13,'Données projet'!$A$382:$I$402,3,0)),0,VLOOKUP($A13,'Données projet'!$A$382:$I$402,3,0))</f>
        <v>0</v>
      </c>
      <c r="KI13" s="15">
        <f>IF(ISNA(VLOOKUP($A13,'Données projet'!$A$382:$I$402,4,0)),0,VLOOKUP($A13,'Données projet'!$A$382:$I$402,4,0))</f>
        <v>0</v>
      </c>
      <c r="KJ13" s="16">
        <f>IF(ISNA(VLOOKUP($A13,'Données projet'!$A$382:$I$402,5,0)),0%,VLOOKUP($A13,'Données projet'!$A$382:$I$402,5,0)*VLOOKUP('Données projet'!$B$22,Paramètres!$A$1:$I$89,7,0))</f>
        <v>0</v>
      </c>
      <c r="KK13" s="16">
        <f>IF(ISNA(VLOOKUP($A13,'Données projet'!$A$382:$I$402,6,0)),0%,VLOOKUP($A13,'Données projet'!$A$382:$I$402,6,0)*VLOOKUP('Données projet'!$B$22,Paramètres!$A$1:$I$89,7,0))</f>
        <v>0</v>
      </c>
      <c r="KL13" s="16">
        <f>IF(ISNA(VLOOKUP($A13,'Données projet'!$A$382:$I$402,7,0)),0%,VLOOKUP($A13,'Données projet'!$A$382:$I$402,7,0))</f>
        <v>0</v>
      </c>
      <c r="KM13" s="21">
        <f>EXP(-LN(2)/35)*KM12+(1-EXP(-LN(2)/35))/(LN(2)/35)*KI13*KJ13*VLOOKUP('Données projet'!$B$22,Paramètres!$A$1:$I$89,3,0)*0.475*44/12</f>
        <v>0</v>
      </c>
      <c r="KN13" s="21">
        <f>EXP(-LN(2)/25)*KN12+(1-EXP(-LN(2)/25))/(LN(2)/25)*Calculateur!KI13*Calculateur!KK13*VLOOKUP('Données projet'!$B$22,Paramètres!$A$1:$I$89,3,0)*0.475*44/12</f>
        <v>0</v>
      </c>
      <c r="KO13" s="21">
        <f>EXP(-LN(2)/2)*KO12+(1-EXP(-LN(2)/2))/(LN(2)/2)*KI13*KL13*VLOOKUP('Données projet'!$B$22,Paramètres!$A$1:$I$89,3,0)*0.475*44/12</f>
        <v>0</v>
      </c>
      <c r="KP13" s="22">
        <f t="shared" si="98"/>
        <v>0</v>
      </c>
      <c r="KQ13" s="74">
        <f>('Scénario référence'!$F$8+'Scénario référence'!$F$9+'Scénario référence'!$B$17+'Scénario référence'!$B$9+'Scénario référence'!$B$10)*70+IF((45+25*(1-EXP(-0.0175*$A13)))&lt;70,'Scénario référence'!$B$16*(45+25*(1-EXP(-0.0175*$A13))),70*'Scénario référence'!$B$16)+IF((32+38*(1-EXP(-0.0175*$A13)))&lt;70,'Scénario référence'!$B$18*(32+38*(1-EXP(-0.0175*$A13))),70*'Scénario référence'!$B$18)</f>
        <v>70</v>
      </c>
      <c r="KR13" s="12">
        <f>IF($A13&gt;30,10,('Scénario référence'!$B$16+'Scénario référence'!$B$17+'Scénario référence'!$B$18+'Scénario référence'!$B$9+'Scénario référence'!$B$10)*$A13*10/30+('Scénario référence'!$F$8+'Scénario référence'!$F$9)*10)</f>
        <v>10</v>
      </c>
      <c r="KS13" s="12" t="e">
        <f>VLOOKUP($A13,'Données projet'!$A$408:$I$428,2,0)</f>
        <v>#N/A</v>
      </c>
      <c r="KT13" s="12" t="e">
        <f>VLOOKUP($A13,'Données projet'!$A$408:$I$428,9,0)</f>
        <v>#N/A</v>
      </c>
      <c r="KU13" s="12">
        <f t="array" ref="KU13">INDEX(KT:KT,MIN(IF(ISNUMBER(KT13:KT209),ROW(KT13:KT209),"")))</f>
        <v>2.4666666666666668</v>
      </c>
      <c r="KV13" s="12">
        <f>IF('Données projet'!$A$408&gt;35,KV12+KU13-LD12,IF($A13&lt;'Données projet'!$A$408,$CQ$205^$A13,IF($A13='Données projet'!$A$408,'Données projet'!$B$408,KV12+KU13-LD12)))</f>
        <v>24.666666666666671</v>
      </c>
      <c r="KW13" s="17">
        <f>KV13*VLOOKUP('Données projet'!$B$23,Paramètres!$A$1:$I$89,3,0)*VLOOKUP('Données projet'!$B$23,Paramètres!$A$1:$I$89,5,0)</f>
        <v>21.548800000000007</v>
      </c>
      <c r="KX13" s="13">
        <f t="shared" si="99"/>
        <v>6.946478686381262</v>
      </c>
      <c r="KY13" s="14">
        <f t="shared" si="43"/>
        <v>49.629277045447374</v>
      </c>
      <c r="KZ13" s="59">
        <f t="shared" si="44"/>
        <v>342.96261037878071</v>
      </c>
      <c r="LA13" s="59">
        <f ca="1">AVERAGE(OFFSET($KZ$3,0,0,'Données projet'!$E$23+1,1))-AVERAGE(OFFSET($H$3,0,0,'Données projet'!$E$23+1,1))</f>
        <v>248.33596943633819</v>
      </c>
      <c r="LB13" s="59">
        <f t="shared" si="100"/>
        <v>242.34010522344573</v>
      </c>
      <c r="LC13" s="15">
        <f>IF(ISNA(VLOOKUP($A13,'Données projet'!$A$408:$I$428,3,0)),0,VLOOKUP($A13,'Données projet'!$A$408:$I$428,3,0))</f>
        <v>0</v>
      </c>
      <c r="LD13" s="15">
        <f>IF(ISNA(VLOOKUP($A13,'Données projet'!$A$408:$I$428,4,0)),0,VLOOKUP($A13,'Données projet'!$A$408:$I$428,4,0))</f>
        <v>0</v>
      </c>
      <c r="LE13" s="16">
        <f>IF(ISNA(VLOOKUP($A13,'Données projet'!$A$408:$I$428,5,0)),0%,VLOOKUP($A13,'Données projet'!$A$408:$I$428,5,0)*VLOOKUP('Données projet'!$B$23,Paramètres!$A$1:$I$89,7,0))</f>
        <v>0</v>
      </c>
      <c r="LF13" s="16">
        <f>IF(ISNA(VLOOKUP($A13,'Données projet'!$A$408:$I$428,6,0)),0%,VLOOKUP($A13,'Données projet'!$A$408:$I$428,6,0)*VLOOKUP('Données projet'!$B$23,Paramètres!$A$1:$I$89,7,0))</f>
        <v>0</v>
      </c>
      <c r="LG13" s="16">
        <f>IF(ISNA(VLOOKUP($A13,'Données projet'!$A$408:$I$428,7,0)),0%,VLOOKUP($A13,'Données projet'!$A$408:$I$428,7,0))</f>
        <v>0</v>
      </c>
      <c r="LH13" s="21">
        <f>EXP(-LN(2)/35)*LH12+(1-EXP(-LN(2)/35))/(LN(2)/35)*LD13*LE13*VLOOKUP('Données projet'!$B$23,Paramètres!$A$1:$I$89,3,0)*0.475*44/12</f>
        <v>0</v>
      </c>
      <c r="LI13" s="21">
        <f>EXP(-LN(2)/25)*LI12+(1-EXP(-LN(2)/25))/(LN(2)/25)*Calculateur!LD13*Calculateur!LF13*VLOOKUP('Données projet'!$B$23,Paramètres!$A$1:$I$89,3,0)*0.475*44/12</f>
        <v>0</v>
      </c>
      <c r="LJ13" s="21">
        <f>EXP(-LN(2)/2)*LJ12+(1-EXP(-LN(2)/2))/(LN(2)/2)*LD13*LG13*VLOOKUP('Données projet'!$B$23,Paramètres!$A$1:$I$89,3,0)*0.475*44/12</f>
        <v>0</v>
      </c>
      <c r="LK13" s="22">
        <f t="shared" si="101"/>
        <v>0</v>
      </c>
      <c r="LL13" s="74">
        <f>('Scénario référence'!$F$8+'Scénario référence'!$F$9+'Scénario référence'!$B$17+'Scénario référence'!$B$9+'Scénario référence'!$B$10)*70+IF((45+25*(1-EXP(-0.0175*$A13)))&lt;70,'Scénario référence'!$B$16*(45+25*(1-EXP(-0.0175*$A13))),70*'Scénario référence'!$B$16)+IF((32+38*(1-EXP(-0.0175*$A13)))&lt;70,'Scénario référence'!$B$18*(32+38*(1-EXP(-0.0175*$A13))),70*'Scénario référence'!$B$18)</f>
        <v>70</v>
      </c>
      <c r="LM13" s="12">
        <f>IF($A13&gt;30,10,('Scénario référence'!$B$16+'Scénario référence'!$B$17+'Scénario référence'!$B$18+'Scénario référence'!$B$9+'Scénario référence'!$B$10)*$A13*10/30+('Scénario référence'!$F$8+'Scénario référence'!$F$9)*10)</f>
        <v>10</v>
      </c>
      <c r="LN13" s="12" t="e">
        <f>VLOOKUP($A13,'Données projet'!$A$434:$I$454,2,0)</f>
        <v>#N/A</v>
      </c>
      <c r="LO13" s="12" t="e">
        <f>VLOOKUP($A13,'Données projet'!$A$434:$I$454,9,0)</f>
        <v>#N/A</v>
      </c>
      <c r="LP13" s="12">
        <f t="array" ref="LP13">INDEX(LO:LO,MIN(IF(ISNUMBER(LO13:LO209),ROW(LO13:LO209),"")))</f>
        <v>2.9235042735042733</v>
      </c>
      <c r="LQ13" s="12">
        <f>IF('Données projet'!$A$434&gt;35,LQ12+LP13-LY12,IF($A13&lt;'Données projet'!$A$434,$CQ$205^$A13,IF($A13='Données projet'!$A$434,'Données projet'!$B$434,LQ12+LP13-LY12)))</f>
        <v>29.23504273504274</v>
      </c>
      <c r="LR13" s="17">
        <f>LQ13*VLOOKUP('Données projet'!$B$24,Paramètres!$A$1:$I$89,3,0)*VLOOKUP('Données projet'!$B$24,Paramètres!$A$1:$I$89,5,0)</f>
        <v>29.644333333333339</v>
      </c>
      <c r="LS13" s="13">
        <f t="shared" si="102"/>
        <v>9.2078818997126461</v>
      </c>
      <c r="LT13" s="14">
        <f t="shared" si="46"/>
        <v>67.667608197555083</v>
      </c>
      <c r="LU13" s="59">
        <f t="shared" si="103"/>
        <v>361.00094153088838</v>
      </c>
      <c r="LV13" s="59">
        <f ca="1">AVERAGE(OFFSET($LU$3,0,0,'Données projet'!$E$24+1,1))-AVERAGE(OFFSET($H$3,0,0,'Données projet'!$E$24+1,1))</f>
        <v>260.52627655062872</v>
      </c>
      <c r="LW13" s="59">
        <f t="shared" si="104"/>
        <v>159.20429420478047</v>
      </c>
      <c r="LX13" s="15">
        <f>IF(ISNA(VLOOKUP($A13,'Données projet'!$A$434:$I$454,3,0)),0,VLOOKUP($A13,'Données projet'!$A$434:$I$454,3,0))</f>
        <v>0</v>
      </c>
      <c r="LY13" s="15">
        <f>IF(ISNA(VLOOKUP($A13,'Données projet'!$A$434:$I$454,4,0)),0,VLOOKUP($A13,'Données projet'!$A$434:$I$454,4,0))</f>
        <v>0</v>
      </c>
      <c r="LZ13" s="16">
        <f>IF(ISNA(VLOOKUP($A13,'Données projet'!$A$434:$I$454,5,0)),0%,VLOOKUP($A13,'Données projet'!$A$434:$I$454,5,0)*VLOOKUP('Données projet'!$B$24,Paramètres!$A$1:$I$89,7,0))</f>
        <v>0</v>
      </c>
      <c r="MA13" s="16">
        <f>IF(ISNA(VLOOKUP($A13,'Données projet'!$A$434:$I$454,6,0)),0%,VLOOKUP($A13,'Données projet'!$A$434:$I$454,6,0)*VLOOKUP('Données projet'!$B$24,Paramètres!$A$1:$I$89,7,0))</f>
        <v>0</v>
      </c>
      <c r="MB13" s="16">
        <f>IF(ISNA(VLOOKUP($A13,'Données projet'!$A$434:$I$454,7,0)),0%,VLOOKUP($A13,'Données projet'!$A$434:$I$454,7,0))</f>
        <v>0</v>
      </c>
      <c r="MC13" s="21">
        <f>EXP(-LN(2)/35)*MC12+(1-EXP(-LN(2)/35))/(LN(2)/35)*LY13*LZ13*VLOOKUP('Données projet'!$B$24,Paramètres!$A$1:$I$89,3,0)*0.475*44/12</f>
        <v>0</v>
      </c>
      <c r="MD13" s="21">
        <f>EXP(-LN(2)/25)*MD12+(1-EXP(-LN(2)/25))/(LN(2)/25)*Calculateur!LY13*Calculateur!MA13*VLOOKUP('Données projet'!$B$24,Paramètres!$A$1:$I$89,3,0)*0.475*44/12</f>
        <v>0</v>
      </c>
      <c r="ME13" s="21">
        <f>EXP(-LN(2)/2)*ME12+(1-EXP(-LN(2)/2))/(LN(2)/2)*LY13*MB13*VLOOKUP('Données projet'!$B$24,Paramètres!$A$1:$I$89,3,0)*0.475*44/12</f>
        <v>0</v>
      </c>
      <c r="MF13" s="22">
        <f t="shared" si="105"/>
        <v>0</v>
      </c>
      <c r="MG13" s="74">
        <f>('Scénario référence'!$F$8+'Scénario référence'!$F$9+'Scénario référence'!$B$17+'Scénario référence'!$B$9+'Scénario référence'!$B$10)*70+IF((45+25*(1-EXP(-0.0175*$A13)))&lt;70,'Scénario référence'!$B$16*(45+25*(1-EXP(-0.0175*$A13))),70*'Scénario référence'!$B$16)+IF((32+38*(1-EXP(-0.0175*$A13)))&lt;70,'Scénario référence'!$B$18*(32+38*(1-EXP(-0.0175*$A13))),70*'Scénario référence'!$B$18)</f>
        <v>70</v>
      </c>
      <c r="MH13" s="12">
        <f>IF($A13&gt;30,10,('Scénario référence'!$B$16+'Scénario référence'!$B$17+'Scénario référence'!$B$18+'Scénario référence'!$B$9+'Scénario référence'!$B$10)*$A13*10/30+('Scénario référence'!$F$8+'Scénario référence'!$F$9)*10)</f>
        <v>10</v>
      </c>
      <c r="MI13" s="12" t="e">
        <f>VLOOKUP($A13,'Données projet'!$A$460:$I$480,2,0)</f>
        <v>#N/A</v>
      </c>
      <c r="MJ13" s="12" t="e">
        <f>VLOOKUP($A13,'Données projet'!$A$460:$I$480,9,0)</f>
        <v>#N/A</v>
      </c>
      <c r="MK13" s="12">
        <f t="array" ref="MK13">INDEX(MJ:MJ,MIN(IF(ISNUMBER(MJ13:MJ209),ROW(MJ13:MJ209),"")))</f>
        <v>0</v>
      </c>
      <c r="ML13" s="12">
        <f>IF('Données projet'!$A$460&gt;35,ML12+MK13-MT12,IF($A13&lt;'Données projet'!$A$460,$CQ$205^$A13,IF($A13='Données projet'!$A$460,'Données projet'!$B$460,ML12+MK13-MT12)))</f>
        <v>0</v>
      </c>
      <c r="MM13" s="17" t="e">
        <f>ML13*VLOOKUP('Données projet'!$B$25,Paramètres!$A$1:$I$89,3,0)*VLOOKUP('Données projet'!$B$25,Paramètres!$A$1:$I$89,5,0)</f>
        <v>#N/A</v>
      </c>
      <c r="MN13" s="13" t="e">
        <f t="shared" si="106"/>
        <v>#N/A</v>
      </c>
      <c r="MO13" s="14" t="e">
        <f t="shared" si="49"/>
        <v>#N/A</v>
      </c>
      <c r="MP13" s="59" t="e">
        <f t="shared" si="50"/>
        <v>#N/A</v>
      </c>
      <c r="MQ13" s="20" t="e">
        <f ca="1">AVERAGE(OFFSET($MP$3,0,0,'Données projet'!$E$25+1,1))-AVERAGE(OFFSET($H$3,0,0,'Données projet'!$E$25+1,1))</f>
        <v>#N/A</v>
      </c>
      <c r="MR13" s="59" t="e">
        <f t="shared" si="107"/>
        <v>#N/A</v>
      </c>
      <c r="MS13" s="15">
        <f>IF(ISNA(VLOOKUP($A13,'Données projet'!$A$460:$I$480,3,0)),0,VLOOKUP($A13,'Données projet'!$A$460:$I$480,3,0))</f>
        <v>0</v>
      </c>
      <c r="MT13" s="15">
        <f>IF(ISNA(VLOOKUP($A13,'Données projet'!$A$460:$I$480,4,0)),0,VLOOKUP($A13,'Données projet'!$A$460:$I$480,4,0))</f>
        <v>0</v>
      </c>
      <c r="MU13" s="16">
        <f>IF(ISNA(VLOOKUP($A13,'Données projet'!$A$460:$I$480,5,0)),0%,VLOOKUP($A13,'Données projet'!$A$460:$I$480,5,0)*VLOOKUP('Données projet'!$B$25,Paramètres!$A$1:$I$89,7,0))</f>
        <v>0</v>
      </c>
      <c r="MV13" s="16">
        <f>IF(ISNA(VLOOKUP($A13,'Données projet'!$A$460:$I$480,6,0)),0%,VLOOKUP($A13,'Données projet'!$A$460:$I$480,6,0)*VLOOKUP('Données projet'!$B$25,Paramètres!$A$1:$I$89,7,0))</f>
        <v>0</v>
      </c>
      <c r="MW13" s="16">
        <f>IF(ISNA(VLOOKUP($A13,'Données projet'!$A$460:$I$480,7,0)),0%,VLOOKUP($A13,'Données projet'!$A$460:$I$480,7,0))</f>
        <v>0</v>
      </c>
      <c r="MX13" s="21" t="e">
        <f>EXP(-LN(2)/35)*MX12+(1-EXP(-LN(2)/35))/(LN(2)/35)*MT13*MU13*VLOOKUP('Données projet'!$B$25,Paramètres!$A$1:$I$89,3,0)*0.475*44/12</f>
        <v>#N/A</v>
      </c>
      <c r="MY13" s="21" t="e">
        <f>EXP(-LN(2)/25)*MY12+(1-EXP(-LN(2)/25))/(LN(2)/25)*Calculateur!MT13*Calculateur!MV13*VLOOKUP('Données projet'!$B$25,Paramètres!$A$1:$I$89,3,0)*0.475*44/12</f>
        <v>#N/A</v>
      </c>
      <c r="MZ13" s="21" t="e">
        <f>EXP(-LN(2)/2)*MZ12+(1-EXP(-LN(2)/2))/(LN(2)/2)*MT13*MW13*VLOOKUP('Données projet'!$B$25,Paramètres!$A$1:$I$89,3,0)*0.475*44/12</f>
        <v>#N/A</v>
      </c>
      <c r="NA13" s="22" t="e">
        <f t="shared" si="108"/>
        <v>#N/A</v>
      </c>
      <c r="NB13" s="74">
        <f>('Scénario référence'!$F$8+'Scénario référence'!$F$9+'Scénario référence'!$B$17+'Scénario référence'!$B$9+'Scénario référence'!$B$10)*70+IF((45+25*(1-EXP(-0.0175*$A13)))&lt;70,'Scénario référence'!$B$16*(45+25*(1-EXP(-0.0175*$A13))),70*'Scénario référence'!$B$16)+IF((32+38*(1-EXP(-0.0175*$A13)))&lt;70,'Scénario référence'!$B$18*(32+38*(1-EXP(-0.0175*$A13))),70*'Scénario référence'!$B$18)</f>
        <v>70</v>
      </c>
      <c r="NC13" s="12">
        <f>IF($A13&gt;30,10,('Scénario référence'!$B$16+'Scénario référence'!$B$17+'Scénario référence'!$B$18+'Scénario référence'!$B$9+'Scénario référence'!$B$10)*$A13*10/30+('Scénario référence'!$F$8+'Scénario référence'!$F$9)*10)</f>
        <v>10</v>
      </c>
      <c r="ND13" s="12" t="e">
        <f>VLOOKUP($A13,'Données projet'!$A$486:$I$506,2,0)</f>
        <v>#N/A</v>
      </c>
      <c r="NE13" s="12" t="e">
        <f>VLOOKUP($A13,'Données projet'!$A$486:$I$506,9,0)</f>
        <v>#N/A</v>
      </c>
      <c r="NF13" s="12">
        <f t="array" ref="NF13">INDEX(NE:NE,MIN(IF(ISNUMBER(NE13:NE209),ROW(NE13:NE209),"")))</f>
        <v>0</v>
      </c>
      <c r="NG13" s="12">
        <f>IF('Données projet'!$A$486&gt;35,NG12+NF13-NO12,IF($A13&lt;'Données projet'!$A$486,$CQ$205^$A13,IF($A13='Données projet'!$A$486,'Données projet'!$B$486,NG12+NF13-NO12)))</f>
        <v>0</v>
      </c>
      <c r="NH13" s="17" t="e">
        <f>NG13*VLOOKUP('Données projet'!$B$26,Paramètres!$A$1:$I$89,3,0)*VLOOKUP('Données projet'!$B$26,Paramètres!$A$1:$I$89,5,0)</f>
        <v>#N/A</v>
      </c>
      <c r="NI13" s="13" t="e">
        <f t="shared" si="109"/>
        <v>#N/A</v>
      </c>
      <c r="NJ13" s="14" t="e">
        <f t="shared" si="52"/>
        <v>#N/A</v>
      </c>
      <c r="NK13" s="59" t="e">
        <f t="shared" si="53"/>
        <v>#N/A</v>
      </c>
      <c r="NL13" s="20" t="e">
        <f ca="1">AVERAGE(OFFSET($NK$3,0,0,'Données projet'!$E$26+1,1))-AVERAGE(OFFSET($H$3,0,0,'Données projet'!$E$26+1,1))</f>
        <v>#N/A</v>
      </c>
      <c r="NM13" s="59" t="e">
        <f t="shared" si="110"/>
        <v>#N/A</v>
      </c>
      <c r="NN13" s="15">
        <f>IF(ISNA(VLOOKUP($A13,'Données projet'!$A$486:$I$506,3,0)),0,VLOOKUP($A13,'Données projet'!$A$486:$I$506,3,0))</f>
        <v>0</v>
      </c>
      <c r="NO13" s="15">
        <f>IF(ISNA(VLOOKUP($A13,'Données projet'!$A$486:$I$506,4,0)),0,VLOOKUP($A13,'Données projet'!$A$486:$I$506,4,0))</f>
        <v>0</v>
      </c>
      <c r="NP13" s="16">
        <f>IF(ISNA(VLOOKUP($A13,'Données projet'!$A$486:$I$506,5,0)),0%,VLOOKUP($A13,'Données projet'!$A$486:$I$506,5,0)*VLOOKUP('Données projet'!$B$26,Paramètres!$A$1:$I$89,7,0))</f>
        <v>0</v>
      </c>
      <c r="NQ13" s="16">
        <f>IF(ISNA(VLOOKUP($A13,'Données projet'!$A$486:$I$506,6,0)),0%,VLOOKUP($A13,'Données projet'!$A$486:$I$506,6,0)*VLOOKUP('Données projet'!$B$26,Paramètres!$A$1:$I$89,7,0))</f>
        <v>0</v>
      </c>
      <c r="NR13" s="16">
        <f>IF(ISNA(VLOOKUP($A13,'Données projet'!$A$486:$I$506,7,0)),0%,VLOOKUP($A13,'Données projet'!$A$486:$I$506,7,0))</f>
        <v>0</v>
      </c>
      <c r="NS13" s="21" t="e">
        <f>EXP(-LN(2)/35)*NS12+(1-EXP(-LN(2)/35))/(LN(2)/35)*NO13*NP13*VLOOKUP('Données projet'!$B$26,Paramètres!$A$1:$I$89,3,0)*0.475*44/12</f>
        <v>#N/A</v>
      </c>
      <c r="NT13" s="21" t="e">
        <f>EXP(-LN(2)/25)*NT12+(1-EXP(-LN(2)/25))/(LN(2)/25)*Calculateur!NO13*Calculateur!NQ13*VLOOKUP('Données projet'!$B$26,Paramètres!$A$1:$I$89,3,0)*0.475*44/12</f>
        <v>#N/A</v>
      </c>
      <c r="NU13" s="21" t="e">
        <f>EXP(-LN(2)/2)*NU12+(1-EXP(-LN(2)/2))/(LN(2)/2)*NO13*NR13*VLOOKUP('Données projet'!$B$26,Paramètres!$A$1:$I$89,3,0)*0.475*44/12</f>
        <v>#N/A</v>
      </c>
      <c r="NV13" s="22" t="e">
        <f t="shared" si="111"/>
        <v>#N/A</v>
      </c>
      <c r="NW13" s="74">
        <f>('Scénario référence'!$F$8+'Scénario référence'!$F$9+'Scénario référence'!$B$17+'Scénario référence'!$B$9+'Scénario référence'!$B$10)*70+IF((45+25*(1-EXP(-0.0175*$A13)))&lt;70,'Scénario référence'!$B$16*(45+25*(1-EXP(-0.0175*$A13))),70*'Scénario référence'!$B$16)+IF((32+38*(1-EXP(-0.0175*$A13)))&lt;70,'Scénario référence'!$B$18*(32+38*(1-EXP(-0.0175*$A13))),70*'Scénario référence'!$B$18)</f>
        <v>70</v>
      </c>
      <c r="NX13" s="12">
        <f>IF($A13&gt;30,10,('Scénario référence'!$B$16+'Scénario référence'!$B$17+'Scénario référence'!$B$18+'Scénario référence'!$B$9+'Scénario référence'!$B$10)*$A13*10/30+('Scénario référence'!$F$8+'Scénario référence'!$F$9)*10)</f>
        <v>10</v>
      </c>
      <c r="NY13" s="12" t="e">
        <f>VLOOKUP($A13,'Données projet'!$A$512:$I$532,2,0)</f>
        <v>#N/A</v>
      </c>
      <c r="NZ13" s="12" t="e">
        <f>VLOOKUP($A13,'Données projet'!$A$512:$I$532,9,0)</f>
        <v>#N/A</v>
      </c>
      <c r="OA13" s="12">
        <f t="array" ref="OA13">INDEX(NZ:NZ,MIN(IF(ISNUMBER(NZ13:NZ209),ROW(NZ13:NZ209),"")))</f>
        <v>0</v>
      </c>
      <c r="OB13" s="12">
        <f>IF('Données projet'!$A$512&gt;35,OB12+OA13-OJ12,IF($A13&lt;'Données projet'!$A$512,$CQ$205^$A13,IF($A13='Données projet'!$A$512,'Données projet'!$B$512,OB12+OA13-OJ12)))</f>
        <v>0</v>
      </c>
      <c r="OC13" s="17" t="e">
        <f>OB13*VLOOKUP('Données projet'!$B$27,Paramètres!$A$1:$I$89,3,0)*VLOOKUP('Données projet'!$B$27,Paramètres!$A$1:$I$89,5,0)</f>
        <v>#N/A</v>
      </c>
      <c r="OD13" s="13" t="e">
        <f t="shared" si="112"/>
        <v>#N/A</v>
      </c>
      <c r="OE13" s="14" t="e">
        <f t="shared" si="55"/>
        <v>#N/A</v>
      </c>
      <c r="OF13" s="59" t="e">
        <f t="shared" si="56"/>
        <v>#N/A</v>
      </c>
      <c r="OG13" s="20" t="e">
        <f ca="1">AVERAGE(OFFSET($OF$3,0,0,'Données projet'!$E$27+1,1))-AVERAGE(OFFSET($H$3,0,0,'Données projet'!$E$27+1,1))</f>
        <v>#N/A</v>
      </c>
      <c r="OH13" s="59" t="e">
        <f t="shared" si="113"/>
        <v>#N/A</v>
      </c>
      <c r="OI13" s="15">
        <f>IF(ISNA(VLOOKUP($A13,'Données projet'!$A$512:$I$532,3,0)),0,VLOOKUP($A13,'Données projet'!$A$512:$I$532,3,0))</f>
        <v>0</v>
      </c>
      <c r="OJ13" s="15">
        <f>IF(ISNA(VLOOKUP($A13,'Données projet'!$A$512:$I$532,4,0)),0,VLOOKUP($A13,'Données projet'!$A$512:$I$532,4,0))</f>
        <v>0</v>
      </c>
      <c r="OK13" s="16">
        <f>IF(ISNA(VLOOKUP($A13,'Données projet'!$A$512:$I$532,5,0)),0%,VLOOKUP($A13,'Données projet'!$A$512:$I$532,5,0)*VLOOKUP('Données projet'!$B$27,Paramètres!$A$1:$I$89,7,0))</f>
        <v>0</v>
      </c>
      <c r="OL13" s="16">
        <f>IF(ISNA(VLOOKUP($A13,'Données projet'!$A$512:$I$532,6,0)),0%,VLOOKUP($A13,'Données projet'!$A$512:$I$532,6,0)*VLOOKUP('Données projet'!$B$27,Paramètres!$A$1:$I$89,7,0))</f>
        <v>0</v>
      </c>
      <c r="OM13" s="16">
        <f>IF(ISNA(VLOOKUP($A13,'Données projet'!$A$512:$I$532,7,0)),0%,VLOOKUP($A13,'Données projet'!$A$512:$I$532,7,0))</f>
        <v>0</v>
      </c>
      <c r="ON13" s="21" t="e">
        <f>EXP(-LN(2)/35)*ON12+(1-EXP(-LN(2)/35))/(LN(2)/35)*OJ13*OK13*VLOOKUP('Données projet'!$B$27,Paramètres!$A$1:$I$89,3,0)*0.475*44/12</f>
        <v>#N/A</v>
      </c>
      <c r="OO13" s="21" t="e">
        <f>EXP(-LN(2)/25)*OO12+(1-EXP(-LN(2)/25))/(LN(2)/25)*Calculateur!OJ13*Calculateur!OL13*VLOOKUP('Données projet'!$B$27,Paramètres!$A$1:$I$89,3,0)*0.475*44/12</f>
        <v>#N/A</v>
      </c>
      <c r="OP13" s="21" t="e">
        <f>EXP(-LN(2)/2)*OP12+(1-EXP(-LN(2)/2))/(LN(2)/2)*OJ13*OM13*VLOOKUP('Données projet'!$B$27,Paramètres!$A$1:$I$89,3,0)*0.475*44/12</f>
        <v>#N/A</v>
      </c>
      <c r="OQ13" s="22" t="e">
        <f t="shared" si="114"/>
        <v>#N/A</v>
      </c>
      <c r="OR13" s="74">
        <f>('Scénario référence'!$F$8+'Scénario référence'!$F$9+'Scénario référence'!$B$17+'Scénario référence'!$B$9+'Scénario référence'!$B$10)*70+IF((45+25*(1-EXP(-0.0175*$A13)))&lt;70,'Scénario référence'!$B$16*(45+25*(1-EXP(-0.0175*$A13))),70*'Scénario référence'!$B$16)+IF((32+38*(1-EXP(-0.0175*$A13)))&lt;70,'Scénario référence'!$B$18*(32+38*(1-EXP(-0.0175*$A13))),70*'Scénario référence'!$B$18)</f>
        <v>70</v>
      </c>
      <c r="OS13" s="12">
        <f>IF($A13&gt;30,10,('Scénario référence'!$B$16+'Scénario référence'!$B$17+'Scénario référence'!$B$18+'Scénario référence'!$B$9+'Scénario référence'!$B$10)*$A13*10/30+('Scénario référence'!$F$8+'Scénario référence'!$F$9)*10)</f>
        <v>10</v>
      </c>
      <c r="OT13" s="12" t="e">
        <f>VLOOKUP($A13,'Données projet'!$A$538:$I$558,2,0)</f>
        <v>#N/A</v>
      </c>
      <c r="OU13" s="12" t="e">
        <f>VLOOKUP($A13,'Données projet'!$A$538:$I$558,9,0)</f>
        <v>#N/A</v>
      </c>
      <c r="OV13" s="12">
        <f t="array" ref="OV13">INDEX(OU:OU,MIN(IF(ISNUMBER(OU13:OU209),ROW(OU13:OU209),"")))</f>
        <v>0</v>
      </c>
      <c r="OW13" s="12">
        <f>IF('Données projet'!$A$538&gt;35,OW12+OV13-PE12,IF($A13&lt;'Données projet'!$A$538,$CQ$205^$A13,IF($A13='Données projet'!$A$538,'Données projet'!$B$538,OW12+OV13-PE12)))</f>
        <v>0</v>
      </c>
      <c r="OX13" s="17" t="e">
        <f>OW13*VLOOKUP('Données projet'!$B$28,Paramètres!$A$1:$I$89,3,0)*VLOOKUP('Données projet'!$B$28,Paramètres!$A$1:$I$89,5,0)</f>
        <v>#N/A</v>
      </c>
      <c r="OY13" s="13" t="e">
        <f t="shared" si="115"/>
        <v>#N/A</v>
      </c>
      <c r="OZ13" s="14" t="e">
        <f t="shared" si="58"/>
        <v>#N/A</v>
      </c>
      <c r="PA13" s="59" t="e">
        <f t="shared" si="59"/>
        <v>#N/A</v>
      </c>
      <c r="PB13" s="20" t="e">
        <f ca="1">AVERAGE(OFFSET($PA$3,0,0,'Données projet'!$E$28+1,1))-AVERAGE(OFFSET($H$3,0,0,'Données projet'!$E$28+1,1))</f>
        <v>#N/A</v>
      </c>
      <c r="PC13" s="59" t="e">
        <f t="shared" si="116"/>
        <v>#N/A</v>
      </c>
      <c r="PD13" s="15">
        <f>IF(ISNA(VLOOKUP($A13,'Données projet'!$A$538:$I$558,3,0)),0,VLOOKUP($A13,'Données projet'!$A$538:$I$558,3,0))</f>
        <v>0</v>
      </c>
      <c r="PE13" s="15">
        <f>IF(ISNA(VLOOKUP($A13,'Données projet'!$A$538:$I$558,4,0)),0,VLOOKUP($A13,'Données projet'!$A$538:$I$558,4,0))</f>
        <v>0</v>
      </c>
      <c r="PF13" s="16">
        <f>IF(ISNA(VLOOKUP($A13,'Données projet'!$A$538:$I$558,5,0)),0%,VLOOKUP($A13,'Données projet'!$A$538:$I$558,5,0)*VLOOKUP('Données projet'!$B$28,Paramètres!$A$1:$I$89,7,0))</f>
        <v>0</v>
      </c>
      <c r="PG13" s="16">
        <f>IF(ISNA(VLOOKUP($A13,'Données projet'!$A$538:$I$558,6,0)),0%,VLOOKUP($A13,'Données projet'!$A$538:$I$558,6,0)*VLOOKUP('Données projet'!$B$28,Paramètres!$A$1:$I$89,7,0))</f>
        <v>0</v>
      </c>
      <c r="PH13" s="16">
        <f>IF(ISNA(VLOOKUP($A13,'Données projet'!$A$538:$I$558,7,0)),0%,VLOOKUP($A13,'Données projet'!$A$538:$I$558,7,0))</f>
        <v>0</v>
      </c>
      <c r="PI13" s="21" t="e">
        <f>EXP(-LN(2)/35)*PI12+(1-EXP(-LN(2)/35))/(LN(2)/35)*PE13*PF13*VLOOKUP('Données projet'!$B$28,Paramètres!$A$1:$I$89,3,0)*0.475*44/12</f>
        <v>#N/A</v>
      </c>
      <c r="PJ13" s="21" t="e">
        <f>EXP(-LN(2)/25)*PJ12+(1-EXP(-LN(2)/25))/(LN(2)/25)*Calculateur!PE13*Calculateur!PG13*VLOOKUP('Données projet'!$B$28,Paramètres!$A$1:$I$89,3,0)*0.475*44/12</f>
        <v>#N/A</v>
      </c>
      <c r="PK13" s="21" t="e">
        <f>EXP(-LN(2)/2)*PK12+(1-EXP(-LN(2)/2))/(LN(2)/2)*PE13*PH13*VLOOKUP('Données projet'!$B$28,Paramètres!$A$1:$I$89,3,0)*0.475*44/12</f>
        <v>#N/A</v>
      </c>
      <c r="PL13" s="22" t="e">
        <f t="shared" si="117"/>
        <v>#N/A</v>
      </c>
    </row>
    <row r="14" spans="1:428" x14ac:dyDescent="0.35">
      <c r="A14" s="10">
        <f t="shared" si="6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6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projet'!$A$45:$I$65,2,0)</f>
        <v>#N/A</v>
      </c>
      <c r="L14" s="12" t="e">
        <f>VLOOKUP(A14,'Données projet'!$A$45:$I$65,9,0)</f>
        <v>#N/A</v>
      </c>
      <c r="M14" s="12">
        <f t="array" ref="M14">INDEX(L:L,MIN(IF(ISNUMBER(L14:L210),ROW(L14:L210),"")))</f>
        <v>10.16068376068376</v>
      </c>
      <c r="N14" s="13">
        <f>IF('Données projet'!$A$46&gt;35,N13+M14-V13,IF(A14&lt;'Données projet'!$A$46,$K$205^A14,IF(A14='Données projet'!$A$46,'Données projet'!$B$46,N13+M14-V13)))</f>
        <v>24.124191581618767</v>
      </c>
      <c r="O14" s="13">
        <f>N14*VLOOKUP('Données projet'!$B$9,Paramètres!$A$1:$I$89,3,0)*VLOOKUP('Données projet'!$B$9,Paramètres!$A$1:$I$89,5,0)</f>
        <v>13.48542309412489</v>
      </c>
      <c r="P14" s="13">
        <f t="shared" si="63"/>
        <v>4.5909271865822117</v>
      </c>
      <c r="Q14" s="20">
        <f t="shared" si="2"/>
        <v>31.482976738898202</v>
      </c>
      <c r="R14" s="59">
        <f t="shared" si="0"/>
        <v>324.81631007223154</v>
      </c>
      <c r="S14" s="59">
        <f ca="1">AVERAGE(OFFSET($R$3,0,0,'Données projet'!$E$9+1,1))-AVERAGE(OFFSET($H$3,0,0,'Données projet'!$E$9+1,1))</f>
        <v>274.57619581652199</v>
      </c>
      <c r="T14" s="59">
        <f t="shared" si="64"/>
        <v>366.15117322598775</v>
      </c>
      <c r="U14" s="15">
        <f>IF(ISNA(VLOOKUP(A14,'Données projet'!$A$45:$I$65,3,0)),0,VLOOKUP(A14,'Données projet'!$A$45:$I$65,3,0))</f>
        <v>0</v>
      </c>
      <c r="V14" s="15">
        <f>IF(ISNA(VLOOKUP(A14,'Données projet'!$A$45:$I$65,4,0)),0,VLOOKUP(A14,'Données projet'!$A$45:$I$65,4,0))</f>
        <v>0</v>
      </c>
      <c r="W14" s="16">
        <f>IF(ISNA(VLOOKUP(A14,'Données projet'!$A$45:$I$65,5,0)),0%,VLOOKUP(A14,'Données projet'!$A$45:$I$65,5,0)*VLOOKUP('Données projet'!$B$9,Paramètres!$A$1:$I$89,7,0))</f>
        <v>0</v>
      </c>
      <c r="X14" s="16">
        <f>IF(ISNA(VLOOKUP(A14,'Données projet'!$A$45:$I$65,6,0)),0%,VLOOKUP(A14,'Données projet'!$A$45:$I$65,6,0)*VLOOKUP('Données projet'!$B$9,Paramètres!$A$1:$I$89,7,0))</f>
        <v>0</v>
      </c>
      <c r="Y14" s="16">
        <f>IF(ISNA(VLOOKUP(A14,'Données projet'!$A$45:$I$65,7,0)),0%,VLOOKUP(A14,'Données projet'!$A$45:$I$65,7,0))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projet'!$A$71:$I$91,2,0)</f>
        <v>#N/A</v>
      </c>
      <c r="AG14" s="12" t="e">
        <f>VLOOKUP(A14,'Données projet'!$A$71:$I$91,9,0)</f>
        <v>#N/A</v>
      </c>
      <c r="AH14" s="12">
        <f t="array" ref="AH14">INDEX(AG:AG,MIN(IF(ISNUMBER(AG14:AG210),ROW(AG14:AG210),"")))</f>
        <v>4.0628205128205126</v>
      </c>
      <c r="AI14" s="13">
        <f>IF('Données projet'!$A$72&gt;35,AI13+AH14-AQ13,IF(A14&lt;'Données projet'!$A$72,$AF$205^A14,IF(A14='Données projet'!$A$72,'Données projet'!$B$72,AI13+AH14-AQ13)))</f>
        <v>5.8189942330107201</v>
      </c>
      <c r="AJ14" s="13">
        <f>AI14*VLOOKUP('Données projet'!$B$10,Paramètres!$A$1:$I$89,3,0)*VLOOKUP('Données projet'!$B$10,Paramètres!$A$1:$I$89,5,0)</f>
        <v>5.2650259820280993</v>
      </c>
      <c r="AK14" s="13">
        <f t="shared" si="65"/>
        <v>1.9997769726555885</v>
      </c>
      <c r="AL14" s="20">
        <f t="shared" si="4"/>
        <v>12.65286514607409</v>
      </c>
      <c r="AM14" s="59">
        <f t="shared" si="5"/>
        <v>305.98619847940739</v>
      </c>
      <c r="AN14" s="59">
        <f ca="1">AVERAGE(OFFSET($AM$3,0,0,'Données projet'!$E$10+1,1))-AVERAGE(OFFSET($H$3,0,0,'Données projet'!$E$10+1,1))</f>
        <v>270.87836509222456</v>
      </c>
      <c r="AO14" s="59">
        <f t="shared" si="66"/>
        <v>205.24998237949734</v>
      </c>
      <c r="AP14" s="15">
        <f>IF(ISNA(VLOOKUP(A14,'Données projet'!$A$71:$I$91,3,0)),0,VLOOKUP(A14,'Données projet'!$A$71:$I$91,3,0))</f>
        <v>0</v>
      </c>
      <c r="AQ14" s="15">
        <f>IF(ISNA(VLOOKUP(A14,'Données projet'!$A$71:$I$91,4,0)),0,VLOOKUP(A14,'Données projet'!$A$71:$I$91,4,0))</f>
        <v>0</v>
      </c>
      <c r="AR14" s="16">
        <f>IF(ISNA(VLOOKUP(A14,'Données projet'!$A$71:$I$91,5,0)),0%,VLOOKUP(A14,'Données projet'!$A$71:$I$91,5,0)*VLOOKUP('Données projet'!$B$10,Paramètres!$A$1:$I$89,7,0))</f>
        <v>0</v>
      </c>
      <c r="AS14" s="16">
        <f>IF(ISNA(VLOOKUP(A14,'Données projet'!$A$71:$I$91,6,0)),0%,VLOOKUP(A14,'Données projet'!$A$71:$I$91,6,0)*VLOOKUP('Données projet'!$B$10,Paramètres!$A$1:$I$89,7,0))</f>
        <v>0</v>
      </c>
      <c r="AT14" s="16">
        <f>IF(ISNA(VLOOKUP(A14,'Données projet'!$A$71:$I$91,7,0)),0%,VLOOKUP(A14,'Données projet'!$A$71:$I$91,7,0))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projet'!$A$97:$I$117,2,0)</f>
        <v>#N/A</v>
      </c>
      <c r="BB14" s="12" t="e">
        <f>VLOOKUP(A14,'Données projet'!$A$97:$I$117,9,0)</f>
        <v>#N/A</v>
      </c>
      <c r="BC14" s="12">
        <f t="array" ref="BC14">INDEX(BB:BB,MIN(IF(ISNUMBER(BB14:BB210),ROW(BB14:BB210),"")))</f>
        <v>10.16068376068376</v>
      </c>
      <c r="BD14" s="12">
        <f>IF('Données projet'!$A$98&gt;35,BD13+BC14-BL13,IF(A14&lt;'Données projet'!$A$98,$BA$205^A14,IF(A14='Données projet'!$A$98,'Données projet'!$B$98,BD13+BC14-BL13)))</f>
        <v>24.124191581618767</v>
      </c>
      <c r="BE14" s="13">
        <f>BD14*VLOOKUP('Données projet'!$B$11,Paramètres!$A$1:$I$89,3,0)*VLOOKUP('Données projet'!$B$11,Paramètres!$A$1:$I$89,5,0)</f>
        <v>10.662892679075497</v>
      </c>
      <c r="BF14" s="13">
        <f t="shared" si="67"/>
        <v>3.730632321322096</v>
      </c>
      <c r="BG14" s="20">
        <f t="shared" si="7"/>
        <v>25.068722709025806</v>
      </c>
      <c r="BH14" s="59">
        <f t="shared" si="8"/>
        <v>318.40205604235911</v>
      </c>
      <c r="BI14" s="59">
        <f ca="1">AVERAGE(OFFSET($BH$3,0,0,'Données projet'!$E$11+1,1))-AVERAGE(OFFSET($H$3,0,0,'Données projet'!$E$11+1,1))</f>
        <v>211.31057120485542</v>
      </c>
      <c r="BJ14" s="59">
        <f t="shared" si="68"/>
        <v>283.33292006714777</v>
      </c>
      <c r="BK14" s="15">
        <f>IF(ISNA(VLOOKUP(A14,'Données projet'!$A$97:$I$117,3,0)),0,VLOOKUP(A14,'Données projet'!$A$97:$I$117,3,0))</f>
        <v>0</v>
      </c>
      <c r="BL14" s="15">
        <f>IF(ISNA(VLOOKUP(A14,'Données projet'!$A$97:$I$117,4,0)),0,VLOOKUP(A14,'Données projet'!$A$97:$I$117,4,0))</f>
        <v>0</v>
      </c>
      <c r="BM14" s="16">
        <f>IF(ISNA(VLOOKUP(A14,'Données projet'!$A$97:$I$117,5,0)),0%,VLOOKUP(A14,'Données projet'!$A$97:$I$117,5,0)*VLOOKUP('Données projet'!$B$11,Paramètres!$A$1:$I$89,7,0))</f>
        <v>0</v>
      </c>
      <c r="BN14" s="16">
        <f>IF(ISNA(VLOOKUP(A14,'Données projet'!$A$97:$I$117,6,0)),0%,VLOOKUP(A14,'Données projet'!$A$97:$I$117,6,0)*VLOOKUP('Données projet'!$B$11,Paramètres!$A$1:$I$89,7,0))</f>
        <v>0</v>
      </c>
      <c r="BO14" s="16">
        <f>IF(ISNA(VLOOKUP(A14,'Données projet'!$A$97:$I$117,7,0)),0%,VLOOKUP(A14,'Données projet'!$A$97:$I$117,7,0))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projet'!$A$123:$I$143,2,0)</f>
        <v>#N/A</v>
      </c>
      <c r="BW14" s="12" t="e">
        <f>VLOOKUP(A14,'Données projet'!$A$123:$I$143,9,0)</f>
        <v>#N/A</v>
      </c>
      <c r="BX14" s="12">
        <f t="array" ref="BX14">INDEX(BW:BW,MIN(IF(ISNUMBER(BW14:BW210),ROW(BW14:BW210),"")))</f>
        <v>8.8000000000000007</v>
      </c>
      <c r="BY14" s="12">
        <f>IF('Données projet'!$A$124&gt;35,BY13+BX14-CG13,IF(A14&lt;'Données projet'!$A$124,$BV$205^A14,IF(A14='Données projet'!$A$124,'Données projet'!$B$124,BY13+BX14-CG13)))</f>
        <v>37.799999999999997</v>
      </c>
      <c r="BZ14" s="13">
        <f>BY14*VLOOKUP('Données projet'!$B$12,Paramètres!$A$1:$I$89,3,0)*VLOOKUP('Données projet'!$B$12,Paramètres!$A$1:$I$89,5,0)</f>
        <v>39.508560000000003</v>
      </c>
      <c r="CA14" s="13">
        <f t="shared" si="69"/>
        <v>11.868297112841578</v>
      </c>
      <c r="CB14" s="20">
        <f t="shared" si="10"/>
        <v>89.481359471532414</v>
      </c>
      <c r="CC14" s="59">
        <f t="shared" si="11"/>
        <v>382.81469280486573</v>
      </c>
      <c r="CD14" s="59">
        <f ca="1">AVERAGE(OFFSET($CC$3,0,0,'Données projet'!$E$12+1,1))-AVERAGE(OFFSET($H$3,0,0,'Données projet'!$E$12+1,1))</f>
        <v>322.93502595881938</v>
      </c>
      <c r="CE14" s="59">
        <f t="shared" si="70"/>
        <v>302.67072119588164</v>
      </c>
      <c r="CF14" s="15">
        <f>IF(ISNA(VLOOKUP(A14,'Données projet'!$A$123:$I$143,3,0)),0,VLOOKUP(A14,'Données projet'!$A$123:$I$143,3,0))</f>
        <v>0</v>
      </c>
      <c r="CG14" s="15">
        <f>IF(ISNA(VLOOKUP(A14,'Données projet'!$A$123:$I$143,4,0)),0,VLOOKUP(A14,'Données projet'!$A$123:$I$143,4,0))</f>
        <v>0</v>
      </c>
      <c r="CH14" s="16">
        <f>IF(ISNA(VLOOKUP(A14,'Données projet'!$A$123:$I$143,5,0)),0%,VLOOKUP(A14,'Données projet'!$A$123:$I$143,5,0)*VLOOKUP('Données projet'!$B$12,Paramètres!$A$1:$I$89,7,0))</f>
        <v>0</v>
      </c>
      <c r="CI14" s="16">
        <f>IF(ISNA(VLOOKUP(A14,'Données projet'!$A$123:$I$143,6,0)),0%,VLOOKUP(A14,'Données projet'!$A$123:$I$143,6,0)*VLOOKUP('Données projet'!$B$12,Paramètres!$A$1:$I$89,7,0))</f>
        <v>0</v>
      </c>
      <c r="CJ14" s="16">
        <f>IF(ISNA(VLOOKUP(A14,'Données projet'!$A$123:$I$143,7,0)),0%,VLOOKUP(A14,'Données projet'!$A$123:$I$143,7,0))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projet'!$A$149:$I$169,2,0)</f>
        <v>#N/A</v>
      </c>
      <c r="CR14" s="12" t="e">
        <f>VLOOKUP(A14,'Données projet'!$A$149:$I$169,9,0)</f>
        <v>#N/A</v>
      </c>
      <c r="CS14" s="12">
        <f t="array" ref="CS14">INDEX(CR:CR,MIN(IF(ISNUMBER(CR14:CR210),ROW(CR14:CR210),"")))</f>
        <v>2.9235042735042733</v>
      </c>
      <c r="CT14" s="12">
        <f>IF('Données projet'!$A$150&gt;35,CT13+CS14-DB13,IF(A14&lt;'Données projet'!$A$150,$CQ$205^A14,IF(A14='Données projet'!$A$150,'Données projet'!$B$150,CT13+CS14-DB13)))</f>
        <v>5.1575387009743459</v>
      </c>
      <c r="CU14" s="17">
        <f>CT14*VLOOKUP('Données projet'!$B$13,Paramètres!$A$1:$I$89,3,0)*VLOOKUP('Données projet'!$B$13,Paramètres!$A$1:$I$89,5,0)</f>
        <v>5.2297442427879863</v>
      </c>
      <c r="CV14" s="13">
        <f t="shared" si="71"/>
        <v>1.9879313878539038</v>
      </c>
      <c r="CW14" s="20">
        <f t="shared" si="13"/>
        <v>12.570785056701292</v>
      </c>
      <c r="CX14" s="59">
        <f t="shared" si="14"/>
        <v>305.90411839003463</v>
      </c>
      <c r="CY14" s="59">
        <f ca="1">AVERAGE(OFFSET($CX$3,0,0,'Données projet'!$E$13+1,1))-AVERAGE(OFFSET($H$3,0,0,'Données projet'!$E$13+1,1))</f>
        <v>250.31277422753283</v>
      </c>
      <c r="CZ14" s="59">
        <f t="shared" si="72"/>
        <v>159.20429420478047</v>
      </c>
      <c r="DA14" s="15">
        <f>IF(ISNA(VLOOKUP(A14,'Données projet'!$A$149:$I$169,3,0)),0,VLOOKUP(A14,'Données projet'!$A$149:$I$169,3,0))</f>
        <v>0</v>
      </c>
      <c r="DB14" s="15">
        <f>IF(ISNA(VLOOKUP(A14,'Données projet'!$A$149:$I$169,4,0)),0,VLOOKUP(A14,'Données projet'!$A$149:$I$169,4,0))</f>
        <v>0</v>
      </c>
      <c r="DC14" s="16">
        <f>IF(ISNA(VLOOKUP(A14,'Données projet'!$A$149:$I$169,5,0)),0%,VLOOKUP(A14,'Données projet'!$A$149:$I$169,5,0)*VLOOKUP('Données projet'!$B$13,Paramètres!$A$1:$I$89,7,0))</f>
        <v>0</v>
      </c>
      <c r="DD14" s="16">
        <f>IF(ISNA(VLOOKUP(A14,'Données projet'!$A$149:$I$169,6,0)),0%,VLOOKUP(A14,'Données projet'!$A$149:$I$169,6,0)*VLOOKUP('Données projet'!$B$13,Paramètres!$A$1:$I$89,7,0))</f>
        <v>0</v>
      </c>
      <c r="DE14" s="16">
        <f>IF(ISNA(VLOOKUP(A14,'Données projet'!$A$149:$I$169,7,0)),0%,VLOOKUP(A14,'Données projet'!$A$149:$I$169,7,0))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projet'!$A$175:$I$195,2,0)</f>
        <v>#N/A</v>
      </c>
      <c r="DM14" s="12" t="e">
        <f>VLOOKUP(A14,'Données projet'!$A$175:$I$195,9,0)</f>
        <v>#N/A</v>
      </c>
      <c r="DN14" s="12">
        <f t="array" ref="DN14">INDEX(DM:DM,MIN(IF(ISNUMBER(DM14:DM210),ROW(DM14:DM210),"")))</f>
        <v>14.6</v>
      </c>
      <c r="DO14" s="12">
        <f>IF('Données projet'!$A$176&gt;35,DO13+DN14-DW13,IF(A14&lt;'Données projet'!$A$176,$DL$205^A14,IF(A14='Données projet'!$A$176,'Données projet'!$B$176,DO13+DN14-DW13)))</f>
        <v>26.6</v>
      </c>
      <c r="DP14" s="17">
        <f>DO14*VLOOKUP('Données projet'!$B$14,Paramètres!$A$1:$I$89,3,0)*VLOOKUP('Données projet'!$B$14,Paramètres!$A$1:$I$89,5,0)</f>
        <v>19.503120000000003</v>
      </c>
      <c r="DQ14" s="13">
        <f t="shared" si="73"/>
        <v>6.3604529061061674</v>
      </c>
      <c r="DR14" s="20">
        <f t="shared" si="16"/>
        <v>45.045722811468245</v>
      </c>
      <c r="DS14" s="59">
        <f t="shared" si="17"/>
        <v>338.37905614480155</v>
      </c>
      <c r="DT14" s="59">
        <f ca="1">AVERAGE(OFFSET($DS$3,0,0,'Données projet'!$E$14+1,1))-AVERAGE(OFFSET($H$3,0,0,'Données projet'!$E$14+1,1))</f>
        <v>296.91321813251051</v>
      </c>
      <c r="DU14" s="59">
        <f t="shared" si="74"/>
        <v>291.0718079639509</v>
      </c>
      <c r="DV14" s="15">
        <f>IF(ISNA(VLOOKUP(A14,'Données projet'!$A$175:$I$195,3,0)),0,VLOOKUP(A14,'Données projet'!$A$175:$I$195,3,0))</f>
        <v>0</v>
      </c>
      <c r="DW14" s="15">
        <f>IF(ISNA(VLOOKUP(A14,'Données projet'!$A$175:$I$195,4,0)),0,VLOOKUP(A14,'Données projet'!$A$175:$I$195,4,0))</f>
        <v>0</v>
      </c>
      <c r="DX14" s="16">
        <f>IF(ISNA(VLOOKUP(A14,'Données projet'!$A$175:$I$195,5,0)),0%,VLOOKUP(A14,'Données projet'!$A$175:$I$195,5,0)*VLOOKUP('Données projet'!$B$14,Paramètres!$A$1:$I$89,7,0))</f>
        <v>0</v>
      </c>
      <c r="DY14" s="16">
        <f>IF(ISNA(VLOOKUP(A14,'Données projet'!$A$175:$I$195,6,0)),0%,VLOOKUP(A14,'Données projet'!$A$175:$I$195,6,0)*VLOOKUP('Données projet'!$B$14,Paramètres!$A$1:$I$89,7,0))</f>
        <v>0</v>
      </c>
      <c r="DZ14" s="16">
        <f>IF(ISNA(VLOOKUP(A14,'Données projet'!$A$175:$I$195,7,0)),0%,VLOOKUP(A14,'Données projet'!$A$175:$I$195,7,0))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projet'!$A$201:$I$221,2,0)</f>
        <v>#N/A</v>
      </c>
      <c r="EH14" s="12" t="e">
        <f>VLOOKUP(A14,'Données projet'!$A$201:$I$221,9,0)</f>
        <v>#N/A</v>
      </c>
      <c r="EI14" s="12">
        <f t="array" ref="EI14">INDEX(EH:EH,MIN(IF(ISNUMBER(EH14:EH210),ROW(EH14:EH210),"")))</f>
        <v>3.4425641025641025</v>
      </c>
      <c r="EJ14" s="12">
        <f>IF('Données projet'!$A$202&gt;35,EJ13+EI14-ER13,IF(A14&lt;'Données projet'!$A$202,$EG$205^A14,IF(A14='Données projet'!$A$202,'Données projet'!$B$202,EJ13+EI14-ER13)))</f>
        <v>5.4760559050775193</v>
      </c>
      <c r="EK14" s="17">
        <f>EJ14*VLOOKUP('Données projet'!$B$15,Paramètres!$A$1:$I$89,3,0)*VLOOKUP('Données projet'!$B$15,Paramètres!$A$1:$I$89,5,0)</f>
        <v>2.562794163576279</v>
      </c>
      <c r="EL14" s="13">
        <f t="shared" si="75"/>
        <v>1.0585015867936163</v>
      </c>
      <c r="EM14" s="20">
        <f t="shared" si="19"/>
        <v>6.3070900985608995</v>
      </c>
      <c r="EN14" s="59">
        <f t="shared" si="20"/>
        <v>299.64042343189419</v>
      </c>
      <c r="EO14" s="59">
        <f ca="1">AVERAGE(OFFSET($EN$3,0,0,'Données projet'!$E$15+1,1))-AVERAGE(OFFSET($H$3,0,0,'Données projet'!$E$15+1,1))</f>
        <v>147.64256291235483</v>
      </c>
      <c r="EP14" s="59">
        <f t="shared" si="76"/>
        <v>70.859031694091868</v>
      </c>
      <c r="EQ14" s="15">
        <f>IF(ISNA(VLOOKUP(A14,'Données projet'!$A$201:$I$221,3,0)),0,VLOOKUP(A14,'Données projet'!$A$201:$I$221,3,0))</f>
        <v>0</v>
      </c>
      <c r="ER14" s="15">
        <f>IF(ISNA(VLOOKUP(A14,'Données projet'!$A$201:$I$221,4,0)),0,VLOOKUP(A14,'Données projet'!$A$201:$I$221,4,0))</f>
        <v>0</v>
      </c>
      <c r="ES14" s="16">
        <f>IF(ISNA(VLOOKUP(A14,'Données projet'!$A$201:$I$221,5,0)),0%,VLOOKUP(A14,'Données projet'!$A$201:$I$221,5,0)*VLOOKUP('Données projet'!$B$15,Paramètres!$A$1:$I$89,7,0))</f>
        <v>0</v>
      </c>
      <c r="ET14" s="16">
        <f>IF(ISNA(VLOOKUP(A14,'Données projet'!$A$201:$I$221,6,0)),0%,VLOOKUP(A14,'Données projet'!$A$201:$I$221,6,0)*VLOOKUP('Données projet'!$B$15,Paramètres!$A$1:$I$89,7,0))</f>
        <v>0</v>
      </c>
      <c r="EU14" s="16">
        <f>IF(ISNA(VLOOKUP(A14,'Données projet'!$A$201:$I$221,7,0)),0%,VLOOKUP(A14,'Données projet'!$A$201:$I$221,7,0))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projet'!$A$227:$I$247,2,0)</f>
        <v>#N/A</v>
      </c>
      <c r="FC14" s="12" t="e">
        <f>VLOOKUP(A14,'Données projet'!$A$227:$I$247,9,0)</f>
        <v>#N/A</v>
      </c>
      <c r="FD14" s="12">
        <f t="array" ref="FD14">INDEX(FC:FC,MIN(IF(ISNUMBER(FC14:FC210),ROW(FC14:FC210),"")))</f>
        <v>5.8</v>
      </c>
      <c r="FE14" s="12">
        <f>IF('Données projet'!$A$228&gt;35,FE13+FD14-FM13,IF(A14&lt;'Données projet'!$A$228,$FB$205^A14,IF(A14='Données projet'!$A$228,'Données projet'!$B$228,FE13+FD14-FM13)))</f>
        <v>23.8</v>
      </c>
      <c r="FF14" s="17">
        <f>FE14*VLOOKUP('Données projet'!$B$16,Paramètres!$A$1:$I$89,3,0)*VLOOKUP('Données projet'!$B$16,Paramètres!$A$1:$I$89,5,0)</f>
        <v>24.875760000000003</v>
      </c>
      <c r="FG14" s="13">
        <f t="shared" si="77"/>
        <v>7.8860595982958923</v>
      </c>
      <c r="FH14" s="20">
        <f t="shared" si="22"/>
        <v>57.060169133698679</v>
      </c>
      <c r="FI14" s="59">
        <f t="shared" si="23"/>
        <v>350.39350246703202</v>
      </c>
      <c r="FJ14" s="59">
        <f ca="1">AVERAGE(OFFSET($FI$3,0,0,'Données projet'!$E$16+1,1))-AVERAGE(OFFSET($H$3,0,0,'Données projet'!$E$16+1,1))</f>
        <v>259.03906550253788</v>
      </c>
      <c r="FK14" s="59">
        <f t="shared" si="78"/>
        <v>235.54542903570831</v>
      </c>
      <c r="FL14" s="15">
        <f>IF(ISNA(VLOOKUP(A14,'Données projet'!$A$227:$I$247,3,0)),0,VLOOKUP(A14,'Données projet'!$A$227:$I$247,3,0))</f>
        <v>0</v>
      </c>
      <c r="FM14" s="15">
        <f>IF(ISNA(VLOOKUP(A14,'Données projet'!$A$227:$I$247,4,0)),0,VLOOKUP(A14,'Données projet'!$A$227:$I$247,4,0))</f>
        <v>0</v>
      </c>
      <c r="FN14" s="16">
        <f>IF(ISNA(VLOOKUP(A14,'Données projet'!$A$227:$I$247,5,0)),0%,VLOOKUP(A14,'Données projet'!$A$227:$I$247,5,0)*VLOOKUP('Données projet'!$B$16,Paramètres!$A$1:$I$89,7,0))</f>
        <v>0</v>
      </c>
      <c r="FO14" s="16">
        <f>IF(ISNA(VLOOKUP(A14,'Données projet'!$A$227:$I$247,6,0)),0%,VLOOKUP(A14,'Données projet'!$A$227:$I$247,6,0)*VLOOKUP('Données projet'!$B$16,Paramètres!$A$1:$I$89,7,0))</f>
        <v>0</v>
      </c>
      <c r="FP14" s="16">
        <f>IF(ISNA(VLOOKUP(A14,'Données projet'!$A$227:$I$247,7,0)),0%,VLOOKUP(A14,'Données projet'!$A$227:$I$247,7,0))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projet'!$A$253:$I$273,2,0)</f>
        <v>#N/A</v>
      </c>
      <c r="FX14" s="12" t="e">
        <f>VLOOKUP(A14,'Données projet'!$A$253:$I$273,9,0)</f>
        <v>#N/A</v>
      </c>
      <c r="FY14" s="12">
        <f t="array" ref="FY14">INDEX(FX:FX,MIN(IF(ISNUMBER(FX14:FX210),ROW(FX14:FX210),"")))</f>
        <v>2.4666666666666668</v>
      </c>
      <c r="FZ14" s="12">
        <f>IF('Données projet'!$A$254&gt;35,FZ13+FY14-GH13,IF(A14&lt;'Données projet'!$A$254,$FW$205^A14,IF(A14='Données projet'!$A$254,'Données projet'!$B$254,FZ13+FY14-GH13)))</f>
        <v>14.125850240977657</v>
      </c>
      <c r="GA14" s="17">
        <f>FZ14*VLOOKUP('Données projet'!$B$17,Paramètres!$A$1:$I$89,3,0)*VLOOKUP('Données projet'!$B$17,Paramètres!$A$1:$I$89,5,0)</f>
        <v>12.340342770518083</v>
      </c>
      <c r="GB14" s="13">
        <f t="shared" si="79"/>
        <v>4.2447175714913801</v>
      </c>
      <c r="GC14" s="20">
        <f t="shared" si="25"/>
        <v>28.885646762333149</v>
      </c>
      <c r="GD14" s="59">
        <f t="shared" si="26"/>
        <v>322.21898009566644</v>
      </c>
      <c r="GE14" s="59">
        <f ca="1">AVERAGE(OFFSET($GD$3,0,0,'Données projet'!$E$17+1,1))-AVERAGE(OFFSET($H$3,0,0,'Données projet'!$E$17+1,1))</f>
        <v>245.1983232777614</v>
      </c>
      <c r="GF14" s="59">
        <f t="shared" si="80"/>
        <v>242.34010522344573</v>
      </c>
      <c r="GG14" s="15">
        <f>IF(ISNA(VLOOKUP(A14,'Données projet'!$A$253:$I$273,3,0)),0,VLOOKUP(A14,'Données projet'!$A$253:$I$273,3,0))</f>
        <v>0</v>
      </c>
      <c r="GH14" s="15">
        <f>IF(ISNA(VLOOKUP(A14,'Données projet'!$A$253:$I$273,4,0)),0,VLOOKUP(A14,'Données projet'!$A$253:$I$273,4,0))</f>
        <v>0</v>
      </c>
      <c r="GI14" s="16">
        <f>IF(ISNA(VLOOKUP(A14,'Données projet'!$A$253:$I$273,5,0)),0%,VLOOKUP(A14,'Données projet'!$A$253:$I$273,5,0)*VLOOKUP('Données projet'!$B$17,Paramètres!$A$1:$I$89,7,0))</f>
        <v>0</v>
      </c>
      <c r="GJ14" s="16">
        <f>IF(ISNA(VLOOKUP(A14,'Données projet'!$A$253:$I$273,6,0)),0%,VLOOKUP(A14,'Données projet'!$A$253:$I$273,6,0)*VLOOKUP('Données projet'!$B$17,Paramètres!$A$1:$I$89,7,0))</f>
        <v>0</v>
      </c>
      <c r="GK14" s="16">
        <f>IF(ISNA(VLOOKUP(A14,'Données projet'!$A$253:$I$273,7,0)),0%,VLOOKUP(A14,'Données projet'!$A$253:$I$273,7,0))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projet'!$A$279:$I$299,2,0)</f>
        <v>#N/A</v>
      </c>
      <c r="GS14" s="12" t="e">
        <f>VLOOKUP(A14,'Données projet'!$A$279:$I$299,9,0)</f>
        <v>#N/A</v>
      </c>
      <c r="GT14" s="12">
        <f t="array" ref="GT14">INDEX(GS:GS,MIN(IF(ISNUMBER(GS14:GS210),ROW(GS14:GS210),"")))</f>
        <v>4.1333333333333337</v>
      </c>
      <c r="GU14" s="12">
        <f>IF('Données projet'!$A$280&gt;35,GU13+GT14-HC13,IF(A14&lt;'Données projet'!$A$280,$GR$205^A14,IF(A14='Données projet'!$A$280,'Données projet'!$B$280,GU13+GT14-HC13)))</f>
        <v>20.626264010485261</v>
      </c>
      <c r="GV14" s="17">
        <f>GU14*VLOOKUP('Données projet'!$B$18,Paramètres!$A$1:$I$89,3,0)*VLOOKUP('Données projet'!$B$18,Paramètres!$A$1:$I$89,5,0)</f>
        <v>8.3123843962255606</v>
      </c>
      <c r="GW14" s="13">
        <f t="shared" si="81"/>
        <v>2.9937919847721424</v>
      </c>
      <c r="GX14" s="20">
        <f t="shared" si="28"/>
        <v>19.691590530237665</v>
      </c>
      <c r="GY14" s="59">
        <f t="shared" si="29"/>
        <v>313.02492386357096</v>
      </c>
      <c r="GZ14" s="59">
        <f ca="1">AVERAGE(OFFSET($GY$3,0,0,'Données projet'!$E$18+1,1))-AVERAGE(OFFSET($H$3,0,0,'Données projet'!$E$18+1,1))</f>
        <v>324.36162935850876</v>
      </c>
      <c r="HA14" s="59">
        <f t="shared" si="82"/>
        <v>265.23571072429735</v>
      </c>
      <c r="HB14" s="15">
        <f>IF(ISNA(VLOOKUP(A14,'Données projet'!$A$279:$I$299,3,0)),0,VLOOKUP(A14,'Données projet'!$A$279:$I$299,3,0))</f>
        <v>0</v>
      </c>
      <c r="HC14" s="15">
        <f>IF(ISNA(VLOOKUP(A14,'Données projet'!$A$279:$I$299,4,0)),0,VLOOKUP(A14,'Données projet'!$A$279:$I$299,4,0))</f>
        <v>0</v>
      </c>
      <c r="HD14" s="16">
        <f>IF(ISNA(VLOOKUP(A14,'Données projet'!$A$279:$I$299,5,0)),0%,VLOOKUP(A14,'Données projet'!$A$279:$I$299,5,0)*VLOOKUP('Données projet'!$B$18,Paramètres!$A$1:$I$89,7,0))</f>
        <v>0</v>
      </c>
      <c r="HE14" s="16">
        <f>IF(ISNA(VLOOKUP(A14,'Données projet'!$A$279:$I$299,6,0)),0%,VLOOKUP(A14,'Données projet'!$A$279:$I$299,6,0)*VLOOKUP('Données projet'!$B$18,Paramètres!$A$1:$I$89,7,0))</f>
        <v>0</v>
      </c>
      <c r="HF14" s="16">
        <f>IF(ISNA(VLOOKUP($A14,'Données projet'!$A$279:$I$299,7,0)),0%,VLOOKUP($A14,'Données projet'!$A$279:$I$299,7,0))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  <c r="HK14" s="74">
        <f>('Scénario référence'!$F$8+'Scénario référence'!$F$9+'Scénario référence'!$B$17+'Scénario référence'!$B$9+'Scénario référence'!$B$10)*70+IF((45+25*(1-EXP(-0.0175*$A14)))&lt;70,'Scénario référence'!$B$16*(45+25*(1-EXP(-0.0175*$A14))),70*'Scénario référence'!$B$16)+IF((32+38*(1-EXP(-0.0175*$A14)))&lt;70,'Scénario référence'!$B$18*(32+38*(1-EXP(-0.0175*$A14))),70*'Scénario référence'!$B$18)</f>
        <v>70</v>
      </c>
      <c r="HL14" s="12">
        <f>IF($A14&gt;30,10,('Scénario référence'!$B$16+'Scénario référence'!$B$17+'Scénario référence'!$B$18+'Scénario référence'!$B$9+'Scénario référence'!$B$10)*$A14*10/30+('Scénario référence'!$F$8+'Scénario référence'!$F$9)*10)</f>
        <v>10</v>
      </c>
      <c r="HM14" s="12">
        <f>VLOOKUP($A14,'Données projet'!$A$304:$I$324,2,0)</f>
        <v>87.101282051282055</v>
      </c>
      <c r="HN14" s="12">
        <f>VLOOKUP($A14,'Données projet'!$A$304:$I$324,9,0)</f>
        <v>15.728205128205161</v>
      </c>
      <c r="HO14" s="12">
        <f t="array" ref="HO14">INDEX(HN:HN,MIN(IF(ISNUMBER(HN14:HN210),ROW(HN14:HN210),"")))</f>
        <v>15.728205128205161</v>
      </c>
      <c r="HP14" s="12">
        <f>IF('Données projet'!$A$304&gt;35,HP13+HO14-HX13,IF($A14&lt;'Données projet'!$A$304,$CQ$205^$A14,IF($A14='Données projet'!$A$304,'Données projet'!$B$304,HP13+HO14-HX13)))</f>
        <v>87.101282051282055</v>
      </c>
      <c r="HQ14" s="17">
        <f>HP14*VLOOKUP('Données projet'!$B$19,Paramètres!$A$1:$I$89,3,0)*VLOOKUP('Données projet'!$B$19,Paramètres!$A$1:$I$89,5,0)</f>
        <v>44.296228000000006</v>
      </c>
      <c r="HR14" s="13">
        <f t="shared" si="83"/>
        <v>13.130513832601283</v>
      </c>
      <c r="HS14" s="14">
        <f t="shared" si="31"/>
        <v>100.01824202511391</v>
      </c>
      <c r="HT14" s="59">
        <f t="shared" si="32"/>
        <v>393.35157535844723</v>
      </c>
      <c r="HU14" s="59">
        <f ca="1">AVERAGE(OFFSET(HT$3,0,0,'Données projet'!$E$19+1,1))-AVERAGE(OFFSET($H$3,0,0,'Données projet'!$E$19+1,1))</f>
        <v>91.60721429656013</v>
      </c>
      <c r="HV14" s="59">
        <f t="shared" si="84"/>
        <v>258.94957804210856</v>
      </c>
      <c r="HW14" s="15">
        <f>IF(ISNA(VLOOKUP($A14,'Données projet'!$A$304:$I$324,3,0)),0,VLOOKUP($A14,'Données projet'!$A$304:$I$324,3,0))</f>
        <v>0</v>
      </c>
      <c r="HX14" s="15">
        <f>IF(ISNA(VLOOKUP($A14,'Données projet'!$A$304:$I$324,4,0)),0,VLOOKUP($A14,'Données projet'!$A$304:$I$324,4,0))</f>
        <v>0</v>
      </c>
      <c r="HY14" s="16">
        <f>IF(ISNA(VLOOKUP($A14,'Données projet'!$A$304:$I$324,5,0)),0%,VLOOKUP($A14,'Données projet'!$A$304:$I$324,5,0)*VLOOKUP('Données projet'!$B$19,Paramètres!$A$1:$I$89,7,0))</f>
        <v>0</v>
      </c>
      <c r="HZ14" s="16">
        <f>IF(ISNA(VLOOKUP($A14,'Données projet'!$A$304:$I$324,6,0)),0%,VLOOKUP($A14,'Données projet'!$A$304:$I$324,6,0)*VLOOKUP('Données projet'!$B$19,Paramètres!$A$1:$I$89,7,0))</f>
        <v>0</v>
      </c>
      <c r="IA14" s="16">
        <f>IF(ISNA(VLOOKUP($A14,'Données projet'!$A$304:$I$324,7,0)),0%,VLOOKUP($A14,'Données projet'!$A$304:$I$324,7,0))</f>
        <v>0</v>
      </c>
      <c r="IB14" s="21">
        <f>EXP(-LN(2)/35)*IB13+(1-EXP(-LN(2)/35))/(LN(2)/35)*HX14*HY14*VLOOKUP('Données projet'!$B$19,Paramètres!$A$1:$I$89,3,0)*0.475*44/12</f>
        <v>0</v>
      </c>
      <c r="IC14" s="21">
        <f>EXP(-LN(2)/25)*IC13+(1-EXP(-LN(2)/25))/(LN(2)/25)*Calculateur!HX14*Calculateur!HZ14*VLOOKUP('Données projet'!$B$19,Paramètres!$A$1:$I$89,3,0)*0.475*44/12</f>
        <v>0</v>
      </c>
      <c r="ID14" s="21">
        <f>EXP(-LN(2)/2)*ID13+(1-EXP(-LN(2)/2))/(LN(2)/2)*HX14*IA14*VLOOKUP('Données projet'!$B$19,Paramètres!$A$1:$I$89,3,0)*0.475*44/12</f>
        <v>0</v>
      </c>
      <c r="IE14" s="22">
        <f t="shared" si="33"/>
        <v>0</v>
      </c>
      <c r="IF14" s="74">
        <f>('Scénario référence'!$F$8+'Scénario référence'!$F$9+'Scénario référence'!$B$17+'Scénario référence'!$B$9+'Scénario référence'!$B$10)*70+IF((45+25*(1-EXP(-0.0175*$A14)))&lt;70,'Scénario référence'!$B$16*(45+25*(1-EXP(-0.0175*$A14))),70*'Scénario référence'!$B$16)+IF((32+38*(1-EXP(-0.0175*$A14)))&lt;70,'Scénario référence'!$B$18*(32+38*(1-EXP(-0.0175*$A14))),70*'Scénario référence'!$B$18)</f>
        <v>70</v>
      </c>
      <c r="IG14" s="12">
        <f>IF($A14&gt;30,10,('Scénario référence'!$B$16+'Scénario référence'!$B$17+'Scénario référence'!$B$18+'Scénario référence'!$B$9+'Scénario référence'!$B$10)*$A14*10/30+('Scénario référence'!$F$8+'Scénario référence'!$F$9)*10)</f>
        <v>10</v>
      </c>
      <c r="IH14" s="12">
        <f>VLOOKUP($A14,'Données projet'!$A$330:$I$350,2,0)</f>
        <v>87.101282051282055</v>
      </c>
      <c r="II14" s="12">
        <f>VLOOKUP($A14,'Données projet'!$A$330:$I$350,9,0)</f>
        <v>15.728205128205161</v>
      </c>
      <c r="IJ14" s="12">
        <f t="array" ref="IJ14">INDEX(II:II,MIN(IF(ISNUMBER(II14:II210),ROW(II14:II210),"")))</f>
        <v>15.728205128205161</v>
      </c>
      <c r="IK14" s="12">
        <f>IF('Données projet'!$A$330&gt;35,IK13+IJ14-IS13,IF($A14&lt;'Données projet'!$A$330,$CQ$205^$A14,IF($A14='Données projet'!$A$330,'Données projet'!$B$330,IK13+IJ14-IS13)))</f>
        <v>87.101282051282055</v>
      </c>
      <c r="IL14" s="17">
        <f>IK14*VLOOKUP('Données projet'!$B$20,Paramètres!$A$1:$I$89,3,0)*VLOOKUP('Données projet'!$B$20,Paramètres!$A$1:$I$89,5,0)</f>
        <v>44.296228000000006</v>
      </c>
      <c r="IM14" s="13">
        <f t="shared" si="85"/>
        <v>13.130513832601283</v>
      </c>
      <c r="IN14" s="20">
        <f t="shared" si="86"/>
        <v>100.01824202511391</v>
      </c>
      <c r="IO14" s="59">
        <f t="shared" si="87"/>
        <v>393.35157535844723</v>
      </c>
      <c r="IP14" s="59">
        <f ca="1">AVERAGE(OFFSET(IO$3,0,0,'Données projet'!$E$20+1,1))-AVERAGE(OFFSET($H$3,0,0,'Données projet'!$E$20+1,1))</f>
        <v>91.60721429656013</v>
      </c>
      <c r="IQ14" s="59">
        <f t="shared" si="88"/>
        <v>258.94957804210856</v>
      </c>
      <c r="IR14" s="15">
        <f>IF(ISNA(VLOOKUP($A14,'Données projet'!$A$330:$I$350,3,0)),0,VLOOKUP($A14,'Données projet'!$A$330:$I$350,3,0))</f>
        <v>0</v>
      </c>
      <c r="IS14" s="15">
        <f>IF(ISNA(VLOOKUP($A14,'Données projet'!$A$330:$I$350,4,0)),0,VLOOKUP($A14,'Données projet'!$A$330:$I$350,4,0))</f>
        <v>0</v>
      </c>
      <c r="IT14" s="16">
        <f>IF(ISNA(VLOOKUP($A14,'Données projet'!$A$330:$I$350,5,0)),0%,VLOOKUP($A14,'Données projet'!$A$330:$I$350,5,0)*VLOOKUP('Données projet'!$B$20,Paramètres!$A$1:$I$89,7,0))</f>
        <v>0</v>
      </c>
      <c r="IU14" s="16">
        <f>IF(ISNA(VLOOKUP($A14,'Données projet'!$A$330:$I$350,6,0)),0%,VLOOKUP($A14,'Données projet'!$A$330:$I$350,6,0)*VLOOKUP('Données projet'!$B$20,Paramètres!$A$1:$I$89,7,0))</f>
        <v>0</v>
      </c>
      <c r="IV14" s="16">
        <f>IF(ISNA(VLOOKUP($A14,'Données projet'!$A$330:$I$350,7,0)),0%,VLOOKUP($A14,'Données projet'!$A$330:$I$350,7,0))</f>
        <v>0</v>
      </c>
      <c r="IW14" s="21">
        <f>EXP(-LN(2)/35)*IW13+(1-EXP(-LN(2)/35))/(LN(2)/35)*IS14*IT14*VLOOKUP('Données projet'!$B$20,Paramètres!$A$1:$I$89,3,0)*0.475*44/12</f>
        <v>0</v>
      </c>
      <c r="IX14" s="21">
        <f>EXP(-LN(2)/25)*IX13+(1-EXP(-LN(2)/25))/(LN(2)/25)*Calculateur!IS14*Calculateur!IU14*VLOOKUP('Données projet'!$B$20,Paramètres!$A$1:$I$89,3,0)*0.475*44/12</f>
        <v>0</v>
      </c>
      <c r="IY14" s="21">
        <f>EXP(-LN(2)/2)*IY13+(1-EXP(-LN(2)/2))/(LN(2)/2)*IS14*IV14*VLOOKUP('Données projet'!$B$20,Paramètres!$A$1:$I$89,3,0)*0.475*44/12</f>
        <v>0</v>
      </c>
      <c r="IZ14" s="22">
        <f t="shared" si="89"/>
        <v>0</v>
      </c>
      <c r="JA14" s="74">
        <f>('Scénario référence'!$F$8+'Scénario référence'!$F$9+'Scénario référence'!$B$17+'Scénario référence'!$B$9+'Scénario référence'!$B$10)*70+IF((45+25*(1-EXP(-0.0175*$A14)))&lt;70,'Scénario référence'!$B$16*(45+25*(1-EXP(-0.0175*$A14))),70*'Scénario référence'!$B$16)+IF((32+38*(1-EXP(-0.0175*$A14)))&lt;70,'Scénario référence'!$B$18*(32+38*(1-EXP(-0.0175*$A14))),70*'Scénario référence'!$B$18)</f>
        <v>70</v>
      </c>
      <c r="JB14" s="12">
        <f>IF($A14&gt;30,10,('Scénario référence'!$B$16+'Scénario référence'!$B$17+'Scénario référence'!$B$18+'Scénario référence'!$B$9+'Scénario référence'!$B$10)*$A14*10/30+('Scénario référence'!$F$8+'Scénario référence'!$F$9)*10)</f>
        <v>10</v>
      </c>
      <c r="JC14" s="12" t="e">
        <f>VLOOKUP($A14,'Données projet'!$A$356:$I$376,2,0)</f>
        <v>#N/A</v>
      </c>
      <c r="JD14" s="12" t="e">
        <f>VLOOKUP($A14,'Données projet'!$A$356:$I$376,9,0)</f>
        <v>#N/A</v>
      </c>
      <c r="JE14" s="12">
        <f t="array" ref="JE14">INDEX(JD:JD,MIN(IF(ISNUMBER(JD14:JD210),ROW(JD14:JD210),"")))</f>
        <v>3.04</v>
      </c>
      <c r="JF14" s="12">
        <f>IF('Données projet'!$A$356&gt;35,JF13+JE14-JN13,IF($A14&lt;'Données projet'!$A$356,$CQ$205^$A14,IF($A14='Données projet'!$A$356,'Données projet'!$B$356,JF13+JE14-JN13)))</f>
        <v>33.44</v>
      </c>
      <c r="JG14" s="17">
        <f>JF14*VLOOKUP('Données projet'!$B$21,Paramètres!$A$1:$I$89,3,0)*VLOOKUP('Données projet'!$B$21,Paramètres!$A$1:$I$89,5,0)</f>
        <v>27.126528</v>
      </c>
      <c r="JH14" s="13">
        <f t="shared" si="90"/>
        <v>8.5133245373440136</v>
      </c>
      <c r="JI14" s="20">
        <f t="shared" si="91"/>
        <v>62.072743169207484</v>
      </c>
      <c r="JJ14" s="59">
        <f t="shared" si="92"/>
        <v>355.40607650254083</v>
      </c>
      <c r="JK14" s="59">
        <f ca="1">AVERAGE(OFFSET($JJ$3,0,0,'Données projet'!$E$22+1,1))-AVERAGE(OFFSET($H$3,0,0,'Données projet'!$E$22+1,1))</f>
        <v>353.35574633294613</v>
      </c>
      <c r="JL14" s="59">
        <f t="shared" si="93"/>
        <v>170.36796666474726</v>
      </c>
      <c r="JM14" s="15">
        <f>IF(ISNA(VLOOKUP($A14,'Données projet'!$A$356:$I$376,3,0)),0,VLOOKUP($A14,'Données projet'!$A$356:$I$376,3,0))</f>
        <v>0</v>
      </c>
      <c r="JN14" s="15">
        <f>IF(ISNA(VLOOKUP($A14,'Données projet'!$A$356:$I$376,4,0)),0,VLOOKUP($A14,'Données projet'!$A$356:$I$376,4,0))</f>
        <v>0</v>
      </c>
      <c r="JO14" s="16">
        <f>IF(ISNA(VLOOKUP($A14,'Données projet'!$A$356:$I$376,5,0)),0%,VLOOKUP($A14,'Données projet'!$A$356:$I$376,5,0)*VLOOKUP('Données projet'!$B$21,Paramètres!$A$1:$I$89,7,0))</f>
        <v>0</v>
      </c>
      <c r="JP14" s="16">
        <f>IF(ISNA(VLOOKUP($A14,'Données projet'!$A$356:$I$376,6,0)),0%,VLOOKUP($A14,'Données projet'!$A$356:$I$376,6,0)*VLOOKUP('Données projet'!$B$21,Paramètres!$A$1:$I$89,7,0))</f>
        <v>0</v>
      </c>
      <c r="JQ14" s="16">
        <f>IF(ISNA(VLOOKUP($A14,'Données projet'!$A$356:$I$376,7,0)),0%,VLOOKUP($A14,'Données projet'!$A$356:$I$376,7,0))</f>
        <v>0</v>
      </c>
      <c r="JR14" s="21">
        <f>EXP(-LN(2)/35)*JR13+(1-EXP(-LN(2)/35))/(LN(2)/35)*JN14*JO14*VLOOKUP('Données projet'!$B$21,Paramètres!$A$1:$I$89,3,0)*0.475*44/12</f>
        <v>0</v>
      </c>
      <c r="JS14" s="21">
        <f>EXP(-LN(2)/25)*JS13+(1-EXP(-LN(2)/25))/(LN(2)/25)*Calculateur!JN14*Calculateur!JP14*VLOOKUP('Données projet'!$B$21,Paramètres!$A$1:$I$89,3,0)*0.475*44/12</f>
        <v>0</v>
      </c>
      <c r="JT14" s="21">
        <f>EXP(-LN(2)/2)*JT13+(1-EXP(-LN(2)/2))/(LN(2)/2)*JN14*JQ14*VLOOKUP('Données projet'!$B$21,Paramètres!$A$1:$I$89,3,0)*0.475*44/12</f>
        <v>0</v>
      </c>
      <c r="JU14" s="18">
        <f t="shared" si="39"/>
        <v>0</v>
      </c>
      <c r="JV14" s="74">
        <f>('Scénario référence'!$F$8+'Scénario référence'!$F$9+'Scénario référence'!$B$17+'Scénario référence'!$B$9+'Scénario référence'!$B$10)*70+IF((45+25*(1-EXP(-0.0175*$A14)))&lt;70,'Scénario référence'!$B$16*(45+25*(1-EXP(-0.0175*$A14))),70*'Scénario référence'!$B$16)+IF((32+38*(1-EXP(-0.0175*$A14)))&lt;70,'Scénario référence'!$B$18*(32+38*(1-EXP(-0.0175*$A14))),70*'Scénario référence'!$B$18)</f>
        <v>70</v>
      </c>
      <c r="JW14" s="12">
        <f>IF($A14&gt;30,10,('Scénario référence'!$B$16+'Scénario référence'!$B$17+'Scénario référence'!$B$18+'Scénario référence'!$B$9+'Scénario référence'!$B$10)*$A14*10/30+('Scénario référence'!$F$8+'Scénario référence'!$F$9)*10)</f>
        <v>10</v>
      </c>
      <c r="JX14" s="12" t="e">
        <f>VLOOKUP($A14,'Données projet'!$A$382:$I$402,2,0)</f>
        <v>#N/A</v>
      </c>
      <c r="JY14" s="12" t="e">
        <f>VLOOKUP($A14,'Données projet'!$A$382:$I$402,9,0)</f>
        <v>#N/A</v>
      </c>
      <c r="JZ14" s="12">
        <f t="array" ref="JZ14">INDEX(JY:JY,MIN(IF(ISNUMBER(JY14:JY210),ROW(JY14:JY210),"")))</f>
        <v>4.0628205128205126</v>
      </c>
      <c r="KA14" s="12">
        <f>IF('Données projet'!$A$382&gt;35,KA13+JZ14-KI13,IF($A14&lt;'Données projet'!$A$382,$CQ$205^$A14,IF($A14='Données projet'!$A$382,'Données projet'!$B$382,KA13+JZ14-KI13)))</f>
        <v>44.691025641025647</v>
      </c>
      <c r="KB14" s="17">
        <f>KA14*VLOOKUP('Données projet'!$B$22,Paramètres!$A$1:$I$89,3,0)*VLOOKUP('Données projet'!$B$22,Paramètres!$A$1:$I$89,5,0)</f>
        <v>29.978740000000002</v>
      </c>
      <c r="KC14" s="13">
        <f t="shared" si="94"/>
        <v>9.2996020283165439</v>
      </c>
      <c r="KD14" s="20">
        <f t="shared" si="95"/>
        <v>68.409779032651315</v>
      </c>
      <c r="KE14" s="59">
        <f t="shared" si="96"/>
        <v>361.74311236598464</v>
      </c>
      <c r="KF14" s="59">
        <f ca="1">AVERAGE(OFFSET($KE$3,0,0,'Données projet'!$E$22+1,1))-AVERAGE(OFFSET($H$3,0,0,'Données projet'!$E$22+1,1))</f>
        <v>193.91714772848269</v>
      </c>
      <c r="KG14" s="59">
        <f t="shared" si="97"/>
        <v>159.20429420478047</v>
      </c>
      <c r="KH14" s="15">
        <f>IF(ISNA(VLOOKUP($A14,'Données projet'!$A$382:$I$402,3,0)),0,VLOOKUP($A14,'Données projet'!$A$382:$I$402,3,0))</f>
        <v>0</v>
      </c>
      <c r="KI14" s="15">
        <f>IF(ISNA(VLOOKUP($A14,'Données projet'!$A$382:$I$402,4,0)),0,VLOOKUP($A14,'Données projet'!$A$382:$I$402,4,0))</f>
        <v>0</v>
      </c>
      <c r="KJ14" s="16">
        <f>IF(ISNA(VLOOKUP($A14,'Données projet'!$A$382:$I$402,5,0)),0%,VLOOKUP($A14,'Données projet'!$A$382:$I$402,5,0)*VLOOKUP('Données projet'!$B$22,Paramètres!$A$1:$I$89,7,0))</f>
        <v>0</v>
      </c>
      <c r="KK14" s="16">
        <f>IF(ISNA(VLOOKUP($A14,'Données projet'!$A$382:$I$402,6,0)),0%,VLOOKUP($A14,'Données projet'!$A$382:$I$402,6,0)*VLOOKUP('Données projet'!$B$22,Paramètres!$A$1:$I$89,7,0))</f>
        <v>0</v>
      </c>
      <c r="KL14" s="16">
        <f>IF(ISNA(VLOOKUP($A14,'Données projet'!$A$382:$I$402,7,0)),0%,VLOOKUP($A14,'Données projet'!$A$382:$I$402,7,0))</f>
        <v>0</v>
      </c>
      <c r="KM14" s="21">
        <f>EXP(-LN(2)/35)*KM13+(1-EXP(-LN(2)/35))/(LN(2)/35)*KI14*KJ14*VLOOKUP('Données projet'!$B$22,Paramètres!$A$1:$I$89,3,0)*0.475*44/12</f>
        <v>0</v>
      </c>
      <c r="KN14" s="21">
        <f>EXP(-LN(2)/25)*KN13+(1-EXP(-LN(2)/25))/(LN(2)/25)*Calculateur!KI14*Calculateur!KK14*VLOOKUP('Données projet'!$B$22,Paramètres!$A$1:$I$89,3,0)*0.475*44/12</f>
        <v>0</v>
      </c>
      <c r="KO14" s="21">
        <f>EXP(-LN(2)/2)*KO13+(1-EXP(-LN(2)/2))/(LN(2)/2)*KI14*KL14*VLOOKUP('Données projet'!$B$22,Paramètres!$A$1:$I$89,3,0)*0.475*44/12</f>
        <v>0</v>
      </c>
      <c r="KP14" s="22">
        <f t="shared" si="98"/>
        <v>0</v>
      </c>
      <c r="KQ14" s="74">
        <f>('Scénario référence'!$F$8+'Scénario référence'!$F$9+'Scénario référence'!$B$17+'Scénario référence'!$B$9+'Scénario référence'!$B$10)*70+IF((45+25*(1-EXP(-0.0175*$A14)))&lt;70,'Scénario référence'!$B$16*(45+25*(1-EXP(-0.0175*$A14))),70*'Scénario référence'!$B$16)+IF((32+38*(1-EXP(-0.0175*$A14)))&lt;70,'Scénario référence'!$B$18*(32+38*(1-EXP(-0.0175*$A14))),70*'Scénario référence'!$B$18)</f>
        <v>70</v>
      </c>
      <c r="KR14" s="12">
        <f>IF($A14&gt;30,10,('Scénario référence'!$B$16+'Scénario référence'!$B$17+'Scénario référence'!$B$18+'Scénario référence'!$B$9+'Scénario référence'!$B$10)*$A14*10/30+('Scénario référence'!$F$8+'Scénario référence'!$F$9)*10)</f>
        <v>10</v>
      </c>
      <c r="KS14" s="12" t="e">
        <f>VLOOKUP($A14,'Données projet'!$A$408:$I$428,2,0)</f>
        <v>#N/A</v>
      </c>
      <c r="KT14" s="12" t="e">
        <f>VLOOKUP($A14,'Données projet'!$A$408:$I$428,9,0)</f>
        <v>#N/A</v>
      </c>
      <c r="KU14" s="12">
        <f t="array" ref="KU14">INDEX(KT:KT,MIN(IF(ISNUMBER(KT14:KT210),ROW(KT14:KT210),"")))</f>
        <v>2.4666666666666668</v>
      </c>
      <c r="KV14" s="12">
        <f>IF('Données projet'!$A$408&gt;35,KV13+KU14-LD13,IF($A14&lt;'Données projet'!$A$408,$CQ$205^$A14,IF($A14='Données projet'!$A$408,'Données projet'!$B$408,KV13+KU14-LD13)))</f>
        <v>27.13333333333334</v>
      </c>
      <c r="KW14" s="17">
        <f>KV14*VLOOKUP('Données projet'!$B$23,Paramètres!$A$1:$I$89,3,0)*VLOOKUP('Données projet'!$B$23,Paramètres!$A$1:$I$89,5,0)</f>
        <v>23.703680000000009</v>
      </c>
      <c r="KX14" s="13">
        <f t="shared" si="99"/>
        <v>7.5568235928543164</v>
      </c>
      <c r="KY14" s="14">
        <f t="shared" si="43"/>
        <v>54.445377090887952</v>
      </c>
      <c r="KZ14" s="59">
        <f t="shared" si="44"/>
        <v>347.77871042422129</v>
      </c>
      <c r="LA14" s="59">
        <f ca="1">AVERAGE(OFFSET($KZ$3,0,0,'Données projet'!$E$23+1,1))-AVERAGE(OFFSET($H$3,0,0,'Données projet'!$E$23+1,1))</f>
        <v>248.33596943633819</v>
      </c>
      <c r="LB14" s="59">
        <f t="shared" si="100"/>
        <v>242.34010522344573</v>
      </c>
      <c r="LC14" s="15">
        <f>IF(ISNA(VLOOKUP($A14,'Données projet'!$A$408:$I$428,3,0)),0,VLOOKUP($A14,'Données projet'!$A$408:$I$428,3,0))</f>
        <v>0</v>
      </c>
      <c r="LD14" s="15">
        <f>IF(ISNA(VLOOKUP($A14,'Données projet'!$A$408:$I$428,4,0)),0,VLOOKUP($A14,'Données projet'!$A$408:$I$428,4,0))</f>
        <v>0</v>
      </c>
      <c r="LE14" s="16">
        <f>IF(ISNA(VLOOKUP($A14,'Données projet'!$A$408:$I$428,5,0)),0%,VLOOKUP($A14,'Données projet'!$A$408:$I$428,5,0)*VLOOKUP('Données projet'!$B$23,Paramètres!$A$1:$I$89,7,0))</f>
        <v>0</v>
      </c>
      <c r="LF14" s="16">
        <f>IF(ISNA(VLOOKUP($A14,'Données projet'!$A$408:$I$428,6,0)),0%,VLOOKUP($A14,'Données projet'!$A$408:$I$428,6,0)*VLOOKUP('Données projet'!$B$23,Paramètres!$A$1:$I$89,7,0))</f>
        <v>0</v>
      </c>
      <c r="LG14" s="16">
        <f>IF(ISNA(VLOOKUP($A14,'Données projet'!$A$408:$I$428,7,0)),0%,VLOOKUP($A14,'Données projet'!$A$408:$I$428,7,0))</f>
        <v>0</v>
      </c>
      <c r="LH14" s="21">
        <f>EXP(-LN(2)/35)*LH13+(1-EXP(-LN(2)/35))/(LN(2)/35)*LD14*LE14*VLOOKUP('Données projet'!$B$23,Paramètres!$A$1:$I$89,3,0)*0.475*44/12</f>
        <v>0</v>
      </c>
      <c r="LI14" s="21">
        <f>EXP(-LN(2)/25)*LI13+(1-EXP(-LN(2)/25))/(LN(2)/25)*Calculateur!LD14*Calculateur!LF14*VLOOKUP('Données projet'!$B$23,Paramètres!$A$1:$I$89,3,0)*0.475*44/12</f>
        <v>0</v>
      </c>
      <c r="LJ14" s="21">
        <f>EXP(-LN(2)/2)*LJ13+(1-EXP(-LN(2)/2))/(LN(2)/2)*LD14*LG14*VLOOKUP('Données projet'!$B$23,Paramètres!$A$1:$I$89,3,0)*0.475*44/12</f>
        <v>0</v>
      </c>
      <c r="LK14" s="22">
        <f t="shared" si="101"/>
        <v>0</v>
      </c>
      <c r="LL14" s="74">
        <f>('Scénario référence'!$F$8+'Scénario référence'!$F$9+'Scénario référence'!$B$17+'Scénario référence'!$B$9+'Scénario référence'!$B$10)*70+IF((45+25*(1-EXP(-0.0175*$A14)))&lt;70,'Scénario référence'!$B$16*(45+25*(1-EXP(-0.0175*$A14))),70*'Scénario référence'!$B$16)+IF((32+38*(1-EXP(-0.0175*$A14)))&lt;70,'Scénario référence'!$B$18*(32+38*(1-EXP(-0.0175*$A14))),70*'Scénario référence'!$B$18)</f>
        <v>70</v>
      </c>
      <c r="LM14" s="12">
        <f>IF($A14&gt;30,10,('Scénario référence'!$B$16+'Scénario référence'!$B$17+'Scénario référence'!$B$18+'Scénario référence'!$B$9+'Scénario référence'!$B$10)*$A14*10/30+('Scénario référence'!$F$8+'Scénario référence'!$F$9)*10)</f>
        <v>10</v>
      </c>
      <c r="LN14" s="12" t="e">
        <f>VLOOKUP($A14,'Données projet'!$A$434:$I$454,2,0)</f>
        <v>#N/A</v>
      </c>
      <c r="LO14" s="12" t="e">
        <f>VLOOKUP($A14,'Données projet'!$A$434:$I$454,9,0)</f>
        <v>#N/A</v>
      </c>
      <c r="LP14" s="12">
        <f t="array" ref="LP14">INDEX(LO:LO,MIN(IF(ISNUMBER(LO14:LO210),ROW(LO14:LO210),"")))</f>
        <v>2.9235042735042733</v>
      </c>
      <c r="LQ14" s="12">
        <f>IF('Données projet'!$A$434&gt;35,LQ13+LP14-LY13,IF($A14&lt;'Données projet'!$A$434,$CQ$205^$A14,IF($A14='Données projet'!$A$434,'Données projet'!$B$434,LQ13+LP14-LY13)))</f>
        <v>32.158547008547011</v>
      </c>
      <c r="LR14" s="17">
        <f>LQ14*VLOOKUP('Données projet'!$B$24,Paramètres!$A$1:$I$89,3,0)*VLOOKUP('Données projet'!$B$24,Paramètres!$A$1:$I$89,5,0)</f>
        <v>32.608766666666668</v>
      </c>
      <c r="LS14" s="13">
        <f t="shared" si="102"/>
        <v>10.016922576381408</v>
      </c>
      <c r="LT14" s="14">
        <f t="shared" si="46"/>
        <v>74.239742098308724</v>
      </c>
      <c r="LU14" s="59">
        <f t="shared" si="103"/>
        <v>367.57307543164205</v>
      </c>
      <c r="LV14" s="59">
        <f ca="1">AVERAGE(OFFSET($LU$3,0,0,'Données projet'!$E$24+1,1))-AVERAGE(OFFSET($H$3,0,0,'Données projet'!$E$24+1,1))</f>
        <v>260.52627655062872</v>
      </c>
      <c r="LW14" s="59">
        <f t="shared" si="104"/>
        <v>159.20429420478047</v>
      </c>
      <c r="LX14" s="15">
        <f>IF(ISNA(VLOOKUP($A14,'Données projet'!$A$434:$I$454,3,0)),0,VLOOKUP($A14,'Données projet'!$A$434:$I$454,3,0))</f>
        <v>0</v>
      </c>
      <c r="LY14" s="15">
        <f>IF(ISNA(VLOOKUP($A14,'Données projet'!$A$434:$I$454,4,0)),0,VLOOKUP($A14,'Données projet'!$A$434:$I$454,4,0))</f>
        <v>0</v>
      </c>
      <c r="LZ14" s="16">
        <f>IF(ISNA(VLOOKUP($A14,'Données projet'!$A$434:$I$454,5,0)),0%,VLOOKUP($A14,'Données projet'!$A$434:$I$454,5,0)*VLOOKUP('Données projet'!$B$24,Paramètres!$A$1:$I$89,7,0))</f>
        <v>0</v>
      </c>
      <c r="MA14" s="16">
        <f>IF(ISNA(VLOOKUP($A14,'Données projet'!$A$434:$I$454,6,0)),0%,VLOOKUP($A14,'Données projet'!$A$434:$I$454,6,0)*VLOOKUP('Données projet'!$B$24,Paramètres!$A$1:$I$89,7,0))</f>
        <v>0</v>
      </c>
      <c r="MB14" s="16">
        <f>IF(ISNA(VLOOKUP($A14,'Données projet'!$A$434:$I$454,7,0)),0%,VLOOKUP($A14,'Données projet'!$A$434:$I$454,7,0))</f>
        <v>0</v>
      </c>
      <c r="MC14" s="21">
        <f>EXP(-LN(2)/35)*MC13+(1-EXP(-LN(2)/35))/(LN(2)/35)*LY14*LZ14*VLOOKUP('Données projet'!$B$24,Paramètres!$A$1:$I$89,3,0)*0.475*44/12</f>
        <v>0</v>
      </c>
      <c r="MD14" s="21">
        <f>EXP(-LN(2)/25)*MD13+(1-EXP(-LN(2)/25))/(LN(2)/25)*Calculateur!LY14*Calculateur!MA14*VLOOKUP('Données projet'!$B$24,Paramètres!$A$1:$I$89,3,0)*0.475*44/12</f>
        <v>0</v>
      </c>
      <c r="ME14" s="21">
        <f>EXP(-LN(2)/2)*ME13+(1-EXP(-LN(2)/2))/(LN(2)/2)*LY14*MB14*VLOOKUP('Données projet'!$B$24,Paramètres!$A$1:$I$89,3,0)*0.475*44/12</f>
        <v>0</v>
      </c>
      <c r="MF14" s="22">
        <f t="shared" si="105"/>
        <v>0</v>
      </c>
      <c r="MG14" s="74">
        <f>('Scénario référence'!$F$8+'Scénario référence'!$F$9+'Scénario référence'!$B$17+'Scénario référence'!$B$9+'Scénario référence'!$B$10)*70+IF((45+25*(1-EXP(-0.0175*$A14)))&lt;70,'Scénario référence'!$B$16*(45+25*(1-EXP(-0.0175*$A14))),70*'Scénario référence'!$B$16)+IF((32+38*(1-EXP(-0.0175*$A14)))&lt;70,'Scénario référence'!$B$18*(32+38*(1-EXP(-0.0175*$A14))),70*'Scénario référence'!$B$18)</f>
        <v>70</v>
      </c>
      <c r="MH14" s="12">
        <f>IF($A14&gt;30,10,('Scénario référence'!$B$16+'Scénario référence'!$B$17+'Scénario référence'!$B$18+'Scénario référence'!$B$9+'Scénario référence'!$B$10)*$A14*10/30+('Scénario référence'!$F$8+'Scénario référence'!$F$9)*10)</f>
        <v>10</v>
      </c>
      <c r="MI14" s="12" t="e">
        <f>VLOOKUP($A14,'Données projet'!$A$460:$I$480,2,0)</f>
        <v>#N/A</v>
      </c>
      <c r="MJ14" s="12" t="e">
        <f>VLOOKUP($A14,'Données projet'!$A$460:$I$480,9,0)</f>
        <v>#N/A</v>
      </c>
      <c r="MK14" s="12">
        <f t="array" ref="MK14">INDEX(MJ:MJ,MIN(IF(ISNUMBER(MJ14:MJ210),ROW(MJ14:MJ210),"")))</f>
        <v>0</v>
      </c>
      <c r="ML14" s="12">
        <f>IF('Données projet'!$A$460&gt;35,ML13+MK14-MT13,IF($A14&lt;'Données projet'!$A$460,$CQ$205^$A14,IF($A14='Données projet'!$A$460,'Données projet'!$B$460,ML13+MK14-MT13)))</f>
        <v>0</v>
      </c>
      <c r="MM14" s="17" t="e">
        <f>ML14*VLOOKUP('Données projet'!$B$25,Paramètres!$A$1:$I$89,3,0)*VLOOKUP('Données projet'!$B$25,Paramètres!$A$1:$I$89,5,0)</f>
        <v>#N/A</v>
      </c>
      <c r="MN14" s="13" t="e">
        <f t="shared" si="106"/>
        <v>#N/A</v>
      </c>
      <c r="MO14" s="14" t="e">
        <f t="shared" si="49"/>
        <v>#N/A</v>
      </c>
      <c r="MP14" s="59" t="e">
        <f t="shared" si="50"/>
        <v>#N/A</v>
      </c>
      <c r="MQ14" s="20" t="e">
        <f ca="1">AVERAGE(OFFSET($MP$3,0,0,'Données projet'!$E$25+1,1))-AVERAGE(OFFSET($H$3,0,0,'Données projet'!$E$25+1,1))</f>
        <v>#N/A</v>
      </c>
      <c r="MR14" s="59" t="e">
        <f t="shared" si="107"/>
        <v>#N/A</v>
      </c>
      <c r="MS14" s="15">
        <f>IF(ISNA(VLOOKUP($A14,'Données projet'!$A$460:$I$480,3,0)),0,VLOOKUP($A14,'Données projet'!$A$460:$I$480,3,0))</f>
        <v>0</v>
      </c>
      <c r="MT14" s="15">
        <f>IF(ISNA(VLOOKUP($A14,'Données projet'!$A$460:$I$480,4,0)),0,VLOOKUP($A14,'Données projet'!$A$460:$I$480,4,0))</f>
        <v>0</v>
      </c>
      <c r="MU14" s="16">
        <f>IF(ISNA(VLOOKUP($A14,'Données projet'!$A$460:$I$480,5,0)),0%,VLOOKUP($A14,'Données projet'!$A$460:$I$480,5,0)*VLOOKUP('Données projet'!$B$25,Paramètres!$A$1:$I$89,7,0))</f>
        <v>0</v>
      </c>
      <c r="MV14" s="16">
        <f>IF(ISNA(VLOOKUP($A14,'Données projet'!$A$460:$I$480,6,0)),0%,VLOOKUP($A14,'Données projet'!$A$460:$I$480,6,0)*VLOOKUP('Données projet'!$B$25,Paramètres!$A$1:$I$89,7,0))</f>
        <v>0</v>
      </c>
      <c r="MW14" s="16">
        <f>IF(ISNA(VLOOKUP($A14,'Données projet'!$A$460:$I$480,7,0)),0%,VLOOKUP($A14,'Données projet'!$A$460:$I$480,7,0))</f>
        <v>0</v>
      </c>
      <c r="MX14" s="21" t="e">
        <f>EXP(-LN(2)/35)*MX13+(1-EXP(-LN(2)/35))/(LN(2)/35)*MT14*MU14*VLOOKUP('Données projet'!$B$25,Paramètres!$A$1:$I$89,3,0)*0.475*44/12</f>
        <v>#N/A</v>
      </c>
      <c r="MY14" s="21" t="e">
        <f>EXP(-LN(2)/25)*MY13+(1-EXP(-LN(2)/25))/(LN(2)/25)*Calculateur!MT14*Calculateur!MV14*VLOOKUP('Données projet'!$B$25,Paramètres!$A$1:$I$89,3,0)*0.475*44/12</f>
        <v>#N/A</v>
      </c>
      <c r="MZ14" s="21" t="e">
        <f>EXP(-LN(2)/2)*MZ13+(1-EXP(-LN(2)/2))/(LN(2)/2)*MT14*MW14*VLOOKUP('Données projet'!$B$25,Paramètres!$A$1:$I$89,3,0)*0.475*44/12</f>
        <v>#N/A</v>
      </c>
      <c r="NA14" s="22" t="e">
        <f t="shared" si="108"/>
        <v>#N/A</v>
      </c>
      <c r="NB14" s="74">
        <f>('Scénario référence'!$F$8+'Scénario référence'!$F$9+'Scénario référence'!$B$17+'Scénario référence'!$B$9+'Scénario référence'!$B$10)*70+IF((45+25*(1-EXP(-0.0175*$A14)))&lt;70,'Scénario référence'!$B$16*(45+25*(1-EXP(-0.0175*$A14))),70*'Scénario référence'!$B$16)+IF((32+38*(1-EXP(-0.0175*$A14)))&lt;70,'Scénario référence'!$B$18*(32+38*(1-EXP(-0.0175*$A14))),70*'Scénario référence'!$B$18)</f>
        <v>70</v>
      </c>
      <c r="NC14" s="12">
        <f>IF($A14&gt;30,10,('Scénario référence'!$B$16+'Scénario référence'!$B$17+'Scénario référence'!$B$18+'Scénario référence'!$B$9+'Scénario référence'!$B$10)*$A14*10/30+('Scénario référence'!$F$8+'Scénario référence'!$F$9)*10)</f>
        <v>10</v>
      </c>
      <c r="ND14" s="12" t="e">
        <f>VLOOKUP($A14,'Données projet'!$A$486:$I$506,2,0)</f>
        <v>#N/A</v>
      </c>
      <c r="NE14" s="12" t="e">
        <f>VLOOKUP($A14,'Données projet'!$A$486:$I$506,9,0)</f>
        <v>#N/A</v>
      </c>
      <c r="NF14" s="12">
        <f t="array" ref="NF14">INDEX(NE:NE,MIN(IF(ISNUMBER(NE14:NE210),ROW(NE14:NE210),"")))</f>
        <v>0</v>
      </c>
      <c r="NG14" s="12">
        <f>IF('Données projet'!$A$486&gt;35,NG13+NF14-NO13,IF($A14&lt;'Données projet'!$A$486,$CQ$205^$A14,IF($A14='Données projet'!$A$486,'Données projet'!$B$486,NG13+NF14-NO13)))</f>
        <v>0</v>
      </c>
      <c r="NH14" s="17" t="e">
        <f>NG14*VLOOKUP('Données projet'!$B$26,Paramètres!$A$1:$I$89,3,0)*VLOOKUP('Données projet'!$B$26,Paramètres!$A$1:$I$89,5,0)</f>
        <v>#N/A</v>
      </c>
      <c r="NI14" s="13" t="e">
        <f t="shared" si="109"/>
        <v>#N/A</v>
      </c>
      <c r="NJ14" s="14" t="e">
        <f t="shared" si="52"/>
        <v>#N/A</v>
      </c>
      <c r="NK14" s="59" t="e">
        <f t="shared" si="53"/>
        <v>#N/A</v>
      </c>
      <c r="NL14" s="20" t="e">
        <f ca="1">AVERAGE(OFFSET($NK$3,0,0,'Données projet'!$E$26+1,1))-AVERAGE(OFFSET($H$3,0,0,'Données projet'!$E$26+1,1))</f>
        <v>#N/A</v>
      </c>
      <c r="NM14" s="59" t="e">
        <f t="shared" si="110"/>
        <v>#N/A</v>
      </c>
      <c r="NN14" s="15">
        <f>IF(ISNA(VLOOKUP($A14,'Données projet'!$A$486:$I$506,3,0)),0,VLOOKUP($A14,'Données projet'!$A$486:$I$506,3,0))</f>
        <v>0</v>
      </c>
      <c r="NO14" s="15">
        <f>IF(ISNA(VLOOKUP($A14,'Données projet'!$A$486:$I$506,4,0)),0,VLOOKUP($A14,'Données projet'!$A$486:$I$506,4,0))</f>
        <v>0</v>
      </c>
      <c r="NP14" s="16">
        <f>IF(ISNA(VLOOKUP($A14,'Données projet'!$A$486:$I$506,5,0)),0%,VLOOKUP($A14,'Données projet'!$A$486:$I$506,5,0)*VLOOKUP('Données projet'!$B$26,Paramètres!$A$1:$I$89,7,0))</f>
        <v>0</v>
      </c>
      <c r="NQ14" s="16">
        <f>IF(ISNA(VLOOKUP($A14,'Données projet'!$A$486:$I$506,6,0)),0%,VLOOKUP($A14,'Données projet'!$A$486:$I$506,6,0)*VLOOKUP('Données projet'!$B$26,Paramètres!$A$1:$I$89,7,0))</f>
        <v>0</v>
      </c>
      <c r="NR14" s="16">
        <f>IF(ISNA(VLOOKUP($A14,'Données projet'!$A$486:$I$506,7,0)),0%,VLOOKUP($A14,'Données projet'!$A$486:$I$506,7,0))</f>
        <v>0</v>
      </c>
      <c r="NS14" s="21" t="e">
        <f>EXP(-LN(2)/35)*NS13+(1-EXP(-LN(2)/35))/(LN(2)/35)*NO14*NP14*VLOOKUP('Données projet'!$B$26,Paramètres!$A$1:$I$89,3,0)*0.475*44/12</f>
        <v>#N/A</v>
      </c>
      <c r="NT14" s="21" t="e">
        <f>EXP(-LN(2)/25)*NT13+(1-EXP(-LN(2)/25))/(LN(2)/25)*Calculateur!NO14*Calculateur!NQ14*VLOOKUP('Données projet'!$B$26,Paramètres!$A$1:$I$89,3,0)*0.475*44/12</f>
        <v>#N/A</v>
      </c>
      <c r="NU14" s="21" t="e">
        <f>EXP(-LN(2)/2)*NU13+(1-EXP(-LN(2)/2))/(LN(2)/2)*NO14*NR14*VLOOKUP('Données projet'!$B$26,Paramètres!$A$1:$I$89,3,0)*0.475*44/12</f>
        <v>#N/A</v>
      </c>
      <c r="NV14" s="22" t="e">
        <f t="shared" si="111"/>
        <v>#N/A</v>
      </c>
      <c r="NW14" s="74">
        <f>('Scénario référence'!$F$8+'Scénario référence'!$F$9+'Scénario référence'!$B$17+'Scénario référence'!$B$9+'Scénario référence'!$B$10)*70+IF((45+25*(1-EXP(-0.0175*$A14)))&lt;70,'Scénario référence'!$B$16*(45+25*(1-EXP(-0.0175*$A14))),70*'Scénario référence'!$B$16)+IF((32+38*(1-EXP(-0.0175*$A14)))&lt;70,'Scénario référence'!$B$18*(32+38*(1-EXP(-0.0175*$A14))),70*'Scénario référence'!$B$18)</f>
        <v>70</v>
      </c>
      <c r="NX14" s="12">
        <f>IF($A14&gt;30,10,('Scénario référence'!$B$16+'Scénario référence'!$B$17+'Scénario référence'!$B$18+'Scénario référence'!$B$9+'Scénario référence'!$B$10)*$A14*10/30+('Scénario référence'!$F$8+'Scénario référence'!$F$9)*10)</f>
        <v>10</v>
      </c>
      <c r="NY14" s="12" t="e">
        <f>VLOOKUP($A14,'Données projet'!$A$512:$I$532,2,0)</f>
        <v>#N/A</v>
      </c>
      <c r="NZ14" s="12" t="e">
        <f>VLOOKUP($A14,'Données projet'!$A$512:$I$532,9,0)</f>
        <v>#N/A</v>
      </c>
      <c r="OA14" s="12">
        <f t="array" ref="OA14">INDEX(NZ:NZ,MIN(IF(ISNUMBER(NZ14:NZ210),ROW(NZ14:NZ210),"")))</f>
        <v>0</v>
      </c>
      <c r="OB14" s="12">
        <f>IF('Données projet'!$A$512&gt;35,OB13+OA14-OJ13,IF($A14&lt;'Données projet'!$A$512,$CQ$205^$A14,IF($A14='Données projet'!$A$512,'Données projet'!$B$512,OB13+OA14-OJ13)))</f>
        <v>0</v>
      </c>
      <c r="OC14" s="17" t="e">
        <f>OB14*VLOOKUP('Données projet'!$B$27,Paramètres!$A$1:$I$89,3,0)*VLOOKUP('Données projet'!$B$27,Paramètres!$A$1:$I$89,5,0)</f>
        <v>#N/A</v>
      </c>
      <c r="OD14" s="13" t="e">
        <f t="shared" si="112"/>
        <v>#N/A</v>
      </c>
      <c r="OE14" s="14" t="e">
        <f t="shared" si="55"/>
        <v>#N/A</v>
      </c>
      <c r="OF14" s="59" t="e">
        <f t="shared" si="56"/>
        <v>#N/A</v>
      </c>
      <c r="OG14" s="20" t="e">
        <f ca="1">AVERAGE(OFFSET($OF$3,0,0,'Données projet'!$E$27+1,1))-AVERAGE(OFFSET($H$3,0,0,'Données projet'!$E$27+1,1))</f>
        <v>#N/A</v>
      </c>
      <c r="OH14" s="59" t="e">
        <f t="shared" si="113"/>
        <v>#N/A</v>
      </c>
      <c r="OI14" s="15">
        <f>IF(ISNA(VLOOKUP($A14,'Données projet'!$A$512:$I$532,3,0)),0,VLOOKUP($A14,'Données projet'!$A$512:$I$532,3,0))</f>
        <v>0</v>
      </c>
      <c r="OJ14" s="15">
        <f>IF(ISNA(VLOOKUP($A14,'Données projet'!$A$512:$I$532,4,0)),0,VLOOKUP($A14,'Données projet'!$A$512:$I$532,4,0))</f>
        <v>0</v>
      </c>
      <c r="OK14" s="16">
        <f>IF(ISNA(VLOOKUP($A14,'Données projet'!$A$512:$I$532,5,0)),0%,VLOOKUP($A14,'Données projet'!$A$512:$I$532,5,0)*VLOOKUP('Données projet'!$B$27,Paramètres!$A$1:$I$89,7,0))</f>
        <v>0</v>
      </c>
      <c r="OL14" s="16">
        <f>IF(ISNA(VLOOKUP($A14,'Données projet'!$A$512:$I$532,6,0)),0%,VLOOKUP($A14,'Données projet'!$A$512:$I$532,6,0)*VLOOKUP('Données projet'!$B$27,Paramètres!$A$1:$I$89,7,0))</f>
        <v>0</v>
      </c>
      <c r="OM14" s="16">
        <f>IF(ISNA(VLOOKUP($A14,'Données projet'!$A$512:$I$532,7,0)),0%,VLOOKUP($A14,'Données projet'!$A$512:$I$532,7,0))</f>
        <v>0</v>
      </c>
      <c r="ON14" s="21" t="e">
        <f>EXP(-LN(2)/35)*ON13+(1-EXP(-LN(2)/35))/(LN(2)/35)*OJ14*OK14*VLOOKUP('Données projet'!$B$27,Paramètres!$A$1:$I$89,3,0)*0.475*44/12</f>
        <v>#N/A</v>
      </c>
      <c r="OO14" s="21" t="e">
        <f>EXP(-LN(2)/25)*OO13+(1-EXP(-LN(2)/25))/(LN(2)/25)*Calculateur!OJ14*Calculateur!OL14*VLOOKUP('Données projet'!$B$27,Paramètres!$A$1:$I$89,3,0)*0.475*44/12</f>
        <v>#N/A</v>
      </c>
      <c r="OP14" s="21" t="e">
        <f>EXP(-LN(2)/2)*OP13+(1-EXP(-LN(2)/2))/(LN(2)/2)*OJ14*OM14*VLOOKUP('Données projet'!$B$27,Paramètres!$A$1:$I$89,3,0)*0.475*44/12</f>
        <v>#N/A</v>
      </c>
      <c r="OQ14" s="22" t="e">
        <f t="shared" si="114"/>
        <v>#N/A</v>
      </c>
      <c r="OR14" s="74">
        <f>('Scénario référence'!$F$8+'Scénario référence'!$F$9+'Scénario référence'!$B$17+'Scénario référence'!$B$9+'Scénario référence'!$B$10)*70+IF((45+25*(1-EXP(-0.0175*$A14)))&lt;70,'Scénario référence'!$B$16*(45+25*(1-EXP(-0.0175*$A14))),70*'Scénario référence'!$B$16)+IF((32+38*(1-EXP(-0.0175*$A14)))&lt;70,'Scénario référence'!$B$18*(32+38*(1-EXP(-0.0175*$A14))),70*'Scénario référence'!$B$18)</f>
        <v>70</v>
      </c>
      <c r="OS14" s="12">
        <f>IF($A14&gt;30,10,('Scénario référence'!$B$16+'Scénario référence'!$B$17+'Scénario référence'!$B$18+'Scénario référence'!$B$9+'Scénario référence'!$B$10)*$A14*10/30+('Scénario référence'!$F$8+'Scénario référence'!$F$9)*10)</f>
        <v>10</v>
      </c>
      <c r="OT14" s="12" t="e">
        <f>VLOOKUP($A14,'Données projet'!$A$538:$I$558,2,0)</f>
        <v>#N/A</v>
      </c>
      <c r="OU14" s="12" t="e">
        <f>VLOOKUP($A14,'Données projet'!$A$538:$I$558,9,0)</f>
        <v>#N/A</v>
      </c>
      <c r="OV14" s="12">
        <f t="array" ref="OV14">INDEX(OU:OU,MIN(IF(ISNUMBER(OU14:OU210),ROW(OU14:OU210),"")))</f>
        <v>0</v>
      </c>
      <c r="OW14" s="12">
        <f>IF('Données projet'!$A$538&gt;35,OW13+OV14-PE13,IF($A14&lt;'Données projet'!$A$538,$CQ$205^$A14,IF($A14='Données projet'!$A$538,'Données projet'!$B$538,OW13+OV14-PE13)))</f>
        <v>0</v>
      </c>
      <c r="OX14" s="17" t="e">
        <f>OW14*VLOOKUP('Données projet'!$B$28,Paramètres!$A$1:$I$89,3,0)*VLOOKUP('Données projet'!$B$28,Paramètres!$A$1:$I$89,5,0)</f>
        <v>#N/A</v>
      </c>
      <c r="OY14" s="13" t="e">
        <f t="shared" si="115"/>
        <v>#N/A</v>
      </c>
      <c r="OZ14" s="14" t="e">
        <f t="shared" si="58"/>
        <v>#N/A</v>
      </c>
      <c r="PA14" s="59" t="e">
        <f t="shared" si="59"/>
        <v>#N/A</v>
      </c>
      <c r="PB14" s="20" t="e">
        <f ca="1">AVERAGE(OFFSET($PA$3,0,0,'Données projet'!$E$28+1,1))-AVERAGE(OFFSET($H$3,0,0,'Données projet'!$E$28+1,1))</f>
        <v>#N/A</v>
      </c>
      <c r="PC14" s="59" t="e">
        <f t="shared" si="116"/>
        <v>#N/A</v>
      </c>
      <c r="PD14" s="15">
        <f>IF(ISNA(VLOOKUP($A14,'Données projet'!$A$538:$I$558,3,0)),0,VLOOKUP($A14,'Données projet'!$A$538:$I$558,3,0))</f>
        <v>0</v>
      </c>
      <c r="PE14" s="15">
        <f>IF(ISNA(VLOOKUP($A14,'Données projet'!$A$538:$I$558,4,0)),0,VLOOKUP($A14,'Données projet'!$A$538:$I$558,4,0))</f>
        <v>0</v>
      </c>
      <c r="PF14" s="16">
        <f>IF(ISNA(VLOOKUP($A14,'Données projet'!$A$538:$I$558,5,0)),0%,VLOOKUP($A14,'Données projet'!$A$538:$I$558,5,0)*VLOOKUP('Données projet'!$B$28,Paramètres!$A$1:$I$89,7,0))</f>
        <v>0</v>
      </c>
      <c r="PG14" s="16">
        <f>IF(ISNA(VLOOKUP($A14,'Données projet'!$A$538:$I$558,6,0)),0%,VLOOKUP($A14,'Données projet'!$A$538:$I$558,6,0)*VLOOKUP('Données projet'!$B$28,Paramètres!$A$1:$I$89,7,0))</f>
        <v>0</v>
      </c>
      <c r="PH14" s="16">
        <f>IF(ISNA(VLOOKUP($A14,'Données projet'!$A$538:$I$558,7,0)),0%,VLOOKUP($A14,'Données projet'!$A$538:$I$558,7,0))</f>
        <v>0</v>
      </c>
      <c r="PI14" s="21" t="e">
        <f>EXP(-LN(2)/35)*PI13+(1-EXP(-LN(2)/35))/(LN(2)/35)*PE14*PF14*VLOOKUP('Données projet'!$B$28,Paramètres!$A$1:$I$89,3,0)*0.475*44/12</f>
        <v>#N/A</v>
      </c>
      <c r="PJ14" s="21" t="e">
        <f>EXP(-LN(2)/25)*PJ13+(1-EXP(-LN(2)/25))/(LN(2)/25)*Calculateur!PE14*Calculateur!PG14*VLOOKUP('Données projet'!$B$28,Paramètres!$A$1:$I$89,3,0)*0.475*44/12</f>
        <v>#N/A</v>
      </c>
      <c r="PK14" s="21" t="e">
        <f>EXP(-LN(2)/2)*PK13+(1-EXP(-LN(2)/2))/(LN(2)/2)*PE14*PH14*VLOOKUP('Données projet'!$B$28,Paramètres!$A$1:$I$89,3,0)*0.475*44/12</f>
        <v>#N/A</v>
      </c>
      <c r="PL14" s="22" t="e">
        <f t="shared" si="117"/>
        <v>#N/A</v>
      </c>
    </row>
    <row r="15" spans="1:428" x14ac:dyDescent="0.35">
      <c r="A15" s="10">
        <f t="shared" si="6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6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projet'!$A$45:$I$65,2,0)</f>
        <v>#N/A</v>
      </c>
      <c r="L15" s="12" t="e">
        <f>VLOOKUP(A15,'Données projet'!$A$45:$I$65,9,0)</f>
        <v>#N/A</v>
      </c>
      <c r="M15" s="12">
        <f t="array" ref="M15">INDEX(L:L,MIN(IF(ISNUMBER(L15:L211),ROW(L15:L211),"")))</f>
        <v>10.16068376068376</v>
      </c>
      <c r="N15" s="13">
        <f>IF('Données projet'!$A$46&gt;35,N14+M15-V14,IF(A15&lt;'Données projet'!$A$46,$K$205^A15,IF(A15='Données projet'!$A$46,'Données projet'!$B$46,N14+M15-V14)))</f>
        <v>32.220352927755336</v>
      </c>
      <c r="O15" s="13">
        <f>N15*VLOOKUP('Données projet'!$B$9,Paramètres!$A$1:$I$89,3,0)*VLOOKUP('Données projet'!$B$9,Paramètres!$A$1:$I$89,5,0)</f>
        <v>18.011177286615233</v>
      </c>
      <c r="P15" s="13">
        <f t="shared" si="63"/>
        <v>5.9285578959851977</v>
      </c>
      <c r="Q15" s="20">
        <f t="shared" si="2"/>
        <v>41.695038776362409</v>
      </c>
      <c r="R15" s="59">
        <f t="shared" si="0"/>
        <v>335.02837210969574</v>
      </c>
      <c r="S15" s="59">
        <f ca="1">AVERAGE(OFFSET($R$3,0,0,'Données projet'!$E$9+1,1))-AVERAGE(OFFSET($H$3,0,0,'Données projet'!$E$9+1,1))</f>
        <v>274.57619581652199</v>
      </c>
      <c r="T15" s="59">
        <f t="shared" si="64"/>
        <v>366.15117322598775</v>
      </c>
      <c r="U15" s="15">
        <f>IF(ISNA(VLOOKUP(A15,'Données projet'!$A$45:$I$65,3,0)),0,VLOOKUP(A15,'Données projet'!$A$45:$I$65,3,0))</f>
        <v>0</v>
      </c>
      <c r="V15" s="15">
        <f>IF(ISNA(VLOOKUP(A15,'Données projet'!$A$45:$I$65,4,0)),0,VLOOKUP(A15,'Données projet'!$A$45:$I$65,4,0))</f>
        <v>0</v>
      </c>
      <c r="W15" s="16">
        <f>IF(ISNA(VLOOKUP(A15,'Données projet'!$A$45:$I$65,5,0)),0%,VLOOKUP(A15,'Données projet'!$A$45:$I$65,5,0)*VLOOKUP('Données projet'!$B$9,Paramètres!$A$1:$I$89,7,0))</f>
        <v>0</v>
      </c>
      <c r="X15" s="16">
        <f>IF(ISNA(VLOOKUP(A15,'Données projet'!$A$45:$I$65,6,0)),0%,VLOOKUP(A15,'Données projet'!$A$45:$I$65,6,0)*VLOOKUP('Données projet'!$B$9,Paramètres!$A$1:$I$89,7,0))</f>
        <v>0</v>
      </c>
      <c r="Y15" s="16">
        <f>IF(ISNA(VLOOKUP(A15,'Données projet'!$A$45:$I$65,7,0)),0%,VLOOKUP(A15,'Données projet'!$A$45:$I$65,7,0))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projet'!$A$71:$I$91,2,0)</f>
        <v>#N/A</v>
      </c>
      <c r="AG15" s="12" t="e">
        <f>VLOOKUP(A15,'Données projet'!$A$71:$I$91,9,0)</f>
        <v>#N/A</v>
      </c>
      <c r="AH15" s="12">
        <f t="array" ref="AH15">INDEX(AG:AG,MIN(IF(ISNUMBER(AG15:AG211),ROW(AG15:AG211),"")))</f>
        <v>4.0628205128205126</v>
      </c>
      <c r="AI15" s="13">
        <f>IF('Données projet'!$A$72&gt;35,AI14+AH15-AQ14,IF(A15&lt;'Données projet'!$A$72,$AF$205^A15,IF(A15='Données projet'!$A$72,'Données projet'!$B$72,AI14+AH15-AQ14)))</f>
        <v>6.8293529228851897</v>
      </c>
      <c r="AJ15" s="13">
        <f>AI15*VLOOKUP('Données projet'!$B$10,Paramètres!$A$1:$I$89,3,0)*VLOOKUP('Données projet'!$B$10,Paramètres!$A$1:$I$89,5,0)</f>
        <v>6.1791985246265195</v>
      </c>
      <c r="AK15" s="13">
        <f t="shared" si="65"/>
        <v>2.3036670536275285</v>
      </c>
      <c r="AL15" s="20">
        <f t="shared" si="4"/>
        <v>14.774324215459131</v>
      </c>
      <c r="AM15" s="59">
        <f t="shared" si="5"/>
        <v>308.10765754879242</v>
      </c>
      <c r="AN15" s="59">
        <f ca="1">AVERAGE(OFFSET($AM$3,0,0,'Données projet'!$E$10+1,1))-AVERAGE(OFFSET($H$3,0,0,'Données projet'!$E$10+1,1))</f>
        <v>270.87836509222456</v>
      </c>
      <c r="AO15" s="59">
        <f t="shared" si="66"/>
        <v>205.24998237949734</v>
      </c>
      <c r="AP15" s="15">
        <f>IF(ISNA(VLOOKUP(A15,'Données projet'!$A$71:$I$91,3,0)),0,VLOOKUP(A15,'Données projet'!$A$71:$I$91,3,0))</f>
        <v>0</v>
      </c>
      <c r="AQ15" s="15">
        <f>IF(ISNA(VLOOKUP(A15,'Données projet'!$A$71:$I$91,4,0)),0,VLOOKUP(A15,'Données projet'!$A$71:$I$91,4,0))</f>
        <v>0</v>
      </c>
      <c r="AR15" s="16">
        <f>IF(ISNA(VLOOKUP(A15,'Données projet'!$A$71:$I$91,5,0)),0%,VLOOKUP(A15,'Données projet'!$A$71:$I$91,5,0)*VLOOKUP('Données projet'!$B$10,Paramètres!$A$1:$I$89,7,0))</f>
        <v>0</v>
      </c>
      <c r="AS15" s="16">
        <f>IF(ISNA(VLOOKUP(A15,'Données projet'!$A$71:$I$91,6,0)),0%,VLOOKUP(A15,'Données projet'!$A$71:$I$91,6,0)*VLOOKUP('Données projet'!$B$10,Paramètres!$A$1:$I$89,7,0))</f>
        <v>0</v>
      </c>
      <c r="AT15" s="16">
        <f>IF(ISNA(VLOOKUP(A15,'Données projet'!$A$71:$I$91,7,0)),0%,VLOOKUP(A15,'Données projet'!$A$71:$I$91,7,0))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projet'!$A$97:$I$117,2,0)</f>
        <v>#N/A</v>
      </c>
      <c r="BB15" s="12" t="e">
        <f>VLOOKUP(A15,'Données projet'!$A$97:$I$117,9,0)</f>
        <v>#N/A</v>
      </c>
      <c r="BC15" s="12">
        <f t="array" ref="BC15">INDEX(BB:BB,MIN(IF(ISNUMBER(BB15:BB211),ROW(BB15:BB211),"")))</f>
        <v>10.16068376068376</v>
      </c>
      <c r="BD15" s="12">
        <f>IF('Données projet'!$A$98&gt;35,BD14+BC15-BL14,IF(A15&lt;'Données projet'!$A$98,$BA$205^A15,IF(A15='Données projet'!$A$98,'Données projet'!$B$98,BD14+BC15-BL14)))</f>
        <v>32.220352927755336</v>
      </c>
      <c r="BE15" s="13">
        <f>BD15*VLOOKUP('Données projet'!$B$11,Paramètres!$A$1:$I$89,3,0)*VLOOKUP('Données projet'!$B$11,Paramètres!$A$1:$I$89,5,0)</f>
        <v>14.241395994067858</v>
      </c>
      <c r="BF15" s="13">
        <f t="shared" si="67"/>
        <v>4.8176041149668594</v>
      </c>
      <c r="BG15" s="20">
        <f t="shared" si="7"/>
        <v>33.194425189902127</v>
      </c>
      <c r="BH15" s="59">
        <f t="shared" si="8"/>
        <v>326.52775852323543</v>
      </c>
      <c r="BI15" s="59">
        <f ca="1">AVERAGE(OFFSET($BH$3,0,0,'Données projet'!$E$11+1,1))-AVERAGE(OFFSET($H$3,0,0,'Données projet'!$E$11+1,1))</f>
        <v>211.31057120485542</v>
      </c>
      <c r="BJ15" s="59">
        <f t="shared" si="68"/>
        <v>283.33292006714777</v>
      </c>
      <c r="BK15" s="15">
        <f>IF(ISNA(VLOOKUP(A15,'Données projet'!$A$97:$I$117,3,0)),0,VLOOKUP(A15,'Données projet'!$A$97:$I$117,3,0))</f>
        <v>0</v>
      </c>
      <c r="BL15" s="15">
        <f>IF(ISNA(VLOOKUP(A15,'Données projet'!$A$97:$I$117,4,0)),0,VLOOKUP(A15,'Données projet'!$A$97:$I$117,4,0))</f>
        <v>0</v>
      </c>
      <c r="BM15" s="16">
        <f>IF(ISNA(VLOOKUP(A15,'Données projet'!$A$97:$I$117,5,0)),0%,VLOOKUP(A15,'Données projet'!$A$97:$I$117,5,0)*VLOOKUP('Données projet'!$B$11,Paramètres!$A$1:$I$89,7,0))</f>
        <v>0</v>
      </c>
      <c r="BN15" s="16">
        <f>IF(ISNA(VLOOKUP(A15,'Données projet'!$A$97:$I$117,6,0)),0%,VLOOKUP(A15,'Données projet'!$A$97:$I$117,6,0)*VLOOKUP('Données projet'!$B$11,Paramètres!$A$1:$I$89,7,0))</f>
        <v>0</v>
      </c>
      <c r="BO15" s="16">
        <f>IF(ISNA(VLOOKUP(A15,'Données projet'!$A$97:$I$117,7,0)),0%,VLOOKUP(A15,'Données projet'!$A$97:$I$117,7,0))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projet'!$A$123:$I$143,2,0)</f>
        <v>#N/A</v>
      </c>
      <c r="BW15" s="12" t="e">
        <f>VLOOKUP(A15,'Données projet'!$A$123:$I$143,9,0)</f>
        <v>#N/A</v>
      </c>
      <c r="BX15" s="12">
        <f t="array" ref="BX15">INDEX(BW:BW,MIN(IF(ISNUMBER(BW15:BW211),ROW(BW15:BW211),"")))</f>
        <v>8.8000000000000007</v>
      </c>
      <c r="BY15" s="12">
        <f>IF('Données projet'!$A$124&gt;35,BY14+BX15-CG14,IF(A15&lt;'Données projet'!$A$124,$BV$205^A15,IF(A15='Données projet'!$A$124,'Données projet'!$B$124,BY14+BX15-CG14)))</f>
        <v>46.599999999999994</v>
      </c>
      <c r="BZ15" s="13">
        <f>BY15*VLOOKUP('Données projet'!$B$12,Paramètres!$A$1:$I$89,3,0)*VLOOKUP('Données projet'!$B$12,Paramètres!$A$1:$I$89,5,0)</f>
        <v>48.706319999999998</v>
      </c>
      <c r="CA15" s="13">
        <f t="shared" si="69"/>
        <v>14.279153150480225</v>
      </c>
      <c r="CB15" s="20">
        <f t="shared" si="10"/>
        <v>109.69969907041973</v>
      </c>
      <c r="CC15" s="59">
        <f t="shared" si="11"/>
        <v>403.03303240375305</v>
      </c>
      <c r="CD15" s="59">
        <f ca="1">AVERAGE(OFFSET($CC$3,0,0,'Données projet'!$E$12+1,1))-AVERAGE(OFFSET($H$3,0,0,'Données projet'!$E$12+1,1))</f>
        <v>322.93502595881938</v>
      </c>
      <c r="CE15" s="59">
        <f t="shared" si="70"/>
        <v>302.67072119588164</v>
      </c>
      <c r="CF15" s="15">
        <f>IF(ISNA(VLOOKUP(A15,'Données projet'!$A$123:$I$143,3,0)),0,VLOOKUP(A15,'Données projet'!$A$123:$I$143,3,0))</f>
        <v>0</v>
      </c>
      <c r="CG15" s="15">
        <f>IF(ISNA(VLOOKUP(A15,'Données projet'!$A$123:$I$143,4,0)),0,VLOOKUP(A15,'Données projet'!$A$123:$I$143,4,0))</f>
        <v>0</v>
      </c>
      <c r="CH15" s="16">
        <f>IF(ISNA(VLOOKUP(A15,'Données projet'!$A$123:$I$143,5,0)),0%,VLOOKUP(A15,'Données projet'!$A$123:$I$143,5,0)*VLOOKUP('Données projet'!$B$12,Paramètres!$A$1:$I$89,7,0))</f>
        <v>0</v>
      </c>
      <c r="CI15" s="16">
        <f>IF(ISNA(VLOOKUP(A15,'Données projet'!$A$123:$I$143,6,0)),0%,VLOOKUP(A15,'Données projet'!$A$123:$I$143,6,0)*VLOOKUP('Données projet'!$B$12,Paramètres!$A$1:$I$89,7,0))</f>
        <v>0</v>
      </c>
      <c r="CJ15" s="16">
        <f>IF(ISNA(VLOOKUP(A15,'Données projet'!$A$123:$I$143,7,0)),0%,VLOOKUP(A15,'Données projet'!$A$123:$I$143,7,0))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projet'!$A$149:$I$169,2,0)</f>
        <v>#N/A</v>
      </c>
      <c r="CR15" s="12" t="e">
        <f>VLOOKUP(A15,'Données projet'!$A$149:$I$169,9,0)</f>
        <v>#N/A</v>
      </c>
      <c r="CS15" s="12">
        <f t="array" ref="CS15">INDEX(CR:CR,MIN(IF(ISNUMBER(CR15:CR211),ROW(CR15:CR211),"")))</f>
        <v>2.9235042735042733</v>
      </c>
      <c r="CT15" s="12">
        <f>IF('Données projet'!$A$150&gt;35,CT14+CS15-DB14,IF(A15&lt;'Données projet'!$A$150,$CQ$205^A15,IF(A15='Données projet'!$A$150,'Données projet'!$B$150,CT14+CS15-DB14)))</f>
        <v>5.9870101592612031</v>
      </c>
      <c r="CU15" s="17">
        <f>CT15*VLOOKUP('Données projet'!$B$13,Paramètres!$A$1:$I$89,3,0)*VLOOKUP('Données projet'!$B$13,Paramètres!$A$1:$I$89,5,0)</f>
        <v>6.0708283014908604</v>
      </c>
      <c r="CV15" s="13">
        <f t="shared" si="71"/>
        <v>2.2679316068756354</v>
      </c>
      <c r="CW15" s="20">
        <f t="shared" si="13"/>
        <v>14.523340173738314</v>
      </c>
      <c r="CX15" s="59">
        <f t="shared" si="14"/>
        <v>307.8566735070716</v>
      </c>
      <c r="CY15" s="59">
        <f ca="1">AVERAGE(OFFSET($CX$3,0,0,'Données projet'!$E$13+1,1))-AVERAGE(OFFSET($H$3,0,0,'Données projet'!$E$13+1,1))</f>
        <v>250.31277422753283</v>
      </c>
      <c r="CZ15" s="59">
        <f t="shared" si="72"/>
        <v>159.20429420478047</v>
      </c>
      <c r="DA15" s="15">
        <f>IF(ISNA(VLOOKUP(A15,'Données projet'!$A$149:$I$169,3,0)),0,VLOOKUP(A15,'Données projet'!$A$149:$I$169,3,0))</f>
        <v>0</v>
      </c>
      <c r="DB15" s="15">
        <f>IF(ISNA(VLOOKUP(A15,'Données projet'!$A$149:$I$169,4,0)),0,VLOOKUP(A15,'Données projet'!$A$149:$I$169,4,0))</f>
        <v>0</v>
      </c>
      <c r="DC15" s="16">
        <f>IF(ISNA(VLOOKUP(A15,'Données projet'!$A$149:$I$169,5,0)),0%,VLOOKUP(A15,'Données projet'!$A$149:$I$169,5,0)*VLOOKUP('Données projet'!$B$13,Paramètres!$A$1:$I$89,7,0))</f>
        <v>0</v>
      </c>
      <c r="DD15" s="16">
        <f>IF(ISNA(VLOOKUP(A15,'Données projet'!$A$149:$I$169,6,0)),0%,VLOOKUP(A15,'Données projet'!$A$149:$I$169,6,0)*VLOOKUP('Données projet'!$B$13,Paramètres!$A$1:$I$89,7,0))</f>
        <v>0</v>
      </c>
      <c r="DE15" s="16">
        <f>IF(ISNA(VLOOKUP(A15,'Données projet'!$A$149:$I$169,7,0)),0%,VLOOKUP(A15,'Données projet'!$A$149:$I$169,7,0))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projet'!$A$175:$I$195,2,0)</f>
        <v>#N/A</v>
      </c>
      <c r="DM15" s="12" t="e">
        <f>VLOOKUP(A15,'Données projet'!$A$175:$I$195,9,0)</f>
        <v>#N/A</v>
      </c>
      <c r="DN15" s="12">
        <f t="array" ref="DN15">INDEX(DM:DM,MIN(IF(ISNUMBER(DM15:DM211),ROW(DM15:DM211),"")))</f>
        <v>14.6</v>
      </c>
      <c r="DO15" s="12">
        <f>IF('Données projet'!$A$176&gt;35,DO14+DN15-DW14,IF(A15&lt;'Données projet'!$A$176,$DL$205^A15,IF(A15='Données projet'!$A$176,'Données projet'!$B$176,DO14+DN15-DW14)))</f>
        <v>41.2</v>
      </c>
      <c r="DP15" s="17">
        <f>DO15*VLOOKUP('Données projet'!$B$14,Paramètres!$A$1:$I$89,3,0)*VLOOKUP('Données projet'!$B$14,Paramètres!$A$1:$I$89,5,0)</f>
        <v>30.207840000000001</v>
      </c>
      <c r="DQ15" s="13">
        <f t="shared" si="73"/>
        <v>9.3623701493068516</v>
      </c>
      <c r="DR15" s="20">
        <f t="shared" si="16"/>
        <v>68.918116010042766</v>
      </c>
      <c r="DS15" s="59">
        <f t="shared" si="17"/>
        <v>362.25144934337607</v>
      </c>
      <c r="DT15" s="59">
        <f ca="1">AVERAGE(OFFSET($DS$3,0,0,'Données projet'!$E$14+1,1))-AVERAGE(OFFSET($H$3,0,0,'Données projet'!$E$14+1,1))</f>
        <v>296.91321813251051</v>
      </c>
      <c r="DU15" s="59">
        <f t="shared" si="74"/>
        <v>291.0718079639509</v>
      </c>
      <c r="DV15" s="15">
        <f>IF(ISNA(VLOOKUP(A15,'Données projet'!$A$175:$I$195,3,0)),0,VLOOKUP(A15,'Données projet'!$A$175:$I$195,3,0))</f>
        <v>0</v>
      </c>
      <c r="DW15" s="15">
        <f>IF(ISNA(VLOOKUP(A15,'Données projet'!$A$175:$I$195,4,0)),0,VLOOKUP(A15,'Données projet'!$A$175:$I$195,4,0))</f>
        <v>0</v>
      </c>
      <c r="DX15" s="16">
        <f>IF(ISNA(VLOOKUP(A15,'Données projet'!$A$175:$I$195,5,0)),0%,VLOOKUP(A15,'Données projet'!$A$175:$I$195,5,0)*VLOOKUP('Données projet'!$B$14,Paramètres!$A$1:$I$89,7,0))</f>
        <v>0</v>
      </c>
      <c r="DY15" s="16">
        <f>IF(ISNA(VLOOKUP(A15,'Données projet'!$A$175:$I$195,6,0)),0%,VLOOKUP(A15,'Données projet'!$A$175:$I$195,6,0)*VLOOKUP('Données projet'!$B$14,Paramètres!$A$1:$I$89,7,0))</f>
        <v>0</v>
      </c>
      <c r="DZ15" s="16">
        <f>IF(ISNA(VLOOKUP(A15,'Données projet'!$A$175:$I$195,7,0)),0%,VLOOKUP(A15,'Données projet'!$A$175:$I$195,7,0))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projet'!$A$201:$I$221,2,0)</f>
        <v>#N/A</v>
      </c>
      <c r="EH15" s="12" t="e">
        <f>VLOOKUP(A15,'Données projet'!$A$201:$I$221,9,0)</f>
        <v>#N/A</v>
      </c>
      <c r="EI15" s="12">
        <f t="array" ref="EI15">INDEX(EH:EH,MIN(IF(ISNUMBER(EH15:EH211),ROW(EH15:EH211),"")))</f>
        <v>3.4425641025641025</v>
      </c>
      <c r="EJ15" s="12">
        <f>IF('Données projet'!$A$202&gt;35,EJ14+EI15-ER14,IF(A15&lt;'Données projet'!$A$202,$EG$205^A15,IF(A15='Données projet'!$A$202,'Données projet'!$B$202,EJ14+EI15-ER14)))</f>
        <v>6.3914782624899003</v>
      </c>
      <c r="EK15" s="17">
        <f>EJ15*VLOOKUP('Données projet'!$B$15,Paramètres!$A$1:$I$89,3,0)*VLOOKUP('Données projet'!$B$15,Paramètres!$A$1:$I$89,5,0)</f>
        <v>2.9912118268452734</v>
      </c>
      <c r="EL15" s="13">
        <f t="shared" si="75"/>
        <v>1.2134185325879896</v>
      </c>
      <c r="EM15" s="20">
        <f t="shared" si="19"/>
        <v>7.3230645426796004</v>
      </c>
      <c r="EN15" s="59">
        <f t="shared" si="20"/>
        <v>300.65639787601293</v>
      </c>
      <c r="EO15" s="59">
        <f ca="1">AVERAGE(OFFSET($EN$3,0,0,'Données projet'!$E$15+1,1))-AVERAGE(OFFSET($H$3,0,0,'Données projet'!$E$15+1,1))</f>
        <v>147.64256291235483</v>
      </c>
      <c r="EP15" s="59">
        <f t="shared" si="76"/>
        <v>70.859031694091868</v>
      </c>
      <c r="EQ15" s="15">
        <f>IF(ISNA(VLOOKUP(A15,'Données projet'!$A$201:$I$221,3,0)),0,VLOOKUP(A15,'Données projet'!$A$201:$I$221,3,0))</f>
        <v>0</v>
      </c>
      <c r="ER15" s="15">
        <f>IF(ISNA(VLOOKUP(A15,'Données projet'!$A$201:$I$221,4,0)),0,VLOOKUP(A15,'Données projet'!$A$201:$I$221,4,0))</f>
        <v>0</v>
      </c>
      <c r="ES15" s="16">
        <f>IF(ISNA(VLOOKUP(A15,'Données projet'!$A$201:$I$221,5,0)),0%,VLOOKUP(A15,'Données projet'!$A$201:$I$221,5,0)*VLOOKUP('Données projet'!$B$15,Paramètres!$A$1:$I$89,7,0))</f>
        <v>0</v>
      </c>
      <c r="ET15" s="16">
        <f>IF(ISNA(VLOOKUP(A15,'Données projet'!$A$201:$I$221,6,0)),0%,VLOOKUP(A15,'Données projet'!$A$201:$I$221,6,0)*VLOOKUP('Données projet'!$B$15,Paramètres!$A$1:$I$89,7,0))</f>
        <v>0</v>
      </c>
      <c r="EU15" s="16">
        <f>IF(ISNA(VLOOKUP(A15,'Données projet'!$A$201:$I$221,7,0)),0%,VLOOKUP(A15,'Données projet'!$A$201:$I$221,7,0))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projet'!$A$227:$I$247,2,0)</f>
        <v>#N/A</v>
      </c>
      <c r="FC15" s="12" t="e">
        <f>VLOOKUP(A15,'Données projet'!$A$227:$I$247,9,0)</f>
        <v>#N/A</v>
      </c>
      <c r="FD15" s="12">
        <f t="array" ref="FD15">INDEX(FC:FC,MIN(IF(ISNUMBER(FC15:FC211),ROW(FC15:FC211),"")))</f>
        <v>5.8</v>
      </c>
      <c r="FE15" s="12">
        <f>IF('Données projet'!$A$228&gt;35,FE14+FD15-FM14,IF(A15&lt;'Données projet'!$A$228,$FB$205^A15,IF(A15='Données projet'!$A$228,'Données projet'!$B$228,FE14+FD15-FM14)))</f>
        <v>29.6</v>
      </c>
      <c r="FF15" s="17">
        <f>FE15*VLOOKUP('Données projet'!$B$16,Paramètres!$A$1:$I$89,3,0)*VLOOKUP('Données projet'!$B$16,Paramètres!$A$1:$I$89,5,0)</f>
        <v>30.937920000000002</v>
      </c>
      <c r="FG15" s="13">
        <f t="shared" si="77"/>
        <v>9.562028009899409</v>
      </c>
      <c r="FH15" s="20">
        <f t="shared" si="22"/>
        <v>70.537409450574799</v>
      </c>
      <c r="FI15" s="59">
        <f t="shared" si="23"/>
        <v>363.8707427839081</v>
      </c>
      <c r="FJ15" s="59">
        <f ca="1">AVERAGE(OFFSET($FI$3,0,0,'Données projet'!$E$16+1,1))-AVERAGE(OFFSET($H$3,0,0,'Données projet'!$E$16+1,1))</f>
        <v>259.03906550253788</v>
      </c>
      <c r="FK15" s="59">
        <f t="shared" si="78"/>
        <v>235.54542903570831</v>
      </c>
      <c r="FL15" s="15">
        <f>IF(ISNA(VLOOKUP(A15,'Données projet'!$A$227:$I$247,3,0)),0,VLOOKUP(A15,'Données projet'!$A$227:$I$247,3,0))</f>
        <v>0</v>
      </c>
      <c r="FM15" s="15">
        <f>IF(ISNA(VLOOKUP(A15,'Données projet'!$A$227:$I$247,4,0)),0,VLOOKUP(A15,'Données projet'!$A$227:$I$247,4,0))</f>
        <v>0</v>
      </c>
      <c r="FN15" s="16">
        <f>IF(ISNA(VLOOKUP(A15,'Données projet'!$A$227:$I$247,5,0)),0%,VLOOKUP(A15,'Données projet'!$A$227:$I$247,5,0)*VLOOKUP('Données projet'!$B$16,Paramètres!$A$1:$I$89,7,0))</f>
        <v>0</v>
      </c>
      <c r="FO15" s="16">
        <f>IF(ISNA(VLOOKUP(A15,'Données projet'!$A$227:$I$247,6,0)),0%,VLOOKUP(A15,'Données projet'!$A$227:$I$247,6,0)*VLOOKUP('Données projet'!$B$16,Paramètres!$A$1:$I$89,7,0))</f>
        <v>0</v>
      </c>
      <c r="FP15" s="16">
        <f>IF(ISNA(VLOOKUP(A15,'Données projet'!$A$227:$I$247,7,0)),0%,VLOOKUP(A15,'Données projet'!$A$227:$I$247,7,0))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projet'!$A$253:$I$273,2,0)</f>
        <v>#N/A</v>
      </c>
      <c r="FX15" s="12" t="e">
        <f>VLOOKUP(A15,'Données projet'!$A$253:$I$273,9,0)</f>
        <v>#N/A</v>
      </c>
      <c r="FY15" s="12">
        <f t="array" ref="FY15">INDEX(FX:FX,MIN(IF(ISNUMBER(FX15:FX211),ROW(FX15:FX211),"")))</f>
        <v>2.4666666666666668</v>
      </c>
      <c r="FZ15" s="12">
        <f>IF('Données projet'!$A$254&gt;35,FZ14+FY15-GH14,IF(A15&lt;'Données projet'!$A$254,$FW$205^A15,IF(A15='Données projet'!$A$254,'Données projet'!$B$254,FZ14+FY15-GH14)))</f>
        <v>17.970550417308221</v>
      </c>
      <c r="GA15" s="17">
        <f>FZ15*VLOOKUP('Données projet'!$B$17,Paramètres!$A$1:$I$89,3,0)*VLOOKUP('Données projet'!$B$17,Paramètres!$A$1:$I$89,5,0)</f>
        <v>15.699072844560465</v>
      </c>
      <c r="GB15" s="13">
        <f t="shared" si="79"/>
        <v>5.250810382962916</v>
      </c>
      <c r="GC15" s="20">
        <f t="shared" si="25"/>
        <v>36.48771328793655</v>
      </c>
      <c r="GD15" s="59">
        <f t="shared" si="26"/>
        <v>329.82104662126989</v>
      </c>
      <c r="GE15" s="59">
        <f ca="1">AVERAGE(OFFSET($GD$3,0,0,'Données projet'!$E$17+1,1))-AVERAGE(OFFSET($H$3,0,0,'Données projet'!$E$17+1,1))</f>
        <v>245.1983232777614</v>
      </c>
      <c r="GF15" s="59">
        <f t="shared" si="80"/>
        <v>242.34010522344573</v>
      </c>
      <c r="GG15" s="15">
        <f>IF(ISNA(VLOOKUP(A15,'Données projet'!$A$253:$I$273,3,0)),0,VLOOKUP(A15,'Données projet'!$A$253:$I$273,3,0))</f>
        <v>0</v>
      </c>
      <c r="GH15" s="15">
        <f>IF(ISNA(VLOOKUP(A15,'Données projet'!$A$253:$I$273,4,0)),0,VLOOKUP(A15,'Données projet'!$A$253:$I$273,4,0))</f>
        <v>0</v>
      </c>
      <c r="GI15" s="16">
        <f>IF(ISNA(VLOOKUP(A15,'Données projet'!$A$253:$I$273,5,0)),0%,VLOOKUP(A15,'Données projet'!$A$253:$I$273,5,0)*VLOOKUP('Données projet'!$B$17,Paramètres!$A$1:$I$89,7,0))</f>
        <v>0</v>
      </c>
      <c r="GJ15" s="16">
        <f>IF(ISNA(VLOOKUP(A15,'Données projet'!$A$253:$I$273,6,0)),0%,VLOOKUP(A15,'Données projet'!$A$253:$I$273,6,0)*VLOOKUP('Données projet'!$B$17,Paramètres!$A$1:$I$89,7,0))</f>
        <v>0</v>
      </c>
      <c r="GK15" s="16">
        <f>IF(ISNA(VLOOKUP(A15,'Données projet'!$A$253:$I$273,7,0)),0%,VLOOKUP(A15,'Données projet'!$A$253:$I$273,7,0))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projet'!$A$279:$I$299,2,0)</f>
        <v>#N/A</v>
      </c>
      <c r="GS15" s="12" t="e">
        <f>VLOOKUP(A15,'Données projet'!$A$279:$I$299,9,0)</f>
        <v>#N/A</v>
      </c>
      <c r="GT15" s="12">
        <f t="array" ref="GT15">INDEX(GS:GS,MIN(IF(ISNUMBER(GS15:GS211),ROW(GS15:GS211),"")))</f>
        <v>4.1333333333333337</v>
      </c>
      <c r="GU15" s="12">
        <f>IF('Données projet'!$A$280&gt;35,GU14+GT15-HC14,IF(A15&lt;'Données projet'!$A$280,$GR$205^A15,IF(A15='Données projet'!$A$280,'Données projet'!$B$280,GU14+GT15-HC14)))</f>
        <v>27.158973516583853</v>
      </c>
      <c r="GV15" s="17">
        <f>GU15*VLOOKUP('Données projet'!$B$18,Paramètres!$A$1:$I$89,3,0)*VLOOKUP('Données projet'!$B$18,Paramètres!$A$1:$I$89,5,0)</f>
        <v>10.945066327183293</v>
      </c>
      <c r="GW15" s="13">
        <f t="shared" si="81"/>
        <v>3.817732025605709</v>
      </c>
      <c r="GX15" s="20">
        <f t="shared" si="28"/>
        <v>25.711873797774174</v>
      </c>
      <c r="GY15" s="59">
        <f t="shared" si="29"/>
        <v>319.04520713110747</v>
      </c>
      <c r="GZ15" s="59">
        <f ca="1">AVERAGE(OFFSET($GY$3,0,0,'Données projet'!$E$18+1,1))-AVERAGE(OFFSET($H$3,0,0,'Données projet'!$E$18+1,1))</f>
        <v>324.36162935850876</v>
      </c>
      <c r="HA15" s="59">
        <f t="shared" si="82"/>
        <v>265.23571072429735</v>
      </c>
      <c r="HB15" s="15">
        <f>IF(ISNA(VLOOKUP(A15,'Données projet'!$A$279:$I$299,3,0)),0,VLOOKUP(A15,'Données projet'!$A$279:$I$299,3,0))</f>
        <v>0</v>
      </c>
      <c r="HC15" s="15">
        <f>IF(ISNA(VLOOKUP(A15,'Données projet'!$A$279:$I$299,4,0)),0,VLOOKUP(A15,'Données projet'!$A$279:$I$299,4,0))</f>
        <v>0</v>
      </c>
      <c r="HD15" s="16">
        <f>IF(ISNA(VLOOKUP(A15,'Données projet'!$A$279:$I$299,5,0)),0%,VLOOKUP(A15,'Données projet'!$A$279:$I$299,5,0)*VLOOKUP('Données projet'!$B$18,Paramètres!$A$1:$I$89,7,0))</f>
        <v>0</v>
      </c>
      <c r="HE15" s="16">
        <f>IF(ISNA(VLOOKUP(A15,'Données projet'!$A$279:$I$299,6,0)),0%,VLOOKUP(A15,'Données projet'!$A$279:$I$299,6,0)*VLOOKUP('Données projet'!$B$18,Paramètres!$A$1:$I$89,7,0))</f>
        <v>0</v>
      </c>
      <c r="HF15" s="16">
        <f>IF(ISNA(VLOOKUP($A15,'Données projet'!$A$279:$I$299,7,0)),0%,VLOOKUP($A15,'Données projet'!$A$279:$I$299,7,0))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  <c r="HK15" s="74">
        <f>('Scénario référence'!$F$8+'Scénario référence'!$F$9+'Scénario référence'!$B$17+'Scénario référence'!$B$9+'Scénario référence'!$B$10)*70+IF((45+25*(1-EXP(-0.0175*$A15)))&lt;70,'Scénario référence'!$B$16*(45+25*(1-EXP(-0.0175*$A15))),70*'Scénario référence'!$B$16)+IF((32+38*(1-EXP(-0.0175*$A15)))&lt;70,'Scénario référence'!$B$18*(32+38*(1-EXP(-0.0175*$A15))),70*'Scénario référence'!$B$18)</f>
        <v>70</v>
      </c>
      <c r="HL15" s="12">
        <f>IF($A15&gt;30,10,('Scénario référence'!$B$16+'Scénario référence'!$B$17+'Scénario référence'!$B$18+'Scénario référence'!$B$9+'Scénario référence'!$B$10)*$A15*10/30+('Scénario référence'!$F$8+'Scénario référence'!$F$9)*10)</f>
        <v>10</v>
      </c>
      <c r="HM15" s="12">
        <f>VLOOKUP($A15,'Données projet'!$A$304:$I$324,2,0)</f>
        <v>103.82538461538462</v>
      </c>
      <c r="HN15" s="12">
        <f>VLOOKUP($A15,'Données projet'!$A$304:$I$324,9,0)</f>
        <v>16.724102564102566</v>
      </c>
      <c r="HO15" s="12">
        <f t="array" ref="HO15">INDEX(HN:HN,MIN(IF(ISNUMBER(HN15:HN211),ROW(HN15:HN211),"")))</f>
        <v>16.724102564102566</v>
      </c>
      <c r="HP15" s="12">
        <f>IF('Données projet'!$A$304&gt;35,HP14+HO15-HX14,IF($A15&lt;'Données projet'!$A$304,$CQ$205^$A15,IF($A15='Données projet'!$A$304,'Données projet'!$B$304,HP14+HO15-HX14)))</f>
        <v>103.82538461538462</v>
      </c>
      <c r="HQ15" s="17">
        <f>HP15*VLOOKUP('Données projet'!$B$19,Paramètres!$A$1:$I$89,3,0)*VLOOKUP('Données projet'!$B$19,Paramètres!$A$1:$I$89,5,0)</f>
        <v>52.801437600000007</v>
      </c>
      <c r="HR15" s="13">
        <f t="shared" si="83"/>
        <v>15.334931732378159</v>
      </c>
      <c r="HS15" s="14">
        <f t="shared" si="31"/>
        <v>118.67084325389196</v>
      </c>
      <c r="HT15" s="59">
        <f t="shared" si="32"/>
        <v>412.00417658722529</v>
      </c>
      <c r="HU15" s="59">
        <f ca="1">AVERAGE(OFFSET(HT$3,0,0,'Données projet'!$E$19+1,1))-AVERAGE(OFFSET($H$3,0,0,'Données projet'!$E$19+1,1))</f>
        <v>91.60721429656013</v>
      </c>
      <c r="HV15" s="59">
        <f t="shared" si="84"/>
        <v>258.94957804210856</v>
      </c>
      <c r="HW15" s="15">
        <f>IF(ISNA(VLOOKUP($A15,'Données projet'!$A$304:$I$324,3,0)),0,VLOOKUP($A15,'Données projet'!$A$304:$I$324,3,0))</f>
        <v>0</v>
      </c>
      <c r="HX15" s="15">
        <f>IF(ISNA(VLOOKUP($A15,'Données projet'!$A$304:$I$324,4,0)),0,VLOOKUP($A15,'Données projet'!$A$304:$I$324,4,0))</f>
        <v>0</v>
      </c>
      <c r="HY15" s="16">
        <f>IF(ISNA(VLOOKUP($A15,'Données projet'!$A$304:$I$324,5,0)),0%,VLOOKUP($A15,'Données projet'!$A$304:$I$324,5,0)*VLOOKUP('Données projet'!$B$19,Paramètres!$A$1:$I$89,7,0))</f>
        <v>0</v>
      </c>
      <c r="HZ15" s="16">
        <f>IF(ISNA(VLOOKUP($A15,'Données projet'!$A$304:$I$324,6,0)),0%,VLOOKUP($A15,'Données projet'!$A$304:$I$324,6,0)*VLOOKUP('Données projet'!$B$19,Paramètres!$A$1:$I$89,7,0))</f>
        <v>0</v>
      </c>
      <c r="IA15" s="16">
        <f>IF(ISNA(VLOOKUP($A15,'Données projet'!$A$304:$I$324,7,0)),0%,VLOOKUP($A15,'Données projet'!$A$304:$I$324,7,0))</f>
        <v>0</v>
      </c>
      <c r="IB15" s="21">
        <f>EXP(-LN(2)/35)*IB14+(1-EXP(-LN(2)/35))/(LN(2)/35)*HX15*HY15*VLOOKUP('Données projet'!$B$19,Paramètres!$A$1:$I$89,3,0)*0.475*44/12</f>
        <v>0</v>
      </c>
      <c r="IC15" s="21">
        <f>EXP(-LN(2)/25)*IC14+(1-EXP(-LN(2)/25))/(LN(2)/25)*Calculateur!HX15*Calculateur!HZ15*VLOOKUP('Données projet'!$B$19,Paramètres!$A$1:$I$89,3,0)*0.475*44/12</f>
        <v>0</v>
      </c>
      <c r="ID15" s="21">
        <f>EXP(-LN(2)/2)*ID14+(1-EXP(-LN(2)/2))/(LN(2)/2)*HX15*IA15*VLOOKUP('Données projet'!$B$19,Paramètres!$A$1:$I$89,3,0)*0.475*44/12</f>
        <v>0</v>
      </c>
      <c r="IE15" s="22">
        <f t="shared" si="33"/>
        <v>0</v>
      </c>
      <c r="IF15" s="74">
        <f>('Scénario référence'!$F$8+'Scénario référence'!$F$9+'Scénario référence'!$B$17+'Scénario référence'!$B$9+'Scénario référence'!$B$10)*70+IF((45+25*(1-EXP(-0.0175*$A15)))&lt;70,'Scénario référence'!$B$16*(45+25*(1-EXP(-0.0175*$A15))),70*'Scénario référence'!$B$16)+IF((32+38*(1-EXP(-0.0175*$A15)))&lt;70,'Scénario référence'!$B$18*(32+38*(1-EXP(-0.0175*$A15))),70*'Scénario référence'!$B$18)</f>
        <v>70</v>
      </c>
      <c r="IG15" s="12">
        <f>IF($A15&gt;30,10,('Scénario référence'!$B$16+'Scénario référence'!$B$17+'Scénario référence'!$B$18+'Scénario référence'!$B$9+'Scénario référence'!$B$10)*$A15*10/30+('Scénario référence'!$F$8+'Scénario référence'!$F$9)*10)</f>
        <v>10</v>
      </c>
      <c r="IH15" s="12">
        <f>VLOOKUP($A15,'Données projet'!$A$330:$I$350,2,0)</f>
        <v>103.82538461538462</v>
      </c>
      <c r="II15" s="12">
        <f>VLOOKUP($A15,'Données projet'!$A$330:$I$350,9,0)</f>
        <v>16.724102564102566</v>
      </c>
      <c r="IJ15" s="12">
        <f t="array" ref="IJ15">INDEX(II:II,MIN(IF(ISNUMBER(II15:II211),ROW(II15:II211),"")))</f>
        <v>16.724102564102566</v>
      </c>
      <c r="IK15" s="12">
        <f>IF('Données projet'!$A$330&gt;35,IK14+IJ15-IS14,IF($A15&lt;'Données projet'!$A$330,$CQ$205^$A15,IF($A15='Données projet'!$A$330,'Données projet'!$B$330,IK14+IJ15-IS14)))</f>
        <v>103.82538461538462</v>
      </c>
      <c r="IL15" s="17">
        <f>IK15*VLOOKUP('Données projet'!$B$20,Paramètres!$A$1:$I$89,3,0)*VLOOKUP('Données projet'!$B$20,Paramètres!$A$1:$I$89,5,0)</f>
        <v>52.801437600000007</v>
      </c>
      <c r="IM15" s="13">
        <f t="shared" si="85"/>
        <v>15.334931732378159</v>
      </c>
      <c r="IN15" s="20">
        <f t="shared" si="86"/>
        <v>118.67084325389196</v>
      </c>
      <c r="IO15" s="59">
        <f t="shared" si="87"/>
        <v>412.00417658722529</v>
      </c>
      <c r="IP15" s="59">
        <f ca="1">AVERAGE(OFFSET(IO$3,0,0,'Données projet'!$E$20+1,1))-AVERAGE(OFFSET($H$3,0,0,'Données projet'!$E$20+1,1))</f>
        <v>91.60721429656013</v>
      </c>
      <c r="IQ15" s="59">
        <f t="shared" si="88"/>
        <v>258.94957804210856</v>
      </c>
      <c r="IR15" s="15">
        <f>IF(ISNA(VLOOKUP($A15,'Données projet'!$A$330:$I$350,3,0)),0,VLOOKUP($A15,'Données projet'!$A$330:$I$350,3,0))</f>
        <v>0</v>
      </c>
      <c r="IS15" s="15">
        <f>IF(ISNA(VLOOKUP($A15,'Données projet'!$A$330:$I$350,4,0)),0,VLOOKUP($A15,'Données projet'!$A$330:$I$350,4,0))</f>
        <v>0</v>
      </c>
      <c r="IT15" s="16">
        <f>IF(ISNA(VLOOKUP($A15,'Données projet'!$A$330:$I$350,5,0)),0%,VLOOKUP($A15,'Données projet'!$A$330:$I$350,5,0)*VLOOKUP('Données projet'!$B$20,Paramètres!$A$1:$I$89,7,0))</f>
        <v>0</v>
      </c>
      <c r="IU15" s="16">
        <f>IF(ISNA(VLOOKUP($A15,'Données projet'!$A$330:$I$350,6,0)),0%,VLOOKUP($A15,'Données projet'!$A$330:$I$350,6,0)*VLOOKUP('Données projet'!$B$20,Paramètres!$A$1:$I$89,7,0))</f>
        <v>0</v>
      </c>
      <c r="IV15" s="16">
        <f>IF(ISNA(VLOOKUP($A15,'Données projet'!$A$330:$I$350,7,0)),0%,VLOOKUP($A15,'Données projet'!$A$330:$I$350,7,0))</f>
        <v>0</v>
      </c>
      <c r="IW15" s="21">
        <f>EXP(-LN(2)/35)*IW14+(1-EXP(-LN(2)/35))/(LN(2)/35)*IS15*IT15*VLOOKUP('Données projet'!$B$20,Paramètres!$A$1:$I$89,3,0)*0.475*44/12</f>
        <v>0</v>
      </c>
      <c r="IX15" s="21">
        <f>EXP(-LN(2)/25)*IX14+(1-EXP(-LN(2)/25))/(LN(2)/25)*Calculateur!IS15*Calculateur!IU15*VLOOKUP('Données projet'!$B$20,Paramètres!$A$1:$I$89,3,0)*0.475*44/12</f>
        <v>0</v>
      </c>
      <c r="IY15" s="21">
        <f>EXP(-LN(2)/2)*IY14+(1-EXP(-LN(2)/2))/(LN(2)/2)*IS15*IV15*VLOOKUP('Données projet'!$B$20,Paramètres!$A$1:$I$89,3,0)*0.475*44/12</f>
        <v>0</v>
      </c>
      <c r="IZ15" s="22">
        <f t="shared" si="89"/>
        <v>0</v>
      </c>
      <c r="JA15" s="74">
        <f>('Scénario référence'!$F$8+'Scénario référence'!$F$9+'Scénario référence'!$B$17+'Scénario référence'!$B$9+'Scénario référence'!$B$10)*70+IF((45+25*(1-EXP(-0.0175*$A15)))&lt;70,'Scénario référence'!$B$16*(45+25*(1-EXP(-0.0175*$A15))),70*'Scénario référence'!$B$16)+IF((32+38*(1-EXP(-0.0175*$A15)))&lt;70,'Scénario référence'!$B$18*(32+38*(1-EXP(-0.0175*$A15))),70*'Scénario référence'!$B$18)</f>
        <v>70</v>
      </c>
      <c r="JB15" s="12">
        <f>IF($A15&gt;30,10,('Scénario référence'!$B$16+'Scénario référence'!$B$17+'Scénario référence'!$B$18+'Scénario référence'!$B$9+'Scénario référence'!$B$10)*$A15*10/30+('Scénario référence'!$F$8+'Scénario référence'!$F$9)*10)</f>
        <v>10</v>
      </c>
      <c r="JC15" s="12" t="e">
        <f>VLOOKUP($A15,'Données projet'!$A$356:$I$376,2,0)</f>
        <v>#N/A</v>
      </c>
      <c r="JD15" s="12" t="e">
        <f>VLOOKUP($A15,'Données projet'!$A$356:$I$376,9,0)</f>
        <v>#N/A</v>
      </c>
      <c r="JE15" s="12">
        <f t="array" ref="JE15">INDEX(JD:JD,MIN(IF(ISNUMBER(JD15:JD211),ROW(JD15:JD211),"")))</f>
        <v>3.04</v>
      </c>
      <c r="JF15" s="12">
        <f>IF('Données projet'!$A$356&gt;35,JF14+JE15-JN14,IF($A15&lt;'Données projet'!$A$356,$CQ$205^$A15,IF($A15='Données projet'!$A$356,'Données projet'!$B$356,JF14+JE15-JN14)))</f>
        <v>36.479999999999997</v>
      </c>
      <c r="JG15" s="17">
        <f>JF15*VLOOKUP('Données projet'!$B$21,Paramètres!$A$1:$I$89,3,0)*VLOOKUP('Données projet'!$B$21,Paramètres!$A$1:$I$89,5,0)</f>
        <v>29.592576000000001</v>
      </c>
      <c r="JH15" s="13">
        <f t="shared" si="90"/>
        <v>9.193675310964343</v>
      </c>
      <c r="JI15" s="20">
        <f t="shared" si="91"/>
        <v>67.552721033262898</v>
      </c>
      <c r="JJ15" s="59">
        <f t="shared" si="92"/>
        <v>360.88605436659623</v>
      </c>
      <c r="JK15" s="59">
        <f ca="1">AVERAGE(OFFSET($JJ$3,0,0,'Données projet'!$E$22+1,1))-AVERAGE(OFFSET($H$3,0,0,'Données projet'!$E$22+1,1))</f>
        <v>353.35574633294613</v>
      </c>
      <c r="JL15" s="59">
        <f t="shared" si="93"/>
        <v>170.36796666474726</v>
      </c>
      <c r="JM15" s="15">
        <f>IF(ISNA(VLOOKUP($A15,'Données projet'!$A$356:$I$376,3,0)),0,VLOOKUP($A15,'Données projet'!$A$356:$I$376,3,0))</f>
        <v>0</v>
      </c>
      <c r="JN15" s="15">
        <f>IF(ISNA(VLOOKUP($A15,'Données projet'!$A$356:$I$376,4,0)),0,VLOOKUP($A15,'Données projet'!$A$356:$I$376,4,0))</f>
        <v>0</v>
      </c>
      <c r="JO15" s="16">
        <f>IF(ISNA(VLOOKUP($A15,'Données projet'!$A$356:$I$376,5,0)),0%,VLOOKUP($A15,'Données projet'!$A$356:$I$376,5,0)*VLOOKUP('Données projet'!$B$21,Paramètres!$A$1:$I$89,7,0))</f>
        <v>0</v>
      </c>
      <c r="JP15" s="16">
        <f>IF(ISNA(VLOOKUP($A15,'Données projet'!$A$356:$I$376,6,0)),0%,VLOOKUP($A15,'Données projet'!$A$356:$I$376,6,0)*VLOOKUP('Données projet'!$B$21,Paramètres!$A$1:$I$89,7,0))</f>
        <v>0</v>
      </c>
      <c r="JQ15" s="16">
        <f>IF(ISNA(VLOOKUP($A15,'Données projet'!$A$356:$I$376,7,0)),0%,VLOOKUP($A15,'Données projet'!$A$356:$I$376,7,0))</f>
        <v>0</v>
      </c>
      <c r="JR15" s="21">
        <f>EXP(-LN(2)/35)*JR14+(1-EXP(-LN(2)/35))/(LN(2)/35)*JN15*JO15*VLOOKUP('Données projet'!$B$21,Paramètres!$A$1:$I$89,3,0)*0.475*44/12</f>
        <v>0</v>
      </c>
      <c r="JS15" s="21">
        <f>EXP(-LN(2)/25)*JS14+(1-EXP(-LN(2)/25))/(LN(2)/25)*Calculateur!JN15*Calculateur!JP15*VLOOKUP('Données projet'!$B$21,Paramètres!$A$1:$I$89,3,0)*0.475*44/12</f>
        <v>0</v>
      </c>
      <c r="JT15" s="21">
        <f>EXP(-LN(2)/2)*JT14+(1-EXP(-LN(2)/2))/(LN(2)/2)*JN15*JQ15*VLOOKUP('Données projet'!$B$21,Paramètres!$A$1:$I$89,3,0)*0.475*44/12</f>
        <v>0</v>
      </c>
      <c r="JU15" s="18">
        <f t="shared" si="39"/>
        <v>0</v>
      </c>
      <c r="JV15" s="74">
        <f>('Scénario référence'!$F$8+'Scénario référence'!$F$9+'Scénario référence'!$B$17+'Scénario référence'!$B$9+'Scénario référence'!$B$10)*70+IF((45+25*(1-EXP(-0.0175*$A15)))&lt;70,'Scénario référence'!$B$16*(45+25*(1-EXP(-0.0175*$A15))),70*'Scénario référence'!$B$16)+IF((32+38*(1-EXP(-0.0175*$A15)))&lt;70,'Scénario référence'!$B$18*(32+38*(1-EXP(-0.0175*$A15))),70*'Scénario référence'!$B$18)</f>
        <v>70</v>
      </c>
      <c r="JW15" s="12">
        <f>IF($A15&gt;30,10,('Scénario référence'!$B$16+'Scénario référence'!$B$17+'Scénario référence'!$B$18+'Scénario référence'!$B$9+'Scénario référence'!$B$10)*$A15*10/30+('Scénario référence'!$F$8+'Scénario référence'!$F$9)*10)</f>
        <v>10</v>
      </c>
      <c r="JX15" s="12" t="e">
        <f>VLOOKUP($A15,'Données projet'!$A$382:$I$402,2,0)</f>
        <v>#N/A</v>
      </c>
      <c r="JY15" s="12" t="e">
        <f>VLOOKUP($A15,'Données projet'!$A$382:$I$402,9,0)</f>
        <v>#N/A</v>
      </c>
      <c r="JZ15" s="12">
        <f t="array" ref="JZ15">INDEX(JY:JY,MIN(IF(ISNUMBER(JY15:JY211),ROW(JY15:JY211),"")))</f>
        <v>4.0628205128205126</v>
      </c>
      <c r="KA15" s="12">
        <f>IF('Données projet'!$A$382&gt;35,KA14+JZ15-KI14,IF($A15&lt;'Données projet'!$A$382,$CQ$205^$A15,IF($A15='Données projet'!$A$382,'Données projet'!$B$382,KA14+JZ15-KI14)))</f>
        <v>48.753846153846162</v>
      </c>
      <c r="KB15" s="17">
        <f>KA15*VLOOKUP('Données projet'!$B$22,Paramètres!$A$1:$I$89,3,0)*VLOOKUP('Données projet'!$B$22,Paramètres!$A$1:$I$89,5,0)</f>
        <v>32.704080000000005</v>
      </c>
      <c r="KC15" s="13">
        <f t="shared" si="94"/>
        <v>10.042788947430548</v>
      </c>
      <c r="KD15" s="20">
        <f t="shared" si="95"/>
        <v>74.450796750108211</v>
      </c>
      <c r="KE15" s="59">
        <f t="shared" si="96"/>
        <v>367.78413008344154</v>
      </c>
      <c r="KF15" s="59">
        <f ca="1">AVERAGE(OFFSET($KE$3,0,0,'Données projet'!$E$22+1,1))-AVERAGE(OFFSET($H$3,0,0,'Données projet'!$E$22+1,1))</f>
        <v>193.91714772848269</v>
      </c>
      <c r="KG15" s="59">
        <f t="shared" si="97"/>
        <v>159.20429420478047</v>
      </c>
      <c r="KH15" s="15">
        <f>IF(ISNA(VLOOKUP($A15,'Données projet'!$A$382:$I$402,3,0)),0,VLOOKUP($A15,'Données projet'!$A$382:$I$402,3,0))</f>
        <v>0</v>
      </c>
      <c r="KI15" s="15">
        <f>IF(ISNA(VLOOKUP($A15,'Données projet'!$A$382:$I$402,4,0)),0,VLOOKUP($A15,'Données projet'!$A$382:$I$402,4,0))</f>
        <v>0</v>
      </c>
      <c r="KJ15" s="16">
        <f>IF(ISNA(VLOOKUP($A15,'Données projet'!$A$382:$I$402,5,0)),0%,VLOOKUP($A15,'Données projet'!$A$382:$I$402,5,0)*VLOOKUP('Données projet'!$B$22,Paramètres!$A$1:$I$89,7,0))</f>
        <v>0</v>
      </c>
      <c r="KK15" s="16">
        <f>IF(ISNA(VLOOKUP($A15,'Données projet'!$A$382:$I$402,6,0)),0%,VLOOKUP($A15,'Données projet'!$A$382:$I$402,6,0)*VLOOKUP('Données projet'!$B$22,Paramètres!$A$1:$I$89,7,0))</f>
        <v>0</v>
      </c>
      <c r="KL15" s="16">
        <f>IF(ISNA(VLOOKUP($A15,'Données projet'!$A$382:$I$402,7,0)),0%,VLOOKUP($A15,'Données projet'!$A$382:$I$402,7,0))</f>
        <v>0</v>
      </c>
      <c r="KM15" s="21">
        <f>EXP(-LN(2)/35)*KM14+(1-EXP(-LN(2)/35))/(LN(2)/35)*KI15*KJ15*VLOOKUP('Données projet'!$B$22,Paramètres!$A$1:$I$89,3,0)*0.475*44/12</f>
        <v>0</v>
      </c>
      <c r="KN15" s="21">
        <f>EXP(-LN(2)/25)*KN14+(1-EXP(-LN(2)/25))/(LN(2)/25)*Calculateur!KI15*Calculateur!KK15*VLOOKUP('Données projet'!$B$22,Paramètres!$A$1:$I$89,3,0)*0.475*44/12</f>
        <v>0</v>
      </c>
      <c r="KO15" s="21">
        <f>EXP(-LN(2)/2)*KO14+(1-EXP(-LN(2)/2))/(LN(2)/2)*KI15*KL15*VLOOKUP('Données projet'!$B$22,Paramètres!$A$1:$I$89,3,0)*0.475*44/12</f>
        <v>0</v>
      </c>
      <c r="KP15" s="22">
        <f t="shared" si="98"/>
        <v>0</v>
      </c>
      <c r="KQ15" s="74">
        <f>('Scénario référence'!$F$8+'Scénario référence'!$F$9+'Scénario référence'!$B$17+'Scénario référence'!$B$9+'Scénario référence'!$B$10)*70+IF((45+25*(1-EXP(-0.0175*$A15)))&lt;70,'Scénario référence'!$B$16*(45+25*(1-EXP(-0.0175*$A15))),70*'Scénario référence'!$B$16)+IF((32+38*(1-EXP(-0.0175*$A15)))&lt;70,'Scénario référence'!$B$18*(32+38*(1-EXP(-0.0175*$A15))),70*'Scénario référence'!$B$18)</f>
        <v>70</v>
      </c>
      <c r="KR15" s="12">
        <f>IF($A15&gt;30,10,('Scénario référence'!$B$16+'Scénario référence'!$B$17+'Scénario référence'!$B$18+'Scénario référence'!$B$9+'Scénario référence'!$B$10)*$A15*10/30+('Scénario référence'!$F$8+'Scénario référence'!$F$9)*10)</f>
        <v>10</v>
      </c>
      <c r="KS15" s="12" t="e">
        <f>VLOOKUP($A15,'Données projet'!$A$408:$I$428,2,0)</f>
        <v>#N/A</v>
      </c>
      <c r="KT15" s="12" t="e">
        <f>VLOOKUP($A15,'Données projet'!$A$408:$I$428,9,0)</f>
        <v>#N/A</v>
      </c>
      <c r="KU15" s="12">
        <f t="array" ref="KU15">INDEX(KT:KT,MIN(IF(ISNUMBER(KT15:KT211),ROW(KT15:KT211),"")))</f>
        <v>2.4666666666666668</v>
      </c>
      <c r="KV15" s="12">
        <f>IF('Données projet'!$A$408&gt;35,KV14+KU15-LD14,IF($A15&lt;'Données projet'!$A$408,$CQ$205^$A15,IF($A15='Données projet'!$A$408,'Données projet'!$B$408,KV14+KU15-LD14)))</f>
        <v>29.600000000000009</v>
      </c>
      <c r="KW15" s="17">
        <f>KV15*VLOOKUP('Données projet'!$B$23,Paramètres!$A$1:$I$89,3,0)*VLOOKUP('Données projet'!$B$23,Paramètres!$A$1:$I$89,5,0)</f>
        <v>25.858560000000011</v>
      </c>
      <c r="KX15" s="13">
        <f t="shared" si="99"/>
        <v>8.1607346448714608</v>
      </c>
      <c r="KY15" s="14">
        <f t="shared" si="43"/>
        <v>59.250271506484474</v>
      </c>
      <c r="KZ15" s="59">
        <f t="shared" si="44"/>
        <v>352.58360483981778</v>
      </c>
      <c r="LA15" s="59">
        <f ca="1">AVERAGE(OFFSET($KZ$3,0,0,'Données projet'!$E$23+1,1))-AVERAGE(OFFSET($H$3,0,0,'Données projet'!$E$23+1,1))</f>
        <v>248.33596943633819</v>
      </c>
      <c r="LB15" s="59">
        <f t="shared" si="100"/>
        <v>242.34010522344573</v>
      </c>
      <c r="LC15" s="15">
        <f>IF(ISNA(VLOOKUP($A15,'Données projet'!$A$408:$I$428,3,0)),0,VLOOKUP($A15,'Données projet'!$A$408:$I$428,3,0))</f>
        <v>0</v>
      </c>
      <c r="LD15" s="15">
        <f>IF(ISNA(VLOOKUP($A15,'Données projet'!$A$408:$I$428,4,0)),0,VLOOKUP($A15,'Données projet'!$A$408:$I$428,4,0))</f>
        <v>0</v>
      </c>
      <c r="LE15" s="16">
        <f>IF(ISNA(VLOOKUP($A15,'Données projet'!$A$408:$I$428,5,0)),0%,VLOOKUP($A15,'Données projet'!$A$408:$I$428,5,0)*VLOOKUP('Données projet'!$B$23,Paramètres!$A$1:$I$89,7,0))</f>
        <v>0</v>
      </c>
      <c r="LF15" s="16">
        <f>IF(ISNA(VLOOKUP($A15,'Données projet'!$A$408:$I$428,6,0)),0%,VLOOKUP($A15,'Données projet'!$A$408:$I$428,6,0)*VLOOKUP('Données projet'!$B$23,Paramètres!$A$1:$I$89,7,0))</f>
        <v>0</v>
      </c>
      <c r="LG15" s="16">
        <f>IF(ISNA(VLOOKUP($A15,'Données projet'!$A$408:$I$428,7,0)),0%,VLOOKUP($A15,'Données projet'!$A$408:$I$428,7,0))</f>
        <v>0</v>
      </c>
      <c r="LH15" s="21">
        <f>EXP(-LN(2)/35)*LH14+(1-EXP(-LN(2)/35))/(LN(2)/35)*LD15*LE15*VLOOKUP('Données projet'!$B$23,Paramètres!$A$1:$I$89,3,0)*0.475*44/12</f>
        <v>0</v>
      </c>
      <c r="LI15" s="21">
        <f>EXP(-LN(2)/25)*LI14+(1-EXP(-LN(2)/25))/(LN(2)/25)*Calculateur!LD15*Calculateur!LF15*VLOOKUP('Données projet'!$B$23,Paramètres!$A$1:$I$89,3,0)*0.475*44/12</f>
        <v>0</v>
      </c>
      <c r="LJ15" s="21">
        <f>EXP(-LN(2)/2)*LJ14+(1-EXP(-LN(2)/2))/(LN(2)/2)*LD15*LG15*VLOOKUP('Données projet'!$B$23,Paramètres!$A$1:$I$89,3,0)*0.475*44/12</f>
        <v>0</v>
      </c>
      <c r="LK15" s="22">
        <f t="shared" si="101"/>
        <v>0</v>
      </c>
      <c r="LL15" s="74">
        <f>('Scénario référence'!$F$8+'Scénario référence'!$F$9+'Scénario référence'!$B$17+'Scénario référence'!$B$9+'Scénario référence'!$B$10)*70+IF((45+25*(1-EXP(-0.0175*$A15)))&lt;70,'Scénario référence'!$B$16*(45+25*(1-EXP(-0.0175*$A15))),70*'Scénario référence'!$B$16)+IF((32+38*(1-EXP(-0.0175*$A15)))&lt;70,'Scénario référence'!$B$18*(32+38*(1-EXP(-0.0175*$A15))),70*'Scénario référence'!$B$18)</f>
        <v>70</v>
      </c>
      <c r="LM15" s="12">
        <f>IF($A15&gt;30,10,('Scénario référence'!$B$16+'Scénario référence'!$B$17+'Scénario référence'!$B$18+'Scénario référence'!$B$9+'Scénario référence'!$B$10)*$A15*10/30+('Scénario référence'!$F$8+'Scénario référence'!$F$9)*10)</f>
        <v>10</v>
      </c>
      <c r="LN15" s="12" t="e">
        <f>VLOOKUP($A15,'Données projet'!$A$434:$I$454,2,0)</f>
        <v>#N/A</v>
      </c>
      <c r="LO15" s="12" t="e">
        <f>VLOOKUP($A15,'Données projet'!$A$434:$I$454,9,0)</f>
        <v>#N/A</v>
      </c>
      <c r="LP15" s="12">
        <f t="array" ref="LP15">INDEX(LO:LO,MIN(IF(ISNUMBER(LO15:LO211),ROW(LO15:LO211),"")))</f>
        <v>2.9235042735042733</v>
      </c>
      <c r="LQ15" s="12">
        <f>IF('Données projet'!$A$434&gt;35,LQ14+LP15-LY14,IF($A15&lt;'Données projet'!$A$434,$CQ$205^$A15,IF($A15='Données projet'!$A$434,'Données projet'!$B$434,LQ14+LP15-LY14)))</f>
        <v>35.082051282051282</v>
      </c>
      <c r="LR15" s="17">
        <f>LQ15*VLOOKUP('Données projet'!$B$24,Paramètres!$A$1:$I$89,3,0)*VLOOKUP('Données projet'!$B$24,Paramètres!$A$1:$I$89,5,0)</f>
        <v>35.5732</v>
      </c>
      <c r="LS15" s="13">
        <f t="shared" si="102"/>
        <v>10.817434878507527</v>
      </c>
      <c r="LT15" s="14">
        <f t="shared" si="46"/>
        <v>80.797022413400597</v>
      </c>
      <c r="LU15" s="59">
        <f t="shared" si="103"/>
        <v>374.13035574673393</v>
      </c>
      <c r="LV15" s="59">
        <f ca="1">AVERAGE(OFFSET($LU$3,0,0,'Données projet'!$E$24+1,1))-AVERAGE(OFFSET($H$3,0,0,'Données projet'!$E$24+1,1))</f>
        <v>260.52627655062872</v>
      </c>
      <c r="LW15" s="59">
        <f t="shared" si="104"/>
        <v>159.20429420478047</v>
      </c>
      <c r="LX15" s="15">
        <f>IF(ISNA(VLOOKUP($A15,'Données projet'!$A$434:$I$454,3,0)),0,VLOOKUP($A15,'Données projet'!$A$434:$I$454,3,0))</f>
        <v>0</v>
      </c>
      <c r="LY15" s="15">
        <f>IF(ISNA(VLOOKUP($A15,'Données projet'!$A$434:$I$454,4,0)),0,VLOOKUP($A15,'Données projet'!$A$434:$I$454,4,0))</f>
        <v>0</v>
      </c>
      <c r="LZ15" s="16">
        <f>IF(ISNA(VLOOKUP($A15,'Données projet'!$A$434:$I$454,5,0)),0%,VLOOKUP($A15,'Données projet'!$A$434:$I$454,5,0)*VLOOKUP('Données projet'!$B$24,Paramètres!$A$1:$I$89,7,0))</f>
        <v>0</v>
      </c>
      <c r="MA15" s="16">
        <f>IF(ISNA(VLOOKUP($A15,'Données projet'!$A$434:$I$454,6,0)),0%,VLOOKUP($A15,'Données projet'!$A$434:$I$454,6,0)*VLOOKUP('Données projet'!$B$24,Paramètres!$A$1:$I$89,7,0))</f>
        <v>0</v>
      </c>
      <c r="MB15" s="16">
        <f>IF(ISNA(VLOOKUP($A15,'Données projet'!$A$434:$I$454,7,0)),0%,VLOOKUP($A15,'Données projet'!$A$434:$I$454,7,0))</f>
        <v>0</v>
      </c>
      <c r="MC15" s="21">
        <f>EXP(-LN(2)/35)*MC14+(1-EXP(-LN(2)/35))/(LN(2)/35)*LY15*LZ15*VLOOKUP('Données projet'!$B$24,Paramètres!$A$1:$I$89,3,0)*0.475*44/12</f>
        <v>0</v>
      </c>
      <c r="MD15" s="21">
        <f>EXP(-LN(2)/25)*MD14+(1-EXP(-LN(2)/25))/(LN(2)/25)*Calculateur!LY15*Calculateur!MA15*VLOOKUP('Données projet'!$B$24,Paramètres!$A$1:$I$89,3,0)*0.475*44/12</f>
        <v>0</v>
      </c>
      <c r="ME15" s="21">
        <f>EXP(-LN(2)/2)*ME14+(1-EXP(-LN(2)/2))/(LN(2)/2)*LY15*MB15*VLOOKUP('Données projet'!$B$24,Paramètres!$A$1:$I$89,3,0)*0.475*44/12</f>
        <v>0</v>
      </c>
      <c r="MF15" s="22">
        <f t="shared" si="105"/>
        <v>0</v>
      </c>
      <c r="MG15" s="74">
        <f>('Scénario référence'!$F$8+'Scénario référence'!$F$9+'Scénario référence'!$B$17+'Scénario référence'!$B$9+'Scénario référence'!$B$10)*70+IF((45+25*(1-EXP(-0.0175*$A15)))&lt;70,'Scénario référence'!$B$16*(45+25*(1-EXP(-0.0175*$A15))),70*'Scénario référence'!$B$16)+IF((32+38*(1-EXP(-0.0175*$A15)))&lt;70,'Scénario référence'!$B$18*(32+38*(1-EXP(-0.0175*$A15))),70*'Scénario référence'!$B$18)</f>
        <v>70</v>
      </c>
      <c r="MH15" s="12">
        <f>IF($A15&gt;30,10,('Scénario référence'!$B$16+'Scénario référence'!$B$17+'Scénario référence'!$B$18+'Scénario référence'!$B$9+'Scénario référence'!$B$10)*$A15*10/30+('Scénario référence'!$F$8+'Scénario référence'!$F$9)*10)</f>
        <v>10</v>
      </c>
      <c r="MI15" s="12" t="e">
        <f>VLOOKUP($A15,'Données projet'!$A$460:$I$480,2,0)</f>
        <v>#N/A</v>
      </c>
      <c r="MJ15" s="12" t="e">
        <f>VLOOKUP($A15,'Données projet'!$A$460:$I$480,9,0)</f>
        <v>#N/A</v>
      </c>
      <c r="MK15" s="12">
        <f t="array" ref="MK15">INDEX(MJ:MJ,MIN(IF(ISNUMBER(MJ15:MJ211),ROW(MJ15:MJ211),"")))</f>
        <v>0</v>
      </c>
      <c r="ML15" s="12">
        <f>IF('Données projet'!$A$460&gt;35,ML14+MK15-MT14,IF($A15&lt;'Données projet'!$A$460,$CQ$205^$A15,IF($A15='Données projet'!$A$460,'Données projet'!$B$460,ML14+MK15-MT14)))</f>
        <v>0</v>
      </c>
      <c r="MM15" s="17" t="e">
        <f>ML15*VLOOKUP('Données projet'!$B$25,Paramètres!$A$1:$I$89,3,0)*VLOOKUP('Données projet'!$B$25,Paramètres!$A$1:$I$89,5,0)</f>
        <v>#N/A</v>
      </c>
      <c r="MN15" s="13" t="e">
        <f t="shared" si="106"/>
        <v>#N/A</v>
      </c>
      <c r="MO15" s="14" t="e">
        <f t="shared" si="49"/>
        <v>#N/A</v>
      </c>
      <c r="MP15" s="59" t="e">
        <f t="shared" si="50"/>
        <v>#N/A</v>
      </c>
      <c r="MQ15" s="20" t="e">
        <f ca="1">AVERAGE(OFFSET($MP$3,0,0,'Données projet'!$E$25+1,1))-AVERAGE(OFFSET($H$3,0,0,'Données projet'!$E$25+1,1))</f>
        <v>#N/A</v>
      </c>
      <c r="MR15" s="59" t="e">
        <f t="shared" si="107"/>
        <v>#N/A</v>
      </c>
      <c r="MS15" s="15">
        <f>IF(ISNA(VLOOKUP($A15,'Données projet'!$A$460:$I$480,3,0)),0,VLOOKUP($A15,'Données projet'!$A$460:$I$480,3,0))</f>
        <v>0</v>
      </c>
      <c r="MT15" s="15">
        <f>IF(ISNA(VLOOKUP($A15,'Données projet'!$A$460:$I$480,4,0)),0,VLOOKUP($A15,'Données projet'!$A$460:$I$480,4,0))</f>
        <v>0</v>
      </c>
      <c r="MU15" s="16">
        <f>IF(ISNA(VLOOKUP($A15,'Données projet'!$A$460:$I$480,5,0)),0%,VLOOKUP($A15,'Données projet'!$A$460:$I$480,5,0)*VLOOKUP('Données projet'!$B$25,Paramètres!$A$1:$I$89,7,0))</f>
        <v>0</v>
      </c>
      <c r="MV15" s="16">
        <f>IF(ISNA(VLOOKUP($A15,'Données projet'!$A$460:$I$480,6,0)),0%,VLOOKUP($A15,'Données projet'!$A$460:$I$480,6,0)*VLOOKUP('Données projet'!$B$25,Paramètres!$A$1:$I$89,7,0))</f>
        <v>0</v>
      </c>
      <c r="MW15" s="16">
        <f>IF(ISNA(VLOOKUP($A15,'Données projet'!$A$460:$I$480,7,0)),0%,VLOOKUP($A15,'Données projet'!$A$460:$I$480,7,0))</f>
        <v>0</v>
      </c>
      <c r="MX15" s="21" t="e">
        <f>EXP(-LN(2)/35)*MX14+(1-EXP(-LN(2)/35))/(LN(2)/35)*MT15*MU15*VLOOKUP('Données projet'!$B$25,Paramètres!$A$1:$I$89,3,0)*0.475*44/12</f>
        <v>#N/A</v>
      </c>
      <c r="MY15" s="21" t="e">
        <f>EXP(-LN(2)/25)*MY14+(1-EXP(-LN(2)/25))/(LN(2)/25)*Calculateur!MT15*Calculateur!MV15*VLOOKUP('Données projet'!$B$25,Paramètres!$A$1:$I$89,3,0)*0.475*44/12</f>
        <v>#N/A</v>
      </c>
      <c r="MZ15" s="21" t="e">
        <f>EXP(-LN(2)/2)*MZ14+(1-EXP(-LN(2)/2))/(LN(2)/2)*MT15*MW15*VLOOKUP('Données projet'!$B$25,Paramètres!$A$1:$I$89,3,0)*0.475*44/12</f>
        <v>#N/A</v>
      </c>
      <c r="NA15" s="22" t="e">
        <f t="shared" si="108"/>
        <v>#N/A</v>
      </c>
      <c r="NB15" s="74">
        <f>('Scénario référence'!$F$8+'Scénario référence'!$F$9+'Scénario référence'!$B$17+'Scénario référence'!$B$9+'Scénario référence'!$B$10)*70+IF((45+25*(1-EXP(-0.0175*$A15)))&lt;70,'Scénario référence'!$B$16*(45+25*(1-EXP(-0.0175*$A15))),70*'Scénario référence'!$B$16)+IF((32+38*(1-EXP(-0.0175*$A15)))&lt;70,'Scénario référence'!$B$18*(32+38*(1-EXP(-0.0175*$A15))),70*'Scénario référence'!$B$18)</f>
        <v>70</v>
      </c>
      <c r="NC15" s="12">
        <f>IF($A15&gt;30,10,('Scénario référence'!$B$16+'Scénario référence'!$B$17+'Scénario référence'!$B$18+'Scénario référence'!$B$9+'Scénario référence'!$B$10)*$A15*10/30+('Scénario référence'!$F$8+'Scénario référence'!$F$9)*10)</f>
        <v>10</v>
      </c>
      <c r="ND15" s="12" t="e">
        <f>VLOOKUP($A15,'Données projet'!$A$486:$I$506,2,0)</f>
        <v>#N/A</v>
      </c>
      <c r="NE15" s="12" t="e">
        <f>VLOOKUP($A15,'Données projet'!$A$486:$I$506,9,0)</f>
        <v>#N/A</v>
      </c>
      <c r="NF15" s="12">
        <f t="array" ref="NF15">INDEX(NE:NE,MIN(IF(ISNUMBER(NE15:NE211),ROW(NE15:NE211),"")))</f>
        <v>0</v>
      </c>
      <c r="NG15" s="12">
        <f>IF('Données projet'!$A$486&gt;35,NG14+NF15-NO14,IF($A15&lt;'Données projet'!$A$486,$CQ$205^$A15,IF($A15='Données projet'!$A$486,'Données projet'!$B$486,NG14+NF15-NO14)))</f>
        <v>0</v>
      </c>
      <c r="NH15" s="17" t="e">
        <f>NG15*VLOOKUP('Données projet'!$B$26,Paramètres!$A$1:$I$89,3,0)*VLOOKUP('Données projet'!$B$26,Paramètres!$A$1:$I$89,5,0)</f>
        <v>#N/A</v>
      </c>
      <c r="NI15" s="13" t="e">
        <f t="shared" si="109"/>
        <v>#N/A</v>
      </c>
      <c r="NJ15" s="14" t="e">
        <f t="shared" si="52"/>
        <v>#N/A</v>
      </c>
      <c r="NK15" s="59" t="e">
        <f t="shared" si="53"/>
        <v>#N/A</v>
      </c>
      <c r="NL15" s="20" t="e">
        <f ca="1">AVERAGE(OFFSET($NK$3,0,0,'Données projet'!$E$26+1,1))-AVERAGE(OFFSET($H$3,0,0,'Données projet'!$E$26+1,1))</f>
        <v>#N/A</v>
      </c>
      <c r="NM15" s="59" t="e">
        <f t="shared" si="110"/>
        <v>#N/A</v>
      </c>
      <c r="NN15" s="15">
        <f>IF(ISNA(VLOOKUP($A15,'Données projet'!$A$486:$I$506,3,0)),0,VLOOKUP($A15,'Données projet'!$A$486:$I$506,3,0))</f>
        <v>0</v>
      </c>
      <c r="NO15" s="15">
        <f>IF(ISNA(VLOOKUP($A15,'Données projet'!$A$486:$I$506,4,0)),0,VLOOKUP($A15,'Données projet'!$A$486:$I$506,4,0))</f>
        <v>0</v>
      </c>
      <c r="NP15" s="16">
        <f>IF(ISNA(VLOOKUP($A15,'Données projet'!$A$486:$I$506,5,0)),0%,VLOOKUP($A15,'Données projet'!$A$486:$I$506,5,0)*VLOOKUP('Données projet'!$B$26,Paramètres!$A$1:$I$89,7,0))</f>
        <v>0</v>
      </c>
      <c r="NQ15" s="16">
        <f>IF(ISNA(VLOOKUP($A15,'Données projet'!$A$486:$I$506,6,0)),0%,VLOOKUP($A15,'Données projet'!$A$486:$I$506,6,0)*VLOOKUP('Données projet'!$B$26,Paramètres!$A$1:$I$89,7,0))</f>
        <v>0</v>
      </c>
      <c r="NR15" s="16">
        <f>IF(ISNA(VLOOKUP($A15,'Données projet'!$A$486:$I$506,7,0)),0%,VLOOKUP($A15,'Données projet'!$A$486:$I$506,7,0))</f>
        <v>0</v>
      </c>
      <c r="NS15" s="21" t="e">
        <f>EXP(-LN(2)/35)*NS14+(1-EXP(-LN(2)/35))/(LN(2)/35)*NO15*NP15*VLOOKUP('Données projet'!$B$26,Paramètres!$A$1:$I$89,3,0)*0.475*44/12</f>
        <v>#N/A</v>
      </c>
      <c r="NT15" s="21" t="e">
        <f>EXP(-LN(2)/25)*NT14+(1-EXP(-LN(2)/25))/(LN(2)/25)*Calculateur!NO15*Calculateur!NQ15*VLOOKUP('Données projet'!$B$26,Paramètres!$A$1:$I$89,3,0)*0.475*44/12</f>
        <v>#N/A</v>
      </c>
      <c r="NU15" s="21" t="e">
        <f>EXP(-LN(2)/2)*NU14+(1-EXP(-LN(2)/2))/(LN(2)/2)*NO15*NR15*VLOOKUP('Données projet'!$B$26,Paramètres!$A$1:$I$89,3,0)*0.475*44/12</f>
        <v>#N/A</v>
      </c>
      <c r="NV15" s="22" t="e">
        <f t="shared" si="111"/>
        <v>#N/A</v>
      </c>
      <c r="NW15" s="74">
        <f>('Scénario référence'!$F$8+'Scénario référence'!$F$9+'Scénario référence'!$B$17+'Scénario référence'!$B$9+'Scénario référence'!$B$10)*70+IF((45+25*(1-EXP(-0.0175*$A15)))&lt;70,'Scénario référence'!$B$16*(45+25*(1-EXP(-0.0175*$A15))),70*'Scénario référence'!$B$16)+IF((32+38*(1-EXP(-0.0175*$A15)))&lt;70,'Scénario référence'!$B$18*(32+38*(1-EXP(-0.0175*$A15))),70*'Scénario référence'!$B$18)</f>
        <v>70</v>
      </c>
      <c r="NX15" s="12">
        <f>IF($A15&gt;30,10,('Scénario référence'!$B$16+'Scénario référence'!$B$17+'Scénario référence'!$B$18+'Scénario référence'!$B$9+'Scénario référence'!$B$10)*$A15*10/30+('Scénario référence'!$F$8+'Scénario référence'!$F$9)*10)</f>
        <v>10</v>
      </c>
      <c r="NY15" s="12" t="e">
        <f>VLOOKUP($A15,'Données projet'!$A$512:$I$532,2,0)</f>
        <v>#N/A</v>
      </c>
      <c r="NZ15" s="12" t="e">
        <f>VLOOKUP($A15,'Données projet'!$A$512:$I$532,9,0)</f>
        <v>#N/A</v>
      </c>
      <c r="OA15" s="12">
        <f t="array" ref="OA15">INDEX(NZ:NZ,MIN(IF(ISNUMBER(NZ15:NZ211),ROW(NZ15:NZ211),"")))</f>
        <v>0</v>
      </c>
      <c r="OB15" s="12">
        <f>IF('Données projet'!$A$512&gt;35,OB14+OA15-OJ14,IF($A15&lt;'Données projet'!$A$512,$CQ$205^$A15,IF($A15='Données projet'!$A$512,'Données projet'!$B$512,OB14+OA15-OJ14)))</f>
        <v>0</v>
      </c>
      <c r="OC15" s="17" t="e">
        <f>OB15*VLOOKUP('Données projet'!$B$27,Paramètres!$A$1:$I$89,3,0)*VLOOKUP('Données projet'!$B$27,Paramètres!$A$1:$I$89,5,0)</f>
        <v>#N/A</v>
      </c>
      <c r="OD15" s="13" t="e">
        <f t="shared" si="112"/>
        <v>#N/A</v>
      </c>
      <c r="OE15" s="14" t="e">
        <f t="shared" si="55"/>
        <v>#N/A</v>
      </c>
      <c r="OF15" s="59" t="e">
        <f t="shared" si="56"/>
        <v>#N/A</v>
      </c>
      <c r="OG15" s="20" t="e">
        <f ca="1">AVERAGE(OFFSET($OF$3,0,0,'Données projet'!$E$27+1,1))-AVERAGE(OFFSET($H$3,0,0,'Données projet'!$E$27+1,1))</f>
        <v>#N/A</v>
      </c>
      <c r="OH15" s="59" t="e">
        <f t="shared" si="113"/>
        <v>#N/A</v>
      </c>
      <c r="OI15" s="15">
        <f>IF(ISNA(VLOOKUP($A15,'Données projet'!$A$512:$I$532,3,0)),0,VLOOKUP($A15,'Données projet'!$A$512:$I$532,3,0))</f>
        <v>0</v>
      </c>
      <c r="OJ15" s="15">
        <f>IF(ISNA(VLOOKUP($A15,'Données projet'!$A$512:$I$532,4,0)),0,VLOOKUP($A15,'Données projet'!$A$512:$I$532,4,0))</f>
        <v>0</v>
      </c>
      <c r="OK15" s="16">
        <f>IF(ISNA(VLOOKUP($A15,'Données projet'!$A$512:$I$532,5,0)),0%,VLOOKUP($A15,'Données projet'!$A$512:$I$532,5,0)*VLOOKUP('Données projet'!$B$27,Paramètres!$A$1:$I$89,7,0))</f>
        <v>0</v>
      </c>
      <c r="OL15" s="16">
        <f>IF(ISNA(VLOOKUP($A15,'Données projet'!$A$512:$I$532,6,0)),0%,VLOOKUP($A15,'Données projet'!$A$512:$I$532,6,0)*VLOOKUP('Données projet'!$B$27,Paramètres!$A$1:$I$89,7,0))</f>
        <v>0</v>
      </c>
      <c r="OM15" s="16">
        <f>IF(ISNA(VLOOKUP($A15,'Données projet'!$A$512:$I$532,7,0)),0%,VLOOKUP($A15,'Données projet'!$A$512:$I$532,7,0))</f>
        <v>0</v>
      </c>
      <c r="ON15" s="21" t="e">
        <f>EXP(-LN(2)/35)*ON14+(1-EXP(-LN(2)/35))/(LN(2)/35)*OJ15*OK15*VLOOKUP('Données projet'!$B$27,Paramètres!$A$1:$I$89,3,0)*0.475*44/12</f>
        <v>#N/A</v>
      </c>
      <c r="OO15" s="21" t="e">
        <f>EXP(-LN(2)/25)*OO14+(1-EXP(-LN(2)/25))/(LN(2)/25)*Calculateur!OJ15*Calculateur!OL15*VLOOKUP('Données projet'!$B$27,Paramètres!$A$1:$I$89,3,0)*0.475*44/12</f>
        <v>#N/A</v>
      </c>
      <c r="OP15" s="21" t="e">
        <f>EXP(-LN(2)/2)*OP14+(1-EXP(-LN(2)/2))/(LN(2)/2)*OJ15*OM15*VLOOKUP('Données projet'!$B$27,Paramètres!$A$1:$I$89,3,0)*0.475*44/12</f>
        <v>#N/A</v>
      </c>
      <c r="OQ15" s="22" t="e">
        <f t="shared" si="114"/>
        <v>#N/A</v>
      </c>
      <c r="OR15" s="74">
        <f>('Scénario référence'!$F$8+'Scénario référence'!$F$9+'Scénario référence'!$B$17+'Scénario référence'!$B$9+'Scénario référence'!$B$10)*70+IF((45+25*(1-EXP(-0.0175*$A15)))&lt;70,'Scénario référence'!$B$16*(45+25*(1-EXP(-0.0175*$A15))),70*'Scénario référence'!$B$16)+IF((32+38*(1-EXP(-0.0175*$A15)))&lt;70,'Scénario référence'!$B$18*(32+38*(1-EXP(-0.0175*$A15))),70*'Scénario référence'!$B$18)</f>
        <v>70</v>
      </c>
      <c r="OS15" s="12">
        <f>IF($A15&gt;30,10,('Scénario référence'!$B$16+'Scénario référence'!$B$17+'Scénario référence'!$B$18+'Scénario référence'!$B$9+'Scénario référence'!$B$10)*$A15*10/30+('Scénario référence'!$F$8+'Scénario référence'!$F$9)*10)</f>
        <v>10</v>
      </c>
      <c r="OT15" s="12" t="e">
        <f>VLOOKUP($A15,'Données projet'!$A$538:$I$558,2,0)</f>
        <v>#N/A</v>
      </c>
      <c r="OU15" s="12" t="e">
        <f>VLOOKUP($A15,'Données projet'!$A$538:$I$558,9,0)</f>
        <v>#N/A</v>
      </c>
      <c r="OV15" s="12">
        <f t="array" ref="OV15">INDEX(OU:OU,MIN(IF(ISNUMBER(OU15:OU211),ROW(OU15:OU211),"")))</f>
        <v>0</v>
      </c>
      <c r="OW15" s="12">
        <f>IF('Données projet'!$A$538&gt;35,OW14+OV15-PE14,IF($A15&lt;'Données projet'!$A$538,$CQ$205^$A15,IF($A15='Données projet'!$A$538,'Données projet'!$B$538,OW14+OV15-PE14)))</f>
        <v>0</v>
      </c>
      <c r="OX15" s="17" t="e">
        <f>OW15*VLOOKUP('Données projet'!$B$28,Paramètres!$A$1:$I$89,3,0)*VLOOKUP('Données projet'!$B$28,Paramètres!$A$1:$I$89,5,0)</f>
        <v>#N/A</v>
      </c>
      <c r="OY15" s="13" t="e">
        <f t="shared" si="115"/>
        <v>#N/A</v>
      </c>
      <c r="OZ15" s="14" t="e">
        <f t="shared" si="58"/>
        <v>#N/A</v>
      </c>
      <c r="PA15" s="59" t="e">
        <f t="shared" si="59"/>
        <v>#N/A</v>
      </c>
      <c r="PB15" s="20" t="e">
        <f ca="1">AVERAGE(OFFSET($PA$3,0,0,'Données projet'!$E$28+1,1))-AVERAGE(OFFSET($H$3,0,0,'Données projet'!$E$28+1,1))</f>
        <v>#N/A</v>
      </c>
      <c r="PC15" s="59" t="e">
        <f t="shared" si="116"/>
        <v>#N/A</v>
      </c>
      <c r="PD15" s="15">
        <f>IF(ISNA(VLOOKUP($A15,'Données projet'!$A$538:$I$558,3,0)),0,VLOOKUP($A15,'Données projet'!$A$538:$I$558,3,0))</f>
        <v>0</v>
      </c>
      <c r="PE15" s="15">
        <f>IF(ISNA(VLOOKUP($A15,'Données projet'!$A$538:$I$558,4,0)),0,VLOOKUP($A15,'Données projet'!$A$538:$I$558,4,0))</f>
        <v>0</v>
      </c>
      <c r="PF15" s="16">
        <f>IF(ISNA(VLOOKUP($A15,'Données projet'!$A$538:$I$558,5,0)),0%,VLOOKUP($A15,'Données projet'!$A$538:$I$558,5,0)*VLOOKUP('Données projet'!$B$28,Paramètres!$A$1:$I$89,7,0))</f>
        <v>0</v>
      </c>
      <c r="PG15" s="16">
        <f>IF(ISNA(VLOOKUP($A15,'Données projet'!$A$538:$I$558,6,0)),0%,VLOOKUP($A15,'Données projet'!$A$538:$I$558,6,0)*VLOOKUP('Données projet'!$B$28,Paramètres!$A$1:$I$89,7,0))</f>
        <v>0</v>
      </c>
      <c r="PH15" s="16">
        <f>IF(ISNA(VLOOKUP($A15,'Données projet'!$A$538:$I$558,7,0)),0%,VLOOKUP($A15,'Données projet'!$A$538:$I$558,7,0))</f>
        <v>0</v>
      </c>
      <c r="PI15" s="21" t="e">
        <f>EXP(-LN(2)/35)*PI14+(1-EXP(-LN(2)/35))/(LN(2)/35)*PE15*PF15*VLOOKUP('Données projet'!$B$28,Paramètres!$A$1:$I$89,3,0)*0.475*44/12</f>
        <v>#N/A</v>
      </c>
      <c r="PJ15" s="21" t="e">
        <f>EXP(-LN(2)/25)*PJ14+(1-EXP(-LN(2)/25))/(LN(2)/25)*Calculateur!PE15*Calculateur!PG15*VLOOKUP('Données projet'!$B$28,Paramètres!$A$1:$I$89,3,0)*0.475*44/12</f>
        <v>#N/A</v>
      </c>
      <c r="PK15" s="21" t="e">
        <f>EXP(-LN(2)/2)*PK14+(1-EXP(-LN(2)/2))/(LN(2)/2)*PE15*PH15*VLOOKUP('Données projet'!$B$28,Paramètres!$A$1:$I$89,3,0)*0.475*44/12</f>
        <v>#N/A</v>
      </c>
      <c r="PL15" s="22" t="e">
        <f t="shared" si="117"/>
        <v>#N/A</v>
      </c>
    </row>
    <row r="16" spans="1:428" x14ac:dyDescent="0.35">
      <c r="A16" s="10">
        <f t="shared" si="6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6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projet'!$A$45:$I$65,2,0)</f>
        <v>#N/A</v>
      </c>
      <c r="L16" s="12" t="e">
        <f>VLOOKUP(A16,'Données projet'!$A$45:$I$65,9,0)</f>
        <v>#N/A</v>
      </c>
      <c r="M16" s="12">
        <f t="array" ref="M16">INDEX(L:L,MIN(IF(ISNUMBER(L16:L212),ROW(L16:L212),"")))</f>
        <v>10.16068376068376</v>
      </c>
      <c r="N16" s="13">
        <f>IF('Données projet'!$A$46&gt;35,N15+M16-V15,IF(A16&lt;'Données projet'!$A$46,$K$205^A16,IF(A16='Données projet'!$A$46,'Données projet'!$B$46,N15+M16-V15)))</f>
        <v>43.033613759729988</v>
      </c>
      <c r="O16" s="13">
        <f>N16*VLOOKUP('Données projet'!$B$9,Paramètres!$A$1:$I$89,3,0)*VLOOKUP('Données projet'!$B$9,Paramètres!$A$1:$I$89,5,0)</f>
        <v>24.055790091689062</v>
      </c>
      <c r="P16" s="13">
        <f t="shared" si="63"/>
        <v>7.6559259813080898</v>
      </c>
      <c r="Q16" s="20">
        <f t="shared" si="2"/>
        <v>55.231238827136707</v>
      </c>
      <c r="R16" s="59">
        <f t="shared" si="0"/>
        <v>348.56457216046999</v>
      </c>
      <c r="S16" s="59">
        <f ca="1">AVERAGE(OFFSET($R$3,0,0,'Données projet'!$E$9+1,1))-AVERAGE(OFFSET($H$3,0,0,'Données projet'!$E$9+1,1))</f>
        <v>274.57619581652199</v>
      </c>
      <c r="T16" s="59">
        <f t="shared" si="64"/>
        <v>366.15117322598775</v>
      </c>
      <c r="U16" s="15">
        <f>IF(ISNA(VLOOKUP(A16,'Données projet'!$A$45:$I$65,3,0)),0,VLOOKUP(A16,'Données projet'!$A$45:$I$65,3,0))</f>
        <v>0</v>
      </c>
      <c r="V16" s="15">
        <f>IF(ISNA(VLOOKUP(A16,'Données projet'!$A$45:$I$65,4,0)),0,VLOOKUP(A16,'Données projet'!$A$45:$I$65,4,0))</f>
        <v>0</v>
      </c>
      <c r="W16" s="16">
        <f>IF(ISNA(VLOOKUP(A16,'Données projet'!$A$45:$I$65,5,0)),0%,VLOOKUP(A16,'Données projet'!$A$45:$I$65,5,0)*VLOOKUP('Données projet'!$B$9,Paramètres!$A$1:$I$89,7,0))</f>
        <v>0</v>
      </c>
      <c r="X16" s="16">
        <f>IF(ISNA(VLOOKUP(A16,'Données projet'!$A$45:$I$65,6,0)),0%,VLOOKUP(A16,'Données projet'!$A$45:$I$65,6,0)*VLOOKUP('Données projet'!$B$9,Paramètres!$A$1:$I$89,7,0))</f>
        <v>0</v>
      </c>
      <c r="Y16" s="16">
        <f>IF(ISNA(VLOOKUP(A16,'Données projet'!$A$45:$I$65,7,0)),0%,VLOOKUP(A16,'Données projet'!$A$45:$I$65,7,0))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projet'!$A$71:$I$91,2,0)</f>
        <v>#N/A</v>
      </c>
      <c r="AG16" s="12" t="e">
        <f>VLOOKUP(A16,'Données projet'!$A$71:$I$91,9,0)</f>
        <v>#N/A</v>
      </c>
      <c r="AH16" s="12">
        <f t="array" ref="AH16">INDEX(AG:AG,MIN(IF(ISNUMBER(AG16:AG212),ROW(AG16:AG212),"")))</f>
        <v>4.0628205128205126</v>
      </c>
      <c r="AI16" s="13">
        <f>IF('Données projet'!$A$72&gt;35,AI15+AH16-AQ15,IF(A16&lt;'Données projet'!$A$72,$AF$205^A16,IF(A16='Données projet'!$A$72,'Données projet'!$B$72,AI15+AH16-AQ15)))</f>
        <v>8.0151413590917304</v>
      </c>
      <c r="AJ16" s="13">
        <f>AI16*VLOOKUP('Données projet'!$B$10,Paramètres!$A$1:$I$89,3,0)*VLOOKUP('Données projet'!$B$10,Paramètres!$A$1:$I$89,5,0)</f>
        <v>7.2520999017061971</v>
      </c>
      <c r="AK16" s="13">
        <f t="shared" si="65"/>
        <v>2.6537368749284589</v>
      </c>
      <c r="AL16" s="20">
        <f t="shared" si="4"/>
        <v>17.252665719305359</v>
      </c>
      <c r="AM16" s="59">
        <f t="shared" si="5"/>
        <v>310.58599905263867</v>
      </c>
      <c r="AN16" s="59">
        <f ca="1">AVERAGE(OFFSET($AM$3,0,0,'Données projet'!$E$10+1,1))-AVERAGE(OFFSET($H$3,0,0,'Données projet'!$E$10+1,1))</f>
        <v>270.87836509222456</v>
      </c>
      <c r="AO16" s="59">
        <f t="shared" si="66"/>
        <v>205.24998237949734</v>
      </c>
      <c r="AP16" s="15">
        <f>IF(ISNA(VLOOKUP(A16,'Données projet'!$A$71:$I$91,3,0)),0,VLOOKUP(A16,'Données projet'!$A$71:$I$91,3,0))</f>
        <v>0</v>
      </c>
      <c r="AQ16" s="15">
        <f>IF(ISNA(VLOOKUP(A16,'Données projet'!$A$71:$I$91,4,0)),0,VLOOKUP(A16,'Données projet'!$A$71:$I$91,4,0))</f>
        <v>0</v>
      </c>
      <c r="AR16" s="16">
        <f>IF(ISNA(VLOOKUP(A16,'Données projet'!$A$71:$I$91,5,0)),0%,VLOOKUP(A16,'Données projet'!$A$71:$I$91,5,0)*VLOOKUP('Données projet'!$B$10,Paramètres!$A$1:$I$89,7,0))</f>
        <v>0</v>
      </c>
      <c r="AS16" s="16">
        <f>IF(ISNA(VLOOKUP(A16,'Données projet'!$A$71:$I$91,6,0)),0%,VLOOKUP(A16,'Données projet'!$A$71:$I$91,6,0)*VLOOKUP('Données projet'!$B$10,Paramètres!$A$1:$I$89,7,0))</f>
        <v>0</v>
      </c>
      <c r="AT16" s="16">
        <f>IF(ISNA(VLOOKUP(A16,'Données projet'!$A$71:$I$91,7,0)),0%,VLOOKUP(A16,'Données projet'!$A$71:$I$91,7,0))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projet'!$A$97:$I$117,2,0)</f>
        <v>#N/A</v>
      </c>
      <c r="BB16" s="12" t="e">
        <f>VLOOKUP(A16,'Données projet'!$A$97:$I$117,9,0)</f>
        <v>#N/A</v>
      </c>
      <c r="BC16" s="12">
        <f t="array" ref="BC16">INDEX(BB:BB,MIN(IF(ISNUMBER(BB16:BB212),ROW(BB16:BB212),"")))</f>
        <v>10.16068376068376</v>
      </c>
      <c r="BD16" s="12">
        <f>IF('Données projet'!$A$98&gt;35,BD15+BC16-BL15,IF(A16&lt;'Données projet'!$A$98,$BA$205^A16,IF(A16='Données projet'!$A$98,'Données projet'!$B$98,BD15+BC16-BL15)))</f>
        <v>43.033613759729988</v>
      </c>
      <c r="BE16" s="13">
        <f>BD16*VLOOKUP('Données projet'!$B$11,Paramètres!$A$1:$I$89,3,0)*VLOOKUP('Données projet'!$B$11,Paramètres!$A$1:$I$89,5,0)</f>
        <v>19.020857281800655</v>
      </c>
      <c r="BF16" s="13">
        <f t="shared" si="67"/>
        <v>6.2212803110869102</v>
      </c>
      <c r="BG16" s="20">
        <f t="shared" si="7"/>
        <v>43.963389640945849</v>
      </c>
      <c r="BH16" s="59">
        <f t="shared" si="8"/>
        <v>337.29672297427919</v>
      </c>
      <c r="BI16" s="59">
        <f ca="1">AVERAGE(OFFSET($BH$3,0,0,'Données projet'!$E$11+1,1))-AVERAGE(OFFSET($H$3,0,0,'Données projet'!$E$11+1,1))</f>
        <v>211.31057120485542</v>
      </c>
      <c r="BJ16" s="59">
        <f t="shared" si="68"/>
        <v>283.33292006714777</v>
      </c>
      <c r="BK16" s="15">
        <f>IF(ISNA(VLOOKUP(A16,'Données projet'!$A$97:$I$117,3,0)),0,VLOOKUP(A16,'Données projet'!$A$97:$I$117,3,0))</f>
        <v>0</v>
      </c>
      <c r="BL16" s="15">
        <f>IF(ISNA(VLOOKUP(A16,'Données projet'!$A$97:$I$117,4,0)),0,VLOOKUP(A16,'Données projet'!$A$97:$I$117,4,0))</f>
        <v>0</v>
      </c>
      <c r="BM16" s="16">
        <f>IF(ISNA(VLOOKUP(A16,'Données projet'!$A$97:$I$117,5,0)),0%,VLOOKUP(A16,'Données projet'!$A$97:$I$117,5,0)*VLOOKUP('Données projet'!$B$11,Paramètres!$A$1:$I$89,7,0))</f>
        <v>0</v>
      </c>
      <c r="BN16" s="16">
        <f>IF(ISNA(VLOOKUP(A16,'Données projet'!$A$97:$I$117,6,0)),0%,VLOOKUP(A16,'Données projet'!$A$97:$I$117,6,0)*VLOOKUP('Données projet'!$B$11,Paramètres!$A$1:$I$89,7,0))</f>
        <v>0</v>
      </c>
      <c r="BO16" s="16">
        <f>IF(ISNA(VLOOKUP(A16,'Données projet'!$A$97:$I$117,7,0)),0%,VLOOKUP(A16,'Données projet'!$A$97:$I$117,7,0))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projet'!$A$123:$I$143,2,0)</f>
        <v>#N/A</v>
      </c>
      <c r="BW16" s="12" t="e">
        <f>VLOOKUP(A16,'Données projet'!$A$123:$I$143,9,0)</f>
        <v>#N/A</v>
      </c>
      <c r="BX16" s="12">
        <f t="array" ref="BX16">INDEX(BW:BW,MIN(IF(ISNUMBER(BW16:BW212),ROW(BW16:BW212),"")))</f>
        <v>8.8000000000000007</v>
      </c>
      <c r="BY16" s="12">
        <f>IF('Données projet'!$A$124&gt;35,BY15+BX16-CG15,IF(A16&lt;'Données projet'!$A$124,$BV$205^A16,IF(A16='Données projet'!$A$124,'Données projet'!$B$124,BY15+BX16-CG15)))</f>
        <v>55.399999999999991</v>
      </c>
      <c r="BZ16" s="13">
        <f>BY16*VLOOKUP('Données projet'!$B$12,Paramètres!$A$1:$I$89,3,0)*VLOOKUP('Données projet'!$B$12,Paramètres!$A$1:$I$89,5,0)</f>
        <v>57.904079999999993</v>
      </c>
      <c r="CA16" s="13">
        <f t="shared" si="69"/>
        <v>16.637263069387522</v>
      </c>
      <c r="CB16" s="20">
        <f t="shared" si="10"/>
        <v>129.82617251251659</v>
      </c>
      <c r="CC16" s="59">
        <f t="shared" si="11"/>
        <v>423.15950584584994</v>
      </c>
      <c r="CD16" s="59">
        <f ca="1">AVERAGE(OFFSET($CC$3,0,0,'Données projet'!$E$12+1,1))-AVERAGE(OFFSET($H$3,0,0,'Données projet'!$E$12+1,1))</f>
        <v>322.93502595881938</v>
      </c>
      <c r="CE16" s="59">
        <f t="shared" si="70"/>
        <v>302.67072119588164</v>
      </c>
      <c r="CF16" s="15">
        <f>IF(ISNA(VLOOKUP(A16,'Données projet'!$A$123:$I$143,3,0)),0,VLOOKUP(A16,'Données projet'!$A$123:$I$143,3,0))</f>
        <v>0</v>
      </c>
      <c r="CG16" s="15">
        <f>IF(ISNA(VLOOKUP(A16,'Données projet'!$A$123:$I$143,4,0)),0,VLOOKUP(A16,'Données projet'!$A$123:$I$143,4,0))</f>
        <v>0</v>
      </c>
      <c r="CH16" s="16">
        <f>IF(ISNA(VLOOKUP(A16,'Données projet'!$A$123:$I$143,5,0)),0%,VLOOKUP(A16,'Données projet'!$A$123:$I$143,5,0)*VLOOKUP('Données projet'!$B$12,Paramètres!$A$1:$I$89,7,0))</f>
        <v>0</v>
      </c>
      <c r="CI16" s="16">
        <f>IF(ISNA(VLOOKUP(A16,'Données projet'!$A$123:$I$143,6,0)),0%,VLOOKUP(A16,'Données projet'!$A$123:$I$143,6,0)*VLOOKUP('Données projet'!$B$12,Paramètres!$A$1:$I$89,7,0))</f>
        <v>0</v>
      </c>
      <c r="CJ16" s="16">
        <f>IF(ISNA(VLOOKUP(A16,'Données projet'!$A$123:$I$143,7,0)),0%,VLOOKUP(A16,'Données projet'!$A$123:$I$143,7,0))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projet'!$A$149:$I$169,2,0)</f>
        <v>#N/A</v>
      </c>
      <c r="CR16" s="12" t="e">
        <f>VLOOKUP(A16,'Données projet'!$A$149:$I$169,9,0)</f>
        <v>#N/A</v>
      </c>
      <c r="CS16" s="12">
        <f t="array" ref="CS16">INDEX(CR:CR,MIN(IF(ISNUMBER(CR16:CR212),ROW(CR16:CR212),"")))</f>
        <v>2.9235042735042733</v>
      </c>
      <c r="CT16" s="12">
        <f>IF('Données projet'!$A$150&gt;35,CT15+CS16-DB15,IF(A16&lt;'Données projet'!$A$150,$CQ$205^A16,IF(A16='Données projet'!$A$150,'Données projet'!$B$150,CT15+CS16-DB15)))</f>
        <v>6.9498830208148057</v>
      </c>
      <c r="CU16" s="17">
        <f>CT16*VLOOKUP('Données projet'!$B$13,Paramètres!$A$1:$I$89,3,0)*VLOOKUP('Données projet'!$B$13,Paramètres!$A$1:$I$89,5,0)</f>
        <v>7.0471813831062136</v>
      </c>
      <c r="CV16" s="13">
        <f t="shared" si="71"/>
        <v>2.5873698684431186</v>
      </c>
      <c r="CW16" s="20">
        <f t="shared" si="13"/>
        <v>16.780176763115087</v>
      </c>
      <c r="CX16" s="59">
        <f t="shared" si="14"/>
        <v>310.11351009644841</v>
      </c>
      <c r="CY16" s="59">
        <f ca="1">AVERAGE(OFFSET($CX$3,0,0,'Données projet'!$E$13+1,1))-AVERAGE(OFFSET($H$3,0,0,'Données projet'!$E$13+1,1))</f>
        <v>250.31277422753283</v>
      </c>
      <c r="CZ16" s="59">
        <f t="shared" si="72"/>
        <v>159.20429420478047</v>
      </c>
      <c r="DA16" s="15">
        <f>IF(ISNA(VLOOKUP(A16,'Données projet'!$A$149:$I$169,3,0)),0,VLOOKUP(A16,'Données projet'!$A$149:$I$169,3,0))</f>
        <v>0</v>
      </c>
      <c r="DB16" s="15">
        <f>IF(ISNA(VLOOKUP(A16,'Données projet'!$A$149:$I$169,4,0)),0,VLOOKUP(A16,'Données projet'!$A$149:$I$169,4,0))</f>
        <v>0</v>
      </c>
      <c r="DC16" s="16">
        <f>IF(ISNA(VLOOKUP(A16,'Données projet'!$A$149:$I$169,5,0)),0%,VLOOKUP(A16,'Données projet'!$A$149:$I$169,5,0)*VLOOKUP('Données projet'!$B$13,Paramètres!$A$1:$I$89,7,0))</f>
        <v>0</v>
      </c>
      <c r="DD16" s="16">
        <f>IF(ISNA(VLOOKUP(A16,'Données projet'!$A$149:$I$169,6,0)),0%,VLOOKUP(A16,'Données projet'!$A$149:$I$169,6,0)*VLOOKUP('Données projet'!$B$13,Paramètres!$A$1:$I$89,7,0))</f>
        <v>0</v>
      </c>
      <c r="DE16" s="16">
        <f>IF(ISNA(VLOOKUP(A16,'Données projet'!$A$149:$I$169,7,0)),0%,VLOOKUP(A16,'Données projet'!$A$149:$I$169,7,0))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projet'!$A$175:$I$195,2,0)</f>
        <v>#N/A</v>
      </c>
      <c r="DM16" s="12" t="e">
        <f>VLOOKUP(A16,'Données projet'!$A$175:$I$195,9,0)</f>
        <v>#N/A</v>
      </c>
      <c r="DN16" s="12">
        <f t="array" ref="DN16">INDEX(DM:DM,MIN(IF(ISNUMBER(DM16:DM212),ROW(DM16:DM212),"")))</f>
        <v>14.6</v>
      </c>
      <c r="DO16" s="12">
        <f>IF('Données projet'!$A$176&gt;35,DO15+DN16-DW15,IF(A16&lt;'Données projet'!$A$176,$DL$205^A16,IF(A16='Données projet'!$A$176,'Données projet'!$B$176,DO15+DN16-DW15)))</f>
        <v>55.800000000000004</v>
      </c>
      <c r="DP16" s="17">
        <f>DO16*VLOOKUP('Données projet'!$B$14,Paramètres!$A$1:$I$89,3,0)*VLOOKUP('Données projet'!$B$14,Paramètres!$A$1:$I$89,5,0)</f>
        <v>40.912559999999999</v>
      </c>
      <c r="DQ16" s="13">
        <f t="shared" si="73"/>
        <v>12.240202574960914</v>
      </c>
      <c r="DR16" s="20">
        <f t="shared" si="16"/>
        <v>92.57439481805693</v>
      </c>
      <c r="DS16" s="59">
        <f t="shared" si="17"/>
        <v>385.90772815139024</v>
      </c>
      <c r="DT16" s="59">
        <f ca="1">AVERAGE(OFFSET($DS$3,0,0,'Données projet'!$E$14+1,1))-AVERAGE(OFFSET($H$3,0,0,'Données projet'!$E$14+1,1))</f>
        <v>296.91321813251051</v>
      </c>
      <c r="DU16" s="59">
        <f t="shared" si="74"/>
        <v>291.0718079639509</v>
      </c>
      <c r="DV16" s="15">
        <f>IF(ISNA(VLOOKUP(A16,'Données projet'!$A$175:$I$195,3,0)),0,VLOOKUP(A16,'Données projet'!$A$175:$I$195,3,0))</f>
        <v>0</v>
      </c>
      <c r="DW16" s="15">
        <f>IF(ISNA(VLOOKUP(A16,'Données projet'!$A$175:$I$195,4,0)),0,VLOOKUP(A16,'Données projet'!$A$175:$I$195,4,0))</f>
        <v>0</v>
      </c>
      <c r="DX16" s="16">
        <f>IF(ISNA(VLOOKUP(A16,'Données projet'!$A$175:$I$195,5,0)),0%,VLOOKUP(A16,'Données projet'!$A$175:$I$195,5,0)*VLOOKUP('Données projet'!$B$14,Paramètres!$A$1:$I$89,7,0))</f>
        <v>0</v>
      </c>
      <c r="DY16" s="16">
        <f>IF(ISNA(VLOOKUP(A16,'Données projet'!$A$175:$I$195,6,0)),0%,VLOOKUP(A16,'Données projet'!$A$175:$I$195,6,0)*VLOOKUP('Données projet'!$B$14,Paramètres!$A$1:$I$89,7,0))</f>
        <v>0</v>
      </c>
      <c r="DZ16" s="16">
        <f>IF(ISNA(VLOOKUP(A16,'Données projet'!$A$175:$I$195,7,0)),0%,VLOOKUP(A16,'Données projet'!$A$175:$I$195,7,0))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projet'!$A$201:$I$221,2,0)</f>
        <v>#N/A</v>
      </c>
      <c r="EH16" s="12" t="e">
        <f>VLOOKUP(A16,'Données projet'!$A$201:$I$221,9,0)</f>
        <v>#N/A</v>
      </c>
      <c r="EI16" s="12">
        <f t="array" ref="EI16">INDEX(EH:EH,MIN(IF(ISNUMBER(EH16:EH212),ROW(EH16:EH212),"")))</f>
        <v>3.4425641025641025</v>
      </c>
      <c r="EJ16" s="12">
        <f>IF('Données projet'!$A$202&gt;35,EJ15+EI16-ER15,IF(A16&lt;'Données projet'!$A$202,$EG$205^A16,IF(A16='Données projet'!$A$202,'Données projet'!$B$202,EJ15+EI16-ER15)))</f>
        <v>7.459930119048451</v>
      </c>
      <c r="EK16" s="17">
        <f>EJ16*VLOOKUP('Données projet'!$B$15,Paramètres!$A$1:$I$89,3,0)*VLOOKUP('Données projet'!$B$15,Paramètres!$A$1:$I$89,5,0)</f>
        <v>3.4912472957146754</v>
      </c>
      <c r="EL16" s="13">
        <f t="shared" si="75"/>
        <v>1.3910083400895945</v>
      </c>
      <c r="EM16" s="20">
        <f t="shared" si="19"/>
        <v>8.5032618990257713</v>
      </c>
      <c r="EN16" s="59">
        <f t="shared" si="20"/>
        <v>301.83659523235906</v>
      </c>
      <c r="EO16" s="59">
        <f ca="1">AVERAGE(OFFSET($EN$3,0,0,'Données projet'!$E$15+1,1))-AVERAGE(OFFSET($H$3,0,0,'Données projet'!$E$15+1,1))</f>
        <v>147.64256291235483</v>
      </c>
      <c r="EP16" s="59">
        <f t="shared" si="76"/>
        <v>70.859031694091868</v>
      </c>
      <c r="EQ16" s="15">
        <f>IF(ISNA(VLOOKUP(A16,'Données projet'!$A$201:$I$221,3,0)),0,VLOOKUP(A16,'Données projet'!$A$201:$I$221,3,0))</f>
        <v>0</v>
      </c>
      <c r="ER16" s="15">
        <f>IF(ISNA(VLOOKUP(A16,'Données projet'!$A$201:$I$221,4,0)),0,VLOOKUP(A16,'Données projet'!$A$201:$I$221,4,0))</f>
        <v>0</v>
      </c>
      <c r="ES16" s="16">
        <f>IF(ISNA(VLOOKUP(A16,'Données projet'!$A$201:$I$221,5,0)),0%,VLOOKUP(A16,'Données projet'!$A$201:$I$221,5,0)*VLOOKUP('Données projet'!$B$15,Paramètres!$A$1:$I$89,7,0))</f>
        <v>0</v>
      </c>
      <c r="ET16" s="16">
        <f>IF(ISNA(VLOOKUP(A16,'Données projet'!$A$201:$I$221,6,0)),0%,VLOOKUP(A16,'Données projet'!$A$201:$I$221,6,0)*VLOOKUP('Données projet'!$B$15,Paramètres!$A$1:$I$89,7,0))</f>
        <v>0</v>
      </c>
      <c r="EU16" s="16">
        <f>IF(ISNA(VLOOKUP(A16,'Données projet'!$A$201:$I$221,7,0)),0%,VLOOKUP(A16,'Données projet'!$A$201:$I$221,7,0))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projet'!$A$227:$I$247,2,0)</f>
        <v>#N/A</v>
      </c>
      <c r="FC16" s="12" t="e">
        <f>VLOOKUP(A16,'Données projet'!$A$227:$I$247,9,0)</f>
        <v>#N/A</v>
      </c>
      <c r="FD16" s="12">
        <f t="array" ref="FD16">INDEX(FC:FC,MIN(IF(ISNUMBER(FC16:FC212),ROW(FC16:FC212),"")))</f>
        <v>5.8</v>
      </c>
      <c r="FE16" s="12">
        <f>IF('Données projet'!$A$228&gt;35,FE15+FD16-FM15,IF(A16&lt;'Données projet'!$A$228,$FB$205^A16,IF(A16='Données projet'!$A$228,'Données projet'!$B$228,FE15+FD16-FM15)))</f>
        <v>35.4</v>
      </c>
      <c r="FF16" s="17">
        <f>FE16*VLOOKUP('Données projet'!$B$16,Paramètres!$A$1:$I$89,3,0)*VLOOKUP('Données projet'!$B$16,Paramètres!$A$1:$I$89,5,0)</f>
        <v>37.000080000000004</v>
      </c>
      <c r="FG16" s="13">
        <f t="shared" si="77"/>
        <v>11.199946237842099</v>
      </c>
      <c r="FH16" s="20">
        <f t="shared" si="22"/>
        <v>83.948379030908328</v>
      </c>
      <c r="FI16" s="59">
        <f t="shared" si="23"/>
        <v>377.28171236424163</v>
      </c>
      <c r="FJ16" s="59">
        <f ca="1">AVERAGE(OFFSET($FI$3,0,0,'Données projet'!$E$16+1,1))-AVERAGE(OFFSET($H$3,0,0,'Données projet'!$E$16+1,1))</f>
        <v>259.03906550253788</v>
      </c>
      <c r="FK16" s="59">
        <f t="shared" si="78"/>
        <v>235.54542903570831</v>
      </c>
      <c r="FL16" s="15">
        <f>IF(ISNA(VLOOKUP(A16,'Données projet'!$A$227:$I$247,3,0)),0,VLOOKUP(A16,'Données projet'!$A$227:$I$247,3,0))</f>
        <v>0</v>
      </c>
      <c r="FM16" s="15">
        <f>IF(ISNA(VLOOKUP(A16,'Données projet'!$A$227:$I$247,4,0)),0,VLOOKUP(A16,'Données projet'!$A$227:$I$247,4,0))</f>
        <v>0</v>
      </c>
      <c r="FN16" s="16">
        <f>IF(ISNA(VLOOKUP(A16,'Données projet'!$A$227:$I$247,5,0)),0%,VLOOKUP(A16,'Données projet'!$A$227:$I$247,5,0)*VLOOKUP('Données projet'!$B$16,Paramètres!$A$1:$I$89,7,0))</f>
        <v>0</v>
      </c>
      <c r="FO16" s="16">
        <f>IF(ISNA(VLOOKUP(A16,'Données projet'!$A$227:$I$247,6,0)),0%,VLOOKUP(A16,'Données projet'!$A$227:$I$247,6,0)*VLOOKUP('Données projet'!$B$16,Paramètres!$A$1:$I$89,7,0))</f>
        <v>0</v>
      </c>
      <c r="FP16" s="16">
        <f>IF(ISNA(VLOOKUP(A16,'Données projet'!$A$227:$I$247,7,0)),0%,VLOOKUP(A16,'Données projet'!$A$227:$I$247,7,0))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projet'!$A$253:$I$273,2,0)</f>
        <v>#N/A</v>
      </c>
      <c r="FX16" s="12" t="e">
        <f>VLOOKUP(A16,'Données projet'!$A$253:$I$273,9,0)</f>
        <v>#N/A</v>
      </c>
      <c r="FY16" s="12">
        <f t="array" ref="FY16">INDEX(FX:FX,MIN(IF(ISNUMBER(FX16:FX212),ROW(FX16:FX212),"")))</f>
        <v>2.4666666666666668</v>
      </c>
      <c r="FZ16" s="12">
        <f>IF('Données projet'!$A$254&gt;35,FZ15+FY16-GH15,IF(A16&lt;'Données projet'!$A$254,$FW$205^A16,IF(A16='Données projet'!$A$254,'Données projet'!$B$254,FZ15+FY16-GH15)))</f>
        <v>22.86168101684942</v>
      </c>
      <c r="GA16" s="17">
        <f>FZ16*VLOOKUP('Données projet'!$B$17,Paramètres!$A$1:$I$89,3,0)*VLOOKUP('Données projet'!$B$17,Paramètres!$A$1:$I$89,5,0)</f>
        <v>19.971964536319657</v>
      </c>
      <c r="GB16" s="13">
        <f t="shared" si="79"/>
        <v>6.4953696479137237</v>
      </c>
      <c r="GC16" s="20">
        <f t="shared" si="25"/>
        <v>46.097273704206465</v>
      </c>
      <c r="GD16" s="59">
        <f t="shared" si="26"/>
        <v>339.4306070375398</v>
      </c>
      <c r="GE16" s="59">
        <f ca="1">AVERAGE(OFFSET($GD$3,0,0,'Données projet'!$E$17+1,1))-AVERAGE(OFFSET($H$3,0,0,'Données projet'!$E$17+1,1))</f>
        <v>245.1983232777614</v>
      </c>
      <c r="GF16" s="59">
        <f t="shared" si="80"/>
        <v>242.34010522344573</v>
      </c>
      <c r="GG16" s="15">
        <f>IF(ISNA(VLOOKUP(A16,'Données projet'!$A$253:$I$273,3,0)),0,VLOOKUP(A16,'Données projet'!$A$253:$I$273,3,0))</f>
        <v>0</v>
      </c>
      <c r="GH16" s="15">
        <f>IF(ISNA(VLOOKUP(A16,'Données projet'!$A$253:$I$273,4,0)),0,VLOOKUP(A16,'Données projet'!$A$253:$I$273,4,0))</f>
        <v>0</v>
      </c>
      <c r="GI16" s="16">
        <f>IF(ISNA(VLOOKUP(A16,'Données projet'!$A$253:$I$273,5,0)),0%,VLOOKUP(A16,'Données projet'!$A$253:$I$273,5,0)*VLOOKUP('Données projet'!$B$17,Paramètres!$A$1:$I$89,7,0))</f>
        <v>0</v>
      </c>
      <c r="GJ16" s="16">
        <f>IF(ISNA(VLOOKUP(A16,'Données projet'!$A$253:$I$273,6,0)),0%,VLOOKUP(A16,'Données projet'!$A$253:$I$273,6,0)*VLOOKUP('Données projet'!$B$17,Paramètres!$A$1:$I$89,7,0))</f>
        <v>0</v>
      </c>
      <c r="GK16" s="16">
        <f>IF(ISNA(VLOOKUP(A16,'Données projet'!$A$253:$I$273,7,0)),0%,VLOOKUP(A16,'Données projet'!$A$253:$I$273,7,0))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projet'!$A$279:$I$299,2,0)</f>
        <v>#N/A</v>
      </c>
      <c r="GS16" s="12" t="e">
        <f>VLOOKUP(A16,'Données projet'!$A$279:$I$299,9,0)</f>
        <v>#N/A</v>
      </c>
      <c r="GT16" s="12">
        <f t="array" ref="GT16">INDEX(GS:GS,MIN(IF(ISNUMBER(GS16:GS212),ROW(GS16:GS212),"")))</f>
        <v>4.1333333333333337</v>
      </c>
      <c r="GU16" s="12">
        <f>IF('Données projet'!$A$280&gt;35,GU15+GT16-HC15,IF(A16&lt;'Données projet'!$A$280,$GR$205^A16,IF(A16='Données projet'!$A$280,'Données projet'!$B$280,GU15+GT16-HC15)))</f>
        <v>35.760709845444744</v>
      </c>
      <c r="GV16" s="17">
        <f>GU16*VLOOKUP('Données projet'!$B$18,Paramètres!$A$1:$I$89,3,0)*VLOOKUP('Données projet'!$B$18,Paramètres!$A$1:$I$89,5,0)</f>
        <v>14.411566067714231</v>
      </c>
      <c r="GW16" s="13">
        <f t="shared" si="81"/>
        <v>4.8684337099809492</v>
      </c>
      <c r="GX16" s="20">
        <f t="shared" si="28"/>
        <v>33.579332946152441</v>
      </c>
      <c r="GY16" s="59">
        <f t="shared" si="29"/>
        <v>326.91266627948573</v>
      </c>
      <c r="GZ16" s="59">
        <f ca="1">AVERAGE(OFFSET($GY$3,0,0,'Données projet'!$E$18+1,1))-AVERAGE(OFFSET($H$3,0,0,'Données projet'!$E$18+1,1))</f>
        <v>324.36162935850876</v>
      </c>
      <c r="HA16" s="59">
        <f t="shared" si="82"/>
        <v>265.23571072429735</v>
      </c>
      <c r="HB16" s="15">
        <f>IF(ISNA(VLOOKUP(A16,'Données projet'!$A$279:$I$299,3,0)),0,VLOOKUP(A16,'Données projet'!$A$279:$I$299,3,0))</f>
        <v>0</v>
      </c>
      <c r="HC16" s="15">
        <f>IF(ISNA(VLOOKUP(A16,'Données projet'!$A$279:$I$299,4,0)),0,VLOOKUP(A16,'Données projet'!$A$279:$I$299,4,0))</f>
        <v>0</v>
      </c>
      <c r="HD16" s="16">
        <f>IF(ISNA(VLOOKUP(A16,'Données projet'!$A$279:$I$299,5,0)),0%,VLOOKUP(A16,'Données projet'!$A$279:$I$299,5,0)*VLOOKUP('Données projet'!$B$18,Paramètres!$A$1:$I$89,7,0))</f>
        <v>0</v>
      </c>
      <c r="HE16" s="16">
        <f>IF(ISNA(VLOOKUP(A16,'Données projet'!$A$279:$I$299,6,0)),0%,VLOOKUP(A16,'Données projet'!$A$279:$I$299,6,0)*VLOOKUP('Données projet'!$B$18,Paramètres!$A$1:$I$89,7,0))</f>
        <v>0</v>
      </c>
      <c r="HF16" s="16">
        <f>IF(ISNA(VLOOKUP($A16,'Données projet'!$A$279:$I$299,7,0)),0%,VLOOKUP($A16,'Données projet'!$A$279:$I$299,7,0))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  <c r="HK16" s="74">
        <f>('Scénario référence'!$F$8+'Scénario référence'!$F$9+'Scénario référence'!$B$17+'Scénario référence'!$B$9+'Scénario référence'!$B$10)*70+IF((45+25*(1-EXP(-0.0175*$A16)))&lt;70,'Scénario référence'!$B$16*(45+25*(1-EXP(-0.0175*$A16))),70*'Scénario référence'!$B$16)+IF((32+38*(1-EXP(-0.0175*$A16)))&lt;70,'Scénario référence'!$B$18*(32+38*(1-EXP(-0.0175*$A16))),70*'Scénario référence'!$B$18)</f>
        <v>70</v>
      </c>
      <c r="HL16" s="12">
        <f>IF($A16&gt;30,10,('Scénario référence'!$B$16+'Scénario référence'!$B$17+'Scénario référence'!$B$18+'Scénario référence'!$B$9+'Scénario référence'!$B$10)*$A16*10/30+('Scénario référence'!$F$8+'Scénario référence'!$F$9)*10)</f>
        <v>10</v>
      </c>
      <c r="HM16" s="12">
        <f>VLOOKUP($A16,'Données projet'!$A$304:$I$324,2,0)</f>
        <v>121.38884615384613</v>
      </c>
      <c r="HN16" s="12">
        <f>VLOOKUP($A16,'Données projet'!$A$304:$I$324,9,0)</f>
        <v>17.56346153846151</v>
      </c>
      <c r="HO16" s="12">
        <f t="array" ref="HO16">INDEX(HN:HN,MIN(IF(ISNUMBER(HN16:HN212),ROW(HN16:HN212),"")))</f>
        <v>17.56346153846151</v>
      </c>
      <c r="HP16" s="12">
        <f>IF('Données projet'!$A$304&gt;35,HP15+HO16-HX15,IF($A16&lt;'Données projet'!$A$304,$CQ$205^$A16,IF($A16='Données projet'!$A$304,'Données projet'!$B$304,HP15+HO16-HX15)))</f>
        <v>121.38884615384613</v>
      </c>
      <c r="HQ16" s="17">
        <f>HP16*VLOOKUP('Données projet'!$B$19,Paramètres!$A$1:$I$89,3,0)*VLOOKUP('Données projet'!$B$19,Paramètres!$A$1:$I$89,5,0)</f>
        <v>61.733511599999993</v>
      </c>
      <c r="HR16" s="13">
        <f t="shared" si="83"/>
        <v>17.605825957786696</v>
      </c>
      <c r="HS16" s="14">
        <f t="shared" si="31"/>
        <v>138.18267957981183</v>
      </c>
      <c r="HT16" s="59">
        <f t="shared" si="32"/>
        <v>431.51601291314512</v>
      </c>
      <c r="HU16" s="59">
        <f ca="1">AVERAGE(OFFSET(HT$3,0,0,'Données projet'!$E$19+1,1))-AVERAGE(OFFSET($H$3,0,0,'Données projet'!$E$19+1,1))</f>
        <v>91.60721429656013</v>
      </c>
      <c r="HV16" s="59">
        <f t="shared" si="84"/>
        <v>258.94957804210856</v>
      </c>
      <c r="HW16" s="15">
        <f>IF(ISNA(VLOOKUP($A16,'Données projet'!$A$304:$I$324,3,0)),0,VLOOKUP($A16,'Données projet'!$A$304:$I$324,3,0))</f>
        <v>0</v>
      </c>
      <c r="HX16" s="15">
        <f>IF(ISNA(VLOOKUP($A16,'Données projet'!$A$304:$I$324,4,0)),0,VLOOKUP($A16,'Données projet'!$A$304:$I$324,4,0))</f>
        <v>0</v>
      </c>
      <c r="HY16" s="16">
        <f>IF(ISNA(VLOOKUP($A16,'Données projet'!$A$304:$I$324,5,0)),0%,VLOOKUP($A16,'Données projet'!$A$304:$I$324,5,0)*VLOOKUP('Données projet'!$B$19,Paramètres!$A$1:$I$89,7,0))</f>
        <v>0</v>
      </c>
      <c r="HZ16" s="16">
        <f>IF(ISNA(VLOOKUP($A16,'Données projet'!$A$304:$I$324,6,0)),0%,VLOOKUP($A16,'Données projet'!$A$304:$I$324,6,0)*VLOOKUP('Données projet'!$B$19,Paramètres!$A$1:$I$89,7,0))</f>
        <v>0</v>
      </c>
      <c r="IA16" s="16">
        <f>IF(ISNA(VLOOKUP($A16,'Données projet'!$A$304:$I$324,7,0)),0%,VLOOKUP($A16,'Données projet'!$A$304:$I$324,7,0))</f>
        <v>0</v>
      </c>
      <c r="IB16" s="21">
        <f>EXP(-LN(2)/35)*IB15+(1-EXP(-LN(2)/35))/(LN(2)/35)*HX16*HY16*VLOOKUP('Données projet'!$B$19,Paramètres!$A$1:$I$89,3,0)*0.475*44/12</f>
        <v>0</v>
      </c>
      <c r="IC16" s="21">
        <f>EXP(-LN(2)/25)*IC15+(1-EXP(-LN(2)/25))/(LN(2)/25)*Calculateur!HX16*Calculateur!HZ16*VLOOKUP('Données projet'!$B$19,Paramètres!$A$1:$I$89,3,0)*0.475*44/12</f>
        <v>0</v>
      </c>
      <c r="ID16" s="21">
        <f>EXP(-LN(2)/2)*ID15+(1-EXP(-LN(2)/2))/(LN(2)/2)*HX16*IA16*VLOOKUP('Données projet'!$B$19,Paramètres!$A$1:$I$89,3,0)*0.475*44/12</f>
        <v>0</v>
      </c>
      <c r="IE16" s="22">
        <f t="shared" si="33"/>
        <v>0</v>
      </c>
      <c r="IF16" s="74">
        <f>('Scénario référence'!$F$8+'Scénario référence'!$F$9+'Scénario référence'!$B$17+'Scénario référence'!$B$9+'Scénario référence'!$B$10)*70+IF((45+25*(1-EXP(-0.0175*$A16)))&lt;70,'Scénario référence'!$B$16*(45+25*(1-EXP(-0.0175*$A16))),70*'Scénario référence'!$B$16)+IF((32+38*(1-EXP(-0.0175*$A16)))&lt;70,'Scénario référence'!$B$18*(32+38*(1-EXP(-0.0175*$A16))),70*'Scénario référence'!$B$18)</f>
        <v>70</v>
      </c>
      <c r="IG16" s="12">
        <f>IF($A16&gt;30,10,('Scénario référence'!$B$16+'Scénario référence'!$B$17+'Scénario référence'!$B$18+'Scénario référence'!$B$9+'Scénario référence'!$B$10)*$A16*10/30+('Scénario référence'!$F$8+'Scénario référence'!$F$9)*10)</f>
        <v>10</v>
      </c>
      <c r="IH16" s="12">
        <f>VLOOKUP($A16,'Données projet'!$A$330:$I$350,2,0)</f>
        <v>121.38884615384613</v>
      </c>
      <c r="II16" s="12">
        <f>VLOOKUP($A16,'Données projet'!$A$330:$I$350,9,0)</f>
        <v>17.56346153846151</v>
      </c>
      <c r="IJ16" s="12">
        <f t="array" ref="IJ16">INDEX(II:II,MIN(IF(ISNUMBER(II16:II212),ROW(II16:II212),"")))</f>
        <v>17.56346153846151</v>
      </c>
      <c r="IK16" s="12">
        <f>IF('Données projet'!$A$330&gt;35,IK15+IJ16-IS15,IF($A16&lt;'Données projet'!$A$330,$CQ$205^$A16,IF($A16='Données projet'!$A$330,'Données projet'!$B$330,IK15+IJ16-IS15)))</f>
        <v>121.38884615384613</v>
      </c>
      <c r="IL16" s="17">
        <f>IK16*VLOOKUP('Données projet'!$B$20,Paramètres!$A$1:$I$89,3,0)*VLOOKUP('Données projet'!$B$20,Paramètres!$A$1:$I$89,5,0)</f>
        <v>61.733511599999993</v>
      </c>
      <c r="IM16" s="13">
        <f t="shared" si="85"/>
        <v>17.605825957786696</v>
      </c>
      <c r="IN16" s="20">
        <f t="shared" si="86"/>
        <v>138.18267957981183</v>
      </c>
      <c r="IO16" s="59">
        <f t="shared" si="87"/>
        <v>431.51601291314512</v>
      </c>
      <c r="IP16" s="59">
        <f ca="1">AVERAGE(OFFSET(IO$3,0,0,'Données projet'!$E$20+1,1))-AVERAGE(OFFSET($H$3,0,0,'Données projet'!$E$20+1,1))</f>
        <v>91.60721429656013</v>
      </c>
      <c r="IQ16" s="59">
        <f t="shared" si="88"/>
        <v>258.94957804210856</v>
      </c>
      <c r="IR16" s="15">
        <f>IF(ISNA(VLOOKUP($A16,'Données projet'!$A$330:$I$350,3,0)),0,VLOOKUP($A16,'Données projet'!$A$330:$I$350,3,0))</f>
        <v>0</v>
      </c>
      <c r="IS16" s="15">
        <f>IF(ISNA(VLOOKUP($A16,'Données projet'!$A$330:$I$350,4,0)),0,VLOOKUP($A16,'Données projet'!$A$330:$I$350,4,0))</f>
        <v>0</v>
      </c>
      <c r="IT16" s="16">
        <f>IF(ISNA(VLOOKUP($A16,'Données projet'!$A$330:$I$350,5,0)),0%,VLOOKUP($A16,'Données projet'!$A$330:$I$350,5,0)*VLOOKUP('Données projet'!$B$20,Paramètres!$A$1:$I$89,7,0))</f>
        <v>0</v>
      </c>
      <c r="IU16" s="16">
        <f>IF(ISNA(VLOOKUP($A16,'Données projet'!$A$330:$I$350,6,0)),0%,VLOOKUP($A16,'Données projet'!$A$330:$I$350,6,0)*VLOOKUP('Données projet'!$B$20,Paramètres!$A$1:$I$89,7,0))</f>
        <v>0</v>
      </c>
      <c r="IV16" s="16">
        <f>IF(ISNA(VLOOKUP($A16,'Données projet'!$A$330:$I$350,7,0)),0%,VLOOKUP($A16,'Données projet'!$A$330:$I$350,7,0))</f>
        <v>0</v>
      </c>
      <c r="IW16" s="21">
        <f>EXP(-LN(2)/35)*IW15+(1-EXP(-LN(2)/35))/(LN(2)/35)*IS16*IT16*VLOOKUP('Données projet'!$B$20,Paramètres!$A$1:$I$89,3,0)*0.475*44/12</f>
        <v>0</v>
      </c>
      <c r="IX16" s="21">
        <f>EXP(-LN(2)/25)*IX15+(1-EXP(-LN(2)/25))/(LN(2)/25)*Calculateur!IS16*Calculateur!IU16*VLOOKUP('Données projet'!$B$20,Paramètres!$A$1:$I$89,3,0)*0.475*44/12</f>
        <v>0</v>
      </c>
      <c r="IY16" s="21">
        <f>EXP(-LN(2)/2)*IY15+(1-EXP(-LN(2)/2))/(LN(2)/2)*IS16*IV16*VLOOKUP('Données projet'!$B$20,Paramètres!$A$1:$I$89,3,0)*0.475*44/12</f>
        <v>0</v>
      </c>
      <c r="IZ16" s="22">
        <f t="shared" si="89"/>
        <v>0</v>
      </c>
      <c r="JA16" s="74">
        <f>('Scénario référence'!$F$8+'Scénario référence'!$F$9+'Scénario référence'!$B$17+'Scénario référence'!$B$9+'Scénario référence'!$B$10)*70+IF((45+25*(1-EXP(-0.0175*$A16)))&lt;70,'Scénario référence'!$B$16*(45+25*(1-EXP(-0.0175*$A16))),70*'Scénario référence'!$B$16)+IF((32+38*(1-EXP(-0.0175*$A16)))&lt;70,'Scénario référence'!$B$18*(32+38*(1-EXP(-0.0175*$A16))),70*'Scénario référence'!$B$18)</f>
        <v>70</v>
      </c>
      <c r="JB16" s="12">
        <f>IF($A16&gt;30,10,('Scénario référence'!$B$16+'Scénario référence'!$B$17+'Scénario référence'!$B$18+'Scénario référence'!$B$9+'Scénario référence'!$B$10)*$A16*10/30+('Scénario référence'!$F$8+'Scénario référence'!$F$9)*10)</f>
        <v>10</v>
      </c>
      <c r="JC16" s="12" t="e">
        <f>VLOOKUP($A16,'Données projet'!$A$356:$I$376,2,0)</f>
        <v>#N/A</v>
      </c>
      <c r="JD16" s="12" t="e">
        <f>VLOOKUP($A16,'Données projet'!$A$356:$I$376,9,0)</f>
        <v>#N/A</v>
      </c>
      <c r="JE16" s="12">
        <f t="array" ref="JE16">INDEX(JD:JD,MIN(IF(ISNUMBER(JD16:JD212),ROW(JD16:JD212),"")))</f>
        <v>3.04</v>
      </c>
      <c r="JF16" s="12">
        <f>IF('Données projet'!$A$356&gt;35,JF15+JE16-JN15,IF($A16&lt;'Données projet'!$A$356,$CQ$205^$A16,IF($A16='Données projet'!$A$356,'Données projet'!$B$356,JF15+JE16-JN15)))</f>
        <v>39.519999999999996</v>
      </c>
      <c r="JG16" s="17">
        <f>JF16*VLOOKUP('Données projet'!$B$21,Paramètres!$A$1:$I$89,3,0)*VLOOKUP('Données projet'!$B$21,Paramètres!$A$1:$I$89,5,0)</f>
        <v>32.058624000000002</v>
      </c>
      <c r="JH16" s="13">
        <f t="shared" si="90"/>
        <v>9.8674505579069347</v>
      </c>
      <c r="JI16" s="20">
        <f t="shared" si="91"/>
        <v>73.021246521687914</v>
      </c>
      <c r="JJ16" s="59">
        <f t="shared" si="92"/>
        <v>366.35457985502126</v>
      </c>
      <c r="JK16" s="59">
        <f ca="1">AVERAGE(OFFSET($JJ$3,0,0,'Données projet'!$E$22+1,1))-AVERAGE(OFFSET($H$3,0,0,'Données projet'!$E$22+1,1))</f>
        <v>353.35574633294613</v>
      </c>
      <c r="JL16" s="59">
        <f t="shared" si="93"/>
        <v>170.36796666474726</v>
      </c>
      <c r="JM16" s="15">
        <f>IF(ISNA(VLOOKUP($A16,'Données projet'!$A$356:$I$376,3,0)),0,VLOOKUP($A16,'Données projet'!$A$356:$I$376,3,0))</f>
        <v>0</v>
      </c>
      <c r="JN16" s="15">
        <f>IF(ISNA(VLOOKUP($A16,'Données projet'!$A$356:$I$376,4,0)),0,VLOOKUP($A16,'Données projet'!$A$356:$I$376,4,0))</f>
        <v>0</v>
      </c>
      <c r="JO16" s="16">
        <f>IF(ISNA(VLOOKUP($A16,'Données projet'!$A$356:$I$376,5,0)),0%,VLOOKUP($A16,'Données projet'!$A$356:$I$376,5,0)*VLOOKUP('Données projet'!$B$21,Paramètres!$A$1:$I$89,7,0))</f>
        <v>0</v>
      </c>
      <c r="JP16" s="16">
        <f>IF(ISNA(VLOOKUP($A16,'Données projet'!$A$356:$I$376,6,0)),0%,VLOOKUP($A16,'Données projet'!$A$356:$I$376,6,0)*VLOOKUP('Données projet'!$B$21,Paramètres!$A$1:$I$89,7,0))</f>
        <v>0</v>
      </c>
      <c r="JQ16" s="16">
        <f>IF(ISNA(VLOOKUP($A16,'Données projet'!$A$356:$I$376,7,0)),0%,VLOOKUP($A16,'Données projet'!$A$356:$I$376,7,0))</f>
        <v>0</v>
      </c>
      <c r="JR16" s="21">
        <f>EXP(-LN(2)/35)*JR15+(1-EXP(-LN(2)/35))/(LN(2)/35)*JN16*JO16*VLOOKUP('Données projet'!$B$21,Paramètres!$A$1:$I$89,3,0)*0.475*44/12</f>
        <v>0</v>
      </c>
      <c r="JS16" s="21">
        <f>EXP(-LN(2)/25)*JS15+(1-EXP(-LN(2)/25))/(LN(2)/25)*Calculateur!JN16*Calculateur!JP16*VLOOKUP('Données projet'!$B$21,Paramètres!$A$1:$I$89,3,0)*0.475*44/12</f>
        <v>0</v>
      </c>
      <c r="JT16" s="21">
        <f>EXP(-LN(2)/2)*JT15+(1-EXP(-LN(2)/2))/(LN(2)/2)*JN16*JQ16*VLOOKUP('Données projet'!$B$21,Paramètres!$A$1:$I$89,3,0)*0.475*44/12</f>
        <v>0</v>
      </c>
      <c r="JU16" s="18">
        <f t="shared" si="39"/>
        <v>0</v>
      </c>
      <c r="JV16" s="74">
        <f>('Scénario référence'!$F$8+'Scénario référence'!$F$9+'Scénario référence'!$B$17+'Scénario référence'!$B$9+'Scénario référence'!$B$10)*70+IF((45+25*(1-EXP(-0.0175*$A16)))&lt;70,'Scénario référence'!$B$16*(45+25*(1-EXP(-0.0175*$A16))),70*'Scénario référence'!$B$16)+IF((32+38*(1-EXP(-0.0175*$A16)))&lt;70,'Scénario référence'!$B$18*(32+38*(1-EXP(-0.0175*$A16))),70*'Scénario référence'!$B$18)</f>
        <v>70</v>
      </c>
      <c r="JW16" s="12">
        <f>IF($A16&gt;30,10,('Scénario référence'!$B$16+'Scénario référence'!$B$17+'Scénario référence'!$B$18+'Scénario référence'!$B$9+'Scénario référence'!$B$10)*$A16*10/30+('Scénario référence'!$F$8+'Scénario référence'!$F$9)*10)</f>
        <v>10</v>
      </c>
      <c r="JX16" s="12" t="e">
        <f>VLOOKUP($A16,'Données projet'!$A$382:$I$402,2,0)</f>
        <v>#N/A</v>
      </c>
      <c r="JY16" s="12" t="e">
        <f>VLOOKUP($A16,'Données projet'!$A$382:$I$402,9,0)</f>
        <v>#N/A</v>
      </c>
      <c r="JZ16" s="12">
        <f t="array" ref="JZ16">INDEX(JY:JY,MIN(IF(ISNUMBER(JY16:JY212),ROW(JY16:JY212),"")))</f>
        <v>4.0628205128205126</v>
      </c>
      <c r="KA16" s="12">
        <f>IF('Données projet'!$A$382&gt;35,KA15+JZ16-KI15,IF($A16&lt;'Données projet'!$A$382,$CQ$205^$A16,IF($A16='Données projet'!$A$382,'Données projet'!$B$382,KA15+JZ16-KI15)))</f>
        <v>52.816666666666677</v>
      </c>
      <c r="KB16" s="17">
        <f>KA16*VLOOKUP('Données projet'!$B$22,Paramètres!$A$1:$I$89,3,0)*VLOOKUP('Données projet'!$B$22,Paramètres!$A$1:$I$89,5,0)</f>
        <v>35.429420000000007</v>
      </c>
      <c r="KC16" s="13">
        <f t="shared" si="94"/>
        <v>10.778793034389931</v>
      </c>
      <c r="KD16" s="20">
        <f t="shared" si="95"/>
        <v>80.479304368229137</v>
      </c>
      <c r="KE16" s="59">
        <f t="shared" si="96"/>
        <v>373.81263770156244</v>
      </c>
      <c r="KF16" s="59">
        <f ca="1">AVERAGE(OFFSET($KE$3,0,0,'Données projet'!$E$22+1,1))-AVERAGE(OFFSET($H$3,0,0,'Données projet'!$E$22+1,1))</f>
        <v>193.91714772848269</v>
      </c>
      <c r="KG16" s="59">
        <f t="shared" si="97"/>
        <v>159.20429420478047</v>
      </c>
      <c r="KH16" s="15">
        <f>IF(ISNA(VLOOKUP($A16,'Données projet'!$A$382:$I$402,3,0)),0,VLOOKUP($A16,'Données projet'!$A$382:$I$402,3,0))</f>
        <v>0</v>
      </c>
      <c r="KI16" s="15">
        <f>IF(ISNA(VLOOKUP($A16,'Données projet'!$A$382:$I$402,4,0)),0,VLOOKUP($A16,'Données projet'!$A$382:$I$402,4,0))</f>
        <v>0</v>
      </c>
      <c r="KJ16" s="16">
        <f>IF(ISNA(VLOOKUP($A16,'Données projet'!$A$382:$I$402,5,0)),0%,VLOOKUP($A16,'Données projet'!$A$382:$I$402,5,0)*VLOOKUP('Données projet'!$B$22,Paramètres!$A$1:$I$89,7,0))</f>
        <v>0</v>
      </c>
      <c r="KK16" s="16">
        <f>IF(ISNA(VLOOKUP($A16,'Données projet'!$A$382:$I$402,6,0)),0%,VLOOKUP($A16,'Données projet'!$A$382:$I$402,6,0)*VLOOKUP('Données projet'!$B$22,Paramètres!$A$1:$I$89,7,0))</f>
        <v>0</v>
      </c>
      <c r="KL16" s="16">
        <f>IF(ISNA(VLOOKUP($A16,'Données projet'!$A$382:$I$402,7,0)),0%,VLOOKUP($A16,'Données projet'!$A$382:$I$402,7,0))</f>
        <v>0</v>
      </c>
      <c r="KM16" s="21">
        <f>EXP(-LN(2)/35)*KM15+(1-EXP(-LN(2)/35))/(LN(2)/35)*KI16*KJ16*VLOOKUP('Données projet'!$B$22,Paramètres!$A$1:$I$89,3,0)*0.475*44/12</f>
        <v>0</v>
      </c>
      <c r="KN16" s="21">
        <f>EXP(-LN(2)/25)*KN15+(1-EXP(-LN(2)/25))/(LN(2)/25)*Calculateur!KI16*Calculateur!KK16*VLOOKUP('Données projet'!$B$22,Paramètres!$A$1:$I$89,3,0)*0.475*44/12</f>
        <v>0</v>
      </c>
      <c r="KO16" s="21">
        <f>EXP(-LN(2)/2)*KO15+(1-EXP(-LN(2)/2))/(LN(2)/2)*KI16*KL16*VLOOKUP('Données projet'!$B$22,Paramètres!$A$1:$I$89,3,0)*0.475*44/12</f>
        <v>0</v>
      </c>
      <c r="KP16" s="22">
        <f t="shared" si="98"/>
        <v>0</v>
      </c>
      <c r="KQ16" s="74">
        <f>('Scénario référence'!$F$8+'Scénario référence'!$F$9+'Scénario référence'!$B$17+'Scénario référence'!$B$9+'Scénario référence'!$B$10)*70+IF((45+25*(1-EXP(-0.0175*$A16)))&lt;70,'Scénario référence'!$B$16*(45+25*(1-EXP(-0.0175*$A16))),70*'Scénario référence'!$B$16)+IF((32+38*(1-EXP(-0.0175*$A16)))&lt;70,'Scénario référence'!$B$18*(32+38*(1-EXP(-0.0175*$A16))),70*'Scénario référence'!$B$18)</f>
        <v>70</v>
      </c>
      <c r="KR16" s="12">
        <f>IF($A16&gt;30,10,('Scénario référence'!$B$16+'Scénario référence'!$B$17+'Scénario référence'!$B$18+'Scénario référence'!$B$9+'Scénario référence'!$B$10)*$A16*10/30+('Scénario référence'!$F$8+'Scénario référence'!$F$9)*10)</f>
        <v>10</v>
      </c>
      <c r="KS16" s="12" t="e">
        <f>VLOOKUP($A16,'Données projet'!$A$408:$I$428,2,0)</f>
        <v>#N/A</v>
      </c>
      <c r="KT16" s="12" t="e">
        <f>VLOOKUP($A16,'Données projet'!$A$408:$I$428,9,0)</f>
        <v>#N/A</v>
      </c>
      <c r="KU16" s="12">
        <f t="array" ref="KU16">INDEX(KT:KT,MIN(IF(ISNUMBER(KT16:KT212),ROW(KT16:KT212),"")))</f>
        <v>2.4666666666666668</v>
      </c>
      <c r="KV16" s="12">
        <f>IF('Données projet'!$A$408&gt;35,KV15+KU16-LD15,IF($A16&lt;'Données projet'!$A$408,$CQ$205^$A16,IF($A16='Données projet'!$A$408,'Données projet'!$B$408,KV15+KU16-LD15)))</f>
        <v>32.066666666666677</v>
      </c>
      <c r="KW16" s="17">
        <f>KV16*VLOOKUP('Données projet'!$B$23,Paramètres!$A$1:$I$89,3,0)*VLOOKUP('Données projet'!$B$23,Paramètres!$A$1:$I$89,5,0)</f>
        <v>28.013440000000013</v>
      </c>
      <c r="KX16" s="13">
        <f t="shared" si="99"/>
        <v>8.7588089529801803</v>
      </c>
      <c r="KY16" s="14">
        <f t="shared" si="43"/>
        <v>64.045000259773829</v>
      </c>
      <c r="KZ16" s="59">
        <f t="shared" si="44"/>
        <v>357.37833359310713</v>
      </c>
      <c r="LA16" s="59">
        <f ca="1">AVERAGE(OFFSET($KZ$3,0,0,'Données projet'!$E$23+1,1))-AVERAGE(OFFSET($H$3,0,0,'Données projet'!$E$23+1,1))</f>
        <v>248.33596943633819</v>
      </c>
      <c r="LB16" s="59">
        <f t="shared" si="100"/>
        <v>242.34010522344573</v>
      </c>
      <c r="LC16" s="15">
        <f>IF(ISNA(VLOOKUP($A16,'Données projet'!$A$408:$I$428,3,0)),0,VLOOKUP($A16,'Données projet'!$A$408:$I$428,3,0))</f>
        <v>0</v>
      </c>
      <c r="LD16" s="15">
        <f>IF(ISNA(VLOOKUP($A16,'Données projet'!$A$408:$I$428,4,0)),0,VLOOKUP($A16,'Données projet'!$A$408:$I$428,4,0))</f>
        <v>0</v>
      </c>
      <c r="LE16" s="16">
        <f>IF(ISNA(VLOOKUP($A16,'Données projet'!$A$408:$I$428,5,0)),0%,VLOOKUP($A16,'Données projet'!$A$408:$I$428,5,0)*VLOOKUP('Données projet'!$B$23,Paramètres!$A$1:$I$89,7,0))</f>
        <v>0</v>
      </c>
      <c r="LF16" s="16">
        <f>IF(ISNA(VLOOKUP($A16,'Données projet'!$A$408:$I$428,6,0)),0%,VLOOKUP($A16,'Données projet'!$A$408:$I$428,6,0)*VLOOKUP('Données projet'!$B$23,Paramètres!$A$1:$I$89,7,0))</f>
        <v>0</v>
      </c>
      <c r="LG16" s="16">
        <f>IF(ISNA(VLOOKUP($A16,'Données projet'!$A$408:$I$428,7,0)),0%,VLOOKUP($A16,'Données projet'!$A$408:$I$428,7,0))</f>
        <v>0</v>
      </c>
      <c r="LH16" s="21">
        <f>EXP(-LN(2)/35)*LH15+(1-EXP(-LN(2)/35))/(LN(2)/35)*LD16*LE16*VLOOKUP('Données projet'!$B$23,Paramètres!$A$1:$I$89,3,0)*0.475*44/12</f>
        <v>0</v>
      </c>
      <c r="LI16" s="21">
        <f>EXP(-LN(2)/25)*LI15+(1-EXP(-LN(2)/25))/(LN(2)/25)*Calculateur!LD16*Calculateur!LF16*VLOOKUP('Données projet'!$B$23,Paramètres!$A$1:$I$89,3,0)*0.475*44/12</f>
        <v>0</v>
      </c>
      <c r="LJ16" s="21">
        <f>EXP(-LN(2)/2)*LJ15+(1-EXP(-LN(2)/2))/(LN(2)/2)*LD16*LG16*VLOOKUP('Données projet'!$B$23,Paramètres!$A$1:$I$89,3,0)*0.475*44/12</f>
        <v>0</v>
      </c>
      <c r="LK16" s="22">
        <f t="shared" si="101"/>
        <v>0</v>
      </c>
      <c r="LL16" s="74">
        <f>('Scénario référence'!$F$8+'Scénario référence'!$F$9+'Scénario référence'!$B$17+'Scénario référence'!$B$9+'Scénario référence'!$B$10)*70+IF((45+25*(1-EXP(-0.0175*$A16)))&lt;70,'Scénario référence'!$B$16*(45+25*(1-EXP(-0.0175*$A16))),70*'Scénario référence'!$B$16)+IF((32+38*(1-EXP(-0.0175*$A16)))&lt;70,'Scénario référence'!$B$18*(32+38*(1-EXP(-0.0175*$A16))),70*'Scénario référence'!$B$18)</f>
        <v>70</v>
      </c>
      <c r="LM16" s="12">
        <f>IF($A16&gt;30,10,('Scénario référence'!$B$16+'Scénario référence'!$B$17+'Scénario référence'!$B$18+'Scénario référence'!$B$9+'Scénario référence'!$B$10)*$A16*10/30+('Scénario référence'!$F$8+'Scénario référence'!$F$9)*10)</f>
        <v>10</v>
      </c>
      <c r="LN16" s="12" t="e">
        <f>VLOOKUP($A16,'Données projet'!$A$434:$I$454,2,0)</f>
        <v>#N/A</v>
      </c>
      <c r="LO16" s="12" t="e">
        <f>VLOOKUP($A16,'Données projet'!$A$434:$I$454,9,0)</f>
        <v>#N/A</v>
      </c>
      <c r="LP16" s="12">
        <f t="array" ref="LP16">INDEX(LO:LO,MIN(IF(ISNUMBER(LO16:LO212),ROW(LO16:LO212),"")))</f>
        <v>2.9235042735042733</v>
      </c>
      <c r="LQ16" s="12">
        <f>IF('Données projet'!$A$434&gt;35,LQ15+LP16-LY15,IF($A16&lt;'Données projet'!$A$434,$CQ$205^$A16,IF($A16='Données projet'!$A$434,'Données projet'!$B$434,LQ15+LP16-LY15)))</f>
        <v>38.005555555555553</v>
      </c>
      <c r="LR16" s="17">
        <f>LQ16*VLOOKUP('Données projet'!$B$24,Paramètres!$A$1:$I$89,3,0)*VLOOKUP('Données projet'!$B$24,Paramètres!$A$1:$I$89,5,0)</f>
        <v>38.537633333333339</v>
      </c>
      <c r="LS16" s="13">
        <f t="shared" si="102"/>
        <v>11.610210304006792</v>
      </c>
      <c r="LT16" s="14">
        <f t="shared" si="46"/>
        <v>87.340827668367396</v>
      </c>
      <c r="LU16" s="59">
        <f t="shared" si="103"/>
        <v>380.67416100170072</v>
      </c>
      <c r="LV16" s="59">
        <f ca="1">AVERAGE(OFFSET($LU$3,0,0,'Données projet'!$E$24+1,1))-AVERAGE(OFFSET($H$3,0,0,'Données projet'!$E$24+1,1))</f>
        <v>260.52627655062872</v>
      </c>
      <c r="LW16" s="59">
        <f t="shared" si="104"/>
        <v>159.20429420478047</v>
      </c>
      <c r="LX16" s="15">
        <f>IF(ISNA(VLOOKUP($A16,'Données projet'!$A$434:$I$454,3,0)),0,VLOOKUP($A16,'Données projet'!$A$434:$I$454,3,0))</f>
        <v>0</v>
      </c>
      <c r="LY16" s="15">
        <f>IF(ISNA(VLOOKUP($A16,'Données projet'!$A$434:$I$454,4,0)),0,VLOOKUP($A16,'Données projet'!$A$434:$I$454,4,0))</f>
        <v>0</v>
      </c>
      <c r="LZ16" s="16">
        <f>IF(ISNA(VLOOKUP($A16,'Données projet'!$A$434:$I$454,5,0)),0%,VLOOKUP($A16,'Données projet'!$A$434:$I$454,5,0)*VLOOKUP('Données projet'!$B$24,Paramètres!$A$1:$I$89,7,0))</f>
        <v>0</v>
      </c>
      <c r="MA16" s="16">
        <f>IF(ISNA(VLOOKUP($A16,'Données projet'!$A$434:$I$454,6,0)),0%,VLOOKUP($A16,'Données projet'!$A$434:$I$454,6,0)*VLOOKUP('Données projet'!$B$24,Paramètres!$A$1:$I$89,7,0))</f>
        <v>0</v>
      </c>
      <c r="MB16" s="16">
        <f>IF(ISNA(VLOOKUP($A16,'Données projet'!$A$434:$I$454,7,0)),0%,VLOOKUP($A16,'Données projet'!$A$434:$I$454,7,0))</f>
        <v>0</v>
      </c>
      <c r="MC16" s="21">
        <f>EXP(-LN(2)/35)*MC15+(1-EXP(-LN(2)/35))/(LN(2)/35)*LY16*LZ16*VLOOKUP('Données projet'!$B$24,Paramètres!$A$1:$I$89,3,0)*0.475*44/12</f>
        <v>0</v>
      </c>
      <c r="MD16" s="21">
        <f>EXP(-LN(2)/25)*MD15+(1-EXP(-LN(2)/25))/(LN(2)/25)*Calculateur!LY16*Calculateur!MA16*VLOOKUP('Données projet'!$B$24,Paramètres!$A$1:$I$89,3,0)*0.475*44/12</f>
        <v>0</v>
      </c>
      <c r="ME16" s="21">
        <f>EXP(-LN(2)/2)*ME15+(1-EXP(-LN(2)/2))/(LN(2)/2)*LY16*MB16*VLOOKUP('Données projet'!$B$24,Paramètres!$A$1:$I$89,3,0)*0.475*44/12</f>
        <v>0</v>
      </c>
      <c r="MF16" s="22">
        <f t="shared" si="105"/>
        <v>0</v>
      </c>
      <c r="MG16" s="74">
        <f>('Scénario référence'!$F$8+'Scénario référence'!$F$9+'Scénario référence'!$B$17+'Scénario référence'!$B$9+'Scénario référence'!$B$10)*70+IF((45+25*(1-EXP(-0.0175*$A16)))&lt;70,'Scénario référence'!$B$16*(45+25*(1-EXP(-0.0175*$A16))),70*'Scénario référence'!$B$16)+IF((32+38*(1-EXP(-0.0175*$A16)))&lt;70,'Scénario référence'!$B$18*(32+38*(1-EXP(-0.0175*$A16))),70*'Scénario référence'!$B$18)</f>
        <v>70</v>
      </c>
      <c r="MH16" s="12">
        <f>IF($A16&gt;30,10,('Scénario référence'!$B$16+'Scénario référence'!$B$17+'Scénario référence'!$B$18+'Scénario référence'!$B$9+'Scénario référence'!$B$10)*$A16*10/30+('Scénario référence'!$F$8+'Scénario référence'!$F$9)*10)</f>
        <v>10</v>
      </c>
      <c r="MI16" s="12" t="e">
        <f>VLOOKUP($A16,'Données projet'!$A$460:$I$480,2,0)</f>
        <v>#N/A</v>
      </c>
      <c r="MJ16" s="12" t="e">
        <f>VLOOKUP($A16,'Données projet'!$A$460:$I$480,9,0)</f>
        <v>#N/A</v>
      </c>
      <c r="MK16" s="12">
        <f t="array" ref="MK16">INDEX(MJ:MJ,MIN(IF(ISNUMBER(MJ16:MJ212),ROW(MJ16:MJ212),"")))</f>
        <v>0</v>
      </c>
      <c r="ML16" s="12">
        <f>IF('Données projet'!$A$460&gt;35,ML15+MK16-MT15,IF($A16&lt;'Données projet'!$A$460,$CQ$205^$A16,IF($A16='Données projet'!$A$460,'Données projet'!$B$460,ML15+MK16-MT15)))</f>
        <v>0</v>
      </c>
      <c r="MM16" s="17" t="e">
        <f>ML16*VLOOKUP('Données projet'!$B$25,Paramètres!$A$1:$I$89,3,0)*VLOOKUP('Données projet'!$B$25,Paramètres!$A$1:$I$89,5,0)</f>
        <v>#N/A</v>
      </c>
      <c r="MN16" s="13" t="e">
        <f t="shared" si="106"/>
        <v>#N/A</v>
      </c>
      <c r="MO16" s="14" t="e">
        <f t="shared" si="49"/>
        <v>#N/A</v>
      </c>
      <c r="MP16" s="59" t="e">
        <f t="shared" si="50"/>
        <v>#N/A</v>
      </c>
      <c r="MQ16" s="20" t="e">
        <f ca="1">AVERAGE(OFFSET($MP$3,0,0,'Données projet'!$E$25+1,1))-AVERAGE(OFFSET($H$3,0,0,'Données projet'!$E$25+1,1))</f>
        <v>#N/A</v>
      </c>
      <c r="MR16" s="59" t="e">
        <f t="shared" si="107"/>
        <v>#N/A</v>
      </c>
      <c r="MS16" s="15">
        <f>IF(ISNA(VLOOKUP($A16,'Données projet'!$A$460:$I$480,3,0)),0,VLOOKUP($A16,'Données projet'!$A$460:$I$480,3,0))</f>
        <v>0</v>
      </c>
      <c r="MT16" s="15">
        <f>IF(ISNA(VLOOKUP($A16,'Données projet'!$A$460:$I$480,4,0)),0,VLOOKUP($A16,'Données projet'!$A$460:$I$480,4,0))</f>
        <v>0</v>
      </c>
      <c r="MU16" s="16">
        <f>IF(ISNA(VLOOKUP($A16,'Données projet'!$A$460:$I$480,5,0)),0%,VLOOKUP($A16,'Données projet'!$A$460:$I$480,5,0)*VLOOKUP('Données projet'!$B$25,Paramètres!$A$1:$I$89,7,0))</f>
        <v>0</v>
      </c>
      <c r="MV16" s="16">
        <f>IF(ISNA(VLOOKUP($A16,'Données projet'!$A$460:$I$480,6,0)),0%,VLOOKUP($A16,'Données projet'!$A$460:$I$480,6,0)*VLOOKUP('Données projet'!$B$25,Paramètres!$A$1:$I$89,7,0))</f>
        <v>0</v>
      </c>
      <c r="MW16" s="16">
        <f>IF(ISNA(VLOOKUP($A16,'Données projet'!$A$460:$I$480,7,0)),0%,VLOOKUP($A16,'Données projet'!$A$460:$I$480,7,0))</f>
        <v>0</v>
      </c>
      <c r="MX16" s="21" t="e">
        <f>EXP(-LN(2)/35)*MX15+(1-EXP(-LN(2)/35))/(LN(2)/35)*MT16*MU16*VLOOKUP('Données projet'!$B$25,Paramètres!$A$1:$I$89,3,0)*0.475*44/12</f>
        <v>#N/A</v>
      </c>
      <c r="MY16" s="21" t="e">
        <f>EXP(-LN(2)/25)*MY15+(1-EXP(-LN(2)/25))/(LN(2)/25)*Calculateur!MT16*Calculateur!MV16*VLOOKUP('Données projet'!$B$25,Paramètres!$A$1:$I$89,3,0)*0.475*44/12</f>
        <v>#N/A</v>
      </c>
      <c r="MZ16" s="21" t="e">
        <f>EXP(-LN(2)/2)*MZ15+(1-EXP(-LN(2)/2))/(LN(2)/2)*MT16*MW16*VLOOKUP('Données projet'!$B$25,Paramètres!$A$1:$I$89,3,0)*0.475*44/12</f>
        <v>#N/A</v>
      </c>
      <c r="NA16" s="22" t="e">
        <f t="shared" si="108"/>
        <v>#N/A</v>
      </c>
      <c r="NB16" s="74">
        <f>('Scénario référence'!$F$8+'Scénario référence'!$F$9+'Scénario référence'!$B$17+'Scénario référence'!$B$9+'Scénario référence'!$B$10)*70+IF((45+25*(1-EXP(-0.0175*$A16)))&lt;70,'Scénario référence'!$B$16*(45+25*(1-EXP(-0.0175*$A16))),70*'Scénario référence'!$B$16)+IF((32+38*(1-EXP(-0.0175*$A16)))&lt;70,'Scénario référence'!$B$18*(32+38*(1-EXP(-0.0175*$A16))),70*'Scénario référence'!$B$18)</f>
        <v>70</v>
      </c>
      <c r="NC16" s="12">
        <f>IF($A16&gt;30,10,('Scénario référence'!$B$16+'Scénario référence'!$B$17+'Scénario référence'!$B$18+'Scénario référence'!$B$9+'Scénario référence'!$B$10)*$A16*10/30+('Scénario référence'!$F$8+'Scénario référence'!$F$9)*10)</f>
        <v>10</v>
      </c>
      <c r="ND16" s="12" t="e">
        <f>VLOOKUP($A16,'Données projet'!$A$486:$I$506,2,0)</f>
        <v>#N/A</v>
      </c>
      <c r="NE16" s="12" t="e">
        <f>VLOOKUP($A16,'Données projet'!$A$486:$I$506,9,0)</f>
        <v>#N/A</v>
      </c>
      <c r="NF16" s="12">
        <f t="array" ref="NF16">INDEX(NE:NE,MIN(IF(ISNUMBER(NE16:NE212),ROW(NE16:NE212),"")))</f>
        <v>0</v>
      </c>
      <c r="NG16" s="12">
        <f>IF('Données projet'!$A$486&gt;35,NG15+NF16-NO15,IF($A16&lt;'Données projet'!$A$486,$CQ$205^$A16,IF($A16='Données projet'!$A$486,'Données projet'!$B$486,NG15+NF16-NO15)))</f>
        <v>0</v>
      </c>
      <c r="NH16" s="17" t="e">
        <f>NG16*VLOOKUP('Données projet'!$B$26,Paramètres!$A$1:$I$89,3,0)*VLOOKUP('Données projet'!$B$26,Paramètres!$A$1:$I$89,5,0)</f>
        <v>#N/A</v>
      </c>
      <c r="NI16" s="13" t="e">
        <f t="shared" si="109"/>
        <v>#N/A</v>
      </c>
      <c r="NJ16" s="14" t="e">
        <f t="shared" si="52"/>
        <v>#N/A</v>
      </c>
      <c r="NK16" s="59" t="e">
        <f t="shared" si="53"/>
        <v>#N/A</v>
      </c>
      <c r="NL16" s="20" t="e">
        <f ca="1">AVERAGE(OFFSET($NK$3,0,0,'Données projet'!$E$26+1,1))-AVERAGE(OFFSET($H$3,0,0,'Données projet'!$E$26+1,1))</f>
        <v>#N/A</v>
      </c>
      <c r="NM16" s="59" t="e">
        <f t="shared" si="110"/>
        <v>#N/A</v>
      </c>
      <c r="NN16" s="15">
        <f>IF(ISNA(VLOOKUP($A16,'Données projet'!$A$486:$I$506,3,0)),0,VLOOKUP($A16,'Données projet'!$A$486:$I$506,3,0))</f>
        <v>0</v>
      </c>
      <c r="NO16" s="15">
        <f>IF(ISNA(VLOOKUP($A16,'Données projet'!$A$486:$I$506,4,0)),0,VLOOKUP($A16,'Données projet'!$A$486:$I$506,4,0))</f>
        <v>0</v>
      </c>
      <c r="NP16" s="16">
        <f>IF(ISNA(VLOOKUP($A16,'Données projet'!$A$486:$I$506,5,0)),0%,VLOOKUP($A16,'Données projet'!$A$486:$I$506,5,0)*VLOOKUP('Données projet'!$B$26,Paramètres!$A$1:$I$89,7,0))</f>
        <v>0</v>
      </c>
      <c r="NQ16" s="16">
        <f>IF(ISNA(VLOOKUP($A16,'Données projet'!$A$486:$I$506,6,0)),0%,VLOOKUP($A16,'Données projet'!$A$486:$I$506,6,0)*VLOOKUP('Données projet'!$B$26,Paramètres!$A$1:$I$89,7,0))</f>
        <v>0</v>
      </c>
      <c r="NR16" s="16">
        <f>IF(ISNA(VLOOKUP($A16,'Données projet'!$A$486:$I$506,7,0)),0%,VLOOKUP($A16,'Données projet'!$A$486:$I$506,7,0))</f>
        <v>0</v>
      </c>
      <c r="NS16" s="21" t="e">
        <f>EXP(-LN(2)/35)*NS15+(1-EXP(-LN(2)/35))/(LN(2)/35)*NO16*NP16*VLOOKUP('Données projet'!$B$26,Paramètres!$A$1:$I$89,3,0)*0.475*44/12</f>
        <v>#N/A</v>
      </c>
      <c r="NT16" s="21" t="e">
        <f>EXP(-LN(2)/25)*NT15+(1-EXP(-LN(2)/25))/(LN(2)/25)*Calculateur!NO16*Calculateur!NQ16*VLOOKUP('Données projet'!$B$26,Paramètres!$A$1:$I$89,3,0)*0.475*44/12</f>
        <v>#N/A</v>
      </c>
      <c r="NU16" s="21" t="e">
        <f>EXP(-LN(2)/2)*NU15+(1-EXP(-LN(2)/2))/(LN(2)/2)*NO16*NR16*VLOOKUP('Données projet'!$B$26,Paramètres!$A$1:$I$89,3,0)*0.475*44/12</f>
        <v>#N/A</v>
      </c>
      <c r="NV16" s="22" t="e">
        <f t="shared" si="111"/>
        <v>#N/A</v>
      </c>
      <c r="NW16" s="74">
        <f>('Scénario référence'!$F$8+'Scénario référence'!$F$9+'Scénario référence'!$B$17+'Scénario référence'!$B$9+'Scénario référence'!$B$10)*70+IF((45+25*(1-EXP(-0.0175*$A16)))&lt;70,'Scénario référence'!$B$16*(45+25*(1-EXP(-0.0175*$A16))),70*'Scénario référence'!$B$16)+IF((32+38*(1-EXP(-0.0175*$A16)))&lt;70,'Scénario référence'!$B$18*(32+38*(1-EXP(-0.0175*$A16))),70*'Scénario référence'!$B$18)</f>
        <v>70</v>
      </c>
      <c r="NX16" s="12">
        <f>IF($A16&gt;30,10,('Scénario référence'!$B$16+'Scénario référence'!$B$17+'Scénario référence'!$B$18+'Scénario référence'!$B$9+'Scénario référence'!$B$10)*$A16*10/30+('Scénario référence'!$F$8+'Scénario référence'!$F$9)*10)</f>
        <v>10</v>
      </c>
      <c r="NY16" s="12" t="e">
        <f>VLOOKUP($A16,'Données projet'!$A$512:$I$532,2,0)</f>
        <v>#N/A</v>
      </c>
      <c r="NZ16" s="12" t="e">
        <f>VLOOKUP($A16,'Données projet'!$A$512:$I$532,9,0)</f>
        <v>#N/A</v>
      </c>
      <c r="OA16" s="12">
        <f t="array" ref="OA16">INDEX(NZ:NZ,MIN(IF(ISNUMBER(NZ16:NZ212),ROW(NZ16:NZ212),"")))</f>
        <v>0</v>
      </c>
      <c r="OB16" s="12">
        <f>IF('Données projet'!$A$512&gt;35,OB15+OA16-OJ15,IF($A16&lt;'Données projet'!$A$512,$CQ$205^$A16,IF($A16='Données projet'!$A$512,'Données projet'!$B$512,OB15+OA16-OJ15)))</f>
        <v>0</v>
      </c>
      <c r="OC16" s="17" t="e">
        <f>OB16*VLOOKUP('Données projet'!$B$27,Paramètres!$A$1:$I$89,3,0)*VLOOKUP('Données projet'!$B$27,Paramètres!$A$1:$I$89,5,0)</f>
        <v>#N/A</v>
      </c>
      <c r="OD16" s="13" t="e">
        <f t="shared" si="112"/>
        <v>#N/A</v>
      </c>
      <c r="OE16" s="14" t="e">
        <f t="shared" si="55"/>
        <v>#N/A</v>
      </c>
      <c r="OF16" s="59" t="e">
        <f t="shared" si="56"/>
        <v>#N/A</v>
      </c>
      <c r="OG16" s="20" t="e">
        <f ca="1">AVERAGE(OFFSET($OF$3,0,0,'Données projet'!$E$27+1,1))-AVERAGE(OFFSET($H$3,0,0,'Données projet'!$E$27+1,1))</f>
        <v>#N/A</v>
      </c>
      <c r="OH16" s="59" t="e">
        <f t="shared" si="113"/>
        <v>#N/A</v>
      </c>
      <c r="OI16" s="15">
        <f>IF(ISNA(VLOOKUP($A16,'Données projet'!$A$512:$I$532,3,0)),0,VLOOKUP($A16,'Données projet'!$A$512:$I$532,3,0))</f>
        <v>0</v>
      </c>
      <c r="OJ16" s="15">
        <f>IF(ISNA(VLOOKUP($A16,'Données projet'!$A$512:$I$532,4,0)),0,VLOOKUP($A16,'Données projet'!$A$512:$I$532,4,0))</f>
        <v>0</v>
      </c>
      <c r="OK16" s="16">
        <f>IF(ISNA(VLOOKUP($A16,'Données projet'!$A$512:$I$532,5,0)),0%,VLOOKUP($A16,'Données projet'!$A$512:$I$532,5,0)*VLOOKUP('Données projet'!$B$27,Paramètres!$A$1:$I$89,7,0))</f>
        <v>0</v>
      </c>
      <c r="OL16" s="16">
        <f>IF(ISNA(VLOOKUP($A16,'Données projet'!$A$512:$I$532,6,0)),0%,VLOOKUP($A16,'Données projet'!$A$512:$I$532,6,0)*VLOOKUP('Données projet'!$B$27,Paramètres!$A$1:$I$89,7,0))</f>
        <v>0</v>
      </c>
      <c r="OM16" s="16">
        <f>IF(ISNA(VLOOKUP($A16,'Données projet'!$A$512:$I$532,7,0)),0%,VLOOKUP($A16,'Données projet'!$A$512:$I$532,7,0))</f>
        <v>0</v>
      </c>
      <c r="ON16" s="21" t="e">
        <f>EXP(-LN(2)/35)*ON15+(1-EXP(-LN(2)/35))/(LN(2)/35)*OJ16*OK16*VLOOKUP('Données projet'!$B$27,Paramètres!$A$1:$I$89,3,0)*0.475*44/12</f>
        <v>#N/A</v>
      </c>
      <c r="OO16" s="21" t="e">
        <f>EXP(-LN(2)/25)*OO15+(1-EXP(-LN(2)/25))/(LN(2)/25)*Calculateur!OJ16*Calculateur!OL16*VLOOKUP('Données projet'!$B$27,Paramètres!$A$1:$I$89,3,0)*0.475*44/12</f>
        <v>#N/A</v>
      </c>
      <c r="OP16" s="21" t="e">
        <f>EXP(-LN(2)/2)*OP15+(1-EXP(-LN(2)/2))/(LN(2)/2)*OJ16*OM16*VLOOKUP('Données projet'!$B$27,Paramètres!$A$1:$I$89,3,0)*0.475*44/12</f>
        <v>#N/A</v>
      </c>
      <c r="OQ16" s="22" t="e">
        <f t="shared" si="114"/>
        <v>#N/A</v>
      </c>
      <c r="OR16" s="74">
        <f>('Scénario référence'!$F$8+'Scénario référence'!$F$9+'Scénario référence'!$B$17+'Scénario référence'!$B$9+'Scénario référence'!$B$10)*70+IF((45+25*(1-EXP(-0.0175*$A16)))&lt;70,'Scénario référence'!$B$16*(45+25*(1-EXP(-0.0175*$A16))),70*'Scénario référence'!$B$16)+IF((32+38*(1-EXP(-0.0175*$A16)))&lt;70,'Scénario référence'!$B$18*(32+38*(1-EXP(-0.0175*$A16))),70*'Scénario référence'!$B$18)</f>
        <v>70</v>
      </c>
      <c r="OS16" s="12">
        <f>IF($A16&gt;30,10,('Scénario référence'!$B$16+'Scénario référence'!$B$17+'Scénario référence'!$B$18+'Scénario référence'!$B$9+'Scénario référence'!$B$10)*$A16*10/30+('Scénario référence'!$F$8+'Scénario référence'!$F$9)*10)</f>
        <v>10</v>
      </c>
      <c r="OT16" s="12" t="e">
        <f>VLOOKUP($A16,'Données projet'!$A$538:$I$558,2,0)</f>
        <v>#N/A</v>
      </c>
      <c r="OU16" s="12" t="e">
        <f>VLOOKUP($A16,'Données projet'!$A$538:$I$558,9,0)</f>
        <v>#N/A</v>
      </c>
      <c r="OV16" s="12">
        <f t="array" ref="OV16">INDEX(OU:OU,MIN(IF(ISNUMBER(OU16:OU212),ROW(OU16:OU212),"")))</f>
        <v>0</v>
      </c>
      <c r="OW16" s="12">
        <f>IF('Données projet'!$A$538&gt;35,OW15+OV16-PE15,IF($A16&lt;'Données projet'!$A$538,$CQ$205^$A16,IF($A16='Données projet'!$A$538,'Données projet'!$B$538,OW15+OV16-PE15)))</f>
        <v>0</v>
      </c>
      <c r="OX16" s="17" t="e">
        <f>OW16*VLOOKUP('Données projet'!$B$28,Paramètres!$A$1:$I$89,3,0)*VLOOKUP('Données projet'!$B$28,Paramètres!$A$1:$I$89,5,0)</f>
        <v>#N/A</v>
      </c>
      <c r="OY16" s="13" t="e">
        <f t="shared" si="115"/>
        <v>#N/A</v>
      </c>
      <c r="OZ16" s="14" t="e">
        <f t="shared" si="58"/>
        <v>#N/A</v>
      </c>
      <c r="PA16" s="59" t="e">
        <f t="shared" si="59"/>
        <v>#N/A</v>
      </c>
      <c r="PB16" s="20" t="e">
        <f ca="1">AVERAGE(OFFSET($PA$3,0,0,'Données projet'!$E$28+1,1))-AVERAGE(OFFSET($H$3,0,0,'Données projet'!$E$28+1,1))</f>
        <v>#N/A</v>
      </c>
      <c r="PC16" s="59" t="e">
        <f t="shared" si="116"/>
        <v>#N/A</v>
      </c>
      <c r="PD16" s="15">
        <f>IF(ISNA(VLOOKUP($A16,'Données projet'!$A$538:$I$558,3,0)),0,VLOOKUP($A16,'Données projet'!$A$538:$I$558,3,0))</f>
        <v>0</v>
      </c>
      <c r="PE16" s="15">
        <f>IF(ISNA(VLOOKUP($A16,'Données projet'!$A$538:$I$558,4,0)),0,VLOOKUP($A16,'Données projet'!$A$538:$I$558,4,0))</f>
        <v>0</v>
      </c>
      <c r="PF16" s="16">
        <f>IF(ISNA(VLOOKUP($A16,'Données projet'!$A$538:$I$558,5,0)),0%,VLOOKUP($A16,'Données projet'!$A$538:$I$558,5,0)*VLOOKUP('Données projet'!$B$28,Paramètres!$A$1:$I$89,7,0))</f>
        <v>0</v>
      </c>
      <c r="PG16" s="16">
        <f>IF(ISNA(VLOOKUP($A16,'Données projet'!$A$538:$I$558,6,0)),0%,VLOOKUP($A16,'Données projet'!$A$538:$I$558,6,0)*VLOOKUP('Données projet'!$B$28,Paramètres!$A$1:$I$89,7,0))</f>
        <v>0</v>
      </c>
      <c r="PH16" s="16">
        <f>IF(ISNA(VLOOKUP($A16,'Données projet'!$A$538:$I$558,7,0)),0%,VLOOKUP($A16,'Données projet'!$A$538:$I$558,7,0))</f>
        <v>0</v>
      </c>
      <c r="PI16" s="21" t="e">
        <f>EXP(-LN(2)/35)*PI15+(1-EXP(-LN(2)/35))/(LN(2)/35)*PE16*PF16*VLOOKUP('Données projet'!$B$28,Paramètres!$A$1:$I$89,3,0)*0.475*44/12</f>
        <v>#N/A</v>
      </c>
      <c r="PJ16" s="21" t="e">
        <f>EXP(-LN(2)/25)*PJ15+(1-EXP(-LN(2)/25))/(LN(2)/25)*Calculateur!PE16*Calculateur!PG16*VLOOKUP('Données projet'!$B$28,Paramètres!$A$1:$I$89,3,0)*0.475*44/12</f>
        <v>#N/A</v>
      </c>
      <c r="PK16" s="21" t="e">
        <f>EXP(-LN(2)/2)*PK15+(1-EXP(-LN(2)/2))/(LN(2)/2)*PE16*PH16*VLOOKUP('Données projet'!$B$28,Paramètres!$A$1:$I$89,3,0)*0.475*44/12</f>
        <v>#N/A</v>
      </c>
      <c r="PL16" s="22" t="e">
        <f t="shared" si="117"/>
        <v>#N/A</v>
      </c>
    </row>
    <row r="17" spans="1:428" x14ac:dyDescent="0.35">
      <c r="A17" s="10">
        <f t="shared" si="6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6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projet'!$A$45:$I$65,2,0)</f>
        <v>#N/A</v>
      </c>
      <c r="L17" s="12" t="e">
        <f>VLOOKUP(A17,'Données projet'!$A$45:$I$65,9,0)</f>
        <v>#N/A</v>
      </c>
      <c r="M17" s="12">
        <f t="array" ref="M17">INDEX(L:L,MIN(IF(ISNUMBER(L17:L213),ROW(L17:L213),"")))</f>
        <v>10.16068376068376</v>
      </c>
      <c r="N17" s="13">
        <f>IF('Données projet'!$A$46&gt;35,N16+M17-V16,IF(A17&lt;'Données projet'!$A$46,$K$205^A17,IF(A17='Données projet'!$A$46,'Données projet'!$B$46,N16+M17-V16)))</f>
        <v>57.475841973982881</v>
      </c>
      <c r="O17" s="13">
        <f>N17*VLOOKUP('Données projet'!$B$9,Paramètres!$A$1:$I$89,3,0)*VLOOKUP('Données projet'!$B$9,Paramètres!$A$1:$I$89,5,0)</f>
        <v>32.128995663456436</v>
      </c>
      <c r="P17" s="13">
        <f t="shared" si="63"/>
        <v>9.8865868664217604</v>
      </c>
      <c r="Q17" s="20">
        <f t="shared" si="2"/>
        <v>73.177139572871184</v>
      </c>
      <c r="R17" s="59">
        <f t="shared" si="0"/>
        <v>366.51047290620448</v>
      </c>
      <c r="S17" s="59">
        <f ca="1">AVERAGE(OFFSET($R$3,0,0,'Données projet'!$E$9+1,1))-AVERAGE(OFFSET($H$3,0,0,'Données projet'!$E$9+1,1))</f>
        <v>274.57619581652199</v>
      </c>
      <c r="T17" s="59">
        <f t="shared" si="64"/>
        <v>366.15117322598775</v>
      </c>
      <c r="U17" s="15">
        <f>IF(ISNA(VLOOKUP(A17,'Données projet'!$A$45:$I$65,3,0)),0,VLOOKUP(A17,'Données projet'!$A$45:$I$65,3,0))</f>
        <v>0</v>
      </c>
      <c r="V17" s="15">
        <f>IF(ISNA(VLOOKUP(A17,'Données projet'!$A$45:$I$65,4,0)),0,VLOOKUP(A17,'Données projet'!$A$45:$I$65,4,0))</f>
        <v>0</v>
      </c>
      <c r="W17" s="16">
        <f>IF(ISNA(VLOOKUP(A17,'Données projet'!$A$45:$I$65,5,0)),0%,VLOOKUP(A17,'Données projet'!$A$45:$I$65,5,0)*VLOOKUP('Données projet'!$B$9,Paramètres!$A$1:$I$89,7,0))</f>
        <v>0</v>
      </c>
      <c r="X17" s="16">
        <f>IF(ISNA(VLOOKUP(A17,'Données projet'!$A$45:$I$65,6,0)),0%,VLOOKUP(A17,'Données projet'!$A$45:$I$65,6,0)*VLOOKUP('Données projet'!$B$9,Paramètres!$A$1:$I$89,7,0))</f>
        <v>0</v>
      </c>
      <c r="Y17" s="16">
        <f>IF(ISNA(VLOOKUP(A17,'Données projet'!$A$45:$I$65,7,0)),0%,VLOOKUP(A17,'Données projet'!$A$45:$I$65,7,0))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projet'!$A$71:$I$91,2,0)</f>
        <v>#N/A</v>
      </c>
      <c r="AG17" s="12" t="e">
        <f>VLOOKUP(A17,'Données projet'!$A$71:$I$91,9,0)</f>
        <v>#N/A</v>
      </c>
      <c r="AH17" s="12">
        <f t="array" ref="AH17">INDEX(AG:AG,MIN(IF(ISNUMBER(AG17:AG213),ROW(AG17:AG213),"")))</f>
        <v>4.0628205128205126</v>
      </c>
      <c r="AI17" s="13">
        <f>IF('Données projet'!$A$72&gt;35,AI16+AH17-AQ16,IF(A17&lt;'Données projet'!$A$72,$AF$205^A17,IF(A17='Données projet'!$A$72,'Données projet'!$B$72,AI16+AH17-AQ16)))</f>
        <v>9.4068196111151305</v>
      </c>
      <c r="AJ17" s="13">
        <f>AI17*VLOOKUP('Données projet'!$B$10,Paramètres!$A$1:$I$89,3,0)*VLOOKUP('Données projet'!$B$10,Paramètres!$A$1:$I$89,5,0)</f>
        <v>8.51129038413697</v>
      </c>
      <c r="AK17" s="13">
        <f t="shared" si="65"/>
        <v>3.0570040016267526</v>
      </c>
      <c r="AL17" s="20">
        <f t="shared" si="4"/>
        <v>20.148112721871815</v>
      </c>
      <c r="AM17" s="59">
        <f t="shared" si="5"/>
        <v>313.48144605520514</v>
      </c>
      <c r="AN17" s="59">
        <f ca="1">AVERAGE(OFFSET($AM$3,0,0,'Données projet'!$E$10+1,1))-AVERAGE(OFFSET($H$3,0,0,'Données projet'!$E$10+1,1))</f>
        <v>270.87836509222456</v>
      </c>
      <c r="AO17" s="59">
        <f t="shared" si="66"/>
        <v>205.24998237949734</v>
      </c>
      <c r="AP17" s="15">
        <f>IF(ISNA(VLOOKUP(A17,'Données projet'!$A$71:$I$91,3,0)),0,VLOOKUP(A17,'Données projet'!$A$71:$I$91,3,0))</f>
        <v>0</v>
      </c>
      <c r="AQ17" s="15">
        <f>IF(ISNA(VLOOKUP(A17,'Données projet'!$A$71:$I$91,4,0)),0,VLOOKUP(A17,'Données projet'!$A$71:$I$91,4,0))</f>
        <v>0</v>
      </c>
      <c r="AR17" s="16">
        <f>IF(ISNA(VLOOKUP(A17,'Données projet'!$A$71:$I$91,5,0)),0%,VLOOKUP(A17,'Données projet'!$A$71:$I$91,5,0)*VLOOKUP('Données projet'!$B$10,Paramètres!$A$1:$I$89,7,0))</f>
        <v>0</v>
      </c>
      <c r="AS17" s="16">
        <f>IF(ISNA(VLOOKUP(A17,'Données projet'!$A$71:$I$91,6,0)),0%,VLOOKUP(A17,'Données projet'!$A$71:$I$91,6,0)*VLOOKUP('Données projet'!$B$10,Paramètres!$A$1:$I$89,7,0))</f>
        <v>0</v>
      </c>
      <c r="AT17" s="16">
        <f>IF(ISNA(VLOOKUP(A17,'Données projet'!$A$71:$I$91,7,0)),0%,VLOOKUP(A17,'Données projet'!$A$71:$I$91,7,0))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projet'!$A$97:$I$117,2,0)</f>
        <v>#N/A</v>
      </c>
      <c r="BB17" s="12" t="e">
        <f>VLOOKUP(A17,'Données projet'!$A$97:$I$117,9,0)</f>
        <v>#N/A</v>
      </c>
      <c r="BC17" s="12">
        <f t="array" ref="BC17">INDEX(BB:BB,MIN(IF(ISNUMBER(BB17:BB213),ROW(BB17:BB213),"")))</f>
        <v>10.16068376068376</v>
      </c>
      <c r="BD17" s="12">
        <f>IF('Données projet'!$A$98&gt;35,BD16+BC17-BL16,IF(A17&lt;'Données projet'!$A$98,$BA$205^A17,IF(A17='Données projet'!$A$98,'Données projet'!$B$98,BD16+BC17-BL16)))</f>
        <v>57.475841973982881</v>
      </c>
      <c r="BE17" s="13">
        <f>BD17*VLOOKUP('Données projet'!$B$11,Paramètres!$A$1:$I$89,3,0)*VLOOKUP('Données projet'!$B$11,Paramètres!$A$1:$I$89,5,0)</f>
        <v>25.404322152500434</v>
      </c>
      <c r="BF17" s="13">
        <f t="shared" si="67"/>
        <v>8.0339371574502874</v>
      </c>
      <c r="BG17" s="20">
        <f t="shared" si="7"/>
        <v>58.238301631497507</v>
      </c>
      <c r="BH17" s="59">
        <f t="shared" si="8"/>
        <v>351.57163496483082</v>
      </c>
      <c r="BI17" s="59">
        <f ca="1">AVERAGE(OFFSET($BH$3,0,0,'Données projet'!$E$11+1,1))-AVERAGE(OFFSET($H$3,0,0,'Données projet'!$E$11+1,1))</f>
        <v>211.31057120485542</v>
      </c>
      <c r="BJ17" s="59">
        <f t="shared" si="68"/>
        <v>283.33292006714777</v>
      </c>
      <c r="BK17" s="15">
        <f>IF(ISNA(VLOOKUP(A17,'Données projet'!$A$97:$I$117,3,0)),0,VLOOKUP(A17,'Données projet'!$A$97:$I$117,3,0))</f>
        <v>0</v>
      </c>
      <c r="BL17" s="15">
        <f>IF(ISNA(VLOOKUP(A17,'Données projet'!$A$97:$I$117,4,0)),0,VLOOKUP(A17,'Données projet'!$A$97:$I$117,4,0))</f>
        <v>0</v>
      </c>
      <c r="BM17" s="16">
        <f>IF(ISNA(VLOOKUP(A17,'Données projet'!$A$97:$I$117,5,0)),0%,VLOOKUP(A17,'Données projet'!$A$97:$I$117,5,0)*VLOOKUP('Données projet'!$B$11,Paramètres!$A$1:$I$89,7,0))</f>
        <v>0</v>
      </c>
      <c r="BN17" s="16">
        <f>IF(ISNA(VLOOKUP(A17,'Données projet'!$A$97:$I$117,6,0)),0%,VLOOKUP(A17,'Données projet'!$A$97:$I$117,6,0)*VLOOKUP('Données projet'!$B$11,Paramètres!$A$1:$I$89,7,0))</f>
        <v>0</v>
      </c>
      <c r="BO17" s="16">
        <f>IF(ISNA(VLOOKUP(A17,'Données projet'!$A$97:$I$117,7,0)),0%,VLOOKUP(A17,'Données projet'!$A$97:$I$117,7,0))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projet'!$A$123:$I$143,2,0)</f>
        <v>#N/A</v>
      </c>
      <c r="BW17" s="12" t="e">
        <f>VLOOKUP(A17,'Données projet'!$A$123:$I$143,9,0)</f>
        <v>#N/A</v>
      </c>
      <c r="BX17" s="12">
        <f t="array" ref="BX17">INDEX(BW:BW,MIN(IF(ISNUMBER(BW17:BW213),ROW(BW17:BW213),"")))</f>
        <v>8.8000000000000007</v>
      </c>
      <c r="BY17" s="12">
        <f>IF('Données projet'!$A$124&gt;35,BY16+BX17-CG16,IF(A17&lt;'Données projet'!$A$124,$BV$205^A17,IF(A17='Données projet'!$A$124,'Données projet'!$B$124,BY16+BX17-CG16)))</f>
        <v>64.199999999999989</v>
      </c>
      <c r="BZ17" s="13">
        <f>BY17*VLOOKUP('Données projet'!$B$12,Paramètres!$A$1:$I$89,3,0)*VLOOKUP('Données projet'!$B$12,Paramètres!$A$1:$I$89,5,0)</f>
        <v>67.101839999999996</v>
      </c>
      <c r="CA17" s="13">
        <f t="shared" si="69"/>
        <v>18.951980743561439</v>
      </c>
      <c r="CB17" s="20">
        <f t="shared" si="10"/>
        <v>149.87707112836947</v>
      </c>
      <c r="CC17" s="59">
        <f t="shared" si="11"/>
        <v>443.21040446170275</v>
      </c>
      <c r="CD17" s="59">
        <f ca="1">AVERAGE(OFFSET($CC$3,0,0,'Données projet'!$E$12+1,1))-AVERAGE(OFFSET($H$3,0,0,'Données projet'!$E$12+1,1))</f>
        <v>322.93502595881938</v>
      </c>
      <c r="CE17" s="59">
        <f t="shared" si="70"/>
        <v>302.67072119588164</v>
      </c>
      <c r="CF17" s="15">
        <f>IF(ISNA(VLOOKUP(A17,'Données projet'!$A$123:$I$143,3,0)),0,VLOOKUP(A17,'Données projet'!$A$123:$I$143,3,0))</f>
        <v>0</v>
      </c>
      <c r="CG17" s="15">
        <f>IF(ISNA(VLOOKUP(A17,'Données projet'!$A$123:$I$143,4,0)),0,VLOOKUP(A17,'Données projet'!$A$123:$I$143,4,0))</f>
        <v>0</v>
      </c>
      <c r="CH17" s="16">
        <f>IF(ISNA(VLOOKUP(A17,'Données projet'!$A$123:$I$143,5,0)),0%,VLOOKUP(A17,'Données projet'!$A$123:$I$143,5,0)*VLOOKUP('Données projet'!$B$12,Paramètres!$A$1:$I$89,7,0))</f>
        <v>0</v>
      </c>
      <c r="CI17" s="16">
        <f>IF(ISNA(VLOOKUP(A17,'Données projet'!$A$123:$I$143,6,0)),0%,VLOOKUP(A17,'Données projet'!$A$123:$I$143,6,0)*VLOOKUP('Données projet'!$B$12,Paramètres!$A$1:$I$89,7,0))</f>
        <v>0</v>
      </c>
      <c r="CJ17" s="16">
        <f>IF(ISNA(VLOOKUP(A17,'Données projet'!$A$123:$I$143,7,0)),0%,VLOOKUP(A17,'Données projet'!$A$123:$I$143,7,0))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projet'!$A$149:$I$169,2,0)</f>
        <v>#N/A</v>
      </c>
      <c r="CR17" s="12" t="e">
        <f>VLOOKUP(A17,'Données projet'!$A$149:$I$169,9,0)</f>
        <v>#N/A</v>
      </c>
      <c r="CS17" s="12">
        <f t="array" ref="CS17">INDEX(CR:CR,MIN(IF(ISNUMBER(CR17:CR213),ROW(CR17:CR213),"")))</f>
        <v>2.9235042735042733</v>
      </c>
      <c r="CT17" s="12">
        <f>IF('Données projet'!$A$150&gt;35,CT16+CS17-DB16,IF(A17&lt;'Données projet'!$A$150,$CQ$205^A17,IF(A17='Données projet'!$A$150,'Données projet'!$B$150,CT16+CS17-DB16)))</f>
        <v>8.0676118326430668</v>
      </c>
      <c r="CU17" s="17">
        <f>CT17*VLOOKUP('Données projet'!$B$13,Paramètres!$A$1:$I$89,3,0)*VLOOKUP('Données projet'!$B$13,Paramètres!$A$1:$I$89,5,0)</f>
        <v>8.1805583983000698</v>
      </c>
      <c r="CV17" s="13">
        <f t="shared" si="71"/>
        <v>2.9518010224963804</v>
      </c>
      <c r="CW17" s="20">
        <f t="shared" si="13"/>
        <v>19.388859324553817</v>
      </c>
      <c r="CX17" s="59">
        <f t="shared" si="14"/>
        <v>312.72219265788715</v>
      </c>
      <c r="CY17" s="59">
        <f ca="1">AVERAGE(OFFSET($CX$3,0,0,'Données projet'!$E$13+1,1))-AVERAGE(OFFSET($H$3,0,0,'Données projet'!$E$13+1,1))</f>
        <v>250.31277422753283</v>
      </c>
      <c r="CZ17" s="59">
        <f t="shared" si="72"/>
        <v>159.20429420478047</v>
      </c>
      <c r="DA17" s="15">
        <f>IF(ISNA(VLOOKUP(A17,'Données projet'!$A$149:$I$169,3,0)),0,VLOOKUP(A17,'Données projet'!$A$149:$I$169,3,0))</f>
        <v>0</v>
      </c>
      <c r="DB17" s="15">
        <f>IF(ISNA(VLOOKUP(A17,'Données projet'!$A$149:$I$169,4,0)),0,VLOOKUP(A17,'Données projet'!$A$149:$I$169,4,0))</f>
        <v>0</v>
      </c>
      <c r="DC17" s="16">
        <f>IF(ISNA(VLOOKUP(A17,'Données projet'!$A$149:$I$169,5,0)),0%,VLOOKUP(A17,'Données projet'!$A$149:$I$169,5,0)*VLOOKUP('Données projet'!$B$13,Paramètres!$A$1:$I$89,7,0))</f>
        <v>0</v>
      </c>
      <c r="DD17" s="16">
        <f>IF(ISNA(VLOOKUP(A17,'Données projet'!$A$149:$I$169,6,0)),0%,VLOOKUP(A17,'Données projet'!$A$149:$I$169,6,0)*VLOOKUP('Données projet'!$B$13,Paramètres!$A$1:$I$89,7,0))</f>
        <v>0</v>
      </c>
      <c r="DE17" s="16">
        <f>IF(ISNA(VLOOKUP(A17,'Données projet'!$A$149:$I$169,7,0)),0%,VLOOKUP(A17,'Données projet'!$A$149:$I$169,7,0))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projet'!$A$175:$I$195,2,0)</f>
        <v>#N/A</v>
      </c>
      <c r="DM17" s="12" t="e">
        <f>VLOOKUP(A17,'Données projet'!$A$175:$I$195,9,0)</f>
        <v>#N/A</v>
      </c>
      <c r="DN17" s="12">
        <f t="array" ref="DN17">INDEX(DM:DM,MIN(IF(ISNUMBER(DM17:DM213),ROW(DM17:DM213),"")))</f>
        <v>14.6</v>
      </c>
      <c r="DO17" s="12">
        <f>IF('Données projet'!$A$176&gt;35,DO16+DN17-DW16,IF(A17&lt;'Données projet'!$A$176,$DL$205^A17,IF(A17='Données projet'!$A$176,'Données projet'!$B$176,DO16+DN17-DW16)))</f>
        <v>70.400000000000006</v>
      </c>
      <c r="DP17" s="17">
        <f>DO17*VLOOKUP('Données projet'!$B$14,Paramètres!$A$1:$I$89,3,0)*VLOOKUP('Données projet'!$B$14,Paramètres!$A$1:$I$89,5,0)</f>
        <v>51.617280000000001</v>
      </c>
      <c r="DQ17" s="13">
        <f t="shared" si="73"/>
        <v>15.030652312628483</v>
      </c>
      <c r="DR17" s="20">
        <f t="shared" si="16"/>
        <v>116.07848211116128</v>
      </c>
      <c r="DS17" s="59">
        <f t="shared" si="17"/>
        <v>409.41181544449461</v>
      </c>
      <c r="DT17" s="59">
        <f ca="1">AVERAGE(OFFSET($DS$3,0,0,'Données projet'!$E$14+1,1))-AVERAGE(OFFSET($H$3,0,0,'Données projet'!$E$14+1,1))</f>
        <v>296.91321813251051</v>
      </c>
      <c r="DU17" s="59">
        <f t="shared" si="74"/>
        <v>291.0718079639509</v>
      </c>
      <c r="DV17" s="15">
        <f>IF(ISNA(VLOOKUP(A17,'Données projet'!$A$175:$I$195,3,0)),0,VLOOKUP(A17,'Données projet'!$A$175:$I$195,3,0))</f>
        <v>0</v>
      </c>
      <c r="DW17" s="15">
        <f>IF(ISNA(VLOOKUP(A17,'Données projet'!$A$175:$I$195,4,0)),0,VLOOKUP(A17,'Données projet'!$A$175:$I$195,4,0))</f>
        <v>0</v>
      </c>
      <c r="DX17" s="16">
        <f>IF(ISNA(VLOOKUP(A17,'Données projet'!$A$175:$I$195,5,0)),0%,VLOOKUP(A17,'Données projet'!$A$175:$I$195,5,0)*VLOOKUP('Données projet'!$B$14,Paramètres!$A$1:$I$89,7,0))</f>
        <v>0</v>
      </c>
      <c r="DY17" s="16">
        <f>IF(ISNA(VLOOKUP(A17,'Données projet'!$A$175:$I$195,6,0)),0%,VLOOKUP(A17,'Données projet'!$A$175:$I$195,6,0)*VLOOKUP('Données projet'!$B$14,Paramètres!$A$1:$I$89,7,0))</f>
        <v>0</v>
      </c>
      <c r="DZ17" s="16">
        <f>IF(ISNA(VLOOKUP(A17,'Données projet'!$A$175:$I$195,7,0)),0%,VLOOKUP(A17,'Données projet'!$A$175:$I$195,7,0))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projet'!$A$201:$I$221,2,0)</f>
        <v>#N/A</v>
      </c>
      <c r="EH17" s="12" t="e">
        <f>VLOOKUP(A17,'Données projet'!$A$201:$I$221,9,0)</f>
        <v>#N/A</v>
      </c>
      <c r="EI17" s="12">
        <f t="array" ref="EI17">INDEX(EH:EH,MIN(IF(ISNUMBER(EH17:EH213),ROW(EH17:EH213),"")))</f>
        <v>3.4425641025641025</v>
      </c>
      <c r="EJ17" s="12">
        <f>IF('Données projet'!$A$202&gt;35,EJ16+EI17-ER16,IF(A17&lt;'Données projet'!$A$202,$EG$205^A17,IF(A17='Données projet'!$A$202,'Données projet'!$B$202,EJ16+EI17-ER16)))</f>
        <v>8.7069931392376674</v>
      </c>
      <c r="EK17" s="17">
        <f>EJ17*VLOOKUP('Données projet'!$B$15,Paramètres!$A$1:$I$89,3,0)*VLOOKUP('Données projet'!$B$15,Paramètres!$A$1:$I$89,5,0)</f>
        <v>4.0748727891632281</v>
      </c>
      <c r="EL17" s="13">
        <f t="shared" si="75"/>
        <v>1.5945892948181934</v>
      </c>
      <c r="EM17" s="20">
        <f t="shared" si="19"/>
        <v>9.8743131296009761</v>
      </c>
      <c r="EN17" s="59">
        <f t="shared" si="20"/>
        <v>303.20764646293429</v>
      </c>
      <c r="EO17" s="59">
        <f ca="1">AVERAGE(OFFSET($EN$3,0,0,'Données projet'!$E$15+1,1))-AVERAGE(OFFSET($H$3,0,0,'Données projet'!$E$15+1,1))</f>
        <v>147.64256291235483</v>
      </c>
      <c r="EP17" s="59">
        <f t="shared" si="76"/>
        <v>70.859031694091868</v>
      </c>
      <c r="EQ17" s="15">
        <f>IF(ISNA(VLOOKUP(A17,'Données projet'!$A$201:$I$221,3,0)),0,VLOOKUP(A17,'Données projet'!$A$201:$I$221,3,0))</f>
        <v>0</v>
      </c>
      <c r="ER17" s="15">
        <f>IF(ISNA(VLOOKUP(A17,'Données projet'!$A$201:$I$221,4,0)),0,VLOOKUP(A17,'Données projet'!$A$201:$I$221,4,0))</f>
        <v>0</v>
      </c>
      <c r="ES17" s="16">
        <f>IF(ISNA(VLOOKUP(A17,'Données projet'!$A$201:$I$221,5,0)),0%,VLOOKUP(A17,'Données projet'!$A$201:$I$221,5,0)*VLOOKUP('Données projet'!$B$15,Paramètres!$A$1:$I$89,7,0))</f>
        <v>0</v>
      </c>
      <c r="ET17" s="16">
        <f>IF(ISNA(VLOOKUP(A17,'Données projet'!$A$201:$I$221,6,0)),0%,VLOOKUP(A17,'Données projet'!$A$201:$I$221,6,0)*VLOOKUP('Données projet'!$B$15,Paramètres!$A$1:$I$89,7,0))</f>
        <v>0</v>
      </c>
      <c r="EU17" s="16">
        <f>IF(ISNA(VLOOKUP(A17,'Données projet'!$A$201:$I$221,7,0)),0%,VLOOKUP(A17,'Données projet'!$A$201:$I$221,7,0))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projet'!$A$227:$I$247,2,0)</f>
        <v>#N/A</v>
      </c>
      <c r="FC17" s="12" t="e">
        <f>VLOOKUP(A17,'Données projet'!$A$227:$I$247,9,0)</f>
        <v>#N/A</v>
      </c>
      <c r="FD17" s="12">
        <f t="array" ref="FD17">INDEX(FC:FC,MIN(IF(ISNUMBER(FC17:FC213),ROW(FC17:FC213),"")))</f>
        <v>5.8</v>
      </c>
      <c r="FE17" s="12">
        <f>IF('Données projet'!$A$228&gt;35,FE16+FD17-FM16,IF(A17&lt;'Données projet'!$A$228,$FB$205^A17,IF(A17='Données projet'!$A$228,'Données projet'!$B$228,FE16+FD17-FM16)))</f>
        <v>41.199999999999996</v>
      </c>
      <c r="FF17" s="17">
        <f>FE17*VLOOKUP('Données projet'!$B$16,Paramètres!$A$1:$I$89,3,0)*VLOOKUP('Données projet'!$B$16,Paramètres!$A$1:$I$89,5,0)</f>
        <v>43.062240000000003</v>
      </c>
      <c r="FG17" s="13">
        <f t="shared" si="77"/>
        <v>12.806776656744804</v>
      </c>
      <c r="FH17" s="20">
        <f t="shared" si="22"/>
        <v>97.305204010497206</v>
      </c>
      <c r="FI17" s="59">
        <f t="shared" si="23"/>
        <v>390.63853734383054</v>
      </c>
      <c r="FJ17" s="59">
        <f ca="1">AVERAGE(OFFSET($FI$3,0,0,'Données projet'!$E$16+1,1))-AVERAGE(OFFSET($H$3,0,0,'Données projet'!$E$16+1,1))</f>
        <v>259.03906550253788</v>
      </c>
      <c r="FK17" s="59">
        <f t="shared" si="78"/>
        <v>235.54542903570831</v>
      </c>
      <c r="FL17" s="15">
        <f>IF(ISNA(VLOOKUP(A17,'Données projet'!$A$227:$I$247,3,0)),0,VLOOKUP(A17,'Données projet'!$A$227:$I$247,3,0))</f>
        <v>0</v>
      </c>
      <c r="FM17" s="15">
        <f>IF(ISNA(VLOOKUP(A17,'Données projet'!$A$227:$I$247,4,0)),0,VLOOKUP(A17,'Données projet'!$A$227:$I$247,4,0))</f>
        <v>0</v>
      </c>
      <c r="FN17" s="16">
        <f>IF(ISNA(VLOOKUP(A17,'Données projet'!$A$227:$I$247,5,0)),0%,VLOOKUP(A17,'Données projet'!$A$227:$I$247,5,0)*VLOOKUP('Données projet'!$B$16,Paramètres!$A$1:$I$89,7,0))</f>
        <v>0</v>
      </c>
      <c r="FO17" s="16">
        <f>IF(ISNA(VLOOKUP(A17,'Données projet'!$A$227:$I$247,6,0)),0%,VLOOKUP(A17,'Données projet'!$A$227:$I$247,6,0)*VLOOKUP('Données projet'!$B$16,Paramètres!$A$1:$I$89,7,0))</f>
        <v>0</v>
      </c>
      <c r="FP17" s="16">
        <f>IF(ISNA(VLOOKUP(A17,'Données projet'!$A$227:$I$247,7,0)),0%,VLOOKUP(A17,'Données projet'!$A$227:$I$247,7,0))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projet'!$A$253:$I$273,2,0)</f>
        <v>#N/A</v>
      </c>
      <c r="FX17" s="12" t="e">
        <f>VLOOKUP(A17,'Données projet'!$A$253:$I$273,9,0)</f>
        <v>#N/A</v>
      </c>
      <c r="FY17" s="12">
        <f t="array" ref="FY17">INDEX(FX:FX,MIN(IF(ISNUMBER(FX17:FX213),ROW(FX17:FX213),"")))</f>
        <v>2.4666666666666668</v>
      </c>
      <c r="FZ17" s="12">
        <f>IF('Données projet'!$A$254&gt;35,FZ16+FY17-GH16,IF(A17&lt;'Données projet'!$A$254,$FW$205^A17,IF(A17='Données projet'!$A$254,'Données projet'!$B$254,FZ16+FY17-GH16)))</f>
        <v>29.084054009429774</v>
      </c>
      <c r="GA17" s="17">
        <f>FZ17*VLOOKUP('Données projet'!$B$17,Paramètres!$A$1:$I$89,3,0)*VLOOKUP('Données projet'!$B$17,Paramètres!$A$1:$I$89,5,0)</f>
        <v>25.407829582637852</v>
      </c>
      <c r="GB17" s="13">
        <f t="shared" si="79"/>
        <v>8.0349172386667025</v>
      </c>
      <c r="GC17" s="20">
        <f t="shared" si="25"/>
        <v>58.246117380438761</v>
      </c>
      <c r="GD17" s="59">
        <f t="shared" si="26"/>
        <v>351.57945071377208</v>
      </c>
      <c r="GE17" s="59">
        <f ca="1">AVERAGE(OFFSET($GD$3,0,0,'Données projet'!$E$17+1,1))-AVERAGE(OFFSET($H$3,0,0,'Données projet'!$E$17+1,1))</f>
        <v>245.1983232777614</v>
      </c>
      <c r="GF17" s="59">
        <f t="shared" si="80"/>
        <v>242.34010522344573</v>
      </c>
      <c r="GG17" s="15">
        <f>IF(ISNA(VLOOKUP(A17,'Données projet'!$A$253:$I$273,3,0)),0,VLOOKUP(A17,'Données projet'!$A$253:$I$273,3,0))</f>
        <v>0</v>
      </c>
      <c r="GH17" s="15">
        <f>IF(ISNA(VLOOKUP(A17,'Données projet'!$A$253:$I$273,4,0)),0,VLOOKUP(A17,'Données projet'!$A$253:$I$273,4,0))</f>
        <v>0</v>
      </c>
      <c r="GI17" s="16">
        <f>IF(ISNA(VLOOKUP(A17,'Données projet'!$A$253:$I$273,5,0)),0%,VLOOKUP(A17,'Données projet'!$A$253:$I$273,5,0)*VLOOKUP('Données projet'!$B$17,Paramètres!$A$1:$I$89,7,0))</f>
        <v>0</v>
      </c>
      <c r="GJ17" s="16">
        <f>IF(ISNA(VLOOKUP(A17,'Données projet'!$A$253:$I$273,6,0)),0%,VLOOKUP(A17,'Données projet'!$A$253:$I$273,6,0)*VLOOKUP('Données projet'!$B$17,Paramètres!$A$1:$I$89,7,0))</f>
        <v>0</v>
      </c>
      <c r="GK17" s="16">
        <f>IF(ISNA(VLOOKUP(A17,'Données projet'!$A$253:$I$273,7,0)),0%,VLOOKUP(A17,'Données projet'!$A$253:$I$273,7,0))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projet'!$A$279:$I$299,2,0)</f>
        <v>#N/A</v>
      </c>
      <c r="GS17" s="12" t="e">
        <f>VLOOKUP(A17,'Données projet'!$A$279:$I$299,9,0)</f>
        <v>#N/A</v>
      </c>
      <c r="GT17" s="12">
        <f t="array" ref="GT17">INDEX(GS:GS,MIN(IF(ISNUMBER(GS17:GS213),ROW(GS17:GS213),"")))</f>
        <v>4.1333333333333337</v>
      </c>
      <c r="GU17" s="12">
        <f>IF('Données projet'!$A$280&gt;35,GU16+GT17-HC16,IF(A17&lt;'Données projet'!$A$280,$GR$205^A17,IF(A17='Données projet'!$A$280,'Données projet'!$B$280,GU16+GT17-HC16)))</f>
        <v>47.086771076572859</v>
      </c>
      <c r="GV17" s="17">
        <f>GU17*VLOOKUP('Données projet'!$B$18,Paramètres!$A$1:$I$89,3,0)*VLOOKUP('Données projet'!$B$18,Paramètres!$A$1:$I$89,5,0)</f>
        <v>18.975968743858861</v>
      </c>
      <c r="GW17" s="13">
        <f t="shared" si="81"/>
        <v>6.2083055147691892</v>
      </c>
      <c r="GX17" s="20">
        <f t="shared" si="28"/>
        <v>43.862611000443849</v>
      </c>
      <c r="GY17" s="59">
        <f t="shared" si="29"/>
        <v>337.19594433377716</v>
      </c>
      <c r="GZ17" s="59">
        <f ca="1">AVERAGE(OFFSET($GY$3,0,0,'Données projet'!$E$18+1,1))-AVERAGE(OFFSET($H$3,0,0,'Données projet'!$E$18+1,1))</f>
        <v>324.36162935850876</v>
      </c>
      <c r="HA17" s="59">
        <f t="shared" si="82"/>
        <v>265.23571072429735</v>
      </c>
      <c r="HB17" s="15">
        <f>IF(ISNA(VLOOKUP(A17,'Données projet'!$A$279:$I$299,3,0)),0,VLOOKUP(A17,'Données projet'!$A$279:$I$299,3,0))</f>
        <v>0</v>
      </c>
      <c r="HC17" s="15">
        <f>IF(ISNA(VLOOKUP(A17,'Données projet'!$A$279:$I$299,4,0)),0,VLOOKUP(A17,'Données projet'!$A$279:$I$299,4,0))</f>
        <v>0</v>
      </c>
      <c r="HD17" s="16">
        <f>IF(ISNA(VLOOKUP(A17,'Données projet'!$A$279:$I$299,5,0)),0%,VLOOKUP(A17,'Données projet'!$A$279:$I$299,5,0)*VLOOKUP('Données projet'!$B$18,Paramètres!$A$1:$I$89,7,0))</f>
        <v>0</v>
      </c>
      <c r="HE17" s="16">
        <f>IF(ISNA(VLOOKUP(A17,'Données projet'!$A$279:$I$299,6,0)),0%,VLOOKUP(A17,'Données projet'!$A$279:$I$299,6,0)*VLOOKUP('Données projet'!$B$18,Paramètres!$A$1:$I$89,7,0))</f>
        <v>0</v>
      </c>
      <c r="HF17" s="16">
        <f>IF(ISNA(VLOOKUP($A17,'Données projet'!$A$279:$I$299,7,0)),0%,VLOOKUP($A17,'Données projet'!$A$279:$I$299,7,0))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  <c r="HK17" s="74">
        <f>('Scénario référence'!$F$8+'Scénario référence'!$F$9+'Scénario référence'!$B$17+'Scénario référence'!$B$9+'Scénario référence'!$B$10)*70+IF((45+25*(1-EXP(-0.0175*$A17)))&lt;70,'Scénario référence'!$B$16*(45+25*(1-EXP(-0.0175*$A17))),70*'Scénario référence'!$B$16)+IF((32+38*(1-EXP(-0.0175*$A17)))&lt;70,'Scénario référence'!$B$18*(32+38*(1-EXP(-0.0175*$A17))),70*'Scénario référence'!$B$18)</f>
        <v>70</v>
      </c>
      <c r="HL17" s="12">
        <f>IF($A17&gt;30,10,('Scénario référence'!$B$16+'Scénario référence'!$B$17+'Scénario référence'!$B$18+'Scénario référence'!$B$9+'Scénario référence'!$B$10)*$A17*10/30+('Scénario référence'!$F$8+'Scénario référence'!$F$9)*10)</f>
        <v>10</v>
      </c>
      <c r="HM17" s="12">
        <f>VLOOKUP($A17,'Données projet'!$A$304:$I$324,2,0)</f>
        <v>139.63512820512813</v>
      </c>
      <c r="HN17" s="12">
        <f>VLOOKUP($A17,'Données projet'!$A$304:$I$324,9,0)</f>
        <v>18.246282051281995</v>
      </c>
      <c r="HO17" s="12">
        <f t="array" ref="HO17">INDEX(HN:HN,MIN(IF(ISNUMBER(HN17:HN213),ROW(HN17:HN213),"")))</f>
        <v>18.246282051281995</v>
      </c>
      <c r="HP17" s="12">
        <f>IF('Données projet'!$A$304&gt;35,HP16+HO17-HX16,IF($A17&lt;'Données projet'!$A$304,$CQ$205^$A17,IF($A17='Données projet'!$A$304,'Données projet'!$B$304,HP16+HO17-HX16)))</f>
        <v>139.63512820512813</v>
      </c>
      <c r="HQ17" s="17">
        <f>HP17*VLOOKUP('Données projet'!$B$19,Paramètres!$A$1:$I$89,3,0)*VLOOKUP('Données projet'!$B$19,Paramètres!$A$1:$I$89,5,0)</f>
        <v>71.012840799999964</v>
      </c>
      <c r="HR17" s="13">
        <f t="shared" si="83"/>
        <v>19.924770961221942</v>
      </c>
      <c r="HS17" s="14">
        <f t="shared" si="31"/>
        <v>158.38300715079481</v>
      </c>
      <c r="HT17" s="59">
        <f t="shared" si="32"/>
        <v>451.71634048412812</v>
      </c>
      <c r="HU17" s="59">
        <f ca="1">AVERAGE(OFFSET(HT$3,0,0,'Données projet'!$E$19+1,1))-AVERAGE(OFFSET($H$3,0,0,'Données projet'!$E$19+1,1))</f>
        <v>91.60721429656013</v>
      </c>
      <c r="HV17" s="59">
        <f t="shared" si="84"/>
        <v>258.94957804210856</v>
      </c>
      <c r="HW17" s="15">
        <f>IF(ISNA(VLOOKUP($A17,'Données projet'!$A$304:$I$324,3,0)),0,VLOOKUP($A17,'Données projet'!$A$304:$I$324,3,0))</f>
        <v>0</v>
      </c>
      <c r="HX17" s="15">
        <f>IF(ISNA(VLOOKUP($A17,'Données projet'!$A$304:$I$324,4,0)),0,VLOOKUP($A17,'Données projet'!$A$304:$I$324,4,0))</f>
        <v>0</v>
      </c>
      <c r="HY17" s="16">
        <f>IF(ISNA(VLOOKUP($A17,'Données projet'!$A$304:$I$324,5,0)),0%,VLOOKUP($A17,'Données projet'!$A$304:$I$324,5,0)*VLOOKUP('Données projet'!$B$19,Paramètres!$A$1:$I$89,7,0))</f>
        <v>0</v>
      </c>
      <c r="HZ17" s="16">
        <f>IF(ISNA(VLOOKUP($A17,'Données projet'!$A$304:$I$324,6,0)),0%,VLOOKUP($A17,'Données projet'!$A$304:$I$324,6,0)*VLOOKUP('Données projet'!$B$19,Paramètres!$A$1:$I$89,7,0))</f>
        <v>0</v>
      </c>
      <c r="IA17" s="16">
        <f>IF(ISNA(VLOOKUP($A17,'Données projet'!$A$304:$I$324,7,0)),0%,VLOOKUP($A17,'Données projet'!$A$304:$I$324,7,0))</f>
        <v>0</v>
      </c>
      <c r="IB17" s="21">
        <f>EXP(-LN(2)/35)*IB16+(1-EXP(-LN(2)/35))/(LN(2)/35)*HX17*HY17*VLOOKUP('Données projet'!$B$19,Paramètres!$A$1:$I$89,3,0)*0.475*44/12</f>
        <v>0</v>
      </c>
      <c r="IC17" s="21">
        <f>EXP(-LN(2)/25)*IC16+(1-EXP(-LN(2)/25))/(LN(2)/25)*Calculateur!HX17*Calculateur!HZ17*VLOOKUP('Données projet'!$B$19,Paramètres!$A$1:$I$89,3,0)*0.475*44/12</f>
        <v>0</v>
      </c>
      <c r="ID17" s="21">
        <f>EXP(-LN(2)/2)*ID16+(1-EXP(-LN(2)/2))/(LN(2)/2)*HX17*IA17*VLOOKUP('Données projet'!$B$19,Paramètres!$A$1:$I$89,3,0)*0.475*44/12</f>
        <v>0</v>
      </c>
      <c r="IE17" s="22">
        <f t="shared" si="33"/>
        <v>0</v>
      </c>
      <c r="IF17" s="74">
        <f>('Scénario référence'!$F$8+'Scénario référence'!$F$9+'Scénario référence'!$B$17+'Scénario référence'!$B$9+'Scénario référence'!$B$10)*70+IF((45+25*(1-EXP(-0.0175*$A17)))&lt;70,'Scénario référence'!$B$16*(45+25*(1-EXP(-0.0175*$A17))),70*'Scénario référence'!$B$16)+IF((32+38*(1-EXP(-0.0175*$A17)))&lt;70,'Scénario référence'!$B$18*(32+38*(1-EXP(-0.0175*$A17))),70*'Scénario référence'!$B$18)</f>
        <v>70</v>
      </c>
      <c r="IG17" s="12">
        <f>IF($A17&gt;30,10,('Scénario référence'!$B$16+'Scénario référence'!$B$17+'Scénario référence'!$B$18+'Scénario référence'!$B$9+'Scénario référence'!$B$10)*$A17*10/30+('Scénario référence'!$F$8+'Scénario référence'!$F$9)*10)</f>
        <v>10</v>
      </c>
      <c r="IH17" s="12">
        <f>VLOOKUP($A17,'Données projet'!$A$330:$I$350,2,0)</f>
        <v>139.63512820512813</v>
      </c>
      <c r="II17" s="12">
        <f>VLOOKUP($A17,'Données projet'!$A$330:$I$350,9,0)</f>
        <v>18.246282051281995</v>
      </c>
      <c r="IJ17" s="12">
        <f t="array" ref="IJ17">INDEX(II:II,MIN(IF(ISNUMBER(II17:II213),ROW(II17:II213),"")))</f>
        <v>18.246282051281995</v>
      </c>
      <c r="IK17" s="12">
        <f>IF('Données projet'!$A$330&gt;35,IK16+IJ17-IS16,IF($A17&lt;'Données projet'!$A$330,$CQ$205^$A17,IF($A17='Données projet'!$A$330,'Données projet'!$B$330,IK16+IJ17-IS16)))</f>
        <v>139.63512820512813</v>
      </c>
      <c r="IL17" s="17">
        <f>IK17*VLOOKUP('Données projet'!$B$20,Paramètres!$A$1:$I$89,3,0)*VLOOKUP('Données projet'!$B$20,Paramètres!$A$1:$I$89,5,0)</f>
        <v>71.012840799999964</v>
      </c>
      <c r="IM17" s="13">
        <f t="shared" si="85"/>
        <v>19.924770961221942</v>
      </c>
      <c r="IN17" s="20">
        <f t="shared" si="86"/>
        <v>158.38300715079481</v>
      </c>
      <c r="IO17" s="59">
        <f t="shared" si="87"/>
        <v>451.71634048412812</v>
      </c>
      <c r="IP17" s="59">
        <f ca="1">AVERAGE(OFFSET(IO$3,0,0,'Données projet'!$E$20+1,1))-AVERAGE(OFFSET($H$3,0,0,'Données projet'!$E$20+1,1))</f>
        <v>91.60721429656013</v>
      </c>
      <c r="IQ17" s="59">
        <f t="shared" si="88"/>
        <v>258.94957804210856</v>
      </c>
      <c r="IR17" s="15">
        <f>IF(ISNA(VLOOKUP($A17,'Données projet'!$A$330:$I$350,3,0)),0,VLOOKUP($A17,'Données projet'!$A$330:$I$350,3,0))</f>
        <v>0</v>
      </c>
      <c r="IS17" s="15">
        <f>IF(ISNA(VLOOKUP($A17,'Données projet'!$A$330:$I$350,4,0)),0,VLOOKUP($A17,'Données projet'!$A$330:$I$350,4,0))</f>
        <v>0</v>
      </c>
      <c r="IT17" s="16">
        <f>IF(ISNA(VLOOKUP($A17,'Données projet'!$A$330:$I$350,5,0)),0%,VLOOKUP($A17,'Données projet'!$A$330:$I$350,5,0)*VLOOKUP('Données projet'!$B$20,Paramètres!$A$1:$I$89,7,0))</f>
        <v>0</v>
      </c>
      <c r="IU17" s="16">
        <f>IF(ISNA(VLOOKUP($A17,'Données projet'!$A$330:$I$350,6,0)),0%,VLOOKUP($A17,'Données projet'!$A$330:$I$350,6,0)*VLOOKUP('Données projet'!$B$20,Paramètres!$A$1:$I$89,7,0))</f>
        <v>0</v>
      </c>
      <c r="IV17" s="16">
        <f>IF(ISNA(VLOOKUP($A17,'Données projet'!$A$330:$I$350,7,0)),0%,VLOOKUP($A17,'Données projet'!$A$330:$I$350,7,0))</f>
        <v>0</v>
      </c>
      <c r="IW17" s="21">
        <f>EXP(-LN(2)/35)*IW16+(1-EXP(-LN(2)/35))/(LN(2)/35)*IS17*IT17*VLOOKUP('Données projet'!$B$20,Paramètres!$A$1:$I$89,3,0)*0.475*44/12</f>
        <v>0</v>
      </c>
      <c r="IX17" s="21">
        <f>EXP(-LN(2)/25)*IX16+(1-EXP(-LN(2)/25))/(LN(2)/25)*Calculateur!IS17*Calculateur!IU17*VLOOKUP('Données projet'!$B$20,Paramètres!$A$1:$I$89,3,0)*0.475*44/12</f>
        <v>0</v>
      </c>
      <c r="IY17" s="21">
        <f>EXP(-LN(2)/2)*IY16+(1-EXP(-LN(2)/2))/(LN(2)/2)*IS17*IV17*VLOOKUP('Données projet'!$B$20,Paramètres!$A$1:$I$89,3,0)*0.475*44/12</f>
        <v>0</v>
      </c>
      <c r="IZ17" s="22">
        <f t="shared" si="89"/>
        <v>0</v>
      </c>
      <c r="JA17" s="74">
        <f>('Scénario référence'!$F$8+'Scénario référence'!$F$9+'Scénario référence'!$B$17+'Scénario référence'!$B$9+'Scénario référence'!$B$10)*70+IF((45+25*(1-EXP(-0.0175*$A17)))&lt;70,'Scénario référence'!$B$16*(45+25*(1-EXP(-0.0175*$A17))),70*'Scénario référence'!$B$16)+IF((32+38*(1-EXP(-0.0175*$A17)))&lt;70,'Scénario référence'!$B$18*(32+38*(1-EXP(-0.0175*$A17))),70*'Scénario référence'!$B$18)</f>
        <v>70</v>
      </c>
      <c r="JB17" s="12">
        <f>IF($A17&gt;30,10,('Scénario référence'!$B$16+'Scénario référence'!$B$17+'Scénario référence'!$B$18+'Scénario référence'!$B$9+'Scénario référence'!$B$10)*$A17*10/30+('Scénario référence'!$F$8+'Scénario référence'!$F$9)*10)</f>
        <v>10</v>
      </c>
      <c r="JC17" s="12" t="e">
        <f>VLOOKUP($A17,'Données projet'!$A$356:$I$376,2,0)</f>
        <v>#N/A</v>
      </c>
      <c r="JD17" s="12" t="e">
        <f>VLOOKUP($A17,'Données projet'!$A$356:$I$376,9,0)</f>
        <v>#N/A</v>
      </c>
      <c r="JE17" s="12">
        <f t="array" ref="JE17">INDEX(JD:JD,MIN(IF(ISNUMBER(JD17:JD213),ROW(JD17:JD213),"")))</f>
        <v>3.04</v>
      </c>
      <c r="JF17" s="12">
        <f>IF('Données projet'!$A$356&gt;35,JF16+JE17-JN16,IF($A17&lt;'Données projet'!$A$356,$CQ$205^$A17,IF($A17='Données projet'!$A$356,'Données projet'!$B$356,JF16+JE17-JN16)))</f>
        <v>42.559999999999995</v>
      </c>
      <c r="JG17" s="17">
        <f>JF17*VLOOKUP('Données projet'!$B$21,Paramètres!$A$1:$I$89,3,0)*VLOOKUP('Données projet'!$B$21,Paramètres!$A$1:$I$89,5,0)</f>
        <v>34.524672000000002</v>
      </c>
      <c r="JH17" s="13">
        <f t="shared" si="90"/>
        <v>10.535213598041251</v>
      </c>
      <c r="JI17" s="20">
        <f t="shared" si="91"/>
        <v>78.479300749921848</v>
      </c>
      <c r="JJ17" s="59">
        <f t="shared" si="92"/>
        <v>371.81263408325515</v>
      </c>
      <c r="JK17" s="59">
        <f ca="1">AVERAGE(OFFSET($JJ$3,0,0,'Données projet'!$E$22+1,1))-AVERAGE(OFFSET($H$3,0,0,'Données projet'!$E$22+1,1))</f>
        <v>353.35574633294613</v>
      </c>
      <c r="JL17" s="59">
        <f t="shared" si="93"/>
        <v>170.36796666474726</v>
      </c>
      <c r="JM17" s="15">
        <f>IF(ISNA(VLOOKUP($A17,'Données projet'!$A$356:$I$376,3,0)),0,VLOOKUP($A17,'Données projet'!$A$356:$I$376,3,0))</f>
        <v>0</v>
      </c>
      <c r="JN17" s="15">
        <f>IF(ISNA(VLOOKUP($A17,'Données projet'!$A$356:$I$376,4,0)),0,VLOOKUP($A17,'Données projet'!$A$356:$I$376,4,0))</f>
        <v>0</v>
      </c>
      <c r="JO17" s="16">
        <f>IF(ISNA(VLOOKUP($A17,'Données projet'!$A$356:$I$376,5,0)),0%,VLOOKUP($A17,'Données projet'!$A$356:$I$376,5,0)*VLOOKUP('Données projet'!$B$21,Paramètres!$A$1:$I$89,7,0))</f>
        <v>0</v>
      </c>
      <c r="JP17" s="16">
        <f>IF(ISNA(VLOOKUP($A17,'Données projet'!$A$356:$I$376,6,0)),0%,VLOOKUP($A17,'Données projet'!$A$356:$I$376,6,0)*VLOOKUP('Données projet'!$B$21,Paramètres!$A$1:$I$89,7,0))</f>
        <v>0</v>
      </c>
      <c r="JQ17" s="16">
        <f>IF(ISNA(VLOOKUP($A17,'Données projet'!$A$356:$I$376,7,0)),0%,VLOOKUP($A17,'Données projet'!$A$356:$I$376,7,0))</f>
        <v>0</v>
      </c>
      <c r="JR17" s="21">
        <f>EXP(-LN(2)/35)*JR16+(1-EXP(-LN(2)/35))/(LN(2)/35)*JN17*JO17*VLOOKUP('Données projet'!$B$21,Paramètres!$A$1:$I$89,3,0)*0.475*44/12</f>
        <v>0</v>
      </c>
      <c r="JS17" s="21">
        <f>EXP(-LN(2)/25)*JS16+(1-EXP(-LN(2)/25))/(LN(2)/25)*Calculateur!JN17*Calculateur!JP17*VLOOKUP('Données projet'!$B$21,Paramètres!$A$1:$I$89,3,0)*0.475*44/12</f>
        <v>0</v>
      </c>
      <c r="JT17" s="21">
        <f>EXP(-LN(2)/2)*JT16+(1-EXP(-LN(2)/2))/(LN(2)/2)*JN17*JQ17*VLOOKUP('Données projet'!$B$21,Paramètres!$A$1:$I$89,3,0)*0.475*44/12</f>
        <v>0</v>
      </c>
      <c r="JU17" s="18">
        <f t="shared" si="39"/>
        <v>0</v>
      </c>
      <c r="JV17" s="74">
        <f>('Scénario référence'!$F$8+'Scénario référence'!$F$9+'Scénario référence'!$B$17+'Scénario référence'!$B$9+'Scénario référence'!$B$10)*70+IF((45+25*(1-EXP(-0.0175*$A17)))&lt;70,'Scénario référence'!$B$16*(45+25*(1-EXP(-0.0175*$A17))),70*'Scénario référence'!$B$16)+IF((32+38*(1-EXP(-0.0175*$A17)))&lt;70,'Scénario référence'!$B$18*(32+38*(1-EXP(-0.0175*$A17))),70*'Scénario référence'!$B$18)</f>
        <v>70</v>
      </c>
      <c r="JW17" s="12">
        <f>IF($A17&gt;30,10,('Scénario référence'!$B$16+'Scénario référence'!$B$17+'Scénario référence'!$B$18+'Scénario référence'!$B$9+'Scénario référence'!$B$10)*$A17*10/30+('Scénario référence'!$F$8+'Scénario référence'!$F$9)*10)</f>
        <v>10</v>
      </c>
      <c r="JX17" s="12" t="e">
        <f>VLOOKUP($A17,'Données projet'!$A$382:$I$402,2,0)</f>
        <v>#N/A</v>
      </c>
      <c r="JY17" s="12" t="e">
        <f>VLOOKUP($A17,'Données projet'!$A$382:$I$402,9,0)</f>
        <v>#N/A</v>
      </c>
      <c r="JZ17" s="12">
        <f t="array" ref="JZ17">INDEX(JY:JY,MIN(IF(ISNUMBER(JY17:JY213),ROW(JY17:JY213),"")))</f>
        <v>4.0628205128205126</v>
      </c>
      <c r="KA17" s="12">
        <f>IF('Données projet'!$A$382&gt;35,KA16+JZ17-KI16,IF($A17&lt;'Données projet'!$A$382,$CQ$205^$A17,IF($A17='Données projet'!$A$382,'Données projet'!$B$382,KA16+JZ17-KI16)))</f>
        <v>56.879487179487192</v>
      </c>
      <c r="KB17" s="17">
        <f>KA17*VLOOKUP('Données projet'!$B$22,Paramètres!$A$1:$I$89,3,0)*VLOOKUP('Données projet'!$B$22,Paramètres!$A$1:$I$89,5,0)</f>
        <v>38.15476000000001</v>
      </c>
      <c r="KC17" s="13">
        <f t="shared" si="94"/>
        <v>11.508229636416297</v>
      </c>
      <c r="KD17" s="20">
        <f t="shared" si="95"/>
        <v>86.49637361675839</v>
      </c>
      <c r="KE17" s="59">
        <f t="shared" si="96"/>
        <v>379.82970695009169</v>
      </c>
      <c r="KF17" s="59">
        <f ca="1">AVERAGE(OFFSET($KE$3,0,0,'Données projet'!$E$22+1,1))-AVERAGE(OFFSET($H$3,0,0,'Données projet'!$E$22+1,1))</f>
        <v>193.91714772848269</v>
      </c>
      <c r="KG17" s="59">
        <f t="shared" si="97"/>
        <v>159.20429420478047</v>
      </c>
      <c r="KH17" s="15">
        <f>IF(ISNA(VLOOKUP($A17,'Données projet'!$A$382:$I$402,3,0)),0,VLOOKUP($A17,'Données projet'!$A$382:$I$402,3,0))</f>
        <v>0</v>
      </c>
      <c r="KI17" s="15">
        <f>IF(ISNA(VLOOKUP($A17,'Données projet'!$A$382:$I$402,4,0)),0,VLOOKUP($A17,'Données projet'!$A$382:$I$402,4,0))</f>
        <v>0</v>
      </c>
      <c r="KJ17" s="16">
        <f>IF(ISNA(VLOOKUP($A17,'Données projet'!$A$382:$I$402,5,0)),0%,VLOOKUP($A17,'Données projet'!$A$382:$I$402,5,0)*VLOOKUP('Données projet'!$B$22,Paramètres!$A$1:$I$89,7,0))</f>
        <v>0</v>
      </c>
      <c r="KK17" s="16">
        <f>IF(ISNA(VLOOKUP($A17,'Données projet'!$A$382:$I$402,6,0)),0%,VLOOKUP($A17,'Données projet'!$A$382:$I$402,6,0)*VLOOKUP('Données projet'!$B$22,Paramètres!$A$1:$I$89,7,0))</f>
        <v>0</v>
      </c>
      <c r="KL17" s="16">
        <f>IF(ISNA(VLOOKUP($A17,'Données projet'!$A$382:$I$402,7,0)),0%,VLOOKUP($A17,'Données projet'!$A$382:$I$402,7,0))</f>
        <v>0</v>
      </c>
      <c r="KM17" s="21">
        <f>EXP(-LN(2)/35)*KM16+(1-EXP(-LN(2)/35))/(LN(2)/35)*KI17*KJ17*VLOOKUP('Données projet'!$B$22,Paramètres!$A$1:$I$89,3,0)*0.475*44/12</f>
        <v>0</v>
      </c>
      <c r="KN17" s="21">
        <f>EXP(-LN(2)/25)*KN16+(1-EXP(-LN(2)/25))/(LN(2)/25)*Calculateur!KI17*Calculateur!KK17*VLOOKUP('Données projet'!$B$22,Paramètres!$A$1:$I$89,3,0)*0.475*44/12</f>
        <v>0</v>
      </c>
      <c r="KO17" s="21">
        <f>EXP(-LN(2)/2)*KO16+(1-EXP(-LN(2)/2))/(LN(2)/2)*KI17*KL17*VLOOKUP('Données projet'!$B$22,Paramètres!$A$1:$I$89,3,0)*0.475*44/12</f>
        <v>0</v>
      </c>
      <c r="KP17" s="22">
        <f t="shared" si="98"/>
        <v>0</v>
      </c>
      <c r="KQ17" s="74">
        <f>('Scénario référence'!$F$8+'Scénario référence'!$F$9+'Scénario référence'!$B$17+'Scénario référence'!$B$9+'Scénario référence'!$B$10)*70+IF((45+25*(1-EXP(-0.0175*$A17)))&lt;70,'Scénario référence'!$B$16*(45+25*(1-EXP(-0.0175*$A17))),70*'Scénario référence'!$B$16)+IF((32+38*(1-EXP(-0.0175*$A17)))&lt;70,'Scénario référence'!$B$18*(32+38*(1-EXP(-0.0175*$A17))),70*'Scénario référence'!$B$18)</f>
        <v>70</v>
      </c>
      <c r="KR17" s="12">
        <f>IF($A17&gt;30,10,('Scénario référence'!$B$16+'Scénario référence'!$B$17+'Scénario référence'!$B$18+'Scénario référence'!$B$9+'Scénario référence'!$B$10)*$A17*10/30+('Scénario référence'!$F$8+'Scénario référence'!$F$9)*10)</f>
        <v>10</v>
      </c>
      <c r="KS17" s="12" t="e">
        <f>VLOOKUP($A17,'Données projet'!$A$408:$I$428,2,0)</f>
        <v>#N/A</v>
      </c>
      <c r="KT17" s="12" t="e">
        <f>VLOOKUP($A17,'Données projet'!$A$408:$I$428,9,0)</f>
        <v>#N/A</v>
      </c>
      <c r="KU17" s="12">
        <f t="array" ref="KU17">INDEX(KT:KT,MIN(IF(ISNUMBER(KT17:KT213),ROW(KT17:KT213),"")))</f>
        <v>2.4666666666666668</v>
      </c>
      <c r="KV17" s="12">
        <f>IF('Données projet'!$A$408&gt;35,KV16+KU17-LD16,IF($A17&lt;'Données projet'!$A$408,$CQ$205^$A17,IF($A17='Données projet'!$A$408,'Données projet'!$B$408,KV16+KU17-LD16)))</f>
        <v>34.533333333333346</v>
      </c>
      <c r="KW17" s="17">
        <f>KV17*VLOOKUP('Données projet'!$B$23,Paramètres!$A$1:$I$89,3,0)*VLOOKUP('Données projet'!$B$23,Paramètres!$A$1:$I$89,5,0)</f>
        <v>30.168320000000016</v>
      </c>
      <c r="KX17" s="13">
        <f t="shared" si="99"/>
        <v>9.3515465461481515</v>
      </c>
      <c r="KY17" s="14">
        <f t="shared" si="43"/>
        <v>68.830434234541386</v>
      </c>
      <c r="KZ17" s="59">
        <f t="shared" si="44"/>
        <v>362.16376756787469</v>
      </c>
      <c r="LA17" s="59">
        <f ca="1">AVERAGE(OFFSET($KZ$3,0,0,'Données projet'!$E$23+1,1))-AVERAGE(OFFSET($H$3,0,0,'Données projet'!$E$23+1,1))</f>
        <v>248.33596943633819</v>
      </c>
      <c r="LB17" s="59">
        <f t="shared" si="100"/>
        <v>242.34010522344573</v>
      </c>
      <c r="LC17" s="15">
        <f>IF(ISNA(VLOOKUP($A17,'Données projet'!$A$408:$I$428,3,0)),0,VLOOKUP($A17,'Données projet'!$A$408:$I$428,3,0))</f>
        <v>0</v>
      </c>
      <c r="LD17" s="15">
        <f>IF(ISNA(VLOOKUP($A17,'Données projet'!$A$408:$I$428,4,0)),0,VLOOKUP($A17,'Données projet'!$A$408:$I$428,4,0))</f>
        <v>0</v>
      </c>
      <c r="LE17" s="16">
        <f>IF(ISNA(VLOOKUP($A17,'Données projet'!$A$408:$I$428,5,0)),0%,VLOOKUP($A17,'Données projet'!$A$408:$I$428,5,0)*VLOOKUP('Données projet'!$B$23,Paramètres!$A$1:$I$89,7,0))</f>
        <v>0</v>
      </c>
      <c r="LF17" s="16">
        <f>IF(ISNA(VLOOKUP($A17,'Données projet'!$A$408:$I$428,6,0)),0%,VLOOKUP($A17,'Données projet'!$A$408:$I$428,6,0)*VLOOKUP('Données projet'!$B$23,Paramètres!$A$1:$I$89,7,0))</f>
        <v>0</v>
      </c>
      <c r="LG17" s="16">
        <f>IF(ISNA(VLOOKUP($A17,'Données projet'!$A$408:$I$428,7,0)),0%,VLOOKUP($A17,'Données projet'!$A$408:$I$428,7,0))</f>
        <v>0</v>
      </c>
      <c r="LH17" s="21">
        <f>EXP(-LN(2)/35)*LH16+(1-EXP(-LN(2)/35))/(LN(2)/35)*LD17*LE17*VLOOKUP('Données projet'!$B$23,Paramètres!$A$1:$I$89,3,0)*0.475*44/12</f>
        <v>0</v>
      </c>
      <c r="LI17" s="21">
        <f>EXP(-LN(2)/25)*LI16+(1-EXP(-LN(2)/25))/(LN(2)/25)*Calculateur!LD17*Calculateur!LF17*VLOOKUP('Données projet'!$B$23,Paramètres!$A$1:$I$89,3,0)*0.475*44/12</f>
        <v>0</v>
      </c>
      <c r="LJ17" s="21">
        <f>EXP(-LN(2)/2)*LJ16+(1-EXP(-LN(2)/2))/(LN(2)/2)*LD17*LG17*VLOOKUP('Données projet'!$B$23,Paramètres!$A$1:$I$89,3,0)*0.475*44/12</f>
        <v>0</v>
      </c>
      <c r="LK17" s="22">
        <f t="shared" si="101"/>
        <v>0</v>
      </c>
      <c r="LL17" s="74">
        <f>('Scénario référence'!$F$8+'Scénario référence'!$F$9+'Scénario référence'!$B$17+'Scénario référence'!$B$9+'Scénario référence'!$B$10)*70+IF((45+25*(1-EXP(-0.0175*$A17)))&lt;70,'Scénario référence'!$B$16*(45+25*(1-EXP(-0.0175*$A17))),70*'Scénario référence'!$B$16)+IF((32+38*(1-EXP(-0.0175*$A17)))&lt;70,'Scénario référence'!$B$18*(32+38*(1-EXP(-0.0175*$A17))),70*'Scénario référence'!$B$18)</f>
        <v>70</v>
      </c>
      <c r="LM17" s="12">
        <f>IF($A17&gt;30,10,('Scénario référence'!$B$16+'Scénario référence'!$B$17+'Scénario référence'!$B$18+'Scénario référence'!$B$9+'Scénario référence'!$B$10)*$A17*10/30+('Scénario référence'!$F$8+'Scénario référence'!$F$9)*10)</f>
        <v>10</v>
      </c>
      <c r="LN17" s="12" t="e">
        <f>VLOOKUP($A17,'Données projet'!$A$434:$I$454,2,0)</f>
        <v>#N/A</v>
      </c>
      <c r="LO17" s="12" t="e">
        <f>VLOOKUP($A17,'Données projet'!$A$434:$I$454,9,0)</f>
        <v>#N/A</v>
      </c>
      <c r="LP17" s="12">
        <f t="array" ref="LP17">INDEX(LO:LO,MIN(IF(ISNUMBER(LO17:LO213),ROW(LO17:LO213),"")))</f>
        <v>2.9235042735042733</v>
      </c>
      <c r="LQ17" s="12">
        <f>IF('Données projet'!$A$434&gt;35,LQ16+LP17-LY16,IF($A17&lt;'Données projet'!$A$434,$CQ$205^$A17,IF($A17='Données projet'!$A$434,'Données projet'!$B$434,LQ16+LP17-LY16)))</f>
        <v>40.929059829059824</v>
      </c>
      <c r="LR17" s="17">
        <f>LQ17*VLOOKUP('Données projet'!$B$24,Paramètres!$A$1:$I$89,3,0)*VLOOKUP('Données projet'!$B$24,Paramètres!$A$1:$I$89,5,0)</f>
        <v>41.502066666666664</v>
      </c>
      <c r="LS17" s="13">
        <f t="shared" si="102"/>
        <v>12.395911664627221</v>
      </c>
      <c r="LT17" s="14">
        <f t="shared" si="46"/>
        <v>93.872312260336841</v>
      </c>
      <c r="LU17" s="59">
        <f t="shared" si="103"/>
        <v>387.20564559367017</v>
      </c>
      <c r="LV17" s="59">
        <f ca="1">AVERAGE(OFFSET($LU$3,0,0,'Données projet'!$E$24+1,1))-AVERAGE(OFFSET($H$3,0,0,'Données projet'!$E$24+1,1))</f>
        <v>260.52627655062872</v>
      </c>
      <c r="LW17" s="59">
        <f t="shared" si="104"/>
        <v>159.20429420478047</v>
      </c>
      <c r="LX17" s="15">
        <f>IF(ISNA(VLOOKUP($A17,'Données projet'!$A$434:$I$454,3,0)),0,VLOOKUP($A17,'Données projet'!$A$434:$I$454,3,0))</f>
        <v>0</v>
      </c>
      <c r="LY17" s="15">
        <f>IF(ISNA(VLOOKUP($A17,'Données projet'!$A$434:$I$454,4,0)),0,VLOOKUP($A17,'Données projet'!$A$434:$I$454,4,0))</f>
        <v>0</v>
      </c>
      <c r="LZ17" s="16">
        <f>IF(ISNA(VLOOKUP($A17,'Données projet'!$A$434:$I$454,5,0)),0%,VLOOKUP($A17,'Données projet'!$A$434:$I$454,5,0)*VLOOKUP('Données projet'!$B$24,Paramètres!$A$1:$I$89,7,0))</f>
        <v>0</v>
      </c>
      <c r="MA17" s="16">
        <f>IF(ISNA(VLOOKUP($A17,'Données projet'!$A$434:$I$454,6,0)),0%,VLOOKUP($A17,'Données projet'!$A$434:$I$454,6,0)*VLOOKUP('Données projet'!$B$24,Paramètres!$A$1:$I$89,7,0))</f>
        <v>0</v>
      </c>
      <c r="MB17" s="16">
        <f>IF(ISNA(VLOOKUP($A17,'Données projet'!$A$434:$I$454,7,0)),0%,VLOOKUP($A17,'Données projet'!$A$434:$I$454,7,0))</f>
        <v>0</v>
      </c>
      <c r="MC17" s="21">
        <f>EXP(-LN(2)/35)*MC16+(1-EXP(-LN(2)/35))/(LN(2)/35)*LY17*LZ17*VLOOKUP('Données projet'!$B$24,Paramètres!$A$1:$I$89,3,0)*0.475*44/12</f>
        <v>0</v>
      </c>
      <c r="MD17" s="21">
        <f>EXP(-LN(2)/25)*MD16+(1-EXP(-LN(2)/25))/(LN(2)/25)*Calculateur!LY17*Calculateur!MA17*VLOOKUP('Données projet'!$B$24,Paramètres!$A$1:$I$89,3,0)*0.475*44/12</f>
        <v>0</v>
      </c>
      <c r="ME17" s="21">
        <f>EXP(-LN(2)/2)*ME16+(1-EXP(-LN(2)/2))/(LN(2)/2)*LY17*MB17*VLOOKUP('Données projet'!$B$24,Paramètres!$A$1:$I$89,3,0)*0.475*44/12</f>
        <v>0</v>
      </c>
      <c r="MF17" s="22">
        <f t="shared" si="105"/>
        <v>0</v>
      </c>
      <c r="MG17" s="74">
        <f>('Scénario référence'!$F$8+'Scénario référence'!$F$9+'Scénario référence'!$B$17+'Scénario référence'!$B$9+'Scénario référence'!$B$10)*70+IF((45+25*(1-EXP(-0.0175*$A17)))&lt;70,'Scénario référence'!$B$16*(45+25*(1-EXP(-0.0175*$A17))),70*'Scénario référence'!$B$16)+IF((32+38*(1-EXP(-0.0175*$A17)))&lt;70,'Scénario référence'!$B$18*(32+38*(1-EXP(-0.0175*$A17))),70*'Scénario référence'!$B$18)</f>
        <v>70</v>
      </c>
      <c r="MH17" s="12">
        <f>IF($A17&gt;30,10,('Scénario référence'!$B$16+'Scénario référence'!$B$17+'Scénario référence'!$B$18+'Scénario référence'!$B$9+'Scénario référence'!$B$10)*$A17*10/30+('Scénario référence'!$F$8+'Scénario référence'!$F$9)*10)</f>
        <v>10</v>
      </c>
      <c r="MI17" s="12" t="e">
        <f>VLOOKUP($A17,'Données projet'!$A$460:$I$480,2,0)</f>
        <v>#N/A</v>
      </c>
      <c r="MJ17" s="12" t="e">
        <f>VLOOKUP($A17,'Données projet'!$A$460:$I$480,9,0)</f>
        <v>#N/A</v>
      </c>
      <c r="MK17" s="12">
        <f t="array" ref="MK17">INDEX(MJ:MJ,MIN(IF(ISNUMBER(MJ17:MJ213),ROW(MJ17:MJ213),"")))</f>
        <v>0</v>
      </c>
      <c r="ML17" s="12">
        <f>IF('Données projet'!$A$460&gt;35,ML16+MK17-MT16,IF($A17&lt;'Données projet'!$A$460,$CQ$205^$A17,IF($A17='Données projet'!$A$460,'Données projet'!$B$460,ML16+MK17-MT16)))</f>
        <v>0</v>
      </c>
      <c r="MM17" s="17" t="e">
        <f>ML17*VLOOKUP('Données projet'!$B$25,Paramètres!$A$1:$I$89,3,0)*VLOOKUP('Données projet'!$B$25,Paramètres!$A$1:$I$89,5,0)</f>
        <v>#N/A</v>
      </c>
      <c r="MN17" s="13" t="e">
        <f t="shared" si="106"/>
        <v>#N/A</v>
      </c>
      <c r="MO17" s="14" t="e">
        <f t="shared" si="49"/>
        <v>#N/A</v>
      </c>
      <c r="MP17" s="59" t="e">
        <f t="shared" si="50"/>
        <v>#N/A</v>
      </c>
      <c r="MQ17" s="20" t="e">
        <f ca="1">AVERAGE(OFFSET($MP$3,0,0,'Données projet'!$E$25+1,1))-AVERAGE(OFFSET($H$3,0,0,'Données projet'!$E$25+1,1))</f>
        <v>#N/A</v>
      </c>
      <c r="MR17" s="59" t="e">
        <f t="shared" si="107"/>
        <v>#N/A</v>
      </c>
      <c r="MS17" s="15">
        <f>IF(ISNA(VLOOKUP($A17,'Données projet'!$A$460:$I$480,3,0)),0,VLOOKUP($A17,'Données projet'!$A$460:$I$480,3,0))</f>
        <v>0</v>
      </c>
      <c r="MT17" s="15">
        <f>IF(ISNA(VLOOKUP($A17,'Données projet'!$A$460:$I$480,4,0)),0,VLOOKUP($A17,'Données projet'!$A$460:$I$480,4,0))</f>
        <v>0</v>
      </c>
      <c r="MU17" s="16">
        <f>IF(ISNA(VLOOKUP($A17,'Données projet'!$A$460:$I$480,5,0)),0%,VLOOKUP($A17,'Données projet'!$A$460:$I$480,5,0)*VLOOKUP('Données projet'!$B$25,Paramètres!$A$1:$I$89,7,0))</f>
        <v>0</v>
      </c>
      <c r="MV17" s="16">
        <f>IF(ISNA(VLOOKUP($A17,'Données projet'!$A$460:$I$480,6,0)),0%,VLOOKUP($A17,'Données projet'!$A$460:$I$480,6,0)*VLOOKUP('Données projet'!$B$25,Paramètres!$A$1:$I$89,7,0))</f>
        <v>0</v>
      </c>
      <c r="MW17" s="16">
        <f>IF(ISNA(VLOOKUP($A17,'Données projet'!$A$460:$I$480,7,0)),0%,VLOOKUP($A17,'Données projet'!$A$460:$I$480,7,0))</f>
        <v>0</v>
      </c>
      <c r="MX17" s="21" t="e">
        <f>EXP(-LN(2)/35)*MX16+(1-EXP(-LN(2)/35))/(LN(2)/35)*MT17*MU17*VLOOKUP('Données projet'!$B$25,Paramètres!$A$1:$I$89,3,0)*0.475*44/12</f>
        <v>#N/A</v>
      </c>
      <c r="MY17" s="21" t="e">
        <f>EXP(-LN(2)/25)*MY16+(1-EXP(-LN(2)/25))/(LN(2)/25)*Calculateur!MT17*Calculateur!MV17*VLOOKUP('Données projet'!$B$25,Paramètres!$A$1:$I$89,3,0)*0.475*44/12</f>
        <v>#N/A</v>
      </c>
      <c r="MZ17" s="21" t="e">
        <f>EXP(-LN(2)/2)*MZ16+(1-EXP(-LN(2)/2))/(LN(2)/2)*MT17*MW17*VLOOKUP('Données projet'!$B$25,Paramètres!$A$1:$I$89,3,0)*0.475*44/12</f>
        <v>#N/A</v>
      </c>
      <c r="NA17" s="22" t="e">
        <f t="shared" si="108"/>
        <v>#N/A</v>
      </c>
      <c r="NB17" s="74">
        <f>('Scénario référence'!$F$8+'Scénario référence'!$F$9+'Scénario référence'!$B$17+'Scénario référence'!$B$9+'Scénario référence'!$B$10)*70+IF((45+25*(1-EXP(-0.0175*$A17)))&lt;70,'Scénario référence'!$B$16*(45+25*(1-EXP(-0.0175*$A17))),70*'Scénario référence'!$B$16)+IF((32+38*(1-EXP(-0.0175*$A17)))&lt;70,'Scénario référence'!$B$18*(32+38*(1-EXP(-0.0175*$A17))),70*'Scénario référence'!$B$18)</f>
        <v>70</v>
      </c>
      <c r="NC17" s="12">
        <f>IF($A17&gt;30,10,('Scénario référence'!$B$16+'Scénario référence'!$B$17+'Scénario référence'!$B$18+'Scénario référence'!$B$9+'Scénario référence'!$B$10)*$A17*10/30+('Scénario référence'!$F$8+'Scénario référence'!$F$9)*10)</f>
        <v>10</v>
      </c>
      <c r="ND17" s="12" t="e">
        <f>VLOOKUP($A17,'Données projet'!$A$486:$I$506,2,0)</f>
        <v>#N/A</v>
      </c>
      <c r="NE17" s="12" t="e">
        <f>VLOOKUP($A17,'Données projet'!$A$486:$I$506,9,0)</f>
        <v>#N/A</v>
      </c>
      <c r="NF17" s="12">
        <f t="array" ref="NF17">INDEX(NE:NE,MIN(IF(ISNUMBER(NE17:NE213),ROW(NE17:NE213),"")))</f>
        <v>0</v>
      </c>
      <c r="NG17" s="12">
        <f>IF('Données projet'!$A$486&gt;35,NG16+NF17-NO16,IF($A17&lt;'Données projet'!$A$486,$CQ$205^$A17,IF($A17='Données projet'!$A$486,'Données projet'!$B$486,NG16+NF17-NO16)))</f>
        <v>0</v>
      </c>
      <c r="NH17" s="17" t="e">
        <f>NG17*VLOOKUP('Données projet'!$B$26,Paramètres!$A$1:$I$89,3,0)*VLOOKUP('Données projet'!$B$26,Paramètres!$A$1:$I$89,5,0)</f>
        <v>#N/A</v>
      </c>
      <c r="NI17" s="13" t="e">
        <f t="shared" si="109"/>
        <v>#N/A</v>
      </c>
      <c r="NJ17" s="14" t="e">
        <f t="shared" si="52"/>
        <v>#N/A</v>
      </c>
      <c r="NK17" s="59" t="e">
        <f t="shared" si="53"/>
        <v>#N/A</v>
      </c>
      <c r="NL17" s="20" t="e">
        <f ca="1">AVERAGE(OFFSET($NK$3,0,0,'Données projet'!$E$26+1,1))-AVERAGE(OFFSET($H$3,0,0,'Données projet'!$E$26+1,1))</f>
        <v>#N/A</v>
      </c>
      <c r="NM17" s="59" t="e">
        <f t="shared" si="110"/>
        <v>#N/A</v>
      </c>
      <c r="NN17" s="15">
        <f>IF(ISNA(VLOOKUP($A17,'Données projet'!$A$486:$I$506,3,0)),0,VLOOKUP($A17,'Données projet'!$A$486:$I$506,3,0))</f>
        <v>0</v>
      </c>
      <c r="NO17" s="15">
        <f>IF(ISNA(VLOOKUP($A17,'Données projet'!$A$486:$I$506,4,0)),0,VLOOKUP($A17,'Données projet'!$A$486:$I$506,4,0))</f>
        <v>0</v>
      </c>
      <c r="NP17" s="16">
        <f>IF(ISNA(VLOOKUP($A17,'Données projet'!$A$486:$I$506,5,0)),0%,VLOOKUP($A17,'Données projet'!$A$486:$I$506,5,0)*VLOOKUP('Données projet'!$B$26,Paramètres!$A$1:$I$89,7,0))</f>
        <v>0</v>
      </c>
      <c r="NQ17" s="16">
        <f>IF(ISNA(VLOOKUP($A17,'Données projet'!$A$486:$I$506,6,0)),0%,VLOOKUP($A17,'Données projet'!$A$486:$I$506,6,0)*VLOOKUP('Données projet'!$B$26,Paramètres!$A$1:$I$89,7,0))</f>
        <v>0</v>
      </c>
      <c r="NR17" s="16">
        <f>IF(ISNA(VLOOKUP($A17,'Données projet'!$A$486:$I$506,7,0)),0%,VLOOKUP($A17,'Données projet'!$A$486:$I$506,7,0))</f>
        <v>0</v>
      </c>
      <c r="NS17" s="21" t="e">
        <f>EXP(-LN(2)/35)*NS16+(1-EXP(-LN(2)/35))/(LN(2)/35)*NO17*NP17*VLOOKUP('Données projet'!$B$26,Paramètres!$A$1:$I$89,3,0)*0.475*44/12</f>
        <v>#N/A</v>
      </c>
      <c r="NT17" s="21" t="e">
        <f>EXP(-LN(2)/25)*NT16+(1-EXP(-LN(2)/25))/(LN(2)/25)*Calculateur!NO17*Calculateur!NQ17*VLOOKUP('Données projet'!$B$26,Paramètres!$A$1:$I$89,3,0)*0.475*44/12</f>
        <v>#N/A</v>
      </c>
      <c r="NU17" s="21" t="e">
        <f>EXP(-LN(2)/2)*NU16+(1-EXP(-LN(2)/2))/(LN(2)/2)*NO17*NR17*VLOOKUP('Données projet'!$B$26,Paramètres!$A$1:$I$89,3,0)*0.475*44/12</f>
        <v>#N/A</v>
      </c>
      <c r="NV17" s="22" t="e">
        <f t="shared" si="111"/>
        <v>#N/A</v>
      </c>
      <c r="NW17" s="74">
        <f>('Scénario référence'!$F$8+'Scénario référence'!$F$9+'Scénario référence'!$B$17+'Scénario référence'!$B$9+'Scénario référence'!$B$10)*70+IF((45+25*(1-EXP(-0.0175*$A17)))&lt;70,'Scénario référence'!$B$16*(45+25*(1-EXP(-0.0175*$A17))),70*'Scénario référence'!$B$16)+IF((32+38*(1-EXP(-0.0175*$A17)))&lt;70,'Scénario référence'!$B$18*(32+38*(1-EXP(-0.0175*$A17))),70*'Scénario référence'!$B$18)</f>
        <v>70</v>
      </c>
      <c r="NX17" s="12">
        <f>IF($A17&gt;30,10,('Scénario référence'!$B$16+'Scénario référence'!$B$17+'Scénario référence'!$B$18+'Scénario référence'!$B$9+'Scénario référence'!$B$10)*$A17*10/30+('Scénario référence'!$F$8+'Scénario référence'!$F$9)*10)</f>
        <v>10</v>
      </c>
      <c r="NY17" s="12" t="e">
        <f>VLOOKUP($A17,'Données projet'!$A$512:$I$532,2,0)</f>
        <v>#N/A</v>
      </c>
      <c r="NZ17" s="12" t="e">
        <f>VLOOKUP($A17,'Données projet'!$A$512:$I$532,9,0)</f>
        <v>#N/A</v>
      </c>
      <c r="OA17" s="12">
        <f t="array" ref="OA17">INDEX(NZ:NZ,MIN(IF(ISNUMBER(NZ17:NZ213),ROW(NZ17:NZ213),"")))</f>
        <v>0</v>
      </c>
      <c r="OB17" s="12">
        <f>IF('Données projet'!$A$512&gt;35,OB16+OA17-OJ16,IF($A17&lt;'Données projet'!$A$512,$CQ$205^$A17,IF($A17='Données projet'!$A$512,'Données projet'!$B$512,OB16+OA17-OJ16)))</f>
        <v>0</v>
      </c>
      <c r="OC17" s="17" t="e">
        <f>OB17*VLOOKUP('Données projet'!$B$27,Paramètres!$A$1:$I$89,3,0)*VLOOKUP('Données projet'!$B$27,Paramètres!$A$1:$I$89,5,0)</f>
        <v>#N/A</v>
      </c>
      <c r="OD17" s="13" t="e">
        <f t="shared" si="112"/>
        <v>#N/A</v>
      </c>
      <c r="OE17" s="14" t="e">
        <f t="shared" si="55"/>
        <v>#N/A</v>
      </c>
      <c r="OF17" s="59" t="e">
        <f t="shared" si="56"/>
        <v>#N/A</v>
      </c>
      <c r="OG17" s="20" t="e">
        <f ca="1">AVERAGE(OFFSET($OF$3,0,0,'Données projet'!$E$27+1,1))-AVERAGE(OFFSET($H$3,0,0,'Données projet'!$E$27+1,1))</f>
        <v>#N/A</v>
      </c>
      <c r="OH17" s="59" t="e">
        <f t="shared" si="113"/>
        <v>#N/A</v>
      </c>
      <c r="OI17" s="15">
        <f>IF(ISNA(VLOOKUP($A17,'Données projet'!$A$512:$I$532,3,0)),0,VLOOKUP($A17,'Données projet'!$A$512:$I$532,3,0))</f>
        <v>0</v>
      </c>
      <c r="OJ17" s="15">
        <f>IF(ISNA(VLOOKUP($A17,'Données projet'!$A$512:$I$532,4,0)),0,VLOOKUP($A17,'Données projet'!$A$512:$I$532,4,0))</f>
        <v>0</v>
      </c>
      <c r="OK17" s="16">
        <f>IF(ISNA(VLOOKUP($A17,'Données projet'!$A$512:$I$532,5,0)),0%,VLOOKUP($A17,'Données projet'!$A$512:$I$532,5,0)*VLOOKUP('Données projet'!$B$27,Paramètres!$A$1:$I$89,7,0))</f>
        <v>0</v>
      </c>
      <c r="OL17" s="16">
        <f>IF(ISNA(VLOOKUP($A17,'Données projet'!$A$512:$I$532,6,0)),0%,VLOOKUP($A17,'Données projet'!$A$512:$I$532,6,0)*VLOOKUP('Données projet'!$B$27,Paramètres!$A$1:$I$89,7,0))</f>
        <v>0</v>
      </c>
      <c r="OM17" s="16">
        <f>IF(ISNA(VLOOKUP($A17,'Données projet'!$A$512:$I$532,7,0)),0%,VLOOKUP($A17,'Données projet'!$A$512:$I$532,7,0))</f>
        <v>0</v>
      </c>
      <c r="ON17" s="21" t="e">
        <f>EXP(-LN(2)/35)*ON16+(1-EXP(-LN(2)/35))/(LN(2)/35)*OJ17*OK17*VLOOKUP('Données projet'!$B$27,Paramètres!$A$1:$I$89,3,0)*0.475*44/12</f>
        <v>#N/A</v>
      </c>
      <c r="OO17" s="21" t="e">
        <f>EXP(-LN(2)/25)*OO16+(1-EXP(-LN(2)/25))/(LN(2)/25)*Calculateur!OJ17*Calculateur!OL17*VLOOKUP('Données projet'!$B$27,Paramètres!$A$1:$I$89,3,0)*0.475*44/12</f>
        <v>#N/A</v>
      </c>
      <c r="OP17" s="21" t="e">
        <f>EXP(-LN(2)/2)*OP16+(1-EXP(-LN(2)/2))/(LN(2)/2)*OJ17*OM17*VLOOKUP('Données projet'!$B$27,Paramètres!$A$1:$I$89,3,0)*0.475*44/12</f>
        <v>#N/A</v>
      </c>
      <c r="OQ17" s="22" t="e">
        <f t="shared" si="114"/>
        <v>#N/A</v>
      </c>
      <c r="OR17" s="74">
        <f>('Scénario référence'!$F$8+'Scénario référence'!$F$9+'Scénario référence'!$B$17+'Scénario référence'!$B$9+'Scénario référence'!$B$10)*70+IF((45+25*(1-EXP(-0.0175*$A17)))&lt;70,'Scénario référence'!$B$16*(45+25*(1-EXP(-0.0175*$A17))),70*'Scénario référence'!$B$16)+IF((32+38*(1-EXP(-0.0175*$A17)))&lt;70,'Scénario référence'!$B$18*(32+38*(1-EXP(-0.0175*$A17))),70*'Scénario référence'!$B$18)</f>
        <v>70</v>
      </c>
      <c r="OS17" s="12">
        <f>IF($A17&gt;30,10,('Scénario référence'!$B$16+'Scénario référence'!$B$17+'Scénario référence'!$B$18+'Scénario référence'!$B$9+'Scénario référence'!$B$10)*$A17*10/30+('Scénario référence'!$F$8+'Scénario référence'!$F$9)*10)</f>
        <v>10</v>
      </c>
      <c r="OT17" s="12" t="e">
        <f>VLOOKUP($A17,'Données projet'!$A$538:$I$558,2,0)</f>
        <v>#N/A</v>
      </c>
      <c r="OU17" s="12" t="e">
        <f>VLOOKUP($A17,'Données projet'!$A$538:$I$558,9,0)</f>
        <v>#N/A</v>
      </c>
      <c r="OV17" s="12">
        <f t="array" ref="OV17">INDEX(OU:OU,MIN(IF(ISNUMBER(OU17:OU213),ROW(OU17:OU213),"")))</f>
        <v>0</v>
      </c>
      <c r="OW17" s="12">
        <f>IF('Données projet'!$A$538&gt;35,OW16+OV17-PE16,IF($A17&lt;'Données projet'!$A$538,$CQ$205^$A17,IF($A17='Données projet'!$A$538,'Données projet'!$B$538,OW16+OV17-PE16)))</f>
        <v>0</v>
      </c>
      <c r="OX17" s="17" t="e">
        <f>OW17*VLOOKUP('Données projet'!$B$28,Paramètres!$A$1:$I$89,3,0)*VLOOKUP('Données projet'!$B$28,Paramètres!$A$1:$I$89,5,0)</f>
        <v>#N/A</v>
      </c>
      <c r="OY17" s="13" t="e">
        <f t="shared" si="115"/>
        <v>#N/A</v>
      </c>
      <c r="OZ17" s="14" t="e">
        <f t="shared" si="58"/>
        <v>#N/A</v>
      </c>
      <c r="PA17" s="59" t="e">
        <f t="shared" si="59"/>
        <v>#N/A</v>
      </c>
      <c r="PB17" s="20" t="e">
        <f ca="1">AVERAGE(OFFSET($PA$3,0,0,'Données projet'!$E$28+1,1))-AVERAGE(OFFSET($H$3,0,0,'Données projet'!$E$28+1,1))</f>
        <v>#N/A</v>
      </c>
      <c r="PC17" s="59" t="e">
        <f t="shared" si="116"/>
        <v>#N/A</v>
      </c>
      <c r="PD17" s="15">
        <f>IF(ISNA(VLOOKUP($A17,'Données projet'!$A$538:$I$558,3,0)),0,VLOOKUP($A17,'Données projet'!$A$538:$I$558,3,0))</f>
        <v>0</v>
      </c>
      <c r="PE17" s="15">
        <f>IF(ISNA(VLOOKUP($A17,'Données projet'!$A$538:$I$558,4,0)),0,VLOOKUP($A17,'Données projet'!$A$538:$I$558,4,0))</f>
        <v>0</v>
      </c>
      <c r="PF17" s="16">
        <f>IF(ISNA(VLOOKUP($A17,'Données projet'!$A$538:$I$558,5,0)),0%,VLOOKUP($A17,'Données projet'!$A$538:$I$558,5,0)*VLOOKUP('Données projet'!$B$28,Paramètres!$A$1:$I$89,7,0))</f>
        <v>0</v>
      </c>
      <c r="PG17" s="16">
        <f>IF(ISNA(VLOOKUP($A17,'Données projet'!$A$538:$I$558,6,0)),0%,VLOOKUP($A17,'Données projet'!$A$538:$I$558,6,0)*VLOOKUP('Données projet'!$B$28,Paramètres!$A$1:$I$89,7,0))</f>
        <v>0</v>
      </c>
      <c r="PH17" s="16">
        <f>IF(ISNA(VLOOKUP($A17,'Données projet'!$A$538:$I$558,7,0)),0%,VLOOKUP($A17,'Données projet'!$A$538:$I$558,7,0))</f>
        <v>0</v>
      </c>
      <c r="PI17" s="21" t="e">
        <f>EXP(-LN(2)/35)*PI16+(1-EXP(-LN(2)/35))/(LN(2)/35)*PE17*PF17*VLOOKUP('Données projet'!$B$28,Paramètres!$A$1:$I$89,3,0)*0.475*44/12</f>
        <v>#N/A</v>
      </c>
      <c r="PJ17" s="21" t="e">
        <f>EXP(-LN(2)/25)*PJ16+(1-EXP(-LN(2)/25))/(LN(2)/25)*Calculateur!PE17*Calculateur!PG17*VLOOKUP('Données projet'!$B$28,Paramètres!$A$1:$I$89,3,0)*0.475*44/12</f>
        <v>#N/A</v>
      </c>
      <c r="PK17" s="21" t="e">
        <f>EXP(-LN(2)/2)*PK16+(1-EXP(-LN(2)/2))/(LN(2)/2)*PE17*PH17*VLOOKUP('Données projet'!$B$28,Paramètres!$A$1:$I$89,3,0)*0.475*44/12</f>
        <v>#N/A</v>
      </c>
      <c r="PL17" s="22" t="e">
        <f t="shared" si="117"/>
        <v>#N/A</v>
      </c>
    </row>
    <row r="18" spans="1:428" x14ac:dyDescent="0.35">
      <c r="A18" s="10">
        <f t="shared" si="6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6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projet'!$A$45:$I$65,2,0)</f>
        <v>#N/A</v>
      </c>
      <c r="L18" s="12" t="e">
        <f>VLOOKUP(A18,'Données projet'!$A$45:$I$65,9,0)</f>
        <v>#N/A</v>
      </c>
      <c r="M18" s="12">
        <f t="array" ref="M18">INDEX(L:L,MIN(IF(ISNUMBER(L18:L214),ROW(L18:L214),"")))</f>
        <v>10.16068376068376</v>
      </c>
      <c r="N18" s="13">
        <f>IF('Données projet'!$A$46&gt;35,N17+M18-V17,IF(A18&lt;'Données projet'!$A$46,$K$205^A18,IF(A18='Données projet'!$A$46,'Données projet'!$B$46,N17+M18-V17)))</f>
        <v>76.764931457129379</v>
      </c>
      <c r="O18" s="13">
        <f>N18*VLOOKUP('Données projet'!$B$9,Paramètres!$A$1:$I$89,3,0)*VLOOKUP('Données projet'!$B$9,Paramètres!$A$1:$I$89,5,0)</f>
        <v>42.911596684535326</v>
      </c>
      <c r="P18" s="13">
        <f t="shared" si="63"/>
        <v>12.767181932785956</v>
      </c>
      <c r="Q18" s="20">
        <f t="shared" si="2"/>
        <v>96.97387275850123</v>
      </c>
      <c r="R18" s="59">
        <f t="shared" si="0"/>
        <v>390.30720609183453</v>
      </c>
      <c r="S18" s="59">
        <f ca="1">AVERAGE(OFFSET($R$3,0,0,'Données projet'!$E$9+1,1))-AVERAGE(OFFSET($H$3,0,0,'Données projet'!$E$9+1,1))</f>
        <v>274.57619581652199</v>
      </c>
      <c r="T18" s="59">
        <f t="shared" si="64"/>
        <v>366.15117322598775</v>
      </c>
      <c r="U18" s="15">
        <f>IF(ISNA(VLOOKUP(A18,'Données projet'!$A$45:$I$65,3,0)),0,VLOOKUP(A18,'Données projet'!$A$45:$I$65,3,0))</f>
        <v>0</v>
      </c>
      <c r="V18" s="15">
        <f>IF(ISNA(VLOOKUP(A18,'Données projet'!$A$45:$I$65,4,0)),0,VLOOKUP(A18,'Données projet'!$A$45:$I$65,4,0))</f>
        <v>0</v>
      </c>
      <c r="W18" s="16">
        <f>IF(ISNA(VLOOKUP(A18,'Données projet'!$A$45:$I$65,5,0)),0%,VLOOKUP(A18,'Données projet'!$A$45:$I$65,5,0)*VLOOKUP('Données projet'!$B$9,Paramètres!$A$1:$I$89,7,0))</f>
        <v>0</v>
      </c>
      <c r="X18" s="16">
        <f>IF(ISNA(VLOOKUP(A18,'Données projet'!$A$45:$I$65,6,0)),0%,VLOOKUP(A18,'Données projet'!$A$45:$I$65,6,0)*VLOOKUP('Données projet'!$B$9,Paramètres!$A$1:$I$89,7,0))</f>
        <v>0</v>
      </c>
      <c r="Y18" s="16">
        <f>IF(ISNA(VLOOKUP(A18,'Données projet'!$A$45:$I$65,7,0)),0%,VLOOKUP(A18,'Données projet'!$A$45:$I$65,7,0))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projet'!$A$71:$I$91,2,0)</f>
        <v>#N/A</v>
      </c>
      <c r="AG18" s="12" t="e">
        <f>VLOOKUP(A18,'Données projet'!$A$71:$I$91,9,0)</f>
        <v>#N/A</v>
      </c>
      <c r="AH18" s="12">
        <f t="array" ref="AH18">INDEX(AG:AG,MIN(IF(ISNUMBER(AG18:AG214),ROW(AG18:AG214),"")))</f>
        <v>4.0628205128205126</v>
      </c>
      <c r="AI18" s="13">
        <f>IF('Données projet'!$A$72&gt;35,AI17+AH18-AQ17,IF(A18&lt;'Données projet'!$A$72,$AF$205^A18,IF(A18='Données projet'!$A$72,'Données projet'!$B$72,AI17+AH18-AQ17)))</f>
        <v>11.040136565487554</v>
      </c>
      <c r="AJ18" s="13">
        <f>AI18*VLOOKUP('Données projet'!$B$10,Paramètres!$A$1:$I$89,3,0)*VLOOKUP('Données projet'!$B$10,Paramètres!$A$1:$I$89,5,0)</f>
        <v>9.9891155644531384</v>
      </c>
      <c r="AK18" s="13">
        <f t="shared" si="65"/>
        <v>3.5215524019177353</v>
      </c>
      <c r="AL18" s="20">
        <f t="shared" si="4"/>
        <v>23.531080041429274</v>
      </c>
      <c r="AM18" s="59">
        <f t="shared" si="5"/>
        <v>316.86441337476259</v>
      </c>
      <c r="AN18" s="59">
        <f ca="1">AVERAGE(OFFSET($AM$3,0,0,'Données projet'!$E$10+1,1))-AVERAGE(OFFSET($H$3,0,0,'Données projet'!$E$10+1,1))</f>
        <v>270.87836509222456</v>
      </c>
      <c r="AO18" s="59">
        <f t="shared" si="66"/>
        <v>205.24998237949734</v>
      </c>
      <c r="AP18" s="15">
        <f>IF(ISNA(VLOOKUP(A18,'Données projet'!$A$71:$I$91,3,0)),0,VLOOKUP(A18,'Données projet'!$A$71:$I$91,3,0))</f>
        <v>0</v>
      </c>
      <c r="AQ18" s="15">
        <f>IF(ISNA(VLOOKUP(A18,'Données projet'!$A$71:$I$91,4,0)),0,VLOOKUP(A18,'Données projet'!$A$71:$I$91,4,0))</f>
        <v>0</v>
      </c>
      <c r="AR18" s="16">
        <f>IF(ISNA(VLOOKUP(A18,'Données projet'!$A$71:$I$91,5,0)),0%,VLOOKUP(A18,'Données projet'!$A$71:$I$91,5,0)*VLOOKUP('Données projet'!$B$10,Paramètres!$A$1:$I$89,7,0))</f>
        <v>0</v>
      </c>
      <c r="AS18" s="16">
        <f>IF(ISNA(VLOOKUP(A18,'Données projet'!$A$71:$I$91,6,0)),0%,VLOOKUP(A18,'Données projet'!$A$71:$I$91,6,0)*VLOOKUP('Données projet'!$B$10,Paramètres!$A$1:$I$89,7,0))</f>
        <v>0</v>
      </c>
      <c r="AT18" s="16">
        <f>IF(ISNA(VLOOKUP(A18,'Données projet'!$A$71:$I$91,7,0)),0%,VLOOKUP(A18,'Données projet'!$A$71:$I$91,7,0))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projet'!$A$97:$I$117,2,0)</f>
        <v>#N/A</v>
      </c>
      <c r="BB18" s="12" t="e">
        <f>VLOOKUP(A18,'Données projet'!$A$97:$I$117,9,0)</f>
        <v>#N/A</v>
      </c>
      <c r="BC18" s="12">
        <f t="array" ref="BC18">INDEX(BB:BB,MIN(IF(ISNUMBER(BB18:BB214),ROW(BB18:BB214),"")))</f>
        <v>10.16068376068376</v>
      </c>
      <c r="BD18" s="12">
        <f>IF('Données projet'!$A$98&gt;35,BD17+BC18-BL17,IF(A18&lt;'Données projet'!$A$98,$BA$205^A18,IF(A18='Données projet'!$A$98,'Données projet'!$B$98,BD17+BC18-BL17)))</f>
        <v>76.764931457129379</v>
      </c>
      <c r="BE18" s="13">
        <f>BD18*VLOOKUP('Données projet'!$B$11,Paramètres!$A$1:$I$89,3,0)*VLOOKUP('Données projet'!$B$11,Paramètres!$A$1:$I$89,5,0)</f>
        <v>33.930099704051187</v>
      </c>
      <c r="BF18" s="13">
        <f t="shared" si="67"/>
        <v>10.374736874472067</v>
      </c>
      <c r="BG18" s="20">
        <f t="shared" si="7"/>
        <v>77.164257040927978</v>
      </c>
      <c r="BH18" s="59">
        <f t="shared" si="8"/>
        <v>370.49759037426128</v>
      </c>
      <c r="BI18" s="59">
        <f ca="1">AVERAGE(OFFSET($BH$3,0,0,'Données projet'!$E$11+1,1))-AVERAGE(OFFSET($H$3,0,0,'Données projet'!$E$11+1,1))</f>
        <v>211.31057120485542</v>
      </c>
      <c r="BJ18" s="59">
        <f t="shared" si="68"/>
        <v>283.33292006714777</v>
      </c>
      <c r="BK18" s="15">
        <f>IF(ISNA(VLOOKUP(A18,'Données projet'!$A$97:$I$117,3,0)),0,VLOOKUP(A18,'Données projet'!$A$97:$I$117,3,0))</f>
        <v>0</v>
      </c>
      <c r="BL18" s="15">
        <f>IF(ISNA(VLOOKUP(A18,'Données projet'!$A$97:$I$117,4,0)),0,VLOOKUP(A18,'Données projet'!$A$97:$I$117,4,0))</f>
        <v>0</v>
      </c>
      <c r="BM18" s="16">
        <f>IF(ISNA(VLOOKUP(A18,'Données projet'!$A$97:$I$117,5,0)),0%,VLOOKUP(A18,'Données projet'!$A$97:$I$117,5,0)*VLOOKUP('Données projet'!$B$11,Paramètres!$A$1:$I$89,7,0))</f>
        <v>0</v>
      </c>
      <c r="BN18" s="16">
        <f>IF(ISNA(VLOOKUP(A18,'Données projet'!$A$97:$I$117,6,0)),0%,VLOOKUP(A18,'Données projet'!$A$97:$I$117,6,0)*VLOOKUP('Données projet'!$B$11,Paramètres!$A$1:$I$89,7,0))</f>
        <v>0</v>
      </c>
      <c r="BO18" s="16">
        <f>IF(ISNA(VLOOKUP(A18,'Données projet'!$A$97:$I$117,7,0)),0%,VLOOKUP(A18,'Données projet'!$A$97:$I$117,7,0))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>
        <f>VLOOKUP(A18,'Données projet'!$A$123:$I$143,2,0)</f>
        <v>73</v>
      </c>
      <c r="BW18" s="12">
        <f>VLOOKUP(A18,'Données projet'!$A$123:$I$143,9,0)</f>
        <v>8.8000000000000007</v>
      </c>
      <c r="BX18" s="12">
        <f t="array" ref="BX18">INDEX(BW:BW,MIN(IF(ISNUMBER(BW18:BW214),ROW(BW18:BW214),"")))</f>
        <v>8.8000000000000007</v>
      </c>
      <c r="BY18" s="12">
        <f>IF('Données projet'!$A$124&gt;35,BY17+BX18-CG17,IF(A18&lt;'Données projet'!$A$124,$BV$205^A18,IF(A18='Données projet'!$A$124,'Données projet'!$B$124,BY17+BX18-CG17)))</f>
        <v>72.999999999999986</v>
      </c>
      <c r="BZ18" s="13">
        <f>BY18*VLOOKUP('Données projet'!$B$12,Paramètres!$A$1:$I$89,3,0)*VLOOKUP('Données projet'!$B$12,Paramètres!$A$1:$I$89,5,0)</f>
        <v>76.299599999999998</v>
      </c>
      <c r="CA18" s="13">
        <f t="shared" si="69"/>
        <v>21.229938439563274</v>
      </c>
      <c r="CB18" s="20">
        <f t="shared" si="10"/>
        <v>169.8639461155727</v>
      </c>
      <c r="CC18" s="59">
        <f t="shared" si="11"/>
        <v>463.19727944890599</v>
      </c>
      <c r="CD18" s="59">
        <f ca="1">AVERAGE(OFFSET($CC$3,0,0,'Données projet'!$E$12+1,1))-AVERAGE(OFFSET($H$3,0,0,'Données projet'!$E$12+1,1))</f>
        <v>322.93502595881938</v>
      </c>
      <c r="CE18" s="59">
        <f t="shared" si="70"/>
        <v>302.67072119588164</v>
      </c>
      <c r="CF18" s="15">
        <f>IF(ISNA(VLOOKUP(A18,'Données projet'!$A$123:$I$143,3,0)),0,VLOOKUP(A18,'Données projet'!$A$123:$I$143,3,0))</f>
        <v>0</v>
      </c>
      <c r="CG18" s="15">
        <f>IF(ISNA(VLOOKUP(A18,'Données projet'!$A$123:$I$143,4,0)),0,VLOOKUP(A18,'Données projet'!$A$123:$I$143,4,0))</f>
        <v>0</v>
      </c>
      <c r="CH18" s="16">
        <f>IF(ISNA(VLOOKUP(A18,'Données projet'!$A$123:$I$143,5,0)),0%,VLOOKUP(A18,'Données projet'!$A$123:$I$143,5,0)*VLOOKUP('Données projet'!$B$12,Paramètres!$A$1:$I$89,7,0))</f>
        <v>0</v>
      </c>
      <c r="CI18" s="16">
        <f>IF(ISNA(VLOOKUP(A18,'Données projet'!$A$123:$I$143,6,0)),0%,VLOOKUP(A18,'Données projet'!$A$123:$I$143,6,0)*VLOOKUP('Données projet'!$B$12,Paramètres!$A$1:$I$89,7,0))</f>
        <v>0</v>
      </c>
      <c r="CJ18" s="16">
        <f>IF(ISNA(VLOOKUP(A18,'Données projet'!$A$123:$I$143,7,0)),0%,VLOOKUP(A18,'Données projet'!$A$123:$I$143,7,0))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projet'!$A$149:$I$169,2,0)</f>
        <v>#N/A</v>
      </c>
      <c r="CR18" s="12" t="e">
        <f>VLOOKUP(A18,'Données projet'!$A$149:$I$169,9,0)</f>
        <v>#N/A</v>
      </c>
      <c r="CS18" s="12">
        <f t="array" ref="CS18">INDEX(CR:CR,MIN(IF(ISNUMBER(CR18:CR214),ROW(CR18:CR214),"")))</f>
        <v>2.9235042735042733</v>
      </c>
      <c r="CT18" s="12">
        <f>IF('Données projet'!$A$150&gt;35,CT17+CS18-DB17,IF(A18&lt;'Données projet'!$A$150,$CQ$205^A18,IF(A18='Données projet'!$A$150,'Données projet'!$B$150,CT17+CS18-DB17)))</f>
        <v>9.3651016121091022</v>
      </c>
      <c r="CU18" s="17">
        <f>CT18*VLOOKUP('Données projet'!$B$13,Paramètres!$A$1:$I$89,3,0)*VLOOKUP('Données projet'!$B$13,Paramètres!$A$1:$I$89,5,0)</f>
        <v>9.4962130346786306</v>
      </c>
      <c r="CV18" s="13">
        <f t="shared" si="71"/>
        <v>3.3675623198215465</v>
      </c>
      <c r="CW18" s="20">
        <f t="shared" si="13"/>
        <v>22.40440874242114</v>
      </c>
      <c r="CX18" s="59">
        <f t="shared" si="14"/>
        <v>315.73774207575445</v>
      </c>
      <c r="CY18" s="59">
        <f ca="1">AVERAGE(OFFSET($CX$3,0,0,'Données projet'!$E$13+1,1))-AVERAGE(OFFSET($H$3,0,0,'Données projet'!$E$13+1,1))</f>
        <v>250.31277422753283</v>
      </c>
      <c r="CZ18" s="59">
        <f t="shared" si="72"/>
        <v>159.20429420478047</v>
      </c>
      <c r="DA18" s="15">
        <f>IF(ISNA(VLOOKUP(A18,'Données projet'!$A$149:$I$169,3,0)),0,VLOOKUP(A18,'Données projet'!$A$149:$I$169,3,0))</f>
        <v>0</v>
      </c>
      <c r="DB18" s="15">
        <f>IF(ISNA(VLOOKUP(A18,'Données projet'!$A$149:$I$169,4,0)),0,VLOOKUP(A18,'Données projet'!$A$149:$I$169,4,0))</f>
        <v>0</v>
      </c>
      <c r="DC18" s="16">
        <f>IF(ISNA(VLOOKUP(A18,'Données projet'!$A$149:$I$169,5,0)),0%,VLOOKUP(A18,'Données projet'!$A$149:$I$169,5,0)*VLOOKUP('Données projet'!$B$13,Paramètres!$A$1:$I$89,7,0))</f>
        <v>0</v>
      </c>
      <c r="DD18" s="16">
        <f>IF(ISNA(VLOOKUP(A18,'Données projet'!$A$149:$I$169,6,0)),0%,VLOOKUP(A18,'Données projet'!$A$149:$I$169,6,0)*VLOOKUP('Données projet'!$B$13,Paramètres!$A$1:$I$89,7,0))</f>
        <v>0</v>
      </c>
      <c r="DE18" s="16">
        <f>IF(ISNA(VLOOKUP(A18,'Données projet'!$A$149:$I$169,7,0)),0%,VLOOKUP(A18,'Données projet'!$A$149:$I$169,7,0))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>
        <f>VLOOKUP(A18,'Données projet'!$A$175:$I$195,2,0)</f>
        <v>85</v>
      </c>
      <c r="DM18" s="12">
        <f>VLOOKUP(A18,'Données projet'!$A$175:$I$195,9,0)</f>
        <v>14.6</v>
      </c>
      <c r="DN18" s="12">
        <f t="array" ref="DN18">INDEX(DM:DM,MIN(IF(ISNUMBER(DM18:DM214),ROW(DM18:DM214),"")))</f>
        <v>14.6</v>
      </c>
      <c r="DO18" s="12">
        <f>IF('Données projet'!$A$176&gt;35,DO17+DN18-DW17,IF(A18&lt;'Données projet'!$A$176,$DL$205^A18,IF(A18='Données projet'!$A$176,'Données projet'!$B$176,DO17+DN18-DW17)))</f>
        <v>85</v>
      </c>
      <c r="DP18" s="17">
        <f>DO18*VLOOKUP('Données projet'!$B$14,Paramètres!$A$1:$I$89,3,0)*VLOOKUP('Données projet'!$B$14,Paramètres!$A$1:$I$89,5,0)</f>
        <v>62.321999999999996</v>
      </c>
      <c r="DQ18" s="13">
        <f t="shared" si="73"/>
        <v>17.754039836243702</v>
      </c>
      <c r="DR18" s="20">
        <f t="shared" si="16"/>
        <v>139.46576938145776</v>
      </c>
      <c r="DS18" s="59">
        <f t="shared" si="17"/>
        <v>432.79910271479105</v>
      </c>
      <c r="DT18" s="59">
        <f ca="1">AVERAGE(OFFSET($DS$3,0,0,'Données projet'!$E$14+1,1))-AVERAGE(OFFSET($H$3,0,0,'Données projet'!$E$14+1,1))</f>
        <v>296.91321813251051</v>
      </c>
      <c r="DU18" s="59">
        <f t="shared" si="74"/>
        <v>291.0718079639509</v>
      </c>
      <c r="DV18" s="15">
        <f>IF(ISNA(VLOOKUP(A18,'Données projet'!$A$175:$I$195,3,0)),0,VLOOKUP(A18,'Données projet'!$A$175:$I$195,3,0))</f>
        <v>2</v>
      </c>
      <c r="DW18" s="15">
        <f>IF(ISNA(VLOOKUP(A18,'Données projet'!$A$175:$I$195,4,0)),0,VLOOKUP(A18,'Données projet'!$A$175:$I$195,4,0))</f>
        <v>42</v>
      </c>
      <c r="DX18" s="16">
        <f>IF(ISNA(VLOOKUP(A18,'Données projet'!$A$175:$I$195,5,0)),0%,VLOOKUP(A18,'Données projet'!$A$175:$I$195,5,0)*VLOOKUP('Données projet'!$B$14,Paramètres!$A$1:$I$89,7,0))</f>
        <v>0</v>
      </c>
      <c r="DY18" s="16">
        <f>IF(ISNA(VLOOKUP(A18,'Données projet'!$A$175:$I$195,6,0)),0%,VLOOKUP(A18,'Données projet'!$A$175:$I$195,6,0)*VLOOKUP('Données projet'!$B$14,Paramètres!$A$1:$I$89,7,0))</f>
        <v>0</v>
      </c>
      <c r="DZ18" s="16">
        <f>IF(ISNA(VLOOKUP(A18,'Données projet'!$A$175:$I$195,7,0)),0%,VLOOKUP(A18,'Données projet'!$A$175:$I$195,7,0))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projet'!$A$201:$I$221,2,0)</f>
        <v>#N/A</v>
      </c>
      <c r="EH18" s="12" t="e">
        <f>VLOOKUP(A18,'Données projet'!$A$201:$I$221,9,0)</f>
        <v>#N/A</v>
      </c>
      <c r="EI18" s="12">
        <f t="array" ref="EI18">INDEX(EH:EH,MIN(IF(ISNUMBER(EH18:EH214),ROW(EH18:EH214),"")))</f>
        <v>3.4425641025641025</v>
      </c>
      <c r="EJ18" s="12">
        <f>IF('Données projet'!$A$202&gt;35,EJ17+EI18-ER17,IF(A18&lt;'Données projet'!$A$202,$EG$205^A18,IF(A18='Données projet'!$A$202,'Données projet'!$B$202,EJ17+EI18-ER17)))</f>
        <v>10.162525428107084</v>
      </c>
      <c r="EK18" s="17">
        <f>EJ18*VLOOKUP('Données projet'!$B$15,Paramètres!$A$1:$I$89,3,0)*VLOOKUP('Données projet'!$B$15,Paramètres!$A$1:$I$89,5,0)</f>
        <v>4.7560619003541156</v>
      </c>
      <c r="EL18" s="13">
        <f t="shared" si="75"/>
        <v>1.8279653298016947</v>
      </c>
      <c r="EM18" s="20">
        <f t="shared" si="19"/>
        <v>11.467180759188034</v>
      </c>
      <c r="EN18" s="59">
        <f t="shared" si="20"/>
        <v>304.80051409252133</v>
      </c>
      <c r="EO18" s="59">
        <f ca="1">AVERAGE(OFFSET($EN$3,0,0,'Données projet'!$E$15+1,1))-AVERAGE(OFFSET($H$3,0,0,'Données projet'!$E$15+1,1))</f>
        <v>147.64256291235483</v>
      </c>
      <c r="EP18" s="59">
        <f t="shared" si="76"/>
        <v>70.859031694091868</v>
      </c>
      <c r="EQ18" s="15">
        <f>IF(ISNA(VLOOKUP(A18,'Données projet'!$A$201:$I$221,3,0)),0,VLOOKUP(A18,'Données projet'!$A$201:$I$221,3,0))</f>
        <v>0</v>
      </c>
      <c r="ER18" s="15">
        <f>IF(ISNA(VLOOKUP(A18,'Données projet'!$A$201:$I$221,4,0)),0,VLOOKUP(A18,'Données projet'!$A$201:$I$221,4,0))</f>
        <v>0</v>
      </c>
      <c r="ES18" s="16">
        <f>IF(ISNA(VLOOKUP(A18,'Données projet'!$A$201:$I$221,5,0)),0%,VLOOKUP(A18,'Données projet'!$A$201:$I$221,5,0)*VLOOKUP('Données projet'!$B$15,Paramètres!$A$1:$I$89,7,0))</f>
        <v>0</v>
      </c>
      <c r="ET18" s="16">
        <f>IF(ISNA(VLOOKUP(A18,'Données projet'!$A$201:$I$221,6,0)),0%,VLOOKUP(A18,'Données projet'!$A$201:$I$221,6,0)*VLOOKUP('Données projet'!$B$15,Paramètres!$A$1:$I$89,7,0))</f>
        <v>0</v>
      </c>
      <c r="EU18" s="16">
        <f>IF(ISNA(VLOOKUP(A18,'Données projet'!$A$201:$I$221,7,0)),0%,VLOOKUP(A18,'Données projet'!$A$201:$I$221,7,0))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>
        <f>VLOOKUP(A18,'Données projet'!$A$227:$I$247,2,0)</f>
        <v>47</v>
      </c>
      <c r="FC18" s="12">
        <f>VLOOKUP(A18,'Données projet'!$A$227:$I$247,9,0)</f>
        <v>5.8</v>
      </c>
      <c r="FD18" s="12">
        <f t="array" ref="FD18">INDEX(FC:FC,MIN(IF(ISNUMBER(FC18:FC214),ROW(FC18:FC214),"")))</f>
        <v>5.8</v>
      </c>
      <c r="FE18" s="12">
        <f>IF('Données projet'!$A$228&gt;35,FE17+FD18-FM17,IF(A18&lt;'Données projet'!$A$228,$FB$205^A18,IF(A18='Données projet'!$A$228,'Données projet'!$B$228,FE17+FD18-FM17)))</f>
        <v>46.999999999999993</v>
      </c>
      <c r="FF18" s="17">
        <f>FE18*VLOOKUP('Données projet'!$B$16,Paramètres!$A$1:$I$89,3,0)*VLOOKUP('Données projet'!$B$16,Paramètres!$A$1:$I$89,5,0)</f>
        <v>49.124400000000001</v>
      </c>
      <c r="FG18" s="13">
        <f t="shared" si="77"/>
        <v>14.38740016036772</v>
      </c>
      <c r="FH18" s="20">
        <f t="shared" si="22"/>
        <v>110.61638527930711</v>
      </c>
      <c r="FI18" s="59">
        <f t="shared" si="23"/>
        <v>403.94971861264042</v>
      </c>
      <c r="FJ18" s="59">
        <f ca="1">AVERAGE(OFFSET($FI$3,0,0,'Données projet'!$E$16+1,1))-AVERAGE(OFFSET($H$3,0,0,'Données projet'!$E$16+1,1))</f>
        <v>259.03906550253788</v>
      </c>
      <c r="FK18" s="59">
        <f t="shared" si="78"/>
        <v>235.54542903570831</v>
      </c>
      <c r="FL18" s="15">
        <f>IF(ISNA(VLOOKUP(A18,'Données projet'!$A$227:$I$247,3,0)),0,VLOOKUP(A18,'Données projet'!$A$227:$I$247,3,0))</f>
        <v>0</v>
      </c>
      <c r="FM18" s="15">
        <f>IF(ISNA(VLOOKUP(A18,'Données projet'!$A$227:$I$247,4,0)),0,VLOOKUP(A18,'Données projet'!$A$227:$I$247,4,0))</f>
        <v>0</v>
      </c>
      <c r="FN18" s="16">
        <f>IF(ISNA(VLOOKUP(A18,'Données projet'!$A$227:$I$247,5,0)),0%,VLOOKUP(A18,'Données projet'!$A$227:$I$247,5,0)*VLOOKUP('Données projet'!$B$16,Paramètres!$A$1:$I$89,7,0))</f>
        <v>0</v>
      </c>
      <c r="FO18" s="16">
        <f>IF(ISNA(VLOOKUP(A18,'Données projet'!$A$227:$I$247,6,0)),0%,VLOOKUP(A18,'Données projet'!$A$227:$I$247,6,0)*VLOOKUP('Données projet'!$B$16,Paramètres!$A$1:$I$89,7,0))</f>
        <v>0</v>
      </c>
      <c r="FP18" s="16">
        <f>IF(ISNA(VLOOKUP(A18,'Données projet'!$A$227:$I$247,7,0)),0%,VLOOKUP(A18,'Données projet'!$A$227:$I$247,7,0))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>
        <f>VLOOKUP(A18,'Données projet'!$A$253:$I$273,2,0)</f>
        <v>37</v>
      </c>
      <c r="FX18" s="12">
        <f>VLOOKUP(A18,'Données projet'!$A$253:$I$273,9,0)</f>
        <v>2.4666666666666668</v>
      </c>
      <c r="FY18" s="12">
        <f t="array" ref="FY18">INDEX(FX:FX,MIN(IF(ISNUMBER(FX18:FX214),ROW(FX18:FX214),"")))</f>
        <v>2.4666666666666668</v>
      </c>
      <c r="FZ18" s="12">
        <f>IF('Données projet'!$A$254&gt;35,FZ17+FY18-GH17,IF(A18&lt;'Données projet'!$A$254,$FW$205^A18,IF(A18='Données projet'!$A$254,'Données projet'!$B$254,FZ17+FY18-GH17)))</f>
        <v>37</v>
      </c>
      <c r="GA18" s="17">
        <f>FZ18*VLOOKUP('Données projet'!$B$17,Paramètres!$A$1:$I$89,3,0)*VLOOKUP('Données projet'!$B$17,Paramètres!$A$1:$I$89,5,0)</f>
        <v>32.323200000000007</v>
      </c>
      <c r="GB18" s="13">
        <f t="shared" si="79"/>
        <v>9.9393719729191545</v>
      </c>
      <c r="GC18" s="20">
        <f t="shared" si="25"/>
        <v>73.607312852834198</v>
      </c>
      <c r="GD18" s="59">
        <f t="shared" si="26"/>
        <v>366.9406461861675</v>
      </c>
      <c r="GE18" s="59">
        <f ca="1">AVERAGE(OFFSET($GD$3,0,0,'Données projet'!$E$17+1,1))-AVERAGE(OFFSET($H$3,0,0,'Données projet'!$E$17+1,1))</f>
        <v>245.1983232777614</v>
      </c>
      <c r="GF18" s="59">
        <f t="shared" si="80"/>
        <v>242.34010522344573</v>
      </c>
      <c r="GG18" s="15">
        <f>IF(ISNA(VLOOKUP(A18,'Données projet'!$A$253:$I$273,3,0)),0,VLOOKUP(A18,'Données projet'!$A$253:$I$273,3,0))</f>
        <v>1</v>
      </c>
      <c r="GH18" s="15">
        <f>IF(ISNA(VLOOKUP(A18,'Données projet'!$A$253:$I$273,4,0)),0,VLOOKUP(A18,'Données projet'!$A$253:$I$273,4,0))</f>
        <v>15</v>
      </c>
      <c r="GI18" s="16">
        <f>IF(ISNA(VLOOKUP(A18,'Données projet'!$A$253:$I$273,5,0)),0%,VLOOKUP(A18,'Données projet'!$A$253:$I$273,5,0)*VLOOKUP('Données projet'!$B$17,Paramètres!$A$1:$I$89,7,0))</f>
        <v>0</v>
      </c>
      <c r="GJ18" s="16">
        <f>IF(ISNA(VLOOKUP(A18,'Données projet'!$A$253:$I$273,6,0)),0%,VLOOKUP(A18,'Données projet'!$A$253:$I$273,6,0)*VLOOKUP('Données projet'!$B$17,Paramètres!$A$1:$I$89,7,0))</f>
        <v>0</v>
      </c>
      <c r="GK18" s="16">
        <f>IF(ISNA(VLOOKUP(A18,'Données projet'!$A$253:$I$273,7,0)),0%,VLOOKUP(A18,'Données projet'!$A$253:$I$273,7,0))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>
        <f>VLOOKUP(A18,'Données projet'!$A$279:$I$299,2,0)</f>
        <v>62</v>
      </c>
      <c r="GS18" s="12">
        <f>VLOOKUP(A18,'Données projet'!$A$279:$I$299,9,0)</f>
        <v>4.1333333333333337</v>
      </c>
      <c r="GT18" s="12">
        <f t="array" ref="GT18">INDEX(GS:GS,MIN(IF(ISNUMBER(GS18:GS214),ROW(GS18:GS214),"")))</f>
        <v>4.1333333333333337</v>
      </c>
      <c r="GU18" s="12">
        <f>IF('Données projet'!$A$280&gt;35,GU17+GT18-HC17,IF(A18&lt;'Données projet'!$A$280,$GR$205^A18,IF(A18='Données projet'!$A$280,'Données projet'!$B$280,GU17+GT18-HC17)))</f>
        <v>62</v>
      </c>
      <c r="GV18" s="17">
        <f>GU18*VLOOKUP('Données projet'!$B$18,Paramètres!$A$1:$I$89,3,0)*VLOOKUP('Données projet'!$B$18,Paramètres!$A$1:$I$89,5,0)</f>
        <v>24.986000000000001</v>
      </c>
      <c r="GW18" s="13">
        <f t="shared" si="81"/>
        <v>7.9169317404271018</v>
      </c>
      <c r="GX18" s="20">
        <f t="shared" si="28"/>
        <v>57.305939447910525</v>
      </c>
      <c r="GY18" s="59">
        <f t="shared" si="29"/>
        <v>350.63927278124385</v>
      </c>
      <c r="GZ18" s="59">
        <f ca="1">AVERAGE(OFFSET($GY$3,0,0,'Données projet'!$E$18+1,1))-AVERAGE(OFFSET($H$3,0,0,'Données projet'!$E$18+1,1))</f>
        <v>324.36162935850876</v>
      </c>
      <c r="HA18" s="59">
        <f t="shared" si="82"/>
        <v>265.23571072429735</v>
      </c>
      <c r="HB18" s="15" t="str">
        <f>IF(ISNA(VLOOKUP(A18,'Données projet'!$A$279:$I$299,3,0)),0,VLOOKUP(A18,'Données projet'!$A$279:$I$299,3,0))</f>
        <v>na</v>
      </c>
      <c r="HC18" s="15">
        <f>IF(ISNA(VLOOKUP(A18,'Données projet'!$A$279:$I$299,4,0)),0,VLOOKUP(A18,'Données projet'!$A$279:$I$299,4,0))</f>
        <v>0</v>
      </c>
      <c r="HD18" s="16">
        <f>IF(ISNA(VLOOKUP(A18,'Données projet'!$A$279:$I$299,5,0)),0%,VLOOKUP(A18,'Données projet'!$A$279:$I$299,5,0)*VLOOKUP('Données projet'!$B$18,Paramètres!$A$1:$I$89,7,0))</f>
        <v>0</v>
      </c>
      <c r="HE18" s="16">
        <f>IF(ISNA(VLOOKUP(A18,'Données projet'!$A$279:$I$299,6,0)),0%,VLOOKUP(A18,'Données projet'!$A$279:$I$299,6,0)*VLOOKUP('Données projet'!$B$18,Paramètres!$A$1:$I$89,7,0))</f>
        <v>0</v>
      </c>
      <c r="HF18" s="16">
        <f>IF(ISNA(VLOOKUP($A18,'Données projet'!$A$279:$I$299,7,0)),0%,VLOOKUP($A18,'Données projet'!$A$279:$I$299,7,0))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0</v>
      </c>
      <c r="HK18" s="74">
        <f>('Scénario référence'!$F$8+'Scénario référence'!$F$9+'Scénario référence'!$B$17+'Scénario référence'!$B$9+'Scénario référence'!$B$10)*70+IF((45+25*(1-EXP(-0.0175*$A18)))&lt;70,'Scénario référence'!$B$16*(45+25*(1-EXP(-0.0175*$A18))),70*'Scénario référence'!$B$16)+IF((32+38*(1-EXP(-0.0175*$A18)))&lt;70,'Scénario référence'!$B$18*(32+38*(1-EXP(-0.0175*$A18))),70*'Scénario référence'!$B$18)</f>
        <v>70</v>
      </c>
      <c r="HL18" s="12">
        <f>IF($A18&gt;30,10,('Scénario référence'!$B$16+'Scénario référence'!$B$17+'Scénario référence'!$B$18+'Scénario référence'!$B$9+'Scénario référence'!$B$10)*$A18*10/30+('Scénario référence'!$F$8+'Scénario référence'!$F$9)*10)</f>
        <v>10</v>
      </c>
      <c r="HM18" s="12">
        <f>VLOOKUP($A18,'Données projet'!$A$304:$I$324,2,0)</f>
        <v>158.40769230769226</v>
      </c>
      <c r="HN18" s="12">
        <f>VLOOKUP($A18,'Données projet'!$A$304:$I$324,9,0)</f>
        <v>18.772564102564132</v>
      </c>
      <c r="HO18" s="12">
        <f t="array" ref="HO18">INDEX(HN:HN,MIN(IF(ISNUMBER(HN18:HN214),ROW(HN18:HN214),"")))</f>
        <v>18.772564102564132</v>
      </c>
      <c r="HP18" s="12">
        <f>IF('Données projet'!$A$304&gt;35,HP17+HO18-HX17,IF($A18&lt;'Données projet'!$A$304,$CQ$205^$A18,IF($A18='Données projet'!$A$304,'Données projet'!$B$304,HP17+HO18-HX17)))</f>
        <v>158.40769230769226</v>
      </c>
      <c r="HQ18" s="17">
        <f>HP18*VLOOKUP('Données projet'!$B$19,Paramètres!$A$1:$I$89,3,0)*VLOOKUP('Données projet'!$B$19,Paramètres!$A$1:$I$89,5,0)</f>
        <v>80.559815999999984</v>
      </c>
      <c r="HR18" s="13">
        <f t="shared" si="83"/>
        <v>22.274006449865396</v>
      </c>
      <c r="HS18" s="14">
        <f t="shared" si="31"/>
        <v>179.10224076684889</v>
      </c>
      <c r="HT18" s="59">
        <f t="shared" si="32"/>
        <v>472.43557410018218</v>
      </c>
      <c r="HU18" s="59">
        <f ca="1">AVERAGE(OFFSET(HT$3,0,0,'Données projet'!$E$19+1,1))-AVERAGE(OFFSET($H$3,0,0,'Données projet'!$E$19+1,1))</f>
        <v>91.60721429656013</v>
      </c>
      <c r="HV18" s="59">
        <f t="shared" si="84"/>
        <v>258.94957804210856</v>
      </c>
      <c r="HW18" s="15">
        <f>IF(ISNA(VLOOKUP($A18,'Données projet'!$A$304:$I$324,3,0)),0,VLOOKUP($A18,'Données projet'!$A$304:$I$324,3,0))</f>
        <v>0</v>
      </c>
      <c r="HX18" s="15">
        <f>IF(ISNA(VLOOKUP($A18,'Données projet'!$A$304:$I$324,4,0)),0,VLOOKUP($A18,'Données projet'!$A$304:$I$324,4,0))</f>
        <v>0</v>
      </c>
      <c r="HY18" s="16">
        <f>IF(ISNA(VLOOKUP($A18,'Données projet'!$A$304:$I$324,5,0)),0%,VLOOKUP($A18,'Données projet'!$A$304:$I$324,5,0)*VLOOKUP('Données projet'!$B$19,Paramètres!$A$1:$I$89,7,0))</f>
        <v>0</v>
      </c>
      <c r="HZ18" s="16">
        <f>IF(ISNA(VLOOKUP($A18,'Données projet'!$A$304:$I$324,6,0)),0%,VLOOKUP($A18,'Données projet'!$A$304:$I$324,6,0)*VLOOKUP('Données projet'!$B$19,Paramètres!$A$1:$I$89,7,0))</f>
        <v>0</v>
      </c>
      <c r="IA18" s="16">
        <f>IF(ISNA(VLOOKUP($A18,'Données projet'!$A$304:$I$324,7,0)),0%,VLOOKUP($A18,'Données projet'!$A$304:$I$324,7,0))</f>
        <v>0</v>
      </c>
      <c r="IB18" s="21">
        <f>EXP(-LN(2)/35)*IB17+(1-EXP(-LN(2)/35))/(LN(2)/35)*HX18*HY18*VLOOKUP('Données projet'!$B$19,Paramètres!$A$1:$I$89,3,0)*0.475*44/12</f>
        <v>0</v>
      </c>
      <c r="IC18" s="21">
        <f>EXP(-LN(2)/25)*IC17+(1-EXP(-LN(2)/25))/(LN(2)/25)*Calculateur!HX18*Calculateur!HZ18*VLOOKUP('Données projet'!$B$19,Paramètres!$A$1:$I$89,3,0)*0.475*44/12</f>
        <v>0</v>
      </c>
      <c r="ID18" s="21">
        <f>EXP(-LN(2)/2)*ID17+(1-EXP(-LN(2)/2))/(LN(2)/2)*HX18*IA18*VLOOKUP('Données projet'!$B$19,Paramètres!$A$1:$I$89,3,0)*0.475*44/12</f>
        <v>0</v>
      </c>
      <c r="IE18" s="22">
        <f t="shared" si="33"/>
        <v>0</v>
      </c>
      <c r="IF18" s="74">
        <f>('Scénario référence'!$F$8+'Scénario référence'!$F$9+'Scénario référence'!$B$17+'Scénario référence'!$B$9+'Scénario référence'!$B$10)*70+IF((45+25*(1-EXP(-0.0175*$A18)))&lt;70,'Scénario référence'!$B$16*(45+25*(1-EXP(-0.0175*$A18))),70*'Scénario référence'!$B$16)+IF((32+38*(1-EXP(-0.0175*$A18)))&lt;70,'Scénario référence'!$B$18*(32+38*(1-EXP(-0.0175*$A18))),70*'Scénario référence'!$B$18)</f>
        <v>70</v>
      </c>
      <c r="IG18" s="12">
        <f>IF($A18&gt;30,10,('Scénario référence'!$B$16+'Scénario référence'!$B$17+'Scénario référence'!$B$18+'Scénario référence'!$B$9+'Scénario référence'!$B$10)*$A18*10/30+('Scénario référence'!$F$8+'Scénario référence'!$F$9)*10)</f>
        <v>10</v>
      </c>
      <c r="IH18" s="12">
        <f>VLOOKUP($A18,'Données projet'!$A$330:$I$350,2,0)</f>
        <v>158.40769230769226</v>
      </c>
      <c r="II18" s="12">
        <f>VLOOKUP($A18,'Données projet'!$A$330:$I$350,9,0)</f>
        <v>18.772564102564132</v>
      </c>
      <c r="IJ18" s="12">
        <f t="array" ref="IJ18">INDEX(II:II,MIN(IF(ISNUMBER(II18:II214),ROW(II18:II214),"")))</f>
        <v>18.772564102564132</v>
      </c>
      <c r="IK18" s="12">
        <f>IF('Données projet'!$A$330&gt;35,IK17+IJ18-IS17,IF($A18&lt;'Données projet'!$A$330,$CQ$205^$A18,IF($A18='Données projet'!$A$330,'Données projet'!$B$330,IK17+IJ18-IS17)))</f>
        <v>158.40769230769226</v>
      </c>
      <c r="IL18" s="17">
        <f>IK18*VLOOKUP('Données projet'!$B$20,Paramètres!$A$1:$I$89,3,0)*VLOOKUP('Données projet'!$B$20,Paramètres!$A$1:$I$89,5,0)</f>
        <v>80.559815999999984</v>
      </c>
      <c r="IM18" s="13">
        <f t="shared" si="85"/>
        <v>22.274006449865396</v>
      </c>
      <c r="IN18" s="20">
        <f t="shared" si="86"/>
        <v>179.10224076684889</v>
      </c>
      <c r="IO18" s="59">
        <f t="shared" si="87"/>
        <v>472.43557410018218</v>
      </c>
      <c r="IP18" s="59">
        <f ca="1">AVERAGE(OFFSET(IO$3,0,0,'Données projet'!$E$20+1,1))-AVERAGE(OFFSET($H$3,0,0,'Données projet'!$E$20+1,1))</f>
        <v>91.60721429656013</v>
      </c>
      <c r="IQ18" s="59">
        <f t="shared" si="88"/>
        <v>258.94957804210856</v>
      </c>
      <c r="IR18" s="15">
        <f>IF(ISNA(VLOOKUP($A18,'Données projet'!$A$330:$I$350,3,0)),0,VLOOKUP($A18,'Données projet'!$A$330:$I$350,3,0))</f>
        <v>0</v>
      </c>
      <c r="IS18" s="15">
        <f>IF(ISNA(VLOOKUP($A18,'Données projet'!$A$330:$I$350,4,0)),0,VLOOKUP($A18,'Données projet'!$A$330:$I$350,4,0))</f>
        <v>0</v>
      </c>
      <c r="IT18" s="16">
        <f>IF(ISNA(VLOOKUP($A18,'Données projet'!$A$330:$I$350,5,0)),0%,VLOOKUP($A18,'Données projet'!$A$330:$I$350,5,0)*VLOOKUP('Données projet'!$B$20,Paramètres!$A$1:$I$89,7,0))</f>
        <v>0</v>
      </c>
      <c r="IU18" s="16">
        <f>IF(ISNA(VLOOKUP($A18,'Données projet'!$A$330:$I$350,6,0)),0%,VLOOKUP($A18,'Données projet'!$A$330:$I$350,6,0)*VLOOKUP('Données projet'!$B$20,Paramètres!$A$1:$I$89,7,0))</f>
        <v>0</v>
      </c>
      <c r="IV18" s="16">
        <f>IF(ISNA(VLOOKUP($A18,'Données projet'!$A$330:$I$350,7,0)),0%,VLOOKUP($A18,'Données projet'!$A$330:$I$350,7,0))</f>
        <v>0</v>
      </c>
      <c r="IW18" s="21">
        <f>EXP(-LN(2)/35)*IW17+(1-EXP(-LN(2)/35))/(LN(2)/35)*IS18*IT18*VLOOKUP('Données projet'!$B$20,Paramètres!$A$1:$I$89,3,0)*0.475*44/12</f>
        <v>0</v>
      </c>
      <c r="IX18" s="21">
        <f>EXP(-LN(2)/25)*IX17+(1-EXP(-LN(2)/25))/(LN(2)/25)*Calculateur!IS18*Calculateur!IU18*VLOOKUP('Données projet'!$B$20,Paramètres!$A$1:$I$89,3,0)*0.475*44/12</f>
        <v>0</v>
      </c>
      <c r="IY18" s="21">
        <f>EXP(-LN(2)/2)*IY17+(1-EXP(-LN(2)/2))/(LN(2)/2)*IS18*IV18*VLOOKUP('Données projet'!$B$20,Paramètres!$A$1:$I$89,3,0)*0.475*44/12</f>
        <v>0</v>
      </c>
      <c r="IZ18" s="22">
        <f t="shared" si="89"/>
        <v>0</v>
      </c>
      <c r="JA18" s="74">
        <f>('Scénario référence'!$F$8+'Scénario référence'!$F$9+'Scénario référence'!$B$17+'Scénario référence'!$B$9+'Scénario référence'!$B$10)*70+IF((45+25*(1-EXP(-0.0175*$A18)))&lt;70,'Scénario référence'!$B$16*(45+25*(1-EXP(-0.0175*$A18))),70*'Scénario référence'!$B$16)+IF((32+38*(1-EXP(-0.0175*$A18)))&lt;70,'Scénario référence'!$B$18*(32+38*(1-EXP(-0.0175*$A18))),70*'Scénario référence'!$B$18)</f>
        <v>70</v>
      </c>
      <c r="JB18" s="12">
        <f>IF($A18&gt;30,10,('Scénario référence'!$B$16+'Scénario référence'!$B$17+'Scénario référence'!$B$18+'Scénario référence'!$B$9+'Scénario référence'!$B$10)*$A18*10/30+('Scénario référence'!$F$8+'Scénario référence'!$F$9)*10)</f>
        <v>10</v>
      </c>
      <c r="JC18" s="12" t="e">
        <f>VLOOKUP($A18,'Données projet'!$A$356:$I$376,2,0)</f>
        <v>#N/A</v>
      </c>
      <c r="JD18" s="12" t="e">
        <f>VLOOKUP($A18,'Données projet'!$A$356:$I$376,9,0)</f>
        <v>#N/A</v>
      </c>
      <c r="JE18" s="12">
        <f t="array" ref="JE18">INDEX(JD:JD,MIN(IF(ISNUMBER(JD18:JD214),ROW(JD18:JD214),"")))</f>
        <v>3.04</v>
      </c>
      <c r="JF18" s="12">
        <f>IF('Données projet'!$A$356&gt;35,JF17+JE18-JN17,IF($A18&lt;'Données projet'!$A$356,$CQ$205^$A18,IF($A18='Données projet'!$A$356,'Données projet'!$B$356,JF17+JE18-JN17)))</f>
        <v>45.599999999999994</v>
      </c>
      <c r="JG18" s="17">
        <f>JF18*VLOOKUP('Données projet'!$B$21,Paramètres!$A$1:$I$89,3,0)*VLOOKUP('Données projet'!$B$21,Paramètres!$A$1:$I$89,5,0)</f>
        <v>36.990719999999996</v>
      </c>
      <c r="JH18" s="13">
        <f t="shared" si="90"/>
        <v>11.197442716918179</v>
      </c>
      <c r="JI18" s="20">
        <f t="shared" si="91"/>
        <v>83.927716731965816</v>
      </c>
      <c r="JJ18" s="59">
        <f t="shared" si="92"/>
        <v>377.26105006529912</v>
      </c>
      <c r="JK18" s="59">
        <f ca="1">AVERAGE(OFFSET($JJ$3,0,0,'Données projet'!$E$22+1,1))-AVERAGE(OFFSET($H$3,0,0,'Données projet'!$E$22+1,1))</f>
        <v>353.35574633294613</v>
      </c>
      <c r="JL18" s="59">
        <f t="shared" si="93"/>
        <v>170.36796666474726</v>
      </c>
      <c r="JM18" s="15">
        <f>IF(ISNA(VLOOKUP($A18,'Données projet'!$A$356:$I$376,3,0)),0,VLOOKUP($A18,'Données projet'!$A$356:$I$376,3,0))</f>
        <v>0</v>
      </c>
      <c r="JN18" s="15">
        <f>IF(ISNA(VLOOKUP($A18,'Données projet'!$A$356:$I$376,4,0)),0,VLOOKUP($A18,'Données projet'!$A$356:$I$376,4,0))</f>
        <v>0</v>
      </c>
      <c r="JO18" s="16">
        <f>IF(ISNA(VLOOKUP($A18,'Données projet'!$A$356:$I$376,5,0)),0%,VLOOKUP($A18,'Données projet'!$A$356:$I$376,5,0)*VLOOKUP('Données projet'!$B$21,Paramètres!$A$1:$I$89,7,0))</f>
        <v>0</v>
      </c>
      <c r="JP18" s="16">
        <f>IF(ISNA(VLOOKUP($A18,'Données projet'!$A$356:$I$376,6,0)),0%,VLOOKUP($A18,'Données projet'!$A$356:$I$376,6,0)*VLOOKUP('Données projet'!$B$21,Paramètres!$A$1:$I$89,7,0))</f>
        <v>0</v>
      </c>
      <c r="JQ18" s="16">
        <f>IF(ISNA(VLOOKUP($A18,'Données projet'!$A$356:$I$376,7,0)),0%,VLOOKUP($A18,'Données projet'!$A$356:$I$376,7,0))</f>
        <v>0</v>
      </c>
      <c r="JR18" s="21">
        <f>EXP(-LN(2)/35)*JR17+(1-EXP(-LN(2)/35))/(LN(2)/35)*JN18*JO18*VLOOKUP('Données projet'!$B$21,Paramètres!$A$1:$I$89,3,0)*0.475*44/12</f>
        <v>0</v>
      </c>
      <c r="JS18" s="21">
        <f>EXP(-LN(2)/25)*JS17+(1-EXP(-LN(2)/25))/(LN(2)/25)*Calculateur!JN18*Calculateur!JP18*VLOOKUP('Données projet'!$B$21,Paramètres!$A$1:$I$89,3,0)*0.475*44/12</f>
        <v>0</v>
      </c>
      <c r="JT18" s="21">
        <f>EXP(-LN(2)/2)*JT17+(1-EXP(-LN(2)/2))/(LN(2)/2)*JN18*JQ18*VLOOKUP('Données projet'!$B$21,Paramètres!$A$1:$I$89,3,0)*0.475*44/12</f>
        <v>0</v>
      </c>
      <c r="JU18" s="18">
        <f t="shared" si="39"/>
        <v>0</v>
      </c>
      <c r="JV18" s="74">
        <f>('Scénario référence'!$F$8+'Scénario référence'!$F$9+'Scénario référence'!$B$17+'Scénario référence'!$B$9+'Scénario référence'!$B$10)*70+IF((45+25*(1-EXP(-0.0175*$A18)))&lt;70,'Scénario référence'!$B$16*(45+25*(1-EXP(-0.0175*$A18))),70*'Scénario référence'!$B$16)+IF((32+38*(1-EXP(-0.0175*$A18)))&lt;70,'Scénario référence'!$B$18*(32+38*(1-EXP(-0.0175*$A18))),70*'Scénario référence'!$B$18)</f>
        <v>70</v>
      </c>
      <c r="JW18" s="12">
        <f>IF($A18&gt;30,10,('Scénario référence'!$B$16+'Scénario référence'!$B$17+'Scénario référence'!$B$18+'Scénario référence'!$B$9+'Scénario référence'!$B$10)*$A18*10/30+('Scénario référence'!$F$8+'Scénario référence'!$F$9)*10)</f>
        <v>10</v>
      </c>
      <c r="JX18" s="12" t="e">
        <f>VLOOKUP($A18,'Données projet'!$A$382:$I$402,2,0)</f>
        <v>#N/A</v>
      </c>
      <c r="JY18" s="12" t="e">
        <f>VLOOKUP($A18,'Données projet'!$A$382:$I$402,9,0)</f>
        <v>#N/A</v>
      </c>
      <c r="JZ18" s="12">
        <f t="array" ref="JZ18">INDEX(JY:JY,MIN(IF(ISNUMBER(JY18:JY214),ROW(JY18:JY214),"")))</f>
        <v>4.0628205128205126</v>
      </c>
      <c r="KA18" s="12">
        <f>IF('Données projet'!$A$382&gt;35,KA17+JZ18-KI17,IF($A18&lt;'Données projet'!$A$382,$CQ$205^$A18,IF($A18='Données projet'!$A$382,'Données projet'!$B$382,KA17+JZ18-KI17)))</f>
        <v>60.942307692307708</v>
      </c>
      <c r="KB18" s="17">
        <f>KA18*VLOOKUP('Données projet'!$B$22,Paramètres!$A$1:$I$89,3,0)*VLOOKUP('Données projet'!$B$22,Paramètres!$A$1:$I$89,5,0)</f>
        <v>40.880100000000013</v>
      </c>
      <c r="KC18" s="13">
        <f t="shared" si="94"/>
        <v>12.231621212774494</v>
      </c>
      <c r="KD18" s="20">
        <f t="shared" si="95"/>
        <v>92.502914445582249</v>
      </c>
      <c r="KE18" s="59">
        <f t="shared" si="96"/>
        <v>385.83624777891555</v>
      </c>
      <c r="KF18" s="59">
        <f ca="1">AVERAGE(OFFSET($KE$3,0,0,'Données projet'!$E$22+1,1))-AVERAGE(OFFSET($H$3,0,0,'Données projet'!$E$22+1,1))</f>
        <v>193.91714772848269</v>
      </c>
      <c r="KG18" s="59">
        <f t="shared" si="97"/>
        <v>159.20429420478047</v>
      </c>
      <c r="KH18" s="15">
        <f>IF(ISNA(VLOOKUP($A18,'Données projet'!$A$382:$I$402,3,0)),0,VLOOKUP($A18,'Données projet'!$A$382:$I$402,3,0))</f>
        <v>0</v>
      </c>
      <c r="KI18" s="15">
        <f>IF(ISNA(VLOOKUP($A18,'Données projet'!$A$382:$I$402,4,0)),0,VLOOKUP($A18,'Données projet'!$A$382:$I$402,4,0))</f>
        <v>0</v>
      </c>
      <c r="KJ18" s="16">
        <f>IF(ISNA(VLOOKUP($A18,'Données projet'!$A$382:$I$402,5,0)),0%,VLOOKUP($A18,'Données projet'!$A$382:$I$402,5,0)*VLOOKUP('Données projet'!$B$22,Paramètres!$A$1:$I$89,7,0))</f>
        <v>0</v>
      </c>
      <c r="KK18" s="16">
        <f>IF(ISNA(VLOOKUP($A18,'Données projet'!$A$382:$I$402,6,0)),0%,VLOOKUP($A18,'Données projet'!$A$382:$I$402,6,0)*VLOOKUP('Données projet'!$B$22,Paramètres!$A$1:$I$89,7,0))</f>
        <v>0</v>
      </c>
      <c r="KL18" s="16">
        <f>IF(ISNA(VLOOKUP($A18,'Données projet'!$A$382:$I$402,7,0)),0%,VLOOKUP($A18,'Données projet'!$A$382:$I$402,7,0))</f>
        <v>0</v>
      </c>
      <c r="KM18" s="21">
        <f>EXP(-LN(2)/35)*KM17+(1-EXP(-LN(2)/35))/(LN(2)/35)*KI18*KJ18*VLOOKUP('Données projet'!$B$22,Paramètres!$A$1:$I$89,3,0)*0.475*44/12</f>
        <v>0</v>
      </c>
      <c r="KN18" s="21">
        <f>EXP(-LN(2)/25)*KN17+(1-EXP(-LN(2)/25))/(LN(2)/25)*Calculateur!KI18*Calculateur!KK18*VLOOKUP('Données projet'!$B$22,Paramètres!$A$1:$I$89,3,0)*0.475*44/12</f>
        <v>0</v>
      </c>
      <c r="KO18" s="21">
        <f>EXP(-LN(2)/2)*KO17+(1-EXP(-LN(2)/2))/(LN(2)/2)*KI18*KL18*VLOOKUP('Données projet'!$B$22,Paramètres!$A$1:$I$89,3,0)*0.475*44/12</f>
        <v>0</v>
      </c>
      <c r="KP18" s="22">
        <f t="shared" si="98"/>
        <v>0</v>
      </c>
      <c r="KQ18" s="74">
        <f>('Scénario référence'!$F$8+'Scénario référence'!$F$9+'Scénario référence'!$B$17+'Scénario référence'!$B$9+'Scénario référence'!$B$10)*70+IF((45+25*(1-EXP(-0.0175*$A18)))&lt;70,'Scénario référence'!$B$16*(45+25*(1-EXP(-0.0175*$A18))),70*'Scénario référence'!$B$16)+IF((32+38*(1-EXP(-0.0175*$A18)))&lt;70,'Scénario référence'!$B$18*(32+38*(1-EXP(-0.0175*$A18))),70*'Scénario référence'!$B$18)</f>
        <v>70</v>
      </c>
      <c r="KR18" s="12">
        <f>IF($A18&gt;30,10,('Scénario référence'!$B$16+'Scénario référence'!$B$17+'Scénario référence'!$B$18+'Scénario référence'!$B$9+'Scénario référence'!$B$10)*$A18*10/30+('Scénario référence'!$F$8+'Scénario référence'!$F$9)*10)</f>
        <v>10</v>
      </c>
      <c r="KS18" s="12">
        <f>VLOOKUP($A18,'Données projet'!$A$408:$I$428,2,0)</f>
        <v>37</v>
      </c>
      <c r="KT18" s="12">
        <f>VLOOKUP($A18,'Données projet'!$A$408:$I$428,9,0)</f>
        <v>2.4666666666666668</v>
      </c>
      <c r="KU18" s="12">
        <f t="array" ref="KU18">INDEX(KT:KT,MIN(IF(ISNUMBER(KT18:KT214),ROW(KT18:KT214),"")))</f>
        <v>2.4666666666666668</v>
      </c>
      <c r="KV18" s="12">
        <f>IF('Données projet'!$A$408&gt;35,KV17+KU18-LD17,IF($A18&lt;'Données projet'!$A$408,$CQ$205^$A18,IF($A18='Données projet'!$A$408,'Données projet'!$B$408,KV17+KU18-LD17)))</f>
        <v>37.000000000000014</v>
      </c>
      <c r="KW18" s="17">
        <f>KV18*VLOOKUP('Données projet'!$B$23,Paramètres!$A$1:$I$89,3,0)*VLOOKUP('Données projet'!$B$23,Paramètres!$A$1:$I$89,5,0)</f>
        <v>32.323200000000014</v>
      </c>
      <c r="KX18" s="13">
        <f t="shared" si="99"/>
        <v>9.9393719729191545</v>
      </c>
      <c r="KY18" s="14">
        <f t="shared" si="43"/>
        <v>73.607312852834227</v>
      </c>
      <c r="KZ18" s="59">
        <f t="shared" si="44"/>
        <v>366.94064618616756</v>
      </c>
      <c r="LA18" s="59">
        <f ca="1">AVERAGE(OFFSET($KZ$3,0,0,'Données projet'!$E$23+1,1))-AVERAGE(OFFSET($H$3,0,0,'Données projet'!$E$23+1,1))</f>
        <v>248.33596943633819</v>
      </c>
      <c r="LB18" s="59">
        <f t="shared" si="100"/>
        <v>242.34010522344573</v>
      </c>
      <c r="LC18" s="15">
        <f>IF(ISNA(VLOOKUP($A18,'Données projet'!$A$408:$I$428,3,0)),0,VLOOKUP($A18,'Données projet'!$A$408:$I$428,3,0))</f>
        <v>1</v>
      </c>
      <c r="LD18" s="15">
        <f>IF(ISNA(VLOOKUP($A18,'Données projet'!$A$408:$I$428,4,0)),0,VLOOKUP($A18,'Données projet'!$A$408:$I$428,4,0))</f>
        <v>15</v>
      </c>
      <c r="LE18" s="16">
        <f>IF(ISNA(VLOOKUP($A18,'Données projet'!$A$408:$I$428,5,0)),0%,VLOOKUP($A18,'Données projet'!$A$408:$I$428,5,0)*VLOOKUP('Données projet'!$B$23,Paramètres!$A$1:$I$89,7,0))</f>
        <v>0</v>
      </c>
      <c r="LF18" s="16">
        <f>IF(ISNA(VLOOKUP($A18,'Données projet'!$A$408:$I$428,6,0)),0%,VLOOKUP($A18,'Données projet'!$A$408:$I$428,6,0)*VLOOKUP('Données projet'!$B$23,Paramètres!$A$1:$I$89,7,0))</f>
        <v>0</v>
      </c>
      <c r="LG18" s="16">
        <f>IF(ISNA(VLOOKUP($A18,'Données projet'!$A$408:$I$428,7,0)),0%,VLOOKUP($A18,'Données projet'!$A$408:$I$428,7,0))</f>
        <v>0</v>
      </c>
      <c r="LH18" s="21">
        <f>EXP(-LN(2)/35)*LH17+(1-EXP(-LN(2)/35))/(LN(2)/35)*LD18*LE18*VLOOKUP('Données projet'!$B$23,Paramètres!$A$1:$I$89,3,0)*0.475*44/12</f>
        <v>0</v>
      </c>
      <c r="LI18" s="21">
        <f>EXP(-LN(2)/25)*LI17+(1-EXP(-LN(2)/25))/(LN(2)/25)*Calculateur!LD18*Calculateur!LF18*VLOOKUP('Données projet'!$B$23,Paramètres!$A$1:$I$89,3,0)*0.475*44/12</f>
        <v>0</v>
      </c>
      <c r="LJ18" s="21">
        <f>EXP(-LN(2)/2)*LJ17+(1-EXP(-LN(2)/2))/(LN(2)/2)*LD18*LG18*VLOOKUP('Données projet'!$B$23,Paramètres!$A$1:$I$89,3,0)*0.475*44/12</f>
        <v>0</v>
      </c>
      <c r="LK18" s="22">
        <f t="shared" si="101"/>
        <v>0</v>
      </c>
      <c r="LL18" s="74">
        <f>('Scénario référence'!$F$8+'Scénario référence'!$F$9+'Scénario référence'!$B$17+'Scénario référence'!$B$9+'Scénario référence'!$B$10)*70+IF((45+25*(1-EXP(-0.0175*$A18)))&lt;70,'Scénario référence'!$B$16*(45+25*(1-EXP(-0.0175*$A18))),70*'Scénario référence'!$B$16)+IF((32+38*(1-EXP(-0.0175*$A18)))&lt;70,'Scénario référence'!$B$18*(32+38*(1-EXP(-0.0175*$A18))),70*'Scénario référence'!$B$18)</f>
        <v>70</v>
      </c>
      <c r="LM18" s="12">
        <f>IF($A18&gt;30,10,('Scénario référence'!$B$16+'Scénario référence'!$B$17+'Scénario référence'!$B$18+'Scénario référence'!$B$9+'Scénario référence'!$B$10)*$A18*10/30+('Scénario référence'!$F$8+'Scénario référence'!$F$9)*10)</f>
        <v>10</v>
      </c>
      <c r="LN18" s="12" t="e">
        <f>VLOOKUP($A18,'Données projet'!$A$434:$I$454,2,0)</f>
        <v>#N/A</v>
      </c>
      <c r="LO18" s="12" t="e">
        <f>VLOOKUP($A18,'Données projet'!$A$434:$I$454,9,0)</f>
        <v>#N/A</v>
      </c>
      <c r="LP18" s="12">
        <f t="array" ref="LP18">INDEX(LO:LO,MIN(IF(ISNUMBER(LO18:LO214),ROW(LO18:LO214),"")))</f>
        <v>2.9235042735042733</v>
      </c>
      <c r="LQ18" s="12">
        <f>IF('Données projet'!$A$434&gt;35,LQ17+LP18-LY17,IF($A18&lt;'Données projet'!$A$434,$CQ$205^$A18,IF($A18='Données projet'!$A$434,'Données projet'!$B$434,LQ17+LP18-LY17)))</f>
        <v>43.852564102564095</v>
      </c>
      <c r="LR18" s="17">
        <f>LQ18*VLOOKUP('Données projet'!$B$24,Paramètres!$A$1:$I$89,3,0)*VLOOKUP('Données projet'!$B$24,Paramètres!$A$1:$I$89,5,0)</f>
        <v>44.466499999999996</v>
      </c>
      <c r="LS18" s="13">
        <f t="shared" si="102"/>
        <v>13.175101719290048</v>
      </c>
      <c r="LT18" s="14">
        <f t="shared" si="46"/>
        <v>100.3924563277635</v>
      </c>
      <c r="LU18" s="59">
        <f t="shared" si="103"/>
        <v>393.72578966109683</v>
      </c>
      <c r="LV18" s="59">
        <f ca="1">AVERAGE(OFFSET($LU$3,0,0,'Données projet'!$E$24+1,1))-AVERAGE(OFFSET($H$3,0,0,'Données projet'!$E$24+1,1))</f>
        <v>260.52627655062872</v>
      </c>
      <c r="LW18" s="59">
        <f t="shared" si="104"/>
        <v>159.20429420478047</v>
      </c>
      <c r="LX18" s="15">
        <f>IF(ISNA(VLOOKUP($A18,'Données projet'!$A$434:$I$454,3,0)),0,VLOOKUP($A18,'Données projet'!$A$434:$I$454,3,0))</f>
        <v>0</v>
      </c>
      <c r="LY18" s="15">
        <f>IF(ISNA(VLOOKUP($A18,'Données projet'!$A$434:$I$454,4,0)),0,VLOOKUP($A18,'Données projet'!$A$434:$I$454,4,0))</f>
        <v>0</v>
      </c>
      <c r="LZ18" s="16">
        <f>IF(ISNA(VLOOKUP($A18,'Données projet'!$A$434:$I$454,5,0)),0%,VLOOKUP($A18,'Données projet'!$A$434:$I$454,5,0)*VLOOKUP('Données projet'!$B$24,Paramètres!$A$1:$I$89,7,0))</f>
        <v>0</v>
      </c>
      <c r="MA18" s="16">
        <f>IF(ISNA(VLOOKUP($A18,'Données projet'!$A$434:$I$454,6,0)),0%,VLOOKUP($A18,'Données projet'!$A$434:$I$454,6,0)*VLOOKUP('Données projet'!$B$24,Paramètres!$A$1:$I$89,7,0))</f>
        <v>0</v>
      </c>
      <c r="MB18" s="16">
        <f>IF(ISNA(VLOOKUP($A18,'Données projet'!$A$434:$I$454,7,0)),0%,VLOOKUP($A18,'Données projet'!$A$434:$I$454,7,0))</f>
        <v>0</v>
      </c>
      <c r="MC18" s="21">
        <f>EXP(-LN(2)/35)*MC17+(1-EXP(-LN(2)/35))/(LN(2)/35)*LY18*LZ18*VLOOKUP('Données projet'!$B$24,Paramètres!$A$1:$I$89,3,0)*0.475*44/12</f>
        <v>0</v>
      </c>
      <c r="MD18" s="21">
        <f>EXP(-LN(2)/25)*MD17+(1-EXP(-LN(2)/25))/(LN(2)/25)*Calculateur!LY18*Calculateur!MA18*VLOOKUP('Données projet'!$B$24,Paramètres!$A$1:$I$89,3,0)*0.475*44/12</f>
        <v>0</v>
      </c>
      <c r="ME18" s="21">
        <f>EXP(-LN(2)/2)*ME17+(1-EXP(-LN(2)/2))/(LN(2)/2)*LY18*MB18*VLOOKUP('Données projet'!$B$24,Paramètres!$A$1:$I$89,3,0)*0.475*44/12</f>
        <v>0</v>
      </c>
      <c r="MF18" s="22">
        <f t="shared" si="105"/>
        <v>0</v>
      </c>
      <c r="MG18" s="74">
        <f>('Scénario référence'!$F$8+'Scénario référence'!$F$9+'Scénario référence'!$B$17+'Scénario référence'!$B$9+'Scénario référence'!$B$10)*70+IF((45+25*(1-EXP(-0.0175*$A18)))&lt;70,'Scénario référence'!$B$16*(45+25*(1-EXP(-0.0175*$A18))),70*'Scénario référence'!$B$16)+IF((32+38*(1-EXP(-0.0175*$A18)))&lt;70,'Scénario référence'!$B$18*(32+38*(1-EXP(-0.0175*$A18))),70*'Scénario référence'!$B$18)</f>
        <v>70</v>
      </c>
      <c r="MH18" s="12">
        <f>IF($A18&gt;30,10,('Scénario référence'!$B$16+'Scénario référence'!$B$17+'Scénario référence'!$B$18+'Scénario référence'!$B$9+'Scénario référence'!$B$10)*$A18*10/30+('Scénario référence'!$F$8+'Scénario référence'!$F$9)*10)</f>
        <v>10</v>
      </c>
      <c r="MI18" s="12" t="e">
        <f>VLOOKUP($A18,'Données projet'!$A$460:$I$480,2,0)</f>
        <v>#N/A</v>
      </c>
      <c r="MJ18" s="12" t="e">
        <f>VLOOKUP($A18,'Données projet'!$A$460:$I$480,9,0)</f>
        <v>#N/A</v>
      </c>
      <c r="MK18" s="12">
        <f t="array" ref="MK18">INDEX(MJ:MJ,MIN(IF(ISNUMBER(MJ18:MJ214),ROW(MJ18:MJ214),"")))</f>
        <v>0</v>
      </c>
      <c r="ML18" s="12">
        <f>IF('Données projet'!$A$460&gt;35,ML17+MK18-MT17,IF($A18&lt;'Données projet'!$A$460,$CQ$205^$A18,IF($A18='Données projet'!$A$460,'Données projet'!$B$460,ML17+MK18-MT17)))</f>
        <v>0</v>
      </c>
      <c r="MM18" s="17" t="e">
        <f>ML18*VLOOKUP('Données projet'!$B$25,Paramètres!$A$1:$I$89,3,0)*VLOOKUP('Données projet'!$B$25,Paramètres!$A$1:$I$89,5,0)</f>
        <v>#N/A</v>
      </c>
      <c r="MN18" s="13" t="e">
        <f t="shared" si="106"/>
        <v>#N/A</v>
      </c>
      <c r="MO18" s="14" t="e">
        <f t="shared" si="49"/>
        <v>#N/A</v>
      </c>
      <c r="MP18" s="59" t="e">
        <f t="shared" si="50"/>
        <v>#N/A</v>
      </c>
      <c r="MQ18" s="20" t="e">
        <f ca="1">AVERAGE(OFFSET($MP$3,0,0,'Données projet'!$E$25+1,1))-AVERAGE(OFFSET($H$3,0,0,'Données projet'!$E$25+1,1))</f>
        <v>#N/A</v>
      </c>
      <c r="MR18" s="59" t="e">
        <f t="shared" si="107"/>
        <v>#N/A</v>
      </c>
      <c r="MS18" s="15">
        <f>IF(ISNA(VLOOKUP($A18,'Données projet'!$A$460:$I$480,3,0)),0,VLOOKUP($A18,'Données projet'!$A$460:$I$480,3,0))</f>
        <v>0</v>
      </c>
      <c r="MT18" s="15">
        <f>IF(ISNA(VLOOKUP($A18,'Données projet'!$A$460:$I$480,4,0)),0,VLOOKUP($A18,'Données projet'!$A$460:$I$480,4,0))</f>
        <v>0</v>
      </c>
      <c r="MU18" s="16">
        <f>IF(ISNA(VLOOKUP($A18,'Données projet'!$A$460:$I$480,5,0)),0%,VLOOKUP($A18,'Données projet'!$A$460:$I$480,5,0)*VLOOKUP('Données projet'!$B$25,Paramètres!$A$1:$I$89,7,0))</f>
        <v>0</v>
      </c>
      <c r="MV18" s="16">
        <f>IF(ISNA(VLOOKUP($A18,'Données projet'!$A$460:$I$480,6,0)),0%,VLOOKUP($A18,'Données projet'!$A$460:$I$480,6,0)*VLOOKUP('Données projet'!$B$25,Paramètres!$A$1:$I$89,7,0))</f>
        <v>0</v>
      </c>
      <c r="MW18" s="16">
        <f>IF(ISNA(VLOOKUP($A18,'Données projet'!$A$460:$I$480,7,0)),0%,VLOOKUP($A18,'Données projet'!$A$460:$I$480,7,0))</f>
        <v>0</v>
      </c>
      <c r="MX18" s="21" t="e">
        <f>EXP(-LN(2)/35)*MX17+(1-EXP(-LN(2)/35))/(LN(2)/35)*MT18*MU18*VLOOKUP('Données projet'!$B$25,Paramètres!$A$1:$I$89,3,0)*0.475*44/12</f>
        <v>#N/A</v>
      </c>
      <c r="MY18" s="21" t="e">
        <f>EXP(-LN(2)/25)*MY17+(1-EXP(-LN(2)/25))/(LN(2)/25)*Calculateur!MT18*Calculateur!MV18*VLOOKUP('Données projet'!$B$25,Paramètres!$A$1:$I$89,3,0)*0.475*44/12</f>
        <v>#N/A</v>
      </c>
      <c r="MZ18" s="21" t="e">
        <f>EXP(-LN(2)/2)*MZ17+(1-EXP(-LN(2)/2))/(LN(2)/2)*MT18*MW18*VLOOKUP('Données projet'!$B$25,Paramètres!$A$1:$I$89,3,0)*0.475*44/12</f>
        <v>#N/A</v>
      </c>
      <c r="NA18" s="22" t="e">
        <f t="shared" si="108"/>
        <v>#N/A</v>
      </c>
      <c r="NB18" s="74">
        <f>('Scénario référence'!$F$8+'Scénario référence'!$F$9+'Scénario référence'!$B$17+'Scénario référence'!$B$9+'Scénario référence'!$B$10)*70+IF((45+25*(1-EXP(-0.0175*$A18)))&lt;70,'Scénario référence'!$B$16*(45+25*(1-EXP(-0.0175*$A18))),70*'Scénario référence'!$B$16)+IF((32+38*(1-EXP(-0.0175*$A18)))&lt;70,'Scénario référence'!$B$18*(32+38*(1-EXP(-0.0175*$A18))),70*'Scénario référence'!$B$18)</f>
        <v>70</v>
      </c>
      <c r="NC18" s="12">
        <f>IF($A18&gt;30,10,('Scénario référence'!$B$16+'Scénario référence'!$B$17+'Scénario référence'!$B$18+'Scénario référence'!$B$9+'Scénario référence'!$B$10)*$A18*10/30+('Scénario référence'!$F$8+'Scénario référence'!$F$9)*10)</f>
        <v>10</v>
      </c>
      <c r="ND18" s="12" t="e">
        <f>VLOOKUP($A18,'Données projet'!$A$486:$I$506,2,0)</f>
        <v>#N/A</v>
      </c>
      <c r="NE18" s="12" t="e">
        <f>VLOOKUP($A18,'Données projet'!$A$486:$I$506,9,0)</f>
        <v>#N/A</v>
      </c>
      <c r="NF18" s="12">
        <f t="array" ref="NF18">INDEX(NE:NE,MIN(IF(ISNUMBER(NE18:NE214),ROW(NE18:NE214),"")))</f>
        <v>0</v>
      </c>
      <c r="NG18" s="12">
        <f>IF('Données projet'!$A$486&gt;35,NG17+NF18-NO17,IF($A18&lt;'Données projet'!$A$486,$CQ$205^$A18,IF($A18='Données projet'!$A$486,'Données projet'!$B$486,NG17+NF18-NO17)))</f>
        <v>0</v>
      </c>
      <c r="NH18" s="17" t="e">
        <f>NG18*VLOOKUP('Données projet'!$B$26,Paramètres!$A$1:$I$89,3,0)*VLOOKUP('Données projet'!$B$26,Paramètres!$A$1:$I$89,5,0)</f>
        <v>#N/A</v>
      </c>
      <c r="NI18" s="13" t="e">
        <f t="shared" si="109"/>
        <v>#N/A</v>
      </c>
      <c r="NJ18" s="14" t="e">
        <f t="shared" si="52"/>
        <v>#N/A</v>
      </c>
      <c r="NK18" s="59" t="e">
        <f t="shared" si="53"/>
        <v>#N/A</v>
      </c>
      <c r="NL18" s="20" t="e">
        <f ca="1">AVERAGE(OFFSET($NK$3,0,0,'Données projet'!$E$26+1,1))-AVERAGE(OFFSET($H$3,0,0,'Données projet'!$E$26+1,1))</f>
        <v>#N/A</v>
      </c>
      <c r="NM18" s="59" t="e">
        <f t="shared" si="110"/>
        <v>#N/A</v>
      </c>
      <c r="NN18" s="15">
        <f>IF(ISNA(VLOOKUP($A18,'Données projet'!$A$486:$I$506,3,0)),0,VLOOKUP($A18,'Données projet'!$A$486:$I$506,3,0))</f>
        <v>0</v>
      </c>
      <c r="NO18" s="15">
        <f>IF(ISNA(VLOOKUP($A18,'Données projet'!$A$486:$I$506,4,0)),0,VLOOKUP($A18,'Données projet'!$A$486:$I$506,4,0))</f>
        <v>0</v>
      </c>
      <c r="NP18" s="16">
        <f>IF(ISNA(VLOOKUP($A18,'Données projet'!$A$486:$I$506,5,0)),0%,VLOOKUP($A18,'Données projet'!$A$486:$I$506,5,0)*VLOOKUP('Données projet'!$B$26,Paramètres!$A$1:$I$89,7,0))</f>
        <v>0</v>
      </c>
      <c r="NQ18" s="16">
        <f>IF(ISNA(VLOOKUP($A18,'Données projet'!$A$486:$I$506,6,0)),0%,VLOOKUP($A18,'Données projet'!$A$486:$I$506,6,0)*VLOOKUP('Données projet'!$B$26,Paramètres!$A$1:$I$89,7,0))</f>
        <v>0</v>
      </c>
      <c r="NR18" s="16">
        <f>IF(ISNA(VLOOKUP($A18,'Données projet'!$A$486:$I$506,7,0)),0%,VLOOKUP($A18,'Données projet'!$A$486:$I$506,7,0))</f>
        <v>0</v>
      </c>
      <c r="NS18" s="21" t="e">
        <f>EXP(-LN(2)/35)*NS17+(1-EXP(-LN(2)/35))/(LN(2)/35)*NO18*NP18*VLOOKUP('Données projet'!$B$26,Paramètres!$A$1:$I$89,3,0)*0.475*44/12</f>
        <v>#N/A</v>
      </c>
      <c r="NT18" s="21" t="e">
        <f>EXP(-LN(2)/25)*NT17+(1-EXP(-LN(2)/25))/(LN(2)/25)*Calculateur!NO18*Calculateur!NQ18*VLOOKUP('Données projet'!$B$26,Paramètres!$A$1:$I$89,3,0)*0.475*44/12</f>
        <v>#N/A</v>
      </c>
      <c r="NU18" s="21" t="e">
        <f>EXP(-LN(2)/2)*NU17+(1-EXP(-LN(2)/2))/(LN(2)/2)*NO18*NR18*VLOOKUP('Données projet'!$B$26,Paramètres!$A$1:$I$89,3,0)*0.475*44/12</f>
        <v>#N/A</v>
      </c>
      <c r="NV18" s="22" t="e">
        <f t="shared" si="111"/>
        <v>#N/A</v>
      </c>
      <c r="NW18" s="74">
        <f>('Scénario référence'!$F$8+'Scénario référence'!$F$9+'Scénario référence'!$B$17+'Scénario référence'!$B$9+'Scénario référence'!$B$10)*70+IF((45+25*(1-EXP(-0.0175*$A18)))&lt;70,'Scénario référence'!$B$16*(45+25*(1-EXP(-0.0175*$A18))),70*'Scénario référence'!$B$16)+IF((32+38*(1-EXP(-0.0175*$A18)))&lt;70,'Scénario référence'!$B$18*(32+38*(1-EXP(-0.0175*$A18))),70*'Scénario référence'!$B$18)</f>
        <v>70</v>
      </c>
      <c r="NX18" s="12">
        <f>IF($A18&gt;30,10,('Scénario référence'!$B$16+'Scénario référence'!$B$17+'Scénario référence'!$B$18+'Scénario référence'!$B$9+'Scénario référence'!$B$10)*$A18*10/30+('Scénario référence'!$F$8+'Scénario référence'!$F$9)*10)</f>
        <v>10</v>
      </c>
      <c r="NY18" s="12" t="e">
        <f>VLOOKUP($A18,'Données projet'!$A$512:$I$532,2,0)</f>
        <v>#N/A</v>
      </c>
      <c r="NZ18" s="12" t="e">
        <f>VLOOKUP($A18,'Données projet'!$A$512:$I$532,9,0)</f>
        <v>#N/A</v>
      </c>
      <c r="OA18" s="12">
        <f t="array" ref="OA18">INDEX(NZ:NZ,MIN(IF(ISNUMBER(NZ18:NZ214),ROW(NZ18:NZ214),"")))</f>
        <v>0</v>
      </c>
      <c r="OB18" s="12">
        <f>IF('Données projet'!$A$512&gt;35,OB17+OA18-OJ17,IF($A18&lt;'Données projet'!$A$512,$CQ$205^$A18,IF($A18='Données projet'!$A$512,'Données projet'!$B$512,OB17+OA18-OJ17)))</f>
        <v>0</v>
      </c>
      <c r="OC18" s="17" t="e">
        <f>OB18*VLOOKUP('Données projet'!$B$27,Paramètres!$A$1:$I$89,3,0)*VLOOKUP('Données projet'!$B$27,Paramètres!$A$1:$I$89,5,0)</f>
        <v>#N/A</v>
      </c>
      <c r="OD18" s="13" t="e">
        <f t="shared" si="112"/>
        <v>#N/A</v>
      </c>
      <c r="OE18" s="14" t="e">
        <f t="shared" si="55"/>
        <v>#N/A</v>
      </c>
      <c r="OF18" s="59" t="e">
        <f t="shared" si="56"/>
        <v>#N/A</v>
      </c>
      <c r="OG18" s="20" t="e">
        <f ca="1">AVERAGE(OFFSET($OF$3,0,0,'Données projet'!$E$27+1,1))-AVERAGE(OFFSET($H$3,0,0,'Données projet'!$E$27+1,1))</f>
        <v>#N/A</v>
      </c>
      <c r="OH18" s="59" t="e">
        <f t="shared" si="113"/>
        <v>#N/A</v>
      </c>
      <c r="OI18" s="15">
        <f>IF(ISNA(VLOOKUP($A18,'Données projet'!$A$512:$I$532,3,0)),0,VLOOKUP($A18,'Données projet'!$A$512:$I$532,3,0))</f>
        <v>0</v>
      </c>
      <c r="OJ18" s="15">
        <f>IF(ISNA(VLOOKUP($A18,'Données projet'!$A$512:$I$532,4,0)),0,VLOOKUP($A18,'Données projet'!$A$512:$I$532,4,0))</f>
        <v>0</v>
      </c>
      <c r="OK18" s="16">
        <f>IF(ISNA(VLOOKUP($A18,'Données projet'!$A$512:$I$532,5,0)),0%,VLOOKUP($A18,'Données projet'!$A$512:$I$532,5,0)*VLOOKUP('Données projet'!$B$27,Paramètres!$A$1:$I$89,7,0))</f>
        <v>0</v>
      </c>
      <c r="OL18" s="16">
        <f>IF(ISNA(VLOOKUP($A18,'Données projet'!$A$512:$I$532,6,0)),0%,VLOOKUP($A18,'Données projet'!$A$512:$I$532,6,0)*VLOOKUP('Données projet'!$B$27,Paramètres!$A$1:$I$89,7,0))</f>
        <v>0</v>
      </c>
      <c r="OM18" s="16">
        <f>IF(ISNA(VLOOKUP($A18,'Données projet'!$A$512:$I$532,7,0)),0%,VLOOKUP($A18,'Données projet'!$A$512:$I$532,7,0))</f>
        <v>0</v>
      </c>
      <c r="ON18" s="21" t="e">
        <f>EXP(-LN(2)/35)*ON17+(1-EXP(-LN(2)/35))/(LN(2)/35)*OJ18*OK18*VLOOKUP('Données projet'!$B$27,Paramètres!$A$1:$I$89,3,0)*0.475*44/12</f>
        <v>#N/A</v>
      </c>
      <c r="OO18" s="21" t="e">
        <f>EXP(-LN(2)/25)*OO17+(1-EXP(-LN(2)/25))/(LN(2)/25)*Calculateur!OJ18*Calculateur!OL18*VLOOKUP('Données projet'!$B$27,Paramètres!$A$1:$I$89,3,0)*0.475*44/12</f>
        <v>#N/A</v>
      </c>
      <c r="OP18" s="21" t="e">
        <f>EXP(-LN(2)/2)*OP17+(1-EXP(-LN(2)/2))/(LN(2)/2)*OJ18*OM18*VLOOKUP('Données projet'!$B$27,Paramètres!$A$1:$I$89,3,0)*0.475*44/12</f>
        <v>#N/A</v>
      </c>
      <c r="OQ18" s="22" t="e">
        <f t="shared" si="114"/>
        <v>#N/A</v>
      </c>
      <c r="OR18" s="74">
        <f>('Scénario référence'!$F$8+'Scénario référence'!$F$9+'Scénario référence'!$B$17+'Scénario référence'!$B$9+'Scénario référence'!$B$10)*70+IF((45+25*(1-EXP(-0.0175*$A18)))&lt;70,'Scénario référence'!$B$16*(45+25*(1-EXP(-0.0175*$A18))),70*'Scénario référence'!$B$16)+IF((32+38*(1-EXP(-0.0175*$A18)))&lt;70,'Scénario référence'!$B$18*(32+38*(1-EXP(-0.0175*$A18))),70*'Scénario référence'!$B$18)</f>
        <v>70</v>
      </c>
      <c r="OS18" s="12">
        <f>IF($A18&gt;30,10,('Scénario référence'!$B$16+'Scénario référence'!$B$17+'Scénario référence'!$B$18+'Scénario référence'!$B$9+'Scénario référence'!$B$10)*$A18*10/30+('Scénario référence'!$F$8+'Scénario référence'!$F$9)*10)</f>
        <v>10</v>
      </c>
      <c r="OT18" s="12" t="e">
        <f>VLOOKUP($A18,'Données projet'!$A$538:$I$558,2,0)</f>
        <v>#N/A</v>
      </c>
      <c r="OU18" s="12" t="e">
        <f>VLOOKUP($A18,'Données projet'!$A$538:$I$558,9,0)</f>
        <v>#N/A</v>
      </c>
      <c r="OV18" s="12">
        <f t="array" ref="OV18">INDEX(OU:OU,MIN(IF(ISNUMBER(OU18:OU214),ROW(OU18:OU214),"")))</f>
        <v>0</v>
      </c>
      <c r="OW18" s="12">
        <f>IF('Données projet'!$A$538&gt;35,OW17+OV18-PE17,IF($A18&lt;'Données projet'!$A$538,$CQ$205^$A18,IF($A18='Données projet'!$A$538,'Données projet'!$B$538,OW17+OV18-PE17)))</f>
        <v>0</v>
      </c>
      <c r="OX18" s="17" t="e">
        <f>OW18*VLOOKUP('Données projet'!$B$28,Paramètres!$A$1:$I$89,3,0)*VLOOKUP('Données projet'!$B$28,Paramètres!$A$1:$I$89,5,0)</f>
        <v>#N/A</v>
      </c>
      <c r="OY18" s="13" t="e">
        <f t="shared" si="115"/>
        <v>#N/A</v>
      </c>
      <c r="OZ18" s="14" t="e">
        <f t="shared" si="58"/>
        <v>#N/A</v>
      </c>
      <c r="PA18" s="59" t="e">
        <f t="shared" si="59"/>
        <v>#N/A</v>
      </c>
      <c r="PB18" s="20" t="e">
        <f ca="1">AVERAGE(OFFSET($PA$3,0,0,'Données projet'!$E$28+1,1))-AVERAGE(OFFSET($H$3,0,0,'Données projet'!$E$28+1,1))</f>
        <v>#N/A</v>
      </c>
      <c r="PC18" s="59" t="e">
        <f t="shared" si="116"/>
        <v>#N/A</v>
      </c>
      <c r="PD18" s="15">
        <f>IF(ISNA(VLOOKUP($A18,'Données projet'!$A$538:$I$558,3,0)),0,VLOOKUP($A18,'Données projet'!$A$538:$I$558,3,0))</f>
        <v>0</v>
      </c>
      <c r="PE18" s="15">
        <f>IF(ISNA(VLOOKUP($A18,'Données projet'!$A$538:$I$558,4,0)),0,VLOOKUP($A18,'Données projet'!$A$538:$I$558,4,0))</f>
        <v>0</v>
      </c>
      <c r="PF18" s="16">
        <f>IF(ISNA(VLOOKUP($A18,'Données projet'!$A$538:$I$558,5,0)),0%,VLOOKUP($A18,'Données projet'!$A$538:$I$558,5,0)*VLOOKUP('Données projet'!$B$28,Paramètres!$A$1:$I$89,7,0))</f>
        <v>0</v>
      </c>
      <c r="PG18" s="16">
        <f>IF(ISNA(VLOOKUP($A18,'Données projet'!$A$538:$I$558,6,0)),0%,VLOOKUP($A18,'Données projet'!$A$538:$I$558,6,0)*VLOOKUP('Données projet'!$B$28,Paramètres!$A$1:$I$89,7,0))</f>
        <v>0</v>
      </c>
      <c r="PH18" s="16">
        <f>IF(ISNA(VLOOKUP($A18,'Données projet'!$A$538:$I$558,7,0)),0%,VLOOKUP($A18,'Données projet'!$A$538:$I$558,7,0))</f>
        <v>0</v>
      </c>
      <c r="PI18" s="21" t="e">
        <f>EXP(-LN(2)/35)*PI17+(1-EXP(-LN(2)/35))/(LN(2)/35)*PE18*PF18*VLOOKUP('Données projet'!$B$28,Paramètres!$A$1:$I$89,3,0)*0.475*44/12</f>
        <v>#N/A</v>
      </c>
      <c r="PJ18" s="21" t="e">
        <f>EXP(-LN(2)/25)*PJ17+(1-EXP(-LN(2)/25))/(LN(2)/25)*Calculateur!PE18*Calculateur!PG18*VLOOKUP('Données projet'!$B$28,Paramètres!$A$1:$I$89,3,0)*0.475*44/12</f>
        <v>#N/A</v>
      </c>
      <c r="PK18" s="21" t="e">
        <f>EXP(-LN(2)/2)*PK17+(1-EXP(-LN(2)/2))/(LN(2)/2)*PE18*PH18*VLOOKUP('Données projet'!$B$28,Paramètres!$A$1:$I$89,3,0)*0.475*44/12</f>
        <v>#N/A</v>
      </c>
      <c r="PL18" s="22" t="e">
        <f t="shared" si="117"/>
        <v>#N/A</v>
      </c>
    </row>
    <row r="19" spans="1:428" x14ac:dyDescent="0.35">
      <c r="A19" s="10">
        <f t="shared" si="6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6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projet'!$A$45:$I$65,2,0)</f>
        <v>#N/A</v>
      </c>
      <c r="L19" s="12" t="e">
        <f>VLOOKUP(A19,'Données projet'!$A$45:$I$65,9,0)</f>
        <v>#N/A</v>
      </c>
      <c r="M19" s="12">
        <f t="array" ref="M19">INDEX(L:L,MIN(IF(ISNUMBER(L19:L215),ROW(L19:L215),"")))</f>
        <v>10.16068376068376</v>
      </c>
      <c r="N19" s="13">
        <f>IF('Données projet'!$A$46&gt;35,N18+M19-V18,IF(A19&lt;'Données projet'!$A$46,$K$205^A19,IF(A19='Données projet'!$A$46,'Données projet'!$B$46,N18+M19-V18)))</f>
        <v>102.52750545673157</v>
      </c>
      <c r="O19" s="13">
        <f>N19*VLOOKUP('Données projet'!$B$9,Paramètres!$A$1:$I$89,3,0)*VLOOKUP('Données projet'!$B$9,Paramètres!$A$1:$I$89,5,0)</f>
        <v>57.312875550312953</v>
      </c>
      <c r="P19" s="13">
        <f t="shared" si="63"/>
        <v>16.487078574959277</v>
      </c>
      <c r="Q19" s="20">
        <f t="shared" si="2"/>
        <v>128.53492010151578</v>
      </c>
      <c r="R19" s="59">
        <f t="shared" si="0"/>
        <v>421.86825343484907</v>
      </c>
      <c r="S19" s="59">
        <f ca="1">AVERAGE(OFFSET($R$3,0,0,'Données projet'!$E$9+1,1))-AVERAGE(OFFSET($H$3,0,0,'Données projet'!$E$9+1,1))</f>
        <v>274.57619581652199</v>
      </c>
      <c r="T19" s="59">
        <f t="shared" si="64"/>
        <v>366.15117322598775</v>
      </c>
      <c r="U19" s="15">
        <f>IF(ISNA(VLOOKUP(A19,'Données projet'!$A$45:$I$65,3,0)),0,VLOOKUP(A19,'Données projet'!$A$45:$I$65,3,0))</f>
        <v>0</v>
      </c>
      <c r="V19" s="15">
        <f>IF(ISNA(VLOOKUP(A19,'Données projet'!$A$45:$I$65,4,0)),0,VLOOKUP(A19,'Données projet'!$A$45:$I$65,4,0))</f>
        <v>0</v>
      </c>
      <c r="W19" s="16">
        <f>IF(ISNA(VLOOKUP(A19,'Données projet'!$A$45:$I$65,5,0)),0%,VLOOKUP(A19,'Données projet'!$A$45:$I$65,5,0)*VLOOKUP('Données projet'!$B$9,Paramètres!$A$1:$I$89,7,0))</f>
        <v>0</v>
      </c>
      <c r="X19" s="16">
        <f>IF(ISNA(VLOOKUP(A19,'Données projet'!$A$45:$I$65,6,0)),0%,VLOOKUP(A19,'Données projet'!$A$45:$I$65,6,0)*VLOOKUP('Données projet'!$B$9,Paramètres!$A$1:$I$89,7,0))</f>
        <v>0</v>
      </c>
      <c r="Y19" s="16">
        <f>IF(ISNA(VLOOKUP(A19,'Données projet'!$A$45:$I$65,7,0)),0%,VLOOKUP(A19,'Données projet'!$A$45:$I$65,7,0))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projet'!$A$71:$I$91,2,0)</f>
        <v>#N/A</v>
      </c>
      <c r="AG19" s="12" t="e">
        <f>VLOOKUP(A19,'Données projet'!$A$71:$I$91,9,0)</f>
        <v>#N/A</v>
      </c>
      <c r="AH19" s="12">
        <f t="array" ref="AH19">INDEX(AG:AG,MIN(IF(ISNUMBER(AG19:AG215),ROW(AG19:AG215),"")))</f>
        <v>4.0628205128205126</v>
      </c>
      <c r="AI19" s="13">
        <f>IF('Données projet'!$A$72&gt;35,AI18+AH19-AQ18,IF(A19&lt;'Données projet'!$A$72,$AF$205^A19,IF(A19='Données projet'!$A$72,'Données projet'!$B$72,AI18+AH19-AQ18)))</f>
        <v>12.957048229201293</v>
      </c>
      <c r="AJ19" s="13">
        <f>AI19*VLOOKUP('Données projet'!$B$10,Paramètres!$A$1:$I$89,3,0)*VLOOKUP('Données projet'!$B$10,Paramètres!$A$1:$I$89,5,0)</f>
        <v>11.723537237781329</v>
      </c>
      <c r="AK19" s="13">
        <f t="shared" si="65"/>
        <v>4.0566944998610817</v>
      </c>
      <c r="AL19" s="20">
        <f t="shared" si="4"/>
        <v>27.483903609727193</v>
      </c>
      <c r="AM19" s="59">
        <f t="shared" si="5"/>
        <v>320.81723694306049</v>
      </c>
      <c r="AN19" s="59">
        <f ca="1">AVERAGE(OFFSET($AM$3,0,0,'Données projet'!$E$10+1,1))-AVERAGE(OFFSET($H$3,0,0,'Données projet'!$E$10+1,1))</f>
        <v>270.87836509222456</v>
      </c>
      <c r="AO19" s="59">
        <f t="shared" si="66"/>
        <v>205.24998237949734</v>
      </c>
      <c r="AP19" s="15">
        <f>IF(ISNA(VLOOKUP(A19,'Données projet'!$A$71:$I$91,3,0)),0,VLOOKUP(A19,'Données projet'!$A$71:$I$91,3,0))</f>
        <v>0</v>
      </c>
      <c r="AQ19" s="15">
        <f>IF(ISNA(VLOOKUP(A19,'Données projet'!$A$71:$I$91,4,0)),0,VLOOKUP(A19,'Données projet'!$A$71:$I$91,4,0))</f>
        <v>0</v>
      </c>
      <c r="AR19" s="16">
        <f>IF(ISNA(VLOOKUP(A19,'Données projet'!$A$71:$I$91,5,0)),0%,VLOOKUP(A19,'Données projet'!$A$71:$I$91,5,0)*VLOOKUP('Données projet'!$B$10,Paramètres!$A$1:$I$89,7,0))</f>
        <v>0</v>
      </c>
      <c r="AS19" s="16">
        <f>IF(ISNA(VLOOKUP(A19,'Données projet'!$A$71:$I$91,6,0)),0%,VLOOKUP(A19,'Données projet'!$A$71:$I$91,6,0)*VLOOKUP('Données projet'!$B$10,Paramètres!$A$1:$I$89,7,0))</f>
        <v>0</v>
      </c>
      <c r="AT19" s="16">
        <f>IF(ISNA(VLOOKUP(A19,'Données projet'!$A$71:$I$91,7,0)),0%,VLOOKUP(A19,'Données projet'!$A$71:$I$91,7,0))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projet'!$A$97:$I$117,2,0)</f>
        <v>#N/A</v>
      </c>
      <c r="BB19" s="12" t="e">
        <f>VLOOKUP(A19,'Données projet'!$A$97:$I$117,9,0)</f>
        <v>#N/A</v>
      </c>
      <c r="BC19" s="12">
        <f t="array" ref="BC19">INDEX(BB:BB,MIN(IF(ISNUMBER(BB19:BB215),ROW(BB19:BB215),"")))</f>
        <v>10.16068376068376</v>
      </c>
      <c r="BD19" s="12">
        <f>IF('Données projet'!$A$98&gt;35,BD18+BC19-BL18,IF(A19&lt;'Données projet'!$A$98,$BA$205^A19,IF(A19='Données projet'!$A$98,'Données projet'!$B$98,BD18+BC19-BL18)))</f>
        <v>102.52750545673157</v>
      </c>
      <c r="BE19" s="13">
        <f>BD19*VLOOKUP('Données projet'!$B$11,Paramètres!$A$1:$I$89,3,0)*VLOOKUP('Données projet'!$B$11,Paramètres!$A$1:$I$89,5,0)</f>
        <v>45.317157411875357</v>
      </c>
      <c r="BF19" s="13">
        <f t="shared" si="67"/>
        <v>13.397561258581003</v>
      </c>
      <c r="BG19" s="20">
        <f t="shared" si="7"/>
        <v>102.26146835104483</v>
      </c>
      <c r="BH19" s="59">
        <f t="shared" si="8"/>
        <v>395.59480168437813</v>
      </c>
      <c r="BI19" s="59">
        <f ca="1">AVERAGE(OFFSET($BH$3,0,0,'Données projet'!$E$11+1,1))-AVERAGE(OFFSET($H$3,0,0,'Données projet'!$E$11+1,1))</f>
        <v>211.31057120485542</v>
      </c>
      <c r="BJ19" s="59">
        <f t="shared" si="68"/>
        <v>283.33292006714777</v>
      </c>
      <c r="BK19" s="15">
        <f>IF(ISNA(VLOOKUP(A19,'Données projet'!$A$97:$I$117,3,0)),0,VLOOKUP(A19,'Données projet'!$A$97:$I$117,3,0))</f>
        <v>0</v>
      </c>
      <c r="BL19" s="15">
        <f>IF(ISNA(VLOOKUP(A19,'Données projet'!$A$97:$I$117,4,0)),0,VLOOKUP(A19,'Données projet'!$A$97:$I$117,4,0))</f>
        <v>0</v>
      </c>
      <c r="BM19" s="16">
        <f>IF(ISNA(VLOOKUP(A19,'Données projet'!$A$97:$I$117,5,0)),0%,VLOOKUP(A19,'Données projet'!$A$97:$I$117,5,0)*VLOOKUP('Données projet'!$B$11,Paramètres!$A$1:$I$89,7,0))</f>
        <v>0</v>
      </c>
      <c r="BN19" s="16">
        <f>IF(ISNA(VLOOKUP(A19,'Données projet'!$A$97:$I$117,6,0)),0%,VLOOKUP(A19,'Données projet'!$A$97:$I$117,6,0)*VLOOKUP('Données projet'!$B$11,Paramètres!$A$1:$I$89,7,0))</f>
        <v>0</v>
      </c>
      <c r="BO19" s="16">
        <f>IF(ISNA(VLOOKUP(A19,'Données projet'!$A$97:$I$117,7,0)),0%,VLOOKUP(A19,'Données projet'!$A$97:$I$117,7,0))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projet'!$A$123:$I$143,2,0)</f>
        <v>#N/A</v>
      </c>
      <c r="BW19" s="12" t="e">
        <f>VLOOKUP(A19,'Données projet'!$A$123:$I$143,9,0)</f>
        <v>#N/A</v>
      </c>
      <c r="BX19" s="12">
        <f t="array" ref="BX19">INDEX(BW:BW,MIN(IF(ISNUMBER(BW19:BW215),ROW(BW19:BW215),"")))</f>
        <v>11.2</v>
      </c>
      <c r="BY19" s="12">
        <f>IF('Données projet'!$A$124&gt;35,BY18+BX19-CG18,IF(A19&lt;'Données projet'!$A$124,$BV$205^A19,IF(A19='Données projet'!$A$124,'Données projet'!$B$124,BY18+BX19-CG18)))</f>
        <v>84.199999999999989</v>
      </c>
      <c r="BZ19" s="13">
        <f>BY19*VLOOKUP('Données projet'!$B$12,Paramètres!$A$1:$I$89,3,0)*VLOOKUP('Données projet'!$B$12,Paramètres!$A$1:$I$89,5,0)</f>
        <v>88.005839999999992</v>
      </c>
      <c r="CA19" s="13">
        <f t="shared" si="69"/>
        <v>24.083656242710727</v>
      </c>
      <c r="CB19" s="20">
        <f t="shared" si="10"/>
        <v>195.22253928938787</v>
      </c>
      <c r="CC19" s="59">
        <f t="shared" si="11"/>
        <v>488.55587262272115</v>
      </c>
      <c r="CD19" s="59">
        <f ca="1">AVERAGE(OFFSET($CC$3,0,0,'Données projet'!$E$12+1,1))-AVERAGE(OFFSET($H$3,0,0,'Données projet'!$E$12+1,1))</f>
        <v>322.93502595881938</v>
      </c>
      <c r="CE19" s="59">
        <f t="shared" si="70"/>
        <v>302.67072119588164</v>
      </c>
      <c r="CF19" s="15">
        <f>IF(ISNA(VLOOKUP(A19,'Données projet'!$A$123:$I$143,3,0)),0,VLOOKUP(A19,'Données projet'!$A$123:$I$143,3,0))</f>
        <v>0</v>
      </c>
      <c r="CG19" s="15">
        <f>IF(ISNA(VLOOKUP(A19,'Données projet'!$A$123:$I$143,4,0)),0,VLOOKUP(A19,'Données projet'!$A$123:$I$143,4,0))</f>
        <v>0</v>
      </c>
      <c r="CH19" s="16">
        <f>IF(ISNA(VLOOKUP(A19,'Données projet'!$A$123:$I$143,5,0)),0%,VLOOKUP(A19,'Données projet'!$A$123:$I$143,5,0)*VLOOKUP('Données projet'!$B$12,Paramètres!$A$1:$I$89,7,0))</f>
        <v>0</v>
      </c>
      <c r="CI19" s="16">
        <f>IF(ISNA(VLOOKUP(A19,'Données projet'!$A$123:$I$143,6,0)),0%,VLOOKUP(A19,'Données projet'!$A$123:$I$143,6,0)*VLOOKUP('Données projet'!$B$12,Paramètres!$A$1:$I$89,7,0))</f>
        <v>0</v>
      </c>
      <c r="CJ19" s="16">
        <f>IF(ISNA(VLOOKUP(A19,'Données projet'!$A$123:$I$143,7,0)),0%,VLOOKUP(A19,'Données projet'!$A$123:$I$143,7,0))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projet'!$A$149:$I$169,2,0)</f>
        <v>#N/A</v>
      </c>
      <c r="CR19" s="12" t="e">
        <f>VLOOKUP(A19,'Données projet'!$A$149:$I$169,9,0)</f>
        <v>#N/A</v>
      </c>
      <c r="CS19" s="12">
        <f t="array" ref="CS19">INDEX(CR:CR,MIN(IF(ISNUMBER(CR19:CR215),ROW(CR19:CR215),"")))</f>
        <v>2.9235042735042733</v>
      </c>
      <c r="CT19" s="12">
        <f>IF('Données projet'!$A$150&gt;35,CT18+CS19-DB18,IF(A19&lt;'Données projet'!$A$150,$CQ$205^A19,IF(A19='Données projet'!$A$150,'Données projet'!$B$150,CT18+CS19-DB18)))</f>
        <v>10.87126277571476</v>
      </c>
      <c r="CU19" s="17">
        <f>CT19*VLOOKUP('Données projet'!$B$13,Paramètres!$A$1:$I$89,3,0)*VLOOKUP('Données projet'!$B$13,Paramètres!$A$1:$I$89,5,0)</f>
        <v>11.023460454574767</v>
      </c>
      <c r="CV19" s="13">
        <f t="shared" si="71"/>
        <v>3.8418836132426954</v>
      </c>
      <c r="CW19" s="20">
        <f t="shared" si="13"/>
        <v>25.890474251448747</v>
      </c>
      <c r="CX19" s="59">
        <f t="shared" si="14"/>
        <v>319.22380758478204</v>
      </c>
      <c r="CY19" s="59">
        <f ca="1">AVERAGE(OFFSET($CX$3,0,0,'Données projet'!$E$13+1,1))-AVERAGE(OFFSET($H$3,0,0,'Données projet'!$E$13+1,1))</f>
        <v>250.31277422753283</v>
      </c>
      <c r="CZ19" s="59">
        <f t="shared" si="72"/>
        <v>159.20429420478047</v>
      </c>
      <c r="DA19" s="15">
        <f>IF(ISNA(VLOOKUP(A19,'Données projet'!$A$149:$I$169,3,0)),0,VLOOKUP(A19,'Données projet'!$A$149:$I$169,3,0))</f>
        <v>0</v>
      </c>
      <c r="DB19" s="15">
        <f>IF(ISNA(VLOOKUP(A19,'Données projet'!$A$149:$I$169,4,0)),0,VLOOKUP(A19,'Données projet'!$A$149:$I$169,4,0))</f>
        <v>0</v>
      </c>
      <c r="DC19" s="16">
        <f>IF(ISNA(VLOOKUP(A19,'Données projet'!$A$149:$I$169,5,0)),0%,VLOOKUP(A19,'Données projet'!$A$149:$I$169,5,0)*VLOOKUP('Données projet'!$B$13,Paramètres!$A$1:$I$89,7,0))</f>
        <v>0</v>
      </c>
      <c r="DD19" s="16">
        <f>IF(ISNA(VLOOKUP(A19,'Données projet'!$A$149:$I$169,6,0)),0%,VLOOKUP(A19,'Données projet'!$A$149:$I$169,6,0)*VLOOKUP('Données projet'!$B$13,Paramètres!$A$1:$I$89,7,0))</f>
        <v>0</v>
      </c>
      <c r="DE19" s="16">
        <f>IF(ISNA(VLOOKUP(A19,'Données projet'!$A$149:$I$169,7,0)),0%,VLOOKUP(A19,'Données projet'!$A$149:$I$169,7,0))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projet'!$A$175:$I$195,2,0)</f>
        <v>#N/A</v>
      </c>
      <c r="DM19" s="12" t="e">
        <f>VLOOKUP(A19,'Données projet'!$A$175:$I$195,9,0)</f>
        <v>#N/A</v>
      </c>
      <c r="DN19" s="12">
        <f t="array" ref="DN19">INDEX(DM:DM,MIN(IF(ISNUMBER(DM19:DM215),ROW(DM19:DM215),"")))</f>
        <v>16</v>
      </c>
      <c r="DO19" s="12">
        <f>IF('Données projet'!$A$176&gt;35,DO18+DN19-DW18,IF(A19&lt;'Données projet'!$A$176,$DL$205^A19,IF(A19='Données projet'!$A$176,'Données projet'!$B$176,DO18+DN19-DW18)))</f>
        <v>59</v>
      </c>
      <c r="DP19" s="17">
        <f>DO19*VLOOKUP('Données projet'!$B$14,Paramètres!$A$1:$I$89,3,0)*VLOOKUP('Données projet'!$B$14,Paramètres!$A$1:$I$89,5,0)</f>
        <v>43.258799999999994</v>
      </c>
      <c r="DQ19" s="13">
        <f t="shared" si="73"/>
        <v>12.858415781906348</v>
      </c>
      <c r="DR19" s="20">
        <f t="shared" si="16"/>
        <v>97.737484153486875</v>
      </c>
      <c r="DS19" s="59">
        <f t="shared" si="17"/>
        <v>391.0708174868202</v>
      </c>
      <c r="DT19" s="59">
        <f ca="1">AVERAGE(OFFSET($DS$3,0,0,'Données projet'!$E$14+1,1))-AVERAGE(OFFSET($H$3,0,0,'Données projet'!$E$14+1,1))</f>
        <v>296.91321813251051</v>
      </c>
      <c r="DU19" s="59">
        <f t="shared" si="74"/>
        <v>291.0718079639509</v>
      </c>
      <c r="DV19" s="15">
        <f>IF(ISNA(VLOOKUP(A19,'Données projet'!$A$175:$I$195,3,0)),0,VLOOKUP(A19,'Données projet'!$A$175:$I$195,3,0))</f>
        <v>0</v>
      </c>
      <c r="DW19" s="15">
        <f>IF(ISNA(VLOOKUP(A19,'Données projet'!$A$175:$I$195,4,0)),0,VLOOKUP(A19,'Données projet'!$A$175:$I$195,4,0))</f>
        <v>0</v>
      </c>
      <c r="DX19" s="16">
        <f>IF(ISNA(VLOOKUP(A19,'Données projet'!$A$175:$I$195,5,0)),0%,VLOOKUP(A19,'Données projet'!$A$175:$I$195,5,0)*VLOOKUP('Données projet'!$B$14,Paramètres!$A$1:$I$89,7,0))</f>
        <v>0</v>
      </c>
      <c r="DY19" s="16">
        <f>IF(ISNA(VLOOKUP(A19,'Données projet'!$A$175:$I$195,6,0)),0%,VLOOKUP(A19,'Données projet'!$A$175:$I$195,6,0)*VLOOKUP('Données projet'!$B$14,Paramètres!$A$1:$I$89,7,0))</f>
        <v>0</v>
      </c>
      <c r="DZ19" s="16">
        <f>IF(ISNA(VLOOKUP(A19,'Données projet'!$A$175:$I$195,7,0)),0%,VLOOKUP(A19,'Données projet'!$A$175:$I$195,7,0))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projet'!$A$201:$I$221,2,0)</f>
        <v>#N/A</v>
      </c>
      <c r="EH19" s="12" t="e">
        <f>VLOOKUP(A19,'Données projet'!$A$201:$I$221,9,0)</f>
        <v>#N/A</v>
      </c>
      <c r="EI19" s="12">
        <f t="array" ref="EI19">INDEX(EH:EH,MIN(IF(ISNUMBER(EH19:EH215),ROW(EH19:EH215),"")))</f>
        <v>3.4425641025641025</v>
      </c>
      <c r="EJ19" s="12">
        <f>IF('Données projet'!$A$202&gt;35,EJ18+EI19-ER18,IF(A19&lt;'Données projet'!$A$202,$EG$205^A19,IF(A19='Données projet'!$A$202,'Données projet'!$B$202,EJ18+EI19-ER18)))</f>
        <v>11.861376416102864</v>
      </c>
      <c r="EK19" s="17">
        <f>EJ19*VLOOKUP('Données projet'!$B$15,Paramètres!$A$1:$I$89,3,0)*VLOOKUP('Données projet'!$B$15,Paramètres!$A$1:$I$89,5,0)</f>
        <v>5.5511241627361398</v>
      </c>
      <c r="EL19" s="13">
        <f t="shared" si="75"/>
        <v>2.0954971024924585</v>
      </c>
      <c r="EM19" s="20">
        <f t="shared" si="19"/>
        <v>13.31786537027314</v>
      </c>
      <c r="EN19" s="59">
        <f t="shared" si="20"/>
        <v>306.65119870360644</v>
      </c>
      <c r="EO19" s="59">
        <f ca="1">AVERAGE(OFFSET($EN$3,0,0,'Données projet'!$E$15+1,1))-AVERAGE(OFFSET($H$3,0,0,'Données projet'!$E$15+1,1))</f>
        <v>147.64256291235483</v>
      </c>
      <c r="EP19" s="59">
        <f t="shared" si="76"/>
        <v>70.859031694091868</v>
      </c>
      <c r="EQ19" s="15">
        <f>IF(ISNA(VLOOKUP(A19,'Données projet'!$A$201:$I$221,3,0)),0,VLOOKUP(A19,'Données projet'!$A$201:$I$221,3,0))</f>
        <v>0</v>
      </c>
      <c r="ER19" s="15">
        <f>IF(ISNA(VLOOKUP(A19,'Données projet'!$A$201:$I$221,4,0)),0,VLOOKUP(A19,'Données projet'!$A$201:$I$221,4,0))</f>
        <v>0</v>
      </c>
      <c r="ES19" s="16">
        <f>IF(ISNA(VLOOKUP(A19,'Données projet'!$A$201:$I$221,5,0)),0%,VLOOKUP(A19,'Données projet'!$A$201:$I$221,5,0)*VLOOKUP('Données projet'!$B$15,Paramètres!$A$1:$I$89,7,0))</f>
        <v>0</v>
      </c>
      <c r="ET19" s="16">
        <f>IF(ISNA(VLOOKUP(A19,'Données projet'!$A$201:$I$221,6,0)),0%,VLOOKUP(A19,'Données projet'!$A$201:$I$221,6,0)*VLOOKUP('Données projet'!$B$15,Paramètres!$A$1:$I$89,7,0))</f>
        <v>0</v>
      </c>
      <c r="EU19" s="16">
        <f>IF(ISNA(VLOOKUP(A19,'Données projet'!$A$201:$I$221,7,0)),0%,VLOOKUP(A19,'Données projet'!$A$201:$I$221,7,0))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projet'!$A$227:$I$247,2,0)</f>
        <v>#N/A</v>
      </c>
      <c r="FC19" s="12" t="e">
        <f>VLOOKUP(A19,'Données projet'!$A$227:$I$247,9,0)</f>
        <v>#N/A</v>
      </c>
      <c r="FD19" s="12">
        <f t="array" ref="FD19">INDEX(FC:FC,MIN(IF(ISNUMBER(FC19:FC215),ROW(FC19:FC215),"")))</f>
        <v>8</v>
      </c>
      <c r="FE19" s="12">
        <f>IF('Données projet'!$A$228&gt;35,FE18+FD19-FM18,IF(A19&lt;'Données projet'!$A$228,$FB$205^A19,IF(A19='Données projet'!$A$228,'Données projet'!$B$228,FE18+FD19-FM18)))</f>
        <v>54.999999999999993</v>
      </c>
      <c r="FF19" s="17">
        <f>FE19*VLOOKUP('Données projet'!$B$16,Paramètres!$A$1:$I$89,3,0)*VLOOKUP('Données projet'!$B$16,Paramètres!$A$1:$I$89,5,0)</f>
        <v>57.48599999999999</v>
      </c>
      <c r="FG19" s="13">
        <f t="shared" si="77"/>
        <v>16.531076211754396</v>
      </c>
      <c r="FH19" s="20">
        <f t="shared" si="22"/>
        <v>128.9130744021389</v>
      </c>
      <c r="FI19" s="59">
        <f t="shared" si="23"/>
        <v>422.24640773547219</v>
      </c>
      <c r="FJ19" s="59">
        <f ca="1">AVERAGE(OFFSET($FI$3,0,0,'Données projet'!$E$16+1,1))-AVERAGE(OFFSET($H$3,0,0,'Données projet'!$E$16+1,1))</f>
        <v>259.03906550253788</v>
      </c>
      <c r="FK19" s="59">
        <f t="shared" si="78"/>
        <v>235.54542903570831</v>
      </c>
      <c r="FL19" s="15">
        <f>IF(ISNA(VLOOKUP(A19,'Données projet'!$A$227:$I$247,3,0)),0,VLOOKUP(A19,'Données projet'!$A$227:$I$247,3,0))</f>
        <v>0</v>
      </c>
      <c r="FM19" s="15">
        <f>IF(ISNA(VLOOKUP(A19,'Données projet'!$A$227:$I$247,4,0)),0,VLOOKUP(A19,'Données projet'!$A$227:$I$247,4,0))</f>
        <v>0</v>
      </c>
      <c r="FN19" s="16">
        <f>IF(ISNA(VLOOKUP(A19,'Données projet'!$A$227:$I$247,5,0)),0%,VLOOKUP(A19,'Données projet'!$A$227:$I$247,5,0)*VLOOKUP('Données projet'!$B$16,Paramètres!$A$1:$I$89,7,0))</f>
        <v>0</v>
      </c>
      <c r="FO19" s="16">
        <f>IF(ISNA(VLOOKUP(A19,'Données projet'!$A$227:$I$247,6,0)),0%,VLOOKUP(A19,'Données projet'!$A$227:$I$247,6,0)*VLOOKUP('Données projet'!$B$16,Paramètres!$A$1:$I$89,7,0))</f>
        <v>0</v>
      </c>
      <c r="FP19" s="16">
        <f>IF(ISNA(VLOOKUP(A19,'Données projet'!$A$227:$I$247,7,0)),0%,VLOOKUP(A19,'Données projet'!$A$227:$I$247,7,0))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projet'!$A$253:$I$273,2,0)</f>
        <v>#N/A</v>
      </c>
      <c r="FX19" s="12" t="e">
        <f>VLOOKUP(A19,'Données projet'!$A$253:$I$273,9,0)</f>
        <v>#N/A</v>
      </c>
      <c r="FY19" s="12">
        <f t="array" ref="FY19">INDEX(FX:FX,MIN(IF(ISNUMBER(FX19:FX215),ROW(FX19:FX215),"")))</f>
        <v>11.6</v>
      </c>
      <c r="FZ19" s="12">
        <f>IF('Données projet'!$A$254&gt;35,FZ18+FY19-GH18,IF(A19&lt;'Données projet'!$A$254,$FW$205^A19,IF(A19='Données projet'!$A$254,'Données projet'!$B$254,FZ18+FY19-GH18)))</f>
        <v>33.6</v>
      </c>
      <c r="GA19" s="17">
        <f>FZ19*VLOOKUP('Données projet'!$B$17,Paramètres!$A$1:$I$89,3,0)*VLOOKUP('Données projet'!$B$17,Paramètres!$A$1:$I$89,5,0)</f>
        <v>29.352960000000007</v>
      </c>
      <c r="GB19" s="13">
        <f t="shared" si="79"/>
        <v>9.1278666361046881</v>
      </c>
      <c r="GC19" s="20">
        <f t="shared" si="25"/>
        <v>67.020773057882352</v>
      </c>
      <c r="GD19" s="59">
        <f t="shared" si="26"/>
        <v>360.35410639121568</v>
      </c>
      <c r="GE19" s="59">
        <f ca="1">AVERAGE(OFFSET($GD$3,0,0,'Données projet'!$E$17+1,1))-AVERAGE(OFFSET($H$3,0,0,'Données projet'!$E$17+1,1))</f>
        <v>245.1983232777614</v>
      </c>
      <c r="GF19" s="59">
        <f t="shared" si="80"/>
        <v>242.34010522344573</v>
      </c>
      <c r="GG19" s="15">
        <f>IF(ISNA(VLOOKUP(A19,'Données projet'!$A$253:$I$273,3,0)),0,VLOOKUP(A19,'Données projet'!$A$253:$I$273,3,0))</f>
        <v>0</v>
      </c>
      <c r="GH19" s="15">
        <f>IF(ISNA(VLOOKUP(A19,'Données projet'!$A$253:$I$273,4,0)),0,VLOOKUP(A19,'Données projet'!$A$253:$I$273,4,0))</f>
        <v>0</v>
      </c>
      <c r="GI19" s="16">
        <f>IF(ISNA(VLOOKUP(A19,'Données projet'!$A$253:$I$273,5,0)),0%,VLOOKUP(A19,'Données projet'!$A$253:$I$273,5,0)*VLOOKUP('Données projet'!$B$17,Paramètres!$A$1:$I$89,7,0))</f>
        <v>0</v>
      </c>
      <c r="GJ19" s="16">
        <f>IF(ISNA(VLOOKUP(A19,'Données projet'!$A$253:$I$273,6,0)),0%,VLOOKUP(A19,'Données projet'!$A$253:$I$273,6,0)*VLOOKUP('Données projet'!$B$17,Paramètres!$A$1:$I$89,7,0))</f>
        <v>0</v>
      </c>
      <c r="GK19" s="16">
        <f>IF(ISNA(VLOOKUP(A19,'Données projet'!$A$253:$I$273,7,0)),0%,VLOOKUP(A19,'Données projet'!$A$253:$I$273,7,0))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projet'!$A$279:$I$299,2,0)</f>
        <v>#N/A</v>
      </c>
      <c r="GS19" s="12" t="e">
        <f>VLOOKUP(A19,'Données projet'!$A$279:$I$299,9,0)</f>
        <v>#N/A</v>
      </c>
      <c r="GT19" s="12">
        <f t="array" ref="GT19">INDEX(GS:GS,MIN(IF(ISNUMBER(GS19:GS215),ROW(GS19:GS215),"")))</f>
        <v>20.399999999999999</v>
      </c>
      <c r="GU19" s="12">
        <f>IF('Données projet'!$A$280&gt;35,GU18+GT19-HC18,IF(A19&lt;'Données projet'!$A$280,$GR$205^A19,IF(A19='Données projet'!$A$280,'Données projet'!$B$280,GU18+GT19-HC18)))</f>
        <v>82.4</v>
      </c>
      <c r="GV19" s="17">
        <f>GU19*VLOOKUP('Données projet'!$B$18,Paramètres!$A$1:$I$89,3,0)*VLOOKUP('Données projet'!$B$18,Paramètres!$A$1:$I$89,5,0)</f>
        <v>33.2072</v>
      </c>
      <c r="GW19" s="13">
        <f t="shared" si="81"/>
        <v>10.179182197747613</v>
      </c>
      <c r="GX19" s="20">
        <f t="shared" si="28"/>
        <v>75.564615661077099</v>
      </c>
      <c r="GY19" s="59">
        <f t="shared" si="29"/>
        <v>368.8979489944104</v>
      </c>
      <c r="GZ19" s="59">
        <f ca="1">AVERAGE(OFFSET($GY$3,0,0,'Données projet'!$E$18+1,1))-AVERAGE(OFFSET($H$3,0,0,'Données projet'!$E$18+1,1))</f>
        <v>324.36162935850876</v>
      </c>
      <c r="HA19" s="59">
        <f t="shared" si="82"/>
        <v>265.23571072429735</v>
      </c>
      <c r="HB19" s="15">
        <f>IF(ISNA(VLOOKUP(A19,'Données projet'!$A$279:$I$299,3,0)),0,VLOOKUP(A19,'Données projet'!$A$279:$I$299,3,0))</f>
        <v>0</v>
      </c>
      <c r="HC19" s="15">
        <f>IF(ISNA(VLOOKUP(A19,'Données projet'!$A$279:$I$299,4,0)),0,VLOOKUP(A19,'Données projet'!$A$279:$I$299,4,0))</f>
        <v>0</v>
      </c>
      <c r="HD19" s="16">
        <f>IF(ISNA(VLOOKUP(A19,'Données projet'!$A$279:$I$299,5,0)),0%,VLOOKUP(A19,'Données projet'!$A$279:$I$299,5,0)*VLOOKUP('Données projet'!$B$18,Paramètres!$A$1:$I$89,7,0))</f>
        <v>0</v>
      </c>
      <c r="HE19" s="16">
        <f>IF(ISNA(VLOOKUP(A19,'Données projet'!$A$279:$I$299,6,0)),0%,VLOOKUP(A19,'Données projet'!$A$279:$I$299,6,0)*VLOOKUP('Données projet'!$B$18,Paramètres!$A$1:$I$89,7,0))</f>
        <v>0</v>
      </c>
      <c r="HF19" s="16">
        <f>IF(ISNA(VLOOKUP($A19,'Données projet'!$A$279:$I$299,7,0)),0%,VLOOKUP($A19,'Données projet'!$A$279:$I$299,7,0))</f>
        <v>0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0</v>
      </c>
      <c r="HI19" s="21">
        <f>EXP(-LN(2)/2)*HI18+(1-EXP(-LN(2)/2))/(LN(2)/2)*HC19*HF19*VLOOKUP('Données projet'!$B$18,Paramètres!$A$1:$I$89,3,0)*0.475*44/12</f>
        <v>0</v>
      </c>
      <c r="HJ19" s="22">
        <f t="shared" si="30"/>
        <v>0</v>
      </c>
      <c r="HK19" s="74">
        <f>('Scénario référence'!$F$8+'Scénario référence'!$F$9+'Scénario référence'!$B$17+'Scénario référence'!$B$9+'Scénario référence'!$B$10)*70+IF((45+25*(1-EXP(-0.0175*$A19)))&lt;70,'Scénario référence'!$B$16*(45+25*(1-EXP(-0.0175*$A19))),70*'Scénario référence'!$B$16)+IF((32+38*(1-EXP(-0.0175*$A19)))&lt;70,'Scénario référence'!$B$18*(32+38*(1-EXP(-0.0175*$A19))),70*'Scénario référence'!$B$18)</f>
        <v>70</v>
      </c>
      <c r="HL19" s="12">
        <f>IF($A19&gt;30,10,('Scénario référence'!$B$16+'Scénario référence'!$B$17+'Scénario référence'!$B$18+'Scénario référence'!$B$9+'Scénario référence'!$B$10)*$A19*10/30+('Scénario référence'!$F$8+'Scénario référence'!$F$9)*10)</f>
        <v>10</v>
      </c>
      <c r="HM19" s="12">
        <f>VLOOKUP($A19,'Données projet'!$A$304:$I$324,2,0)</f>
        <v>177.54999999999995</v>
      </c>
      <c r="HN19" s="12">
        <f>VLOOKUP($A19,'Données projet'!$A$304:$I$324,9,0)</f>
        <v>19.142307692307696</v>
      </c>
      <c r="HO19" s="12">
        <f t="array" ref="HO19">INDEX(HN:HN,MIN(IF(ISNUMBER(HN19:HN215),ROW(HN19:HN215),"")))</f>
        <v>19.142307692307696</v>
      </c>
      <c r="HP19" s="12">
        <f>IF('Données projet'!$A$304&gt;35,HP18+HO19-HX18,IF($A19&lt;'Données projet'!$A$304,$CQ$205^$A19,IF($A19='Données projet'!$A$304,'Données projet'!$B$304,HP18+HO19-HX18)))</f>
        <v>177.54999999999995</v>
      </c>
      <c r="HQ19" s="17">
        <f>HP19*VLOOKUP('Données projet'!$B$19,Paramètres!$A$1:$I$89,3,0)*VLOOKUP('Données projet'!$B$19,Paramètres!$A$1:$I$89,5,0)</f>
        <v>90.294827999999981</v>
      </c>
      <c r="HR19" s="13">
        <f t="shared" si="83"/>
        <v>24.636316867930056</v>
      </c>
      <c r="HS19" s="14">
        <f t="shared" si="31"/>
        <v>200.1717439783115</v>
      </c>
      <c r="HT19" s="59">
        <f t="shared" si="32"/>
        <v>493.50507731164481</v>
      </c>
      <c r="HU19" s="59">
        <f ca="1">AVERAGE(OFFSET(HT$3,0,0,'Données projet'!$E$19+1,1))-AVERAGE(OFFSET($H$3,0,0,'Données projet'!$E$19+1,1))</f>
        <v>91.60721429656013</v>
      </c>
      <c r="HV19" s="59">
        <f t="shared" si="84"/>
        <v>258.94957804210856</v>
      </c>
      <c r="HW19" s="15">
        <f>IF(ISNA(VLOOKUP($A19,'Données projet'!$A$304:$I$324,3,0)),0,VLOOKUP($A19,'Données projet'!$A$304:$I$324,3,0))</f>
        <v>0</v>
      </c>
      <c r="HX19" s="15">
        <f>IF(ISNA(VLOOKUP($A19,'Données projet'!$A$304:$I$324,4,0)),0,VLOOKUP($A19,'Données projet'!$A$304:$I$324,4,0))</f>
        <v>0</v>
      </c>
      <c r="HY19" s="16">
        <f>IF(ISNA(VLOOKUP($A19,'Données projet'!$A$304:$I$324,5,0)),0%,VLOOKUP($A19,'Données projet'!$A$304:$I$324,5,0)*VLOOKUP('Données projet'!$B$19,Paramètres!$A$1:$I$89,7,0))</f>
        <v>0</v>
      </c>
      <c r="HZ19" s="16">
        <f>IF(ISNA(VLOOKUP($A19,'Données projet'!$A$304:$I$324,6,0)),0%,VLOOKUP($A19,'Données projet'!$A$304:$I$324,6,0)*VLOOKUP('Données projet'!$B$19,Paramètres!$A$1:$I$89,7,0))</f>
        <v>0</v>
      </c>
      <c r="IA19" s="16">
        <f>IF(ISNA(VLOOKUP($A19,'Données projet'!$A$304:$I$324,7,0)),0%,VLOOKUP($A19,'Données projet'!$A$304:$I$324,7,0))</f>
        <v>0</v>
      </c>
      <c r="IB19" s="21">
        <f>EXP(-LN(2)/35)*IB18+(1-EXP(-LN(2)/35))/(LN(2)/35)*HX19*HY19*VLOOKUP('Données projet'!$B$19,Paramètres!$A$1:$I$89,3,0)*0.475*44/12</f>
        <v>0</v>
      </c>
      <c r="IC19" s="21">
        <f>EXP(-LN(2)/25)*IC18+(1-EXP(-LN(2)/25))/(LN(2)/25)*Calculateur!HX19*Calculateur!HZ19*VLOOKUP('Données projet'!$B$19,Paramètres!$A$1:$I$89,3,0)*0.475*44/12</f>
        <v>0</v>
      </c>
      <c r="ID19" s="21">
        <f>EXP(-LN(2)/2)*ID18+(1-EXP(-LN(2)/2))/(LN(2)/2)*HX19*IA19*VLOOKUP('Données projet'!$B$19,Paramètres!$A$1:$I$89,3,0)*0.475*44/12</f>
        <v>0</v>
      </c>
      <c r="IE19" s="22">
        <f t="shared" si="33"/>
        <v>0</v>
      </c>
      <c r="IF19" s="74">
        <f>('Scénario référence'!$F$8+'Scénario référence'!$F$9+'Scénario référence'!$B$17+'Scénario référence'!$B$9+'Scénario référence'!$B$10)*70+IF((45+25*(1-EXP(-0.0175*$A19)))&lt;70,'Scénario référence'!$B$16*(45+25*(1-EXP(-0.0175*$A19))),70*'Scénario référence'!$B$16)+IF((32+38*(1-EXP(-0.0175*$A19)))&lt;70,'Scénario référence'!$B$18*(32+38*(1-EXP(-0.0175*$A19))),70*'Scénario référence'!$B$18)</f>
        <v>70</v>
      </c>
      <c r="IG19" s="12">
        <f>IF($A19&gt;30,10,('Scénario référence'!$B$16+'Scénario référence'!$B$17+'Scénario référence'!$B$18+'Scénario référence'!$B$9+'Scénario référence'!$B$10)*$A19*10/30+('Scénario référence'!$F$8+'Scénario référence'!$F$9)*10)</f>
        <v>10</v>
      </c>
      <c r="IH19" s="12">
        <f>VLOOKUP($A19,'Données projet'!$A$330:$I$350,2,0)</f>
        <v>177.54999999999995</v>
      </c>
      <c r="II19" s="12">
        <f>VLOOKUP($A19,'Données projet'!$A$330:$I$350,9,0)</f>
        <v>19.142307692307696</v>
      </c>
      <c r="IJ19" s="12">
        <f t="array" ref="IJ19">INDEX(II:II,MIN(IF(ISNUMBER(II19:II215),ROW(II19:II215),"")))</f>
        <v>19.142307692307696</v>
      </c>
      <c r="IK19" s="12">
        <f>IF('Données projet'!$A$330&gt;35,IK18+IJ19-IS18,IF($A19&lt;'Données projet'!$A$330,$CQ$205^$A19,IF($A19='Données projet'!$A$330,'Données projet'!$B$330,IK18+IJ19-IS18)))</f>
        <v>177.54999999999995</v>
      </c>
      <c r="IL19" s="17">
        <f>IK19*VLOOKUP('Données projet'!$B$20,Paramètres!$A$1:$I$89,3,0)*VLOOKUP('Données projet'!$B$20,Paramètres!$A$1:$I$89,5,0)</f>
        <v>90.294827999999981</v>
      </c>
      <c r="IM19" s="13">
        <f t="shared" si="85"/>
        <v>24.636316867930056</v>
      </c>
      <c r="IN19" s="20">
        <f t="shared" si="86"/>
        <v>200.1717439783115</v>
      </c>
      <c r="IO19" s="59">
        <f t="shared" si="87"/>
        <v>493.50507731164481</v>
      </c>
      <c r="IP19" s="59">
        <f ca="1">AVERAGE(OFFSET(IO$3,0,0,'Données projet'!$E$20+1,1))-AVERAGE(OFFSET($H$3,0,0,'Données projet'!$E$20+1,1))</f>
        <v>91.60721429656013</v>
      </c>
      <c r="IQ19" s="59">
        <f t="shared" si="88"/>
        <v>258.94957804210856</v>
      </c>
      <c r="IR19" s="15">
        <f>IF(ISNA(VLOOKUP($A19,'Données projet'!$A$330:$I$350,3,0)),0,VLOOKUP($A19,'Données projet'!$A$330:$I$350,3,0))</f>
        <v>0</v>
      </c>
      <c r="IS19" s="15">
        <f>IF(ISNA(VLOOKUP($A19,'Données projet'!$A$330:$I$350,4,0)),0,VLOOKUP($A19,'Données projet'!$A$330:$I$350,4,0))</f>
        <v>0</v>
      </c>
      <c r="IT19" s="16">
        <f>IF(ISNA(VLOOKUP($A19,'Données projet'!$A$330:$I$350,5,0)),0%,VLOOKUP($A19,'Données projet'!$A$330:$I$350,5,0)*VLOOKUP('Données projet'!$B$20,Paramètres!$A$1:$I$89,7,0))</f>
        <v>0</v>
      </c>
      <c r="IU19" s="16">
        <f>IF(ISNA(VLOOKUP($A19,'Données projet'!$A$330:$I$350,6,0)),0%,VLOOKUP($A19,'Données projet'!$A$330:$I$350,6,0)*VLOOKUP('Données projet'!$B$20,Paramètres!$A$1:$I$89,7,0))</f>
        <v>0</v>
      </c>
      <c r="IV19" s="16">
        <f>IF(ISNA(VLOOKUP($A19,'Données projet'!$A$330:$I$350,7,0)),0%,VLOOKUP($A19,'Données projet'!$A$330:$I$350,7,0))</f>
        <v>0</v>
      </c>
      <c r="IW19" s="21">
        <f>EXP(-LN(2)/35)*IW18+(1-EXP(-LN(2)/35))/(LN(2)/35)*IS19*IT19*VLOOKUP('Données projet'!$B$20,Paramètres!$A$1:$I$89,3,0)*0.475*44/12</f>
        <v>0</v>
      </c>
      <c r="IX19" s="21">
        <f>EXP(-LN(2)/25)*IX18+(1-EXP(-LN(2)/25))/(LN(2)/25)*Calculateur!IS19*Calculateur!IU19*VLOOKUP('Données projet'!$B$20,Paramètres!$A$1:$I$89,3,0)*0.475*44/12</f>
        <v>0</v>
      </c>
      <c r="IY19" s="21">
        <f>EXP(-LN(2)/2)*IY18+(1-EXP(-LN(2)/2))/(LN(2)/2)*IS19*IV19*VLOOKUP('Données projet'!$B$20,Paramètres!$A$1:$I$89,3,0)*0.475*44/12</f>
        <v>0</v>
      </c>
      <c r="IZ19" s="22">
        <f t="shared" si="89"/>
        <v>0</v>
      </c>
      <c r="JA19" s="74">
        <f>('Scénario référence'!$F$8+'Scénario référence'!$F$9+'Scénario référence'!$B$17+'Scénario référence'!$B$9+'Scénario référence'!$B$10)*70+IF((45+25*(1-EXP(-0.0175*$A19)))&lt;70,'Scénario référence'!$B$16*(45+25*(1-EXP(-0.0175*$A19))),70*'Scénario référence'!$B$16)+IF((32+38*(1-EXP(-0.0175*$A19)))&lt;70,'Scénario référence'!$B$18*(32+38*(1-EXP(-0.0175*$A19))),70*'Scénario référence'!$B$18)</f>
        <v>70</v>
      </c>
      <c r="JB19" s="12">
        <f>IF($A19&gt;30,10,('Scénario référence'!$B$16+'Scénario référence'!$B$17+'Scénario référence'!$B$18+'Scénario référence'!$B$9+'Scénario référence'!$B$10)*$A19*10/30+('Scénario référence'!$F$8+'Scénario référence'!$F$9)*10)</f>
        <v>10</v>
      </c>
      <c r="JC19" s="12" t="e">
        <f>VLOOKUP($A19,'Données projet'!$A$356:$I$376,2,0)</f>
        <v>#N/A</v>
      </c>
      <c r="JD19" s="12" t="e">
        <f>VLOOKUP($A19,'Données projet'!$A$356:$I$376,9,0)</f>
        <v>#N/A</v>
      </c>
      <c r="JE19" s="12">
        <f t="array" ref="JE19">INDEX(JD:JD,MIN(IF(ISNUMBER(JD19:JD215),ROW(JD19:JD215),"")))</f>
        <v>3.04</v>
      </c>
      <c r="JF19" s="12">
        <f>IF('Données projet'!$A$356&gt;35,JF18+JE19-JN18,IF($A19&lt;'Données projet'!$A$356,$CQ$205^$A19,IF($A19='Données projet'!$A$356,'Données projet'!$B$356,JF18+JE19-JN18)))</f>
        <v>48.639999999999993</v>
      </c>
      <c r="JG19" s="17">
        <f>JF19*VLOOKUP('Données projet'!$B$21,Paramètres!$A$1:$I$89,3,0)*VLOOKUP('Données projet'!$B$21,Paramètres!$A$1:$I$89,5,0)</f>
        <v>39.456767999999997</v>
      </c>
      <c r="JH19" s="13">
        <f t="shared" si="90"/>
        <v>11.85454882083893</v>
      </c>
      <c r="JI19" s="20">
        <f t="shared" si="91"/>
        <v>89.367210129627779</v>
      </c>
      <c r="JJ19" s="59">
        <f t="shared" si="92"/>
        <v>382.70054346296109</v>
      </c>
      <c r="JK19" s="59">
        <f ca="1">AVERAGE(OFFSET($JJ$3,0,0,'Données projet'!$E$22+1,1))-AVERAGE(OFFSET($H$3,0,0,'Données projet'!$E$22+1,1))</f>
        <v>353.35574633294613</v>
      </c>
      <c r="JL19" s="59">
        <f t="shared" si="93"/>
        <v>170.36796666474726</v>
      </c>
      <c r="JM19" s="15">
        <f>IF(ISNA(VLOOKUP($A19,'Données projet'!$A$356:$I$376,3,0)),0,VLOOKUP($A19,'Données projet'!$A$356:$I$376,3,0))</f>
        <v>0</v>
      </c>
      <c r="JN19" s="15">
        <f>IF(ISNA(VLOOKUP($A19,'Données projet'!$A$356:$I$376,4,0)),0,VLOOKUP($A19,'Données projet'!$A$356:$I$376,4,0))</f>
        <v>0</v>
      </c>
      <c r="JO19" s="16">
        <f>IF(ISNA(VLOOKUP($A19,'Données projet'!$A$356:$I$376,5,0)),0%,VLOOKUP($A19,'Données projet'!$A$356:$I$376,5,0)*VLOOKUP('Données projet'!$B$21,Paramètres!$A$1:$I$89,7,0))</f>
        <v>0</v>
      </c>
      <c r="JP19" s="16">
        <f>IF(ISNA(VLOOKUP($A19,'Données projet'!$A$356:$I$376,6,0)),0%,VLOOKUP($A19,'Données projet'!$A$356:$I$376,6,0)*VLOOKUP('Données projet'!$B$21,Paramètres!$A$1:$I$89,7,0))</f>
        <v>0</v>
      </c>
      <c r="JQ19" s="16">
        <f>IF(ISNA(VLOOKUP($A19,'Données projet'!$A$356:$I$376,7,0)),0%,VLOOKUP($A19,'Données projet'!$A$356:$I$376,7,0))</f>
        <v>0</v>
      </c>
      <c r="JR19" s="21">
        <f>EXP(-LN(2)/35)*JR18+(1-EXP(-LN(2)/35))/(LN(2)/35)*JN19*JO19*VLOOKUP('Données projet'!$B$21,Paramètres!$A$1:$I$89,3,0)*0.475*44/12</f>
        <v>0</v>
      </c>
      <c r="JS19" s="21">
        <f>EXP(-LN(2)/25)*JS18+(1-EXP(-LN(2)/25))/(LN(2)/25)*Calculateur!JN19*Calculateur!JP19*VLOOKUP('Données projet'!$B$21,Paramètres!$A$1:$I$89,3,0)*0.475*44/12</f>
        <v>0</v>
      </c>
      <c r="JT19" s="21">
        <f>EXP(-LN(2)/2)*JT18+(1-EXP(-LN(2)/2))/(LN(2)/2)*JN19*JQ19*VLOOKUP('Données projet'!$B$21,Paramètres!$A$1:$I$89,3,0)*0.475*44/12</f>
        <v>0</v>
      </c>
      <c r="JU19" s="18">
        <f t="shared" si="39"/>
        <v>0</v>
      </c>
      <c r="JV19" s="74">
        <f>('Scénario référence'!$F$8+'Scénario référence'!$F$9+'Scénario référence'!$B$17+'Scénario référence'!$B$9+'Scénario référence'!$B$10)*70+IF((45+25*(1-EXP(-0.0175*$A19)))&lt;70,'Scénario référence'!$B$16*(45+25*(1-EXP(-0.0175*$A19))),70*'Scénario référence'!$B$16)+IF((32+38*(1-EXP(-0.0175*$A19)))&lt;70,'Scénario référence'!$B$18*(32+38*(1-EXP(-0.0175*$A19))),70*'Scénario référence'!$B$18)</f>
        <v>70</v>
      </c>
      <c r="JW19" s="12">
        <f>IF($A19&gt;30,10,('Scénario référence'!$B$16+'Scénario référence'!$B$17+'Scénario référence'!$B$18+'Scénario référence'!$B$9+'Scénario référence'!$B$10)*$A19*10/30+('Scénario référence'!$F$8+'Scénario référence'!$F$9)*10)</f>
        <v>10</v>
      </c>
      <c r="JX19" s="12" t="e">
        <f>VLOOKUP($A19,'Données projet'!$A$382:$I$402,2,0)</f>
        <v>#N/A</v>
      </c>
      <c r="JY19" s="12" t="e">
        <f>VLOOKUP($A19,'Données projet'!$A$382:$I$402,9,0)</f>
        <v>#N/A</v>
      </c>
      <c r="JZ19" s="12">
        <f t="array" ref="JZ19">INDEX(JY:JY,MIN(IF(ISNUMBER(JY19:JY215),ROW(JY19:JY215),"")))</f>
        <v>4.0628205128205126</v>
      </c>
      <c r="KA19" s="12">
        <f>IF('Données projet'!$A$382&gt;35,KA18+JZ19-KI18,IF($A19&lt;'Données projet'!$A$382,$CQ$205^$A19,IF($A19='Données projet'!$A$382,'Données projet'!$B$382,KA18+JZ19-KI18)))</f>
        <v>65.005128205128216</v>
      </c>
      <c r="KB19" s="17">
        <f>KA19*VLOOKUP('Données projet'!$B$22,Paramètres!$A$1:$I$89,3,0)*VLOOKUP('Données projet'!$B$22,Paramètres!$A$1:$I$89,5,0)</f>
        <v>43.605440000000009</v>
      </c>
      <c r="KC19" s="13">
        <f t="shared" si="94"/>
        <v>12.949416620436354</v>
      </c>
      <c r="KD19" s="20">
        <f t="shared" si="95"/>
        <v>98.499708613926657</v>
      </c>
      <c r="KE19" s="59">
        <f t="shared" si="96"/>
        <v>391.83304194725997</v>
      </c>
      <c r="KF19" s="59">
        <f ca="1">AVERAGE(OFFSET($KE$3,0,0,'Données projet'!$E$22+1,1))-AVERAGE(OFFSET($H$3,0,0,'Données projet'!$E$22+1,1))</f>
        <v>193.91714772848269</v>
      </c>
      <c r="KG19" s="59">
        <f t="shared" si="97"/>
        <v>159.20429420478047</v>
      </c>
      <c r="KH19" s="15">
        <f>IF(ISNA(VLOOKUP($A19,'Données projet'!$A$382:$I$402,3,0)),0,VLOOKUP($A19,'Données projet'!$A$382:$I$402,3,0))</f>
        <v>0</v>
      </c>
      <c r="KI19" s="15">
        <f>IF(ISNA(VLOOKUP($A19,'Données projet'!$A$382:$I$402,4,0)),0,VLOOKUP($A19,'Données projet'!$A$382:$I$402,4,0))</f>
        <v>0</v>
      </c>
      <c r="KJ19" s="16">
        <f>IF(ISNA(VLOOKUP($A19,'Données projet'!$A$382:$I$402,5,0)),0%,VLOOKUP($A19,'Données projet'!$A$382:$I$402,5,0)*VLOOKUP('Données projet'!$B$22,Paramètres!$A$1:$I$89,7,0))</f>
        <v>0</v>
      </c>
      <c r="KK19" s="16">
        <f>IF(ISNA(VLOOKUP($A19,'Données projet'!$A$382:$I$402,6,0)),0%,VLOOKUP($A19,'Données projet'!$A$382:$I$402,6,0)*VLOOKUP('Données projet'!$B$22,Paramètres!$A$1:$I$89,7,0))</f>
        <v>0</v>
      </c>
      <c r="KL19" s="16">
        <f>IF(ISNA(VLOOKUP($A19,'Données projet'!$A$382:$I$402,7,0)),0%,VLOOKUP($A19,'Données projet'!$A$382:$I$402,7,0))</f>
        <v>0</v>
      </c>
      <c r="KM19" s="21">
        <f>EXP(-LN(2)/35)*KM18+(1-EXP(-LN(2)/35))/(LN(2)/35)*KI19*KJ19*VLOOKUP('Données projet'!$B$22,Paramètres!$A$1:$I$89,3,0)*0.475*44/12</f>
        <v>0</v>
      </c>
      <c r="KN19" s="21">
        <f>EXP(-LN(2)/25)*KN18+(1-EXP(-LN(2)/25))/(LN(2)/25)*Calculateur!KI19*Calculateur!KK19*VLOOKUP('Données projet'!$B$22,Paramètres!$A$1:$I$89,3,0)*0.475*44/12</f>
        <v>0</v>
      </c>
      <c r="KO19" s="21">
        <f>EXP(-LN(2)/2)*KO18+(1-EXP(-LN(2)/2))/(LN(2)/2)*KI19*KL19*VLOOKUP('Données projet'!$B$22,Paramètres!$A$1:$I$89,3,0)*0.475*44/12</f>
        <v>0</v>
      </c>
      <c r="KP19" s="22">
        <f t="shared" si="98"/>
        <v>0</v>
      </c>
      <c r="KQ19" s="74">
        <f>('Scénario référence'!$F$8+'Scénario référence'!$F$9+'Scénario référence'!$B$17+'Scénario référence'!$B$9+'Scénario référence'!$B$10)*70+IF((45+25*(1-EXP(-0.0175*$A19)))&lt;70,'Scénario référence'!$B$16*(45+25*(1-EXP(-0.0175*$A19))),70*'Scénario référence'!$B$16)+IF((32+38*(1-EXP(-0.0175*$A19)))&lt;70,'Scénario référence'!$B$18*(32+38*(1-EXP(-0.0175*$A19))),70*'Scénario référence'!$B$18)</f>
        <v>70</v>
      </c>
      <c r="KR19" s="12">
        <f>IF($A19&gt;30,10,('Scénario référence'!$B$16+'Scénario référence'!$B$17+'Scénario référence'!$B$18+'Scénario référence'!$B$9+'Scénario référence'!$B$10)*$A19*10/30+('Scénario référence'!$F$8+'Scénario référence'!$F$9)*10)</f>
        <v>10</v>
      </c>
      <c r="KS19" s="12" t="e">
        <f>VLOOKUP($A19,'Données projet'!$A$408:$I$428,2,0)</f>
        <v>#N/A</v>
      </c>
      <c r="KT19" s="12" t="e">
        <f>VLOOKUP($A19,'Données projet'!$A$408:$I$428,9,0)</f>
        <v>#N/A</v>
      </c>
      <c r="KU19" s="12">
        <f t="array" ref="KU19">INDEX(KT:KT,MIN(IF(ISNUMBER(KT19:KT215),ROW(KT19:KT215),"")))</f>
        <v>11.6</v>
      </c>
      <c r="KV19" s="12">
        <f>IF('Données projet'!$A$408&gt;35,KV18+KU19-LD18,IF($A19&lt;'Données projet'!$A$408,$CQ$205^$A19,IF($A19='Données projet'!$A$408,'Données projet'!$B$408,KV18+KU19-LD18)))</f>
        <v>33.600000000000016</v>
      </c>
      <c r="KW19" s="17">
        <f>KV19*VLOOKUP('Données projet'!$B$23,Paramètres!$A$1:$I$89,3,0)*VLOOKUP('Données projet'!$B$23,Paramètres!$A$1:$I$89,5,0)</f>
        <v>29.352960000000017</v>
      </c>
      <c r="KX19" s="13">
        <f t="shared" si="99"/>
        <v>9.1278666361046934</v>
      </c>
      <c r="KY19" s="14">
        <f t="shared" si="43"/>
        <v>67.020773057882366</v>
      </c>
      <c r="KZ19" s="59">
        <f t="shared" si="44"/>
        <v>360.35410639121568</v>
      </c>
      <c r="LA19" s="59">
        <f ca="1">AVERAGE(OFFSET($KZ$3,0,0,'Données projet'!$E$23+1,1))-AVERAGE(OFFSET($H$3,0,0,'Données projet'!$E$23+1,1))</f>
        <v>248.33596943633819</v>
      </c>
      <c r="LB19" s="59">
        <f t="shared" si="100"/>
        <v>242.34010522344573</v>
      </c>
      <c r="LC19" s="15">
        <f>IF(ISNA(VLOOKUP($A19,'Données projet'!$A$408:$I$428,3,0)),0,VLOOKUP($A19,'Données projet'!$A$408:$I$428,3,0))</f>
        <v>0</v>
      </c>
      <c r="LD19" s="15">
        <f>IF(ISNA(VLOOKUP($A19,'Données projet'!$A$408:$I$428,4,0)),0,VLOOKUP($A19,'Données projet'!$A$408:$I$428,4,0))</f>
        <v>0</v>
      </c>
      <c r="LE19" s="16">
        <f>IF(ISNA(VLOOKUP($A19,'Données projet'!$A$408:$I$428,5,0)),0%,VLOOKUP($A19,'Données projet'!$A$408:$I$428,5,0)*VLOOKUP('Données projet'!$B$23,Paramètres!$A$1:$I$89,7,0))</f>
        <v>0</v>
      </c>
      <c r="LF19" s="16">
        <f>IF(ISNA(VLOOKUP($A19,'Données projet'!$A$408:$I$428,6,0)),0%,VLOOKUP($A19,'Données projet'!$A$408:$I$428,6,0)*VLOOKUP('Données projet'!$B$23,Paramètres!$A$1:$I$89,7,0))</f>
        <v>0</v>
      </c>
      <c r="LG19" s="16">
        <f>IF(ISNA(VLOOKUP($A19,'Données projet'!$A$408:$I$428,7,0)),0%,VLOOKUP($A19,'Données projet'!$A$408:$I$428,7,0))</f>
        <v>0</v>
      </c>
      <c r="LH19" s="21">
        <f>EXP(-LN(2)/35)*LH18+(1-EXP(-LN(2)/35))/(LN(2)/35)*LD19*LE19*VLOOKUP('Données projet'!$B$23,Paramètres!$A$1:$I$89,3,0)*0.475*44/12</f>
        <v>0</v>
      </c>
      <c r="LI19" s="21">
        <f>EXP(-LN(2)/25)*LI18+(1-EXP(-LN(2)/25))/(LN(2)/25)*Calculateur!LD19*Calculateur!LF19*VLOOKUP('Données projet'!$B$23,Paramètres!$A$1:$I$89,3,0)*0.475*44/12</f>
        <v>0</v>
      </c>
      <c r="LJ19" s="21">
        <f>EXP(-LN(2)/2)*LJ18+(1-EXP(-LN(2)/2))/(LN(2)/2)*LD19*LG19*VLOOKUP('Données projet'!$B$23,Paramètres!$A$1:$I$89,3,0)*0.475*44/12</f>
        <v>0</v>
      </c>
      <c r="LK19" s="22">
        <f t="shared" si="101"/>
        <v>0</v>
      </c>
      <c r="LL19" s="74">
        <f>('Scénario référence'!$F$8+'Scénario référence'!$F$9+'Scénario référence'!$B$17+'Scénario référence'!$B$9+'Scénario référence'!$B$10)*70+IF((45+25*(1-EXP(-0.0175*$A19)))&lt;70,'Scénario référence'!$B$16*(45+25*(1-EXP(-0.0175*$A19))),70*'Scénario référence'!$B$16)+IF((32+38*(1-EXP(-0.0175*$A19)))&lt;70,'Scénario référence'!$B$18*(32+38*(1-EXP(-0.0175*$A19))),70*'Scénario référence'!$B$18)</f>
        <v>70</v>
      </c>
      <c r="LM19" s="12">
        <f>IF($A19&gt;30,10,('Scénario référence'!$B$16+'Scénario référence'!$B$17+'Scénario référence'!$B$18+'Scénario référence'!$B$9+'Scénario référence'!$B$10)*$A19*10/30+('Scénario référence'!$F$8+'Scénario référence'!$F$9)*10)</f>
        <v>10</v>
      </c>
      <c r="LN19" s="12" t="e">
        <f>VLOOKUP($A19,'Données projet'!$A$434:$I$454,2,0)</f>
        <v>#N/A</v>
      </c>
      <c r="LO19" s="12" t="e">
        <f>VLOOKUP($A19,'Données projet'!$A$434:$I$454,9,0)</f>
        <v>#N/A</v>
      </c>
      <c r="LP19" s="12">
        <f t="array" ref="LP19">INDEX(LO:LO,MIN(IF(ISNUMBER(LO19:LO215),ROW(LO19:LO215),"")))</f>
        <v>2.9235042735042733</v>
      </c>
      <c r="LQ19" s="12">
        <f>IF('Données projet'!$A$434&gt;35,LQ18+LP19-LY18,IF($A19&lt;'Données projet'!$A$434,$CQ$205^$A19,IF($A19='Données projet'!$A$434,'Données projet'!$B$434,LQ18+LP19-LY18)))</f>
        <v>46.776068376068366</v>
      </c>
      <c r="LR19" s="17">
        <f>LQ19*VLOOKUP('Données projet'!$B$24,Paramètres!$A$1:$I$89,3,0)*VLOOKUP('Données projet'!$B$24,Paramètres!$A$1:$I$89,5,0)</f>
        <v>47.430933333333329</v>
      </c>
      <c r="LS19" s="13">
        <f t="shared" si="102"/>
        <v>13.948263947344296</v>
      </c>
      <c r="LT19" s="14">
        <f t="shared" si="46"/>
        <v>106.90210193051352</v>
      </c>
      <c r="LU19" s="59">
        <f t="shared" si="103"/>
        <v>400.23543526384685</v>
      </c>
      <c r="LV19" s="59">
        <f ca="1">AVERAGE(OFFSET($LU$3,0,0,'Données projet'!$E$24+1,1))-AVERAGE(OFFSET($H$3,0,0,'Données projet'!$E$24+1,1))</f>
        <v>260.52627655062872</v>
      </c>
      <c r="LW19" s="59">
        <f t="shared" si="104"/>
        <v>159.20429420478047</v>
      </c>
      <c r="LX19" s="15">
        <f>IF(ISNA(VLOOKUP($A19,'Données projet'!$A$434:$I$454,3,0)),0,VLOOKUP($A19,'Données projet'!$A$434:$I$454,3,0))</f>
        <v>0</v>
      </c>
      <c r="LY19" s="15">
        <f>IF(ISNA(VLOOKUP($A19,'Données projet'!$A$434:$I$454,4,0)),0,VLOOKUP($A19,'Données projet'!$A$434:$I$454,4,0))</f>
        <v>0</v>
      </c>
      <c r="LZ19" s="16">
        <f>IF(ISNA(VLOOKUP($A19,'Données projet'!$A$434:$I$454,5,0)),0%,VLOOKUP($A19,'Données projet'!$A$434:$I$454,5,0)*VLOOKUP('Données projet'!$B$24,Paramètres!$A$1:$I$89,7,0))</f>
        <v>0</v>
      </c>
      <c r="MA19" s="16">
        <f>IF(ISNA(VLOOKUP($A19,'Données projet'!$A$434:$I$454,6,0)),0%,VLOOKUP($A19,'Données projet'!$A$434:$I$454,6,0)*VLOOKUP('Données projet'!$B$24,Paramètres!$A$1:$I$89,7,0))</f>
        <v>0</v>
      </c>
      <c r="MB19" s="16">
        <f>IF(ISNA(VLOOKUP($A19,'Données projet'!$A$434:$I$454,7,0)),0%,VLOOKUP($A19,'Données projet'!$A$434:$I$454,7,0))</f>
        <v>0</v>
      </c>
      <c r="MC19" s="21">
        <f>EXP(-LN(2)/35)*MC18+(1-EXP(-LN(2)/35))/(LN(2)/35)*LY19*LZ19*VLOOKUP('Données projet'!$B$24,Paramètres!$A$1:$I$89,3,0)*0.475*44/12</f>
        <v>0</v>
      </c>
      <c r="MD19" s="21">
        <f>EXP(-LN(2)/25)*MD18+(1-EXP(-LN(2)/25))/(LN(2)/25)*Calculateur!LY19*Calculateur!MA19*VLOOKUP('Données projet'!$B$24,Paramètres!$A$1:$I$89,3,0)*0.475*44/12</f>
        <v>0</v>
      </c>
      <c r="ME19" s="21">
        <f>EXP(-LN(2)/2)*ME18+(1-EXP(-LN(2)/2))/(LN(2)/2)*LY19*MB19*VLOOKUP('Données projet'!$B$24,Paramètres!$A$1:$I$89,3,0)*0.475*44/12</f>
        <v>0</v>
      </c>
      <c r="MF19" s="22">
        <f t="shared" si="105"/>
        <v>0</v>
      </c>
      <c r="MG19" s="74">
        <f>('Scénario référence'!$F$8+'Scénario référence'!$F$9+'Scénario référence'!$B$17+'Scénario référence'!$B$9+'Scénario référence'!$B$10)*70+IF((45+25*(1-EXP(-0.0175*$A19)))&lt;70,'Scénario référence'!$B$16*(45+25*(1-EXP(-0.0175*$A19))),70*'Scénario référence'!$B$16)+IF((32+38*(1-EXP(-0.0175*$A19)))&lt;70,'Scénario référence'!$B$18*(32+38*(1-EXP(-0.0175*$A19))),70*'Scénario référence'!$B$18)</f>
        <v>70</v>
      </c>
      <c r="MH19" s="12">
        <f>IF($A19&gt;30,10,('Scénario référence'!$B$16+'Scénario référence'!$B$17+'Scénario référence'!$B$18+'Scénario référence'!$B$9+'Scénario référence'!$B$10)*$A19*10/30+('Scénario référence'!$F$8+'Scénario référence'!$F$9)*10)</f>
        <v>10</v>
      </c>
      <c r="MI19" s="12" t="e">
        <f>VLOOKUP($A19,'Données projet'!$A$460:$I$480,2,0)</f>
        <v>#N/A</v>
      </c>
      <c r="MJ19" s="12" t="e">
        <f>VLOOKUP($A19,'Données projet'!$A$460:$I$480,9,0)</f>
        <v>#N/A</v>
      </c>
      <c r="MK19" s="12">
        <f t="array" ref="MK19">INDEX(MJ:MJ,MIN(IF(ISNUMBER(MJ19:MJ215),ROW(MJ19:MJ215),"")))</f>
        <v>0</v>
      </c>
      <c r="ML19" s="12">
        <f>IF('Données projet'!$A$460&gt;35,ML18+MK19-MT18,IF($A19&lt;'Données projet'!$A$460,$CQ$205^$A19,IF($A19='Données projet'!$A$460,'Données projet'!$B$460,ML18+MK19-MT18)))</f>
        <v>0</v>
      </c>
      <c r="MM19" s="17" t="e">
        <f>ML19*VLOOKUP('Données projet'!$B$25,Paramètres!$A$1:$I$89,3,0)*VLOOKUP('Données projet'!$B$25,Paramètres!$A$1:$I$89,5,0)</f>
        <v>#N/A</v>
      </c>
      <c r="MN19" s="13" t="e">
        <f t="shared" si="106"/>
        <v>#N/A</v>
      </c>
      <c r="MO19" s="14" t="e">
        <f t="shared" si="49"/>
        <v>#N/A</v>
      </c>
      <c r="MP19" s="59" t="e">
        <f t="shared" si="50"/>
        <v>#N/A</v>
      </c>
      <c r="MQ19" s="20" t="e">
        <f ca="1">AVERAGE(OFFSET($MP$3,0,0,'Données projet'!$E$25+1,1))-AVERAGE(OFFSET($H$3,0,0,'Données projet'!$E$25+1,1))</f>
        <v>#N/A</v>
      </c>
      <c r="MR19" s="59" t="e">
        <f t="shared" si="107"/>
        <v>#N/A</v>
      </c>
      <c r="MS19" s="15">
        <f>IF(ISNA(VLOOKUP($A19,'Données projet'!$A$460:$I$480,3,0)),0,VLOOKUP($A19,'Données projet'!$A$460:$I$480,3,0))</f>
        <v>0</v>
      </c>
      <c r="MT19" s="15">
        <f>IF(ISNA(VLOOKUP($A19,'Données projet'!$A$460:$I$480,4,0)),0,VLOOKUP($A19,'Données projet'!$A$460:$I$480,4,0))</f>
        <v>0</v>
      </c>
      <c r="MU19" s="16">
        <f>IF(ISNA(VLOOKUP($A19,'Données projet'!$A$460:$I$480,5,0)),0%,VLOOKUP($A19,'Données projet'!$A$460:$I$480,5,0)*VLOOKUP('Données projet'!$B$25,Paramètres!$A$1:$I$89,7,0))</f>
        <v>0</v>
      </c>
      <c r="MV19" s="16">
        <f>IF(ISNA(VLOOKUP($A19,'Données projet'!$A$460:$I$480,6,0)),0%,VLOOKUP($A19,'Données projet'!$A$460:$I$480,6,0)*VLOOKUP('Données projet'!$B$25,Paramètres!$A$1:$I$89,7,0))</f>
        <v>0</v>
      </c>
      <c r="MW19" s="16">
        <f>IF(ISNA(VLOOKUP($A19,'Données projet'!$A$460:$I$480,7,0)),0%,VLOOKUP($A19,'Données projet'!$A$460:$I$480,7,0))</f>
        <v>0</v>
      </c>
      <c r="MX19" s="21" t="e">
        <f>EXP(-LN(2)/35)*MX18+(1-EXP(-LN(2)/35))/(LN(2)/35)*MT19*MU19*VLOOKUP('Données projet'!$B$25,Paramètres!$A$1:$I$89,3,0)*0.475*44/12</f>
        <v>#N/A</v>
      </c>
      <c r="MY19" s="21" t="e">
        <f>EXP(-LN(2)/25)*MY18+(1-EXP(-LN(2)/25))/(LN(2)/25)*Calculateur!MT19*Calculateur!MV19*VLOOKUP('Données projet'!$B$25,Paramètres!$A$1:$I$89,3,0)*0.475*44/12</f>
        <v>#N/A</v>
      </c>
      <c r="MZ19" s="21" t="e">
        <f>EXP(-LN(2)/2)*MZ18+(1-EXP(-LN(2)/2))/(LN(2)/2)*MT19*MW19*VLOOKUP('Données projet'!$B$25,Paramètres!$A$1:$I$89,3,0)*0.475*44/12</f>
        <v>#N/A</v>
      </c>
      <c r="NA19" s="22" t="e">
        <f t="shared" si="108"/>
        <v>#N/A</v>
      </c>
      <c r="NB19" s="74">
        <f>('Scénario référence'!$F$8+'Scénario référence'!$F$9+'Scénario référence'!$B$17+'Scénario référence'!$B$9+'Scénario référence'!$B$10)*70+IF((45+25*(1-EXP(-0.0175*$A19)))&lt;70,'Scénario référence'!$B$16*(45+25*(1-EXP(-0.0175*$A19))),70*'Scénario référence'!$B$16)+IF((32+38*(1-EXP(-0.0175*$A19)))&lt;70,'Scénario référence'!$B$18*(32+38*(1-EXP(-0.0175*$A19))),70*'Scénario référence'!$B$18)</f>
        <v>70</v>
      </c>
      <c r="NC19" s="12">
        <f>IF($A19&gt;30,10,('Scénario référence'!$B$16+'Scénario référence'!$B$17+'Scénario référence'!$B$18+'Scénario référence'!$B$9+'Scénario référence'!$B$10)*$A19*10/30+('Scénario référence'!$F$8+'Scénario référence'!$F$9)*10)</f>
        <v>10</v>
      </c>
      <c r="ND19" s="12" t="e">
        <f>VLOOKUP($A19,'Données projet'!$A$486:$I$506,2,0)</f>
        <v>#N/A</v>
      </c>
      <c r="NE19" s="12" t="e">
        <f>VLOOKUP($A19,'Données projet'!$A$486:$I$506,9,0)</f>
        <v>#N/A</v>
      </c>
      <c r="NF19" s="12">
        <f t="array" ref="NF19">INDEX(NE:NE,MIN(IF(ISNUMBER(NE19:NE215),ROW(NE19:NE215),"")))</f>
        <v>0</v>
      </c>
      <c r="NG19" s="12">
        <f>IF('Données projet'!$A$486&gt;35,NG18+NF19-NO18,IF($A19&lt;'Données projet'!$A$486,$CQ$205^$A19,IF($A19='Données projet'!$A$486,'Données projet'!$B$486,NG18+NF19-NO18)))</f>
        <v>0</v>
      </c>
      <c r="NH19" s="17" t="e">
        <f>NG19*VLOOKUP('Données projet'!$B$26,Paramètres!$A$1:$I$89,3,0)*VLOOKUP('Données projet'!$B$26,Paramètres!$A$1:$I$89,5,0)</f>
        <v>#N/A</v>
      </c>
      <c r="NI19" s="13" t="e">
        <f t="shared" si="109"/>
        <v>#N/A</v>
      </c>
      <c r="NJ19" s="14" t="e">
        <f t="shared" si="52"/>
        <v>#N/A</v>
      </c>
      <c r="NK19" s="59" t="e">
        <f t="shared" si="53"/>
        <v>#N/A</v>
      </c>
      <c r="NL19" s="20" t="e">
        <f ca="1">AVERAGE(OFFSET($NK$3,0,0,'Données projet'!$E$26+1,1))-AVERAGE(OFFSET($H$3,0,0,'Données projet'!$E$26+1,1))</f>
        <v>#N/A</v>
      </c>
      <c r="NM19" s="59" t="e">
        <f t="shared" si="110"/>
        <v>#N/A</v>
      </c>
      <c r="NN19" s="15">
        <f>IF(ISNA(VLOOKUP($A19,'Données projet'!$A$486:$I$506,3,0)),0,VLOOKUP($A19,'Données projet'!$A$486:$I$506,3,0))</f>
        <v>0</v>
      </c>
      <c r="NO19" s="15">
        <f>IF(ISNA(VLOOKUP($A19,'Données projet'!$A$486:$I$506,4,0)),0,VLOOKUP($A19,'Données projet'!$A$486:$I$506,4,0))</f>
        <v>0</v>
      </c>
      <c r="NP19" s="16">
        <f>IF(ISNA(VLOOKUP($A19,'Données projet'!$A$486:$I$506,5,0)),0%,VLOOKUP($A19,'Données projet'!$A$486:$I$506,5,0)*VLOOKUP('Données projet'!$B$26,Paramètres!$A$1:$I$89,7,0))</f>
        <v>0</v>
      </c>
      <c r="NQ19" s="16">
        <f>IF(ISNA(VLOOKUP($A19,'Données projet'!$A$486:$I$506,6,0)),0%,VLOOKUP($A19,'Données projet'!$A$486:$I$506,6,0)*VLOOKUP('Données projet'!$B$26,Paramètres!$A$1:$I$89,7,0))</f>
        <v>0</v>
      </c>
      <c r="NR19" s="16">
        <f>IF(ISNA(VLOOKUP($A19,'Données projet'!$A$486:$I$506,7,0)),0%,VLOOKUP($A19,'Données projet'!$A$486:$I$506,7,0))</f>
        <v>0</v>
      </c>
      <c r="NS19" s="21" t="e">
        <f>EXP(-LN(2)/35)*NS18+(1-EXP(-LN(2)/35))/(LN(2)/35)*NO19*NP19*VLOOKUP('Données projet'!$B$26,Paramètres!$A$1:$I$89,3,0)*0.475*44/12</f>
        <v>#N/A</v>
      </c>
      <c r="NT19" s="21" t="e">
        <f>EXP(-LN(2)/25)*NT18+(1-EXP(-LN(2)/25))/(LN(2)/25)*Calculateur!NO19*Calculateur!NQ19*VLOOKUP('Données projet'!$B$26,Paramètres!$A$1:$I$89,3,0)*0.475*44/12</f>
        <v>#N/A</v>
      </c>
      <c r="NU19" s="21" t="e">
        <f>EXP(-LN(2)/2)*NU18+(1-EXP(-LN(2)/2))/(LN(2)/2)*NO19*NR19*VLOOKUP('Données projet'!$B$26,Paramètres!$A$1:$I$89,3,0)*0.475*44/12</f>
        <v>#N/A</v>
      </c>
      <c r="NV19" s="22" t="e">
        <f t="shared" si="111"/>
        <v>#N/A</v>
      </c>
      <c r="NW19" s="74">
        <f>('Scénario référence'!$F$8+'Scénario référence'!$F$9+'Scénario référence'!$B$17+'Scénario référence'!$B$9+'Scénario référence'!$B$10)*70+IF((45+25*(1-EXP(-0.0175*$A19)))&lt;70,'Scénario référence'!$B$16*(45+25*(1-EXP(-0.0175*$A19))),70*'Scénario référence'!$B$16)+IF((32+38*(1-EXP(-0.0175*$A19)))&lt;70,'Scénario référence'!$B$18*(32+38*(1-EXP(-0.0175*$A19))),70*'Scénario référence'!$B$18)</f>
        <v>70</v>
      </c>
      <c r="NX19" s="12">
        <f>IF($A19&gt;30,10,('Scénario référence'!$B$16+'Scénario référence'!$B$17+'Scénario référence'!$B$18+'Scénario référence'!$B$9+'Scénario référence'!$B$10)*$A19*10/30+('Scénario référence'!$F$8+'Scénario référence'!$F$9)*10)</f>
        <v>10</v>
      </c>
      <c r="NY19" s="12" t="e">
        <f>VLOOKUP($A19,'Données projet'!$A$512:$I$532,2,0)</f>
        <v>#N/A</v>
      </c>
      <c r="NZ19" s="12" t="e">
        <f>VLOOKUP($A19,'Données projet'!$A$512:$I$532,9,0)</f>
        <v>#N/A</v>
      </c>
      <c r="OA19" s="12">
        <f t="array" ref="OA19">INDEX(NZ:NZ,MIN(IF(ISNUMBER(NZ19:NZ215),ROW(NZ19:NZ215),"")))</f>
        <v>0</v>
      </c>
      <c r="OB19" s="12">
        <f>IF('Données projet'!$A$512&gt;35,OB18+OA19-OJ18,IF($A19&lt;'Données projet'!$A$512,$CQ$205^$A19,IF($A19='Données projet'!$A$512,'Données projet'!$B$512,OB18+OA19-OJ18)))</f>
        <v>0</v>
      </c>
      <c r="OC19" s="17" t="e">
        <f>OB19*VLOOKUP('Données projet'!$B$27,Paramètres!$A$1:$I$89,3,0)*VLOOKUP('Données projet'!$B$27,Paramètres!$A$1:$I$89,5,0)</f>
        <v>#N/A</v>
      </c>
      <c r="OD19" s="13" t="e">
        <f t="shared" si="112"/>
        <v>#N/A</v>
      </c>
      <c r="OE19" s="14" t="e">
        <f t="shared" si="55"/>
        <v>#N/A</v>
      </c>
      <c r="OF19" s="59" t="e">
        <f t="shared" si="56"/>
        <v>#N/A</v>
      </c>
      <c r="OG19" s="20" t="e">
        <f ca="1">AVERAGE(OFFSET($OF$3,0,0,'Données projet'!$E$27+1,1))-AVERAGE(OFFSET($H$3,0,0,'Données projet'!$E$27+1,1))</f>
        <v>#N/A</v>
      </c>
      <c r="OH19" s="59" t="e">
        <f t="shared" si="113"/>
        <v>#N/A</v>
      </c>
      <c r="OI19" s="15">
        <f>IF(ISNA(VLOOKUP($A19,'Données projet'!$A$512:$I$532,3,0)),0,VLOOKUP($A19,'Données projet'!$A$512:$I$532,3,0))</f>
        <v>0</v>
      </c>
      <c r="OJ19" s="15">
        <f>IF(ISNA(VLOOKUP($A19,'Données projet'!$A$512:$I$532,4,0)),0,VLOOKUP($A19,'Données projet'!$A$512:$I$532,4,0))</f>
        <v>0</v>
      </c>
      <c r="OK19" s="16">
        <f>IF(ISNA(VLOOKUP($A19,'Données projet'!$A$512:$I$532,5,0)),0%,VLOOKUP($A19,'Données projet'!$A$512:$I$532,5,0)*VLOOKUP('Données projet'!$B$27,Paramètres!$A$1:$I$89,7,0))</f>
        <v>0</v>
      </c>
      <c r="OL19" s="16">
        <f>IF(ISNA(VLOOKUP($A19,'Données projet'!$A$512:$I$532,6,0)),0%,VLOOKUP($A19,'Données projet'!$A$512:$I$532,6,0)*VLOOKUP('Données projet'!$B$27,Paramètres!$A$1:$I$89,7,0))</f>
        <v>0</v>
      </c>
      <c r="OM19" s="16">
        <f>IF(ISNA(VLOOKUP($A19,'Données projet'!$A$512:$I$532,7,0)),0%,VLOOKUP($A19,'Données projet'!$A$512:$I$532,7,0))</f>
        <v>0</v>
      </c>
      <c r="ON19" s="21" t="e">
        <f>EXP(-LN(2)/35)*ON18+(1-EXP(-LN(2)/35))/(LN(2)/35)*OJ19*OK19*VLOOKUP('Données projet'!$B$27,Paramètres!$A$1:$I$89,3,0)*0.475*44/12</f>
        <v>#N/A</v>
      </c>
      <c r="OO19" s="21" t="e">
        <f>EXP(-LN(2)/25)*OO18+(1-EXP(-LN(2)/25))/(LN(2)/25)*Calculateur!OJ19*Calculateur!OL19*VLOOKUP('Données projet'!$B$27,Paramètres!$A$1:$I$89,3,0)*0.475*44/12</f>
        <v>#N/A</v>
      </c>
      <c r="OP19" s="21" t="e">
        <f>EXP(-LN(2)/2)*OP18+(1-EXP(-LN(2)/2))/(LN(2)/2)*OJ19*OM19*VLOOKUP('Données projet'!$B$27,Paramètres!$A$1:$I$89,3,0)*0.475*44/12</f>
        <v>#N/A</v>
      </c>
      <c r="OQ19" s="22" t="e">
        <f t="shared" si="114"/>
        <v>#N/A</v>
      </c>
      <c r="OR19" s="74">
        <f>('Scénario référence'!$F$8+'Scénario référence'!$F$9+'Scénario référence'!$B$17+'Scénario référence'!$B$9+'Scénario référence'!$B$10)*70+IF((45+25*(1-EXP(-0.0175*$A19)))&lt;70,'Scénario référence'!$B$16*(45+25*(1-EXP(-0.0175*$A19))),70*'Scénario référence'!$B$16)+IF((32+38*(1-EXP(-0.0175*$A19)))&lt;70,'Scénario référence'!$B$18*(32+38*(1-EXP(-0.0175*$A19))),70*'Scénario référence'!$B$18)</f>
        <v>70</v>
      </c>
      <c r="OS19" s="12">
        <f>IF($A19&gt;30,10,('Scénario référence'!$B$16+'Scénario référence'!$B$17+'Scénario référence'!$B$18+'Scénario référence'!$B$9+'Scénario référence'!$B$10)*$A19*10/30+('Scénario référence'!$F$8+'Scénario référence'!$F$9)*10)</f>
        <v>10</v>
      </c>
      <c r="OT19" s="12" t="e">
        <f>VLOOKUP($A19,'Données projet'!$A$538:$I$558,2,0)</f>
        <v>#N/A</v>
      </c>
      <c r="OU19" s="12" t="e">
        <f>VLOOKUP($A19,'Données projet'!$A$538:$I$558,9,0)</f>
        <v>#N/A</v>
      </c>
      <c r="OV19" s="12">
        <f t="array" ref="OV19">INDEX(OU:OU,MIN(IF(ISNUMBER(OU19:OU215),ROW(OU19:OU215),"")))</f>
        <v>0</v>
      </c>
      <c r="OW19" s="12">
        <f>IF('Données projet'!$A$538&gt;35,OW18+OV19-PE18,IF($A19&lt;'Données projet'!$A$538,$CQ$205^$A19,IF($A19='Données projet'!$A$538,'Données projet'!$B$538,OW18+OV19-PE18)))</f>
        <v>0</v>
      </c>
      <c r="OX19" s="17" t="e">
        <f>OW19*VLOOKUP('Données projet'!$B$28,Paramètres!$A$1:$I$89,3,0)*VLOOKUP('Données projet'!$B$28,Paramètres!$A$1:$I$89,5,0)</f>
        <v>#N/A</v>
      </c>
      <c r="OY19" s="13" t="e">
        <f t="shared" si="115"/>
        <v>#N/A</v>
      </c>
      <c r="OZ19" s="14" t="e">
        <f t="shared" si="58"/>
        <v>#N/A</v>
      </c>
      <c r="PA19" s="59" t="e">
        <f t="shared" si="59"/>
        <v>#N/A</v>
      </c>
      <c r="PB19" s="20" t="e">
        <f ca="1">AVERAGE(OFFSET($PA$3,0,0,'Données projet'!$E$28+1,1))-AVERAGE(OFFSET($H$3,0,0,'Données projet'!$E$28+1,1))</f>
        <v>#N/A</v>
      </c>
      <c r="PC19" s="59" t="e">
        <f t="shared" si="116"/>
        <v>#N/A</v>
      </c>
      <c r="PD19" s="15">
        <f>IF(ISNA(VLOOKUP($A19,'Données projet'!$A$538:$I$558,3,0)),0,VLOOKUP($A19,'Données projet'!$A$538:$I$558,3,0))</f>
        <v>0</v>
      </c>
      <c r="PE19" s="15">
        <f>IF(ISNA(VLOOKUP($A19,'Données projet'!$A$538:$I$558,4,0)),0,VLOOKUP($A19,'Données projet'!$A$538:$I$558,4,0))</f>
        <v>0</v>
      </c>
      <c r="PF19" s="16">
        <f>IF(ISNA(VLOOKUP($A19,'Données projet'!$A$538:$I$558,5,0)),0%,VLOOKUP($A19,'Données projet'!$A$538:$I$558,5,0)*VLOOKUP('Données projet'!$B$28,Paramètres!$A$1:$I$89,7,0))</f>
        <v>0</v>
      </c>
      <c r="PG19" s="16">
        <f>IF(ISNA(VLOOKUP($A19,'Données projet'!$A$538:$I$558,6,0)),0%,VLOOKUP($A19,'Données projet'!$A$538:$I$558,6,0)*VLOOKUP('Données projet'!$B$28,Paramètres!$A$1:$I$89,7,0))</f>
        <v>0</v>
      </c>
      <c r="PH19" s="16">
        <f>IF(ISNA(VLOOKUP($A19,'Données projet'!$A$538:$I$558,7,0)),0%,VLOOKUP($A19,'Données projet'!$A$538:$I$558,7,0))</f>
        <v>0</v>
      </c>
      <c r="PI19" s="21" t="e">
        <f>EXP(-LN(2)/35)*PI18+(1-EXP(-LN(2)/35))/(LN(2)/35)*PE19*PF19*VLOOKUP('Données projet'!$B$28,Paramètres!$A$1:$I$89,3,0)*0.475*44/12</f>
        <v>#N/A</v>
      </c>
      <c r="PJ19" s="21" t="e">
        <f>EXP(-LN(2)/25)*PJ18+(1-EXP(-LN(2)/25))/(LN(2)/25)*Calculateur!PE19*Calculateur!PG19*VLOOKUP('Données projet'!$B$28,Paramètres!$A$1:$I$89,3,0)*0.475*44/12</f>
        <v>#N/A</v>
      </c>
      <c r="PK19" s="21" t="e">
        <f>EXP(-LN(2)/2)*PK18+(1-EXP(-LN(2)/2))/(LN(2)/2)*PE19*PH19*VLOOKUP('Données projet'!$B$28,Paramètres!$A$1:$I$89,3,0)*0.475*44/12</f>
        <v>#N/A</v>
      </c>
      <c r="PL19" s="22" t="e">
        <f t="shared" si="117"/>
        <v>#N/A</v>
      </c>
    </row>
    <row r="20" spans="1:428" x14ac:dyDescent="0.35">
      <c r="A20" s="10">
        <f t="shared" si="6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6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projet'!$A$45:$I$65,2,0)</f>
        <v>#N/A</v>
      </c>
      <c r="L20" s="12" t="e">
        <f>VLOOKUP(A20,'Données projet'!$A$45:$I$65,9,0)</f>
        <v>#N/A</v>
      </c>
      <c r="M20" s="12">
        <f t="array" ref="M20">INDEX(L:L,MIN(IF(ISNUMBER(L20:L216),ROW(L20:L216),"")))</f>
        <v>10.16068376068376</v>
      </c>
      <c r="N20" s="13">
        <f>IF('Données projet'!$A$46&gt;35,N19+M20-V19,IF(A20&lt;'Données projet'!$A$46,$K$205^A20,IF(A20='Données projet'!$A$46,'Données projet'!$B$46,N19+M20-V19)))</f>
        <v>136.93608755517039</v>
      </c>
      <c r="O20" s="13">
        <f>N20*VLOOKUP('Données projet'!$B$9,Paramètres!$A$1:$I$89,3,0)*VLOOKUP('Données projet'!$B$9,Paramètres!$A$1:$I$89,5,0)</f>
        <v>76.547272943340246</v>
      </c>
      <c r="P20" s="13">
        <f t="shared" si="63"/>
        <v>21.290819020824138</v>
      </c>
      <c r="Q20" s="20">
        <f t="shared" si="2"/>
        <v>170.40134350425296</v>
      </c>
      <c r="R20" s="59">
        <f t="shared" si="0"/>
        <v>463.73467683758628</v>
      </c>
      <c r="S20" s="59">
        <f ca="1">AVERAGE(OFFSET($R$3,0,0,'Données projet'!$E$9+1,1))-AVERAGE(OFFSET($H$3,0,0,'Données projet'!$E$9+1,1))</f>
        <v>274.57619581652199</v>
      </c>
      <c r="T20" s="59">
        <f t="shared" si="64"/>
        <v>366.15117322598775</v>
      </c>
      <c r="U20" s="15">
        <f>IF(ISNA(VLOOKUP(A20,'Données projet'!$A$45:$I$65,3,0)),0,VLOOKUP(A20,'Données projet'!$A$45:$I$65,3,0))</f>
        <v>0</v>
      </c>
      <c r="V20" s="15">
        <f>IF(ISNA(VLOOKUP(A20,'Données projet'!$A$45:$I$65,4,0)),0,VLOOKUP(A20,'Données projet'!$A$45:$I$65,4,0))</f>
        <v>0</v>
      </c>
      <c r="W20" s="16">
        <f>IF(ISNA(VLOOKUP(A20,'Données projet'!$A$45:$I$65,5,0)),0%,VLOOKUP(A20,'Données projet'!$A$45:$I$65,5,0)*VLOOKUP('Données projet'!$B$9,Paramètres!$A$1:$I$89,7,0))</f>
        <v>0</v>
      </c>
      <c r="X20" s="16">
        <f>IF(ISNA(VLOOKUP(A20,'Données projet'!$A$45:$I$65,6,0)),0%,VLOOKUP(A20,'Données projet'!$A$45:$I$65,6,0)*VLOOKUP('Données projet'!$B$9,Paramètres!$A$1:$I$89,7,0))</f>
        <v>0</v>
      </c>
      <c r="Y20" s="16">
        <f>IF(ISNA(VLOOKUP(A20,'Données projet'!$A$45:$I$65,7,0)),0%,VLOOKUP(A20,'Données projet'!$A$45:$I$65,7,0))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projet'!$A$71:$I$91,2,0)</f>
        <v>#N/A</v>
      </c>
      <c r="AG20" s="12" t="e">
        <f>VLOOKUP(A20,'Données projet'!$A$71:$I$91,9,0)</f>
        <v>#N/A</v>
      </c>
      <c r="AH20" s="12">
        <f t="array" ref="AH20">INDEX(AG:AG,MIN(IF(ISNUMBER(AG20:AG216),ROW(AG20:AG216),"")))</f>
        <v>4.0628205128205126</v>
      </c>
      <c r="AI20" s="13">
        <f>IF('Données projet'!$A$72&gt;35,AI19+AH20-AQ19,IF(A20&lt;'Données projet'!$A$72,$AF$205^A20,IF(A20='Données projet'!$A$72,'Données projet'!$B$72,AI19+AH20-AQ19)))</f>
        <v>15.206795479203771</v>
      </c>
      <c r="AJ20" s="13">
        <f>AI20*VLOOKUP('Données projet'!$B$10,Paramètres!$A$1:$I$89,3,0)*VLOOKUP('Données projet'!$B$10,Paramètres!$A$1:$I$89,5,0)</f>
        <v>13.759108549583573</v>
      </c>
      <c r="AK20" s="13">
        <f t="shared" si="65"/>
        <v>4.6731578539740832</v>
      </c>
      <c r="AL20" s="20">
        <f t="shared" si="4"/>
        <v>32.102863986196247</v>
      </c>
      <c r="AM20" s="59">
        <f t="shared" si="5"/>
        <v>325.43619731952958</v>
      </c>
      <c r="AN20" s="59">
        <f ca="1">AVERAGE(OFFSET($AM$3,0,0,'Données projet'!$E$10+1,1))-AVERAGE(OFFSET($H$3,0,0,'Données projet'!$E$10+1,1))</f>
        <v>270.87836509222456</v>
      </c>
      <c r="AO20" s="59">
        <f t="shared" si="66"/>
        <v>205.24998237949734</v>
      </c>
      <c r="AP20" s="15">
        <f>IF(ISNA(VLOOKUP(A20,'Données projet'!$A$71:$I$91,3,0)),0,VLOOKUP(A20,'Données projet'!$A$71:$I$91,3,0))</f>
        <v>0</v>
      </c>
      <c r="AQ20" s="15">
        <f>IF(ISNA(VLOOKUP(A20,'Données projet'!$A$71:$I$91,4,0)),0,VLOOKUP(A20,'Données projet'!$A$71:$I$91,4,0))</f>
        <v>0</v>
      </c>
      <c r="AR20" s="16">
        <f>IF(ISNA(VLOOKUP(A20,'Données projet'!$A$71:$I$91,5,0)),0%,VLOOKUP(A20,'Données projet'!$A$71:$I$91,5,0)*VLOOKUP('Données projet'!$B$10,Paramètres!$A$1:$I$89,7,0))</f>
        <v>0</v>
      </c>
      <c r="AS20" s="16">
        <f>IF(ISNA(VLOOKUP(A20,'Données projet'!$A$71:$I$91,6,0)),0%,VLOOKUP(A20,'Données projet'!$A$71:$I$91,6,0)*VLOOKUP('Données projet'!$B$10,Paramètres!$A$1:$I$89,7,0))</f>
        <v>0</v>
      </c>
      <c r="AT20" s="16">
        <f>IF(ISNA(VLOOKUP(A20,'Données projet'!$A$71:$I$91,7,0)),0%,VLOOKUP(A20,'Données projet'!$A$71:$I$91,7,0))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projet'!$A$97:$I$117,2,0)</f>
        <v>#N/A</v>
      </c>
      <c r="BB20" s="12" t="e">
        <f>VLOOKUP(A20,'Données projet'!$A$97:$I$117,9,0)</f>
        <v>#N/A</v>
      </c>
      <c r="BC20" s="12">
        <f t="array" ref="BC20">INDEX(BB:BB,MIN(IF(ISNUMBER(BB20:BB216),ROW(BB20:BB216),"")))</f>
        <v>10.16068376068376</v>
      </c>
      <c r="BD20" s="12">
        <f>IF('Données projet'!$A$98&gt;35,BD19+BC20-BL19,IF(A20&lt;'Données projet'!$A$98,$BA$205^A20,IF(A20='Données projet'!$A$98,'Données projet'!$B$98,BD19+BC20-BL19)))</f>
        <v>136.93608755517039</v>
      </c>
      <c r="BE20" s="13">
        <f>BD20*VLOOKUP('Données projet'!$B$11,Paramètres!$A$1:$I$89,3,0)*VLOOKUP('Données projet'!$B$11,Paramètres!$A$1:$I$89,5,0)</f>
        <v>60.52575069938532</v>
      </c>
      <c r="BF20" s="13">
        <f t="shared" si="67"/>
        <v>17.301127715257323</v>
      </c>
      <c r="BG20" s="20">
        <f t="shared" si="7"/>
        <v>135.54847990550257</v>
      </c>
      <c r="BH20" s="59">
        <f t="shared" si="8"/>
        <v>428.88181323883589</v>
      </c>
      <c r="BI20" s="59">
        <f ca="1">AVERAGE(OFFSET($BH$3,0,0,'Données projet'!$E$11+1,1))-AVERAGE(OFFSET($H$3,0,0,'Données projet'!$E$11+1,1))</f>
        <v>211.31057120485542</v>
      </c>
      <c r="BJ20" s="59">
        <f t="shared" si="68"/>
        <v>283.33292006714777</v>
      </c>
      <c r="BK20" s="15">
        <f>IF(ISNA(VLOOKUP(A20,'Données projet'!$A$97:$I$117,3,0)),0,VLOOKUP(A20,'Données projet'!$A$97:$I$117,3,0))</f>
        <v>0</v>
      </c>
      <c r="BL20" s="15">
        <f>IF(ISNA(VLOOKUP(A20,'Données projet'!$A$97:$I$117,4,0)),0,VLOOKUP(A20,'Données projet'!$A$97:$I$117,4,0))</f>
        <v>0</v>
      </c>
      <c r="BM20" s="16">
        <f>IF(ISNA(VLOOKUP(A20,'Données projet'!$A$97:$I$117,5,0)),0%,VLOOKUP(A20,'Données projet'!$A$97:$I$117,5,0)*VLOOKUP('Données projet'!$B$11,Paramètres!$A$1:$I$89,7,0))</f>
        <v>0</v>
      </c>
      <c r="BN20" s="16">
        <f>IF(ISNA(VLOOKUP(A20,'Données projet'!$A$97:$I$117,6,0)),0%,VLOOKUP(A20,'Données projet'!$A$97:$I$117,6,0)*VLOOKUP('Données projet'!$B$11,Paramètres!$A$1:$I$89,7,0))</f>
        <v>0</v>
      </c>
      <c r="BO20" s="16">
        <f>IF(ISNA(VLOOKUP(A20,'Données projet'!$A$97:$I$117,7,0)),0%,VLOOKUP(A20,'Données projet'!$A$97:$I$117,7,0))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projet'!$A$123:$I$143,2,0)</f>
        <v>#N/A</v>
      </c>
      <c r="BW20" s="12" t="e">
        <f>VLOOKUP(A20,'Données projet'!$A$123:$I$143,9,0)</f>
        <v>#N/A</v>
      </c>
      <c r="BX20" s="12">
        <f t="array" ref="BX20">INDEX(BW:BW,MIN(IF(ISNUMBER(BW20:BW216),ROW(BW20:BW216),"")))</f>
        <v>11.2</v>
      </c>
      <c r="BY20" s="12">
        <f>IF('Données projet'!$A$124&gt;35,BY19+BX20-CG19,IF(A20&lt;'Données projet'!$A$124,$BV$205^A20,IF(A20='Données projet'!$A$124,'Données projet'!$B$124,BY19+BX20-CG19)))</f>
        <v>95.399999999999991</v>
      </c>
      <c r="BZ20" s="13">
        <f>BY20*VLOOKUP('Données projet'!$B$12,Paramètres!$A$1:$I$89,3,0)*VLOOKUP('Données projet'!$B$12,Paramètres!$A$1:$I$89,5,0)</f>
        <v>99.71208</v>
      </c>
      <c r="CA20" s="13">
        <f t="shared" si="69"/>
        <v>26.893393072251083</v>
      </c>
      <c r="CB20" s="20">
        <f t="shared" si="10"/>
        <v>220.50453226750395</v>
      </c>
      <c r="CC20" s="59">
        <f t="shared" si="11"/>
        <v>513.83786560083729</v>
      </c>
      <c r="CD20" s="59">
        <f ca="1">AVERAGE(OFFSET($CC$3,0,0,'Données projet'!$E$12+1,1))-AVERAGE(OFFSET($H$3,0,0,'Données projet'!$E$12+1,1))</f>
        <v>322.93502595881938</v>
      </c>
      <c r="CE20" s="59">
        <f t="shared" si="70"/>
        <v>302.67072119588164</v>
      </c>
      <c r="CF20" s="15">
        <f>IF(ISNA(VLOOKUP(A20,'Données projet'!$A$123:$I$143,3,0)),0,VLOOKUP(A20,'Données projet'!$A$123:$I$143,3,0))</f>
        <v>0</v>
      </c>
      <c r="CG20" s="15">
        <f>IF(ISNA(VLOOKUP(A20,'Données projet'!$A$123:$I$143,4,0)),0,VLOOKUP(A20,'Données projet'!$A$123:$I$143,4,0))</f>
        <v>0</v>
      </c>
      <c r="CH20" s="16">
        <f>IF(ISNA(VLOOKUP(A20,'Données projet'!$A$123:$I$143,5,0)),0%,VLOOKUP(A20,'Données projet'!$A$123:$I$143,5,0)*VLOOKUP('Données projet'!$B$12,Paramètres!$A$1:$I$89,7,0))</f>
        <v>0</v>
      </c>
      <c r="CI20" s="16">
        <f>IF(ISNA(VLOOKUP(A20,'Données projet'!$A$123:$I$143,6,0)),0%,VLOOKUP(A20,'Données projet'!$A$123:$I$143,6,0)*VLOOKUP('Données projet'!$B$12,Paramètres!$A$1:$I$89,7,0))</f>
        <v>0</v>
      </c>
      <c r="CJ20" s="16">
        <f>IF(ISNA(VLOOKUP(A20,'Données projet'!$A$123:$I$143,7,0)),0%,VLOOKUP(A20,'Données projet'!$A$123:$I$143,7,0))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projet'!$A$149:$I$169,2,0)</f>
        <v>#N/A</v>
      </c>
      <c r="CR20" s="12" t="e">
        <f>VLOOKUP(A20,'Données projet'!$A$149:$I$169,9,0)</f>
        <v>#N/A</v>
      </c>
      <c r="CS20" s="12">
        <f t="array" ref="CS20">INDEX(CR:CR,MIN(IF(ISNUMBER(CR20:CR216),ROW(CR20:CR216),"")))</f>
        <v>2.9235042735042733</v>
      </c>
      <c r="CT20" s="12">
        <f>IF('Données projet'!$A$150&gt;35,CT19+CS20-DB19,IF(A20&lt;'Données projet'!$A$150,$CQ$205^A20,IF(A20='Données projet'!$A$150,'Données projet'!$B$150,CT19+CS20-DB19)))</f>
        <v>12.619655315413629</v>
      </c>
      <c r="CU20" s="17">
        <f>CT20*VLOOKUP('Données projet'!$B$13,Paramètres!$A$1:$I$89,3,0)*VLOOKUP('Données projet'!$B$13,Paramètres!$A$1:$I$89,5,0)</f>
        <v>12.796330489829421</v>
      </c>
      <c r="CV20" s="13">
        <f t="shared" si="71"/>
        <v>4.383013080656192</v>
      </c>
      <c r="CW20" s="20">
        <f t="shared" si="13"/>
        <v>29.92069005192911</v>
      </c>
      <c r="CX20" s="59">
        <f t="shared" si="14"/>
        <v>323.25402338526243</v>
      </c>
      <c r="CY20" s="59">
        <f ca="1">AVERAGE(OFFSET($CX$3,0,0,'Données projet'!$E$13+1,1))-AVERAGE(OFFSET($H$3,0,0,'Données projet'!$E$13+1,1))</f>
        <v>250.31277422753283</v>
      </c>
      <c r="CZ20" s="59">
        <f t="shared" si="72"/>
        <v>159.20429420478047</v>
      </c>
      <c r="DA20" s="15">
        <f>IF(ISNA(VLOOKUP(A20,'Données projet'!$A$149:$I$169,3,0)),0,VLOOKUP(A20,'Données projet'!$A$149:$I$169,3,0))</f>
        <v>0</v>
      </c>
      <c r="DB20" s="15">
        <f>IF(ISNA(VLOOKUP(A20,'Données projet'!$A$149:$I$169,4,0)),0,VLOOKUP(A20,'Données projet'!$A$149:$I$169,4,0))</f>
        <v>0</v>
      </c>
      <c r="DC20" s="16">
        <f>IF(ISNA(VLOOKUP(A20,'Données projet'!$A$149:$I$169,5,0)),0%,VLOOKUP(A20,'Données projet'!$A$149:$I$169,5,0)*VLOOKUP('Données projet'!$B$13,Paramètres!$A$1:$I$89,7,0))</f>
        <v>0</v>
      </c>
      <c r="DD20" s="16">
        <f>IF(ISNA(VLOOKUP(A20,'Données projet'!$A$149:$I$169,6,0)),0%,VLOOKUP(A20,'Données projet'!$A$149:$I$169,6,0)*VLOOKUP('Données projet'!$B$13,Paramètres!$A$1:$I$89,7,0))</f>
        <v>0</v>
      </c>
      <c r="DE20" s="16">
        <f>IF(ISNA(VLOOKUP(A20,'Données projet'!$A$149:$I$169,7,0)),0%,VLOOKUP(A20,'Données projet'!$A$149:$I$169,7,0))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projet'!$A$175:$I$195,2,0)</f>
        <v>#N/A</v>
      </c>
      <c r="DM20" s="12" t="e">
        <f>VLOOKUP(A20,'Données projet'!$A$175:$I$195,9,0)</f>
        <v>#N/A</v>
      </c>
      <c r="DN20" s="12">
        <f t="array" ref="DN20">INDEX(DM:DM,MIN(IF(ISNUMBER(DM20:DM216),ROW(DM20:DM216),"")))</f>
        <v>16</v>
      </c>
      <c r="DO20" s="12">
        <f>IF('Données projet'!$A$176&gt;35,DO19+DN20-DW19,IF(A20&lt;'Données projet'!$A$176,$DL$205^A20,IF(A20='Données projet'!$A$176,'Données projet'!$B$176,DO19+DN20-DW19)))</f>
        <v>75</v>
      </c>
      <c r="DP20" s="17">
        <f>DO20*VLOOKUP('Données projet'!$B$14,Paramètres!$A$1:$I$89,3,0)*VLOOKUP('Données projet'!$B$14,Paramètres!$A$1:$I$89,5,0)</f>
        <v>54.99</v>
      </c>
      <c r="DQ20" s="13">
        <f t="shared" si="73"/>
        <v>15.895227919347008</v>
      </c>
      <c r="DR20" s="20">
        <f t="shared" si="16"/>
        <v>123.45843862619604</v>
      </c>
      <c r="DS20" s="59">
        <f t="shared" si="17"/>
        <v>416.79177195952934</v>
      </c>
      <c r="DT20" s="59">
        <f ca="1">AVERAGE(OFFSET($DS$3,0,0,'Données projet'!$E$14+1,1))-AVERAGE(OFFSET($H$3,0,0,'Données projet'!$E$14+1,1))</f>
        <v>296.91321813251051</v>
      </c>
      <c r="DU20" s="59">
        <f t="shared" si="74"/>
        <v>291.0718079639509</v>
      </c>
      <c r="DV20" s="15">
        <f>IF(ISNA(VLOOKUP(A20,'Données projet'!$A$175:$I$195,3,0)),0,VLOOKUP(A20,'Données projet'!$A$175:$I$195,3,0))</f>
        <v>0</v>
      </c>
      <c r="DW20" s="15">
        <f>IF(ISNA(VLOOKUP(A20,'Données projet'!$A$175:$I$195,4,0)),0,VLOOKUP(A20,'Données projet'!$A$175:$I$195,4,0))</f>
        <v>0</v>
      </c>
      <c r="DX20" s="16">
        <f>IF(ISNA(VLOOKUP(A20,'Données projet'!$A$175:$I$195,5,0)),0%,VLOOKUP(A20,'Données projet'!$A$175:$I$195,5,0)*VLOOKUP('Données projet'!$B$14,Paramètres!$A$1:$I$89,7,0))</f>
        <v>0</v>
      </c>
      <c r="DY20" s="16">
        <f>IF(ISNA(VLOOKUP(A20,'Données projet'!$A$175:$I$195,6,0)),0%,VLOOKUP(A20,'Données projet'!$A$175:$I$195,6,0)*VLOOKUP('Données projet'!$B$14,Paramètres!$A$1:$I$89,7,0))</f>
        <v>0</v>
      </c>
      <c r="DZ20" s="16">
        <f>IF(ISNA(VLOOKUP(A20,'Données projet'!$A$175:$I$195,7,0)),0%,VLOOKUP(A20,'Données projet'!$A$175:$I$195,7,0))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projet'!$A$201:$I$221,2,0)</f>
        <v>#N/A</v>
      </c>
      <c r="EH20" s="12" t="e">
        <f>VLOOKUP(A20,'Données projet'!$A$201:$I$221,9,0)</f>
        <v>#N/A</v>
      </c>
      <c r="EI20" s="12">
        <f t="array" ref="EI20">INDEX(EH:EH,MIN(IF(ISNUMBER(EH20:EH216),ROW(EH20:EH216),"")))</f>
        <v>3.4425641025641025</v>
      </c>
      <c r="EJ20" s="12">
        <f>IF('Données projet'!$A$202&gt;35,EJ19+EI20-ER19,IF(A20&lt;'Données projet'!$A$202,$EG$205^A20,IF(A20='Données projet'!$A$202,'Données projet'!$B$202,EJ19+EI20-ER19)))</f>
        <v>13.84422124990315</v>
      </c>
      <c r="EK20" s="17">
        <f>EJ20*VLOOKUP('Données projet'!$B$15,Paramètres!$A$1:$I$89,3,0)*VLOOKUP('Données projet'!$B$15,Paramètres!$A$1:$I$89,5,0)</f>
        <v>6.4790955449546734</v>
      </c>
      <c r="EL20" s="13">
        <f t="shared" si="75"/>
        <v>2.4021834741420709</v>
      </c>
      <c r="EM20" s="20">
        <f t="shared" si="19"/>
        <v>15.468227624926827</v>
      </c>
      <c r="EN20" s="59">
        <f t="shared" si="20"/>
        <v>308.80156095826015</v>
      </c>
      <c r="EO20" s="59">
        <f ca="1">AVERAGE(OFFSET($EN$3,0,0,'Données projet'!$E$15+1,1))-AVERAGE(OFFSET($H$3,0,0,'Données projet'!$E$15+1,1))</f>
        <v>147.64256291235483</v>
      </c>
      <c r="EP20" s="59">
        <f t="shared" si="76"/>
        <v>70.859031694091868</v>
      </c>
      <c r="EQ20" s="15">
        <f>IF(ISNA(VLOOKUP(A20,'Données projet'!$A$201:$I$221,3,0)),0,VLOOKUP(A20,'Données projet'!$A$201:$I$221,3,0))</f>
        <v>0</v>
      </c>
      <c r="ER20" s="15">
        <f>IF(ISNA(VLOOKUP(A20,'Données projet'!$A$201:$I$221,4,0)),0,VLOOKUP(A20,'Données projet'!$A$201:$I$221,4,0))</f>
        <v>0</v>
      </c>
      <c r="ES20" s="16">
        <f>IF(ISNA(VLOOKUP(A20,'Données projet'!$A$201:$I$221,5,0)),0%,VLOOKUP(A20,'Données projet'!$A$201:$I$221,5,0)*VLOOKUP('Données projet'!$B$15,Paramètres!$A$1:$I$89,7,0))</f>
        <v>0</v>
      </c>
      <c r="ET20" s="16">
        <f>IF(ISNA(VLOOKUP(A20,'Données projet'!$A$201:$I$221,6,0)),0%,VLOOKUP(A20,'Données projet'!$A$201:$I$221,6,0)*VLOOKUP('Données projet'!$B$15,Paramètres!$A$1:$I$89,7,0))</f>
        <v>0</v>
      </c>
      <c r="EU20" s="16">
        <f>IF(ISNA(VLOOKUP(A20,'Données projet'!$A$201:$I$221,7,0)),0%,VLOOKUP(A20,'Données projet'!$A$201:$I$221,7,0))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projet'!$A$227:$I$247,2,0)</f>
        <v>#N/A</v>
      </c>
      <c r="FC20" s="12" t="e">
        <f>VLOOKUP(A20,'Données projet'!$A$227:$I$247,9,0)</f>
        <v>#N/A</v>
      </c>
      <c r="FD20" s="12">
        <f t="array" ref="FD20">INDEX(FC:FC,MIN(IF(ISNUMBER(FC20:FC216),ROW(FC20:FC216),"")))</f>
        <v>8</v>
      </c>
      <c r="FE20" s="12">
        <f>IF('Données projet'!$A$228&gt;35,FE19+FD20-FM19,IF(A20&lt;'Données projet'!$A$228,$FB$205^A20,IF(A20='Données projet'!$A$228,'Données projet'!$B$228,FE19+FD20-FM19)))</f>
        <v>62.999999999999993</v>
      </c>
      <c r="FF20" s="17">
        <f>FE20*VLOOKUP('Données projet'!$B$16,Paramètres!$A$1:$I$89,3,0)*VLOOKUP('Données projet'!$B$16,Paramètres!$A$1:$I$89,5,0)</f>
        <v>65.8476</v>
      </c>
      <c r="FG20" s="13">
        <f t="shared" si="77"/>
        <v>18.63862905611526</v>
      </c>
      <c r="FH20" s="20">
        <f t="shared" si="22"/>
        <v>147.14684893940074</v>
      </c>
      <c r="FI20" s="59">
        <f t="shared" si="23"/>
        <v>440.48018227273406</v>
      </c>
      <c r="FJ20" s="59">
        <f ca="1">AVERAGE(OFFSET($FI$3,0,0,'Données projet'!$E$16+1,1))-AVERAGE(OFFSET($H$3,0,0,'Données projet'!$E$16+1,1))</f>
        <v>259.03906550253788</v>
      </c>
      <c r="FK20" s="59">
        <f t="shared" si="78"/>
        <v>235.54542903570831</v>
      </c>
      <c r="FL20" s="15">
        <f>IF(ISNA(VLOOKUP(A20,'Données projet'!$A$227:$I$247,3,0)),0,VLOOKUP(A20,'Données projet'!$A$227:$I$247,3,0))</f>
        <v>0</v>
      </c>
      <c r="FM20" s="15">
        <f>IF(ISNA(VLOOKUP(A20,'Données projet'!$A$227:$I$247,4,0)),0,VLOOKUP(A20,'Données projet'!$A$227:$I$247,4,0))</f>
        <v>0</v>
      </c>
      <c r="FN20" s="16">
        <f>IF(ISNA(VLOOKUP(A20,'Données projet'!$A$227:$I$247,5,0)),0%,VLOOKUP(A20,'Données projet'!$A$227:$I$247,5,0)*VLOOKUP('Données projet'!$B$16,Paramètres!$A$1:$I$89,7,0))</f>
        <v>0</v>
      </c>
      <c r="FO20" s="16">
        <f>IF(ISNA(VLOOKUP(A20,'Données projet'!$A$227:$I$247,6,0)),0%,VLOOKUP(A20,'Données projet'!$A$227:$I$247,6,0)*VLOOKUP('Données projet'!$B$16,Paramètres!$A$1:$I$89,7,0))</f>
        <v>0</v>
      </c>
      <c r="FP20" s="16">
        <f>IF(ISNA(VLOOKUP(A20,'Données projet'!$A$227:$I$247,7,0)),0%,VLOOKUP(A20,'Données projet'!$A$227:$I$247,7,0))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projet'!$A$253:$I$273,2,0)</f>
        <v>#N/A</v>
      </c>
      <c r="FX20" s="12" t="e">
        <f>VLOOKUP(A20,'Données projet'!$A$253:$I$273,9,0)</f>
        <v>#N/A</v>
      </c>
      <c r="FY20" s="12">
        <f t="array" ref="FY20">INDEX(FX:FX,MIN(IF(ISNUMBER(FX20:FX216),ROW(FX20:FX216),"")))</f>
        <v>11.6</v>
      </c>
      <c r="FZ20" s="12">
        <f>IF('Données projet'!$A$254&gt;35,FZ19+FY20-GH19,IF(A20&lt;'Données projet'!$A$254,$FW$205^A20,IF(A20='Données projet'!$A$254,'Données projet'!$B$254,FZ19+FY20-GH19)))</f>
        <v>45.2</v>
      </c>
      <c r="GA20" s="17">
        <f>FZ20*VLOOKUP('Données projet'!$B$17,Paramètres!$A$1:$I$89,3,0)*VLOOKUP('Données projet'!$B$17,Paramètres!$A$1:$I$89,5,0)</f>
        <v>39.486720000000005</v>
      </c>
      <c r="GB20" s="13">
        <f t="shared" si="79"/>
        <v>11.862499896265861</v>
      </c>
      <c r="GC20" s="20">
        <f t="shared" si="25"/>
        <v>89.433224652663043</v>
      </c>
      <c r="GD20" s="59">
        <f t="shared" si="26"/>
        <v>382.76655798599637</v>
      </c>
      <c r="GE20" s="59">
        <f ca="1">AVERAGE(OFFSET($GD$3,0,0,'Données projet'!$E$17+1,1))-AVERAGE(OFFSET($H$3,0,0,'Données projet'!$E$17+1,1))</f>
        <v>245.1983232777614</v>
      </c>
      <c r="GF20" s="59">
        <f t="shared" si="80"/>
        <v>242.34010522344573</v>
      </c>
      <c r="GG20" s="15">
        <f>IF(ISNA(VLOOKUP(A20,'Données projet'!$A$253:$I$273,3,0)),0,VLOOKUP(A20,'Données projet'!$A$253:$I$273,3,0))</f>
        <v>0</v>
      </c>
      <c r="GH20" s="15">
        <f>IF(ISNA(VLOOKUP(A20,'Données projet'!$A$253:$I$273,4,0)),0,VLOOKUP(A20,'Données projet'!$A$253:$I$273,4,0))</f>
        <v>0</v>
      </c>
      <c r="GI20" s="16">
        <f>IF(ISNA(VLOOKUP(A20,'Données projet'!$A$253:$I$273,5,0)),0%,VLOOKUP(A20,'Données projet'!$A$253:$I$273,5,0)*VLOOKUP('Données projet'!$B$17,Paramètres!$A$1:$I$89,7,0))</f>
        <v>0</v>
      </c>
      <c r="GJ20" s="16">
        <f>IF(ISNA(VLOOKUP(A20,'Données projet'!$A$253:$I$273,6,0)),0%,VLOOKUP(A20,'Données projet'!$A$253:$I$273,6,0)*VLOOKUP('Données projet'!$B$17,Paramètres!$A$1:$I$89,7,0))</f>
        <v>0</v>
      </c>
      <c r="GK20" s="16">
        <f>IF(ISNA(VLOOKUP(A20,'Données projet'!$A$253:$I$273,7,0)),0%,VLOOKUP(A20,'Données projet'!$A$253:$I$273,7,0))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projet'!$A$279:$I$299,2,0)</f>
        <v>#N/A</v>
      </c>
      <c r="GS20" s="12" t="e">
        <f>VLOOKUP(A20,'Données projet'!$A$279:$I$299,9,0)</f>
        <v>#N/A</v>
      </c>
      <c r="GT20" s="12">
        <f t="array" ref="GT20">INDEX(GS:GS,MIN(IF(ISNUMBER(GS20:GS216),ROW(GS20:GS216),"")))</f>
        <v>20.399999999999999</v>
      </c>
      <c r="GU20" s="12">
        <f>IF('Données projet'!$A$280&gt;35,GU19+GT20-HC19,IF(A20&lt;'Données projet'!$A$280,$GR$205^A20,IF(A20='Données projet'!$A$280,'Données projet'!$B$280,GU19+GT20-HC19)))</f>
        <v>102.80000000000001</v>
      </c>
      <c r="GV20" s="17">
        <f>GU20*VLOOKUP('Données projet'!$B$18,Paramètres!$A$1:$I$89,3,0)*VLOOKUP('Données projet'!$B$18,Paramètres!$A$1:$I$89,5,0)</f>
        <v>41.428400000000003</v>
      </c>
      <c r="GW20" s="13">
        <f t="shared" si="81"/>
        <v>12.376467899441744</v>
      </c>
      <c r="GX20" s="20">
        <f t="shared" si="28"/>
        <v>93.710144924861027</v>
      </c>
      <c r="GY20" s="59">
        <f t="shared" si="29"/>
        <v>387.04347825819434</v>
      </c>
      <c r="GZ20" s="59">
        <f ca="1">AVERAGE(OFFSET($GY$3,0,0,'Données projet'!$E$18+1,1))-AVERAGE(OFFSET($H$3,0,0,'Données projet'!$E$18+1,1))</f>
        <v>324.36162935850876</v>
      </c>
      <c r="HA20" s="59">
        <f t="shared" si="82"/>
        <v>265.23571072429735</v>
      </c>
      <c r="HB20" s="15">
        <f>IF(ISNA(VLOOKUP(A20,'Données projet'!$A$279:$I$299,3,0)),0,VLOOKUP(A20,'Données projet'!$A$279:$I$299,3,0))</f>
        <v>0</v>
      </c>
      <c r="HC20" s="15">
        <f>IF(ISNA(VLOOKUP(A20,'Données projet'!$A$279:$I$299,4,0)),0,VLOOKUP(A20,'Données projet'!$A$279:$I$299,4,0))</f>
        <v>0</v>
      </c>
      <c r="HD20" s="16">
        <f>IF(ISNA(VLOOKUP(A20,'Données projet'!$A$279:$I$299,5,0)),0%,VLOOKUP(A20,'Données projet'!$A$279:$I$299,5,0)*VLOOKUP('Données projet'!$B$18,Paramètres!$A$1:$I$89,7,0))</f>
        <v>0</v>
      </c>
      <c r="HE20" s="16">
        <f>IF(ISNA(VLOOKUP(A20,'Données projet'!$A$279:$I$299,6,0)),0%,VLOOKUP(A20,'Données projet'!$A$279:$I$299,6,0)*VLOOKUP('Données projet'!$B$18,Paramètres!$A$1:$I$89,7,0))</f>
        <v>0</v>
      </c>
      <c r="HF20" s="16">
        <f>IF(ISNA(VLOOKUP($A20,'Données projet'!$A$279:$I$299,7,0)),0%,VLOOKUP($A20,'Données projet'!$A$279:$I$299,7,0))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0</v>
      </c>
      <c r="HI20" s="21">
        <f>EXP(-LN(2)/2)*HI19+(1-EXP(-LN(2)/2))/(LN(2)/2)*HC20*HF20*VLOOKUP('Données projet'!$B$18,Paramètres!$A$1:$I$89,3,0)*0.475*44/12</f>
        <v>0</v>
      </c>
      <c r="HJ20" s="22">
        <f t="shared" si="30"/>
        <v>0</v>
      </c>
      <c r="HK20" s="74">
        <f>('Scénario référence'!$F$8+'Scénario référence'!$F$9+'Scénario référence'!$B$17+'Scénario référence'!$B$9+'Scénario référence'!$B$10)*70+IF((45+25*(1-EXP(-0.0175*$A20)))&lt;70,'Scénario référence'!$B$16*(45+25*(1-EXP(-0.0175*$A20))),70*'Scénario référence'!$B$16)+IF((32+38*(1-EXP(-0.0175*$A20)))&lt;70,'Scénario référence'!$B$18*(32+38*(1-EXP(-0.0175*$A20))),70*'Scénario référence'!$B$18)</f>
        <v>70</v>
      </c>
      <c r="HL20" s="12">
        <f>IF($A20&gt;30,10,('Scénario référence'!$B$16+'Scénario référence'!$B$17+'Scénario référence'!$B$18+'Scénario référence'!$B$9+'Scénario référence'!$B$10)*$A20*10/30+('Scénario référence'!$F$8+'Scénario référence'!$F$9)*10)</f>
        <v>10</v>
      </c>
      <c r="HM20" s="12">
        <f>VLOOKUP($A20,'Données projet'!$A$304:$I$324,2,0)</f>
        <v>196.90551282051274</v>
      </c>
      <c r="HN20" s="12">
        <f>VLOOKUP($A20,'Données projet'!$A$304:$I$324,9,0)</f>
        <v>19.355512820512786</v>
      </c>
      <c r="HO20" s="12">
        <f t="array" ref="HO20">INDEX(HN:HN,MIN(IF(ISNUMBER(HN20:HN216),ROW(HN20:HN216),"")))</f>
        <v>19.355512820512786</v>
      </c>
      <c r="HP20" s="12">
        <f>IF('Données projet'!$A$304&gt;35,HP19+HO20-HX19,IF($A20&lt;'Données projet'!$A$304,$CQ$205^$A20,IF($A20='Données projet'!$A$304,'Données projet'!$B$304,HP19+HO20-HX19)))</f>
        <v>196.90551282051274</v>
      </c>
      <c r="HQ20" s="17">
        <f>HP20*VLOOKUP('Données projet'!$B$19,Paramètres!$A$1:$I$89,3,0)*VLOOKUP('Données projet'!$B$19,Paramètres!$A$1:$I$89,5,0)</f>
        <v>100.13826759999998</v>
      </c>
      <c r="HR20" s="13">
        <f t="shared" si="83"/>
        <v>26.994935247983022</v>
      </c>
      <c r="HS20" s="14">
        <f t="shared" si="31"/>
        <v>221.42366162690371</v>
      </c>
      <c r="HT20" s="59">
        <f t="shared" si="32"/>
        <v>514.75699496023708</v>
      </c>
      <c r="HU20" s="59">
        <f ca="1">AVERAGE(OFFSET(HT$3,0,0,'Données projet'!$E$19+1,1))-AVERAGE(OFFSET($H$3,0,0,'Données projet'!$E$19+1,1))</f>
        <v>91.60721429656013</v>
      </c>
      <c r="HV20" s="59">
        <f t="shared" si="84"/>
        <v>258.94957804210856</v>
      </c>
      <c r="HW20" s="15">
        <f>IF(ISNA(VLOOKUP($A20,'Données projet'!$A$304:$I$324,3,0)),0,VLOOKUP($A20,'Données projet'!$A$304:$I$324,3,0))</f>
        <v>0</v>
      </c>
      <c r="HX20" s="15">
        <f>IF(ISNA(VLOOKUP($A20,'Données projet'!$A$304:$I$324,4,0)),0,VLOOKUP($A20,'Données projet'!$A$304:$I$324,4,0))</f>
        <v>0</v>
      </c>
      <c r="HY20" s="16">
        <f>IF(ISNA(VLOOKUP($A20,'Données projet'!$A$304:$I$324,5,0)),0%,VLOOKUP($A20,'Données projet'!$A$304:$I$324,5,0)*VLOOKUP('Données projet'!$B$19,Paramètres!$A$1:$I$89,7,0))</f>
        <v>0</v>
      </c>
      <c r="HZ20" s="16">
        <f>IF(ISNA(VLOOKUP($A20,'Données projet'!$A$304:$I$324,6,0)),0%,VLOOKUP($A20,'Données projet'!$A$304:$I$324,6,0)*VLOOKUP('Données projet'!$B$19,Paramètres!$A$1:$I$89,7,0))</f>
        <v>0</v>
      </c>
      <c r="IA20" s="16">
        <f>IF(ISNA(VLOOKUP($A20,'Données projet'!$A$304:$I$324,7,0)),0%,VLOOKUP($A20,'Données projet'!$A$304:$I$324,7,0))</f>
        <v>0</v>
      </c>
      <c r="IB20" s="21">
        <f>EXP(-LN(2)/35)*IB19+(1-EXP(-LN(2)/35))/(LN(2)/35)*HX20*HY20*VLOOKUP('Données projet'!$B$19,Paramètres!$A$1:$I$89,3,0)*0.475*44/12</f>
        <v>0</v>
      </c>
      <c r="IC20" s="21">
        <f>EXP(-LN(2)/25)*IC19+(1-EXP(-LN(2)/25))/(LN(2)/25)*Calculateur!HX20*Calculateur!HZ20*VLOOKUP('Données projet'!$B$19,Paramètres!$A$1:$I$89,3,0)*0.475*44/12</f>
        <v>0</v>
      </c>
      <c r="ID20" s="21">
        <f>EXP(-LN(2)/2)*ID19+(1-EXP(-LN(2)/2))/(LN(2)/2)*HX20*IA20*VLOOKUP('Données projet'!$B$19,Paramètres!$A$1:$I$89,3,0)*0.475*44/12</f>
        <v>0</v>
      </c>
      <c r="IE20" s="22">
        <f t="shared" si="33"/>
        <v>0</v>
      </c>
      <c r="IF20" s="74">
        <f>('Scénario référence'!$F$8+'Scénario référence'!$F$9+'Scénario référence'!$B$17+'Scénario référence'!$B$9+'Scénario référence'!$B$10)*70+IF((45+25*(1-EXP(-0.0175*$A20)))&lt;70,'Scénario référence'!$B$16*(45+25*(1-EXP(-0.0175*$A20))),70*'Scénario référence'!$B$16)+IF((32+38*(1-EXP(-0.0175*$A20)))&lt;70,'Scénario référence'!$B$18*(32+38*(1-EXP(-0.0175*$A20))),70*'Scénario référence'!$B$18)</f>
        <v>70</v>
      </c>
      <c r="IG20" s="12">
        <f>IF($A20&gt;30,10,('Scénario référence'!$B$16+'Scénario référence'!$B$17+'Scénario référence'!$B$18+'Scénario référence'!$B$9+'Scénario référence'!$B$10)*$A20*10/30+('Scénario référence'!$F$8+'Scénario référence'!$F$9)*10)</f>
        <v>10</v>
      </c>
      <c r="IH20" s="12">
        <f>VLOOKUP($A20,'Données projet'!$A$330:$I$350,2,0)</f>
        <v>196.90551282051274</v>
      </c>
      <c r="II20" s="12">
        <f>VLOOKUP($A20,'Données projet'!$A$330:$I$350,9,0)</f>
        <v>19.355512820512786</v>
      </c>
      <c r="IJ20" s="12">
        <f t="array" ref="IJ20">INDEX(II:II,MIN(IF(ISNUMBER(II20:II216),ROW(II20:II216),"")))</f>
        <v>19.355512820512786</v>
      </c>
      <c r="IK20" s="12">
        <f>IF('Données projet'!$A$330&gt;35,IK19+IJ20-IS19,IF($A20&lt;'Données projet'!$A$330,$CQ$205^$A20,IF($A20='Données projet'!$A$330,'Données projet'!$B$330,IK19+IJ20-IS19)))</f>
        <v>196.90551282051274</v>
      </c>
      <c r="IL20" s="17">
        <f>IK20*VLOOKUP('Données projet'!$B$20,Paramètres!$A$1:$I$89,3,0)*VLOOKUP('Données projet'!$B$20,Paramètres!$A$1:$I$89,5,0)</f>
        <v>100.13826759999998</v>
      </c>
      <c r="IM20" s="13">
        <f t="shared" si="85"/>
        <v>26.994935247983022</v>
      </c>
      <c r="IN20" s="20">
        <f t="shared" si="86"/>
        <v>221.42366162690371</v>
      </c>
      <c r="IO20" s="59">
        <f t="shared" si="87"/>
        <v>514.75699496023708</v>
      </c>
      <c r="IP20" s="59">
        <f ca="1">AVERAGE(OFFSET(IO$3,0,0,'Données projet'!$E$20+1,1))-AVERAGE(OFFSET($H$3,0,0,'Données projet'!$E$20+1,1))</f>
        <v>91.60721429656013</v>
      </c>
      <c r="IQ20" s="59">
        <f t="shared" si="88"/>
        <v>258.94957804210856</v>
      </c>
      <c r="IR20" s="15">
        <f>IF(ISNA(VLOOKUP($A20,'Données projet'!$A$330:$I$350,3,0)),0,VLOOKUP($A20,'Données projet'!$A$330:$I$350,3,0))</f>
        <v>0</v>
      </c>
      <c r="IS20" s="15">
        <f>IF(ISNA(VLOOKUP($A20,'Données projet'!$A$330:$I$350,4,0)),0,VLOOKUP($A20,'Données projet'!$A$330:$I$350,4,0))</f>
        <v>0</v>
      </c>
      <c r="IT20" s="16">
        <f>IF(ISNA(VLOOKUP($A20,'Données projet'!$A$330:$I$350,5,0)),0%,VLOOKUP($A20,'Données projet'!$A$330:$I$350,5,0)*VLOOKUP('Données projet'!$B$20,Paramètres!$A$1:$I$89,7,0))</f>
        <v>0</v>
      </c>
      <c r="IU20" s="16">
        <f>IF(ISNA(VLOOKUP($A20,'Données projet'!$A$330:$I$350,6,0)),0%,VLOOKUP($A20,'Données projet'!$A$330:$I$350,6,0)*VLOOKUP('Données projet'!$B$20,Paramètres!$A$1:$I$89,7,0))</f>
        <v>0</v>
      </c>
      <c r="IV20" s="16">
        <f>IF(ISNA(VLOOKUP($A20,'Données projet'!$A$330:$I$350,7,0)),0%,VLOOKUP($A20,'Données projet'!$A$330:$I$350,7,0))</f>
        <v>0</v>
      </c>
      <c r="IW20" s="21">
        <f>EXP(-LN(2)/35)*IW19+(1-EXP(-LN(2)/35))/(LN(2)/35)*IS20*IT20*VLOOKUP('Données projet'!$B$20,Paramètres!$A$1:$I$89,3,0)*0.475*44/12</f>
        <v>0</v>
      </c>
      <c r="IX20" s="21">
        <f>EXP(-LN(2)/25)*IX19+(1-EXP(-LN(2)/25))/(LN(2)/25)*Calculateur!IS20*Calculateur!IU20*VLOOKUP('Données projet'!$B$20,Paramètres!$A$1:$I$89,3,0)*0.475*44/12</f>
        <v>0</v>
      </c>
      <c r="IY20" s="21">
        <f>EXP(-LN(2)/2)*IY19+(1-EXP(-LN(2)/2))/(LN(2)/2)*IS20*IV20*VLOOKUP('Données projet'!$B$20,Paramètres!$A$1:$I$89,3,0)*0.475*44/12</f>
        <v>0</v>
      </c>
      <c r="IZ20" s="22">
        <f t="shared" si="89"/>
        <v>0</v>
      </c>
      <c r="JA20" s="74">
        <f>('Scénario référence'!$F$8+'Scénario référence'!$F$9+'Scénario référence'!$B$17+'Scénario référence'!$B$9+'Scénario référence'!$B$10)*70+IF((45+25*(1-EXP(-0.0175*$A20)))&lt;70,'Scénario référence'!$B$16*(45+25*(1-EXP(-0.0175*$A20))),70*'Scénario référence'!$B$16)+IF((32+38*(1-EXP(-0.0175*$A20)))&lt;70,'Scénario référence'!$B$18*(32+38*(1-EXP(-0.0175*$A20))),70*'Scénario référence'!$B$18)</f>
        <v>70</v>
      </c>
      <c r="JB20" s="12">
        <f>IF($A20&gt;30,10,('Scénario référence'!$B$16+'Scénario référence'!$B$17+'Scénario référence'!$B$18+'Scénario référence'!$B$9+'Scénario référence'!$B$10)*$A20*10/30+('Scénario référence'!$F$8+'Scénario référence'!$F$9)*10)</f>
        <v>10</v>
      </c>
      <c r="JC20" s="12" t="e">
        <f>VLOOKUP($A20,'Données projet'!$A$356:$I$376,2,0)</f>
        <v>#N/A</v>
      </c>
      <c r="JD20" s="12" t="e">
        <f>VLOOKUP($A20,'Données projet'!$A$356:$I$376,9,0)</f>
        <v>#N/A</v>
      </c>
      <c r="JE20" s="12">
        <f t="array" ref="JE20">INDEX(JD:JD,MIN(IF(ISNUMBER(JD20:JD216),ROW(JD20:JD216),"")))</f>
        <v>3.04</v>
      </c>
      <c r="JF20" s="12">
        <f>IF('Données projet'!$A$356&gt;35,JF19+JE20-JN19,IF($A20&lt;'Données projet'!$A$356,$CQ$205^$A20,IF($A20='Données projet'!$A$356,'Données projet'!$B$356,JF19+JE20-JN19)))</f>
        <v>51.679999999999993</v>
      </c>
      <c r="JG20" s="17">
        <f>JF20*VLOOKUP('Données projet'!$B$21,Paramètres!$A$1:$I$89,3,0)*VLOOKUP('Données projet'!$B$21,Paramètres!$A$1:$I$89,5,0)</f>
        <v>41.922815999999997</v>
      </c>
      <c r="JH20" s="13">
        <f t="shared" si="90"/>
        <v>12.50688854975469</v>
      </c>
      <c r="JI20" s="20">
        <f t="shared" si="91"/>
        <v>94.798402090822734</v>
      </c>
      <c r="JJ20" s="59">
        <f t="shared" si="92"/>
        <v>388.13173542415603</v>
      </c>
      <c r="JK20" s="59">
        <f ca="1">AVERAGE(OFFSET($JJ$3,0,0,'Données projet'!$E$22+1,1))-AVERAGE(OFFSET($H$3,0,0,'Données projet'!$E$22+1,1))</f>
        <v>353.35574633294613</v>
      </c>
      <c r="JL20" s="59">
        <f t="shared" si="93"/>
        <v>170.36796666474726</v>
      </c>
      <c r="JM20" s="15">
        <f>IF(ISNA(VLOOKUP($A20,'Données projet'!$A$356:$I$376,3,0)),0,VLOOKUP($A20,'Données projet'!$A$356:$I$376,3,0))</f>
        <v>0</v>
      </c>
      <c r="JN20" s="15">
        <f>IF(ISNA(VLOOKUP($A20,'Données projet'!$A$356:$I$376,4,0)),0,VLOOKUP($A20,'Données projet'!$A$356:$I$376,4,0))</f>
        <v>0</v>
      </c>
      <c r="JO20" s="16">
        <f>IF(ISNA(VLOOKUP($A20,'Données projet'!$A$356:$I$376,5,0)),0%,VLOOKUP($A20,'Données projet'!$A$356:$I$376,5,0)*VLOOKUP('Données projet'!$B$21,Paramètres!$A$1:$I$89,7,0))</f>
        <v>0</v>
      </c>
      <c r="JP20" s="16">
        <f>IF(ISNA(VLOOKUP($A20,'Données projet'!$A$356:$I$376,6,0)),0%,VLOOKUP($A20,'Données projet'!$A$356:$I$376,6,0)*VLOOKUP('Données projet'!$B$21,Paramètres!$A$1:$I$89,7,0))</f>
        <v>0</v>
      </c>
      <c r="JQ20" s="16">
        <f>IF(ISNA(VLOOKUP($A20,'Données projet'!$A$356:$I$376,7,0)),0%,VLOOKUP($A20,'Données projet'!$A$356:$I$376,7,0))</f>
        <v>0</v>
      </c>
      <c r="JR20" s="21">
        <f>EXP(-LN(2)/35)*JR19+(1-EXP(-LN(2)/35))/(LN(2)/35)*JN20*JO20*VLOOKUP('Données projet'!$B$21,Paramètres!$A$1:$I$89,3,0)*0.475*44/12</f>
        <v>0</v>
      </c>
      <c r="JS20" s="21">
        <f>EXP(-LN(2)/25)*JS19+(1-EXP(-LN(2)/25))/(LN(2)/25)*Calculateur!JN20*Calculateur!JP20*VLOOKUP('Données projet'!$B$21,Paramètres!$A$1:$I$89,3,0)*0.475*44/12</f>
        <v>0</v>
      </c>
      <c r="JT20" s="21">
        <f>EXP(-LN(2)/2)*JT19+(1-EXP(-LN(2)/2))/(LN(2)/2)*JN20*JQ20*VLOOKUP('Données projet'!$B$21,Paramètres!$A$1:$I$89,3,0)*0.475*44/12</f>
        <v>0</v>
      </c>
      <c r="JU20" s="18">
        <f t="shared" si="39"/>
        <v>0</v>
      </c>
      <c r="JV20" s="74">
        <f>('Scénario référence'!$F$8+'Scénario référence'!$F$9+'Scénario référence'!$B$17+'Scénario référence'!$B$9+'Scénario référence'!$B$10)*70+IF((45+25*(1-EXP(-0.0175*$A20)))&lt;70,'Scénario référence'!$B$16*(45+25*(1-EXP(-0.0175*$A20))),70*'Scénario référence'!$B$16)+IF((32+38*(1-EXP(-0.0175*$A20)))&lt;70,'Scénario référence'!$B$18*(32+38*(1-EXP(-0.0175*$A20))),70*'Scénario référence'!$B$18)</f>
        <v>70</v>
      </c>
      <c r="JW20" s="12">
        <f>IF($A20&gt;30,10,('Scénario référence'!$B$16+'Scénario référence'!$B$17+'Scénario référence'!$B$18+'Scénario référence'!$B$9+'Scénario référence'!$B$10)*$A20*10/30+('Scénario référence'!$F$8+'Scénario référence'!$F$9)*10)</f>
        <v>10</v>
      </c>
      <c r="JX20" s="12" t="e">
        <f>VLOOKUP($A20,'Données projet'!$A$382:$I$402,2,0)</f>
        <v>#N/A</v>
      </c>
      <c r="JY20" s="12" t="e">
        <f>VLOOKUP($A20,'Données projet'!$A$382:$I$402,9,0)</f>
        <v>#N/A</v>
      </c>
      <c r="JZ20" s="12">
        <f t="array" ref="JZ20">INDEX(JY:JY,MIN(IF(ISNUMBER(JY20:JY216),ROW(JY20:JY216),"")))</f>
        <v>4.0628205128205126</v>
      </c>
      <c r="KA20" s="12">
        <f>IF('Données projet'!$A$382&gt;35,KA19+JZ20-KI19,IF($A20&lt;'Données projet'!$A$382,$CQ$205^$A20,IF($A20='Données projet'!$A$382,'Données projet'!$B$382,KA19+JZ20-KI19)))</f>
        <v>69.067948717948724</v>
      </c>
      <c r="KB20" s="17">
        <f>KA20*VLOOKUP('Données projet'!$B$22,Paramètres!$A$1:$I$89,3,0)*VLOOKUP('Données projet'!$B$22,Paramètres!$A$1:$I$89,5,0)</f>
        <v>46.330780000000004</v>
      </c>
      <c r="KC20" s="13">
        <f t="shared" si="94"/>
        <v>13.662005438067533</v>
      </c>
      <c r="KD20" s="20">
        <f t="shared" si="95"/>
        <v>104.48743463796762</v>
      </c>
      <c r="KE20" s="59">
        <f t="shared" si="96"/>
        <v>397.82076797130094</v>
      </c>
      <c r="KF20" s="59">
        <f ca="1">AVERAGE(OFFSET($KE$3,0,0,'Données projet'!$E$22+1,1))-AVERAGE(OFFSET($H$3,0,0,'Données projet'!$E$22+1,1))</f>
        <v>193.91714772848269</v>
      </c>
      <c r="KG20" s="59">
        <f t="shared" si="97"/>
        <v>159.20429420478047</v>
      </c>
      <c r="KH20" s="15">
        <f>IF(ISNA(VLOOKUP($A20,'Données projet'!$A$382:$I$402,3,0)),0,VLOOKUP($A20,'Données projet'!$A$382:$I$402,3,0))</f>
        <v>0</v>
      </c>
      <c r="KI20" s="15">
        <f>IF(ISNA(VLOOKUP($A20,'Données projet'!$A$382:$I$402,4,0)),0,VLOOKUP($A20,'Données projet'!$A$382:$I$402,4,0))</f>
        <v>0</v>
      </c>
      <c r="KJ20" s="16">
        <f>IF(ISNA(VLOOKUP($A20,'Données projet'!$A$382:$I$402,5,0)),0%,VLOOKUP($A20,'Données projet'!$A$382:$I$402,5,0)*VLOOKUP('Données projet'!$B$22,Paramètres!$A$1:$I$89,7,0))</f>
        <v>0</v>
      </c>
      <c r="KK20" s="16">
        <f>IF(ISNA(VLOOKUP($A20,'Données projet'!$A$382:$I$402,6,0)),0%,VLOOKUP($A20,'Données projet'!$A$382:$I$402,6,0)*VLOOKUP('Données projet'!$B$22,Paramètres!$A$1:$I$89,7,0))</f>
        <v>0</v>
      </c>
      <c r="KL20" s="16">
        <f>IF(ISNA(VLOOKUP($A20,'Données projet'!$A$382:$I$402,7,0)),0%,VLOOKUP($A20,'Données projet'!$A$382:$I$402,7,0))</f>
        <v>0</v>
      </c>
      <c r="KM20" s="21">
        <f>EXP(-LN(2)/35)*KM19+(1-EXP(-LN(2)/35))/(LN(2)/35)*KI20*KJ20*VLOOKUP('Données projet'!$B$22,Paramètres!$A$1:$I$89,3,0)*0.475*44/12</f>
        <v>0</v>
      </c>
      <c r="KN20" s="21">
        <f>EXP(-LN(2)/25)*KN19+(1-EXP(-LN(2)/25))/(LN(2)/25)*Calculateur!KI20*Calculateur!KK20*VLOOKUP('Données projet'!$B$22,Paramètres!$A$1:$I$89,3,0)*0.475*44/12</f>
        <v>0</v>
      </c>
      <c r="KO20" s="21">
        <f>EXP(-LN(2)/2)*KO19+(1-EXP(-LN(2)/2))/(LN(2)/2)*KI20*KL20*VLOOKUP('Données projet'!$B$22,Paramètres!$A$1:$I$89,3,0)*0.475*44/12</f>
        <v>0</v>
      </c>
      <c r="KP20" s="22">
        <f t="shared" si="98"/>
        <v>0</v>
      </c>
      <c r="KQ20" s="74">
        <f>('Scénario référence'!$F$8+'Scénario référence'!$F$9+'Scénario référence'!$B$17+'Scénario référence'!$B$9+'Scénario référence'!$B$10)*70+IF((45+25*(1-EXP(-0.0175*$A20)))&lt;70,'Scénario référence'!$B$16*(45+25*(1-EXP(-0.0175*$A20))),70*'Scénario référence'!$B$16)+IF((32+38*(1-EXP(-0.0175*$A20)))&lt;70,'Scénario référence'!$B$18*(32+38*(1-EXP(-0.0175*$A20))),70*'Scénario référence'!$B$18)</f>
        <v>70</v>
      </c>
      <c r="KR20" s="12">
        <f>IF($A20&gt;30,10,('Scénario référence'!$B$16+'Scénario référence'!$B$17+'Scénario référence'!$B$18+'Scénario référence'!$B$9+'Scénario référence'!$B$10)*$A20*10/30+('Scénario référence'!$F$8+'Scénario référence'!$F$9)*10)</f>
        <v>10</v>
      </c>
      <c r="KS20" s="12" t="e">
        <f>VLOOKUP($A20,'Données projet'!$A$408:$I$428,2,0)</f>
        <v>#N/A</v>
      </c>
      <c r="KT20" s="12" t="e">
        <f>VLOOKUP($A20,'Données projet'!$A$408:$I$428,9,0)</f>
        <v>#N/A</v>
      </c>
      <c r="KU20" s="12">
        <f t="array" ref="KU20">INDEX(KT:KT,MIN(IF(ISNUMBER(KT20:KT216),ROW(KT20:KT216),"")))</f>
        <v>11.6</v>
      </c>
      <c r="KV20" s="12">
        <f>IF('Données projet'!$A$408&gt;35,KV19+KU20-LD19,IF($A20&lt;'Données projet'!$A$408,$CQ$205^$A20,IF($A20='Données projet'!$A$408,'Données projet'!$B$408,KV19+KU20-LD19)))</f>
        <v>45.200000000000017</v>
      </c>
      <c r="KW20" s="17">
        <f>KV20*VLOOKUP('Données projet'!$B$23,Paramètres!$A$1:$I$89,3,0)*VLOOKUP('Données projet'!$B$23,Paramètres!$A$1:$I$89,5,0)</f>
        <v>39.48672000000002</v>
      </c>
      <c r="KX20" s="13">
        <f t="shared" si="99"/>
        <v>11.862499896265861</v>
      </c>
      <c r="KY20" s="14">
        <f t="shared" si="43"/>
        <v>89.433224652663071</v>
      </c>
      <c r="KZ20" s="59">
        <f t="shared" si="44"/>
        <v>382.76655798599637</v>
      </c>
      <c r="LA20" s="59">
        <f ca="1">AVERAGE(OFFSET($KZ$3,0,0,'Données projet'!$E$23+1,1))-AVERAGE(OFFSET($H$3,0,0,'Données projet'!$E$23+1,1))</f>
        <v>248.33596943633819</v>
      </c>
      <c r="LB20" s="59">
        <f t="shared" si="100"/>
        <v>242.34010522344573</v>
      </c>
      <c r="LC20" s="15">
        <f>IF(ISNA(VLOOKUP($A20,'Données projet'!$A$408:$I$428,3,0)),0,VLOOKUP($A20,'Données projet'!$A$408:$I$428,3,0))</f>
        <v>0</v>
      </c>
      <c r="LD20" s="15">
        <f>IF(ISNA(VLOOKUP($A20,'Données projet'!$A$408:$I$428,4,0)),0,VLOOKUP($A20,'Données projet'!$A$408:$I$428,4,0))</f>
        <v>0</v>
      </c>
      <c r="LE20" s="16">
        <f>IF(ISNA(VLOOKUP($A20,'Données projet'!$A$408:$I$428,5,0)),0%,VLOOKUP($A20,'Données projet'!$A$408:$I$428,5,0)*VLOOKUP('Données projet'!$B$23,Paramètres!$A$1:$I$89,7,0))</f>
        <v>0</v>
      </c>
      <c r="LF20" s="16">
        <f>IF(ISNA(VLOOKUP($A20,'Données projet'!$A$408:$I$428,6,0)),0%,VLOOKUP($A20,'Données projet'!$A$408:$I$428,6,0)*VLOOKUP('Données projet'!$B$23,Paramètres!$A$1:$I$89,7,0))</f>
        <v>0</v>
      </c>
      <c r="LG20" s="16">
        <f>IF(ISNA(VLOOKUP($A20,'Données projet'!$A$408:$I$428,7,0)),0%,VLOOKUP($A20,'Données projet'!$A$408:$I$428,7,0))</f>
        <v>0</v>
      </c>
      <c r="LH20" s="21">
        <f>EXP(-LN(2)/35)*LH19+(1-EXP(-LN(2)/35))/(LN(2)/35)*LD20*LE20*VLOOKUP('Données projet'!$B$23,Paramètres!$A$1:$I$89,3,0)*0.475*44/12</f>
        <v>0</v>
      </c>
      <c r="LI20" s="21">
        <f>EXP(-LN(2)/25)*LI19+(1-EXP(-LN(2)/25))/(LN(2)/25)*Calculateur!LD20*Calculateur!LF20*VLOOKUP('Données projet'!$B$23,Paramètres!$A$1:$I$89,3,0)*0.475*44/12</f>
        <v>0</v>
      </c>
      <c r="LJ20" s="21">
        <f>EXP(-LN(2)/2)*LJ19+(1-EXP(-LN(2)/2))/(LN(2)/2)*LD20*LG20*VLOOKUP('Données projet'!$B$23,Paramètres!$A$1:$I$89,3,0)*0.475*44/12</f>
        <v>0</v>
      </c>
      <c r="LK20" s="22">
        <f t="shared" si="101"/>
        <v>0</v>
      </c>
      <c r="LL20" s="74">
        <f>('Scénario référence'!$F$8+'Scénario référence'!$F$9+'Scénario référence'!$B$17+'Scénario référence'!$B$9+'Scénario référence'!$B$10)*70+IF((45+25*(1-EXP(-0.0175*$A20)))&lt;70,'Scénario référence'!$B$16*(45+25*(1-EXP(-0.0175*$A20))),70*'Scénario référence'!$B$16)+IF((32+38*(1-EXP(-0.0175*$A20)))&lt;70,'Scénario référence'!$B$18*(32+38*(1-EXP(-0.0175*$A20))),70*'Scénario référence'!$B$18)</f>
        <v>70</v>
      </c>
      <c r="LM20" s="12">
        <f>IF($A20&gt;30,10,('Scénario référence'!$B$16+'Scénario référence'!$B$17+'Scénario référence'!$B$18+'Scénario référence'!$B$9+'Scénario référence'!$B$10)*$A20*10/30+('Scénario référence'!$F$8+'Scénario référence'!$F$9)*10)</f>
        <v>10</v>
      </c>
      <c r="LN20" s="12" t="e">
        <f>VLOOKUP($A20,'Données projet'!$A$434:$I$454,2,0)</f>
        <v>#N/A</v>
      </c>
      <c r="LO20" s="12" t="e">
        <f>VLOOKUP($A20,'Données projet'!$A$434:$I$454,9,0)</f>
        <v>#N/A</v>
      </c>
      <c r="LP20" s="12">
        <f t="array" ref="LP20">INDEX(LO:LO,MIN(IF(ISNUMBER(LO20:LO216),ROW(LO20:LO216),"")))</f>
        <v>2.9235042735042733</v>
      </c>
      <c r="LQ20" s="12">
        <f>IF('Données projet'!$A$434&gt;35,LQ19+LP20-LY19,IF($A20&lt;'Données projet'!$A$434,$CQ$205^$A20,IF($A20='Données projet'!$A$434,'Données projet'!$B$434,LQ19+LP20-LY19)))</f>
        <v>49.699572649572637</v>
      </c>
      <c r="LR20" s="17">
        <f>LQ20*VLOOKUP('Données projet'!$B$24,Paramètres!$A$1:$I$89,3,0)*VLOOKUP('Données projet'!$B$24,Paramètres!$A$1:$I$89,5,0)</f>
        <v>50.395366666666661</v>
      </c>
      <c r="LS20" s="13">
        <f t="shared" si="102"/>
        <v>14.715817977427751</v>
      </c>
      <c r="LT20" s="14">
        <f t="shared" si="46"/>
        <v>113.40197992179776</v>
      </c>
      <c r="LU20" s="59">
        <f t="shared" si="103"/>
        <v>406.73531325513108</v>
      </c>
      <c r="LV20" s="59">
        <f ca="1">AVERAGE(OFFSET($LU$3,0,0,'Données projet'!$E$24+1,1))-AVERAGE(OFFSET($H$3,0,0,'Données projet'!$E$24+1,1))</f>
        <v>260.52627655062872</v>
      </c>
      <c r="LW20" s="59">
        <f t="shared" si="104"/>
        <v>159.20429420478047</v>
      </c>
      <c r="LX20" s="15">
        <f>IF(ISNA(VLOOKUP($A20,'Données projet'!$A$434:$I$454,3,0)),0,VLOOKUP($A20,'Données projet'!$A$434:$I$454,3,0))</f>
        <v>0</v>
      </c>
      <c r="LY20" s="15">
        <f>IF(ISNA(VLOOKUP($A20,'Données projet'!$A$434:$I$454,4,0)),0,VLOOKUP($A20,'Données projet'!$A$434:$I$454,4,0))</f>
        <v>0</v>
      </c>
      <c r="LZ20" s="16">
        <f>IF(ISNA(VLOOKUP($A20,'Données projet'!$A$434:$I$454,5,0)),0%,VLOOKUP($A20,'Données projet'!$A$434:$I$454,5,0)*VLOOKUP('Données projet'!$B$24,Paramètres!$A$1:$I$89,7,0))</f>
        <v>0</v>
      </c>
      <c r="MA20" s="16">
        <f>IF(ISNA(VLOOKUP($A20,'Données projet'!$A$434:$I$454,6,0)),0%,VLOOKUP($A20,'Données projet'!$A$434:$I$454,6,0)*VLOOKUP('Données projet'!$B$24,Paramètres!$A$1:$I$89,7,0))</f>
        <v>0</v>
      </c>
      <c r="MB20" s="16">
        <f>IF(ISNA(VLOOKUP($A20,'Données projet'!$A$434:$I$454,7,0)),0%,VLOOKUP($A20,'Données projet'!$A$434:$I$454,7,0))</f>
        <v>0</v>
      </c>
      <c r="MC20" s="21">
        <f>EXP(-LN(2)/35)*MC19+(1-EXP(-LN(2)/35))/(LN(2)/35)*LY20*LZ20*VLOOKUP('Données projet'!$B$24,Paramètres!$A$1:$I$89,3,0)*0.475*44/12</f>
        <v>0</v>
      </c>
      <c r="MD20" s="21">
        <f>EXP(-LN(2)/25)*MD19+(1-EXP(-LN(2)/25))/(LN(2)/25)*Calculateur!LY20*Calculateur!MA20*VLOOKUP('Données projet'!$B$24,Paramètres!$A$1:$I$89,3,0)*0.475*44/12</f>
        <v>0</v>
      </c>
      <c r="ME20" s="21">
        <f>EXP(-LN(2)/2)*ME19+(1-EXP(-LN(2)/2))/(LN(2)/2)*LY20*MB20*VLOOKUP('Données projet'!$B$24,Paramètres!$A$1:$I$89,3,0)*0.475*44/12</f>
        <v>0</v>
      </c>
      <c r="MF20" s="22">
        <f t="shared" si="105"/>
        <v>0</v>
      </c>
      <c r="MG20" s="74">
        <f>('Scénario référence'!$F$8+'Scénario référence'!$F$9+'Scénario référence'!$B$17+'Scénario référence'!$B$9+'Scénario référence'!$B$10)*70+IF((45+25*(1-EXP(-0.0175*$A20)))&lt;70,'Scénario référence'!$B$16*(45+25*(1-EXP(-0.0175*$A20))),70*'Scénario référence'!$B$16)+IF((32+38*(1-EXP(-0.0175*$A20)))&lt;70,'Scénario référence'!$B$18*(32+38*(1-EXP(-0.0175*$A20))),70*'Scénario référence'!$B$18)</f>
        <v>70</v>
      </c>
      <c r="MH20" s="12">
        <f>IF($A20&gt;30,10,('Scénario référence'!$B$16+'Scénario référence'!$B$17+'Scénario référence'!$B$18+'Scénario référence'!$B$9+'Scénario référence'!$B$10)*$A20*10/30+('Scénario référence'!$F$8+'Scénario référence'!$F$9)*10)</f>
        <v>10</v>
      </c>
      <c r="MI20" s="12" t="e">
        <f>VLOOKUP($A20,'Données projet'!$A$460:$I$480,2,0)</f>
        <v>#N/A</v>
      </c>
      <c r="MJ20" s="12" t="e">
        <f>VLOOKUP($A20,'Données projet'!$A$460:$I$480,9,0)</f>
        <v>#N/A</v>
      </c>
      <c r="MK20" s="12">
        <f t="array" ref="MK20">INDEX(MJ:MJ,MIN(IF(ISNUMBER(MJ20:MJ216),ROW(MJ20:MJ216),"")))</f>
        <v>0</v>
      </c>
      <c r="ML20" s="12">
        <f>IF('Données projet'!$A$460&gt;35,ML19+MK20-MT19,IF($A20&lt;'Données projet'!$A$460,$CQ$205^$A20,IF($A20='Données projet'!$A$460,'Données projet'!$B$460,ML19+MK20-MT19)))</f>
        <v>0</v>
      </c>
      <c r="MM20" s="17" t="e">
        <f>ML20*VLOOKUP('Données projet'!$B$25,Paramètres!$A$1:$I$89,3,0)*VLOOKUP('Données projet'!$B$25,Paramètres!$A$1:$I$89,5,0)</f>
        <v>#N/A</v>
      </c>
      <c r="MN20" s="13" t="e">
        <f t="shared" si="106"/>
        <v>#N/A</v>
      </c>
      <c r="MO20" s="14" t="e">
        <f t="shared" si="49"/>
        <v>#N/A</v>
      </c>
      <c r="MP20" s="59" t="e">
        <f t="shared" si="50"/>
        <v>#N/A</v>
      </c>
      <c r="MQ20" s="20" t="e">
        <f ca="1">AVERAGE(OFFSET($MP$3,0,0,'Données projet'!$E$25+1,1))-AVERAGE(OFFSET($H$3,0,0,'Données projet'!$E$25+1,1))</f>
        <v>#N/A</v>
      </c>
      <c r="MR20" s="59" t="e">
        <f t="shared" si="107"/>
        <v>#N/A</v>
      </c>
      <c r="MS20" s="15">
        <f>IF(ISNA(VLOOKUP($A20,'Données projet'!$A$460:$I$480,3,0)),0,VLOOKUP($A20,'Données projet'!$A$460:$I$480,3,0))</f>
        <v>0</v>
      </c>
      <c r="MT20" s="15">
        <f>IF(ISNA(VLOOKUP($A20,'Données projet'!$A$460:$I$480,4,0)),0,VLOOKUP($A20,'Données projet'!$A$460:$I$480,4,0))</f>
        <v>0</v>
      </c>
      <c r="MU20" s="16">
        <f>IF(ISNA(VLOOKUP($A20,'Données projet'!$A$460:$I$480,5,0)),0%,VLOOKUP($A20,'Données projet'!$A$460:$I$480,5,0)*VLOOKUP('Données projet'!$B$25,Paramètres!$A$1:$I$89,7,0))</f>
        <v>0</v>
      </c>
      <c r="MV20" s="16">
        <f>IF(ISNA(VLOOKUP($A20,'Données projet'!$A$460:$I$480,6,0)),0%,VLOOKUP($A20,'Données projet'!$A$460:$I$480,6,0)*VLOOKUP('Données projet'!$B$25,Paramètres!$A$1:$I$89,7,0))</f>
        <v>0</v>
      </c>
      <c r="MW20" s="16">
        <f>IF(ISNA(VLOOKUP($A20,'Données projet'!$A$460:$I$480,7,0)),0%,VLOOKUP($A20,'Données projet'!$A$460:$I$480,7,0))</f>
        <v>0</v>
      </c>
      <c r="MX20" s="21" t="e">
        <f>EXP(-LN(2)/35)*MX19+(1-EXP(-LN(2)/35))/(LN(2)/35)*MT20*MU20*VLOOKUP('Données projet'!$B$25,Paramètres!$A$1:$I$89,3,0)*0.475*44/12</f>
        <v>#N/A</v>
      </c>
      <c r="MY20" s="21" t="e">
        <f>EXP(-LN(2)/25)*MY19+(1-EXP(-LN(2)/25))/(LN(2)/25)*Calculateur!MT20*Calculateur!MV20*VLOOKUP('Données projet'!$B$25,Paramètres!$A$1:$I$89,3,0)*0.475*44/12</f>
        <v>#N/A</v>
      </c>
      <c r="MZ20" s="21" t="e">
        <f>EXP(-LN(2)/2)*MZ19+(1-EXP(-LN(2)/2))/(LN(2)/2)*MT20*MW20*VLOOKUP('Données projet'!$B$25,Paramètres!$A$1:$I$89,3,0)*0.475*44/12</f>
        <v>#N/A</v>
      </c>
      <c r="NA20" s="22" t="e">
        <f t="shared" si="108"/>
        <v>#N/A</v>
      </c>
      <c r="NB20" s="74">
        <f>('Scénario référence'!$F$8+'Scénario référence'!$F$9+'Scénario référence'!$B$17+'Scénario référence'!$B$9+'Scénario référence'!$B$10)*70+IF((45+25*(1-EXP(-0.0175*$A20)))&lt;70,'Scénario référence'!$B$16*(45+25*(1-EXP(-0.0175*$A20))),70*'Scénario référence'!$B$16)+IF((32+38*(1-EXP(-0.0175*$A20)))&lt;70,'Scénario référence'!$B$18*(32+38*(1-EXP(-0.0175*$A20))),70*'Scénario référence'!$B$18)</f>
        <v>70</v>
      </c>
      <c r="NC20" s="12">
        <f>IF($A20&gt;30,10,('Scénario référence'!$B$16+'Scénario référence'!$B$17+'Scénario référence'!$B$18+'Scénario référence'!$B$9+'Scénario référence'!$B$10)*$A20*10/30+('Scénario référence'!$F$8+'Scénario référence'!$F$9)*10)</f>
        <v>10</v>
      </c>
      <c r="ND20" s="12" t="e">
        <f>VLOOKUP($A20,'Données projet'!$A$486:$I$506,2,0)</f>
        <v>#N/A</v>
      </c>
      <c r="NE20" s="12" t="e">
        <f>VLOOKUP($A20,'Données projet'!$A$486:$I$506,9,0)</f>
        <v>#N/A</v>
      </c>
      <c r="NF20" s="12">
        <f t="array" ref="NF20">INDEX(NE:NE,MIN(IF(ISNUMBER(NE20:NE216),ROW(NE20:NE216),"")))</f>
        <v>0</v>
      </c>
      <c r="NG20" s="12">
        <f>IF('Données projet'!$A$486&gt;35,NG19+NF20-NO19,IF($A20&lt;'Données projet'!$A$486,$CQ$205^$A20,IF($A20='Données projet'!$A$486,'Données projet'!$B$486,NG19+NF20-NO19)))</f>
        <v>0</v>
      </c>
      <c r="NH20" s="17" t="e">
        <f>NG20*VLOOKUP('Données projet'!$B$26,Paramètres!$A$1:$I$89,3,0)*VLOOKUP('Données projet'!$B$26,Paramètres!$A$1:$I$89,5,0)</f>
        <v>#N/A</v>
      </c>
      <c r="NI20" s="13" t="e">
        <f t="shared" si="109"/>
        <v>#N/A</v>
      </c>
      <c r="NJ20" s="14" t="e">
        <f t="shared" si="52"/>
        <v>#N/A</v>
      </c>
      <c r="NK20" s="59" t="e">
        <f t="shared" si="53"/>
        <v>#N/A</v>
      </c>
      <c r="NL20" s="20" t="e">
        <f ca="1">AVERAGE(OFFSET($NK$3,0,0,'Données projet'!$E$26+1,1))-AVERAGE(OFFSET($H$3,0,0,'Données projet'!$E$26+1,1))</f>
        <v>#N/A</v>
      </c>
      <c r="NM20" s="59" t="e">
        <f t="shared" si="110"/>
        <v>#N/A</v>
      </c>
      <c r="NN20" s="15">
        <f>IF(ISNA(VLOOKUP($A20,'Données projet'!$A$486:$I$506,3,0)),0,VLOOKUP($A20,'Données projet'!$A$486:$I$506,3,0))</f>
        <v>0</v>
      </c>
      <c r="NO20" s="15">
        <f>IF(ISNA(VLOOKUP($A20,'Données projet'!$A$486:$I$506,4,0)),0,VLOOKUP($A20,'Données projet'!$A$486:$I$506,4,0))</f>
        <v>0</v>
      </c>
      <c r="NP20" s="16">
        <f>IF(ISNA(VLOOKUP($A20,'Données projet'!$A$486:$I$506,5,0)),0%,VLOOKUP($A20,'Données projet'!$A$486:$I$506,5,0)*VLOOKUP('Données projet'!$B$26,Paramètres!$A$1:$I$89,7,0))</f>
        <v>0</v>
      </c>
      <c r="NQ20" s="16">
        <f>IF(ISNA(VLOOKUP($A20,'Données projet'!$A$486:$I$506,6,0)),0%,VLOOKUP($A20,'Données projet'!$A$486:$I$506,6,0)*VLOOKUP('Données projet'!$B$26,Paramètres!$A$1:$I$89,7,0))</f>
        <v>0</v>
      </c>
      <c r="NR20" s="16">
        <f>IF(ISNA(VLOOKUP($A20,'Données projet'!$A$486:$I$506,7,0)),0%,VLOOKUP($A20,'Données projet'!$A$486:$I$506,7,0))</f>
        <v>0</v>
      </c>
      <c r="NS20" s="21" t="e">
        <f>EXP(-LN(2)/35)*NS19+(1-EXP(-LN(2)/35))/(LN(2)/35)*NO20*NP20*VLOOKUP('Données projet'!$B$26,Paramètres!$A$1:$I$89,3,0)*0.475*44/12</f>
        <v>#N/A</v>
      </c>
      <c r="NT20" s="21" t="e">
        <f>EXP(-LN(2)/25)*NT19+(1-EXP(-LN(2)/25))/(LN(2)/25)*Calculateur!NO20*Calculateur!NQ20*VLOOKUP('Données projet'!$B$26,Paramètres!$A$1:$I$89,3,0)*0.475*44/12</f>
        <v>#N/A</v>
      </c>
      <c r="NU20" s="21" t="e">
        <f>EXP(-LN(2)/2)*NU19+(1-EXP(-LN(2)/2))/(LN(2)/2)*NO20*NR20*VLOOKUP('Données projet'!$B$26,Paramètres!$A$1:$I$89,3,0)*0.475*44/12</f>
        <v>#N/A</v>
      </c>
      <c r="NV20" s="22" t="e">
        <f t="shared" si="111"/>
        <v>#N/A</v>
      </c>
      <c r="NW20" s="74">
        <f>('Scénario référence'!$F$8+'Scénario référence'!$F$9+'Scénario référence'!$B$17+'Scénario référence'!$B$9+'Scénario référence'!$B$10)*70+IF((45+25*(1-EXP(-0.0175*$A20)))&lt;70,'Scénario référence'!$B$16*(45+25*(1-EXP(-0.0175*$A20))),70*'Scénario référence'!$B$16)+IF((32+38*(1-EXP(-0.0175*$A20)))&lt;70,'Scénario référence'!$B$18*(32+38*(1-EXP(-0.0175*$A20))),70*'Scénario référence'!$B$18)</f>
        <v>70</v>
      </c>
      <c r="NX20" s="12">
        <f>IF($A20&gt;30,10,('Scénario référence'!$B$16+'Scénario référence'!$B$17+'Scénario référence'!$B$18+'Scénario référence'!$B$9+'Scénario référence'!$B$10)*$A20*10/30+('Scénario référence'!$F$8+'Scénario référence'!$F$9)*10)</f>
        <v>10</v>
      </c>
      <c r="NY20" s="12" t="e">
        <f>VLOOKUP($A20,'Données projet'!$A$512:$I$532,2,0)</f>
        <v>#N/A</v>
      </c>
      <c r="NZ20" s="12" t="e">
        <f>VLOOKUP($A20,'Données projet'!$A$512:$I$532,9,0)</f>
        <v>#N/A</v>
      </c>
      <c r="OA20" s="12">
        <f t="array" ref="OA20">INDEX(NZ:NZ,MIN(IF(ISNUMBER(NZ20:NZ216),ROW(NZ20:NZ216),"")))</f>
        <v>0</v>
      </c>
      <c r="OB20" s="12">
        <f>IF('Données projet'!$A$512&gt;35,OB19+OA20-OJ19,IF($A20&lt;'Données projet'!$A$512,$CQ$205^$A20,IF($A20='Données projet'!$A$512,'Données projet'!$B$512,OB19+OA20-OJ19)))</f>
        <v>0</v>
      </c>
      <c r="OC20" s="17" t="e">
        <f>OB20*VLOOKUP('Données projet'!$B$27,Paramètres!$A$1:$I$89,3,0)*VLOOKUP('Données projet'!$B$27,Paramètres!$A$1:$I$89,5,0)</f>
        <v>#N/A</v>
      </c>
      <c r="OD20" s="13" t="e">
        <f t="shared" si="112"/>
        <v>#N/A</v>
      </c>
      <c r="OE20" s="14" t="e">
        <f t="shared" si="55"/>
        <v>#N/A</v>
      </c>
      <c r="OF20" s="59" t="e">
        <f t="shared" si="56"/>
        <v>#N/A</v>
      </c>
      <c r="OG20" s="20" t="e">
        <f ca="1">AVERAGE(OFFSET($OF$3,0,0,'Données projet'!$E$27+1,1))-AVERAGE(OFFSET($H$3,0,0,'Données projet'!$E$27+1,1))</f>
        <v>#N/A</v>
      </c>
      <c r="OH20" s="59" t="e">
        <f t="shared" si="113"/>
        <v>#N/A</v>
      </c>
      <c r="OI20" s="15">
        <f>IF(ISNA(VLOOKUP($A20,'Données projet'!$A$512:$I$532,3,0)),0,VLOOKUP($A20,'Données projet'!$A$512:$I$532,3,0))</f>
        <v>0</v>
      </c>
      <c r="OJ20" s="15">
        <f>IF(ISNA(VLOOKUP($A20,'Données projet'!$A$512:$I$532,4,0)),0,VLOOKUP($A20,'Données projet'!$A$512:$I$532,4,0))</f>
        <v>0</v>
      </c>
      <c r="OK20" s="16">
        <f>IF(ISNA(VLOOKUP($A20,'Données projet'!$A$512:$I$532,5,0)),0%,VLOOKUP($A20,'Données projet'!$A$512:$I$532,5,0)*VLOOKUP('Données projet'!$B$27,Paramètres!$A$1:$I$89,7,0))</f>
        <v>0</v>
      </c>
      <c r="OL20" s="16">
        <f>IF(ISNA(VLOOKUP($A20,'Données projet'!$A$512:$I$532,6,0)),0%,VLOOKUP($A20,'Données projet'!$A$512:$I$532,6,0)*VLOOKUP('Données projet'!$B$27,Paramètres!$A$1:$I$89,7,0))</f>
        <v>0</v>
      </c>
      <c r="OM20" s="16">
        <f>IF(ISNA(VLOOKUP($A20,'Données projet'!$A$512:$I$532,7,0)),0%,VLOOKUP($A20,'Données projet'!$A$512:$I$532,7,0))</f>
        <v>0</v>
      </c>
      <c r="ON20" s="21" t="e">
        <f>EXP(-LN(2)/35)*ON19+(1-EXP(-LN(2)/35))/(LN(2)/35)*OJ20*OK20*VLOOKUP('Données projet'!$B$27,Paramètres!$A$1:$I$89,3,0)*0.475*44/12</f>
        <v>#N/A</v>
      </c>
      <c r="OO20" s="21" t="e">
        <f>EXP(-LN(2)/25)*OO19+(1-EXP(-LN(2)/25))/(LN(2)/25)*Calculateur!OJ20*Calculateur!OL20*VLOOKUP('Données projet'!$B$27,Paramètres!$A$1:$I$89,3,0)*0.475*44/12</f>
        <v>#N/A</v>
      </c>
      <c r="OP20" s="21" t="e">
        <f>EXP(-LN(2)/2)*OP19+(1-EXP(-LN(2)/2))/(LN(2)/2)*OJ20*OM20*VLOOKUP('Données projet'!$B$27,Paramètres!$A$1:$I$89,3,0)*0.475*44/12</f>
        <v>#N/A</v>
      </c>
      <c r="OQ20" s="22" t="e">
        <f t="shared" si="114"/>
        <v>#N/A</v>
      </c>
      <c r="OR20" s="74">
        <f>('Scénario référence'!$F$8+'Scénario référence'!$F$9+'Scénario référence'!$B$17+'Scénario référence'!$B$9+'Scénario référence'!$B$10)*70+IF((45+25*(1-EXP(-0.0175*$A20)))&lt;70,'Scénario référence'!$B$16*(45+25*(1-EXP(-0.0175*$A20))),70*'Scénario référence'!$B$16)+IF((32+38*(1-EXP(-0.0175*$A20)))&lt;70,'Scénario référence'!$B$18*(32+38*(1-EXP(-0.0175*$A20))),70*'Scénario référence'!$B$18)</f>
        <v>70</v>
      </c>
      <c r="OS20" s="12">
        <f>IF($A20&gt;30,10,('Scénario référence'!$B$16+'Scénario référence'!$B$17+'Scénario référence'!$B$18+'Scénario référence'!$B$9+'Scénario référence'!$B$10)*$A20*10/30+('Scénario référence'!$F$8+'Scénario référence'!$F$9)*10)</f>
        <v>10</v>
      </c>
      <c r="OT20" s="12" t="e">
        <f>VLOOKUP($A20,'Données projet'!$A$538:$I$558,2,0)</f>
        <v>#N/A</v>
      </c>
      <c r="OU20" s="12" t="e">
        <f>VLOOKUP($A20,'Données projet'!$A$538:$I$558,9,0)</f>
        <v>#N/A</v>
      </c>
      <c r="OV20" s="12">
        <f t="array" ref="OV20">INDEX(OU:OU,MIN(IF(ISNUMBER(OU20:OU216),ROW(OU20:OU216),"")))</f>
        <v>0</v>
      </c>
      <c r="OW20" s="12">
        <f>IF('Données projet'!$A$538&gt;35,OW19+OV20-PE19,IF($A20&lt;'Données projet'!$A$538,$CQ$205^$A20,IF($A20='Données projet'!$A$538,'Données projet'!$B$538,OW19+OV20-PE19)))</f>
        <v>0</v>
      </c>
      <c r="OX20" s="17" t="e">
        <f>OW20*VLOOKUP('Données projet'!$B$28,Paramètres!$A$1:$I$89,3,0)*VLOOKUP('Données projet'!$B$28,Paramètres!$A$1:$I$89,5,0)</f>
        <v>#N/A</v>
      </c>
      <c r="OY20" s="13" t="e">
        <f t="shared" si="115"/>
        <v>#N/A</v>
      </c>
      <c r="OZ20" s="14" t="e">
        <f t="shared" si="58"/>
        <v>#N/A</v>
      </c>
      <c r="PA20" s="59" t="e">
        <f t="shared" si="59"/>
        <v>#N/A</v>
      </c>
      <c r="PB20" s="20" t="e">
        <f ca="1">AVERAGE(OFFSET($PA$3,0,0,'Données projet'!$E$28+1,1))-AVERAGE(OFFSET($H$3,0,0,'Données projet'!$E$28+1,1))</f>
        <v>#N/A</v>
      </c>
      <c r="PC20" s="59" t="e">
        <f t="shared" si="116"/>
        <v>#N/A</v>
      </c>
      <c r="PD20" s="15">
        <f>IF(ISNA(VLOOKUP($A20,'Données projet'!$A$538:$I$558,3,0)),0,VLOOKUP($A20,'Données projet'!$A$538:$I$558,3,0))</f>
        <v>0</v>
      </c>
      <c r="PE20" s="15">
        <f>IF(ISNA(VLOOKUP($A20,'Données projet'!$A$538:$I$558,4,0)),0,VLOOKUP($A20,'Données projet'!$A$538:$I$558,4,0))</f>
        <v>0</v>
      </c>
      <c r="PF20" s="16">
        <f>IF(ISNA(VLOOKUP($A20,'Données projet'!$A$538:$I$558,5,0)),0%,VLOOKUP($A20,'Données projet'!$A$538:$I$558,5,0)*VLOOKUP('Données projet'!$B$28,Paramètres!$A$1:$I$89,7,0))</f>
        <v>0</v>
      </c>
      <c r="PG20" s="16">
        <f>IF(ISNA(VLOOKUP($A20,'Données projet'!$A$538:$I$558,6,0)),0%,VLOOKUP($A20,'Données projet'!$A$538:$I$558,6,0)*VLOOKUP('Données projet'!$B$28,Paramètres!$A$1:$I$89,7,0))</f>
        <v>0</v>
      </c>
      <c r="PH20" s="16">
        <f>IF(ISNA(VLOOKUP($A20,'Données projet'!$A$538:$I$558,7,0)),0%,VLOOKUP($A20,'Données projet'!$A$538:$I$558,7,0))</f>
        <v>0</v>
      </c>
      <c r="PI20" s="21" t="e">
        <f>EXP(-LN(2)/35)*PI19+(1-EXP(-LN(2)/35))/(LN(2)/35)*PE20*PF20*VLOOKUP('Données projet'!$B$28,Paramètres!$A$1:$I$89,3,0)*0.475*44/12</f>
        <v>#N/A</v>
      </c>
      <c r="PJ20" s="21" t="e">
        <f>EXP(-LN(2)/25)*PJ19+(1-EXP(-LN(2)/25))/(LN(2)/25)*Calculateur!PE20*Calculateur!PG20*VLOOKUP('Données projet'!$B$28,Paramètres!$A$1:$I$89,3,0)*0.475*44/12</f>
        <v>#N/A</v>
      </c>
      <c r="PK20" s="21" t="e">
        <f>EXP(-LN(2)/2)*PK19+(1-EXP(-LN(2)/2))/(LN(2)/2)*PE20*PH20*VLOOKUP('Données projet'!$B$28,Paramètres!$A$1:$I$89,3,0)*0.475*44/12</f>
        <v>#N/A</v>
      </c>
      <c r="PL20" s="22" t="e">
        <f t="shared" si="117"/>
        <v>#N/A</v>
      </c>
    </row>
    <row r="21" spans="1:428" x14ac:dyDescent="0.35">
      <c r="A21" s="10">
        <f t="shared" si="6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6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projet'!$A$45:$I$65,2,0)</f>
        <v>182.89230769230767</v>
      </c>
      <c r="L21" s="12">
        <f>VLOOKUP(A21,'Données projet'!$A$45:$I$65,9,0)</f>
        <v>10.16068376068376</v>
      </c>
      <c r="M21" s="12">
        <f t="array" ref="M21">INDEX(L:L,MIN(IF(ISNUMBER(L21:L217),ROW(L21:L217),"")))</f>
        <v>10.16068376068376</v>
      </c>
      <c r="N21" s="13">
        <f>IF('Données projet'!$A$46&gt;35,N20+M21-V20,IF(A21&lt;'Données projet'!$A$46,$K$205^A21,IF(A21='Données projet'!$A$46,'Données projet'!$B$46,N20+M21-V20)))</f>
        <v>182.89230769230767</v>
      </c>
      <c r="O21" s="13">
        <f>N21*VLOOKUP('Données projet'!$B$9,Paramètres!$A$1:$I$89,3,0)*VLOOKUP('Données projet'!$B$9,Paramètres!$A$1:$I$89,5,0)</f>
        <v>102.23679999999999</v>
      </c>
      <c r="P21" s="13">
        <f t="shared" si="63"/>
        <v>27.494196289326943</v>
      </c>
      <c r="Q21" s="20">
        <f t="shared" si="2"/>
        <v>225.9481518705777</v>
      </c>
      <c r="R21" s="59">
        <f t="shared" si="0"/>
        <v>519.28148520391096</v>
      </c>
      <c r="S21" s="59">
        <f ca="1">AVERAGE(OFFSET($R$3,0,0,'Données projet'!$E$9+1,1))-AVERAGE(OFFSET($H$3,0,0,'Données projet'!$E$9+1,1))</f>
        <v>274.57619581652199</v>
      </c>
      <c r="T21" s="59">
        <f t="shared" si="64"/>
        <v>366.15117322598775</v>
      </c>
      <c r="U21" s="15">
        <f>IF(ISNA(VLOOKUP(A21,'Données projet'!$A$45:$I$65,3,0)),0,VLOOKUP(A21,'Données projet'!$A$45:$I$65,3,0))</f>
        <v>1</v>
      </c>
      <c r="V21" s="15">
        <f>IF(ISNA(VLOOKUP(A21,'Données projet'!$A$45:$I$65,4,0)),0,VLOOKUP(A21,'Données projet'!$A$45:$I$65,4,0))</f>
        <v>69.284615384615378</v>
      </c>
      <c r="W21" s="16">
        <f>IF(ISNA(VLOOKUP(A21,'Données projet'!$A$45:$I$65,5,0)),0%,VLOOKUP(A21,'Données projet'!$A$45:$I$65,5,0)*VLOOKUP('Données projet'!$B$9,Paramètres!$A$1:$I$89,7,0))</f>
        <v>0</v>
      </c>
      <c r="X21" s="16">
        <f>IF(ISNA(VLOOKUP(A21,'Données projet'!$A$45:$I$65,6,0)),0%,VLOOKUP(A21,'Données projet'!$A$45:$I$65,6,0)*VLOOKUP('Données projet'!$B$9,Paramètres!$A$1:$I$89,7,0))</f>
        <v>0.30800000000000005</v>
      </c>
      <c r="Y21" s="16">
        <f>IF(ISNA(VLOOKUP(A21,'Données projet'!$A$45:$I$65,7,0)),0%,VLOOKUP(A21,'Données projet'!$A$45:$I$65,7,0))</f>
        <v>0.44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15.762109241455983</v>
      </c>
      <c r="AB21" s="21">
        <f>EXP(-LN(2)/2)*AB20+(1-EXP(-LN(2)/2))/(LN(2)/2)*V21*Y21*VLOOKUP('Données projet'!$B$9,Paramètres!$A$1:$I$89,3,0)*0.475*44/12</f>
        <v>19.294646846829099</v>
      </c>
      <c r="AC21" s="22">
        <f t="shared" si="3"/>
        <v>35.056756088285084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projet'!$A$71:$I$91,2,0)</f>
        <v>#N/A</v>
      </c>
      <c r="AG21" s="12" t="e">
        <f>VLOOKUP(A21,'Données projet'!$A$71:$I$91,9,0)</f>
        <v>#N/A</v>
      </c>
      <c r="AH21" s="12">
        <f t="array" ref="AH21">INDEX(AG:AG,MIN(IF(ISNUMBER(AG21:AG217),ROW(AG21:AG217),"")))</f>
        <v>4.0628205128205126</v>
      </c>
      <c r="AI21" s="13">
        <f>IF('Données projet'!$A$72&gt;35,AI20+AH21-AQ20,IF(A21&lt;'Données projet'!$A$72,$AF$205^A21,IF(A21='Données projet'!$A$72,'Données projet'!$B$72,AI20+AH21-AQ20)))</f>
        <v>17.847168942782186</v>
      </c>
      <c r="AJ21" s="13">
        <f>AI21*VLOOKUP('Données projet'!$B$10,Paramètres!$A$1:$I$89,3,0)*VLOOKUP('Données projet'!$B$10,Paramètres!$A$1:$I$89,5,0)</f>
        <v>16.148118459429323</v>
      </c>
      <c r="AK21" s="13">
        <f t="shared" si="65"/>
        <v>5.3833002038747271</v>
      </c>
      <c r="AL21" s="20">
        <f t="shared" si="4"/>
        <v>37.500554171921223</v>
      </c>
      <c r="AM21" s="59">
        <f t="shared" si="5"/>
        <v>330.83388750525455</v>
      </c>
      <c r="AN21" s="59">
        <f ca="1">AVERAGE(OFFSET($AM$3,0,0,'Données projet'!$E$10+1,1))-AVERAGE(OFFSET($H$3,0,0,'Données projet'!$E$10+1,1))</f>
        <v>270.87836509222456</v>
      </c>
      <c r="AO21" s="59">
        <f t="shared" si="66"/>
        <v>205.24998237949734</v>
      </c>
      <c r="AP21" s="15">
        <f>IF(ISNA(VLOOKUP(A21,'Données projet'!$A$71:$I$91,3,0)),0,VLOOKUP(A21,'Données projet'!$A$71:$I$91,3,0))</f>
        <v>0</v>
      </c>
      <c r="AQ21" s="15">
        <f>IF(ISNA(VLOOKUP(A21,'Données projet'!$A$71:$I$91,4,0)),0,VLOOKUP(A21,'Données projet'!$A$71:$I$91,4,0))</f>
        <v>0</v>
      </c>
      <c r="AR21" s="16">
        <f>IF(ISNA(VLOOKUP(A21,'Données projet'!$A$71:$I$91,5,0)),0%,VLOOKUP(A21,'Données projet'!$A$71:$I$91,5,0)*VLOOKUP('Données projet'!$B$10,Paramètres!$A$1:$I$89,7,0))</f>
        <v>0</v>
      </c>
      <c r="AS21" s="16">
        <f>IF(ISNA(VLOOKUP(A21,'Données projet'!$A$71:$I$91,6,0)),0%,VLOOKUP(A21,'Données projet'!$A$71:$I$91,6,0)*VLOOKUP('Données projet'!$B$10,Paramètres!$A$1:$I$89,7,0))</f>
        <v>0</v>
      </c>
      <c r="AT21" s="16">
        <f>IF(ISNA(VLOOKUP(A21,'Données projet'!$A$71:$I$91,7,0)),0%,VLOOKUP(A21,'Données projet'!$A$71:$I$91,7,0))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>
        <f>VLOOKUP(A21,'Données projet'!$A$97:$I$117,2,0)</f>
        <v>182.89230769230767</v>
      </c>
      <c r="BB21" s="12">
        <f>VLOOKUP(A21,'Données projet'!$A$97:$I$117,9,0)</f>
        <v>10.16068376068376</v>
      </c>
      <c r="BC21" s="12">
        <f t="array" ref="BC21">INDEX(BB:BB,MIN(IF(ISNUMBER(BB21:BB217),ROW(BB21:BB217),"")))</f>
        <v>10.16068376068376</v>
      </c>
      <c r="BD21" s="12">
        <f>IF('Données projet'!$A$98&gt;35,BD20+BC21-BL20,IF(A21&lt;'Données projet'!$A$98,$BA$205^A21,IF(A21='Données projet'!$A$98,'Données projet'!$B$98,BD20+BC21-BL20)))</f>
        <v>182.89230769230767</v>
      </c>
      <c r="BE21" s="13">
        <f>BD21*VLOOKUP('Données projet'!$B$11,Paramètres!$A$1:$I$89,3,0)*VLOOKUP('Données projet'!$B$11,Paramètres!$A$1:$I$89,5,0)</f>
        <v>80.838399999999993</v>
      </c>
      <c r="BF21" s="13">
        <f t="shared" si="67"/>
        <v>22.342052739481037</v>
      </c>
      <c r="BG21" s="20">
        <f t="shared" si="7"/>
        <v>179.70595518792945</v>
      </c>
      <c r="BH21" s="59">
        <f t="shared" si="8"/>
        <v>473.03928852126273</v>
      </c>
      <c r="BI21" s="59">
        <f ca="1">AVERAGE(OFFSET($BH$3,0,0,'Données projet'!$E$11+1,1))-AVERAGE(OFFSET($H$3,0,0,'Données projet'!$E$11+1,1))</f>
        <v>211.31057120485542</v>
      </c>
      <c r="BJ21" s="59">
        <f t="shared" si="68"/>
        <v>283.33292006714777</v>
      </c>
      <c r="BK21" s="15">
        <f>IF(ISNA(VLOOKUP(A21,'Données projet'!$A$97:$I$117,3,0)),0,VLOOKUP(A21,'Données projet'!$A$97:$I$117,3,0))</f>
        <v>1</v>
      </c>
      <c r="BL21" s="15">
        <f>IF(ISNA(VLOOKUP(A21,'Données projet'!$A$97:$I$117,4,0)),0,VLOOKUP(A21,'Données projet'!$A$97:$I$117,4,0))</f>
        <v>69.284615384615378</v>
      </c>
      <c r="BM21" s="16">
        <f>IF(ISNA(VLOOKUP(A21,'Données projet'!$A$97:$I$117,5,0)),0%,VLOOKUP(A21,'Données projet'!$A$97:$I$117,5,0)*VLOOKUP('Données projet'!$B$11,Paramètres!$A$1:$I$89,7,0))</f>
        <v>0</v>
      </c>
      <c r="BN21" s="16">
        <f>IF(ISNA(VLOOKUP(A21,'Données projet'!$A$97:$I$117,6,0)),0%,VLOOKUP(A21,'Données projet'!$A$97:$I$117,6,0)*VLOOKUP('Données projet'!$B$11,Paramètres!$A$1:$I$89,7,0))</f>
        <v>0.30800000000000005</v>
      </c>
      <c r="BO21" s="16">
        <f>IF(ISNA(VLOOKUP(A21,'Données projet'!$A$97:$I$117,7,0)),0%,VLOOKUP(A21,'Données projet'!$A$97:$I$117,7,0))</f>
        <v>0.44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12.463063121151244</v>
      </c>
      <c r="BR21" s="21">
        <f>EXP(-LN(2)/2)*BR20+(1-EXP(-LN(2)/2))/(LN(2)/2)*BL21*BO21*VLOOKUP('Données projet'!$B$11,Paramètres!$A$1:$I$89,3,0)*0.475*44/12</f>
        <v>15.256232390516031</v>
      </c>
      <c r="BS21" s="22">
        <f t="shared" si="9"/>
        <v>27.719295511667276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projet'!$A$123:$I$143,2,0)</f>
        <v>#N/A</v>
      </c>
      <c r="BW21" s="12" t="e">
        <f>VLOOKUP(A21,'Données projet'!$A$123:$I$143,9,0)</f>
        <v>#N/A</v>
      </c>
      <c r="BX21" s="12">
        <f t="array" ref="BX21">INDEX(BW:BW,MIN(IF(ISNUMBER(BW21:BW217),ROW(BW21:BW217),"")))</f>
        <v>11.2</v>
      </c>
      <c r="BY21" s="12">
        <f>IF('Données projet'!$A$124&gt;35,BY20+BX21-CG20,IF(A21&lt;'Données projet'!$A$124,$BV$205^A21,IF(A21='Données projet'!$A$124,'Données projet'!$B$124,BY20+BX21-CG20)))</f>
        <v>106.6</v>
      </c>
      <c r="BZ21" s="13">
        <f>BY21*VLOOKUP('Données projet'!$B$12,Paramètres!$A$1:$I$89,3,0)*VLOOKUP('Données projet'!$B$12,Paramètres!$A$1:$I$89,5,0)</f>
        <v>111.41831999999999</v>
      </c>
      <c r="CA21" s="13">
        <f t="shared" si="69"/>
        <v>29.664902256268945</v>
      </c>
      <c r="CB21" s="20">
        <f t="shared" si="10"/>
        <v>245.71994542966834</v>
      </c>
      <c r="CC21" s="59">
        <f t="shared" si="11"/>
        <v>539.05327876300169</v>
      </c>
      <c r="CD21" s="59">
        <f ca="1">AVERAGE(OFFSET($CC$3,0,0,'Données projet'!$E$12+1,1))-AVERAGE(OFFSET($H$3,0,0,'Données projet'!$E$12+1,1))</f>
        <v>322.93502595881938</v>
      </c>
      <c r="CE21" s="59">
        <f t="shared" si="70"/>
        <v>302.67072119588164</v>
      </c>
      <c r="CF21" s="15">
        <f>IF(ISNA(VLOOKUP(A21,'Données projet'!$A$123:$I$143,3,0)),0,VLOOKUP(A21,'Données projet'!$A$123:$I$143,3,0))</f>
        <v>0</v>
      </c>
      <c r="CG21" s="15">
        <f>IF(ISNA(VLOOKUP(A21,'Données projet'!$A$123:$I$143,4,0)),0,VLOOKUP(A21,'Données projet'!$A$123:$I$143,4,0))</f>
        <v>0</v>
      </c>
      <c r="CH21" s="16">
        <f>IF(ISNA(VLOOKUP(A21,'Données projet'!$A$123:$I$143,5,0)),0%,VLOOKUP(A21,'Données projet'!$A$123:$I$143,5,0)*VLOOKUP('Données projet'!$B$12,Paramètres!$A$1:$I$89,7,0))</f>
        <v>0</v>
      </c>
      <c r="CI21" s="16">
        <f>IF(ISNA(VLOOKUP(A21,'Données projet'!$A$123:$I$143,6,0)),0%,VLOOKUP(A21,'Données projet'!$A$123:$I$143,6,0)*VLOOKUP('Données projet'!$B$12,Paramètres!$A$1:$I$89,7,0))</f>
        <v>0</v>
      </c>
      <c r="CJ21" s="16">
        <f>IF(ISNA(VLOOKUP(A21,'Données projet'!$A$123:$I$143,7,0)),0%,VLOOKUP(A21,'Données projet'!$A$123:$I$143,7,0))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projet'!$A$149:$I$169,2,0)</f>
        <v>#N/A</v>
      </c>
      <c r="CR21" s="12" t="e">
        <f>VLOOKUP(A21,'Données projet'!$A$149:$I$169,9,0)</f>
        <v>#N/A</v>
      </c>
      <c r="CS21" s="12">
        <f t="array" ref="CS21">INDEX(CR:CR,MIN(IF(ISNUMBER(CR21:CR217),ROW(CR21:CR217),"")))</f>
        <v>2.9235042735042733</v>
      </c>
      <c r="CT21" s="12">
        <f>IF('Données projet'!$A$150&gt;35,CT20+CS21-DB20,IF(A21&lt;'Données projet'!$A$150,$CQ$205^A21,IF(A21='Données projet'!$A$150,'Données projet'!$B$150,CT20+CS21-DB20)))</f>
        <v>14.649236575865659</v>
      </c>
      <c r="CU21" s="17">
        <f>CT21*VLOOKUP('Données projet'!$B$13,Paramètres!$A$1:$I$89,3,0)*VLOOKUP('Données projet'!$B$13,Paramètres!$A$1:$I$89,5,0)</f>
        <v>14.85432588792778</v>
      </c>
      <c r="CV21" s="13">
        <f t="shared" si="71"/>
        <v>5.000360656159657</v>
      </c>
      <c r="CW21" s="20">
        <f t="shared" si="13"/>
        <v>34.580245730952278</v>
      </c>
      <c r="CX21" s="59">
        <f t="shared" si="14"/>
        <v>327.91357906428561</v>
      </c>
      <c r="CY21" s="59">
        <f ca="1">AVERAGE(OFFSET($CX$3,0,0,'Données projet'!$E$13+1,1))-AVERAGE(OFFSET($H$3,0,0,'Données projet'!$E$13+1,1))</f>
        <v>250.31277422753283</v>
      </c>
      <c r="CZ21" s="59">
        <f t="shared" si="72"/>
        <v>159.20429420478047</v>
      </c>
      <c r="DA21" s="15">
        <f>IF(ISNA(VLOOKUP(A21,'Données projet'!$A$149:$I$169,3,0)),0,VLOOKUP(A21,'Données projet'!$A$149:$I$169,3,0))</f>
        <v>0</v>
      </c>
      <c r="DB21" s="15">
        <f>IF(ISNA(VLOOKUP(A21,'Données projet'!$A$149:$I$169,4,0)),0,VLOOKUP(A21,'Données projet'!$A$149:$I$169,4,0))</f>
        <v>0</v>
      </c>
      <c r="DC21" s="16">
        <f>IF(ISNA(VLOOKUP(A21,'Données projet'!$A$149:$I$169,5,0)),0%,VLOOKUP(A21,'Données projet'!$A$149:$I$169,5,0)*VLOOKUP('Données projet'!$B$13,Paramètres!$A$1:$I$89,7,0))</f>
        <v>0</v>
      </c>
      <c r="DD21" s="16">
        <f>IF(ISNA(VLOOKUP(A21,'Données projet'!$A$149:$I$169,6,0)),0%,VLOOKUP(A21,'Données projet'!$A$149:$I$169,6,0)*VLOOKUP('Données projet'!$B$13,Paramètres!$A$1:$I$89,7,0))</f>
        <v>0</v>
      </c>
      <c r="DE21" s="16">
        <f>IF(ISNA(VLOOKUP(A21,'Données projet'!$A$149:$I$169,7,0)),0%,VLOOKUP(A21,'Données projet'!$A$149:$I$169,7,0))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projet'!$A$175:$I$195,2,0)</f>
        <v>#N/A</v>
      </c>
      <c r="DM21" s="12" t="e">
        <f>VLOOKUP(A21,'Données projet'!$A$175:$I$195,9,0)</f>
        <v>#N/A</v>
      </c>
      <c r="DN21" s="12">
        <f t="array" ref="DN21">INDEX(DM:DM,MIN(IF(ISNUMBER(DM21:DM217),ROW(DM21:DM217),"")))</f>
        <v>16</v>
      </c>
      <c r="DO21" s="12">
        <f>IF('Données projet'!$A$176&gt;35,DO20+DN21-DW20,IF(A21&lt;'Données projet'!$A$176,$DL$205^A21,IF(A21='Données projet'!$A$176,'Données projet'!$B$176,DO20+DN21-DW20)))</f>
        <v>91</v>
      </c>
      <c r="DP21" s="17">
        <f>DO21*VLOOKUP('Données projet'!$B$14,Paramètres!$A$1:$I$89,3,0)*VLOOKUP('Données projet'!$B$14,Paramètres!$A$1:$I$89,5,0)</f>
        <v>66.721199999999996</v>
      </c>
      <c r="DQ21" s="13">
        <f t="shared" si="73"/>
        <v>18.856956599005905</v>
      </c>
      <c r="DR21" s="20">
        <f t="shared" si="16"/>
        <v>149.0486227432686</v>
      </c>
      <c r="DS21" s="59">
        <f t="shared" si="17"/>
        <v>442.38195607660191</v>
      </c>
      <c r="DT21" s="59">
        <f ca="1">AVERAGE(OFFSET($DS$3,0,0,'Données projet'!$E$14+1,1))-AVERAGE(OFFSET($H$3,0,0,'Données projet'!$E$14+1,1))</f>
        <v>296.91321813251051</v>
      </c>
      <c r="DU21" s="59">
        <f t="shared" si="74"/>
        <v>291.0718079639509</v>
      </c>
      <c r="DV21" s="15">
        <f>IF(ISNA(VLOOKUP(A21,'Données projet'!$A$175:$I$195,3,0)),0,VLOOKUP(A21,'Données projet'!$A$175:$I$195,3,0))</f>
        <v>0</v>
      </c>
      <c r="DW21" s="15">
        <f>IF(ISNA(VLOOKUP(A21,'Données projet'!$A$175:$I$195,4,0)),0,VLOOKUP(A21,'Données projet'!$A$175:$I$195,4,0))</f>
        <v>0</v>
      </c>
      <c r="DX21" s="16">
        <f>IF(ISNA(VLOOKUP(A21,'Données projet'!$A$175:$I$195,5,0)),0%,VLOOKUP(A21,'Données projet'!$A$175:$I$195,5,0)*VLOOKUP('Données projet'!$B$14,Paramètres!$A$1:$I$89,7,0))</f>
        <v>0</v>
      </c>
      <c r="DY21" s="16">
        <f>IF(ISNA(VLOOKUP(A21,'Données projet'!$A$175:$I$195,6,0)),0%,VLOOKUP(A21,'Données projet'!$A$175:$I$195,6,0)*VLOOKUP('Données projet'!$B$14,Paramètres!$A$1:$I$89,7,0))</f>
        <v>0</v>
      </c>
      <c r="DZ21" s="16">
        <f>IF(ISNA(VLOOKUP(A21,'Données projet'!$A$175:$I$195,7,0)),0%,VLOOKUP(A21,'Données projet'!$A$175:$I$195,7,0))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projet'!$A$201:$I$221,2,0)</f>
        <v>#N/A</v>
      </c>
      <c r="EH21" s="12" t="e">
        <f>VLOOKUP(A21,'Données projet'!$A$201:$I$221,9,0)</f>
        <v>#N/A</v>
      </c>
      <c r="EI21" s="12">
        <f t="array" ref="EI21">INDEX(EH:EH,MIN(IF(ISNUMBER(EH21:EH217),ROW(EH21:EH217),"")))</f>
        <v>3.4425641025641025</v>
      </c>
      <c r="EJ21" s="12">
        <f>IF('Données projet'!$A$202&gt;35,EJ20+EI21-ER20,IF(A21&lt;'Données projet'!$A$202,$EG$205^A21,IF(A21='Données projet'!$A$202,'Données projet'!$B$202,EJ20+EI21-ER20)))</f>
        <v>16.158534666859676</v>
      </c>
      <c r="EK21" s="17">
        <f>EJ21*VLOOKUP('Données projet'!$B$15,Paramètres!$A$1:$I$89,3,0)*VLOOKUP('Données projet'!$B$15,Paramètres!$A$1:$I$89,5,0)</f>
        <v>7.5621942240903284</v>
      </c>
      <c r="EL21" s="13">
        <f t="shared" si="75"/>
        <v>2.7537549140858508</v>
      </c>
      <c r="EM21" s="20">
        <f t="shared" si="19"/>
        <v>17.96694474899018</v>
      </c>
      <c r="EN21" s="59">
        <f t="shared" si="20"/>
        <v>311.30027808232347</v>
      </c>
      <c r="EO21" s="59">
        <f ca="1">AVERAGE(OFFSET($EN$3,0,0,'Données projet'!$E$15+1,1))-AVERAGE(OFFSET($H$3,0,0,'Données projet'!$E$15+1,1))</f>
        <v>147.64256291235483</v>
      </c>
      <c r="EP21" s="59">
        <f t="shared" si="76"/>
        <v>70.859031694091868</v>
      </c>
      <c r="EQ21" s="15">
        <f>IF(ISNA(VLOOKUP(A21,'Données projet'!$A$201:$I$221,3,0)),0,VLOOKUP(A21,'Données projet'!$A$201:$I$221,3,0))</f>
        <v>0</v>
      </c>
      <c r="ER21" s="15">
        <f>IF(ISNA(VLOOKUP(A21,'Données projet'!$A$201:$I$221,4,0)),0,VLOOKUP(A21,'Données projet'!$A$201:$I$221,4,0))</f>
        <v>0</v>
      </c>
      <c r="ES21" s="16">
        <f>IF(ISNA(VLOOKUP(A21,'Données projet'!$A$201:$I$221,5,0)),0%,VLOOKUP(A21,'Données projet'!$A$201:$I$221,5,0)*VLOOKUP('Données projet'!$B$15,Paramètres!$A$1:$I$89,7,0))</f>
        <v>0</v>
      </c>
      <c r="ET21" s="16">
        <f>IF(ISNA(VLOOKUP(A21,'Données projet'!$A$201:$I$221,6,0)),0%,VLOOKUP(A21,'Données projet'!$A$201:$I$221,6,0)*VLOOKUP('Données projet'!$B$15,Paramètres!$A$1:$I$89,7,0))</f>
        <v>0</v>
      </c>
      <c r="EU21" s="16">
        <f>IF(ISNA(VLOOKUP(A21,'Données projet'!$A$201:$I$221,7,0)),0%,VLOOKUP(A21,'Données projet'!$A$201:$I$221,7,0))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projet'!$A$227:$I$247,2,0)</f>
        <v>#N/A</v>
      </c>
      <c r="FC21" s="12" t="e">
        <f>VLOOKUP(A21,'Données projet'!$A$227:$I$247,9,0)</f>
        <v>#N/A</v>
      </c>
      <c r="FD21" s="12">
        <f t="array" ref="FD21">INDEX(FC:FC,MIN(IF(ISNUMBER(FC21:FC217),ROW(FC21:FC217),"")))</f>
        <v>8</v>
      </c>
      <c r="FE21" s="12">
        <f>IF('Données projet'!$A$228&gt;35,FE20+FD21-FM20,IF(A21&lt;'Données projet'!$A$228,$FB$205^A21,IF(A21='Données projet'!$A$228,'Données projet'!$B$228,FE20+FD21-FM20)))</f>
        <v>71</v>
      </c>
      <c r="FF21" s="17">
        <f>FE21*VLOOKUP('Données projet'!$B$16,Paramètres!$A$1:$I$89,3,0)*VLOOKUP('Données projet'!$B$16,Paramètres!$A$1:$I$89,5,0)</f>
        <v>74.20920000000001</v>
      </c>
      <c r="FG21" s="13">
        <f t="shared" si="77"/>
        <v>20.71517147214108</v>
      </c>
      <c r="FH21" s="20">
        <f t="shared" si="22"/>
        <v>165.3266136473124</v>
      </c>
      <c r="FI21" s="59">
        <f t="shared" si="23"/>
        <v>458.65994698064571</v>
      </c>
      <c r="FJ21" s="59">
        <f ca="1">AVERAGE(OFFSET($FI$3,0,0,'Données projet'!$E$16+1,1))-AVERAGE(OFFSET($H$3,0,0,'Données projet'!$E$16+1,1))</f>
        <v>259.03906550253788</v>
      </c>
      <c r="FK21" s="59">
        <f t="shared" si="78"/>
        <v>235.54542903570831</v>
      </c>
      <c r="FL21" s="15">
        <f>IF(ISNA(VLOOKUP(A21,'Données projet'!$A$227:$I$247,3,0)),0,VLOOKUP(A21,'Données projet'!$A$227:$I$247,3,0))</f>
        <v>0</v>
      </c>
      <c r="FM21" s="15">
        <f>IF(ISNA(VLOOKUP(A21,'Données projet'!$A$227:$I$247,4,0)),0,VLOOKUP(A21,'Données projet'!$A$227:$I$247,4,0))</f>
        <v>0</v>
      </c>
      <c r="FN21" s="16">
        <f>IF(ISNA(VLOOKUP(A21,'Données projet'!$A$227:$I$247,5,0)),0%,VLOOKUP(A21,'Données projet'!$A$227:$I$247,5,0)*VLOOKUP('Données projet'!$B$16,Paramètres!$A$1:$I$89,7,0))</f>
        <v>0</v>
      </c>
      <c r="FO21" s="16">
        <f>IF(ISNA(VLOOKUP(A21,'Données projet'!$A$227:$I$247,6,0)),0%,VLOOKUP(A21,'Données projet'!$A$227:$I$247,6,0)*VLOOKUP('Données projet'!$B$16,Paramètres!$A$1:$I$89,7,0))</f>
        <v>0</v>
      </c>
      <c r="FP21" s="16">
        <f>IF(ISNA(VLOOKUP(A21,'Données projet'!$A$227:$I$247,7,0)),0%,VLOOKUP(A21,'Données projet'!$A$227:$I$247,7,0))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projet'!$A$253:$I$273,2,0)</f>
        <v>#N/A</v>
      </c>
      <c r="FX21" s="12" t="e">
        <f>VLOOKUP(A21,'Données projet'!$A$253:$I$273,9,0)</f>
        <v>#N/A</v>
      </c>
      <c r="FY21" s="12">
        <f t="array" ref="FY21">INDEX(FX:FX,MIN(IF(ISNUMBER(FX21:FX217),ROW(FX21:FX217),"")))</f>
        <v>11.6</v>
      </c>
      <c r="FZ21" s="12">
        <f>IF('Données projet'!$A$254&gt;35,FZ20+FY21-GH20,IF(A21&lt;'Données projet'!$A$254,$FW$205^A21,IF(A21='Données projet'!$A$254,'Données projet'!$B$254,FZ20+FY21-GH20)))</f>
        <v>56.800000000000004</v>
      </c>
      <c r="GA21" s="17">
        <f>FZ21*VLOOKUP('Données projet'!$B$17,Paramètres!$A$1:$I$89,3,0)*VLOOKUP('Données projet'!$B$17,Paramètres!$A$1:$I$89,5,0)</f>
        <v>49.620480000000015</v>
      </c>
      <c r="GB21" s="13">
        <f t="shared" si="79"/>
        <v>14.515703547444382</v>
      </c>
      <c r="GC21" s="20">
        <f t="shared" si="25"/>
        <v>111.70385301179901</v>
      </c>
      <c r="GD21" s="59">
        <f t="shared" si="26"/>
        <v>405.03718634513234</v>
      </c>
      <c r="GE21" s="59">
        <f ca="1">AVERAGE(OFFSET($GD$3,0,0,'Données projet'!$E$17+1,1))-AVERAGE(OFFSET($H$3,0,0,'Données projet'!$E$17+1,1))</f>
        <v>245.1983232777614</v>
      </c>
      <c r="GF21" s="59">
        <f t="shared" si="80"/>
        <v>242.34010522344573</v>
      </c>
      <c r="GG21" s="15">
        <f>IF(ISNA(VLOOKUP(A21,'Données projet'!$A$253:$I$273,3,0)),0,VLOOKUP(A21,'Données projet'!$A$253:$I$273,3,0))</f>
        <v>0</v>
      </c>
      <c r="GH21" s="15">
        <f>IF(ISNA(VLOOKUP(A21,'Données projet'!$A$253:$I$273,4,0)),0,VLOOKUP(A21,'Données projet'!$A$253:$I$273,4,0))</f>
        <v>0</v>
      </c>
      <c r="GI21" s="16">
        <f>IF(ISNA(VLOOKUP(A21,'Données projet'!$A$253:$I$273,5,0)),0%,VLOOKUP(A21,'Données projet'!$A$253:$I$273,5,0)*VLOOKUP('Données projet'!$B$17,Paramètres!$A$1:$I$89,7,0))</f>
        <v>0</v>
      </c>
      <c r="GJ21" s="16">
        <f>IF(ISNA(VLOOKUP(A21,'Données projet'!$A$253:$I$273,6,0)),0%,VLOOKUP(A21,'Données projet'!$A$253:$I$273,6,0)*VLOOKUP('Données projet'!$B$17,Paramètres!$A$1:$I$89,7,0))</f>
        <v>0</v>
      </c>
      <c r="GK21" s="16">
        <f>IF(ISNA(VLOOKUP(A21,'Données projet'!$A$253:$I$273,7,0)),0%,VLOOKUP(A21,'Données projet'!$A$253:$I$273,7,0))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projet'!$A$279:$I$299,2,0)</f>
        <v>#N/A</v>
      </c>
      <c r="GS21" s="12" t="e">
        <f>VLOOKUP(A21,'Données projet'!$A$279:$I$299,9,0)</f>
        <v>#N/A</v>
      </c>
      <c r="GT21" s="12">
        <f t="array" ref="GT21">INDEX(GS:GS,MIN(IF(ISNUMBER(GS21:GS217),ROW(GS21:GS217),"")))</f>
        <v>20.399999999999999</v>
      </c>
      <c r="GU21" s="12">
        <f>IF('Données projet'!$A$280&gt;35,GU20+GT21-HC20,IF(A21&lt;'Données projet'!$A$280,$GR$205^A21,IF(A21='Données projet'!$A$280,'Données projet'!$B$280,GU20+GT21-HC20)))</f>
        <v>123.20000000000002</v>
      </c>
      <c r="GV21" s="17">
        <f>GU21*VLOOKUP('Données projet'!$B$18,Paramètres!$A$1:$I$89,3,0)*VLOOKUP('Données projet'!$B$18,Paramètres!$A$1:$I$89,5,0)</f>
        <v>49.649600000000014</v>
      </c>
      <c r="GW21" s="13">
        <f t="shared" si="81"/>
        <v>14.523230330118354</v>
      </c>
      <c r="GX21" s="20">
        <f t="shared" si="28"/>
        <v>111.76767949162281</v>
      </c>
      <c r="GY21" s="59">
        <f t="shared" si="29"/>
        <v>405.10101282495611</v>
      </c>
      <c r="GZ21" s="59">
        <f ca="1">AVERAGE(OFFSET($GY$3,0,0,'Données projet'!$E$18+1,1))-AVERAGE(OFFSET($H$3,0,0,'Données projet'!$E$18+1,1))</f>
        <v>324.36162935850876</v>
      </c>
      <c r="HA21" s="59">
        <f t="shared" si="82"/>
        <v>265.23571072429735</v>
      </c>
      <c r="HB21" s="15">
        <f>IF(ISNA(VLOOKUP(A21,'Données projet'!$A$279:$I$299,3,0)),0,VLOOKUP(A21,'Données projet'!$A$279:$I$299,3,0))</f>
        <v>0</v>
      </c>
      <c r="HC21" s="15">
        <f>IF(ISNA(VLOOKUP(A21,'Données projet'!$A$279:$I$299,4,0)),0,VLOOKUP(A21,'Données projet'!$A$279:$I$299,4,0))</f>
        <v>0</v>
      </c>
      <c r="HD21" s="16">
        <f>IF(ISNA(VLOOKUP(A21,'Données projet'!$A$279:$I$299,5,0)),0%,VLOOKUP(A21,'Données projet'!$A$279:$I$299,5,0)*VLOOKUP('Données projet'!$B$18,Paramètres!$A$1:$I$89,7,0))</f>
        <v>0</v>
      </c>
      <c r="HE21" s="16">
        <f>IF(ISNA(VLOOKUP(A21,'Données projet'!$A$279:$I$299,6,0)),0%,VLOOKUP(A21,'Données projet'!$A$279:$I$299,6,0)*VLOOKUP('Données projet'!$B$18,Paramètres!$A$1:$I$89,7,0))</f>
        <v>0</v>
      </c>
      <c r="HF21" s="16">
        <f>IF(ISNA(VLOOKUP($A21,'Données projet'!$A$279:$I$299,7,0)),0%,VLOOKUP($A21,'Données projet'!$A$279:$I$299,7,0))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0</v>
      </c>
      <c r="HI21" s="21">
        <f>EXP(-LN(2)/2)*HI20+(1-EXP(-LN(2)/2))/(LN(2)/2)*HC21*HF21*VLOOKUP('Données projet'!$B$18,Paramètres!$A$1:$I$89,3,0)*0.475*44/12</f>
        <v>0</v>
      </c>
      <c r="HJ21" s="22">
        <f t="shared" si="30"/>
        <v>0</v>
      </c>
      <c r="HK21" s="74">
        <f>('Scénario référence'!$F$8+'Scénario référence'!$F$9+'Scénario référence'!$B$17+'Scénario référence'!$B$9+'Scénario référence'!$B$10)*70+IF((45+25*(1-EXP(-0.0175*$A21)))&lt;70,'Scénario référence'!$B$16*(45+25*(1-EXP(-0.0175*$A21))),70*'Scénario référence'!$B$16)+IF((32+38*(1-EXP(-0.0175*$A21)))&lt;70,'Scénario référence'!$B$18*(32+38*(1-EXP(-0.0175*$A21))),70*'Scénario référence'!$B$18)</f>
        <v>70</v>
      </c>
      <c r="HL21" s="12">
        <f>IF($A21&gt;30,10,('Scénario référence'!$B$16+'Scénario référence'!$B$17+'Scénario référence'!$B$18+'Scénario référence'!$B$9+'Scénario référence'!$B$10)*$A21*10/30+('Scénario référence'!$F$8+'Scénario référence'!$F$9)*10)</f>
        <v>10</v>
      </c>
      <c r="HM21" s="12">
        <f>VLOOKUP($A21,'Données projet'!$A$304:$I$324,2,0)</f>
        <v>216.31769230769225</v>
      </c>
      <c r="HN21" s="12">
        <f>VLOOKUP($A21,'Données projet'!$A$304:$I$324,9,0)</f>
        <v>19.412179487179515</v>
      </c>
      <c r="HO21" s="12">
        <f t="array" ref="HO21">INDEX(HN:HN,MIN(IF(ISNUMBER(HN21:HN217),ROW(HN21:HN217),"")))</f>
        <v>19.412179487179515</v>
      </c>
      <c r="HP21" s="12">
        <f>IF('Données projet'!$A$304&gt;35,HP20+HO21-HX20,IF($A21&lt;'Données projet'!$A$304,$CQ$205^$A21,IF($A21='Données projet'!$A$304,'Données projet'!$B$304,HP20+HO21-HX20)))</f>
        <v>216.31769230769225</v>
      </c>
      <c r="HQ21" s="17">
        <f>HP21*VLOOKUP('Données projet'!$B$19,Paramètres!$A$1:$I$89,3,0)*VLOOKUP('Données projet'!$B$19,Paramètres!$A$1:$I$89,5,0)</f>
        <v>110.01052559999998</v>
      </c>
      <c r="HR21" s="13">
        <f t="shared" si="83"/>
        <v>29.333464472205538</v>
      </c>
      <c r="HS21" s="14">
        <f t="shared" si="31"/>
        <v>242.69078270909122</v>
      </c>
      <c r="HT21" s="59">
        <f t="shared" si="32"/>
        <v>536.02411604242457</v>
      </c>
      <c r="HU21" s="59">
        <f ca="1">AVERAGE(OFFSET(HT$3,0,0,'Données projet'!$E$19+1,1))-AVERAGE(OFFSET($H$3,0,0,'Données projet'!$E$19+1,1))</f>
        <v>91.60721429656013</v>
      </c>
      <c r="HV21" s="59">
        <f t="shared" si="84"/>
        <v>258.94957804210856</v>
      </c>
      <c r="HW21" s="15">
        <f>IF(ISNA(VLOOKUP($A21,'Données projet'!$A$304:$I$324,3,0)),0,VLOOKUP($A21,'Données projet'!$A$304:$I$324,3,0))</f>
        <v>0</v>
      </c>
      <c r="HX21" s="15">
        <f>IF(ISNA(VLOOKUP($A21,'Données projet'!$A$304:$I$324,4,0)),0,VLOOKUP($A21,'Données projet'!$A$304:$I$324,4,0))</f>
        <v>0</v>
      </c>
      <c r="HY21" s="16">
        <f>IF(ISNA(VLOOKUP($A21,'Données projet'!$A$304:$I$324,5,0)),0%,VLOOKUP($A21,'Données projet'!$A$304:$I$324,5,0)*VLOOKUP('Données projet'!$B$19,Paramètres!$A$1:$I$89,7,0))</f>
        <v>0</v>
      </c>
      <c r="HZ21" s="16">
        <f>IF(ISNA(VLOOKUP($A21,'Données projet'!$A$304:$I$324,6,0)),0%,VLOOKUP($A21,'Données projet'!$A$304:$I$324,6,0)*VLOOKUP('Données projet'!$B$19,Paramètres!$A$1:$I$89,7,0))</f>
        <v>0</v>
      </c>
      <c r="IA21" s="16">
        <f>IF(ISNA(VLOOKUP($A21,'Données projet'!$A$304:$I$324,7,0)),0%,VLOOKUP($A21,'Données projet'!$A$304:$I$324,7,0))</f>
        <v>0</v>
      </c>
      <c r="IB21" s="21">
        <f>EXP(-LN(2)/35)*IB20+(1-EXP(-LN(2)/35))/(LN(2)/35)*HX21*HY21*VLOOKUP('Données projet'!$B$19,Paramètres!$A$1:$I$89,3,0)*0.475*44/12</f>
        <v>0</v>
      </c>
      <c r="IC21" s="21">
        <f>EXP(-LN(2)/25)*IC20+(1-EXP(-LN(2)/25))/(LN(2)/25)*Calculateur!HX21*Calculateur!HZ21*VLOOKUP('Données projet'!$B$19,Paramètres!$A$1:$I$89,3,0)*0.475*44/12</f>
        <v>0</v>
      </c>
      <c r="ID21" s="21">
        <f>EXP(-LN(2)/2)*ID20+(1-EXP(-LN(2)/2))/(LN(2)/2)*HX21*IA21*VLOOKUP('Données projet'!$B$19,Paramètres!$A$1:$I$89,3,0)*0.475*44/12</f>
        <v>0</v>
      </c>
      <c r="IE21" s="22">
        <f t="shared" si="33"/>
        <v>0</v>
      </c>
      <c r="IF21" s="74">
        <f>('Scénario référence'!$F$8+'Scénario référence'!$F$9+'Scénario référence'!$B$17+'Scénario référence'!$B$9+'Scénario référence'!$B$10)*70+IF((45+25*(1-EXP(-0.0175*$A21)))&lt;70,'Scénario référence'!$B$16*(45+25*(1-EXP(-0.0175*$A21))),70*'Scénario référence'!$B$16)+IF((32+38*(1-EXP(-0.0175*$A21)))&lt;70,'Scénario référence'!$B$18*(32+38*(1-EXP(-0.0175*$A21))),70*'Scénario référence'!$B$18)</f>
        <v>70</v>
      </c>
      <c r="IG21" s="12">
        <f>IF($A21&gt;30,10,('Scénario référence'!$B$16+'Scénario référence'!$B$17+'Scénario référence'!$B$18+'Scénario référence'!$B$9+'Scénario référence'!$B$10)*$A21*10/30+('Scénario référence'!$F$8+'Scénario référence'!$F$9)*10)</f>
        <v>10</v>
      </c>
      <c r="IH21" s="12">
        <f>VLOOKUP($A21,'Données projet'!$A$330:$I$350,2,0)</f>
        <v>216.31769230769225</v>
      </c>
      <c r="II21" s="12">
        <f>VLOOKUP($A21,'Données projet'!$A$330:$I$350,9,0)</f>
        <v>19.412179487179515</v>
      </c>
      <c r="IJ21" s="12">
        <f t="array" ref="IJ21">INDEX(II:II,MIN(IF(ISNUMBER(II21:II217),ROW(II21:II217),"")))</f>
        <v>19.412179487179515</v>
      </c>
      <c r="IK21" s="12">
        <f>IF('Données projet'!$A$330&gt;35,IK20+IJ21-IS20,IF($A21&lt;'Données projet'!$A$330,$CQ$205^$A21,IF($A21='Données projet'!$A$330,'Données projet'!$B$330,IK20+IJ21-IS20)))</f>
        <v>216.31769230769225</v>
      </c>
      <c r="IL21" s="17">
        <f>IK21*VLOOKUP('Données projet'!$B$20,Paramètres!$A$1:$I$89,3,0)*VLOOKUP('Données projet'!$B$20,Paramètres!$A$1:$I$89,5,0)</f>
        <v>110.01052559999998</v>
      </c>
      <c r="IM21" s="13">
        <f t="shared" si="85"/>
        <v>29.333464472205538</v>
      </c>
      <c r="IN21" s="20">
        <f t="shared" si="86"/>
        <v>242.69078270909122</v>
      </c>
      <c r="IO21" s="59">
        <f t="shared" si="87"/>
        <v>536.02411604242457</v>
      </c>
      <c r="IP21" s="59">
        <f ca="1">AVERAGE(OFFSET(IO$3,0,0,'Données projet'!$E$20+1,1))-AVERAGE(OFFSET($H$3,0,0,'Données projet'!$E$20+1,1))</f>
        <v>91.60721429656013</v>
      </c>
      <c r="IQ21" s="59">
        <f t="shared" si="88"/>
        <v>258.94957804210856</v>
      </c>
      <c r="IR21" s="15">
        <f>IF(ISNA(VLOOKUP($A21,'Données projet'!$A$330:$I$350,3,0)),0,VLOOKUP($A21,'Données projet'!$A$330:$I$350,3,0))</f>
        <v>0</v>
      </c>
      <c r="IS21" s="15">
        <f>IF(ISNA(VLOOKUP($A21,'Données projet'!$A$330:$I$350,4,0)),0,VLOOKUP($A21,'Données projet'!$A$330:$I$350,4,0))</f>
        <v>0</v>
      </c>
      <c r="IT21" s="16">
        <f>IF(ISNA(VLOOKUP($A21,'Données projet'!$A$330:$I$350,5,0)),0%,VLOOKUP($A21,'Données projet'!$A$330:$I$350,5,0)*VLOOKUP('Données projet'!$B$20,Paramètres!$A$1:$I$89,7,0))</f>
        <v>0</v>
      </c>
      <c r="IU21" s="16">
        <f>IF(ISNA(VLOOKUP($A21,'Données projet'!$A$330:$I$350,6,0)),0%,VLOOKUP($A21,'Données projet'!$A$330:$I$350,6,0)*VLOOKUP('Données projet'!$B$20,Paramètres!$A$1:$I$89,7,0))</f>
        <v>0</v>
      </c>
      <c r="IV21" s="16">
        <f>IF(ISNA(VLOOKUP($A21,'Données projet'!$A$330:$I$350,7,0)),0%,VLOOKUP($A21,'Données projet'!$A$330:$I$350,7,0))</f>
        <v>0</v>
      </c>
      <c r="IW21" s="21">
        <f>EXP(-LN(2)/35)*IW20+(1-EXP(-LN(2)/35))/(LN(2)/35)*IS21*IT21*VLOOKUP('Données projet'!$B$20,Paramètres!$A$1:$I$89,3,0)*0.475*44/12</f>
        <v>0</v>
      </c>
      <c r="IX21" s="21">
        <f>EXP(-LN(2)/25)*IX20+(1-EXP(-LN(2)/25))/(LN(2)/25)*Calculateur!IS21*Calculateur!IU21*VLOOKUP('Données projet'!$B$20,Paramètres!$A$1:$I$89,3,0)*0.475*44/12</f>
        <v>0</v>
      </c>
      <c r="IY21" s="21">
        <f>EXP(-LN(2)/2)*IY20+(1-EXP(-LN(2)/2))/(LN(2)/2)*IS21*IV21*VLOOKUP('Données projet'!$B$20,Paramètres!$A$1:$I$89,3,0)*0.475*44/12</f>
        <v>0</v>
      </c>
      <c r="IZ21" s="22">
        <f t="shared" si="89"/>
        <v>0</v>
      </c>
      <c r="JA21" s="74">
        <f>('Scénario référence'!$F$8+'Scénario référence'!$F$9+'Scénario référence'!$B$17+'Scénario référence'!$B$9+'Scénario référence'!$B$10)*70+IF((45+25*(1-EXP(-0.0175*$A21)))&lt;70,'Scénario référence'!$B$16*(45+25*(1-EXP(-0.0175*$A21))),70*'Scénario référence'!$B$16)+IF((32+38*(1-EXP(-0.0175*$A21)))&lt;70,'Scénario référence'!$B$18*(32+38*(1-EXP(-0.0175*$A21))),70*'Scénario référence'!$B$18)</f>
        <v>70</v>
      </c>
      <c r="JB21" s="12">
        <f>IF($A21&gt;30,10,('Scénario référence'!$B$16+'Scénario référence'!$B$17+'Scénario référence'!$B$18+'Scénario référence'!$B$9+'Scénario référence'!$B$10)*$A21*10/30+('Scénario référence'!$F$8+'Scénario référence'!$F$9)*10)</f>
        <v>10</v>
      </c>
      <c r="JC21" s="12" t="e">
        <f>VLOOKUP($A21,'Données projet'!$A$356:$I$376,2,0)</f>
        <v>#N/A</v>
      </c>
      <c r="JD21" s="12" t="e">
        <f>VLOOKUP($A21,'Données projet'!$A$356:$I$376,9,0)</f>
        <v>#N/A</v>
      </c>
      <c r="JE21" s="12">
        <f t="array" ref="JE21">INDEX(JD:JD,MIN(IF(ISNUMBER(JD21:JD217),ROW(JD21:JD217),"")))</f>
        <v>3.04</v>
      </c>
      <c r="JF21" s="12">
        <f>IF('Données projet'!$A$356&gt;35,JF20+JE21-JN20,IF($A21&lt;'Données projet'!$A$356,$CQ$205^$A21,IF($A21='Données projet'!$A$356,'Données projet'!$B$356,JF20+JE21-JN20)))</f>
        <v>54.719999999999992</v>
      </c>
      <c r="JG21" s="17">
        <f>JF21*VLOOKUP('Données projet'!$B$21,Paramètres!$A$1:$I$89,3,0)*VLOOKUP('Données projet'!$B$21,Paramètres!$A$1:$I$89,5,0)</f>
        <v>44.388863999999998</v>
      </c>
      <c r="JH21" s="13">
        <f t="shared" si="90"/>
        <v>13.154774215757573</v>
      </c>
      <c r="JI21" s="20">
        <f t="shared" si="91"/>
        <v>100.22183655911108</v>
      </c>
      <c r="JJ21" s="59">
        <f t="shared" si="92"/>
        <v>393.55516989244438</v>
      </c>
      <c r="JK21" s="59">
        <f ca="1">AVERAGE(OFFSET($JJ$3,0,0,'Données projet'!$E$22+1,1))-AVERAGE(OFFSET($H$3,0,0,'Données projet'!$E$22+1,1))</f>
        <v>353.35574633294613</v>
      </c>
      <c r="JL21" s="59">
        <f t="shared" si="93"/>
        <v>170.36796666474726</v>
      </c>
      <c r="JM21" s="15">
        <f>IF(ISNA(VLOOKUP($A21,'Données projet'!$A$356:$I$376,3,0)),0,VLOOKUP($A21,'Données projet'!$A$356:$I$376,3,0))</f>
        <v>0</v>
      </c>
      <c r="JN21" s="15">
        <f>IF(ISNA(VLOOKUP($A21,'Données projet'!$A$356:$I$376,4,0)),0,VLOOKUP($A21,'Données projet'!$A$356:$I$376,4,0))</f>
        <v>0</v>
      </c>
      <c r="JO21" s="16">
        <f>IF(ISNA(VLOOKUP($A21,'Données projet'!$A$356:$I$376,5,0)),0%,VLOOKUP($A21,'Données projet'!$A$356:$I$376,5,0)*VLOOKUP('Données projet'!$B$21,Paramètres!$A$1:$I$89,7,0))</f>
        <v>0</v>
      </c>
      <c r="JP21" s="16">
        <f>IF(ISNA(VLOOKUP($A21,'Données projet'!$A$356:$I$376,6,0)),0%,VLOOKUP($A21,'Données projet'!$A$356:$I$376,6,0)*VLOOKUP('Données projet'!$B$21,Paramètres!$A$1:$I$89,7,0))</f>
        <v>0</v>
      </c>
      <c r="JQ21" s="16">
        <f>IF(ISNA(VLOOKUP($A21,'Données projet'!$A$356:$I$376,7,0)),0%,VLOOKUP($A21,'Données projet'!$A$356:$I$376,7,0))</f>
        <v>0</v>
      </c>
      <c r="JR21" s="21">
        <f>EXP(-LN(2)/35)*JR20+(1-EXP(-LN(2)/35))/(LN(2)/35)*JN21*JO21*VLOOKUP('Données projet'!$B$21,Paramètres!$A$1:$I$89,3,0)*0.475*44/12</f>
        <v>0</v>
      </c>
      <c r="JS21" s="21">
        <f>EXP(-LN(2)/25)*JS20+(1-EXP(-LN(2)/25))/(LN(2)/25)*Calculateur!JN21*Calculateur!JP21*VLOOKUP('Données projet'!$B$21,Paramètres!$A$1:$I$89,3,0)*0.475*44/12</f>
        <v>0</v>
      </c>
      <c r="JT21" s="21">
        <f>EXP(-LN(2)/2)*JT20+(1-EXP(-LN(2)/2))/(LN(2)/2)*JN21*JQ21*VLOOKUP('Données projet'!$B$21,Paramètres!$A$1:$I$89,3,0)*0.475*44/12</f>
        <v>0</v>
      </c>
      <c r="JU21" s="18">
        <f t="shared" si="39"/>
        <v>0</v>
      </c>
      <c r="JV21" s="74">
        <f>('Scénario référence'!$F$8+'Scénario référence'!$F$9+'Scénario référence'!$B$17+'Scénario référence'!$B$9+'Scénario référence'!$B$10)*70+IF((45+25*(1-EXP(-0.0175*$A21)))&lt;70,'Scénario référence'!$B$16*(45+25*(1-EXP(-0.0175*$A21))),70*'Scénario référence'!$B$16)+IF((32+38*(1-EXP(-0.0175*$A21)))&lt;70,'Scénario référence'!$B$18*(32+38*(1-EXP(-0.0175*$A21))),70*'Scénario référence'!$B$18)</f>
        <v>70</v>
      </c>
      <c r="JW21" s="12">
        <f>IF($A21&gt;30,10,('Scénario référence'!$B$16+'Scénario référence'!$B$17+'Scénario référence'!$B$18+'Scénario référence'!$B$9+'Scénario référence'!$B$10)*$A21*10/30+('Scénario référence'!$F$8+'Scénario référence'!$F$9)*10)</f>
        <v>10</v>
      </c>
      <c r="JX21" s="12" t="e">
        <f>VLOOKUP($A21,'Données projet'!$A$382:$I$402,2,0)</f>
        <v>#N/A</v>
      </c>
      <c r="JY21" s="12" t="e">
        <f>VLOOKUP($A21,'Données projet'!$A$382:$I$402,9,0)</f>
        <v>#N/A</v>
      </c>
      <c r="JZ21" s="12">
        <f t="array" ref="JZ21">INDEX(JY:JY,MIN(IF(ISNUMBER(JY21:JY217),ROW(JY21:JY217),"")))</f>
        <v>4.0628205128205126</v>
      </c>
      <c r="KA21" s="12">
        <f>IF('Données projet'!$A$382&gt;35,KA20+JZ21-KI20,IF($A21&lt;'Données projet'!$A$382,$CQ$205^$A21,IF($A21='Données projet'!$A$382,'Données projet'!$B$382,KA20+JZ21-KI20)))</f>
        <v>73.130769230769232</v>
      </c>
      <c r="KB21" s="17">
        <f>KA21*VLOOKUP('Données projet'!$B$22,Paramètres!$A$1:$I$89,3,0)*VLOOKUP('Données projet'!$B$22,Paramètres!$A$1:$I$89,5,0)</f>
        <v>49.05612</v>
      </c>
      <c r="KC21" s="13">
        <f t="shared" si="94"/>
        <v>14.36972882242207</v>
      </c>
      <c r="KD21" s="20">
        <f t="shared" si="95"/>
        <v>110.46668669905176</v>
      </c>
      <c r="KE21" s="59">
        <f t="shared" si="96"/>
        <v>403.80002003238508</v>
      </c>
      <c r="KF21" s="59">
        <f ca="1">AVERAGE(OFFSET($KE$3,0,0,'Données projet'!$E$22+1,1))-AVERAGE(OFFSET($H$3,0,0,'Données projet'!$E$22+1,1))</f>
        <v>193.91714772848269</v>
      </c>
      <c r="KG21" s="59">
        <f t="shared" si="97"/>
        <v>159.20429420478047</v>
      </c>
      <c r="KH21" s="15">
        <f>IF(ISNA(VLOOKUP($A21,'Données projet'!$A$382:$I$402,3,0)),0,VLOOKUP($A21,'Données projet'!$A$382:$I$402,3,0))</f>
        <v>0</v>
      </c>
      <c r="KI21" s="15">
        <f>IF(ISNA(VLOOKUP($A21,'Données projet'!$A$382:$I$402,4,0)),0,VLOOKUP($A21,'Données projet'!$A$382:$I$402,4,0))</f>
        <v>0</v>
      </c>
      <c r="KJ21" s="16">
        <f>IF(ISNA(VLOOKUP($A21,'Données projet'!$A$382:$I$402,5,0)),0%,VLOOKUP($A21,'Données projet'!$A$382:$I$402,5,0)*VLOOKUP('Données projet'!$B$22,Paramètres!$A$1:$I$89,7,0))</f>
        <v>0</v>
      </c>
      <c r="KK21" s="16">
        <f>IF(ISNA(VLOOKUP($A21,'Données projet'!$A$382:$I$402,6,0)),0%,VLOOKUP($A21,'Données projet'!$A$382:$I$402,6,0)*VLOOKUP('Données projet'!$B$22,Paramètres!$A$1:$I$89,7,0))</f>
        <v>0</v>
      </c>
      <c r="KL21" s="16">
        <f>IF(ISNA(VLOOKUP($A21,'Données projet'!$A$382:$I$402,7,0)),0%,VLOOKUP($A21,'Données projet'!$A$382:$I$402,7,0))</f>
        <v>0</v>
      </c>
      <c r="KM21" s="21">
        <f>EXP(-LN(2)/35)*KM20+(1-EXP(-LN(2)/35))/(LN(2)/35)*KI21*KJ21*VLOOKUP('Données projet'!$B$22,Paramètres!$A$1:$I$89,3,0)*0.475*44/12</f>
        <v>0</v>
      </c>
      <c r="KN21" s="21">
        <f>EXP(-LN(2)/25)*KN20+(1-EXP(-LN(2)/25))/(LN(2)/25)*Calculateur!KI21*Calculateur!KK21*VLOOKUP('Données projet'!$B$22,Paramètres!$A$1:$I$89,3,0)*0.475*44/12</f>
        <v>0</v>
      </c>
      <c r="KO21" s="21">
        <f>EXP(-LN(2)/2)*KO20+(1-EXP(-LN(2)/2))/(LN(2)/2)*KI21*KL21*VLOOKUP('Données projet'!$B$22,Paramètres!$A$1:$I$89,3,0)*0.475*44/12</f>
        <v>0</v>
      </c>
      <c r="KP21" s="22">
        <f t="shared" si="98"/>
        <v>0</v>
      </c>
      <c r="KQ21" s="74">
        <f>('Scénario référence'!$F$8+'Scénario référence'!$F$9+'Scénario référence'!$B$17+'Scénario référence'!$B$9+'Scénario référence'!$B$10)*70+IF((45+25*(1-EXP(-0.0175*$A21)))&lt;70,'Scénario référence'!$B$16*(45+25*(1-EXP(-0.0175*$A21))),70*'Scénario référence'!$B$16)+IF((32+38*(1-EXP(-0.0175*$A21)))&lt;70,'Scénario référence'!$B$18*(32+38*(1-EXP(-0.0175*$A21))),70*'Scénario référence'!$B$18)</f>
        <v>70</v>
      </c>
      <c r="KR21" s="12">
        <f>IF($A21&gt;30,10,('Scénario référence'!$B$16+'Scénario référence'!$B$17+'Scénario référence'!$B$18+'Scénario référence'!$B$9+'Scénario référence'!$B$10)*$A21*10/30+('Scénario référence'!$F$8+'Scénario référence'!$F$9)*10)</f>
        <v>10</v>
      </c>
      <c r="KS21" s="12" t="e">
        <f>VLOOKUP($A21,'Données projet'!$A$408:$I$428,2,0)</f>
        <v>#N/A</v>
      </c>
      <c r="KT21" s="12" t="e">
        <f>VLOOKUP($A21,'Données projet'!$A$408:$I$428,9,0)</f>
        <v>#N/A</v>
      </c>
      <c r="KU21" s="12">
        <f t="array" ref="KU21">INDEX(KT:KT,MIN(IF(ISNUMBER(KT21:KT217),ROW(KT21:KT217),"")))</f>
        <v>11.6</v>
      </c>
      <c r="KV21" s="12">
        <f>IF('Données projet'!$A$408&gt;35,KV20+KU21-LD20,IF($A21&lt;'Données projet'!$A$408,$CQ$205^$A21,IF($A21='Données projet'!$A$408,'Données projet'!$B$408,KV20+KU21-LD20)))</f>
        <v>56.800000000000018</v>
      </c>
      <c r="KW21" s="17">
        <f>KV21*VLOOKUP('Données projet'!$B$23,Paramètres!$A$1:$I$89,3,0)*VLOOKUP('Données projet'!$B$23,Paramètres!$A$1:$I$89,5,0)</f>
        <v>49.620480000000022</v>
      </c>
      <c r="KX21" s="13">
        <f t="shared" si="99"/>
        <v>14.515703547444389</v>
      </c>
      <c r="KY21" s="14">
        <f t="shared" si="43"/>
        <v>111.70385301179901</v>
      </c>
      <c r="KZ21" s="59">
        <f t="shared" si="44"/>
        <v>405.03718634513234</v>
      </c>
      <c r="LA21" s="59">
        <f ca="1">AVERAGE(OFFSET($KZ$3,0,0,'Données projet'!$E$23+1,1))-AVERAGE(OFFSET($H$3,0,0,'Données projet'!$E$23+1,1))</f>
        <v>248.33596943633819</v>
      </c>
      <c r="LB21" s="59">
        <f t="shared" si="100"/>
        <v>242.34010522344573</v>
      </c>
      <c r="LC21" s="15">
        <f>IF(ISNA(VLOOKUP($A21,'Données projet'!$A$408:$I$428,3,0)),0,VLOOKUP($A21,'Données projet'!$A$408:$I$428,3,0))</f>
        <v>0</v>
      </c>
      <c r="LD21" s="15">
        <f>IF(ISNA(VLOOKUP($A21,'Données projet'!$A$408:$I$428,4,0)),0,VLOOKUP($A21,'Données projet'!$A$408:$I$428,4,0))</f>
        <v>0</v>
      </c>
      <c r="LE21" s="16">
        <f>IF(ISNA(VLOOKUP($A21,'Données projet'!$A$408:$I$428,5,0)),0%,VLOOKUP($A21,'Données projet'!$A$408:$I$428,5,0)*VLOOKUP('Données projet'!$B$23,Paramètres!$A$1:$I$89,7,0))</f>
        <v>0</v>
      </c>
      <c r="LF21" s="16">
        <f>IF(ISNA(VLOOKUP($A21,'Données projet'!$A$408:$I$428,6,0)),0%,VLOOKUP($A21,'Données projet'!$A$408:$I$428,6,0)*VLOOKUP('Données projet'!$B$23,Paramètres!$A$1:$I$89,7,0))</f>
        <v>0</v>
      </c>
      <c r="LG21" s="16">
        <f>IF(ISNA(VLOOKUP($A21,'Données projet'!$A$408:$I$428,7,0)),0%,VLOOKUP($A21,'Données projet'!$A$408:$I$428,7,0))</f>
        <v>0</v>
      </c>
      <c r="LH21" s="21">
        <f>EXP(-LN(2)/35)*LH20+(1-EXP(-LN(2)/35))/(LN(2)/35)*LD21*LE21*VLOOKUP('Données projet'!$B$23,Paramètres!$A$1:$I$89,3,0)*0.475*44/12</f>
        <v>0</v>
      </c>
      <c r="LI21" s="21">
        <f>EXP(-LN(2)/25)*LI20+(1-EXP(-LN(2)/25))/(LN(2)/25)*Calculateur!LD21*Calculateur!LF21*VLOOKUP('Données projet'!$B$23,Paramètres!$A$1:$I$89,3,0)*0.475*44/12</f>
        <v>0</v>
      </c>
      <c r="LJ21" s="21">
        <f>EXP(-LN(2)/2)*LJ20+(1-EXP(-LN(2)/2))/(LN(2)/2)*LD21*LG21*VLOOKUP('Données projet'!$B$23,Paramètres!$A$1:$I$89,3,0)*0.475*44/12</f>
        <v>0</v>
      </c>
      <c r="LK21" s="22">
        <f t="shared" si="101"/>
        <v>0</v>
      </c>
      <c r="LL21" s="74">
        <f>('Scénario référence'!$F$8+'Scénario référence'!$F$9+'Scénario référence'!$B$17+'Scénario référence'!$B$9+'Scénario référence'!$B$10)*70+IF((45+25*(1-EXP(-0.0175*$A21)))&lt;70,'Scénario référence'!$B$16*(45+25*(1-EXP(-0.0175*$A21))),70*'Scénario référence'!$B$16)+IF((32+38*(1-EXP(-0.0175*$A21)))&lt;70,'Scénario référence'!$B$18*(32+38*(1-EXP(-0.0175*$A21))),70*'Scénario référence'!$B$18)</f>
        <v>70</v>
      </c>
      <c r="LM21" s="12">
        <f>IF($A21&gt;30,10,('Scénario référence'!$B$16+'Scénario référence'!$B$17+'Scénario référence'!$B$18+'Scénario référence'!$B$9+'Scénario référence'!$B$10)*$A21*10/30+('Scénario référence'!$F$8+'Scénario référence'!$F$9)*10)</f>
        <v>10</v>
      </c>
      <c r="LN21" s="12" t="e">
        <f>VLOOKUP($A21,'Données projet'!$A$434:$I$454,2,0)</f>
        <v>#N/A</v>
      </c>
      <c r="LO21" s="12" t="e">
        <f>VLOOKUP($A21,'Données projet'!$A$434:$I$454,9,0)</f>
        <v>#N/A</v>
      </c>
      <c r="LP21" s="12">
        <f t="array" ref="LP21">INDEX(LO:LO,MIN(IF(ISNUMBER(LO21:LO217),ROW(LO21:LO217),"")))</f>
        <v>2.9235042735042733</v>
      </c>
      <c r="LQ21" s="12">
        <f>IF('Données projet'!$A$434&gt;35,LQ20+LP21-LY20,IF($A21&lt;'Données projet'!$A$434,$CQ$205^$A21,IF($A21='Données projet'!$A$434,'Données projet'!$B$434,LQ20+LP21-LY20)))</f>
        <v>52.623076923076908</v>
      </c>
      <c r="LR21" s="17">
        <f>LQ21*VLOOKUP('Données projet'!$B$24,Paramètres!$A$1:$I$89,3,0)*VLOOKUP('Données projet'!$B$24,Paramètres!$A$1:$I$89,5,0)</f>
        <v>53.359799999999986</v>
      </c>
      <c r="LS21" s="13">
        <f t="shared" si="102"/>
        <v>15.478131281264625</v>
      </c>
      <c r="LT21" s="14">
        <f t="shared" si="46"/>
        <v>119.89273031486921</v>
      </c>
      <c r="LU21" s="59">
        <f t="shared" si="103"/>
        <v>413.22606364820251</v>
      </c>
      <c r="LV21" s="59">
        <f ca="1">AVERAGE(OFFSET($LU$3,0,0,'Données projet'!$E$24+1,1))-AVERAGE(OFFSET($H$3,0,0,'Données projet'!$E$24+1,1))</f>
        <v>260.52627655062872</v>
      </c>
      <c r="LW21" s="59">
        <f t="shared" si="104"/>
        <v>159.20429420478047</v>
      </c>
      <c r="LX21" s="15">
        <f>IF(ISNA(VLOOKUP($A21,'Données projet'!$A$434:$I$454,3,0)),0,VLOOKUP($A21,'Données projet'!$A$434:$I$454,3,0))</f>
        <v>0</v>
      </c>
      <c r="LY21" s="15">
        <f>IF(ISNA(VLOOKUP($A21,'Données projet'!$A$434:$I$454,4,0)),0,VLOOKUP($A21,'Données projet'!$A$434:$I$454,4,0))</f>
        <v>0</v>
      </c>
      <c r="LZ21" s="16">
        <f>IF(ISNA(VLOOKUP($A21,'Données projet'!$A$434:$I$454,5,0)),0%,VLOOKUP($A21,'Données projet'!$A$434:$I$454,5,0)*VLOOKUP('Données projet'!$B$24,Paramètres!$A$1:$I$89,7,0))</f>
        <v>0</v>
      </c>
      <c r="MA21" s="16">
        <f>IF(ISNA(VLOOKUP($A21,'Données projet'!$A$434:$I$454,6,0)),0%,VLOOKUP($A21,'Données projet'!$A$434:$I$454,6,0)*VLOOKUP('Données projet'!$B$24,Paramètres!$A$1:$I$89,7,0))</f>
        <v>0</v>
      </c>
      <c r="MB21" s="16">
        <f>IF(ISNA(VLOOKUP($A21,'Données projet'!$A$434:$I$454,7,0)),0%,VLOOKUP($A21,'Données projet'!$A$434:$I$454,7,0))</f>
        <v>0</v>
      </c>
      <c r="MC21" s="21">
        <f>EXP(-LN(2)/35)*MC20+(1-EXP(-LN(2)/35))/(LN(2)/35)*LY21*LZ21*VLOOKUP('Données projet'!$B$24,Paramètres!$A$1:$I$89,3,0)*0.475*44/12</f>
        <v>0</v>
      </c>
      <c r="MD21" s="21">
        <f>EXP(-LN(2)/25)*MD20+(1-EXP(-LN(2)/25))/(LN(2)/25)*Calculateur!LY21*Calculateur!MA21*VLOOKUP('Données projet'!$B$24,Paramètres!$A$1:$I$89,3,0)*0.475*44/12</f>
        <v>0</v>
      </c>
      <c r="ME21" s="21">
        <f>EXP(-LN(2)/2)*ME20+(1-EXP(-LN(2)/2))/(LN(2)/2)*LY21*MB21*VLOOKUP('Données projet'!$B$24,Paramètres!$A$1:$I$89,3,0)*0.475*44/12</f>
        <v>0</v>
      </c>
      <c r="MF21" s="22">
        <f t="shared" si="105"/>
        <v>0</v>
      </c>
      <c r="MG21" s="74">
        <f>('Scénario référence'!$F$8+'Scénario référence'!$F$9+'Scénario référence'!$B$17+'Scénario référence'!$B$9+'Scénario référence'!$B$10)*70+IF((45+25*(1-EXP(-0.0175*$A21)))&lt;70,'Scénario référence'!$B$16*(45+25*(1-EXP(-0.0175*$A21))),70*'Scénario référence'!$B$16)+IF((32+38*(1-EXP(-0.0175*$A21)))&lt;70,'Scénario référence'!$B$18*(32+38*(1-EXP(-0.0175*$A21))),70*'Scénario référence'!$B$18)</f>
        <v>70</v>
      </c>
      <c r="MH21" s="12">
        <f>IF($A21&gt;30,10,('Scénario référence'!$B$16+'Scénario référence'!$B$17+'Scénario référence'!$B$18+'Scénario référence'!$B$9+'Scénario référence'!$B$10)*$A21*10/30+('Scénario référence'!$F$8+'Scénario référence'!$F$9)*10)</f>
        <v>10</v>
      </c>
      <c r="MI21" s="12" t="e">
        <f>VLOOKUP($A21,'Données projet'!$A$460:$I$480,2,0)</f>
        <v>#N/A</v>
      </c>
      <c r="MJ21" s="12" t="e">
        <f>VLOOKUP($A21,'Données projet'!$A$460:$I$480,9,0)</f>
        <v>#N/A</v>
      </c>
      <c r="MK21" s="12">
        <f t="array" ref="MK21">INDEX(MJ:MJ,MIN(IF(ISNUMBER(MJ21:MJ217),ROW(MJ21:MJ217),"")))</f>
        <v>0</v>
      </c>
      <c r="ML21" s="12">
        <f>IF('Données projet'!$A$460&gt;35,ML20+MK21-MT20,IF($A21&lt;'Données projet'!$A$460,$CQ$205^$A21,IF($A21='Données projet'!$A$460,'Données projet'!$B$460,ML20+MK21-MT20)))</f>
        <v>0</v>
      </c>
      <c r="MM21" s="17" t="e">
        <f>ML21*VLOOKUP('Données projet'!$B$25,Paramètres!$A$1:$I$89,3,0)*VLOOKUP('Données projet'!$B$25,Paramètres!$A$1:$I$89,5,0)</f>
        <v>#N/A</v>
      </c>
      <c r="MN21" s="13" t="e">
        <f t="shared" si="106"/>
        <v>#N/A</v>
      </c>
      <c r="MO21" s="14" t="e">
        <f t="shared" si="49"/>
        <v>#N/A</v>
      </c>
      <c r="MP21" s="59" t="e">
        <f t="shared" si="50"/>
        <v>#N/A</v>
      </c>
      <c r="MQ21" s="20" t="e">
        <f ca="1">AVERAGE(OFFSET($MP$3,0,0,'Données projet'!$E$25+1,1))-AVERAGE(OFFSET($H$3,0,0,'Données projet'!$E$25+1,1))</f>
        <v>#N/A</v>
      </c>
      <c r="MR21" s="59" t="e">
        <f t="shared" si="107"/>
        <v>#N/A</v>
      </c>
      <c r="MS21" s="15">
        <f>IF(ISNA(VLOOKUP($A21,'Données projet'!$A$460:$I$480,3,0)),0,VLOOKUP($A21,'Données projet'!$A$460:$I$480,3,0))</f>
        <v>0</v>
      </c>
      <c r="MT21" s="15">
        <f>IF(ISNA(VLOOKUP($A21,'Données projet'!$A$460:$I$480,4,0)),0,VLOOKUP($A21,'Données projet'!$A$460:$I$480,4,0))</f>
        <v>0</v>
      </c>
      <c r="MU21" s="16">
        <f>IF(ISNA(VLOOKUP($A21,'Données projet'!$A$460:$I$480,5,0)),0%,VLOOKUP($A21,'Données projet'!$A$460:$I$480,5,0)*VLOOKUP('Données projet'!$B$25,Paramètres!$A$1:$I$89,7,0))</f>
        <v>0</v>
      </c>
      <c r="MV21" s="16">
        <f>IF(ISNA(VLOOKUP($A21,'Données projet'!$A$460:$I$480,6,0)),0%,VLOOKUP($A21,'Données projet'!$A$460:$I$480,6,0)*VLOOKUP('Données projet'!$B$25,Paramètres!$A$1:$I$89,7,0))</f>
        <v>0</v>
      </c>
      <c r="MW21" s="16">
        <f>IF(ISNA(VLOOKUP($A21,'Données projet'!$A$460:$I$480,7,0)),0%,VLOOKUP($A21,'Données projet'!$A$460:$I$480,7,0))</f>
        <v>0</v>
      </c>
      <c r="MX21" s="21" t="e">
        <f>EXP(-LN(2)/35)*MX20+(1-EXP(-LN(2)/35))/(LN(2)/35)*MT21*MU21*VLOOKUP('Données projet'!$B$25,Paramètres!$A$1:$I$89,3,0)*0.475*44/12</f>
        <v>#N/A</v>
      </c>
      <c r="MY21" s="21" t="e">
        <f>EXP(-LN(2)/25)*MY20+(1-EXP(-LN(2)/25))/(LN(2)/25)*Calculateur!MT21*Calculateur!MV21*VLOOKUP('Données projet'!$B$25,Paramètres!$A$1:$I$89,3,0)*0.475*44/12</f>
        <v>#N/A</v>
      </c>
      <c r="MZ21" s="21" t="e">
        <f>EXP(-LN(2)/2)*MZ20+(1-EXP(-LN(2)/2))/(LN(2)/2)*MT21*MW21*VLOOKUP('Données projet'!$B$25,Paramètres!$A$1:$I$89,3,0)*0.475*44/12</f>
        <v>#N/A</v>
      </c>
      <c r="NA21" s="22" t="e">
        <f t="shared" si="108"/>
        <v>#N/A</v>
      </c>
      <c r="NB21" s="74">
        <f>('Scénario référence'!$F$8+'Scénario référence'!$F$9+'Scénario référence'!$B$17+'Scénario référence'!$B$9+'Scénario référence'!$B$10)*70+IF((45+25*(1-EXP(-0.0175*$A21)))&lt;70,'Scénario référence'!$B$16*(45+25*(1-EXP(-0.0175*$A21))),70*'Scénario référence'!$B$16)+IF((32+38*(1-EXP(-0.0175*$A21)))&lt;70,'Scénario référence'!$B$18*(32+38*(1-EXP(-0.0175*$A21))),70*'Scénario référence'!$B$18)</f>
        <v>70</v>
      </c>
      <c r="NC21" s="12">
        <f>IF($A21&gt;30,10,('Scénario référence'!$B$16+'Scénario référence'!$B$17+'Scénario référence'!$B$18+'Scénario référence'!$B$9+'Scénario référence'!$B$10)*$A21*10/30+('Scénario référence'!$F$8+'Scénario référence'!$F$9)*10)</f>
        <v>10</v>
      </c>
      <c r="ND21" s="12" t="e">
        <f>VLOOKUP($A21,'Données projet'!$A$486:$I$506,2,0)</f>
        <v>#N/A</v>
      </c>
      <c r="NE21" s="12" t="e">
        <f>VLOOKUP($A21,'Données projet'!$A$486:$I$506,9,0)</f>
        <v>#N/A</v>
      </c>
      <c r="NF21" s="12">
        <f t="array" ref="NF21">INDEX(NE:NE,MIN(IF(ISNUMBER(NE21:NE217),ROW(NE21:NE217),"")))</f>
        <v>0</v>
      </c>
      <c r="NG21" s="12">
        <f>IF('Données projet'!$A$486&gt;35,NG20+NF21-NO20,IF($A21&lt;'Données projet'!$A$486,$CQ$205^$A21,IF($A21='Données projet'!$A$486,'Données projet'!$B$486,NG20+NF21-NO20)))</f>
        <v>0</v>
      </c>
      <c r="NH21" s="17" t="e">
        <f>NG21*VLOOKUP('Données projet'!$B$26,Paramètres!$A$1:$I$89,3,0)*VLOOKUP('Données projet'!$B$26,Paramètres!$A$1:$I$89,5,0)</f>
        <v>#N/A</v>
      </c>
      <c r="NI21" s="13" t="e">
        <f t="shared" si="109"/>
        <v>#N/A</v>
      </c>
      <c r="NJ21" s="14" t="e">
        <f t="shared" si="52"/>
        <v>#N/A</v>
      </c>
      <c r="NK21" s="59" t="e">
        <f t="shared" si="53"/>
        <v>#N/A</v>
      </c>
      <c r="NL21" s="20" t="e">
        <f ca="1">AVERAGE(OFFSET($NK$3,0,0,'Données projet'!$E$26+1,1))-AVERAGE(OFFSET($H$3,0,0,'Données projet'!$E$26+1,1))</f>
        <v>#N/A</v>
      </c>
      <c r="NM21" s="59" t="e">
        <f t="shared" si="110"/>
        <v>#N/A</v>
      </c>
      <c r="NN21" s="15">
        <f>IF(ISNA(VLOOKUP($A21,'Données projet'!$A$486:$I$506,3,0)),0,VLOOKUP($A21,'Données projet'!$A$486:$I$506,3,0))</f>
        <v>0</v>
      </c>
      <c r="NO21" s="15">
        <f>IF(ISNA(VLOOKUP($A21,'Données projet'!$A$486:$I$506,4,0)),0,VLOOKUP($A21,'Données projet'!$A$486:$I$506,4,0))</f>
        <v>0</v>
      </c>
      <c r="NP21" s="16">
        <f>IF(ISNA(VLOOKUP($A21,'Données projet'!$A$486:$I$506,5,0)),0%,VLOOKUP($A21,'Données projet'!$A$486:$I$506,5,0)*VLOOKUP('Données projet'!$B$26,Paramètres!$A$1:$I$89,7,0))</f>
        <v>0</v>
      </c>
      <c r="NQ21" s="16">
        <f>IF(ISNA(VLOOKUP($A21,'Données projet'!$A$486:$I$506,6,0)),0%,VLOOKUP($A21,'Données projet'!$A$486:$I$506,6,0)*VLOOKUP('Données projet'!$B$26,Paramètres!$A$1:$I$89,7,0))</f>
        <v>0</v>
      </c>
      <c r="NR21" s="16">
        <f>IF(ISNA(VLOOKUP($A21,'Données projet'!$A$486:$I$506,7,0)),0%,VLOOKUP($A21,'Données projet'!$A$486:$I$506,7,0))</f>
        <v>0</v>
      </c>
      <c r="NS21" s="21" t="e">
        <f>EXP(-LN(2)/35)*NS20+(1-EXP(-LN(2)/35))/(LN(2)/35)*NO21*NP21*VLOOKUP('Données projet'!$B$26,Paramètres!$A$1:$I$89,3,0)*0.475*44/12</f>
        <v>#N/A</v>
      </c>
      <c r="NT21" s="21" t="e">
        <f>EXP(-LN(2)/25)*NT20+(1-EXP(-LN(2)/25))/(LN(2)/25)*Calculateur!NO21*Calculateur!NQ21*VLOOKUP('Données projet'!$B$26,Paramètres!$A$1:$I$89,3,0)*0.475*44/12</f>
        <v>#N/A</v>
      </c>
      <c r="NU21" s="21" t="e">
        <f>EXP(-LN(2)/2)*NU20+(1-EXP(-LN(2)/2))/(LN(2)/2)*NO21*NR21*VLOOKUP('Données projet'!$B$26,Paramètres!$A$1:$I$89,3,0)*0.475*44/12</f>
        <v>#N/A</v>
      </c>
      <c r="NV21" s="22" t="e">
        <f t="shared" si="111"/>
        <v>#N/A</v>
      </c>
      <c r="NW21" s="74">
        <f>('Scénario référence'!$F$8+'Scénario référence'!$F$9+'Scénario référence'!$B$17+'Scénario référence'!$B$9+'Scénario référence'!$B$10)*70+IF((45+25*(1-EXP(-0.0175*$A21)))&lt;70,'Scénario référence'!$B$16*(45+25*(1-EXP(-0.0175*$A21))),70*'Scénario référence'!$B$16)+IF((32+38*(1-EXP(-0.0175*$A21)))&lt;70,'Scénario référence'!$B$18*(32+38*(1-EXP(-0.0175*$A21))),70*'Scénario référence'!$B$18)</f>
        <v>70</v>
      </c>
      <c r="NX21" s="12">
        <f>IF($A21&gt;30,10,('Scénario référence'!$B$16+'Scénario référence'!$B$17+'Scénario référence'!$B$18+'Scénario référence'!$B$9+'Scénario référence'!$B$10)*$A21*10/30+('Scénario référence'!$F$8+'Scénario référence'!$F$9)*10)</f>
        <v>10</v>
      </c>
      <c r="NY21" s="12" t="e">
        <f>VLOOKUP($A21,'Données projet'!$A$512:$I$532,2,0)</f>
        <v>#N/A</v>
      </c>
      <c r="NZ21" s="12" t="e">
        <f>VLOOKUP($A21,'Données projet'!$A$512:$I$532,9,0)</f>
        <v>#N/A</v>
      </c>
      <c r="OA21" s="12">
        <f t="array" ref="OA21">INDEX(NZ:NZ,MIN(IF(ISNUMBER(NZ21:NZ217),ROW(NZ21:NZ217),"")))</f>
        <v>0</v>
      </c>
      <c r="OB21" s="12">
        <f>IF('Données projet'!$A$512&gt;35,OB20+OA21-OJ20,IF($A21&lt;'Données projet'!$A$512,$CQ$205^$A21,IF($A21='Données projet'!$A$512,'Données projet'!$B$512,OB20+OA21-OJ20)))</f>
        <v>0</v>
      </c>
      <c r="OC21" s="17" t="e">
        <f>OB21*VLOOKUP('Données projet'!$B$27,Paramètres!$A$1:$I$89,3,0)*VLOOKUP('Données projet'!$B$27,Paramètres!$A$1:$I$89,5,0)</f>
        <v>#N/A</v>
      </c>
      <c r="OD21" s="13" t="e">
        <f t="shared" si="112"/>
        <v>#N/A</v>
      </c>
      <c r="OE21" s="14" t="e">
        <f t="shared" si="55"/>
        <v>#N/A</v>
      </c>
      <c r="OF21" s="59" t="e">
        <f t="shared" si="56"/>
        <v>#N/A</v>
      </c>
      <c r="OG21" s="20" t="e">
        <f ca="1">AVERAGE(OFFSET($OF$3,0,0,'Données projet'!$E$27+1,1))-AVERAGE(OFFSET($H$3,0,0,'Données projet'!$E$27+1,1))</f>
        <v>#N/A</v>
      </c>
      <c r="OH21" s="59" t="e">
        <f t="shared" si="113"/>
        <v>#N/A</v>
      </c>
      <c r="OI21" s="15">
        <f>IF(ISNA(VLOOKUP($A21,'Données projet'!$A$512:$I$532,3,0)),0,VLOOKUP($A21,'Données projet'!$A$512:$I$532,3,0))</f>
        <v>0</v>
      </c>
      <c r="OJ21" s="15">
        <f>IF(ISNA(VLOOKUP($A21,'Données projet'!$A$512:$I$532,4,0)),0,VLOOKUP($A21,'Données projet'!$A$512:$I$532,4,0))</f>
        <v>0</v>
      </c>
      <c r="OK21" s="16">
        <f>IF(ISNA(VLOOKUP($A21,'Données projet'!$A$512:$I$532,5,0)),0%,VLOOKUP($A21,'Données projet'!$A$512:$I$532,5,0)*VLOOKUP('Données projet'!$B$27,Paramètres!$A$1:$I$89,7,0))</f>
        <v>0</v>
      </c>
      <c r="OL21" s="16">
        <f>IF(ISNA(VLOOKUP($A21,'Données projet'!$A$512:$I$532,6,0)),0%,VLOOKUP($A21,'Données projet'!$A$512:$I$532,6,0)*VLOOKUP('Données projet'!$B$27,Paramètres!$A$1:$I$89,7,0))</f>
        <v>0</v>
      </c>
      <c r="OM21" s="16">
        <f>IF(ISNA(VLOOKUP($A21,'Données projet'!$A$512:$I$532,7,0)),0%,VLOOKUP($A21,'Données projet'!$A$512:$I$532,7,0))</f>
        <v>0</v>
      </c>
      <c r="ON21" s="21" t="e">
        <f>EXP(-LN(2)/35)*ON20+(1-EXP(-LN(2)/35))/(LN(2)/35)*OJ21*OK21*VLOOKUP('Données projet'!$B$27,Paramètres!$A$1:$I$89,3,0)*0.475*44/12</f>
        <v>#N/A</v>
      </c>
      <c r="OO21" s="21" t="e">
        <f>EXP(-LN(2)/25)*OO20+(1-EXP(-LN(2)/25))/(LN(2)/25)*Calculateur!OJ21*Calculateur!OL21*VLOOKUP('Données projet'!$B$27,Paramètres!$A$1:$I$89,3,0)*0.475*44/12</f>
        <v>#N/A</v>
      </c>
      <c r="OP21" s="21" t="e">
        <f>EXP(-LN(2)/2)*OP20+(1-EXP(-LN(2)/2))/(LN(2)/2)*OJ21*OM21*VLOOKUP('Données projet'!$B$27,Paramètres!$A$1:$I$89,3,0)*0.475*44/12</f>
        <v>#N/A</v>
      </c>
      <c r="OQ21" s="22" t="e">
        <f t="shared" si="114"/>
        <v>#N/A</v>
      </c>
      <c r="OR21" s="74">
        <f>('Scénario référence'!$F$8+'Scénario référence'!$F$9+'Scénario référence'!$B$17+'Scénario référence'!$B$9+'Scénario référence'!$B$10)*70+IF((45+25*(1-EXP(-0.0175*$A21)))&lt;70,'Scénario référence'!$B$16*(45+25*(1-EXP(-0.0175*$A21))),70*'Scénario référence'!$B$16)+IF((32+38*(1-EXP(-0.0175*$A21)))&lt;70,'Scénario référence'!$B$18*(32+38*(1-EXP(-0.0175*$A21))),70*'Scénario référence'!$B$18)</f>
        <v>70</v>
      </c>
      <c r="OS21" s="12">
        <f>IF($A21&gt;30,10,('Scénario référence'!$B$16+'Scénario référence'!$B$17+'Scénario référence'!$B$18+'Scénario référence'!$B$9+'Scénario référence'!$B$10)*$A21*10/30+('Scénario référence'!$F$8+'Scénario référence'!$F$9)*10)</f>
        <v>10</v>
      </c>
      <c r="OT21" s="12" t="e">
        <f>VLOOKUP($A21,'Données projet'!$A$538:$I$558,2,0)</f>
        <v>#N/A</v>
      </c>
      <c r="OU21" s="12" t="e">
        <f>VLOOKUP($A21,'Données projet'!$A$538:$I$558,9,0)</f>
        <v>#N/A</v>
      </c>
      <c r="OV21" s="12">
        <f t="array" ref="OV21">INDEX(OU:OU,MIN(IF(ISNUMBER(OU21:OU217),ROW(OU21:OU217),"")))</f>
        <v>0</v>
      </c>
      <c r="OW21" s="12">
        <f>IF('Données projet'!$A$538&gt;35,OW20+OV21-PE20,IF($A21&lt;'Données projet'!$A$538,$CQ$205^$A21,IF($A21='Données projet'!$A$538,'Données projet'!$B$538,OW20+OV21-PE20)))</f>
        <v>0</v>
      </c>
      <c r="OX21" s="17" t="e">
        <f>OW21*VLOOKUP('Données projet'!$B$28,Paramètres!$A$1:$I$89,3,0)*VLOOKUP('Données projet'!$B$28,Paramètres!$A$1:$I$89,5,0)</f>
        <v>#N/A</v>
      </c>
      <c r="OY21" s="13" t="e">
        <f t="shared" si="115"/>
        <v>#N/A</v>
      </c>
      <c r="OZ21" s="14" t="e">
        <f t="shared" si="58"/>
        <v>#N/A</v>
      </c>
      <c r="PA21" s="59" t="e">
        <f t="shared" si="59"/>
        <v>#N/A</v>
      </c>
      <c r="PB21" s="20" t="e">
        <f ca="1">AVERAGE(OFFSET($PA$3,0,0,'Données projet'!$E$28+1,1))-AVERAGE(OFFSET($H$3,0,0,'Données projet'!$E$28+1,1))</f>
        <v>#N/A</v>
      </c>
      <c r="PC21" s="59" t="e">
        <f t="shared" si="116"/>
        <v>#N/A</v>
      </c>
      <c r="PD21" s="15">
        <f>IF(ISNA(VLOOKUP($A21,'Données projet'!$A$538:$I$558,3,0)),0,VLOOKUP($A21,'Données projet'!$A$538:$I$558,3,0))</f>
        <v>0</v>
      </c>
      <c r="PE21" s="15">
        <f>IF(ISNA(VLOOKUP($A21,'Données projet'!$A$538:$I$558,4,0)),0,VLOOKUP($A21,'Données projet'!$A$538:$I$558,4,0))</f>
        <v>0</v>
      </c>
      <c r="PF21" s="16">
        <f>IF(ISNA(VLOOKUP($A21,'Données projet'!$A$538:$I$558,5,0)),0%,VLOOKUP($A21,'Données projet'!$A$538:$I$558,5,0)*VLOOKUP('Données projet'!$B$28,Paramètres!$A$1:$I$89,7,0))</f>
        <v>0</v>
      </c>
      <c r="PG21" s="16">
        <f>IF(ISNA(VLOOKUP($A21,'Données projet'!$A$538:$I$558,6,0)),0%,VLOOKUP($A21,'Données projet'!$A$538:$I$558,6,0)*VLOOKUP('Données projet'!$B$28,Paramètres!$A$1:$I$89,7,0))</f>
        <v>0</v>
      </c>
      <c r="PH21" s="16">
        <f>IF(ISNA(VLOOKUP($A21,'Données projet'!$A$538:$I$558,7,0)),0%,VLOOKUP($A21,'Données projet'!$A$538:$I$558,7,0))</f>
        <v>0</v>
      </c>
      <c r="PI21" s="21" t="e">
        <f>EXP(-LN(2)/35)*PI20+(1-EXP(-LN(2)/35))/(LN(2)/35)*PE21*PF21*VLOOKUP('Données projet'!$B$28,Paramètres!$A$1:$I$89,3,0)*0.475*44/12</f>
        <v>#N/A</v>
      </c>
      <c r="PJ21" s="21" t="e">
        <f>EXP(-LN(2)/25)*PJ20+(1-EXP(-LN(2)/25))/(LN(2)/25)*Calculateur!PE21*Calculateur!PG21*VLOOKUP('Données projet'!$B$28,Paramètres!$A$1:$I$89,3,0)*0.475*44/12</f>
        <v>#N/A</v>
      </c>
      <c r="PK21" s="21" t="e">
        <f>EXP(-LN(2)/2)*PK20+(1-EXP(-LN(2)/2))/(LN(2)/2)*PE21*PH21*VLOOKUP('Données projet'!$B$28,Paramètres!$A$1:$I$89,3,0)*0.475*44/12</f>
        <v>#N/A</v>
      </c>
      <c r="PL21" s="22" t="e">
        <f t="shared" si="117"/>
        <v>#N/A</v>
      </c>
    </row>
    <row r="22" spans="1:428" x14ac:dyDescent="0.35">
      <c r="A22" s="10">
        <f t="shared" si="6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6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projet'!$A$45:$I$65,2,0)</f>
        <v>#N/A</v>
      </c>
      <c r="L22" s="12" t="e">
        <f>VLOOKUP(A22,'Données projet'!$A$45:$I$65,9,0)</f>
        <v>#N/A</v>
      </c>
      <c r="M22" s="12">
        <f t="array" ref="M22">INDEX(L:L,MIN(IF(ISNUMBER(L22:L218),ROW(L22:L218),"")))</f>
        <v>20.658974358974358</v>
      </c>
      <c r="N22" s="13">
        <f>IF('Données projet'!$A$46&gt;35,N21+M22-V21,IF(A22&lt;'Données projet'!$A$46,$K$205^A22,IF(A22='Données projet'!$A$46,'Données projet'!$B$46,N21+M22-V21)))</f>
        <v>134.26666666666665</v>
      </c>
      <c r="O22" s="13">
        <f>N22*VLOOKUP('Données projet'!$B$9,Paramètres!$A$1:$I$89,3,0)*VLOOKUP('Données projet'!$B$9,Paramètres!$A$1:$I$89,5,0)</f>
        <v>75.055066666666661</v>
      </c>
      <c r="P22" s="13">
        <f t="shared" si="63"/>
        <v>20.923669242672773</v>
      </c>
      <c r="Q22" s="20">
        <f t="shared" si="2"/>
        <v>167.1629650420995</v>
      </c>
      <c r="R22" s="59">
        <f t="shared" si="0"/>
        <v>460.49629837543284</v>
      </c>
      <c r="S22" s="59">
        <f ca="1">AVERAGE(OFFSET($R$3,0,0,'Données projet'!$E$9+1,1))-AVERAGE(OFFSET($H$3,0,0,'Données projet'!$E$9+1,1))</f>
        <v>274.57619581652199</v>
      </c>
      <c r="T22" s="59">
        <f t="shared" si="64"/>
        <v>366.15117322598775</v>
      </c>
      <c r="U22" s="15">
        <f>IF(ISNA(VLOOKUP(A22,'Données projet'!$A$45:$I$65,3,0)),0,VLOOKUP(A22,'Données projet'!$A$45:$I$65,3,0))</f>
        <v>0</v>
      </c>
      <c r="V22" s="15">
        <f>IF(ISNA(VLOOKUP(A22,'Données projet'!$A$45:$I$65,4,0)),0,VLOOKUP(A22,'Données projet'!$A$45:$I$65,4,0))</f>
        <v>0</v>
      </c>
      <c r="W22" s="16">
        <f>IF(ISNA(VLOOKUP(A22,'Données projet'!$A$45:$I$65,5,0)),0%,VLOOKUP(A22,'Données projet'!$A$45:$I$65,5,0)*VLOOKUP('Données projet'!$B$9,Paramètres!$A$1:$I$89,7,0))</f>
        <v>0</v>
      </c>
      <c r="X22" s="16">
        <f>IF(ISNA(VLOOKUP(A22,'Données projet'!$A$45:$I$65,6,0)),0%,VLOOKUP(A22,'Données projet'!$A$45:$I$65,6,0)*VLOOKUP('Données projet'!$B$9,Paramètres!$A$1:$I$89,7,0))</f>
        <v>0</v>
      </c>
      <c r="Y22" s="16">
        <f>IF(ISNA(VLOOKUP(A22,'Données projet'!$A$45:$I$65,7,0)),0%,VLOOKUP(A22,'Données projet'!$A$45:$I$65,7,0))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15.33109353535507</v>
      </c>
      <c r="AB22" s="21">
        <f>EXP(-LN(2)/2)*AB21+(1-EXP(-LN(2)/2))/(LN(2)/2)*V22*Y22*VLOOKUP('Données projet'!$B$9,Paramètres!$A$1:$I$89,3,0)*0.475*44/12</f>
        <v>13.643375625992494</v>
      </c>
      <c r="AC22" s="22">
        <f t="shared" si="3"/>
        <v>28.974469161347564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projet'!$A$71:$I$91,2,0)</f>
        <v>#N/A</v>
      </c>
      <c r="AG22" s="12" t="e">
        <f>VLOOKUP(A22,'Données projet'!$A$71:$I$91,9,0)</f>
        <v>#N/A</v>
      </c>
      <c r="AH22" s="12">
        <f t="array" ref="AH22">INDEX(AG:AG,MIN(IF(ISNUMBER(AG22:AG218),ROW(AG22:AG218),"")))</f>
        <v>4.0628205128205126</v>
      </c>
      <c r="AI22" s="13">
        <f>IF('Données projet'!$A$72&gt;35,AI21+AH22-AQ21,IF(A22&lt;'Données projet'!$A$72,$AF$205^A22,IF(A22='Données projet'!$A$72,'Données projet'!$B$72,AI21+AH22-AQ21)))</f>
        <v>20.945993500590358</v>
      </c>
      <c r="AJ22" s="13">
        <f>AI22*VLOOKUP('Données projet'!$B$10,Paramètres!$A$1:$I$89,3,0)*VLOOKUP('Données projet'!$B$10,Paramètres!$A$1:$I$89,5,0)</f>
        <v>18.951934919334153</v>
      </c>
      <c r="AK22" s="13">
        <f t="shared" si="65"/>
        <v>6.2013571958398481</v>
      </c>
      <c r="AL22" s="20">
        <f t="shared" si="4"/>
        <v>43.808650433928051</v>
      </c>
      <c r="AM22" s="59">
        <f t="shared" si="5"/>
        <v>337.14198376726137</v>
      </c>
      <c r="AN22" s="59">
        <f ca="1">AVERAGE(OFFSET($AM$3,0,0,'Données projet'!$E$10+1,1))-AVERAGE(OFFSET($H$3,0,0,'Données projet'!$E$10+1,1))</f>
        <v>270.87836509222456</v>
      </c>
      <c r="AO22" s="59">
        <f t="shared" si="66"/>
        <v>205.24998237949734</v>
      </c>
      <c r="AP22" s="15">
        <f>IF(ISNA(VLOOKUP(A22,'Données projet'!$A$71:$I$91,3,0)),0,VLOOKUP(A22,'Données projet'!$A$71:$I$91,3,0))</f>
        <v>0</v>
      </c>
      <c r="AQ22" s="15">
        <f>IF(ISNA(VLOOKUP(A22,'Données projet'!$A$71:$I$91,4,0)),0,VLOOKUP(A22,'Données projet'!$A$71:$I$91,4,0))</f>
        <v>0</v>
      </c>
      <c r="AR22" s="16">
        <f>IF(ISNA(VLOOKUP(A22,'Données projet'!$A$71:$I$91,5,0)),0%,VLOOKUP(A22,'Données projet'!$A$71:$I$91,5,0)*VLOOKUP('Données projet'!$B$10,Paramètres!$A$1:$I$89,7,0))</f>
        <v>0</v>
      </c>
      <c r="AS22" s="16">
        <f>IF(ISNA(VLOOKUP(A22,'Données projet'!$A$71:$I$91,6,0)),0%,VLOOKUP(A22,'Données projet'!$A$71:$I$91,6,0)*VLOOKUP('Données projet'!$B$10,Paramètres!$A$1:$I$89,7,0))</f>
        <v>0</v>
      </c>
      <c r="AT22" s="16">
        <f>IF(ISNA(VLOOKUP(A22,'Données projet'!$A$71:$I$91,7,0)),0%,VLOOKUP(A22,'Données projet'!$A$71:$I$91,7,0))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projet'!$A$97:$I$117,2,0)</f>
        <v>#N/A</v>
      </c>
      <c r="BB22" s="12" t="e">
        <f>VLOOKUP(A22,'Données projet'!$A$97:$I$117,9,0)</f>
        <v>#N/A</v>
      </c>
      <c r="BC22" s="12">
        <f t="array" ref="BC22">INDEX(BB:BB,MIN(IF(ISNUMBER(BB22:BB218),ROW(BB22:BB218),"")))</f>
        <v>20.658974358974358</v>
      </c>
      <c r="BD22" s="12">
        <f>IF('Données projet'!$A$98&gt;35,BD21+BC22-BL21,IF(A22&lt;'Données projet'!$A$98,$BA$205^A22,IF(A22='Données projet'!$A$98,'Données projet'!$B$98,BD21+BC22-BL21)))</f>
        <v>134.26666666666665</v>
      </c>
      <c r="BE22" s="13">
        <f>BD22*VLOOKUP('Données projet'!$B$11,Paramètres!$A$1:$I$89,3,0)*VLOOKUP('Données projet'!$B$11,Paramètres!$A$1:$I$89,5,0)</f>
        <v>59.345866666666666</v>
      </c>
      <c r="BF22" s="13">
        <f t="shared" si="67"/>
        <v>17.002778215587412</v>
      </c>
      <c r="BG22" s="20">
        <f t="shared" si="7"/>
        <v>132.97388983659252</v>
      </c>
      <c r="BH22" s="59">
        <f t="shared" si="8"/>
        <v>426.30722316992581</v>
      </c>
      <c r="BI22" s="59">
        <f ca="1">AVERAGE(OFFSET($BH$3,0,0,'Données projet'!$E$11+1,1))-AVERAGE(OFFSET($H$3,0,0,'Données projet'!$E$11+1,1))</f>
        <v>211.31057120485542</v>
      </c>
      <c r="BJ22" s="59">
        <f t="shared" si="68"/>
        <v>283.33292006714777</v>
      </c>
      <c r="BK22" s="15">
        <f>IF(ISNA(VLOOKUP(A22,'Données projet'!$A$97:$I$117,3,0)),0,VLOOKUP(A22,'Données projet'!$A$97:$I$117,3,0))</f>
        <v>0</v>
      </c>
      <c r="BL22" s="15">
        <f>IF(ISNA(VLOOKUP(A22,'Données projet'!$A$97:$I$117,4,0)),0,VLOOKUP(A22,'Données projet'!$A$97:$I$117,4,0))</f>
        <v>0</v>
      </c>
      <c r="BM22" s="16">
        <f>IF(ISNA(VLOOKUP(A22,'Données projet'!$A$97:$I$117,5,0)),0%,VLOOKUP(A22,'Données projet'!$A$97:$I$117,5,0)*VLOOKUP('Données projet'!$B$11,Paramètres!$A$1:$I$89,7,0))</f>
        <v>0</v>
      </c>
      <c r="BN22" s="16">
        <f>IF(ISNA(VLOOKUP(A22,'Données projet'!$A$97:$I$117,6,0)),0%,VLOOKUP(A22,'Données projet'!$A$97:$I$117,6,0)*VLOOKUP('Données projet'!$B$11,Paramètres!$A$1:$I$89,7,0))</f>
        <v>0</v>
      </c>
      <c r="BO22" s="16">
        <f>IF(ISNA(VLOOKUP(A22,'Données projet'!$A$97:$I$117,7,0)),0%,VLOOKUP(A22,'Données projet'!$A$97:$I$117,7,0))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12.122260004699358</v>
      </c>
      <c r="BR22" s="21">
        <f>EXP(-LN(2)/2)*BR21+(1-EXP(-LN(2)/2))/(LN(2)/2)*BL22*BO22*VLOOKUP('Données projet'!$B$11,Paramètres!$A$1:$I$89,3,0)*0.475*44/12</f>
        <v>10.787785378691739</v>
      </c>
      <c r="BS22" s="22">
        <f t="shared" si="9"/>
        <v>22.910045383391097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projet'!$A$123:$I$143,2,0)</f>
        <v>#N/A</v>
      </c>
      <c r="BW22" s="12" t="e">
        <f>VLOOKUP(A22,'Données projet'!$A$123:$I$143,9,0)</f>
        <v>#N/A</v>
      </c>
      <c r="BX22" s="12">
        <f t="array" ref="BX22">INDEX(BW:BW,MIN(IF(ISNUMBER(BW22:BW218),ROW(BW22:BW218),"")))</f>
        <v>11.2</v>
      </c>
      <c r="BY22" s="12">
        <f>IF('Données projet'!$A$124&gt;35,BY21+BX22-CG21,IF(A22&lt;'Données projet'!$A$124,$BV$205^A22,IF(A22='Données projet'!$A$124,'Données projet'!$B$124,BY21+BX22-CG21)))</f>
        <v>117.8</v>
      </c>
      <c r="BZ22" s="13">
        <f>BY22*VLOOKUP('Données projet'!$B$12,Paramètres!$A$1:$I$89,3,0)*VLOOKUP('Données projet'!$B$12,Paramètres!$A$1:$I$89,5,0)</f>
        <v>123.12456</v>
      </c>
      <c r="CA22" s="13">
        <f t="shared" si="69"/>
        <v>32.402657799061316</v>
      </c>
      <c r="CB22" s="20">
        <f t="shared" si="10"/>
        <v>270.87657100003173</v>
      </c>
      <c r="CC22" s="59">
        <f t="shared" si="11"/>
        <v>564.2099043333651</v>
      </c>
      <c r="CD22" s="59">
        <f ca="1">AVERAGE(OFFSET($CC$3,0,0,'Données projet'!$E$12+1,1))-AVERAGE(OFFSET($H$3,0,0,'Données projet'!$E$12+1,1))</f>
        <v>322.93502595881938</v>
      </c>
      <c r="CE22" s="59">
        <f t="shared" si="70"/>
        <v>302.67072119588164</v>
      </c>
      <c r="CF22" s="15">
        <f>IF(ISNA(VLOOKUP(A22,'Données projet'!$A$123:$I$143,3,0)),0,VLOOKUP(A22,'Données projet'!$A$123:$I$143,3,0))</f>
        <v>0</v>
      </c>
      <c r="CG22" s="15">
        <f>IF(ISNA(VLOOKUP(A22,'Données projet'!$A$123:$I$143,4,0)),0,VLOOKUP(A22,'Données projet'!$A$123:$I$143,4,0))</f>
        <v>0</v>
      </c>
      <c r="CH22" s="16">
        <f>IF(ISNA(VLOOKUP(A22,'Données projet'!$A$123:$I$143,5,0)),0%,VLOOKUP(A22,'Données projet'!$A$123:$I$143,5,0)*VLOOKUP('Données projet'!$B$12,Paramètres!$A$1:$I$89,7,0))</f>
        <v>0</v>
      </c>
      <c r="CI22" s="16">
        <f>IF(ISNA(VLOOKUP(A22,'Données projet'!$A$123:$I$143,6,0)),0%,VLOOKUP(A22,'Données projet'!$A$123:$I$143,6,0)*VLOOKUP('Données projet'!$B$12,Paramètres!$A$1:$I$89,7,0))</f>
        <v>0</v>
      </c>
      <c r="CJ22" s="16">
        <f>IF(ISNA(VLOOKUP(A22,'Données projet'!$A$123:$I$143,7,0)),0%,VLOOKUP(A22,'Données projet'!$A$123:$I$143,7,0))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projet'!$A$149:$I$169,2,0)</f>
        <v>#N/A</v>
      </c>
      <c r="CR22" s="12" t="e">
        <f>VLOOKUP(A22,'Données projet'!$A$149:$I$169,9,0)</f>
        <v>#N/A</v>
      </c>
      <c r="CS22" s="12">
        <f t="array" ref="CS22">INDEX(CR:CR,MIN(IF(ISNUMBER(CR22:CR218),ROW(CR22:CR218),"")))</f>
        <v>2.9235042735042733</v>
      </c>
      <c r="CT22" s="12">
        <f>IF('Données projet'!$A$150&gt;35,CT21+CS22-DB21,IF(A22&lt;'Données projet'!$A$150,$CQ$205^A22,IF(A22='Données projet'!$A$150,'Données projet'!$B$150,CT21+CS22-DB21)))</f>
        <v>17.005229294461625</v>
      </c>
      <c r="CU22" s="17">
        <f>CT22*VLOOKUP('Données projet'!$B$13,Paramètres!$A$1:$I$89,3,0)*VLOOKUP('Données projet'!$B$13,Paramètres!$A$1:$I$89,5,0)</f>
        <v>17.24330250458409</v>
      </c>
      <c r="CV22" s="13">
        <f t="shared" si="71"/>
        <v>5.7046616634614491</v>
      </c>
      <c r="CW22" s="20">
        <f t="shared" si="13"/>
        <v>39.967704259345972</v>
      </c>
      <c r="CX22" s="59">
        <f t="shared" si="14"/>
        <v>333.30103759267928</v>
      </c>
      <c r="CY22" s="59">
        <f ca="1">AVERAGE(OFFSET($CX$3,0,0,'Données projet'!$E$13+1,1))-AVERAGE(OFFSET($H$3,0,0,'Données projet'!$E$13+1,1))</f>
        <v>250.31277422753283</v>
      </c>
      <c r="CZ22" s="59">
        <f t="shared" si="72"/>
        <v>159.20429420478047</v>
      </c>
      <c r="DA22" s="15">
        <f>IF(ISNA(VLOOKUP(A22,'Données projet'!$A$149:$I$169,3,0)),0,VLOOKUP(A22,'Données projet'!$A$149:$I$169,3,0))</f>
        <v>0</v>
      </c>
      <c r="DB22" s="15">
        <f>IF(ISNA(VLOOKUP(A22,'Données projet'!$A$149:$I$169,4,0)),0,VLOOKUP(A22,'Données projet'!$A$149:$I$169,4,0))</f>
        <v>0</v>
      </c>
      <c r="DC22" s="16">
        <f>IF(ISNA(VLOOKUP(A22,'Données projet'!$A$149:$I$169,5,0)),0%,VLOOKUP(A22,'Données projet'!$A$149:$I$169,5,0)*VLOOKUP('Données projet'!$B$13,Paramètres!$A$1:$I$89,7,0))</f>
        <v>0</v>
      </c>
      <c r="DD22" s="16">
        <f>IF(ISNA(VLOOKUP(A22,'Données projet'!$A$149:$I$169,6,0)),0%,VLOOKUP(A22,'Données projet'!$A$149:$I$169,6,0)*VLOOKUP('Données projet'!$B$13,Paramètres!$A$1:$I$89,7,0))</f>
        <v>0</v>
      </c>
      <c r="DE22" s="16">
        <f>IF(ISNA(VLOOKUP(A22,'Données projet'!$A$149:$I$169,7,0)),0%,VLOOKUP(A22,'Données projet'!$A$149:$I$169,7,0))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projet'!$A$175:$I$195,2,0)</f>
        <v>#N/A</v>
      </c>
      <c r="DM22" s="12" t="e">
        <f>VLOOKUP(A22,'Données projet'!$A$175:$I$195,9,0)</f>
        <v>#N/A</v>
      </c>
      <c r="DN22" s="12">
        <f t="array" ref="DN22">INDEX(DM:DM,MIN(IF(ISNUMBER(DM22:DM218),ROW(DM22:DM218),"")))</f>
        <v>16</v>
      </c>
      <c r="DO22" s="12">
        <f>IF('Données projet'!$A$176&gt;35,DO21+DN22-DW21,IF(A22&lt;'Données projet'!$A$176,$DL$205^A22,IF(A22='Données projet'!$A$176,'Données projet'!$B$176,DO21+DN22-DW21)))</f>
        <v>107</v>
      </c>
      <c r="DP22" s="17">
        <f>DO22*VLOOKUP('Données projet'!$B$14,Paramètres!$A$1:$I$89,3,0)*VLOOKUP('Données projet'!$B$14,Paramètres!$A$1:$I$89,5,0)</f>
        <v>78.452399999999997</v>
      </c>
      <c r="DQ22" s="13">
        <f t="shared" si="73"/>
        <v>21.75835875604599</v>
      </c>
      <c r="DR22" s="20">
        <f t="shared" si="16"/>
        <v>174.53373816678013</v>
      </c>
      <c r="DS22" s="59">
        <f t="shared" si="17"/>
        <v>467.86707150011341</v>
      </c>
      <c r="DT22" s="59">
        <f ca="1">AVERAGE(OFFSET($DS$3,0,0,'Données projet'!$E$14+1,1))-AVERAGE(OFFSET($H$3,0,0,'Données projet'!$E$14+1,1))</f>
        <v>296.91321813251051</v>
      </c>
      <c r="DU22" s="59">
        <f t="shared" si="74"/>
        <v>291.0718079639509</v>
      </c>
      <c r="DV22" s="15">
        <f>IF(ISNA(VLOOKUP(A22,'Données projet'!$A$175:$I$195,3,0)),0,VLOOKUP(A22,'Données projet'!$A$175:$I$195,3,0))</f>
        <v>0</v>
      </c>
      <c r="DW22" s="15">
        <f>IF(ISNA(VLOOKUP(A22,'Données projet'!$A$175:$I$195,4,0)),0,VLOOKUP(A22,'Données projet'!$A$175:$I$195,4,0))</f>
        <v>0</v>
      </c>
      <c r="DX22" s="16">
        <f>IF(ISNA(VLOOKUP(A22,'Données projet'!$A$175:$I$195,5,0)),0%,VLOOKUP(A22,'Données projet'!$A$175:$I$195,5,0)*VLOOKUP('Données projet'!$B$14,Paramètres!$A$1:$I$89,7,0))</f>
        <v>0</v>
      </c>
      <c r="DY22" s="16">
        <f>IF(ISNA(VLOOKUP(A22,'Données projet'!$A$175:$I$195,6,0)),0%,VLOOKUP(A22,'Données projet'!$A$175:$I$195,6,0)*VLOOKUP('Données projet'!$B$14,Paramètres!$A$1:$I$89,7,0))</f>
        <v>0</v>
      </c>
      <c r="DZ22" s="16">
        <f>IF(ISNA(VLOOKUP(A22,'Données projet'!$A$175:$I$195,7,0)),0%,VLOOKUP(A22,'Données projet'!$A$175:$I$195,7,0))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projet'!$A$201:$I$221,2,0)</f>
        <v>#N/A</v>
      </c>
      <c r="EH22" s="12" t="e">
        <f>VLOOKUP(A22,'Données projet'!$A$201:$I$221,9,0)</f>
        <v>#N/A</v>
      </c>
      <c r="EI22" s="12">
        <f t="array" ref="EI22">INDEX(EH:EH,MIN(IF(ISNUMBER(EH22:EH218),ROW(EH22:EH218),"")))</f>
        <v>3.4425641025641025</v>
      </c>
      <c r="EJ22" s="12">
        <f>IF('Données projet'!$A$202&gt;35,EJ21+EI22-ER21,IF(A22&lt;'Données projet'!$A$202,$EG$205^A22,IF(A22='Données projet'!$A$202,'Données projet'!$B$202,EJ21+EI22-ER21)))</f>
        <v>18.859727670267663</v>
      </c>
      <c r="EK22" s="17">
        <f>EJ22*VLOOKUP('Données projet'!$B$15,Paramètres!$A$1:$I$89,3,0)*VLOOKUP('Données projet'!$B$15,Paramètres!$A$1:$I$89,5,0)</f>
        <v>8.8263525496852662</v>
      </c>
      <c r="EL22" s="13">
        <f t="shared" si="75"/>
        <v>3.1567805742066648</v>
      </c>
      <c r="EM22" s="20">
        <f t="shared" si="19"/>
        <v>20.870623524111782</v>
      </c>
      <c r="EN22" s="59">
        <f t="shared" si="20"/>
        <v>314.20395685744512</v>
      </c>
      <c r="EO22" s="59">
        <f ca="1">AVERAGE(OFFSET($EN$3,0,0,'Données projet'!$E$15+1,1))-AVERAGE(OFFSET($H$3,0,0,'Données projet'!$E$15+1,1))</f>
        <v>147.64256291235483</v>
      </c>
      <c r="EP22" s="59">
        <f t="shared" si="76"/>
        <v>70.859031694091868</v>
      </c>
      <c r="EQ22" s="15">
        <f>IF(ISNA(VLOOKUP(A22,'Données projet'!$A$201:$I$221,3,0)),0,VLOOKUP(A22,'Données projet'!$A$201:$I$221,3,0))</f>
        <v>0</v>
      </c>
      <c r="ER22" s="15">
        <f>IF(ISNA(VLOOKUP(A22,'Données projet'!$A$201:$I$221,4,0)),0,VLOOKUP(A22,'Données projet'!$A$201:$I$221,4,0))</f>
        <v>0</v>
      </c>
      <c r="ES22" s="16">
        <f>IF(ISNA(VLOOKUP(A22,'Données projet'!$A$201:$I$221,5,0)),0%,VLOOKUP(A22,'Données projet'!$A$201:$I$221,5,0)*VLOOKUP('Données projet'!$B$15,Paramètres!$A$1:$I$89,7,0))</f>
        <v>0</v>
      </c>
      <c r="ET22" s="16">
        <f>IF(ISNA(VLOOKUP(A22,'Données projet'!$A$201:$I$221,6,0)),0%,VLOOKUP(A22,'Données projet'!$A$201:$I$221,6,0)*VLOOKUP('Données projet'!$B$15,Paramètres!$A$1:$I$89,7,0))</f>
        <v>0</v>
      </c>
      <c r="EU22" s="16">
        <f>IF(ISNA(VLOOKUP(A22,'Données projet'!$A$201:$I$221,7,0)),0%,VLOOKUP(A22,'Données projet'!$A$201:$I$221,7,0))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projet'!$A$227:$I$247,2,0)</f>
        <v>#N/A</v>
      </c>
      <c r="FC22" s="12" t="e">
        <f>VLOOKUP(A22,'Données projet'!$A$227:$I$247,9,0)</f>
        <v>#N/A</v>
      </c>
      <c r="FD22" s="12">
        <f t="array" ref="FD22">INDEX(FC:FC,MIN(IF(ISNUMBER(FC22:FC218),ROW(FC22:FC218),"")))</f>
        <v>8</v>
      </c>
      <c r="FE22" s="12">
        <f>IF('Données projet'!$A$228&gt;35,FE21+FD22-FM21,IF(A22&lt;'Données projet'!$A$228,$FB$205^A22,IF(A22='Données projet'!$A$228,'Données projet'!$B$228,FE21+FD22-FM21)))</f>
        <v>79</v>
      </c>
      <c r="FF22" s="17">
        <f>FE22*VLOOKUP('Données projet'!$B$16,Paramètres!$A$1:$I$89,3,0)*VLOOKUP('Données projet'!$B$16,Paramètres!$A$1:$I$89,5,0)</f>
        <v>82.570800000000006</v>
      </c>
      <c r="FG22" s="13">
        <f t="shared" si="77"/>
        <v>22.764596322636297</v>
      </c>
      <c r="FH22" s="20">
        <f t="shared" si="22"/>
        <v>183.4591485952582</v>
      </c>
      <c r="FI22" s="59">
        <f t="shared" si="23"/>
        <v>476.79248192859154</v>
      </c>
      <c r="FJ22" s="59">
        <f ca="1">AVERAGE(OFFSET($FI$3,0,0,'Données projet'!$E$16+1,1))-AVERAGE(OFFSET($H$3,0,0,'Données projet'!$E$16+1,1))</f>
        <v>259.03906550253788</v>
      </c>
      <c r="FK22" s="59">
        <f t="shared" si="78"/>
        <v>235.54542903570831</v>
      </c>
      <c r="FL22" s="15">
        <f>IF(ISNA(VLOOKUP(A22,'Données projet'!$A$227:$I$247,3,0)),0,VLOOKUP(A22,'Données projet'!$A$227:$I$247,3,0))</f>
        <v>0</v>
      </c>
      <c r="FM22" s="15">
        <f>IF(ISNA(VLOOKUP(A22,'Données projet'!$A$227:$I$247,4,0)),0,VLOOKUP(A22,'Données projet'!$A$227:$I$247,4,0))</f>
        <v>0</v>
      </c>
      <c r="FN22" s="16">
        <f>IF(ISNA(VLOOKUP(A22,'Données projet'!$A$227:$I$247,5,0)),0%,VLOOKUP(A22,'Données projet'!$A$227:$I$247,5,0)*VLOOKUP('Données projet'!$B$16,Paramètres!$A$1:$I$89,7,0))</f>
        <v>0</v>
      </c>
      <c r="FO22" s="16">
        <f>IF(ISNA(VLOOKUP(A22,'Données projet'!$A$227:$I$247,6,0)),0%,VLOOKUP(A22,'Données projet'!$A$227:$I$247,6,0)*VLOOKUP('Données projet'!$B$16,Paramètres!$A$1:$I$89,7,0))</f>
        <v>0</v>
      </c>
      <c r="FP22" s="16">
        <f>IF(ISNA(VLOOKUP(A22,'Données projet'!$A$227:$I$247,7,0)),0%,VLOOKUP(A22,'Données projet'!$A$227:$I$247,7,0))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projet'!$A$253:$I$273,2,0)</f>
        <v>#N/A</v>
      </c>
      <c r="FX22" s="12" t="e">
        <f>VLOOKUP(A22,'Données projet'!$A$253:$I$273,9,0)</f>
        <v>#N/A</v>
      </c>
      <c r="FY22" s="12">
        <f t="array" ref="FY22">INDEX(FX:FX,MIN(IF(ISNUMBER(FX22:FX218),ROW(FX22:FX218),"")))</f>
        <v>11.6</v>
      </c>
      <c r="FZ22" s="12">
        <f>IF('Données projet'!$A$254&gt;35,FZ21+FY22-GH21,IF(A22&lt;'Données projet'!$A$254,$FW$205^A22,IF(A22='Données projet'!$A$254,'Données projet'!$B$254,FZ21+FY22-GH21)))</f>
        <v>68.400000000000006</v>
      </c>
      <c r="GA22" s="17">
        <f>FZ22*VLOOKUP('Données projet'!$B$17,Paramètres!$A$1:$I$89,3,0)*VLOOKUP('Données projet'!$B$17,Paramètres!$A$1:$I$89,5,0)</f>
        <v>59.754240000000017</v>
      </c>
      <c r="GB22" s="13">
        <f t="shared" si="79"/>
        <v>17.106118338764027</v>
      </c>
      <c r="GC22" s="20">
        <f t="shared" si="25"/>
        <v>133.8651241066807</v>
      </c>
      <c r="GD22" s="59">
        <f t="shared" si="26"/>
        <v>427.19845744001401</v>
      </c>
      <c r="GE22" s="59">
        <f ca="1">AVERAGE(OFFSET($GD$3,0,0,'Données projet'!$E$17+1,1))-AVERAGE(OFFSET($H$3,0,0,'Données projet'!$E$17+1,1))</f>
        <v>245.1983232777614</v>
      </c>
      <c r="GF22" s="59">
        <f t="shared" si="80"/>
        <v>242.34010522344573</v>
      </c>
      <c r="GG22" s="15">
        <f>IF(ISNA(VLOOKUP(A22,'Données projet'!$A$253:$I$273,3,0)),0,VLOOKUP(A22,'Données projet'!$A$253:$I$273,3,0))</f>
        <v>0</v>
      </c>
      <c r="GH22" s="15">
        <f>IF(ISNA(VLOOKUP(A22,'Données projet'!$A$253:$I$273,4,0)),0,VLOOKUP(A22,'Données projet'!$A$253:$I$273,4,0))</f>
        <v>0</v>
      </c>
      <c r="GI22" s="16">
        <f>IF(ISNA(VLOOKUP(A22,'Données projet'!$A$253:$I$273,5,0)),0%,VLOOKUP(A22,'Données projet'!$A$253:$I$273,5,0)*VLOOKUP('Données projet'!$B$17,Paramètres!$A$1:$I$89,7,0))</f>
        <v>0</v>
      </c>
      <c r="GJ22" s="16">
        <f>IF(ISNA(VLOOKUP(A22,'Données projet'!$A$253:$I$273,6,0)),0%,VLOOKUP(A22,'Données projet'!$A$253:$I$273,6,0)*VLOOKUP('Données projet'!$B$17,Paramètres!$A$1:$I$89,7,0))</f>
        <v>0</v>
      </c>
      <c r="GK22" s="16">
        <f>IF(ISNA(VLOOKUP(A22,'Données projet'!$A$253:$I$273,7,0)),0%,VLOOKUP(A22,'Données projet'!$A$253:$I$273,7,0))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projet'!$A$279:$I$299,2,0)</f>
        <v>#N/A</v>
      </c>
      <c r="GS22" s="12" t="e">
        <f>VLOOKUP(A22,'Données projet'!$A$279:$I$299,9,0)</f>
        <v>#N/A</v>
      </c>
      <c r="GT22" s="12">
        <f t="array" ref="GT22">INDEX(GS:GS,MIN(IF(ISNUMBER(GS22:GS218),ROW(GS22:GS218),"")))</f>
        <v>20.399999999999999</v>
      </c>
      <c r="GU22" s="12">
        <f>IF('Données projet'!$A$280&gt;35,GU21+GT22-HC21,IF(A22&lt;'Données projet'!$A$280,$GR$205^A22,IF(A22='Données projet'!$A$280,'Données projet'!$B$280,GU21+GT22-HC21)))</f>
        <v>143.60000000000002</v>
      </c>
      <c r="GV22" s="17">
        <f>GU22*VLOOKUP('Données projet'!$B$18,Paramètres!$A$1:$I$89,3,0)*VLOOKUP('Données projet'!$B$18,Paramètres!$A$1:$I$89,5,0)</f>
        <v>57.87080000000001</v>
      </c>
      <c r="GW22" s="13">
        <f t="shared" si="81"/>
        <v>16.62881366155743</v>
      </c>
      <c r="GX22" s="20">
        <f t="shared" si="28"/>
        <v>129.75349379387922</v>
      </c>
      <c r="GY22" s="59">
        <f t="shared" si="29"/>
        <v>423.08682712721253</v>
      </c>
      <c r="GZ22" s="59">
        <f ca="1">AVERAGE(OFFSET($GY$3,0,0,'Données projet'!$E$18+1,1))-AVERAGE(OFFSET($H$3,0,0,'Données projet'!$E$18+1,1))</f>
        <v>324.36162935850876</v>
      </c>
      <c r="HA22" s="59">
        <f t="shared" si="82"/>
        <v>265.23571072429735</v>
      </c>
      <c r="HB22" s="15">
        <f>IF(ISNA(VLOOKUP(A22,'Données projet'!$A$279:$I$299,3,0)),0,VLOOKUP(A22,'Données projet'!$A$279:$I$299,3,0))</f>
        <v>0</v>
      </c>
      <c r="HC22" s="15">
        <f>IF(ISNA(VLOOKUP(A22,'Données projet'!$A$279:$I$299,4,0)),0,VLOOKUP(A22,'Données projet'!$A$279:$I$299,4,0))</f>
        <v>0</v>
      </c>
      <c r="HD22" s="16">
        <f>IF(ISNA(VLOOKUP(A22,'Données projet'!$A$279:$I$299,5,0)),0%,VLOOKUP(A22,'Données projet'!$A$279:$I$299,5,0)*VLOOKUP('Données projet'!$B$18,Paramètres!$A$1:$I$89,7,0))</f>
        <v>0</v>
      </c>
      <c r="HE22" s="16">
        <f>IF(ISNA(VLOOKUP(A22,'Données projet'!$A$279:$I$299,6,0)),0%,VLOOKUP(A22,'Données projet'!$A$279:$I$299,6,0)*VLOOKUP('Données projet'!$B$18,Paramètres!$A$1:$I$89,7,0))</f>
        <v>0</v>
      </c>
      <c r="HF22" s="16">
        <f>IF(ISNA(VLOOKUP($A22,'Données projet'!$A$279:$I$299,7,0)),0%,VLOOKUP($A22,'Données projet'!$A$279:$I$299,7,0))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0</v>
      </c>
      <c r="HI22" s="21">
        <f>EXP(-LN(2)/2)*HI21+(1-EXP(-LN(2)/2))/(LN(2)/2)*HC22*HF22*VLOOKUP('Données projet'!$B$18,Paramètres!$A$1:$I$89,3,0)*0.475*44/12</f>
        <v>0</v>
      </c>
      <c r="HJ22" s="22">
        <f t="shared" si="30"/>
        <v>0</v>
      </c>
      <c r="HK22" s="74">
        <f>('Scénario référence'!$F$8+'Scénario référence'!$F$9+'Scénario référence'!$B$17+'Scénario référence'!$B$9+'Scénario référence'!$B$10)*70+IF((45+25*(1-EXP(-0.0175*$A22)))&lt;70,'Scénario référence'!$B$16*(45+25*(1-EXP(-0.0175*$A22))),70*'Scénario référence'!$B$16)+IF((32+38*(1-EXP(-0.0175*$A22)))&lt;70,'Scénario référence'!$B$18*(32+38*(1-EXP(-0.0175*$A22))),70*'Scénario référence'!$B$18)</f>
        <v>70</v>
      </c>
      <c r="HL22" s="12">
        <f>IF($A22&gt;30,10,('Scénario référence'!$B$16+'Scénario référence'!$B$17+'Scénario référence'!$B$18+'Scénario référence'!$B$9+'Scénario référence'!$B$10)*$A22*10/30+('Scénario référence'!$F$8+'Scénario référence'!$F$9)*10)</f>
        <v>10</v>
      </c>
      <c r="HM22" s="12">
        <f>VLOOKUP($A22,'Données projet'!$A$304:$I$324,2,0)</f>
        <v>235.63</v>
      </c>
      <c r="HN22" s="12">
        <f>VLOOKUP($A22,'Données projet'!$A$304:$I$324,9,0)</f>
        <v>19.312307692307741</v>
      </c>
      <c r="HO22" s="12">
        <f t="array" ref="HO22">INDEX(HN:HN,MIN(IF(ISNUMBER(HN22:HN218),ROW(HN22:HN218),"")))</f>
        <v>19.312307692307741</v>
      </c>
      <c r="HP22" s="12">
        <f>IF('Données projet'!$A$304&gt;35,HP21+HO22-HX21,IF($A22&lt;'Données projet'!$A$304,$CQ$205^$A22,IF($A22='Données projet'!$A$304,'Données projet'!$B$304,HP21+HO22-HX21)))</f>
        <v>235.63</v>
      </c>
      <c r="HQ22" s="17">
        <f>HP22*VLOOKUP('Données projet'!$B$19,Paramètres!$A$1:$I$89,3,0)*VLOOKUP('Données projet'!$B$19,Paramètres!$A$1:$I$89,5,0)</f>
        <v>119.83199280000001</v>
      </c>
      <c r="HR22" s="13">
        <f t="shared" si="83"/>
        <v>31.635811179125575</v>
      </c>
      <c r="HS22" s="14">
        <f t="shared" si="31"/>
        <v>263.80642526364375</v>
      </c>
      <c r="HT22" s="59">
        <f t="shared" si="32"/>
        <v>557.13975859697712</v>
      </c>
      <c r="HU22" s="59">
        <f ca="1">AVERAGE(OFFSET(HT$3,0,0,'Données projet'!$E$19+1,1))-AVERAGE(OFFSET($H$3,0,0,'Données projet'!$E$19+1,1))</f>
        <v>91.60721429656013</v>
      </c>
      <c r="HV22" s="59">
        <f t="shared" si="84"/>
        <v>258.94957804210856</v>
      </c>
      <c r="HW22" s="15">
        <f>IF(ISNA(VLOOKUP($A22,'Données projet'!$A$304:$I$324,3,0)),0,VLOOKUP($A22,'Données projet'!$A$304:$I$324,3,0))</f>
        <v>0</v>
      </c>
      <c r="HX22" s="15">
        <f>IF(ISNA(VLOOKUP($A22,'Données projet'!$A$304:$I$324,4,0)),0,VLOOKUP($A22,'Données projet'!$A$304:$I$324,4,0))</f>
        <v>0</v>
      </c>
      <c r="HY22" s="16">
        <f>IF(ISNA(VLOOKUP($A22,'Données projet'!$A$304:$I$324,5,0)),0%,VLOOKUP($A22,'Données projet'!$A$304:$I$324,5,0)*VLOOKUP('Données projet'!$B$19,Paramètres!$A$1:$I$89,7,0))</f>
        <v>0</v>
      </c>
      <c r="HZ22" s="16">
        <f>IF(ISNA(VLOOKUP($A22,'Données projet'!$A$304:$I$324,6,0)),0%,VLOOKUP($A22,'Données projet'!$A$304:$I$324,6,0)*VLOOKUP('Données projet'!$B$19,Paramètres!$A$1:$I$89,7,0))</f>
        <v>0</v>
      </c>
      <c r="IA22" s="16">
        <f>IF(ISNA(VLOOKUP($A22,'Données projet'!$A$304:$I$324,7,0)),0%,VLOOKUP($A22,'Données projet'!$A$304:$I$324,7,0))</f>
        <v>0</v>
      </c>
      <c r="IB22" s="21">
        <f>EXP(-LN(2)/35)*IB21+(1-EXP(-LN(2)/35))/(LN(2)/35)*HX22*HY22*VLOOKUP('Données projet'!$B$19,Paramètres!$A$1:$I$89,3,0)*0.475*44/12</f>
        <v>0</v>
      </c>
      <c r="IC22" s="21">
        <f>EXP(-LN(2)/25)*IC21+(1-EXP(-LN(2)/25))/(LN(2)/25)*Calculateur!HX22*Calculateur!HZ22*VLOOKUP('Données projet'!$B$19,Paramètres!$A$1:$I$89,3,0)*0.475*44/12</f>
        <v>0</v>
      </c>
      <c r="ID22" s="21">
        <f>EXP(-LN(2)/2)*ID21+(1-EXP(-LN(2)/2))/(LN(2)/2)*HX22*IA22*VLOOKUP('Données projet'!$B$19,Paramètres!$A$1:$I$89,3,0)*0.475*44/12</f>
        <v>0</v>
      </c>
      <c r="IE22" s="22">
        <f t="shared" si="33"/>
        <v>0</v>
      </c>
      <c r="IF22" s="74">
        <f>('Scénario référence'!$F$8+'Scénario référence'!$F$9+'Scénario référence'!$B$17+'Scénario référence'!$B$9+'Scénario référence'!$B$10)*70+IF((45+25*(1-EXP(-0.0175*$A22)))&lt;70,'Scénario référence'!$B$16*(45+25*(1-EXP(-0.0175*$A22))),70*'Scénario référence'!$B$16)+IF((32+38*(1-EXP(-0.0175*$A22)))&lt;70,'Scénario référence'!$B$18*(32+38*(1-EXP(-0.0175*$A22))),70*'Scénario référence'!$B$18)</f>
        <v>70</v>
      </c>
      <c r="IG22" s="12">
        <f>IF($A22&gt;30,10,('Scénario référence'!$B$16+'Scénario référence'!$B$17+'Scénario référence'!$B$18+'Scénario référence'!$B$9+'Scénario référence'!$B$10)*$A22*10/30+('Scénario référence'!$F$8+'Scénario référence'!$F$9)*10)</f>
        <v>10</v>
      </c>
      <c r="IH22" s="12">
        <f>VLOOKUP($A22,'Données projet'!$A$330:$I$350,2,0)</f>
        <v>235.63</v>
      </c>
      <c r="II22" s="12">
        <f>VLOOKUP($A22,'Données projet'!$A$330:$I$350,9,0)</f>
        <v>19.312307692307741</v>
      </c>
      <c r="IJ22" s="12">
        <f t="array" ref="IJ22">INDEX(II:II,MIN(IF(ISNUMBER(II22:II218),ROW(II22:II218),"")))</f>
        <v>19.312307692307741</v>
      </c>
      <c r="IK22" s="12">
        <f>IF('Données projet'!$A$330&gt;35,IK21+IJ22-IS21,IF($A22&lt;'Données projet'!$A$330,$CQ$205^$A22,IF($A22='Données projet'!$A$330,'Données projet'!$B$330,IK21+IJ22-IS21)))</f>
        <v>235.63</v>
      </c>
      <c r="IL22" s="17">
        <f>IK22*VLOOKUP('Données projet'!$B$20,Paramètres!$A$1:$I$89,3,0)*VLOOKUP('Données projet'!$B$20,Paramètres!$A$1:$I$89,5,0)</f>
        <v>119.83199280000001</v>
      </c>
      <c r="IM22" s="13">
        <f t="shared" si="85"/>
        <v>31.635811179125575</v>
      </c>
      <c r="IN22" s="20">
        <f t="shared" si="86"/>
        <v>263.80642526364375</v>
      </c>
      <c r="IO22" s="59">
        <f t="shared" si="87"/>
        <v>557.13975859697712</v>
      </c>
      <c r="IP22" s="59">
        <f ca="1">AVERAGE(OFFSET(IO$3,0,0,'Données projet'!$E$20+1,1))-AVERAGE(OFFSET($H$3,0,0,'Données projet'!$E$20+1,1))</f>
        <v>91.60721429656013</v>
      </c>
      <c r="IQ22" s="59">
        <f t="shared" si="88"/>
        <v>258.94957804210856</v>
      </c>
      <c r="IR22" s="15">
        <f>IF(ISNA(VLOOKUP($A22,'Données projet'!$A$330:$I$350,3,0)),0,VLOOKUP($A22,'Données projet'!$A$330:$I$350,3,0))</f>
        <v>0</v>
      </c>
      <c r="IS22" s="15">
        <f>IF(ISNA(VLOOKUP($A22,'Données projet'!$A$330:$I$350,4,0)),0,VLOOKUP($A22,'Données projet'!$A$330:$I$350,4,0))</f>
        <v>0</v>
      </c>
      <c r="IT22" s="16">
        <f>IF(ISNA(VLOOKUP($A22,'Données projet'!$A$330:$I$350,5,0)),0%,VLOOKUP($A22,'Données projet'!$A$330:$I$350,5,0)*VLOOKUP('Données projet'!$B$20,Paramètres!$A$1:$I$89,7,0))</f>
        <v>0</v>
      </c>
      <c r="IU22" s="16">
        <f>IF(ISNA(VLOOKUP($A22,'Données projet'!$A$330:$I$350,6,0)),0%,VLOOKUP($A22,'Données projet'!$A$330:$I$350,6,0)*VLOOKUP('Données projet'!$B$20,Paramètres!$A$1:$I$89,7,0))</f>
        <v>0</v>
      </c>
      <c r="IV22" s="16">
        <f>IF(ISNA(VLOOKUP($A22,'Données projet'!$A$330:$I$350,7,0)),0%,VLOOKUP($A22,'Données projet'!$A$330:$I$350,7,0))</f>
        <v>0</v>
      </c>
      <c r="IW22" s="21">
        <f>EXP(-LN(2)/35)*IW21+(1-EXP(-LN(2)/35))/(LN(2)/35)*IS22*IT22*VLOOKUP('Données projet'!$B$20,Paramètres!$A$1:$I$89,3,0)*0.475*44/12</f>
        <v>0</v>
      </c>
      <c r="IX22" s="21">
        <f>EXP(-LN(2)/25)*IX21+(1-EXP(-LN(2)/25))/(LN(2)/25)*Calculateur!IS22*Calculateur!IU22*VLOOKUP('Données projet'!$B$20,Paramètres!$A$1:$I$89,3,0)*0.475*44/12</f>
        <v>0</v>
      </c>
      <c r="IY22" s="21">
        <f>EXP(-LN(2)/2)*IY21+(1-EXP(-LN(2)/2))/(LN(2)/2)*IS22*IV22*VLOOKUP('Données projet'!$B$20,Paramètres!$A$1:$I$89,3,0)*0.475*44/12</f>
        <v>0</v>
      </c>
      <c r="IZ22" s="22">
        <f t="shared" si="89"/>
        <v>0</v>
      </c>
      <c r="JA22" s="74">
        <f>('Scénario référence'!$F$8+'Scénario référence'!$F$9+'Scénario référence'!$B$17+'Scénario référence'!$B$9+'Scénario référence'!$B$10)*70+IF((45+25*(1-EXP(-0.0175*$A22)))&lt;70,'Scénario référence'!$B$16*(45+25*(1-EXP(-0.0175*$A22))),70*'Scénario référence'!$B$16)+IF((32+38*(1-EXP(-0.0175*$A22)))&lt;70,'Scénario référence'!$B$18*(32+38*(1-EXP(-0.0175*$A22))),70*'Scénario référence'!$B$18)</f>
        <v>70</v>
      </c>
      <c r="JB22" s="12">
        <f>IF($A22&gt;30,10,('Scénario référence'!$B$16+'Scénario référence'!$B$17+'Scénario référence'!$B$18+'Scénario référence'!$B$9+'Scénario référence'!$B$10)*$A22*10/30+('Scénario référence'!$F$8+'Scénario référence'!$F$9)*10)</f>
        <v>10</v>
      </c>
      <c r="JC22" s="12" t="e">
        <f>VLOOKUP($A22,'Données projet'!$A$356:$I$376,2,0)</f>
        <v>#N/A</v>
      </c>
      <c r="JD22" s="12" t="e">
        <f>VLOOKUP($A22,'Données projet'!$A$356:$I$376,9,0)</f>
        <v>#N/A</v>
      </c>
      <c r="JE22" s="12">
        <f t="array" ref="JE22">INDEX(JD:JD,MIN(IF(ISNUMBER(JD22:JD218),ROW(JD22:JD218),"")))</f>
        <v>3.04</v>
      </c>
      <c r="JF22" s="12">
        <f>IF('Données projet'!$A$356&gt;35,JF21+JE22-JN21,IF($A22&lt;'Données projet'!$A$356,$CQ$205^$A22,IF($A22='Données projet'!$A$356,'Données projet'!$B$356,JF21+JE22-JN21)))</f>
        <v>57.759999999999991</v>
      </c>
      <c r="JG22" s="17">
        <f>JF22*VLOOKUP('Données projet'!$B$21,Paramètres!$A$1:$I$89,3,0)*VLOOKUP('Données projet'!$B$21,Paramètres!$A$1:$I$89,5,0)</f>
        <v>46.854911999999999</v>
      </c>
      <c r="JH22" s="13">
        <f t="shared" si="90"/>
        <v>13.798481469700839</v>
      </c>
      <c r="JI22" s="20">
        <f t="shared" si="91"/>
        <v>105.63799362639561</v>
      </c>
      <c r="JJ22" s="59">
        <f t="shared" si="92"/>
        <v>398.97132695972891</v>
      </c>
      <c r="JK22" s="59">
        <f ca="1">AVERAGE(OFFSET($JJ$3,0,0,'Données projet'!$E$22+1,1))-AVERAGE(OFFSET($H$3,0,0,'Données projet'!$E$22+1,1))</f>
        <v>353.35574633294613</v>
      </c>
      <c r="JL22" s="59">
        <f t="shared" si="93"/>
        <v>170.36796666474726</v>
      </c>
      <c r="JM22" s="15">
        <f>IF(ISNA(VLOOKUP($A22,'Données projet'!$A$356:$I$376,3,0)),0,VLOOKUP($A22,'Données projet'!$A$356:$I$376,3,0))</f>
        <v>0</v>
      </c>
      <c r="JN22" s="15">
        <f>IF(ISNA(VLOOKUP($A22,'Données projet'!$A$356:$I$376,4,0)),0,VLOOKUP($A22,'Données projet'!$A$356:$I$376,4,0))</f>
        <v>0</v>
      </c>
      <c r="JO22" s="16">
        <f>IF(ISNA(VLOOKUP($A22,'Données projet'!$A$356:$I$376,5,0)),0%,VLOOKUP($A22,'Données projet'!$A$356:$I$376,5,0)*VLOOKUP('Données projet'!$B$21,Paramètres!$A$1:$I$89,7,0))</f>
        <v>0</v>
      </c>
      <c r="JP22" s="16">
        <f>IF(ISNA(VLOOKUP($A22,'Données projet'!$A$356:$I$376,6,0)),0%,VLOOKUP($A22,'Données projet'!$A$356:$I$376,6,0)*VLOOKUP('Données projet'!$B$21,Paramètres!$A$1:$I$89,7,0))</f>
        <v>0</v>
      </c>
      <c r="JQ22" s="16">
        <f>IF(ISNA(VLOOKUP($A22,'Données projet'!$A$356:$I$376,7,0)),0%,VLOOKUP($A22,'Données projet'!$A$356:$I$376,7,0))</f>
        <v>0</v>
      </c>
      <c r="JR22" s="21">
        <f>EXP(-LN(2)/35)*JR21+(1-EXP(-LN(2)/35))/(LN(2)/35)*JN22*JO22*VLOOKUP('Données projet'!$B$21,Paramètres!$A$1:$I$89,3,0)*0.475*44/12</f>
        <v>0</v>
      </c>
      <c r="JS22" s="21">
        <f>EXP(-LN(2)/25)*JS21+(1-EXP(-LN(2)/25))/(LN(2)/25)*Calculateur!JN22*Calculateur!JP22*VLOOKUP('Données projet'!$B$21,Paramètres!$A$1:$I$89,3,0)*0.475*44/12</f>
        <v>0</v>
      </c>
      <c r="JT22" s="21">
        <f>EXP(-LN(2)/2)*JT21+(1-EXP(-LN(2)/2))/(LN(2)/2)*JN22*JQ22*VLOOKUP('Données projet'!$B$21,Paramètres!$A$1:$I$89,3,0)*0.475*44/12</f>
        <v>0</v>
      </c>
      <c r="JU22" s="18">
        <f t="shared" si="39"/>
        <v>0</v>
      </c>
      <c r="JV22" s="74">
        <f>('Scénario référence'!$F$8+'Scénario référence'!$F$9+'Scénario référence'!$B$17+'Scénario référence'!$B$9+'Scénario référence'!$B$10)*70+IF((45+25*(1-EXP(-0.0175*$A22)))&lt;70,'Scénario référence'!$B$16*(45+25*(1-EXP(-0.0175*$A22))),70*'Scénario référence'!$B$16)+IF((32+38*(1-EXP(-0.0175*$A22)))&lt;70,'Scénario référence'!$B$18*(32+38*(1-EXP(-0.0175*$A22))),70*'Scénario référence'!$B$18)</f>
        <v>70</v>
      </c>
      <c r="JW22" s="12">
        <f>IF($A22&gt;30,10,('Scénario référence'!$B$16+'Scénario référence'!$B$17+'Scénario référence'!$B$18+'Scénario référence'!$B$9+'Scénario référence'!$B$10)*$A22*10/30+('Scénario référence'!$F$8+'Scénario référence'!$F$9)*10)</f>
        <v>10</v>
      </c>
      <c r="JX22" s="12" t="e">
        <f>VLOOKUP($A22,'Données projet'!$A$382:$I$402,2,0)</f>
        <v>#N/A</v>
      </c>
      <c r="JY22" s="12" t="e">
        <f>VLOOKUP($A22,'Données projet'!$A$382:$I$402,9,0)</f>
        <v>#N/A</v>
      </c>
      <c r="JZ22" s="12">
        <f t="array" ref="JZ22">INDEX(JY:JY,MIN(IF(ISNUMBER(JY22:JY218),ROW(JY22:JY218),"")))</f>
        <v>4.0628205128205126</v>
      </c>
      <c r="KA22" s="12">
        <f>IF('Données projet'!$A$382&gt;35,KA21+JZ22-KI21,IF($A22&lt;'Données projet'!$A$382,$CQ$205^$A22,IF($A22='Données projet'!$A$382,'Données projet'!$B$382,KA21+JZ22-KI21)))</f>
        <v>77.19358974358974</v>
      </c>
      <c r="KB22" s="17">
        <f>KA22*VLOOKUP('Données projet'!$B$22,Paramètres!$A$1:$I$89,3,0)*VLOOKUP('Données projet'!$B$22,Paramètres!$A$1:$I$89,5,0)</f>
        <v>51.781459999999996</v>
      </c>
      <c r="KC22" s="13">
        <f t="shared" si="94"/>
        <v>15.072887883039819</v>
      </c>
      <c r="KD22" s="20">
        <f t="shared" si="95"/>
        <v>116.43798922962769</v>
      </c>
      <c r="KE22" s="59">
        <f t="shared" si="96"/>
        <v>409.77132256296102</v>
      </c>
      <c r="KF22" s="59">
        <f ca="1">AVERAGE(OFFSET($KE$3,0,0,'Données projet'!$E$22+1,1))-AVERAGE(OFFSET($H$3,0,0,'Données projet'!$E$22+1,1))</f>
        <v>193.91714772848269</v>
      </c>
      <c r="KG22" s="59">
        <f t="shared" si="97"/>
        <v>159.20429420478047</v>
      </c>
      <c r="KH22" s="15">
        <f>IF(ISNA(VLOOKUP($A22,'Données projet'!$A$382:$I$402,3,0)),0,VLOOKUP($A22,'Données projet'!$A$382:$I$402,3,0))</f>
        <v>0</v>
      </c>
      <c r="KI22" s="15">
        <f>IF(ISNA(VLOOKUP($A22,'Données projet'!$A$382:$I$402,4,0)),0,VLOOKUP($A22,'Données projet'!$A$382:$I$402,4,0))</f>
        <v>0</v>
      </c>
      <c r="KJ22" s="16">
        <f>IF(ISNA(VLOOKUP($A22,'Données projet'!$A$382:$I$402,5,0)),0%,VLOOKUP($A22,'Données projet'!$A$382:$I$402,5,0)*VLOOKUP('Données projet'!$B$22,Paramètres!$A$1:$I$89,7,0))</f>
        <v>0</v>
      </c>
      <c r="KK22" s="16">
        <f>IF(ISNA(VLOOKUP($A22,'Données projet'!$A$382:$I$402,6,0)),0%,VLOOKUP($A22,'Données projet'!$A$382:$I$402,6,0)*VLOOKUP('Données projet'!$B$22,Paramètres!$A$1:$I$89,7,0))</f>
        <v>0</v>
      </c>
      <c r="KL22" s="16">
        <f>IF(ISNA(VLOOKUP($A22,'Données projet'!$A$382:$I$402,7,0)),0%,VLOOKUP($A22,'Données projet'!$A$382:$I$402,7,0))</f>
        <v>0</v>
      </c>
      <c r="KM22" s="21">
        <f>EXP(-LN(2)/35)*KM21+(1-EXP(-LN(2)/35))/(LN(2)/35)*KI22*KJ22*VLOOKUP('Données projet'!$B$22,Paramètres!$A$1:$I$89,3,0)*0.475*44/12</f>
        <v>0</v>
      </c>
      <c r="KN22" s="21">
        <f>EXP(-LN(2)/25)*KN21+(1-EXP(-LN(2)/25))/(LN(2)/25)*Calculateur!KI22*Calculateur!KK22*VLOOKUP('Données projet'!$B$22,Paramètres!$A$1:$I$89,3,0)*0.475*44/12</f>
        <v>0</v>
      </c>
      <c r="KO22" s="21">
        <f>EXP(-LN(2)/2)*KO21+(1-EXP(-LN(2)/2))/(LN(2)/2)*KI22*KL22*VLOOKUP('Données projet'!$B$22,Paramètres!$A$1:$I$89,3,0)*0.475*44/12</f>
        <v>0</v>
      </c>
      <c r="KP22" s="22">
        <f t="shared" si="98"/>
        <v>0</v>
      </c>
      <c r="KQ22" s="74">
        <f>('Scénario référence'!$F$8+'Scénario référence'!$F$9+'Scénario référence'!$B$17+'Scénario référence'!$B$9+'Scénario référence'!$B$10)*70+IF((45+25*(1-EXP(-0.0175*$A22)))&lt;70,'Scénario référence'!$B$16*(45+25*(1-EXP(-0.0175*$A22))),70*'Scénario référence'!$B$16)+IF((32+38*(1-EXP(-0.0175*$A22)))&lt;70,'Scénario référence'!$B$18*(32+38*(1-EXP(-0.0175*$A22))),70*'Scénario référence'!$B$18)</f>
        <v>70</v>
      </c>
      <c r="KR22" s="12">
        <f>IF($A22&gt;30,10,('Scénario référence'!$B$16+'Scénario référence'!$B$17+'Scénario référence'!$B$18+'Scénario référence'!$B$9+'Scénario référence'!$B$10)*$A22*10/30+('Scénario référence'!$F$8+'Scénario référence'!$F$9)*10)</f>
        <v>10</v>
      </c>
      <c r="KS22" s="12" t="e">
        <f>VLOOKUP($A22,'Données projet'!$A$408:$I$428,2,0)</f>
        <v>#N/A</v>
      </c>
      <c r="KT22" s="12" t="e">
        <f>VLOOKUP($A22,'Données projet'!$A$408:$I$428,9,0)</f>
        <v>#N/A</v>
      </c>
      <c r="KU22" s="12">
        <f t="array" ref="KU22">INDEX(KT:KT,MIN(IF(ISNUMBER(KT22:KT218),ROW(KT22:KT218),"")))</f>
        <v>11.6</v>
      </c>
      <c r="KV22" s="12">
        <f>IF('Données projet'!$A$408&gt;35,KV21+KU22-LD21,IF($A22&lt;'Données projet'!$A$408,$CQ$205^$A22,IF($A22='Données projet'!$A$408,'Données projet'!$B$408,KV21+KU22-LD21)))</f>
        <v>68.40000000000002</v>
      </c>
      <c r="KW22" s="17">
        <f>KV22*VLOOKUP('Données projet'!$B$23,Paramètres!$A$1:$I$89,3,0)*VLOOKUP('Données projet'!$B$23,Paramètres!$A$1:$I$89,5,0)</f>
        <v>59.754240000000024</v>
      </c>
      <c r="KX22" s="13">
        <f t="shared" si="99"/>
        <v>17.106118338764027</v>
      </c>
      <c r="KY22" s="14">
        <f t="shared" si="43"/>
        <v>133.86512410668072</v>
      </c>
      <c r="KZ22" s="59">
        <f t="shared" si="44"/>
        <v>427.19845744001407</v>
      </c>
      <c r="LA22" s="59">
        <f ca="1">AVERAGE(OFFSET($KZ$3,0,0,'Données projet'!$E$23+1,1))-AVERAGE(OFFSET($H$3,0,0,'Données projet'!$E$23+1,1))</f>
        <v>248.33596943633819</v>
      </c>
      <c r="LB22" s="59">
        <f t="shared" si="100"/>
        <v>242.34010522344573</v>
      </c>
      <c r="LC22" s="15">
        <f>IF(ISNA(VLOOKUP($A22,'Données projet'!$A$408:$I$428,3,0)),0,VLOOKUP($A22,'Données projet'!$A$408:$I$428,3,0))</f>
        <v>0</v>
      </c>
      <c r="LD22" s="15">
        <f>IF(ISNA(VLOOKUP($A22,'Données projet'!$A$408:$I$428,4,0)),0,VLOOKUP($A22,'Données projet'!$A$408:$I$428,4,0))</f>
        <v>0</v>
      </c>
      <c r="LE22" s="16">
        <f>IF(ISNA(VLOOKUP($A22,'Données projet'!$A$408:$I$428,5,0)),0%,VLOOKUP($A22,'Données projet'!$A$408:$I$428,5,0)*VLOOKUP('Données projet'!$B$23,Paramètres!$A$1:$I$89,7,0))</f>
        <v>0</v>
      </c>
      <c r="LF22" s="16">
        <f>IF(ISNA(VLOOKUP($A22,'Données projet'!$A$408:$I$428,6,0)),0%,VLOOKUP($A22,'Données projet'!$A$408:$I$428,6,0)*VLOOKUP('Données projet'!$B$23,Paramètres!$A$1:$I$89,7,0))</f>
        <v>0</v>
      </c>
      <c r="LG22" s="16">
        <f>IF(ISNA(VLOOKUP($A22,'Données projet'!$A$408:$I$428,7,0)),0%,VLOOKUP($A22,'Données projet'!$A$408:$I$428,7,0))</f>
        <v>0</v>
      </c>
      <c r="LH22" s="21">
        <f>EXP(-LN(2)/35)*LH21+(1-EXP(-LN(2)/35))/(LN(2)/35)*LD22*LE22*VLOOKUP('Données projet'!$B$23,Paramètres!$A$1:$I$89,3,0)*0.475*44/12</f>
        <v>0</v>
      </c>
      <c r="LI22" s="21">
        <f>EXP(-LN(2)/25)*LI21+(1-EXP(-LN(2)/25))/(LN(2)/25)*Calculateur!LD22*Calculateur!LF22*VLOOKUP('Données projet'!$B$23,Paramètres!$A$1:$I$89,3,0)*0.475*44/12</f>
        <v>0</v>
      </c>
      <c r="LJ22" s="21">
        <f>EXP(-LN(2)/2)*LJ21+(1-EXP(-LN(2)/2))/(LN(2)/2)*LD22*LG22*VLOOKUP('Données projet'!$B$23,Paramètres!$A$1:$I$89,3,0)*0.475*44/12</f>
        <v>0</v>
      </c>
      <c r="LK22" s="22">
        <f t="shared" si="101"/>
        <v>0</v>
      </c>
      <c r="LL22" s="74">
        <f>('Scénario référence'!$F$8+'Scénario référence'!$F$9+'Scénario référence'!$B$17+'Scénario référence'!$B$9+'Scénario référence'!$B$10)*70+IF((45+25*(1-EXP(-0.0175*$A22)))&lt;70,'Scénario référence'!$B$16*(45+25*(1-EXP(-0.0175*$A22))),70*'Scénario référence'!$B$16)+IF((32+38*(1-EXP(-0.0175*$A22)))&lt;70,'Scénario référence'!$B$18*(32+38*(1-EXP(-0.0175*$A22))),70*'Scénario référence'!$B$18)</f>
        <v>70</v>
      </c>
      <c r="LM22" s="12">
        <f>IF($A22&gt;30,10,('Scénario référence'!$B$16+'Scénario référence'!$B$17+'Scénario référence'!$B$18+'Scénario référence'!$B$9+'Scénario référence'!$B$10)*$A22*10/30+('Scénario référence'!$F$8+'Scénario référence'!$F$9)*10)</f>
        <v>10</v>
      </c>
      <c r="LN22" s="12" t="e">
        <f>VLOOKUP($A22,'Données projet'!$A$434:$I$454,2,0)</f>
        <v>#N/A</v>
      </c>
      <c r="LO22" s="12" t="e">
        <f>VLOOKUP($A22,'Données projet'!$A$434:$I$454,9,0)</f>
        <v>#N/A</v>
      </c>
      <c r="LP22" s="12">
        <f t="array" ref="LP22">INDEX(LO:LO,MIN(IF(ISNUMBER(LO22:LO218),ROW(LO22:LO218),"")))</f>
        <v>2.9235042735042733</v>
      </c>
      <c r="LQ22" s="12">
        <f>IF('Données projet'!$A$434&gt;35,LQ21+LP22-LY21,IF($A22&lt;'Données projet'!$A$434,$CQ$205^$A22,IF($A22='Données projet'!$A$434,'Données projet'!$B$434,LQ21+LP22-LY21)))</f>
        <v>55.54658119658118</v>
      </c>
      <c r="LR22" s="17">
        <f>LQ22*VLOOKUP('Données projet'!$B$24,Paramètres!$A$1:$I$89,3,0)*VLOOKUP('Données projet'!$B$24,Paramètres!$A$1:$I$89,5,0)</f>
        <v>56.324233333333318</v>
      </c>
      <c r="LS22" s="13">
        <f t="shared" si="102"/>
        <v>16.235528194341359</v>
      </c>
      <c r="LT22" s="14">
        <f t="shared" si="46"/>
        <v>126.3749179940334</v>
      </c>
      <c r="LU22" s="59">
        <f t="shared" si="103"/>
        <v>419.70825132736672</v>
      </c>
      <c r="LV22" s="59">
        <f ca="1">AVERAGE(OFFSET($LU$3,0,0,'Données projet'!$E$24+1,1))-AVERAGE(OFFSET($H$3,0,0,'Données projet'!$E$24+1,1))</f>
        <v>260.52627655062872</v>
      </c>
      <c r="LW22" s="59">
        <f t="shared" si="104"/>
        <v>159.20429420478047</v>
      </c>
      <c r="LX22" s="15">
        <f>IF(ISNA(VLOOKUP($A22,'Données projet'!$A$434:$I$454,3,0)),0,VLOOKUP($A22,'Données projet'!$A$434:$I$454,3,0))</f>
        <v>0</v>
      </c>
      <c r="LY22" s="15">
        <f>IF(ISNA(VLOOKUP($A22,'Données projet'!$A$434:$I$454,4,0)),0,VLOOKUP($A22,'Données projet'!$A$434:$I$454,4,0))</f>
        <v>0</v>
      </c>
      <c r="LZ22" s="16">
        <f>IF(ISNA(VLOOKUP($A22,'Données projet'!$A$434:$I$454,5,0)),0%,VLOOKUP($A22,'Données projet'!$A$434:$I$454,5,0)*VLOOKUP('Données projet'!$B$24,Paramètres!$A$1:$I$89,7,0))</f>
        <v>0</v>
      </c>
      <c r="MA22" s="16">
        <f>IF(ISNA(VLOOKUP($A22,'Données projet'!$A$434:$I$454,6,0)),0%,VLOOKUP($A22,'Données projet'!$A$434:$I$454,6,0)*VLOOKUP('Données projet'!$B$24,Paramètres!$A$1:$I$89,7,0))</f>
        <v>0</v>
      </c>
      <c r="MB22" s="16">
        <f>IF(ISNA(VLOOKUP($A22,'Données projet'!$A$434:$I$454,7,0)),0%,VLOOKUP($A22,'Données projet'!$A$434:$I$454,7,0))</f>
        <v>0</v>
      </c>
      <c r="MC22" s="21">
        <f>EXP(-LN(2)/35)*MC21+(1-EXP(-LN(2)/35))/(LN(2)/35)*LY22*LZ22*VLOOKUP('Données projet'!$B$24,Paramètres!$A$1:$I$89,3,0)*0.475*44/12</f>
        <v>0</v>
      </c>
      <c r="MD22" s="21">
        <f>EXP(-LN(2)/25)*MD21+(1-EXP(-LN(2)/25))/(LN(2)/25)*Calculateur!LY22*Calculateur!MA22*VLOOKUP('Données projet'!$B$24,Paramètres!$A$1:$I$89,3,0)*0.475*44/12</f>
        <v>0</v>
      </c>
      <c r="ME22" s="21">
        <f>EXP(-LN(2)/2)*ME21+(1-EXP(-LN(2)/2))/(LN(2)/2)*LY22*MB22*VLOOKUP('Données projet'!$B$24,Paramètres!$A$1:$I$89,3,0)*0.475*44/12</f>
        <v>0</v>
      </c>
      <c r="MF22" s="22">
        <f t="shared" si="105"/>
        <v>0</v>
      </c>
      <c r="MG22" s="74">
        <f>('Scénario référence'!$F$8+'Scénario référence'!$F$9+'Scénario référence'!$B$17+'Scénario référence'!$B$9+'Scénario référence'!$B$10)*70+IF((45+25*(1-EXP(-0.0175*$A22)))&lt;70,'Scénario référence'!$B$16*(45+25*(1-EXP(-0.0175*$A22))),70*'Scénario référence'!$B$16)+IF((32+38*(1-EXP(-0.0175*$A22)))&lt;70,'Scénario référence'!$B$18*(32+38*(1-EXP(-0.0175*$A22))),70*'Scénario référence'!$B$18)</f>
        <v>70</v>
      </c>
      <c r="MH22" s="12">
        <f>IF($A22&gt;30,10,('Scénario référence'!$B$16+'Scénario référence'!$B$17+'Scénario référence'!$B$18+'Scénario référence'!$B$9+'Scénario référence'!$B$10)*$A22*10/30+('Scénario référence'!$F$8+'Scénario référence'!$F$9)*10)</f>
        <v>10</v>
      </c>
      <c r="MI22" s="12" t="e">
        <f>VLOOKUP($A22,'Données projet'!$A$460:$I$480,2,0)</f>
        <v>#N/A</v>
      </c>
      <c r="MJ22" s="12" t="e">
        <f>VLOOKUP($A22,'Données projet'!$A$460:$I$480,9,0)</f>
        <v>#N/A</v>
      </c>
      <c r="MK22" s="12">
        <f t="array" ref="MK22">INDEX(MJ:MJ,MIN(IF(ISNUMBER(MJ22:MJ218),ROW(MJ22:MJ218),"")))</f>
        <v>0</v>
      </c>
      <c r="ML22" s="12">
        <f>IF('Données projet'!$A$460&gt;35,ML21+MK22-MT21,IF($A22&lt;'Données projet'!$A$460,$CQ$205^$A22,IF($A22='Données projet'!$A$460,'Données projet'!$B$460,ML21+MK22-MT21)))</f>
        <v>0</v>
      </c>
      <c r="MM22" s="17" t="e">
        <f>ML22*VLOOKUP('Données projet'!$B$25,Paramètres!$A$1:$I$89,3,0)*VLOOKUP('Données projet'!$B$25,Paramètres!$A$1:$I$89,5,0)</f>
        <v>#N/A</v>
      </c>
      <c r="MN22" s="13" t="e">
        <f t="shared" si="106"/>
        <v>#N/A</v>
      </c>
      <c r="MO22" s="14" t="e">
        <f t="shared" si="49"/>
        <v>#N/A</v>
      </c>
      <c r="MP22" s="59" t="e">
        <f t="shared" si="50"/>
        <v>#N/A</v>
      </c>
      <c r="MQ22" s="20" t="e">
        <f ca="1">AVERAGE(OFFSET($MP$3,0,0,'Données projet'!$E$25+1,1))-AVERAGE(OFFSET($H$3,0,0,'Données projet'!$E$25+1,1))</f>
        <v>#N/A</v>
      </c>
      <c r="MR22" s="59" t="e">
        <f t="shared" si="107"/>
        <v>#N/A</v>
      </c>
      <c r="MS22" s="15">
        <f>IF(ISNA(VLOOKUP($A22,'Données projet'!$A$460:$I$480,3,0)),0,VLOOKUP($A22,'Données projet'!$A$460:$I$480,3,0))</f>
        <v>0</v>
      </c>
      <c r="MT22" s="15">
        <f>IF(ISNA(VLOOKUP($A22,'Données projet'!$A$460:$I$480,4,0)),0,VLOOKUP($A22,'Données projet'!$A$460:$I$480,4,0))</f>
        <v>0</v>
      </c>
      <c r="MU22" s="16">
        <f>IF(ISNA(VLOOKUP($A22,'Données projet'!$A$460:$I$480,5,0)),0%,VLOOKUP($A22,'Données projet'!$A$460:$I$480,5,0)*VLOOKUP('Données projet'!$B$25,Paramètres!$A$1:$I$89,7,0))</f>
        <v>0</v>
      </c>
      <c r="MV22" s="16">
        <f>IF(ISNA(VLOOKUP($A22,'Données projet'!$A$460:$I$480,6,0)),0%,VLOOKUP($A22,'Données projet'!$A$460:$I$480,6,0)*VLOOKUP('Données projet'!$B$25,Paramètres!$A$1:$I$89,7,0))</f>
        <v>0</v>
      </c>
      <c r="MW22" s="16">
        <f>IF(ISNA(VLOOKUP($A22,'Données projet'!$A$460:$I$480,7,0)),0%,VLOOKUP($A22,'Données projet'!$A$460:$I$480,7,0))</f>
        <v>0</v>
      </c>
      <c r="MX22" s="21" t="e">
        <f>EXP(-LN(2)/35)*MX21+(1-EXP(-LN(2)/35))/(LN(2)/35)*MT22*MU22*VLOOKUP('Données projet'!$B$25,Paramètres!$A$1:$I$89,3,0)*0.475*44/12</f>
        <v>#N/A</v>
      </c>
      <c r="MY22" s="21" t="e">
        <f>EXP(-LN(2)/25)*MY21+(1-EXP(-LN(2)/25))/(LN(2)/25)*Calculateur!MT22*Calculateur!MV22*VLOOKUP('Données projet'!$B$25,Paramètres!$A$1:$I$89,3,0)*0.475*44/12</f>
        <v>#N/A</v>
      </c>
      <c r="MZ22" s="21" t="e">
        <f>EXP(-LN(2)/2)*MZ21+(1-EXP(-LN(2)/2))/(LN(2)/2)*MT22*MW22*VLOOKUP('Données projet'!$B$25,Paramètres!$A$1:$I$89,3,0)*0.475*44/12</f>
        <v>#N/A</v>
      </c>
      <c r="NA22" s="22" t="e">
        <f t="shared" si="108"/>
        <v>#N/A</v>
      </c>
      <c r="NB22" s="74">
        <f>('Scénario référence'!$F$8+'Scénario référence'!$F$9+'Scénario référence'!$B$17+'Scénario référence'!$B$9+'Scénario référence'!$B$10)*70+IF((45+25*(1-EXP(-0.0175*$A22)))&lt;70,'Scénario référence'!$B$16*(45+25*(1-EXP(-0.0175*$A22))),70*'Scénario référence'!$B$16)+IF((32+38*(1-EXP(-0.0175*$A22)))&lt;70,'Scénario référence'!$B$18*(32+38*(1-EXP(-0.0175*$A22))),70*'Scénario référence'!$B$18)</f>
        <v>70</v>
      </c>
      <c r="NC22" s="12">
        <f>IF($A22&gt;30,10,('Scénario référence'!$B$16+'Scénario référence'!$B$17+'Scénario référence'!$B$18+'Scénario référence'!$B$9+'Scénario référence'!$B$10)*$A22*10/30+('Scénario référence'!$F$8+'Scénario référence'!$F$9)*10)</f>
        <v>10</v>
      </c>
      <c r="ND22" s="12" t="e">
        <f>VLOOKUP($A22,'Données projet'!$A$486:$I$506,2,0)</f>
        <v>#N/A</v>
      </c>
      <c r="NE22" s="12" t="e">
        <f>VLOOKUP($A22,'Données projet'!$A$486:$I$506,9,0)</f>
        <v>#N/A</v>
      </c>
      <c r="NF22" s="12">
        <f t="array" ref="NF22">INDEX(NE:NE,MIN(IF(ISNUMBER(NE22:NE218),ROW(NE22:NE218),"")))</f>
        <v>0</v>
      </c>
      <c r="NG22" s="12">
        <f>IF('Données projet'!$A$486&gt;35,NG21+NF22-NO21,IF($A22&lt;'Données projet'!$A$486,$CQ$205^$A22,IF($A22='Données projet'!$A$486,'Données projet'!$B$486,NG21+NF22-NO21)))</f>
        <v>0</v>
      </c>
      <c r="NH22" s="17" t="e">
        <f>NG22*VLOOKUP('Données projet'!$B$26,Paramètres!$A$1:$I$89,3,0)*VLOOKUP('Données projet'!$B$26,Paramètres!$A$1:$I$89,5,0)</f>
        <v>#N/A</v>
      </c>
      <c r="NI22" s="13" t="e">
        <f t="shared" si="109"/>
        <v>#N/A</v>
      </c>
      <c r="NJ22" s="14" t="e">
        <f t="shared" si="52"/>
        <v>#N/A</v>
      </c>
      <c r="NK22" s="59" t="e">
        <f t="shared" si="53"/>
        <v>#N/A</v>
      </c>
      <c r="NL22" s="20" t="e">
        <f ca="1">AVERAGE(OFFSET($NK$3,0,0,'Données projet'!$E$26+1,1))-AVERAGE(OFFSET($H$3,0,0,'Données projet'!$E$26+1,1))</f>
        <v>#N/A</v>
      </c>
      <c r="NM22" s="59" t="e">
        <f t="shared" si="110"/>
        <v>#N/A</v>
      </c>
      <c r="NN22" s="15">
        <f>IF(ISNA(VLOOKUP($A22,'Données projet'!$A$486:$I$506,3,0)),0,VLOOKUP($A22,'Données projet'!$A$486:$I$506,3,0))</f>
        <v>0</v>
      </c>
      <c r="NO22" s="15">
        <f>IF(ISNA(VLOOKUP($A22,'Données projet'!$A$486:$I$506,4,0)),0,VLOOKUP($A22,'Données projet'!$A$486:$I$506,4,0))</f>
        <v>0</v>
      </c>
      <c r="NP22" s="16">
        <f>IF(ISNA(VLOOKUP($A22,'Données projet'!$A$486:$I$506,5,0)),0%,VLOOKUP($A22,'Données projet'!$A$486:$I$506,5,0)*VLOOKUP('Données projet'!$B$26,Paramètres!$A$1:$I$89,7,0))</f>
        <v>0</v>
      </c>
      <c r="NQ22" s="16">
        <f>IF(ISNA(VLOOKUP($A22,'Données projet'!$A$486:$I$506,6,0)),0%,VLOOKUP($A22,'Données projet'!$A$486:$I$506,6,0)*VLOOKUP('Données projet'!$B$26,Paramètres!$A$1:$I$89,7,0))</f>
        <v>0</v>
      </c>
      <c r="NR22" s="16">
        <f>IF(ISNA(VLOOKUP($A22,'Données projet'!$A$486:$I$506,7,0)),0%,VLOOKUP($A22,'Données projet'!$A$486:$I$506,7,0))</f>
        <v>0</v>
      </c>
      <c r="NS22" s="21" t="e">
        <f>EXP(-LN(2)/35)*NS21+(1-EXP(-LN(2)/35))/(LN(2)/35)*NO22*NP22*VLOOKUP('Données projet'!$B$26,Paramètres!$A$1:$I$89,3,0)*0.475*44/12</f>
        <v>#N/A</v>
      </c>
      <c r="NT22" s="21" t="e">
        <f>EXP(-LN(2)/25)*NT21+(1-EXP(-LN(2)/25))/(LN(2)/25)*Calculateur!NO22*Calculateur!NQ22*VLOOKUP('Données projet'!$B$26,Paramètres!$A$1:$I$89,3,0)*0.475*44/12</f>
        <v>#N/A</v>
      </c>
      <c r="NU22" s="21" t="e">
        <f>EXP(-LN(2)/2)*NU21+(1-EXP(-LN(2)/2))/(LN(2)/2)*NO22*NR22*VLOOKUP('Données projet'!$B$26,Paramètres!$A$1:$I$89,3,0)*0.475*44/12</f>
        <v>#N/A</v>
      </c>
      <c r="NV22" s="22" t="e">
        <f t="shared" si="111"/>
        <v>#N/A</v>
      </c>
      <c r="NW22" s="74">
        <f>('Scénario référence'!$F$8+'Scénario référence'!$F$9+'Scénario référence'!$B$17+'Scénario référence'!$B$9+'Scénario référence'!$B$10)*70+IF((45+25*(1-EXP(-0.0175*$A22)))&lt;70,'Scénario référence'!$B$16*(45+25*(1-EXP(-0.0175*$A22))),70*'Scénario référence'!$B$16)+IF((32+38*(1-EXP(-0.0175*$A22)))&lt;70,'Scénario référence'!$B$18*(32+38*(1-EXP(-0.0175*$A22))),70*'Scénario référence'!$B$18)</f>
        <v>70</v>
      </c>
      <c r="NX22" s="12">
        <f>IF($A22&gt;30,10,('Scénario référence'!$B$16+'Scénario référence'!$B$17+'Scénario référence'!$B$18+'Scénario référence'!$B$9+'Scénario référence'!$B$10)*$A22*10/30+('Scénario référence'!$F$8+'Scénario référence'!$F$9)*10)</f>
        <v>10</v>
      </c>
      <c r="NY22" s="12" t="e">
        <f>VLOOKUP($A22,'Données projet'!$A$512:$I$532,2,0)</f>
        <v>#N/A</v>
      </c>
      <c r="NZ22" s="12" t="e">
        <f>VLOOKUP($A22,'Données projet'!$A$512:$I$532,9,0)</f>
        <v>#N/A</v>
      </c>
      <c r="OA22" s="12">
        <f t="array" ref="OA22">INDEX(NZ:NZ,MIN(IF(ISNUMBER(NZ22:NZ218),ROW(NZ22:NZ218),"")))</f>
        <v>0</v>
      </c>
      <c r="OB22" s="12">
        <f>IF('Données projet'!$A$512&gt;35,OB21+OA22-OJ21,IF($A22&lt;'Données projet'!$A$512,$CQ$205^$A22,IF($A22='Données projet'!$A$512,'Données projet'!$B$512,OB21+OA22-OJ21)))</f>
        <v>0</v>
      </c>
      <c r="OC22" s="17" t="e">
        <f>OB22*VLOOKUP('Données projet'!$B$27,Paramètres!$A$1:$I$89,3,0)*VLOOKUP('Données projet'!$B$27,Paramètres!$A$1:$I$89,5,0)</f>
        <v>#N/A</v>
      </c>
      <c r="OD22" s="13" t="e">
        <f t="shared" si="112"/>
        <v>#N/A</v>
      </c>
      <c r="OE22" s="14" t="e">
        <f t="shared" si="55"/>
        <v>#N/A</v>
      </c>
      <c r="OF22" s="59" t="e">
        <f t="shared" si="56"/>
        <v>#N/A</v>
      </c>
      <c r="OG22" s="20" t="e">
        <f ca="1">AVERAGE(OFFSET($OF$3,0,0,'Données projet'!$E$27+1,1))-AVERAGE(OFFSET($H$3,0,0,'Données projet'!$E$27+1,1))</f>
        <v>#N/A</v>
      </c>
      <c r="OH22" s="59" t="e">
        <f t="shared" si="113"/>
        <v>#N/A</v>
      </c>
      <c r="OI22" s="15">
        <f>IF(ISNA(VLOOKUP($A22,'Données projet'!$A$512:$I$532,3,0)),0,VLOOKUP($A22,'Données projet'!$A$512:$I$532,3,0))</f>
        <v>0</v>
      </c>
      <c r="OJ22" s="15">
        <f>IF(ISNA(VLOOKUP($A22,'Données projet'!$A$512:$I$532,4,0)),0,VLOOKUP($A22,'Données projet'!$A$512:$I$532,4,0))</f>
        <v>0</v>
      </c>
      <c r="OK22" s="16">
        <f>IF(ISNA(VLOOKUP($A22,'Données projet'!$A$512:$I$532,5,0)),0%,VLOOKUP($A22,'Données projet'!$A$512:$I$532,5,0)*VLOOKUP('Données projet'!$B$27,Paramètres!$A$1:$I$89,7,0))</f>
        <v>0</v>
      </c>
      <c r="OL22" s="16">
        <f>IF(ISNA(VLOOKUP($A22,'Données projet'!$A$512:$I$532,6,0)),0%,VLOOKUP($A22,'Données projet'!$A$512:$I$532,6,0)*VLOOKUP('Données projet'!$B$27,Paramètres!$A$1:$I$89,7,0))</f>
        <v>0</v>
      </c>
      <c r="OM22" s="16">
        <f>IF(ISNA(VLOOKUP($A22,'Données projet'!$A$512:$I$532,7,0)),0%,VLOOKUP($A22,'Données projet'!$A$512:$I$532,7,0))</f>
        <v>0</v>
      </c>
      <c r="ON22" s="21" t="e">
        <f>EXP(-LN(2)/35)*ON21+(1-EXP(-LN(2)/35))/(LN(2)/35)*OJ22*OK22*VLOOKUP('Données projet'!$B$27,Paramètres!$A$1:$I$89,3,0)*0.475*44/12</f>
        <v>#N/A</v>
      </c>
      <c r="OO22" s="21" t="e">
        <f>EXP(-LN(2)/25)*OO21+(1-EXP(-LN(2)/25))/(LN(2)/25)*Calculateur!OJ22*Calculateur!OL22*VLOOKUP('Données projet'!$B$27,Paramètres!$A$1:$I$89,3,0)*0.475*44/12</f>
        <v>#N/A</v>
      </c>
      <c r="OP22" s="21" t="e">
        <f>EXP(-LN(2)/2)*OP21+(1-EXP(-LN(2)/2))/(LN(2)/2)*OJ22*OM22*VLOOKUP('Données projet'!$B$27,Paramètres!$A$1:$I$89,3,0)*0.475*44/12</f>
        <v>#N/A</v>
      </c>
      <c r="OQ22" s="22" t="e">
        <f t="shared" si="114"/>
        <v>#N/A</v>
      </c>
      <c r="OR22" s="74">
        <f>('Scénario référence'!$F$8+'Scénario référence'!$F$9+'Scénario référence'!$B$17+'Scénario référence'!$B$9+'Scénario référence'!$B$10)*70+IF((45+25*(1-EXP(-0.0175*$A22)))&lt;70,'Scénario référence'!$B$16*(45+25*(1-EXP(-0.0175*$A22))),70*'Scénario référence'!$B$16)+IF((32+38*(1-EXP(-0.0175*$A22)))&lt;70,'Scénario référence'!$B$18*(32+38*(1-EXP(-0.0175*$A22))),70*'Scénario référence'!$B$18)</f>
        <v>70</v>
      </c>
      <c r="OS22" s="12">
        <f>IF($A22&gt;30,10,('Scénario référence'!$B$16+'Scénario référence'!$B$17+'Scénario référence'!$B$18+'Scénario référence'!$B$9+'Scénario référence'!$B$10)*$A22*10/30+('Scénario référence'!$F$8+'Scénario référence'!$F$9)*10)</f>
        <v>10</v>
      </c>
      <c r="OT22" s="12" t="e">
        <f>VLOOKUP($A22,'Données projet'!$A$538:$I$558,2,0)</f>
        <v>#N/A</v>
      </c>
      <c r="OU22" s="12" t="e">
        <f>VLOOKUP($A22,'Données projet'!$A$538:$I$558,9,0)</f>
        <v>#N/A</v>
      </c>
      <c r="OV22" s="12">
        <f t="array" ref="OV22">INDEX(OU:OU,MIN(IF(ISNUMBER(OU22:OU218),ROW(OU22:OU218),"")))</f>
        <v>0</v>
      </c>
      <c r="OW22" s="12">
        <f>IF('Données projet'!$A$538&gt;35,OW21+OV22-PE21,IF($A22&lt;'Données projet'!$A$538,$CQ$205^$A22,IF($A22='Données projet'!$A$538,'Données projet'!$B$538,OW21+OV22-PE21)))</f>
        <v>0</v>
      </c>
      <c r="OX22" s="17" t="e">
        <f>OW22*VLOOKUP('Données projet'!$B$28,Paramètres!$A$1:$I$89,3,0)*VLOOKUP('Données projet'!$B$28,Paramètres!$A$1:$I$89,5,0)</f>
        <v>#N/A</v>
      </c>
      <c r="OY22" s="13" t="e">
        <f t="shared" si="115"/>
        <v>#N/A</v>
      </c>
      <c r="OZ22" s="14" t="e">
        <f t="shared" si="58"/>
        <v>#N/A</v>
      </c>
      <c r="PA22" s="59" t="e">
        <f t="shared" si="59"/>
        <v>#N/A</v>
      </c>
      <c r="PB22" s="20" t="e">
        <f ca="1">AVERAGE(OFFSET($PA$3,0,0,'Données projet'!$E$28+1,1))-AVERAGE(OFFSET($H$3,0,0,'Données projet'!$E$28+1,1))</f>
        <v>#N/A</v>
      </c>
      <c r="PC22" s="59" t="e">
        <f t="shared" si="116"/>
        <v>#N/A</v>
      </c>
      <c r="PD22" s="15">
        <f>IF(ISNA(VLOOKUP($A22,'Données projet'!$A$538:$I$558,3,0)),0,VLOOKUP($A22,'Données projet'!$A$538:$I$558,3,0))</f>
        <v>0</v>
      </c>
      <c r="PE22" s="15">
        <f>IF(ISNA(VLOOKUP($A22,'Données projet'!$A$538:$I$558,4,0)),0,VLOOKUP($A22,'Données projet'!$A$538:$I$558,4,0))</f>
        <v>0</v>
      </c>
      <c r="PF22" s="16">
        <f>IF(ISNA(VLOOKUP($A22,'Données projet'!$A$538:$I$558,5,0)),0%,VLOOKUP($A22,'Données projet'!$A$538:$I$558,5,0)*VLOOKUP('Données projet'!$B$28,Paramètres!$A$1:$I$89,7,0))</f>
        <v>0</v>
      </c>
      <c r="PG22" s="16">
        <f>IF(ISNA(VLOOKUP($A22,'Données projet'!$A$538:$I$558,6,0)),0%,VLOOKUP($A22,'Données projet'!$A$538:$I$558,6,0)*VLOOKUP('Données projet'!$B$28,Paramètres!$A$1:$I$89,7,0))</f>
        <v>0</v>
      </c>
      <c r="PH22" s="16">
        <f>IF(ISNA(VLOOKUP($A22,'Données projet'!$A$538:$I$558,7,0)),0%,VLOOKUP($A22,'Données projet'!$A$538:$I$558,7,0))</f>
        <v>0</v>
      </c>
      <c r="PI22" s="21" t="e">
        <f>EXP(-LN(2)/35)*PI21+(1-EXP(-LN(2)/35))/(LN(2)/35)*PE22*PF22*VLOOKUP('Données projet'!$B$28,Paramètres!$A$1:$I$89,3,0)*0.475*44/12</f>
        <v>#N/A</v>
      </c>
      <c r="PJ22" s="21" t="e">
        <f>EXP(-LN(2)/25)*PJ21+(1-EXP(-LN(2)/25))/(LN(2)/25)*Calculateur!PE22*Calculateur!PG22*VLOOKUP('Données projet'!$B$28,Paramètres!$A$1:$I$89,3,0)*0.475*44/12</f>
        <v>#N/A</v>
      </c>
      <c r="PK22" s="21" t="e">
        <f>EXP(-LN(2)/2)*PK21+(1-EXP(-LN(2)/2))/(LN(2)/2)*PE22*PH22*VLOOKUP('Données projet'!$B$28,Paramètres!$A$1:$I$89,3,0)*0.475*44/12</f>
        <v>#N/A</v>
      </c>
      <c r="PL22" s="22" t="e">
        <f t="shared" si="117"/>
        <v>#N/A</v>
      </c>
    </row>
    <row r="23" spans="1:428" x14ac:dyDescent="0.35">
      <c r="A23" s="10">
        <f t="shared" si="6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6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projet'!$A$45:$I$65,2,0)</f>
        <v>#N/A</v>
      </c>
      <c r="L23" s="12" t="e">
        <f>VLOOKUP(A23,'Données projet'!$A$45:$I$65,9,0)</f>
        <v>#N/A</v>
      </c>
      <c r="M23" s="12">
        <f t="array" ref="M23">INDEX(L:L,MIN(IF(ISNUMBER(L23:L219),ROW(L23:L219),"")))</f>
        <v>20.658974358974358</v>
      </c>
      <c r="N23" s="13">
        <f>IF('Données projet'!$A$46&gt;35,N22+M23-V22,IF(A23&lt;'Données projet'!$A$46,$K$205^A23,IF(A23='Données projet'!$A$46,'Données projet'!$B$46,N22+M23-V22)))</f>
        <v>154.925641025641</v>
      </c>
      <c r="O23" s="13">
        <f>N23*VLOOKUP('Données projet'!$B$9,Paramètres!$A$1:$I$89,3,0)*VLOOKUP('Données projet'!$B$9,Paramètres!$A$1:$I$89,5,0)</f>
        <v>86.603433333333314</v>
      </c>
      <c r="P23" s="13">
        <f t="shared" si="63"/>
        <v>23.744229853900279</v>
      </c>
      <c r="Q23" s="20">
        <f t="shared" si="2"/>
        <v>192.18884671776516</v>
      </c>
      <c r="R23" s="59">
        <f t="shared" si="0"/>
        <v>485.52218005109847</v>
      </c>
      <c r="S23" s="59">
        <f ca="1">AVERAGE(OFFSET($R$3,0,0,'Données projet'!$E$9+1,1))-AVERAGE(OFFSET($H$3,0,0,'Données projet'!$E$9+1,1))</f>
        <v>274.57619581652199</v>
      </c>
      <c r="T23" s="59">
        <f t="shared" si="64"/>
        <v>366.15117322598775</v>
      </c>
      <c r="U23" s="15">
        <f>IF(ISNA(VLOOKUP(A23,'Données projet'!$A$45:$I$65,3,0)),0,VLOOKUP(A23,'Données projet'!$A$45:$I$65,3,0))</f>
        <v>0</v>
      </c>
      <c r="V23" s="15">
        <f>IF(ISNA(VLOOKUP(A23,'Données projet'!$A$45:$I$65,4,0)),0,VLOOKUP(A23,'Données projet'!$A$45:$I$65,4,0))</f>
        <v>0</v>
      </c>
      <c r="W23" s="16">
        <f>IF(ISNA(VLOOKUP(A23,'Données projet'!$A$45:$I$65,5,0)),0%,VLOOKUP(A23,'Données projet'!$A$45:$I$65,5,0)*VLOOKUP('Données projet'!$B$9,Paramètres!$A$1:$I$89,7,0))</f>
        <v>0</v>
      </c>
      <c r="X23" s="16">
        <f>IF(ISNA(VLOOKUP(A23,'Données projet'!$A$45:$I$65,6,0)),0%,VLOOKUP(A23,'Données projet'!$A$45:$I$65,6,0)*VLOOKUP('Données projet'!$B$9,Paramètres!$A$1:$I$89,7,0))</f>
        <v>0</v>
      </c>
      <c r="Y23" s="16">
        <f>IF(ISNA(VLOOKUP(A23,'Données projet'!$A$45:$I$65,7,0)),0%,VLOOKUP(A23,'Données projet'!$A$45:$I$65,7,0))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14.911863976403616</v>
      </c>
      <c r="AB23" s="21">
        <f>EXP(-LN(2)/2)*AB22+(1-EXP(-LN(2)/2))/(LN(2)/2)*V23*Y23*VLOOKUP('Données projet'!$B$9,Paramètres!$A$1:$I$89,3,0)*0.475*44/12</f>
        <v>9.6473234234145515</v>
      </c>
      <c r="AC23" s="22">
        <f t="shared" si="3"/>
        <v>24.559187399818168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projet'!$A$71:$I$91,2,0)</f>
        <v>#N/A</v>
      </c>
      <c r="AG23" s="12" t="e">
        <f>VLOOKUP(A23,'Données projet'!$A$71:$I$91,9,0)</f>
        <v>#N/A</v>
      </c>
      <c r="AH23" s="12">
        <f t="array" ref="AH23">INDEX(AG:AG,MIN(IF(ISNUMBER(AG23:AG219),ROW(AG23:AG219),"")))</f>
        <v>4.0628205128205126</v>
      </c>
      <c r="AI23" s="13">
        <f>IF('Données projet'!$A$72&gt;35,AI22+AH23-AQ22,IF(A23&lt;'Données projet'!$A$72,$AF$205^A23,IF(A23='Données projet'!$A$72,'Données projet'!$B$72,AI22+AH23-AQ22)))</f>
        <v>24.582870545650774</v>
      </c>
      <c r="AJ23" s="13">
        <f>AI23*VLOOKUP('Données projet'!$B$10,Paramètres!$A$1:$I$89,3,0)*VLOOKUP('Données projet'!$B$10,Paramètres!$A$1:$I$89,5,0)</f>
        <v>22.242581269704818</v>
      </c>
      <c r="AK23" s="13">
        <f t="shared" si="65"/>
        <v>7.1437277532311274</v>
      </c>
      <c r="AL23" s="20">
        <f t="shared" si="4"/>
        <v>51.181154881613445</v>
      </c>
      <c r="AM23" s="59">
        <f t="shared" si="5"/>
        <v>344.51448821494677</v>
      </c>
      <c r="AN23" s="59">
        <f ca="1">AVERAGE(OFFSET($AM$3,0,0,'Données projet'!$E$10+1,1))-AVERAGE(OFFSET($H$3,0,0,'Données projet'!$E$10+1,1))</f>
        <v>270.87836509222456</v>
      </c>
      <c r="AO23" s="59">
        <f t="shared" si="66"/>
        <v>205.24998237949734</v>
      </c>
      <c r="AP23" s="15">
        <f>IF(ISNA(VLOOKUP(A23,'Données projet'!$A$71:$I$91,3,0)),0,VLOOKUP(A23,'Données projet'!$A$71:$I$91,3,0))</f>
        <v>0</v>
      </c>
      <c r="AQ23" s="15">
        <f>IF(ISNA(VLOOKUP(A23,'Données projet'!$A$71:$I$91,4,0)),0,VLOOKUP(A23,'Données projet'!$A$71:$I$91,4,0))</f>
        <v>0</v>
      </c>
      <c r="AR23" s="16">
        <f>IF(ISNA(VLOOKUP(A23,'Données projet'!$A$71:$I$91,5,0)),0%,VLOOKUP(A23,'Données projet'!$A$71:$I$91,5,0)*VLOOKUP('Données projet'!$B$10,Paramètres!$A$1:$I$89,7,0))</f>
        <v>0</v>
      </c>
      <c r="AS23" s="16">
        <f>IF(ISNA(VLOOKUP(A23,'Données projet'!$A$71:$I$91,6,0)),0%,VLOOKUP(A23,'Données projet'!$A$71:$I$91,6,0)*VLOOKUP('Données projet'!$B$10,Paramètres!$A$1:$I$89,7,0))</f>
        <v>0</v>
      </c>
      <c r="AT23" s="16">
        <f>IF(ISNA(VLOOKUP(A23,'Données projet'!$A$71:$I$91,7,0)),0%,VLOOKUP(A23,'Données projet'!$A$71:$I$91,7,0))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projet'!$A$97:$I$117,2,0)</f>
        <v>#N/A</v>
      </c>
      <c r="BB23" s="12" t="e">
        <f>VLOOKUP(A23,'Données projet'!$A$97:$I$117,9,0)</f>
        <v>#N/A</v>
      </c>
      <c r="BC23" s="12">
        <f t="array" ref="BC23">INDEX(BB:BB,MIN(IF(ISNUMBER(BB23:BB219),ROW(BB23:BB219),"")))</f>
        <v>20.658974358974358</v>
      </c>
      <c r="BD23" s="12">
        <f>IF('Données projet'!$A$98&gt;35,BD22+BC23-BL22,IF(A23&lt;'Données projet'!$A$98,$BA$205^A23,IF(A23='Données projet'!$A$98,'Données projet'!$B$98,BD22+BC23-BL22)))</f>
        <v>154.925641025641</v>
      </c>
      <c r="BE23" s="13">
        <f>BD23*VLOOKUP('Données projet'!$B$11,Paramètres!$A$1:$I$89,3,0)*VLOOKUP('Données projet'!$B$11,Paramètres!$A$1:$I$89,5,0)</f>
        <v>68.477133333333327</v>
      </c>
      <c r="BF23" s="13">
        <f t="shared" si="67"/>
        <v>19.294793347355824</v>
      </c>
      <c r="BG23" s="20">
        <f t="shared" si="7"/>
        <v>152.86943896886694</v>
      </c>
      <c r="BH23" s="59">
        <f t="shared" si="8"/>
        <v>446.20277230220029</v>
      </c>
      <c r="BI23" s="59">
        <f ca="1">AVERAGE(OFFSET($BH$3,0,0,'Données projet'!$E$11+1,1))-AVERAGE(OFFSET($H$3,0,0,'Données projet'!$E$11+1,1))</f>
        <v>211.31057120485542</v>
      </c>
      <c r="BJ23" s="59">
        <f t="shared" si="68"/>
        <v>283.33292006714777</v>
      </c>
      <c r="BK23" s="15">
        <f>IF(ISNA(VLOOKUP(A23,'Données projet'!$A$97:$I$117,3,0)),0,VLOOKUP(A23,'Données projet'!$A$97:$I$117,3,0))</f>
        <v>0</v>
      </c>
      <c r="BL23" s="15">
        <f>IF(ISNA(VLOOKUP(A23,'Données projet'!$A$97:$I$117,4,0)),0,VLOOKUP(A23,'Données projet'!$A$97:$I$117,4,0))</f>
        <v>0</v>
      </c>
      <c r="BM23" s="16">
        <f>IF(ISNA(VLOOKUP(A23,'Données projet'!$A$97:$I$117,5,0)),0%,VLOOKUP(A23,'Données projet'!$A$97:$I$117,5,0)*VLOOKUP('Données projet'!$B$11,Paramètres!$A$1:$I$89,7,0))</f>
        <v>0</v>
      </c>
      <c r="BN23" s="16">
        <f>IF(ISNA(VLOOKUP(A23,'Données projet'!$A$97:$I$117,6,0)),0%,VLOOKUP(A23,'Données projet'!$A$97:$I$117,6,0)*VLOOKUP('Données projet'!$B$11,Paramètres!$A$1:$I$89,7,0))</f>
        <v>0</v>
      </c>
      <c r="BO23" s="16">
        <f>IF(ISNA(VLOOKUP(A23,'Données projet'!$A$97:$I$117,7,0)),0%,VLOOKUP(A23,'Données projet'!$A$97:$I$117,7,0))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11.790776167388906</v>
      </c>
      <c r="BR23" s="21">
        <f>EXP(-LN(2)/2)*BR22+(1-EXP(-LN(2)/2))/(LN(2)/2)*BL23*BO23*VLOOKUP('Données projet'!$B$11,Paramètres!$A$1:$I$89,3,0)*0.475*44/12</f>
        <v>7.6281161952580163</v>
      </c>
      <c r="BS23" s="22">
        <f t="shared" si="9"/>
        <v>19.418892362646922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projet'!$A$123:$I$143,2,0)</f>
        <v>129</v>
      </c>
      <c r="BW23" s="12">
        <f>VLOOKUP(A23,'Données projet'!$A$123:$I$143,9,0)</f>
        <v>11.2</v>
      </c>
      <c r="BX23" s="12">
        <f t="array" ref="BX23">INDEX(BW:BW,MIN(IF(ISNUMBER(BW23:BW219),ROW(BW23:BW219),"")))</f>
        <v>11.2</v>
      </c>
      <c r="BY23" s="12">
        <f>IF('Données projet'!$A$124&gt;35,BY22+BX23-CG22,IF(A23&lt;'Données projet'!$A$124,$BV$205^A23,IF(A23='Données projet'!$A$124,'Données projet'!$B$124,BY22+BX23-CG22)))</f>
        <v>129</v>
      </c>
      <c r="BZ23" s="13">
        <f>BY23*VLOOKUP('Données projet'!$B$12,Paramètres!$A$1:$I$89,3,0)*VLOOKUP('Données projet'!$B$12,Paramètres!$A$1:$I$89,5,0)</f>
        <v>134.83080000000001</v>
      </c>
      <c r="CA23" s="13">
        <f t="shared" si="69"/>
        <v>35.110233978560416</v>
      </c>
      <c r="CB23" s="20">
        <f t="shared" si="10"/>
        <v>295.98063417932605</v>
      </c>
      <c r="CC23" s="59">
        <f t="shared" si="11"/>
        <v>589.31396751265936</v>
      </c>
      <c r="CD23" s="59">
        <f ca="1">AVERAGE(OFFSET($CC$3,0,0,'Données projet'!$E$12+1,1))-AVERAGE(OFFSET($H$3,0,0,'Données projet'!$E$12+1,1))</f>
        <v>322.93502595881938</v>
      </c>
      <c r="CE23" s="59">
        <f t="shared" si="70"/>
        <v>302.67072119588164</v>
      </c>
      <c r="CF23" s="15">
        <f>IF(ISNA(VLOOKUP(A23,'Données projet'!$A$123:$I$143,3,0)),0,VLOOKUP(A23,'Données projet'!$A$123:$I$143,3,0))</f>
        <v>1</v>
      </c>
      <c r="CG23" s="15" t="str">
        <f>IF(ISNA(VLOOKUP(A23,'Données projet'!$A$123:$I$143,4,0)),0,VLOOKUP(A23,'Données projet'!$A$123:$I$143,4,0))</f>
        <v>54</v>
      </c>
      <c r="CH23" s="16">
        <f>IF(ISNA(VLOOKUP(A23,'Données projet'!$A$123:$I$143,5,0)),0%,VLOOKUP(A23,'Données projet'!$A$123:$I$143,5,0)*VLOOKUP('Données projet'!$B$12,Paramètres!$A$1:$I$89,7,0))</f>
        <v>0</v>
      </c>
      <c r="CI23" s="16">
        <f>IF(ISNA(VLOOKUP(A23,'Données projet'!$A$123:$I$143,6,0)),0%,VLOOKUP(A23,'Données projet'!$A$123:$I$143,6,0)*VLOOKUP('Données projet'!$B$12,Paramètres!$A$1:$I$89,7,0))</f>
        <v>0</v>
      </c>
      <c r="CJ23" s="16">
        <f>IF(ISNA(VLOOKUP(A23,'Données projet'!$A$123:$I$143,7,0)),0%,VLOOKUP(A23,'Données projet'!$A$123:$I$143,7,0))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projet'!$A$149:$I$169,2,0)</f>
        <v>#N/A</v>
      </c>
      <c r="CR23" s="12" t="e">
        <f>VLOOKUP(A23,'Données projet'!$A$149:$I$169,9,0)</f>
        <v>#N/A</v>
      </c>
      <c r="CS23" s="12">
        <f t="array" ref="CS23">INDEX(CR:CR,MIN(IF(ISNUMBER(CR23:CR219),ROW(CR23:CR219),"")))</f>
        <v>2.9235042735042733</v>
      </c>
      <c r="CT23" s="12">
        <f>IF('Données projet'!$A$150&gt;35,CT22+CS23-DB22,IF(A23&lt;'Données projet'!$A$150,$CQ$205^A23,IF(A23='Données projet'!$A$150,'Données projet'!$B$150,CT22+CS23-DB22)))</f>
        <v>19.740129245617538</v>
      </c>
      <c r="CU23" s="17">
        <f>CT23*VLOOKUP('Données projet'!$B$13,Paramètres!$A$1:$I$89,3,0)*VLOOKUP('Données projet'!$B$13,Paramètres!$A$1:$I$89,5,0)</f>
        <v>20.016491055056186</v>
      </c>
      <c r="CV23" s="13">
        <f t="shared" si="71"/>
        <v>6.5081634970626938</v>
      </c>
      <c r="CW23" s="20">
        <f t="shared" si="13"/>
        <v>46.197106678273713</v>
      </c>
      <c r="CX23" s="59">
        <f t="shared" si="14"/>
        <v>339.53044001160703</v>
      </c>
      <c r="CY23" s="59">
        <f ca="1">AVERAGE(OFFSET($CX$3,0,0,'Données projet'!$E$13+1,1))-AVERAGE(OFFSET($H$3,0,0,'Données projet'!$E$13+1,1))</f>
        <v>250.31277422753283</v>
      </c>
      <c r="CZ23" s="59">
        <f t="shared" si="72"/>
        <v>159.20429420478047</v>
      </c>
      <c r="DA23" s="15">
        <f>IF(ISNA(VLOOKUP(A23,'Données projet'!$A$149:$I$169,3,0)),0,VLOOKUP(A23,'Données projet'!$A$149:$I$169,3,0))</f>
        <v>0</v>
      </c>
      <c r="DB23" s="15">
        <f>IF(ISNA(VLOOKUP(A23,'Données projet'!$A$149:$I$169,4,0)),0,VLOOKUP(A23,'Données projet'!$A$149:$I$169,4,0))</f>
        <v>0</v>
      </c>
      <c r="DC23" s="16">
        <f>IF(ISNA(VLOOKUP(A23,'Données projet'!$A$149:$I$169,5,0)),0%,VLOOKUP(A23,'Données projet'!$A$149:$I$169,5,0)*VLOOKUP('Données projet'!$B$13,Paramètres!$A$1:$I$89,7,0))</f>
        <v>0</v>
      </c>
      <c r="DD23" s="16">
        <f>IF(ISNA(VLOOKUP(A23,'Données projet'!$A$149:$I$169,6,0)),0%,VLOOKUP(A23,'Données projet'!$A$149:$I$169,6,0)*VLOOKUP('Données projet'!$B$13,Paramètres!$A$1:$I$89,7,0))</f>
        <v>0</v>
      </c>
      <c r="DE23" s="16">
        <f>IF(ISNA(VLOOKUP(A23,'Données projet'!$A$149:$I$169,7,0)),0%,VLOOKUP(A23,'Données projet'!$A$149:$I$169,7,0))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projet'!$A$175:$I$195,2,0)</f>
        <v>123</v>
      </c>
      <c r="DM23" s="12">
        <f>VLOOKUP(A23,'Données projet'!$A$175:$I$195,9,0)</f>
        <v>16</v>
      </c>
      <c r="DN23" s="12">
        <f t="array" ref="DN23">INDEX(DM:DM,MIN(IF(ISNUMBER(DM23:DM219),ROW(DM23:DM219),"")))</f>
        <v>16</v>
      </c>
      <c r="DO23" s="12">
        <f>IF('Données projet'!$A$176&gt;35,DO22+DN23-DW22,IF(A23&lt;'Données projet'!$A$176,$DL$205^A23,IF(A23='Données projet'!$A$176,'Données projet'!$B$176,DO22+DN23-DW22)))</f>
        <v>123</v>
      </c>
      <c r="DP23" s="17">
        <f>DO23*VLOOKUP('Données projet'!$B$14,Paramètres!$A$1:$I$89,3,0)*VLOOKUP('Données projet'!$B$14,Paramètres!$A$1:$I$89,5,0)</f>
        <v>90.183599999999998</v>
      </c>
      <c r="DQ23" s="13">
        <f t="shared" si="73"/>
        <v>24.609499639553789</v>
      </c>
      <c r="DR23" s="20">
        <f t="shared" si="16"/>
        <v>199.93131520555619</v>
      </c>
      <c r="DS23" s="59">
        <f t="shared" si="17"/>
        <v>493.2646485388895</v>
      </c>
      <c r="DT23" s="59">
        <f ca="1">AVERAGE(OFFSET($DS$3,0,0,'Données projet'!$E$14+1,1))-AVERAGE(OFFSET($H$3,0,0,'Données projet'!$E$14+1,1))</f>
        <v>296.91321813251051</v>
      </c>
      <c r="DU23" s="59">
        <f t="shared" si="74"/>
        <v>291.0718079639509</v>
      </c>
      <c r="DV23" s="15">
        <f>IF(ISNA(VLOOKUP(A23,'Données projet'!$A$175:$I$195,3,0)),0,VLOOKUP(A23,'Données projet'!$A$175:$I$195,3,0))</f>
        <v>3</v>
      </c>
      <c r="DW23" s="15">
        <f>IF(ISNA(VLOOKUP(A23,'Données projet'!$A$175:$I$195,4,0)),0,VLOOKUP(A23,'Données projet'!$A$175:$I$195,4,0))</f>
        <v>42</v>
      </c>
      <c r="DX23" s="16">
        <f>IF(ISNA(VLOOKUP(A23,'Données projet'!$A$175:$I$195,5,0)),0%,VLOOKUP(A23,'Données projet'!$A$175:$I$195,5,0)*VLOOKUP('Données projet'!$B$14,Paramètres!$A$1:$I$89,7,0))</f>
        <v>0</v>
      </c>
      <c r="DY23" s="16">
        <f>IF(ISNA(VLOOKUP(A23,'Données projet'!$A$175:$I$195,6,0)),0%,VLOOKUP(A23,'Données projet'!$A$175:$I$195,6,0)*VLOOKUP('Données projet'!$B$14,Paramètres!$A$1:$I$89,7,0))</f>
        <v>5.16E-2</v>
      </c>
      <c r="DZ23" s="16">
        <f>IF(ISNA(VLOOKUP(A23,'Données projet'!$A$175:$I$195,7,0)),0%,VLOOKUP(A23,'Données projet'!$A$175:$I$195,7,0))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1.7496661933398556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1.7496661933398556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projet'!$A$201:$I$221,2,0)</f>
        <v>#N/A</v>
      </c>
      <c r="EH23" s="12" t="e">
        <f>VLOOKUP(A23,'Données projet'!$A$201:$I$221,9,0)</f>
        <v>#N/A</v>
      </c>
      <c r="EI23" s="12">
        <f t="array" ref="EI23">INDEX(EH:EH,MIN(IF(ISNUMBER(EH23:EH219),ROW(EH23:EH219),"")))</f>
        <v>3.4425641025641025</v>
      </c>
      <c r="EJ23" s="12">
        <f>IF('Données projet'!$A$202&gt;35,EJ22+EI23-ER22,IF(A23&lt;'Données projet'!$A$202,$EG$205^A23,IF(A23='Données projet'!$A$202,'Données projet'!$B$202,EJ22+EI23-ER22)))</f>
        <v>22.012474220583886</v>
      </c>
      <c r="EK23" s="17">
        <f>EJ23*VLOOKUP('Données projet'!$B$15,Paramètres!$A$1:$I$89,3,0)*VLOOKUP('Données projet'!$B$15,Paramètres!$A$1:$I$89,5,0)</f>
        <v>10.301837935233259</v>
      </c>
      <c r="EL23" s="13">
        <f t="shared" si="75"/>
        <v>3.6187910342764393</v>
      </c>
      <c r="EM23" s="20">
        <f t="shared" si="19"/>
        <v>24.245095455229389</v>
      </c>
      <c r="EN23" s="59">
        <f t="shared" si="20"/>
        <v>317.57842878856269</v>
      </c>
      <c r="EO23" s="59">
        <f ca="1">AVERAGE(OFFSET($EN$3,0,0,'Données projet'!$E$15+1,1))-AVERAGE(OFFSET($H$3,0,0,'Données projet'!$E$15+1,1))</f>
        <v>147.64256291235483</v>
      </c>
      <c r="EP23" s="59">
        <f t="shared" si="76"/>
        <v>70.859031694091868</v>
      </c>
      <c r="EQ23" s="15">
        <f>IF(ISNA(VLOOKUP(A23,'Données projet'!$A$201:$I$221,3,0)),0,VLOOKUP(A23,'Données projet'!$A$201:$I$221,3,0))</f>
        <v>0</v>
      </c>
      <c r="ER23" s="15">
        <f>IF(ISNA(VLOOKUP(A23,'Données projet'!$A$201:$I$221,4,0)),0,VLOOKUP(A23,'Données projet'!$A$201:$I$221,4,0))</f>
        <v>0</v>
      </c>
      <c r="ES23" s="16">
        <f>IF(ISNA(VLOOKUP(A23,'Données projet'!$A$201:$I$221,5,0)),0%,VLOOKUP(A23,'Données projet'!$A$201:$I$221,5,0)*VLOOKUP('Données projet'!$B$15,Paramètres!$A$1:$I$89,7,0))</f>
        <v>0</v>
      </c>
      <c r="ET23" s="16">
        <f>IF(ISNA(VLOOKUP(A23,'Données projet'!$A$201:$I$221,6,0)),0%,VLOOKUP(A23,'Données projet'!$A$201:$I$221,6,0)*VLOOKUP('Données projet'!$B$15,Paramètres!$A$1:$I$89,7,0))</f>
        <v>0</v>
      </c>
      <c r="EU23" s="16">
        <f>IF(ISNA(VLOOKUP(A23,'Données projet'!$A$201:$I$221,7,0)),0%,VLOOKUP(A23,'Données projet'!$A$201:$I$221,7,0))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>
        <f>VLOOKUP(A23,'Données projet'!$A$227:$I$247,2,0)</f>
        <v>87</v>
      </c>
      <c r="FC23" s="12">
        <f>VLOOKUP(A23,'Données projet'!$A$227:$I$247,9,0)</f>
        <v>8</v>
      </c>
      <c r="FD23" s="12">
        <f t="array" ref="FD23">INDEX(FC:FC,MIN(IF(ISNUMBER(FC23:FC219),ROW(FC23:FC219),"")))</f>
        <v>8</v>
      </c>
      <c r="FE23" s="12">
        <f>IF('Données projet'!$A$228&gt;35,FE22+FD23-FM22,IF(A23&lt;'Données projet'!$A$228,$FB$205^A23,IF(A23='Données projet'!$A$228,'Données projet'!$B$228,FE22+FD23-FM22)))</f>
        <v>87</v>
      </c>
      <c r="FF23" s="17">
        <f>FE23*VLOOKUP('Données projet'!$B$16,Paramètres!$A$1:$I$89,3,0)*VLOOKUP('Données projet'!$B$16,Paramètres!$A$1:$I$89,5,0)</f>
        <v>90.932400000000015</v>
      </c>
      <c r="FG23" s="13">
        <f t="shared" si="77"/>
        <v>24.78996235436804</v>
      </c>
      <c r="FH23" s="20">
        <f t="shared" si="22"/>
        <v>201.54978110052437</v>
      </c>
      <c r="FI23" s="59">
        <f t="shared" si="23"/>
        <v>494.88311443385771</v>
      </c>
      <c r="FJ23" s="59">
        <f ca="1">AVERAGE(OFFSET($FI$3,0,0,'Données projet'!$E$16+1,1))-AVERAGE(OFFSET($H$3,0,0,'Données projet'!$E$16+1,1))</f>
        <v>259.03906550253788</v>
      </c>
      <c r="FK23" s="59">
        <f t="shared" si="78"/>
        <v>235.54542903570831</v>
      </c>
      <c r="FL23" s="15">
        <f>IF(ISNA(VLOOKUP(A23,'Données projet'!$A$227:$I$247,3,0)),0,VLOOKUP(A23,'Données projet'!$A$227:$I$247,3,0))</f>
        <v>1</v>
      </c>
      <c r="FM23" s="15" t="str">
        <f>IF(ISNA(VLOOKUP(A23,'Données projet'!$A$227:$I$247,4,0)),0,VLOOKUP(A23,'Données projet'!$A$227:$I$247,4,0))</f>
        <v>29</v>
      </c>
      <c r="FN23" s="16">
        <f>IF(ISNA(VLOOKUP(A23,'Données projet'!$A$227:$I$247,5,0)),0%,VLOOKUP(A23,'Données projet'!$A$227:$I$247,5,0)*VLOOKUP('Données projet'!$B$16,Paramètres!$A$1:$I$89,7,0))</f>
        <v>0</v>
      </c>
      <c r="FO23" s="16">
        <f>IF(ISNA(VLOOKUP(A23,'Données projet'!$A$227:$I$247,6,0)),0%,VLOOKUP(A23,'Données projet'!$A$227:$I$247,6,0)*VLOOKUP('Données projet'!$B$16,Paramètres!$A$1:$I$89,7,0))</f>
        <v>0</v>
      </c>
      <c r="FP23" s="16">
        <f>IF(ISNA(VLOOKUP(A23,'Données projet'!$A$227:$I$247,7,0)),0%,VLOOKUP(A23,'Données projet'!$A$227:$I$247,7,0))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>
        <f>VLOOKUP(A23,'Données projet'!$A$253:$I$273,2,0)</f>
        <v>80</v>
      </c>
      <c r="FX23" s="12">
        <f>VLOOKUP(A23,'Données projet'!$A$253:$I$273,9,0)</f>
        <v>11.6</v>
      </c>
      <c r="FY23" s="12">
        <f t="array" ref="FY23">INDEX(FX:FX,MIN(IF(ISNUMBER(FX23:FX219),ROW(FX23:FX219),"")))</f>
        <v>11.6</v>
      </c>
      <c r="FZ23" s="12">
        <f>IF('Données projet'!$A$254&gt;35,FZ22+FY23-GH22,IF(A23&lt;'Données projet'!$A$254,$FW$205^A23,IF(A23='Données projet'!$A$254,'Données projet'!$B$254,FZ22+FY23-GH22)))</f>
        <v>80</v>
      </c>
      <c r="GA23" s="17">
        <f>FZ23*VLOOKUP('Données projet'!$B$17,Paramètres!$A$1:$I$89,3,0)*VLOOKUP('Données projet'!$B$17,Paramètres!$A$1:$I$89,5,0)</f>
        <v>69.888000000000005</v>
      </c>
      <c r="GB23" s="13">
        <f t="shared" si="79"/>
        <v>19.645641432461961</v>
      </c>
      <c r="GC23" s="20">
        <f t="shared" si="25"/>
        <v>155.93775882820458</v>
      </c>
      <c r="GD23" s="59">
        <f t="shared" si="26"/>
        <v>449.27109216153792</v>
      </c>
      <c r="GE23" s="59">
        <f ca="1">AVERAGE(OFFSET($GD$3,0,0,'Données projet'!$E$17+1,1))-AVERAGE(OFFSET($H$3,0,0,'Données projet'!$E$17+1,1))</f>
        <v>245.1983232777614</v>
      </c>
      <c r="GF23" s="59">
        <f t="shared" si="80"/>
        <v>242.34010522344573</v>
      </c>
      <c r="GG23" s="15">
        <f>IF(ISNA(VLOOKUP(A23,'Données projet'!$A$253:$I$273,3,0)),0,VLOOKUP(A23,'Données projet'!$A$253:$I$273,3,0))</f>
        <v>2</v>
      </c>
      <c r="GH23" s="15">
        <f>IF(ISNA(VLOOKUP(A23,'Données projet'!$A$253:$I$273,4,0)),0,VLOOKUP(A23,'Données projet'!$A$253:$I$273,4,0))</f>
        <v>28</v>
      </c>
      <c r="GI23" s="16">
        <f>IF(ISNA(VLOOKUP(A23,'Données projet'!$A$253:$I$273,5,0)),0%,VLOOKUP(A23,'Données projet'!$A$253:$I$273,5,0)*VLOOKUP('Données projet'!$B$17,Paramètres!$A$1:$I$89,7,0))</f>
        <v>0</v>
      </c>
      <c r="GJ23" s="16">
        <f>IF(ISNA(VLOOKUP(A23,'Données projet'!$A$253:$I$273,6,0)),0%,VLOOKUP(A23,'Données projet'!$A$253:$I$273,6,0)*VLOOKUP('Données projet'!$B$17,Paramètres!$A$1:$I$89,7,0))</f>
        <v>0</v>
      </c>
      <c r="GK23" s="16">
        <f>IF(ISNA(VLOOKUP(A23,'Données projet'!$A$253:$I$273,7,0)),0%,VLOOKUP(A23,'Données projet'!$A$253:$I$273,7,0))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>
        <f>VLOOKUP(A23,'Données projet'!$A$279:$I$299,2,0)</f>
        <v>164</v>
      </c>
      <c r="GS23" s="12">
        <f>VLOOKUP(A23,'Données projet'!$A$279:$I$299,9,0)</f>
        <v>20.399999999999999</v>
      </c>
      <c r="GT23" s="12">
        <f t="array" ref="GT23">INDEX(GS:GS,MIN(IF(ISNUMBER(GS23:GS219),ROW(GS23:GS219),"")))</f>
        <v>20.399999999999999</v>
      </c>
      <c r="GU23" s="12">
        <f>IF('Données projet'!$A$280&gt;35,GU22+GT23-HC22,IF(A23&lt;'Données projet'!$A$280,$GR$205^A23,IF(A23='Données projet'!$A$280,'Données projet'!$B$280,GU22+GT23-HC22)))</f>
        <v>164.00000000000003</v>
      </c>
      <c r="GV23" s="17">
        <f>GU23*VLOOKUP('Données projet'!$B$18,Paramètres!$A$1:$I$89,3,0)*VLOOKUP('Données projet'!$B$18,Paramètres!$A$1:$I$89,5,0)</f>
        <v>66.092000000000013</v>
      </c>
      <c r="GW23" s="13">
        <f t="shared" si="81"/>
        <v>18.69974256620976</v>
      </c>
      <c r="GX23" s="20">
        <f t="shared" si="28"/>
        <v>147.6789516361487</v>
      </c>
      <c r="GY23" s="59">
        <f t="shared" si="29"/>
        <v>441.01228496948204</v>
      </c>
      <c r="GZ23" s="59">
        <f ca="1">AVERAGE(OFFSET($GY$3,0,0,'Données projet'!$E$18+1,1))-AVERAGE(OFFSET($H$3,0,0,'Données projet'!$E$18+1,1))</f>
        <v>324.36162935850876</v>
      </c>
      <c r="HA23" s="59">
        <f t="shared" si="82"/>
        <v>265.23571072429735</v>
      </c>
      <c r="HB23" s="15">
        <f>IF(ISNA(VLOOKUP(A23,'Données projet'!$A$279:$I$299,3,0)),0,VLOOKUP(A23,'Données projet'!$A$279:$I$299,3,0))</f>
        <v>1</v>
      </c>
      <c r="HC23" s="15">
        <f>IF(ISNA(VLOOKUP(A23,'Données projet'!$A$279:$I$299,4,0)),0,VLOOKUP(A23,'Données projet'!$A$279:$I$299,4,0))</f>
        <v>32</v>
      </c>
      <c r="HD23" s="16">
        <f>IF(ISNA(VLOOKUP(A23,'Données projet'!$A$279:$I$299,5,0)),0%,VLOOKUP(A23,'Données projet'!$A$279:$I$299,5,0)*VLOOKUP('Données projet'!$B$18,Paramètres!$A$1:$I$89,7,0))</f>
        <v>0</v>
      </c>
      <c r="HE23" s="16">
        <f>IF(ISNA(VLOOKUP(A23,'Données projet'!$A$279:$I$299,6,0)),0%,VLOOKUP(A23,'Données projet'!$A$279:$I$299,6,0)*VLOOKUP('Données projet'!$B$18,Paramètres!$A$1:$I$89,7,0))</f>
        <v>2.1153846153846155E-2</v>
      </c>
      <c r="HF23" s="16">
        <f>IF(ISNA(VLOOKUP($A23,'Données projet'!$A$279:$I$299,7,0)),0%,VLOOKUP($A23,'Données projet'!$A$279:$I$299,7,0))</f>
        <v>0.48076923076923078</v>
      </c>
      <c r="HG23" s="21">
        <f>EXP(-LN(2)/35)*HG22+(1-EXP(-LN(2)/35))/(LN(2)/35)*HC23*HD23*VLOOKUP('Données projet'!$B$18,Paramètres!$A$1:$I$89,3,0)*0.475*44/12</f>
        <v>0</v>
      </c>
      <c r="HH23" s="21">
        <f>EXP(-LN(2)/25)*HH22+(1-EXP(-LN(2)/25))/(LN(2)/25)*Calculateur!HC23*Calculateur!HE23*VLOOKUP('Données projet'!$B$18,Paramètres!$A$1:$I$89,3,0)*0.475*44/12</f>
        <v>0.36046189728781303</v>
      </c>
      <c r="HI23" s="21">
        <f>EXP(-LN(2)/2)*HI22+(1-EXP(-LN(2)/2))/(LN(2)/2)*HC23*HF23*VLOOKUP('Données projet'!$B$18,Paramètres!$A$1:$I$89,3,0)*0.475*44/12</f>
        <v>7.0198402446640884</v>
      </c>
      <c r="HJ23" s="22">
        <f t="shared" si="30"/>
        <v>7.3803021419519013</v>
      </c>
      <c r="HK23" s="74">
        <f>('Scénario référence'!$F$8+'Scénario référence'!$F$9+'Scénario référence'!$B$17+'Scénario référence'!$B$9+'Scénario référence'!$B$10)*70+IF((45+25*(1-EXP(-0.0175*$A23)))&lt;70,'Scénario référence'!$B$16*(45+25*(1-EXP(-0.0175*$A23))),70*'Scénario référence'!$B$16)+IF((32+38*(1-EXP(-0.0175*$A23)))&lt;70,'Scénario référence'!$B$18*(32+38*(1-EXP(-0.0175*$A23))),70*'Scénario référence'!$B$18)</f>
        <v>70</v>
      </c>
      <c r="HL23" s="12">
        <f>IF($A23&gt;30,10,('Scénario référence'!$B$16+'Scénario référence'!$B$17+'Scénario référence'!$B$18+'Scénario référence'!$B$9+'Scénario référence'!$B$10)*$A23*10/30+('Scénario référence'!$F$8+'Scénario référence'!$F$9)*10)</f>
        <v>10</v>
      </c>
      <c r="HM23" s="12">
        <f>VLOOKUP($A23,'Données projet'!$A$304:$I$324,2,0)</f>
        <v>254.68589743589735</v>
      </c>
      <c r="HN23" s="12">
        <f>VLOOKUP($A23,'Données projet'!$A$304:$I$324,9,0)</f>
        <v>19.05589743589735</v>
      </c>
      <c r="HO23" s="12">
        <f t="array" ref="HO23">INDEX(HN:HN,MIN(IF(ISNUMBER(HN23:HN219),ROW(HN23:HN219),"")))</f>
        <v>19.05589743589735</v>
      </c>
      <c r="HP23" s="12">
        <f>IF('Données projet'!$A$304&gt;35,HP22+HO23-HX22,IF($A23&lt;'Données projet'!$A$304,$CQ$205^$A23,IF($A23='Données projet'!$A$304,'Données projet'!$B$304,HP22+HO23-HX22)))</f>
        <v>254.68589743589735</v>
      </c>
      <c r="HQ23" s="17">
        <f>HP23*VLOOKUP('Données projet'!$B$19,Paramètres!$A$1:$I$89,3,0)*VLOOKUP('Données projet'!$B$19,Paramètres!$A$1:$I$89,5,0)</f>
        <v>129.52305999999996</v>
      </c>
      <c r="HR23" s="13">
        <f t="shared" si="83"/>
        <v>33.886128937839644</v>
      </c>
      <c r="HS23" s="14">
        <f t="shared" si="31"/>
        <v>284.60433740007062</v>
      </c>
      <c r="HT23" s="59">
        <f t="shared" si="32"/>
        <v>577.93767073340393</v>
      </c>
      <c r="HU23" s="59">
        <f ca="1">AVERAGE(OFFSET(HT$3,0,0,'Données projet'!$E$19+1,1))-AVERAGE(OFFSET($H$3,0,0,'Données projet'!$E$19+1,1))</f>
        <v>91.60721429656013</v>
      </c>
      <c r="HV23" s="59">
        <f t="shared" si="84"/>
        <v>258.94957804210856</v>
      </c>
      <c r="HW23" s="15" t="str">
        <f>IF(ISNA(VLOOKUP($A23,'Données projet'!$A$304:$I$324,3,0)),0,VLOOKUP($A23,'Données projet'!$A$304:$I$324,3,0))</f>
        <v>CR</v>
      </c>
      <c r="HX23" s="15">
        <f>IF(ISNA(VLOOKUP($A23,'Données projet'!$A$304:$I$324,4,0)),0,VLOOKUP($A23,'Données projet'!$A$304:$I$324,4,0))</f>
        <v>254.68589743589735</v>
      </c>
      <c r="HY23" s="16">
        <f>IF(ISNA(VLOOKUP($A23,'Données projet'!$A$304:$I$324,5,0)),0%,VLOOKUP($A23,'Données projet'!$A$304:$I$324,5,0)*VLOOKUP('Données projet'!$B$19,Paramètres!$A$1:$I$89,7,0))</f>
        <v>0.42</v>
      </c>
      <c r="HZ23" s="16">
        <f>IF(ISNA(VLOOKUP($A23,'Données projet'!$A$304:$I$324,6,0)),0%,VLOOKUP($A23,'Données projet'!$A$304:$I$324,6,0)*VLOOKUP('Données projet'!$B$19,Paramètres!$A$1:$I$89,7,0))</f>
        <v>0.09</v>
      </c>
      <c r="IA23" s="16">
        <f>IF(ISNA(VLOOKUP($A23,'Données projet'!$A$304:$I$324,7,0)),0%,VLOOKUP($A23,'Données projet'!$A$304:$I$324,7,0))</f>
        <v>0.15</v>
      </c>
      <c r="IB23" s="21">
        <f>EXP(-LN(2)/35)*IB22+(1-EXP(-LN(2)/35))/(LN(2)/35)*HX23*HY23*VLOOKUP('Données projet'!$B$19,Paramètres!$A$1:$I$89,3,0)*0.475*44/12</f>
        <v>60.137240644516993</v>
      </c>
      <c r="IC23" s="21">
        <f>EXP(-LN(2)/25)*IC22+(1-EXP(-LN(2)/25))/(LN(2)/25)*Calculateur!HX23*Calculateur!HZ23*VLOOKUP('Données projet'!$B$19,Paramètres!$A$1:$I$89,3,0)*0.475*44/12</f>
        <v>12.835812303003088</v>
      </c>
      <c r="ID23" s="21">
        <f>EXP(-LN(2)/2)*ID22+(1-EXP(-LN(2)/2))/(LN(2)/2)*HX23*IA23*VLOOKUP('Données projet'!$B$19,Paramètres!$A$1:$I$89,3,0)*0.475*44/12</f>
        <v>18.331273975807282</v>
      </c>
      <c r="IE23" s="22">
        <f t="shared" si="33"/>
        <v>91.304326923327352</v>
      </c>
      <c r="IF23" s="74">
        <f>('Scénario référence'!$F$8+'Scénario référence'!$F$9+'Scénario référence'!$B$17+'Scénario référence'!$B$9+'Scénario référence'!$B$10)*70+IF((45+25*(1-EXP(-0.0175*$A23)))&lt;70,'Scénario référence'!$B$16*(45+25*(1-EXP(-0.0175*$A23))),70*'Scénario référence'!$B$16)+IF((32+38*(1-EXP(-0.0175*$A23)))&lt;70,'Scénario référence'!$B$18*(32+38*(1-EXP(-0.0175*$A23))),70*'Scénario référence'!$B$18)</f>
        <v>70</v>
      </c>
      <c r="IG23" s="12">
        <f>IF($A23&gt;30,10,('Scénario référence'!$B$16+'Scénario référence'!$B$17+'Scénario référence'!$B$18+'Scénario référence'!$B$9+'Scénario référence'!$B$10)*$A23*10/30+('Scénario référence'!$F$8+'Scénario référence'!$F$9)*10)</f>
        <v>10</v>
      </c>
      <c r="IH23" s="12">
        <f>VLOOKUP($A23,'Données projet'!$A$330:$I$350,2,0)</f>
        <v>254.68589743589735</v>
      </c>
      <c r="II23" s="12">
        <f>VLOOKUP($A23,'Données projet'!$A$330:$I$350,9,0)</f>
        <v>19.05589743589735</v>
      </c>
      <c r="IJ23" s="12">
        <f t="array" ref="IJ23">INDEX(II:II,MIN(IF(ISNUMBER(II23:II219),ROW(II23:II219),"")))</f>
        <v>19.05589743589735</v>
      </c>
      <c r="IK23" s="12">
        <f>IF('Données projet'!$A$330&gt;35,IK22+IJ23-IS22,IF($A23&lt;'Données projet'!$A$330,$CQ$205^$A23,IF($A23='Données projet'!$A$330,'Données projet'!$B$330,IK22+IJ23-IS22)))</f>
        <v>254.68589743589735</v>
      </c>
      <c r="IL23" s="17">
        <f>IK23*VLOOKUP('Données projet'!$B$20,Paramètres!$A$1:$I$89,3,0)*VLOOKUP('Données projet'!$B$20,Paramètres!$A$1:$I$89,5,0)</f>
        <v>129.52305999999996</v>
      </c>
      <c r="IM23" s="13">
        <f t="shared" si="85"/>
        <v>33.886128937839644</v>
      </c>
      <c r="IN23" s="20">
        <f t="shared" si="86"/>
        <v>284.60433740007062</v>
      </c>
      <c r="IO23" s="59">
        <f t="shared" si="87"/>
        <v>577.93767073340393</v>
      </c>
      <c r="IP23" s="59">
        <f ca="1">AVERAGE(OFFSET(IO$3,0,0,'Données projet'!$E$20+1,1))-AVERAGE(OFFSET($H$3,0,0,'Données projet'!$E$20+1,1))</f>
        <v>91.60721429656013</v>
      </c>
      <c r="IQ23" s="59">
        <f t="shared" si="88"/>
        <v>258.94957804210856</v>
      </c>
      <c r="IR23" s="15" t="str">
        <f>IF(ISNA(VLOOKUP($A23,'Données projet'!$A$330:$I$350,3,0)),0,VLOOKUP($A23,'Données projet'!$A$330:$I$350,3,0))</f>
        <v>CR</v>
      </c>
      <c r="IS23" s="15">
        <f>IF(ISNA(VLOOKUP($A23,'Données projet'!$A$330:$I$350,4,0)),0,VLOOKUP($A23,'Données projet'!$A$330:$I$350,4,0))</f>
        <v>254.68589743589735</v>
      </c>
      <c r="IT23" s="16">
        <f>IF(ISNA(VLOOKUP($A23,'Données projet'!$A$330:$I$350,5,0)),0%,VLOOKUP($A23,'Données projet'!$A$330:$I$350,5,0)*VLOOKUP('Données projet'!$B$20,Paramètres!$A$1:$I$89,7,0))</f>
        <v>0.42</v>
      </c>
      <c r="IU23" s="16">
        <f>IF(ISNA(VLOOKUP($A23,'Données projet'!$A$330:$I$350,6,0)),0%,VLOOKUP($A23,'Données projet'!$A$330:$I$350,6,0)*VLOOKUP('Données projet'!$B$20,Paramètres!$A$1:$I$89,7,0))</f>
        <v>0.09</v>
      </c>
      <c r="IV23" s="16">
        <f>IF(ISNA(VLOOKUP($A23,'Données projet'!$A$330:$I$350,7,0)),0%,VLOOKUP($A23,'Données projet'!$A$330:$I$350,7,0))</f>
        <v>0.15</v>
      </c>
      <c r="IW23" s="21">
        <f>EXP(-LN(2)/35)*IW22+(1-EXP(-LN(2)/35))/(LN(2)/35)*IS23*IT23*VLOOKUP('Données projet'!$B$20,Paramètres!$A$1:$I$89,3,0)*0.475*44/12</f>
        <v>60.137240644516993</v>
      </c>
      <c r="IX23" s="21">
        <f>EXP(-LN(2)/25)*IX22+(1-EXP(-LN(2)/25))/(LN(2)/25)*Calculateur!IS23*Calculateur!IU23*VLOOKUP('Données projet'!$B$20,Paramètres!$A$1:$I$89,3,0)*0.475*44/12</f>
        <v>12.835812303003088</v>
      </c>
      <c r="IY23" s="21">
        <f>EXP(-LN(2)/2)*IY22+(1-EXP(-LN(2)/2))/(LN(2)/2)*IS23*IV23*VLOOKUP('Données projet'!$B$20,Paramètres!$A$1:$I$89,3,0)*0.475*44/12</f>
        <v>18.331273975807282</v>
      </c>
      <c r="IZ23" s="22">
        <f t="shared" si="89"/>
        <v>91.304326923327352</v>
      </c>
      <c r="JA23" s="74">
        <f>('Scénario référence'!$F$8+'Scénario référence'!$F$9+'Scénario référence'!$B$17+'Scénario référence'!$B$9+'Scénario référence'!$B$10)*70+IF((45+25*(1-EXP(-0.0175*$A23)))&lt;70,'Scénario référence'!$B$16*(45+25*(1-EXP(-0.0175*$A23))),70*'Scénario référence'!$B$16)+IF((32+38*(1-EXP(-0.0175*$A23)))&lt;70,'Scénario référence'!$B$18*(32+38*(1-EXP(-0.0175*$A23))),70*'Scénario référence'!$B$18)</f>
        <v>70</v>
      </c>
      <c r="JB23" s="12">
        <f>IF($A23&gt;30,10,('Scénario référence'!$B$16+'Scénario référence'!$B$17+'Scénario référence'!$B$18+'Scénario référence'!$B$9+'Scénario référence'!$B$10)*$A23*10/30+('Scénario référence'!$F$8+'Scénario référence'!$F$9)*10)</f>
        <v>10</v>
      </c>
      <c r="JC23" s="12" t="e">
        <f>VLOOKUP($A23,'Données projet'!$A$356:$I$376,2,0)</f>
        <v>#N/A</v>
      </c>
      <c r="JD23" s="12" t="e">
        <f>VLOOKUP($A23,'Données projet'!$A$356:$I$376,9,0)</f>
        <v>#N/A</v>
      </c>
      <c r="JE23" s="12">
        <f t="array" ref="JE23">INDEX(JD:JD,MIN(IF(ISNUMBER(JD23:JD219),ROW(JD23:JD219),"")))</f>
        <v>3.04</v>
      </c>
      <c r="JF23" s="12">
        <f>IF('Données projet'!$A$356&gt;35,JF22+JE23-JN22,IF($A23&lt;'Données projet'!$A$356,$CQ$205^$A23,IF($A23='Données projet'!$A$356,'Données projet'!$B$356,JF22+JE23-JN22)))</f>
        <v>60.79999999999999</v>
      </c>
      <c r="JG23" s="17">
        <f>JF23*VLOOKUP('Données projet'!$B$21,Paramètres!$A$1:$I$89,3,0)*VLOOKUP('Données projet'!$B$21,Paramètres!$A$1:$I$89,5,0)</f>
        <v>49.320959999999992</v>
      </c>
      <c r="JH23" s="13">
        <f t="shared" si="90"/>
        <v>14.438255307749209</v>
      </c>
      <c r="JI23" s="20">
        <f t="shared" si="91"/>
        <v>111.04729999432986</v>
      </c>
      <c r="JJ23" s="59">
        <f t="shared" si="92"/>
        <v>404.38063332766319</v>
      </c>
      <c r="JK23" s="59">
        <f ca="1">AVERAGE(OFFSET($JJ$3,0,0,'Données projet'!$E$22+1,1))-AVERAGE(OFFSET($H$3,0,0,'Données projet'!$E$22+1,1))</f>
        <v>353.35574633294613</v>
      </c>
      <c r="JL23" s="59">
        <f t="shared" si="93"/>
        <v>170.36796666474726</v>
      </c>
      <c r="JM23" s="15">
        <f>IF(ISNA(VLOOKUP($A23,'Données projet'!$A$356:$I$376,3,0)),0,VLOOKUP($A23,'Données projet'!$A$356:$I$376,3,0))</f>
        <v>0</v>
      </c>
      <c r="JN23" s="15">
        <f>IF(ISNA(VLOOKUP($A23,'Données projet'!$A$356:$I$376,4,0)),0,VLOOKUP($A23,'Données projet'!$A$356:$I$376,4,0))</f>
        <v>0</v>
      </c>
      <c r="JO23" s="16">
        <f>IF(ISNA(VLOOKUP($A23,'Données projet'!$A$356:$I$376,5,0)),0%,VLOOKUP($A23,'Données projet'!$A$356:$I$376,5,0)*VLOOKUP('Données projet'!$B$21,Paramètres!$A$1:$I$89,7,0))</f>
        <v>0</v>
      </c>
      <c r="JP23" s="16">
        <f>IF(ISNA(VLOOKUP($A23,'Données projet'!$A$356:$I$376,6,0)),0%,VLOOKUP($A23,'Données projet'!$A$356:$I$376,6,0)*VLOOKUP('Données projet'!$B$21,Paramètres!$A$1:$I$89,7,0))</f>
        <v>0</v>
      </c>
      <c r="JQ23" s="16">
        <f>IF(ISNA(VLOOKUP($A23,'Données projet'!$A$356:$I$376,7,0)),0%,VLOOKUP($A23,'Données projet'!$A$356:$I$376,7,0))</f>
        <v>0</v>
      </c>
      <c r="JR23" s="21">
        <f>EXP(-LN(2)/35)*JR22+(1-EXP(-LN(2)/35))/(LN(2)/35)*JN23*JO23*VLOOKUP('Données projet'!$B$21,Paramètres!$A$1:$I$89,3,0)*0.475*44/12</f>
        <v>0</v>
      </c>
      <c r="JS23" s="21">
        <f>EXP(-LN(2)/25)*JS22+(1-EXP(-LN(2)/25))/(LN(2)/25)*Calculateur!JN23*Calculateur!JP23*VLOOKUP('Données projet'!$B$21,Paramètres!$A$1:$I$89,3,0)*0.475*44/12</f>
        <v>0</v>
      </c>
      <c r="JT23" s="21">
        <f>EXP(-LN(2)/2)*JT22+(1-EXP(-LN(2)/2))/(LN(2)/2)*JN23*JQ23*VLOOKUP('Données projet'!$B$21,Paramètres!$A$1:$I$89,3,0)*0.475*44/12</f>
        <v>0</v>
      </c>
      <c r="JU23" s="18">
        <f t="shared" si="39"/>
        <v>0</v>
      </c>
      <c r="JV23" s="74">
        <f>('Scénario référence'!$F$8+'Scénario référence'!$F$9+'Scénario référence'!$B$17+'Scénario référence'!$B$9+'Scénario référence'!$B$10)*70+IF((45+25*(1-EXP(-0.0175*$A23)))&lt;70,'Scénario référence'!$B$16*(45+25*(1-EXP(-0.0175*$A23))),70*'Scénario référence'!$B$16)+IF((32+38*(1-EXP(-0.0175*$A23)))&lt;70,'Scénario référence'!$B$18*(32+38*(1-EXP(-0.0175*$A23))),70*'Scénario référence'!$B$18)</f>
        <v>70</v>
      </c>
      <c r="JW23" s="12">
        <f>IF($A23&gt;30,10,('Scénario référence'!$B$16+'Scénario référence'!$B$17+'Scénario référence'!$B$18+'Scénario référence'!$B$9+'Scénario référence'!$B$10)*$A23*10/30+('Scénario référence'!$F$8+'Scénario référence'!$F$9)*10)</f>
        <v>10</v>
      </c>
      <c r="JX23" s="12" t="e">
        <f>VLOOKUP($A23,'Données projet'!$A$382:$I$402,2,0)</f>
        <v>#N/A</v>
      </c>
      <c r="JY23" s="12" t="e">
        <f>VLOOKUP($A23,'Données projet'!$A$382:$I$402,9,0)</f>
        <v>#N/A</v>
      </c>
      <c r="JZ23" s="12">
        <f t="array" ref="JZ23">INDEX(JY:JY,MIN(IF(ISNUMBER(JY23:JY219),ROW(JY23:JY219),"")))</f>
        <v>4.0628205128205126</v>
      </c>
      <c r="KA23" s="12">
        <f>IF('Données projet'!$A$382&gt;35,KA22+JZ23-KI22,IF($A23&lt;'Données projet'!$A$382,$CQ$205^$A23,IF($A23='Données projet'!$A$382,'Données projet'!$B$382,KA22+JZ23-KI22)))</f>
        <v>81.256410256410248</v>
      </c>
      <c r="KB23" s="17">
        <f>KA23*VLOOKUP('Données projet'!$B$22,Paramètres!$A$1:$I$89,3,0)*VLOOKUP('Données projet'!$B$22,Paramètres!$A$1:$I$89,5,0)</f>
        <v>54.506799999999991</v>
      </c>
      <c r="KC23" s="13">
        <f t="shared" si="94"/>
        <v>15.771750243552468</v>
      </c>
      <c r="KD23" s="20">
        <f t="shared" si="95"/>
        <v>122.40180834085385</v>
      </c>
      <c r="KE23" s="59">
        <f t="shared" si="96"/>
        <v>415.73514167418716</v>
      </c>
      <c r="KF23" s="59">
        <f ca="1">AVERAGE(OFFSET($KE$3,0,0,'Données projet'!$E$22+1,1))-AVERAGE(OFFSET($H$3,0,0,'Données projet'!$E$22+1,1))</f>
        <v>193.91714772848269</v>
      </c>
      <c r="KG23" s="59">
        <f t="shared" si="97"/>
        <v>159.20429420478047</v>
      </c>
      <c r="KH23" s="15">
        <f>IF(ISNA(VLOOKUP($A23,'Données projet'!$A$382:$I$402,3,0)),0,VLOOKUP($A23,'Données projet'!$A$382:$I$402,3,0))</f>
        <v>0</v>
      </c>
      <c r="KI23" s="15">
        <f>IF(ISNA(VLOOKUP($A23,'Données projet'!$A$382:$I$402,4,0)),0,VLOOKUP($A23,'Données projet'!$A$382:$I$402,4,0))</f>
        <v>0</v>
      </c>
      <c r="KJ23" s="16">
        <f>IF(ISNA(VLOOKUP($A23,'Données projet'!$A$382:$I$402,5,0)),0%,VLOOKUP($A23,'Données projet'!$A$382:$I$402,5,0)*VLOOKUP('Données projet'!$B$22,Paramètres!$A$1:$I$89,7,0))</f>
        <v>0</v>
      </c>
      <c r="KK23" s="16">
        <f>IF(ISNA(VLOOKUP($A23,'Données projet'!$A$382:$I$402,6,0)),0%,VLOOKUP($A23,'Données projet'!$A$382:$I$402,6,0)*VLOOKUP('Données projet'!$B$22,Paramètres!$A$1:$I$89,7,0))</f>
        <v>0</v>
      </c>
      <c r="KL23" s="16">
        <f>IF(ISNA(VLOOKUP($A23,'Données projet'!$A$382:$I$402,7,0)),0%,VLOOKUP($A23,'Données projet'!$A$382:$I$402,7,0))</f>
        <v>0</v>
      </c>
      <c r="KM23" s="21">
        <f>EXP(-LN(2)/35)*KM22+(1-EXP(-LN(2)/35))/(LN(2)/35)*KI23*KJ23*VLOOKUP('Données projet'!$B$22,Paramètres!$A$1:$I$89,3,0)*0.475*44/12</f>
        <v>0</v>
      </c>
      <c r="KN23" s="21">
        <f>EXP(-LN(2)/25)*KN22+(1-EXP(-LN(2)/25))/(LN(2)/25)*Calculateur!KI23*Calculateur!KK23*VLOOKUP('Données projet'!$B$22,Paramètres!$A$1:$I$89,3,0)*0.475*44/12</f>
        <v>0</v>
      </c>
      <c r="KO23" s="21">
        <f>EXP(-LN(2)/2)*KO22+(1-EXP(-LN(2)/2))/(LN(2)/2)*KI23*KL23*VLOOKUP('Données projet'!$B$22,Paramètres!$A$1:$I$89,3,0)*0.475*44/12</f>
        <v>0</v>
      </c>
      <c r="KP23" s="22">
        <f t="shared" si="98"/>
        <v>0</v>
      </c>
      <c r="KQ23" s="74">
        <f>('Scénario référence'!$F$8+'Scénario référence'!$F$9+'Scénario référence'!$B$17+'Scénario référence'!$B$9+'Scénario référence'!$B$10)*70+IF((45+25*(1-EXP(-0.0175*$A23)))&lt;70,'Scénario référence'!$B$16*(45+25*(1-EXP(-0.0175*$A23))),70*'Scénario référence'!$B$16)+IF((32+38*(1-EXP(-0.0175*$A23)))&lt;70,'Scénario référence'!$B$18*(32+38*(1-EXP(-0.0175*$A23))),70*'Scénario référence'!$B$18)</f>
        <v>70</v>
      </c>
      <c r="KR23" s="12">
        <f>IF($A23&gt;30,10,('Scénario référence'!$B$16+'Scénario référence'!$B$17+'Scénario référence'!$B$18+'Scénario référence'!$B$9+'Scénario référence'!$B$10)*$A23*10/30+('Scénario référence'!$F$8+'Scénario référence'!$F$9)*10)</f>
        <v>10</v>
      </c>
      <c r="KS23" s="12">
        <f>VLOOKUP($A23,'Données projet'!$A$408:$I$428,2,0)</f>
        <v>80</v>
      </c>
      <c r="KT23" s="12">
        <f>VLOOKUP($A23,'Données projet'!$A$408:$I$428,9,0)</f>
        <v>11.6</v>
      </c>
      <c r="KU23" s="12">
        <f t="array" ref="KU23">INDEX(KT:KT,MIN(IF(ISNUMBER(KT23:KT219),ROW(KT23:KT219),"")))</f>
        <v>11.6</v>
      </c>
      <c r="KV23" s="12">
        <f>IF('Données projet'!$A$408&gt;35,KV22+KU23-LD22,IF($A23&lt;'Données projet'!$A$408,$CQ$205^$A23,IF($A23='Données projet'!$A$408,'Données projet'!$B$408,KV22+KU23-LD22)))</f>
        <v>80.000000000000014</v>
      </c>
      <c r="KW23" s="17">
        <f>KV23*VLOOKUP('Données projet'!$B$23,Paramètres!$A$1:$I$89,3,0)*VLOOKUP('Données projet'!$B$23,Paramètres!$A$1:$I$89,5,0)</f>
        <v>69.888000000000019</v>
      </c>
      <c r="KX23" s="13">
        <f t="shared" si="99"/>
        <v>19.645641432461961</v>
      </c>
      <c r="KY23" s="14">
        <f t="shared" si="43"/>
        <v>155.93775882820461</v>
      </c>
      <c r="KZ23" s="59">
        <f t="shared" si="44"/>
        <v>449.27109216153792</v>
      </c>
      <c r="LA23" s="59">
        <f ca="1">AVERAGE(OFFSET($KZ$3,0,0,'Données projet'!$E$23+1,1))-AVERAGE(OFFSET($H$3,0,0,'Données projet'!$E$23+1,1))</f>
        <v>248.33596943633819</v>
      </c>
      <c r="LB23" s="59">
        <f t="shared" si="100"/>
        <v>242.34010522344573</v>
      </c>
      <c r="LC23" s="15">
        <f>IF(ISNA(VLOOKUP($A23,'Données projet'!$A$408:$I$428,3,0)),0,VLOOKUP($A23,'Données projet'!$A$408:$I$428,3,0))</f>
        <v>2</v>
      </c>
      <c r="LD23" s="15">
        <f>IF(ISNA(VLOOKUP($A23,'Données projet'!$A$408:$I$428,4,0)),0,VLOOKUP($A23,'Données projet'!$A$408:$I$428,4,0))</f>
        <v>28</v>
      </c>
      <c r="LE23" s="16">
        <f>IF(ISNA(VLOOKUP($A23,'Données projet'!$A$408:$I$428,5,0)),0%,VLOOKUP($A23,'Données projet'!$A$408:$I$428,5,0)*VLOOKUP('Données projet'!$B$23,Paramètres!$A$1:$I$89,7,0))</f>
        <v>0</v>
      </c>
      <c r="LF23" s="16">
        <f>IF(ISNA(VLOOKUP($A23,'Données projet'!$A$408:$I$428,6,0)),0%,VLOOKUP($A23,'Données projet'!$A$408:$I$428,6,0)*VLOOKUP('Données projet'!$B$23,Paramètres!$A$1:$I$89,7,0))</f>
        <v>0</v>
      </c>
      <c r="LG23" s="16">
        <f>IF(ISNA(VLOOKUP($A23,'Données projet'!$A$408:$I$428,7,0)),0%,VLOOKUP($A23,'Données projet'!$A$408:$I$428,7,0))</f>
        <v>0</v>
      </c>
      <c r="LH23" s="21">
        <f>EXP(-LN(2)/35)*LH22+(1-EXP(-LN(2)/35))/(LN(2)/35)*LD23*LE23*VLOOKUP('Données projet'!$B$23,Paramètres!$A$1:$I$89,3,0)*0.475*44/12</f>
        <v>0</v>
      </c>
      <c r="LI23" s="21">
        <f>EXP(-LN(2)/25)*LI22+(1-EXP(-LN(2)/25))/(LN(2)/25)*Calculateur!LD23*Calculateur!LF23*VLOOKUP('Données projet'!$B$23,Paramètres!$A$1:$I$89,3,0)*0.475*44/12</f>
        <v>0</v>
      </c>
      <c r="LJ23" s="21">
        <f>EXP(-LN(2)/2)*LJ22+(1-EXP(-LN(2)/2))/(LN(2)/2)*LD23*LG23*VLOOKUP('Données projet'!$B$23,Paramètres!$A$1:$I$89,3,0)*0.475*44/12</f>
        <v>0</v>
      </c>
      <c r="LK23" s="22">
        <f t="shared" si="101"/>
        <v>0</v>
      </c>
      <c r="LL23" s="74">
        <f>('Scénario référence'!$F$8+'Scénario référence'!$F$9+'Scénario référence'!$B$17+'Scénario référence'!$B$9+'Scénario référence'!$B$10)*70+IF((45+25*(1-EXP(-0.0175*$A23)))&lt;70,'Scénario référence'!$B$16*(45+25*(1-EXP(-0.0175*$A23))),70*'Scénario référence'!$B$16)+IF((32+38*(1-EXP(-0.0175*$A23)))&lt;70,'Scénario référence'!$B$18*(32+38*(1-EXP(-0.0175*$A23))),70*'Scénario référence'!$B$18)</f>
        <v>70</v>
      </c>
      <c r="LM23" s="12">
        <f>IF($A23&gt;30,10,('Scénario référence'!$B$16+'Scénario référence'!$B$17+'Scénario référence'!$B$18+'Scénario référence'!$B$9+'Scénario référence'!$B$10)*$A23*10/30+('Scénario référence'!$F$8+'Scénario référence'!$F$9)*10)</f>
        <v>10</v>
      </c>
      <c r="LN23" s="12" t="e">
        <f>VLOOKUP($A23,'Données projet'!$A$434:$I$454,2,0)</f>
        <v>#N/A</v>
      </c>
      <c r="LO23" s="12" t="e">
        <f>VLOOKUP($A23,'Données projet'!$A$434:$I$454,9,0)</f>
        <v>#N/A</v>
      </c>
      <c r="LP23" s="12">
        <f t="array" ref="LP23">INDEX(LO:LO,MIN(IF(ISNUMBER(LO23:LO219),ROW(LO23:LO219),"")))</f>
        <v>2.9235042735042733</v>
      </c>
      <c r="LQ23" s="12">
        <f>IF('Données projet'!$A$434&gt;35,LQ22+LP23-LY22,IF($A23&lt;'Données projet'!$A$434,$CQ$205^$A23,IF($A23='Données projet'!$A$434,'Données projet'!$B$434,LQ22+LP23-LY22)))</f>
        <v>58.470085470085451</v>
      </c>
      <c r="LR23" s="17">
        <f>LQ23*VLOOKUP('Données projet'!$B$24,Paramètres!$A$1:$I$89,3,0)*VLOOKUP('Données projet'!$B$24,Paramètres!$A$1:$I$89,5,0)</f>
        <v>59.28866666666665</v>
      </c>
      <c r="LS23" s="13">
        <f t="shared" si="102"/>
        <v>16.98829698331604</v>
      </c>
      <c r="LT23" s="14">
        <f t="shared" si="46"/>
        <v>132.84904502371984</v>
      </c>
      <c r="LU23" s="59">
        <f t="shared" si="103"/>
        <v>426.18237835705315</v>
      </c>
      <c r="LV23" s="59">
        <f ca="1">AVERAGE(OFFSET($LU$3,0,0,'Données projet'!$E$24+1,1))-AVERAGE(OFFSET($H$3,0,0,'Données projet'!$E$24+1,1))</f>
        <v>260.52627655062872</v>
      </c>
      <c r="LW23" s="59">
        <f t="shared" si="104"/>
        <v>159.20429420478047</v>
      </c>
      <c r="LX23" s="15">
        <f>IF(ISNA(VLOOKUP($A23,'Données projet'!$A$434:$I$454,3,0)),0,VLOOKUP($A23,'Données projet'!$A$434:$I$454,3,0))</f>
        <v>0</v>
      </c>
      <c r="LY23" s="15">
        <f>IF(ISNA(VLOOKUP($A23,'Données projet'!$A$434:$I$454,4,0)),0,VLOOKUP($A23,'Données projet'!$A$434:$I$454,4,0))</f>
        <v>0</v>
      </c>
      <c r="LZ23" s="16">
        <f>IF(ISNA(VLOOKUP($A23,'Données projet'!$A$434:$I$454,5,0)),0%,VLOOKUP($A23,'Données projet'!$A$434:$I$454,5,0)*VLOOKUP('Données projet'!$B$24,Paramètres!$A$1:$I$89,7,0))</f>
        <v>0</v>
      </c>
      <c r="MA23" s="16">
        <f>IF(ISNA(VLOOKUP($A23,'Données projet'!$A$434:$I$454,6,0)),0%,VLOOKUP($A23,'Données projet'!$A$434:$I$454,6,0)*VLOOKUP('Données projet'!$B$24,Paramètres!$A$1:$I$89,7,0))</f>
        <v>0</v>
      </c>
      <c r="MB23" s="16">
        <f>IF(ISNA(VLOOKUP($A23,'Données projet'!$A$434:$I$454,7,0)),0%,VLOOKUP($A23,'Données projet'!$A$434:$I$454,7,0))</f>
        <v>0</v>
      </c>
      <c r="MC23" s="21">
        <f>EXP(-LN(2)/35)*MC22+(1-EXP(-LN(2)/35))/(LN(2)/35)*LY23*LZ23*VLOOKUP('Données projet'!$B$24,Paramètres!$A$1:$I$89,3,0)*0.475*44/12</f>
        <v>0</v>
      </c>
      <c r="MD23" s="21">
        <f>EXP(-LN(2)/25)*MD22+(1-EXP(-LN(2)/25))/(LN(2)/25)*Calculateur!LY23*Calculateur!MA23*VLOOKUP('Données projet'!$B$24,Paramètres!$A$1:$I$89,3,0)*0.475*44/12</f>
        <v>0</v>
      </c>
      <c r="ME23" s="21">
        <f>EXP(-LN(2)/2)*ME22+(1-EXP(-LN(2)/2))/(LN(2)/2)*LY23*MB23*VLOOKUP('Données projet'!$B$24,Paramètres!$A$1:$I$89,3,0)*0.475*44/12</f>
        <v>0</v>
      </c>
      <c r="MF23" s="22">
        <f t="shared" si="105"/>
        <v>0</v>
      </c>
      <c r="MG23" s="74">
        <f>('Scénario référence'!$F$8+'Scénario référence'!$F$9+'Scénario référence'!$B$17+'Scénario référence'!$B$9+'Scénario référence'!$B$10)*70+IF((45+25*(1-EXP(-0.0175*$A23)))&lt;70,'Scénario référence'!$B$16*(45+25*(1-EXP(-0.0175*$A23))),70*'Scénario référence'!$B$16)+IF((32+38*(1-EXP(-0.0175*$A23)))&lt;70,'Scénario référence'!$B$18*(32+38*(1-EXP(-0.0175*$A23))),70*'Scénario référence'!$B$18)</f>
        <v>70</v>
      </c>
      <c r="MH23" s="12">
        <f>IF($A23&gt;30,10,('Scénario référence'!$B$16+'Scénario référence'!$B$17+'Scénario référence'!$B$18+'Scénario référence'!$B$9+'Scénario référence'!$B$10)*$A23*10/30+('Scénario référence'!$F$8+'Scénario référence'!$F$9)*10)</f>
        <v>10</v>
      </c>
      <c r="MI23" s="12" t="e">
        <f>VLOOKUP($A23,'Données projet'!$A$460:$I$480,2,0)</f>
        <v>#N/A</v>
      </c>
      <c r="MJ23" s="12" t="e">
        <f>VLOOKUP($A23,'Données projet'!$A$460:$I$480,9,0)</f>
        <v>#N/A</v>
      </c>
      <c r="MK23" s="12">
        <f t="array" ref="MK23">INDEX(MJ:MJ,MIN(IF(ISNUMBER(MJ23:MJ219),ROW(MJ23:MJ219),"")))</f>
        <v>0</v>
      </c>
      <c r="ML23" s="12">
        <f>IF('Données projet'!$A$460&gt;35,ML22+MK23-MT22,IF($A23&lt;'Données projet'!$A$460,$CQ$205^$A23,IF($A23='Données projet'!$A$460,'Données projet'!$B$460,ML22+MK23-MT22)))</f>
        <v>0</v>
      </c>
      <c r="MM23" s="17" t="e">
        <f>ML23*VLOOKUP('Données projet'!$B$25,Paramètres!$A$1:$I$89,3,0)*VLOOKUP('Données projet'!$B$25,Paramètres!$A$1:$I$89,5,0)</f>
        <v>#N/A</v>
      </c>
      <c r="MN23" s="13" t="e">
        <f t="shared" si="106"/>
        <v>#N/A</v>
      </c>
      <c r="MO23" s="14" t="e">
        <f t="shared" si="49"/>
        <v>#N/A</v>
      </c>
      <c r="MP23" s="59" t="e">
        <f t="shared" si="50"/>
        <v>#N/A</v>
      </c>
      <c r="MQ23" s="20" t="e">
        <f ca="1">AVERAGE(OFFSET($MP$3,0,0,'Données projet'!$E$25+1,1))-AVERAGE(OFFSET($H$3,0,0,'Données projet'!$E$25+1,1))</f>
        <v>#N/A</v>
      </c>
      <c r="MR23" s="59" t="e">
        <f t="shared" si="107"/>
        <v>#N/A</v>
      </c>
      <c r="MS23" s="15">
        <f>IF(ISNA(VLOOKUP($A23,'Données projet'!$A$460:$I$480,3,0)),0,VLOOKUP($A23,'Données projet'!$A$460:$I$480,3,0))</f>
        <v>0</v>
      </c>
      <c r="MT23" s="15">
        <f>IF(ISNA(VLOOKUP($A23,'Données projet'!$A$460:$I$480,4,0)),0,VLOOKUP($A23,'Données projet'!$A$460:$I$480,4,0))</f>
        <v>0</v>
      </c>
      <c r="MU23" s="16">
        <f>IF(ISNA(VLOOKUP($A23,'Données projet'!$A$460:$I$480,5,0)),0%,VLOOKUP($A23,'Données projet'!$A$460:$I$480,5,0)*VLOOKUP('Données projet'!$B$25,Paramètres!$A$1:$I$89,7,0))</f>
        <v>0</v>
      </c>
      <c r="MV23" s="16">
        <f>IF(ISNA(VLOOKUP($A23,'Données projet'!$A$460:$I$480,6,0)),0%,VLOOKUP($A23,'Données projet'!$A$460:$I$480,6,0)*VLOOKUP('Données projet'!$B$25,Paramètres!$A$1:$I$89,7,0))</f>
        <v>0</v>
      </c>
      <c r="MW23" s="16">
        <f>IF(ISNA(VLOOKUP($A23,'Données projet'!$A$460:$I$480,7,0)),0%,VLOOKUP($A23,'Données projet'!$A$460:$I$480,7,0))</f>
        <v>0</v>
      </c>
      <c r="MX23" s="21" t="e">
        <f>EXP(-LN(2)/35)*MX22+(1-EXP(-LN(2)/35))/(LN(2)/35)*MT23*MU23*VLOOKUP('Données projet'!$B$25,Paramètres!$A$1:$I$89,3,0)*0.475*44/12</f>
        <v>#N/A</v>
      </c>
      <c r="MY23" s="21" t="e">
        <f>EXP(-LN(2)/25)*MY22+(1-EXP(-LN(2)/25))/(LN(2)/25)*Calculateur!MT23*Calculateur!MV23*VLOOKUP('Données projet'!$B$25,Paramètres!$A$1:$I$89,3,0)*0.475*44/12</f>
        <v>#N/A</v>
      </c>
      <c r="MZ23" s="21" t="e">
        <f>EXP(-LN(2)/2)*MZ22+(1-EXP(-LN(2)/2))/(LN(2)/2)*MT23*MW23*VLOOKUP('Données projet'!$B$25,Paramètres!$A$1:$I$89,3,0)*0.475*44/12</f>
        <v>#N/A</v>
      </c>
      <c r="NA23" s="22" t="e">
        <f t="shared" si="108"/>
        <v>#N/A</v>
      </c>
      <c r="NB23" s="74">
        <f>('Scénario référence'!$F$8+'Scénario référence'!$F$9+'Scénario référence'!$B$17+'Scénario référence'!$B$9+'Scénario référence'!$B$10)*70+IF((45+25*(1-EXP(-0.0175*$A23)))&lt;70,'Scénario référence'!$B$16*(45+25*(1-EXP(-0.0175*$A23))),70*'Scénario référence'!$B$16)+IF((32+38*(1-EXP(-0.0175*$A23)))&lt;70,'Scénario référence'!$B$18*(32+38*(1-EXP(-0.0175*$A23))),70*'Scénario référence'!$B$18)</f>
        <v>70</v>
      </c>
      <c r="NC23" s="12">
        <f>IF($A23&gt;30,10,('Scénario référence'!$B$16+'Scénario référence'!$B$17+'Scénario référence'!$B$18+'Scénario référence'!$B$9+'Scénario référence'!$B$10)*$A23*10/30+('Scénario référence'!$F$8+'Scénario référence'!$F$9)*10)</f>
        <v>10</v>
      </c>
      <c r="ND23" s="12" t="e">
        <f>VLOOKUP($A23,'Données projet'!$A$486:$I$506,2,0)</f>
        <v>#N/A</v>
      </c>
      <c r="NE23" s="12" t="e">
        <f>VLOOKUP($A23,'Données projet'!$A$486:$I$506,9,0)</f>
        <v>#N/A</v>
      </c>
      <c r="NF23" s="12">
        <f t="array" ref="NF23">INDEX(NE:NE,MIN(IF(ISNUMBER(NE23:NE219),ROW(NE23:NE219),"")))</f>
        <v>0</v>
      </c>
      <c r="NG23" s="12">
        <f>IF('Données projet'!$A$486&gt;35,NG22+NF23-NO22,IF($A23&lt;'Données projet'!$A$486,$CQ$205^$A23,IF($A23='Données projet'!$A$486,'Données projet'!$B$486,NG22+NF23-NO22)))</f>
        <v>0</v>
      </c>
      <c r="NH23" s="17" t="e">
        <f>NG23*VLOOKUP('Données projet'!$B$26,Paramètres!$A$1:$I$89,3,0)*VLOOKUP('Données projet'!$B$26,Paramètres!$A$1:$I$89,5,0)</f>
        <v>#N/A</v>
      </c>
      <c r="NI23" s="13" t="e">
        <f t="shared" si="109"/>
        <v>#N/A</v>
      </c>
      <c r="NJ23" s="14" t="e">
        <f t="shared" si="52"/>
        <v>#N/A</v>
      </c>
      <c r="NK23" s="59" t="e">
        <f t="shared" si="53"/>
        <v>#N/A</v>
      </c>
      <c r="NL23" s="20" t="e">
        <f ca="1">AVERAGE(OFFSET($NK$3,0,0,'Données projet'!$E$26+1,1))-AVERAGE(OFFSET($H$3,0,0,'Données projet'!$E$26+1,1))</f>
        <v>#N/A</v>
      </c>
      <c r="NM23" s="59" t="e">
        <f t="shared" si="110"/>
        <v>#N/A</v>
      </c>
      <c r="NN23" s="15">
        <f>IF(ISNA(VLOOKUP($A23,'Données projet'!$A$486:$I$506,3,0)),0,VLOOKUP($A23,'Données projet'!$A$486:$I$506,3,0))</f>
        <v>0</v>
      </c>
      <c r="NO23" s="15">
        <f>IF(ISNA(VLOOKUP($A23,'Données projet'!$A$486:$I$506,4,0)),0,VLOOKUP($A23,'Données projet'!$A$486:$I$506,4,0))</f>
        <v>0</v>
      </c>
      <c r="NP23" s="16">
        <f>IF(ISNA(VLOOKUP($A23,'Données projet'!$A$486:$I$506,5,0)),0%,VLOOKUP($A23,'Données projet'!$A$486:$I$506,5,0)*VLOOKUP('Données projet'!$B$26,Paramètres!$A$1:$I$89,7,0))</f>
        <v>0</v>
      </c>
      <c r="NQ23" s="16">
        <f>IF(ISNA(VLOOKUP($A23,'Données projet'!$A$486:$I$506,6,0)),0%,VLOOKUP($A23,'Données projet'!$A$486:$I$506,6,0)*VLOOKUP('Données projet'!$B$26,Paramètres!$A$1:$I$89,7,0))</f>
        <v>0</v>
      </c>
      <c r="NR23" s="16">
        <f>IF(ISNA(VLOOKUP($A23,'Données projet'!$A$486:$I$506,7,0)),0%,VLOOKUP($A23,'Données projet'!$A$486:$I$506,7,0))</f>
        <v>0</v>
      </c>
      <c r="NS23" s="21" t="e">
        <f>EXP(-LN(2)/35)*NS22+(1-EXP(-LN(2)/35))/(LN(2)/35)*NO23*NP23*VLOOKUP('Données projet'!$B$26,Paramètres!$A$1:$I$89,3,0)*0.475*44/12</f>
        <v>#N/A</v>
      </c>
      <c r="NT23" s="21" t="e">
        <f>EXP(-LN(2)/25)*NT22+(1-EXP(-LN(2)/25))/(LN(2)/25)*Calculateur!NO23*Calculateur!NQ23*VLOOKUP('Données projet'!$B$26,Paramètres!$A$1:$I$89,3,0)*0.475*44/12</f>
        <v>#N/A</v>
      </c>
      <c r="NU23" s="21" t="e">
        <f>EXP(-LN(2)/2)*NU22+(1-EXP(-LN(2)/2))/(LN(2)/2)*NO23*NR23*VLOOKUP('Données projet'!$B$26,Paramètres!$A$1:$I$89,3,0)*0.475*44/12</f>
        <v>#N/A</v>
      </c>
      <c r="NV23" s="22" t="e">
        <f t="shared" si="111"/>
        <v>#N/A</v>
      </c>
      <c r="NW23" s="74">
        <f>('Scénario référence'!$F$8+'Scénario référence'!$F$9+'Scénario référence'!$B$17+'Scénario référence'!$B$9+'Scénario référence'!$B$10)*70+IF((45+25*(1-EXP(-0.0175*$A23)))&lt;70,'Scénario référence'!$B$16*(45+25*(1-EXP(-0.0175*$A23))),70*'Scénario référence'!$B$16)+IF((32+38*(1-EXP(-0.0175*$A23)))&lt;70,'Scénario référence'!$B$18*(32+38*(1-EXP(-0.0175*$A23))),70*'Scénario référence'!$B$18)</f>
        <v>70</v>
      </c>
      <c r="NX23" s="12">
        <f>IF($A23&gt;30,10,('Scénario référence'!$B$16+'Scénario référence'!$B$17+'Scénario référence'!$B$18+'Scénario référence'!$B$9+'Scénario référence'!$B$10)*$A23*10/30+('Scénario référence'!$F$8+'Scénario référence'!$F$9)*10)</f>
        <v>10</v>
      </c>
      <c r="NY23" s="12" t="e">
        <f>VLOOKUP($A23,'Données projet'!$A$512:$I$532,2,0)</f>
        <v>#N/A</v>
      </c>
      <c r="NZ23" s="12" t="e">
        <f>VLOOKUP($A23,'Données projet'!$A$512:$I$532,9,0)</f>
        <v>#N/A</v>
      </c>
      <c r="OA23" s="12">
        <f t="array" ref="OA23">INDEX(NZ:NZ,MIN(IF(ISNUMBER(NZ23:NZ219),ROW(NZ23:NZ219),"")))</f>
        <v>0</v>
      </c>
      <c r="OB23" s="12">
        <f>IF('Données projet'!$A$512&gt;35,OB22+OA23-OJ22,IF($A23&lt;'Données projet'!$A$512,$CQ$205^$A23,IF($A23='Données projet'!$A$512,'Données projet'!$B$512,OB22+OA23-OJ22)))</f>
        <v>0</v>
      </c>
      <c r="OC23" s="17" t="e">
        <f>OB23*VLOOKUP('Données projet'!$B$27,Paramètres!$A$1:$I$89,3,0)*VLOOKUP('Données projet'!$B$27,Paramètres!$A$1:$I$89,5,0)</f>
        <v>#N/A</v>
      </c>
      <c r="OD23" s="13" t="e">
        <f t="shared" si="112"/>
        <v>#N/A</v>
      </c>
      <c r="OE23" s="14" t="e">
        <f t="shared" si="55"/>
        <v>#N/A</v>
      </c>
      <c r="OF23" s="59" t="e">
        <f t="shared" si="56"/>
        <v>#N/A</v>
      </c>
      <c r="OG23" s="20" t="e">
        <f ca="1">AVERAGE(OFFSET($OF$3,0,0,'Données projet'!$E$27+1,1))-AVERAGE(OFFSET($H$3,0,0,'Données projet'!$E$27+1,1))</f>
        <v>#N/A</v>
      </c>
      <c r="OH23" s="59" t="e">
        <f t="shared" si="113"/>
        <v>#N/A</v>
      </c>
      <c r="OI23" s="15">
        <f>IF(ISNA(VLOOKUP($A23,'Données projet'!$A$512:$I$532,3,0)),0,VLOOKUP($A23,'Données projet'!$A$512:$I$532,3,0))</f>
        <v>0</v>
      </c>
      <c r="OJ23" s="15">
        <f>IF(ISNA(VLOOKUP($A23,'Données projet'!$A$512:$I$532,4,0)),0,VLOOKUP($A23,'Données projet'!$A$512:$I$532,4,0))</f>
        <v>0</v>
      </c>
      <c r="OK23" s="16">
        <f>IF(ISNA(VLOOKUP($A23,'Données projet'!$A$512:$I$532,5,0)),0%,VLOOKUP($A23,'Données projet'!$A$512:$I$532,5,0)*VLOOKUP('Données projet'!$B$27,Paramètres!$A$1:$I$89,7,0))</f>
        <v>0</v>
      </c>
      <c r="OL23" s="16">
        <f>IF(ISNA(VLOOKUP($A23,'Données projet'!$A$512:$I$532,6,0)),0%,VLOOKUP($A23,'Données projet'!$A$512:$I$532,6,0)*VLOOKUP('Données projet'!$B$27,Paramètres!$A$1:$I$89,7,0))</f>
        <v>0</v>
      </c>
      <c r="OM23" s="16">
        <f>IF(ISNA(VLOOKUP($A23,'Données projet'!$A$512:$I$532,7,0)),0%,VLOOKUP($A23,'Données projet'!$A$512:$I$532,7,0))</f>
        <v>0</v>
      </c>
      <c r="ON23" s="21" t="e">
        <f>EXP(-LN(2)/35)*ON22+(1-EXP(-LN(2)/35))/(LN(2)/35)*OJ23*OK23*VLOOKUP('Données projet'!$B$27,Paramètres!$A$1:$I$89,3,0)*0.475*44/12</f>
        <v>#N/A</v>
      </c>
      <c r="OO23" s="21" t="e">
        <f>EXP(-LN(2)/25)*OO22+(1-EXP(-LN(2)/25))/(LN(2)/25)*Calculateur!OJ23*Calculateur!OL23*VLOOKUP('Données projet'!$B$27,Paramètres!$A$1:$I$89,3,0)*0.475*44/12</f>
        <v>#N/A</v>
      </c>
      <c r="OP23" s="21" t="e">
        <f>EXP(-LN(2)/2)*OP22+(1-EXP(-LN(2)/2))/(LN(2)/2)*OJ23*OM23*VLOOKUP('Données projet'!$B$27,Paramètres!$A$1:$I$89,3,0)*0.475*44/12</f>
        <v>#N/A</v>
      </c>
      <c r="OQ23" s="22" t="e">
        <f t="shared" si="114"/>
        <v>#N/A</v>
      </c>
      <c r="OR23" s="74">
        <f>('Scénario référence'!$F$8+'Scénario référence'!$F$9+'Scénario référence'!$B$17+'Scénario référence'!$B$9+'Scénario référence'!$B$10)*70+IF((45+25*(1-EXP(-0.0175*$A23)))&lt;70,'Scénario référence'!$B$16*(45+25*(1-EXP(-0.0175*$A23))),70*'Scénario référence'!$B$16)+IF((32+38*(1-EXP(-0.0175*$A23)))&lt;70,'Scénario référence'!$B$18*(32+38*(1-EXP(-0.0175*$A23))),70*'Scénario référence'!$B$18)</f>
        <v>70</v>
      </c>
      <c r="OS23" s="12">
        <f>IF($A23&gt;30,10,('Scénario référence'!$B$16+'Scénario référence'!$B$17+'Scénario référence'!$B$18+'Scénario référence'!$B$9+'Scénario référence'!$B$10)*$A23*10/30+('Scénario référence'!$F$8+'Scénario référence'!$F$9)*10)</f>
        <v>10</v>
      </c>
      <c r="OT23" s="12" t="e">
        <f>VLOOKUP($A23,'Données projet'!$A$538:$I$558,2,0)</f>
        <v>#N/A</v>
      </c>
      <c r="OU23" s="12" t="e">
        <f>VLOOKUP($A23,'Données projet'!$A$538:$I$558,9,0)</f>
        <v>#N/A</v>
      </c>
      <c r="OV23" s="12">
        <f t="array" ref="OV23">INDEX(OU:OU,MIN(IF(ISNUMBER(OU23:OU219),ROW(OU23:OU219),"")))</f>
        <v>0</v>
      </c>
      <c r="OW23" s="12">
        <f>IF('Données projet'!$A$538&gt;35,OW22+OV23-PE22,IF($A23&lt;'Données projet'!$A$538,$CQ$205^$A23,IF($A23='Données projet'!$A$538,'Données projet'!$B$538,OW22+OV23-PE22)))</f>
        <v>0</v>
      </c>
      <c r="OX23" s="17" t="e">
        <f>OW23*VLOOKUP('Données projet'!$B$28,Paramètres!$A$1:$I$89,3,0)*VLOOKUP('Données projet'!$B$28,Paramètres!$A$1:$I$89,5,0)</f>
        <v>#N/A</v>
      </c>
      <c r="OY23" s="13" t="e">
        <f t="shared" si="115"/>
        <v>#N/A</v>
      </c>
      <c r="OZ23" s="14" t="e">
        <f t="shared" si="58"/>
        <v>#N/A</v>
      </c>
      <c r="PA23" s="59" t="e">
        <f t="shared" si="59"/>
        <v>#N/A</v>
      </c>
      <c r="PB23" s="20" t="e">
        <f ca="1">AVERAGE(OFFSET($PA$3,0,0,'Données projet'!$E$28+1,1))-AVERAGE(OFFSET($H$3,0,0,'Données projet'!$E$28+1,1))</f>
        <v>#N/A</v>
      </c>
      <c r="PC23" s="59" t="e">
        <f t="shared" si="116"/>
        <v>#N/A</v>
      </c>
      <c r="PD23" s="15">
        <f>IF(ISNA(VLOOKUP($A23,'Données projet'!$A$538:$I$558,3,0)),0,VLOOKUP($A23,'Données projet'!$A$538:$I$558,3,0))</f>
        <v>0</v>
      </c>
      <c r="PE23" s="15">
        <f>IF(ISNA(VLOOKUP($A23,'Données projet'!$A$538:$I$558,4,0)),0,VLOOKUP($A23,'Données projet'!$A$538:$I$558,4,0))</f>
        <v>0</v>
      </c>
      <c r="PF23" s="16">
        <f>IF(ISNA(VLOOKUP($A23,'Données projet'!$A$538:$I$558,5,0)),0%,VLOOKUP($A23,'Données projet'!$A$538:$I$558,5,0)*VLOOKUP('Données projet'!$B$28,Paramètres!$A$1:$I$89,7,0))</f>
        <v>0</v>
      </c>
      <c r="PG23" s="16">
        <f>IF(ISNA(VLOOKUP($A23,'Données projet'!$A$538:$I$558,6,0)),0%,VLOOKUP($A23,'Données projet'!$A$538:$I$558,6,0)*VLOOKUP('Données projet'!$B$28,Paramètres!$A$1:$I$89,7,0))</f>
        <v>0</v>
      </c>
      <c r="PH23" s="16">
        <f>IF(ISNA(VLOOKUP($A23,'Données projet'!$A$538:$I$558,7,0)),0%,VLOOKUP($A23,'Données projet'!$A$538:$I$558,7,0))</f>
        <v>0</v>
      </c>
      <c r="PI23" s="21" t="e">
        <f>EXP(-LN(2)/35)*PI22+(1-EXP(-LN(2)/35))/(LN(2)/35)*PE23*PF23*VLOOKUP('Données projet'!$B$28,Paramètres!$A$1:$I$89,3,0)*0.475*44/12</f>
        <v>#N/A</v>
      </c>
      <c r="PJ23" s="21" t="e">
        <f>EXP(-LN(2)/25)*PJ22+(1-EXP(-LN(2)/25))/(LN(2)/25)*Calculateur!PE23*Calculateur!PG23*VLOOKUP('Données projet'!$B$28,Paramètres!$A$1:$I$89,3,0)*0.475*44/12</f>
        <v>#N/A</v>
      </c>
      <c r="PK23" s="21" t="e">
        <f>EXP(-LN(2)/2)*PK22+(1-EXP(-LN(2)/2))/(LN(2)/2)*PE23*PH23*VLOOKUP('Données projet'!$B$28,Paramètres!$A$1:$I$89,3,0)*0.475*44/12</f>
        <v>#N/A</v>
      </c>
      <c r="PL23" s="22" t="e">
        <f t="shared" si="117"/>
        <v>#N/A</v>
      </c>
    </row>
    <row r="24" spans="1:428" x14ac:dyDescent="0.35">
      <c r="A24" s="10">
        <f t="shared" si="6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6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projet'!$A$45:$I$65,2,0)</f>
        <v>#N/A</v>
      </c>
      <c r="L24" s="12" t="e">
        <f>VLOOKUP(A24,'Données projet'!$A$45:$I$65,9,0)</f>
        <v>#N/A</v>
      </c>
      <c r="M24" s="12">
        <f t="array" ref="M24">INDEX(L:L,MIN(IF(ISNUMBER(L24:L220),ROW(L24:L220),"")))</f>
        <v>20.658974358974358</v>
      </c>
      <c r="N24" s="13">
        <f>IF('Données projet'!$A$46&gt;35,N23+M24-V23,IF(A24&lt;'Données projet'!$A$46,$K$205^A24,IF(A24='Données projet'!$A$46,'Données projet'!$B$46,N23+M24-V23)))</f>
        <v>175.58461538461535</v>
      </c>
      <c r="O24" s="13">
        <f>N24*VLOOKUP('Données projet'!$B$9,Paramètres!$A$1:$I$89,3,0)*VLOOKUP('Données projet'!$B$9,Paramètres!$A$1:$I$89,5,0)</f>
        <v>98.15179999999998</v>
      </c>
      <c r="P24" s="13">
        <f t="shared" si="63"/>
        <v>26.52121247620833</v>
      </c>
      <c r="Q24" s="20">
        <f t="shared" si="2"/>
        <v>217.13883006272945</v>
      </c>
      <c r="R24" s="59">
        <f t="shared" si="0"/>
        <v>510.4721633960628</v>
      </c>
      <c r="S24" s="59">
        <f ca="1">AVERAGE(OFFSET($R$3,0,0,'Données projet'!$E$9+1,1))-AVERAGE(OFFSET($H$3,0,0,'Données projet'!$E$9+1,1))</f>
        <v>274.57619581652199</v>
      </c>
      <c r="T24" s="59">
        <f t="shared" si="64"/>
        <v>366.15117322598775</v>
      </c>
      <c r="U24" s="15">
        <f>IF(ISNA(VLOOKUP(A24,'Données projet'!$A$45:$I$65,3,0)),0,VLOOKUP(A24,'Données projet'!$A$45:$I$65,3,0))</f>
        <v>0</v>
      </c>
      <c r="V24" s="15">
        <f>IF(ISNA(VLOOKUP(A24,'Données projet'!$A$45:$I$65,4,0)),0,VLOOKUP(A24,'Données projet'!$A$45:$I$65,4,0))</f>
        <v>0</v>
      </c>
      <c r="W24" s="16">
        <f>IF(ISNA(VLOOKUP(A24,'Données projet'!$A$45:$I$65,5,0)),0%,VLOOKUP(A24,'Données projet'!$A$45:$I$65,5,0)*VLOOKUP('Données projet'!$B$9,Paramètres!$A$1:$I$89,7,0))</f>
        <v>0</v>
      </c>
      <c r="X24" s="16">
        <f>IF(ISNA(VLOOKUP(A24,'Données projet'!$A$45:$I$65,6,0)),0%,VLOOKUP(A24,'Données projet'!$A$45:$I$65,6,0)*VLOOKUP('Données projet'!$B$9,Paramètres!$A$1:$I$89,7,0))</f>
        <v>0</v>
      </c>
      <c r="Y24" s="16">
        <f>IF(ISNA(VLOOKUP(A24,'Données projet'!$A$45:$I$65,7,0)),0%,VLOOKUP(A24,'Données projet'!$A$45:$I$65,7,0))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14.504098271788013</v>
      </c>
      <c r="AB24" s="21">
        <f>EXP(-LN(2)/2)*AB23+(1-EXP(-LN(2)/2))/(LN(2)/2)*V24*Y24*VLOOKUP('Données projet'!$B$9,Paramètres!$A$1:$I$89,3,0)*0.475*44/12</f>
        <v>6.8216878129962479</v>
      </c>
      <c r="AC24" s="22">
        <f t="shared" si="3"/>
        <v>21.325786084784262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projet'!$A$71:$I$91,2,0)</f>
        <v>#N/A</v>
      </c>
      <c r="AG24" s="12" t="e">
        <f>VLOOKUP(A24,'Données projet'!$A$71:$I$91,9,0)</f>
        <v>#N/A</v>
      </c>
      <c r="AH24" s="12">
        <f t="array" ref="AH24">INDEX(AG:AG,MIN(IF(ISNUMBER(AG24:AG220),ROW(AG24:AG220),"")))</f>
        <v>4.0628205128205126</v>
      </c>
      <c r="AI24" s="13">
        <f>IF('Données projet'!$A$72&gt;35,AI23+AH24-AQ23,IF(A24&lt;'Données projet'!$A$72,$AF$205^A24,IF(A24='Données projet'!$A$72,'Données projet'!$B$72,AI23+AH24-AQ23)))</f>
        <v>28.851222752799568</v>
      </c>
      <c r="AJ24" s="13">
        <f>AI24*VLOOKUP('Données projet'!$B$10,Paramètres!$A$1:$I$89,3,0)*VLOOKUP('Données projet'!$B$10,Paramètres!$A$1:$I$89,5,0)</f>
        <v>26.104586346733051</v>
      </c>
      <c r="AK24" s="13">
        <f t="shared" si="65"/>
        <v>8.2293028123778775</v>
      </c>
      <c r="AL24" s="20">
        <f t="shared" si="4"/>
        <v>59.798190285451518</v>
      </c>
      <c r="AM24" s="59">
        <f t="shared" si="5"/>
        <v>353.13152361878485</v>
      </c>
      <c r="AN24" s="59">
        <f ca="1">AVERAGE(OFFSET($AM$3,0,0,'Données projet'!$E$10+1,1))-AVERAGE(OFFSET($H$3,0,0,'Données projet'!$E$10+1,1))</f>
        <v>270.87836509222456</v>
      </c>
      <c r="AO24" s="59">
        <f t="shared" si="66"/>
        <v>205.24998237949734</v>
      </c>
      <c r="AP24" s="15">
        <f>IF(ISNA(VLOOKUP(A24,'Données projet'!$A$71:$I$91,3,0)),0,VLOOKUP(A24,'Données projet'!$A$71:$I$91,3,0))</f>
        <v>0</v>
      </c>
      <c r="AQ24" s="15">
        <f>IF(ISNA(VLOOKUP(A24,'Données projet'!$A$71:$I$91,4,0)),0,VLOOKUP(A24,'Données projet'!$A$71:$I$91,4,0))</f>
        <v>0</v>
      </c>
      <c r="AR24" s="16">
        <f>IF(ISNA(VLOOKUP(A24,'Données projet'!$A$71:$I$91,5,0)),0%,VLOOKUP(A24,'Données projet'!$A$71:$I$91,5,0)*VLOOKUP('Données projet'!$B$10,Paramètres!$A$1:$I$89,7,0))</f>
        <v>0</v>
      </c>
      <c r="AS24" s="16">
        <f>IF(ISNA(VLOOKUP(A24,'Données projet'!$A$71:$I$91,6,0)),0%,VLOOKUP(A24,'Données projet'!$A$71:$I$91,6,0)*VLOOKUP('Données projet'!$B$10,Paramètres!$A$1:$I$89,7,0))</f>
        <v>0</v>
      </c>
      <c r="AT24" s="16">
        <f>IF(ISNA(VLOOKUP(A24,'Données projet'!$A$71:$I$91,7,0)),0%,VLOOKUP(A24,'Données projet'!$A$71:$I$91,7,0))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projet'!$A$97:$I$117,2,0)</f>
        <v>#N/A</v>
      </c>
      <c r="BB24" s="12" t="e">
        <f>VLOOKUP(A24,'Données projet'!$A$97:$I$117,9,0)</f>
        <v>#N/A</v>
      </c>
      <c r="BC24" s="12">
        <f t="array" ref="BC24">INDEX(BB:BB,MIN(IF(ISNUMBER(BB24:BB220),ROW(BB24:BB220),"")))</f>
        <v>20.658974358974358</v>
      </c>
      <c r="BD24" s="12">
        <f>IF('Données projet'!$A$98&gt;35,BD23+BC24-BL23,IF(A24&lt;'Données projet'!$A$98,$BA$205^A24,IF(A24='Données projet'!$A$98,'Données projet'!$B$98,BD23+BC24-BL23)))</f>
        <v>175.58461538461535</v>
      </c>
      <c r="BE24" s="13">
        <f>BD24*VLOOKUP('Données projet'!$B$11,Paramètres!$A$1:$I$89,3,0)*VLOOKUP('Données projet'!$B$11,Paramètres!$A$1:$I$89,5,0)</f>
        <v>77.608399999999989</v>
      </c>
      <c r="BF24" s="13">
        <f t="shared" si="67"/>
        <v>21.551396579228189</v>
      </c>
      <c r="BG24" s="20">
        <f t="shared" si="7"/>
        <v>172.70331237548908</v>
      </c>
      <c r="BH24" s="59">
        <f t="shared" si="8"/>
        <v>466.03664570882239</v>
      </c>
      <c r="BI24" s="59">
        <f ca="1">AVERAGE(OFFSET($BH$3,0,0,'Données projet'!$E$11+1,1))-AVERAGE(OFFSET($H$3,0,0,'Données projet'!$E$11+1,1))</f>
        <v>211.31057120485542</v>
      </c>
      <c r="BJ24" s="59">
        <f t="shared" si="68"/>
        <v>283.33292006714777</v>
      </c>
      <c r="BK24" s="15">
        <f>IF(ISNA(VLOOKUP(A24,'Données projet'!$A$97:$I$117,3,0)),0,VLOOKUP(A24,'Données projet'!$A$97:$I$117,3,0))</f>
        <v>0</v>
      </c>
      <c r="BL24" s="15">
        <f>IF(ISNA(VLOOKUP(A24,'Données projet'!$A$97:$I$117,4,0)),0,VLOOKUP(A24,'Données projet'!$A$97:$I$117,4,0))</f>
        <v>0</v>
      </c>
      <c r="BM24" s="16">
        <f>IF(ISNA(VLOOKUP(A24,'Données projet'!$A$97:$I$117,5,0)),0%,VLOOKUP(A24,'Données projet'!$A$97:$I$117,5,0)*VLOOKUP('Données projet'!$B$11,Paramètres!$A$1:$I$89,7,0))</f>
        <v>0</v>
      </c>
      <c r="BN24" s="16">
        <f>IF(ISNA(VLOOKUP(A24,'Données projet'!$A$97:$I$117,6,0)),0%,VLOOKUP(A24,'Données projet'!$A$97:$I$117,6,0)*VLOOKUP('Données projet'!$B$11,Paramètres!$A$1:$I$89,7,0))</f>
        <v>0</v>
      </c>
      <c r="BO24" s="16">
        <f>IF(ISNA(VLOOKUP(A24,'Données projet'!$A$97:$I$117,7,0)),0%,VLOOKUP(A24,'Données projet'!$A$97:$I$117,7,0))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11.468356773041686</v>
      </c>
      <c r="BR24" s="21">
        <f>EXP(-LN(2)/2)*BR23+(1-EXP(-LN(2)/2))/(LN(2)/2)*BL24*BO24*VLOOKUP('Données projet'!$B$11,Paramètres!$A$1:$I$89,3,0)*0.475*44/12</f>
        <v>5.3938926893458703</v>
      </c>
      <c r="BS24" s="22">
        <f t="shared" si="9"/>
        <v>16.862249462387556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projet'!$A$123:$I$143,2,0)</f>
        <v>#N/A</v>
      </c>
      <c r="BW24" s="12" t="e">
        <f>VLOOKUP(A24,'Données projet'!$A$123:$I$143,9,0)</f>
        <v>#N/A</v>
      </c>
      <c r="BX24" s="12">
        <f t="array" ref="BX24">INDEX(BW:BW,MIN(IF(ISNUMBER(BW24:BW220),ROW(BW24:BW220),"")))</f>
        <v>10.199999999999999</v>
      </c>
      <c r="BY24" s="12">
        <f>IF('Données projet'!$A$124&gt;35,BY23+BX24-CG23,IF(A24&lt;'Données projet'!$A$124,$BV$205^A24,IF(A24='Données projet'!$A$124,'Données projet'!$B$124,BY23+BX24-CG23)))</f>
        <v>85.199999999999989</v>
      </c>
      <c r="BZ24" s="13">
        <f>BY24*VLOOKUP('Données projet'!$B$12,Paramètres!$A$1:$I$89,3,0)*VLOOKUP('Données projet'!$B$12,Paramètres!$A$1:$I$89,5,0)</f>
        <v>89.05104</v>
      </c>
      <c r="CA24" s="13">
        <f t="shared" si="69"/>
        <v>24.336217692365963</v>
      </c>
      <c r="CB24" s="20">
        <f t="shared" si="10"/>
        <v>197.48280714753739</v>
      </c>
      <c r="CC24" s="59">
        <f t="shared" si="11"/>
        <v>490.81614048087067</v>
      </c>
      <c r="CD24" s="59">
        <f ca="1">AVERAGE(OFFSET($CC$3,0,0,'Données projet'!$E$12+1,1))-AVERAGE(OFFSET($H$3,0,0,'Données projet'!$E$12+1,1))</f>
        <v>322.93502595881938</v>
      </c>
      <c r="CE24" s="59">
        <f t="shared" si="70"/>
        <v>302.67072119588164</v>
      </c>
      <c r="CF24" s="15">
        <f>IF(ISNA(VLOOKUP(A24,'Données projet'!$A$123:$I$143,3,0)),0,VLOOKUP(A24,'Données projet'!$A$123:$I$143,3,0))</f>
        <v>0</v>
      </c>
      <c r="CG24" s="15">
        <f>IF(ISNA(VLOOKUP(A24,'Données projet'!$A$123:$I$143,4,0)),0,VLOOKUP(A24,'Données projet'!$A$123:$I$143,4,0))</f>
        <v>0</v>
      </c>
      <c r="CH24" s="16">
        <f>IF(ISNA(VLOOKUP(A24,'Données projet'!$A$123:$I$143,5,0)),0%,VLOOKUP(A24,'Données projet'!$A$123:$I$143,5,0)*VLOOKUP('Données projet'!$B$12,Paramètres!$A$1:$I$89,7,0))</f>
        <v>0</v>
      </c>
      <c r="CI24" s="16">
        <f>IF(ISNA(VLOOKUP(A24,'Données projet'!$A$123:$I$143,6,0)),0%,VLOOKUP(A24,'Données projet'!$A$123:$I$143,6,0)*VLOOKUP('Données projet'!$B$12,Paramètres!$A$1:$I$89,7,0))</f>
        <v>0</v>
      </c>
      <c r="CJ24" s="16">
        <f>IF(ISNA(VLOOKUP(A24,'Données projet'!$A$123:$I$143,7,0)),0%,VLOOKUP(A24,'Données projet'!$A$123:$I$143,7,0))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projet'!$A$149:$I$169,2,0)</f>
        <v>#N/A</v>
      </c>
      <c r="CR24" s="12" t="e">
        <f>VLOOKUP(A24,'Données projet'!$A$149:$I$169,9,0)</f>
        <v>#N/A</v>
      </c>
      <c r="CS24" s="12">
        <f t="array" ref="CS24">INDEX(CR:CR,MIN(IF(ISNUMBER(CR24:CR220),ROW(CR24:CR220),"")))</f>
        <v>2.9235042735042733</v>
      </c>
      <c r="CT24" s="12">
        <f>IF('Données projet'!$A$150&gt;35,CT23+CS24-DB23,IF(A24&lt;'Données projet'!$A$150,$CQ$205^A24,IF(A24='Données projet'!$A$150,'Données projet'!$B$150,CT23+CS24-DB23)))</f>
        <v>22.91487494147438</v>
      </c>
      <c r="CU24" s="17">
        <f>CT24*VLOOKUP('Données projet'!$B$13,Paramètres!$A$1:$I$89,3,0)*VLOOKUP('Données projet'!$B$13,Paramètres!$A$1:$I$89,5,0)</f>
        <v>23.235683190655024</v>
      </c>
      <c r="CV24" s="13">
        <f t="shared" si="71"/>
        <v>7.4248385974916156</v>
      </c>
      <c r="CW24" s="20">
        <f t="shared" si="13"/>
        <v>53.400408781022065</v>
      </c>
      <c r="CX24" s="59">
        <f t="shared" si="14"/>
        <v>346.73374211435538</v>
      </c>
      <c r="CY24" s="59">
        <f ca="1">AVERAGE(OFFSET($CX$3,0,0,'Données projet'!$E$13+1,1))-AVERAGE(OFFSET($H$3,0,0,'Données projet'!$E$13+1,1))</f>
        <v>250.31277422753283</v>
      </c>
      <c r="CZ24" s="59">
        <f t="shared" si="72"/>
        <v>159.20429420478047</v>
      </c>
      <c r="DA24" s="15">
        <f>IF(ISNA(VLOOKUP(A24,'Données projet'!$A$149:$I$169,3,0)),0,VLOOKUP(A24,'Données projet'!$A$149:$I$169,3,0))</f>
        <v>0</v>
      </c>
      <c r="DB24" s="15">
        <f>IF(ISNA(VLOOKUP(A24,'Données projet'!$A$149:$I$169,4,0)),0,VLOOKUP(A24,'Données projet'!$A$149:$I$169,4,0))</f>
        <v>0</v>
      </c>
      <c r="DC24" s="16">
        <f>IF(ISNA(VLOOKUP(A24,'Données projet'!$A$149:$I$169,5,0)),0%,VLOOKUP(A24,'Données projet'!$A$149:$I$169,5,0)*VLOOKUP('Données projet'!$B$13,Paramètres!$A$1:$I$89,7,0))</f>
        <v>0</v>
      </c>
      <c r="DD24" s="16">
        <f>IF(ISNA(VLOOKUP(A24,'Données projet'!$A$149:$I$169,6,0)),0%,VLOOKUP(A24,'Données projet'!$A$149:$I$169,6,0)*VLOOKUP('Données projet'!$B$13,Paramètres!$A$1:$I$89,7,0))</f>
        <v>0</v>
      </c>
      <c r="DE24" s="16">
        <f>IF(ISNA(VLOOKUP(A24,'Données projet'!$A$149:$I$169,7,0)),0%,VLOOKUP(A24,'Données projet'!$A$149:$I$169,7,0))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projet'!$A$175:$I$195,2,0)</f>
        <v>#N/A</v>
      </c>
      <c r="DM24" s="12" t="e">
        <f>VLOOKUP(A24,'Données projet'!$A$175:$I$195,9,0)</f>
        <v>#N/A</v>
      </c>
      <c r="DN24" s="12">
        <f t="array" ref="DN24">INDEX(DM:DM,MIN(IF(ISNUMBER(DM24:DM220),ROW(DM24:DM220),"")))</f>
        <v>16.8</v>
      </c>
      <c r="DO24" s="12">
        <f>IF('Données projet'!$A$176&gt;35,DO23+DN24-DW23,IF(A24&lt;'Données projet'!$A$176,$DL$205^A24,IF(A24='Données projet'!$A$176,'Données projet'!$B$176,DO23+DN24-DW23)))</f>
        <v>97.800000000000011</v>
      </c>
      <c r="DP24" s="17">
        <f>DO24*VLOOKUP('Données projet'!$B$14,Paramètres!$A$1:$I$89,3,0)*VLOOKUP('Données projet'!$B$14,Paramètres!$A$1:$I$89,5,0)</f>
        <v>71.706960000000009</v>
      </c>
      <c r="DQ24" s="13">
        <f t="shared" si="73"/>
        <v>20.096759687088312</v>
      </c>
      <c r="DR24" s="20">
        <f t="shared" si="16"/>
        <v>159.89147845501216</v>
      </c>
      <c r="DS24" s="59">
        <f t="shared" si="17"/>
        <v>453.22481178834551</v>
      </c>
      <c r="DT24" s="59">
        <f ca="1">AVERAGE(OFFSET($DS$3,0,0,'Données projet'!$E$14+1,1))-AVERAGE(OFFSET($H$3,0,0,'Données projet'!$E$14+1,1))</f>
        <v>296.91321813251051</v>
      </c>
      <c r="DU24" s="59">
        <f t="shared" si="74"/>
        <v>291.0718079639509</v>
      </c>
      <c r="DV24" s="15">
        <f>IF(ISNA(VLOOKUP(A24,'Données projet'!$A$175:$I$195,3,0)),0,VLOOKUP(A24,'Données projet'!$A$175:$I$195,3,0))</f>
        <v>0</v>
      </c>
      <c r="DW24" s="15">
        <f>IF(ISNA(VLOOKUP(A24,'Données projet'!$A$175:$I$195,4,0)),0,VLOOKUP(A24,'Données projet'!$A$175:$I$195,4,0))</f>
        <v>0</v>
      </c>
      <c r="DX24" s="16">
        <f>IF(ISNA(VLOOKUP(A24,'Données projet'!$A$175:$I$195,5,0)),0%,VLOOKUP(A24,'Données projet'!$A$175:$I$195,5,0)*VLOOKUP('Données projet'!$B$14,Paramètres!$A$1:$I$89,7,0))</f>
        <v>0</v>
      </c>
      <c r="DY24" s="16">
        <f>IF(ISNA(VLOOKUP(A24,'Données projet'!$A$175:$I$195,6,0)),0%,VLOOKUP(A24,'Données projet'!$A$175:$I$195,6,0)*VLOOKUP('Données projet'!$B$14,Paramètres!$A$1:$I$89,7,0))</f>
        <v>0</v>
      </c>
      <c r="DZ24" s="16">
        <f>IF(ISNA(VLOOKUP(A24,'Données projet'!$A$175:$I$195,7,0)),0%,VLOOKUP(A24,'Données projet'!$A$175:$I$195,7,0))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1.701821479272031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1.701821479272031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projet'!$A$201:$I$221,2,0)</f>
        <v>#N/A</v>
      </c>
      <c r="EH24" s="12" t="e">
        <f>VLOOKUP(A24,'Données projet'!$A$201:$I$221,9,0)</f>
        <v>#N/A</v>
      </c>
      <c r="EI24" s="12">
        <f t="array" ref="EI24">INDEX(EH:EH,MIN(IF(ISNUMBER(EH24:EH220),ROW(EH24:EH220),"")))</f>
        <v>3.4425641025641025</v>
      </c>
      <c r="EJ24" s="12">
        <f>IF('Données projet'!$A$202&gt;35,EJ23+EI24-ER23,IF(A24&lt;'Données projet'!$A$202,$EG$205^A24,IF(A24='Données projet'!$A$202,'Données projet'!$B$202,EJ23+EI24-ER23)))</f>
        <v>25.692259707215236</v>
      </c>
      <c r="EK24" s="17">
        <f>EJ24*VLOOKUP('Données projet'!$B$15,Paramètres!$A$1:$I$89,3,0)*VLOOKUP('Données projet'!$B$15,Paramètres!$A$1:$I$89,5,0)</f>
        <v>12.023977542976729</v>
      </c>
      <c r="EL24" s="13">
        <f t="shared" si="75"/>
        <v>4.1484190116858626</v>
      </c>
      <c r="EM24" s="20">
        <f t="shared" si="19"/>
        <v>28.166923999370677</v>
      </c>
      <c r="EN24" s="59">
        <f t="shared" si="20"/>
        <v>321.500257332704</v>
      </c>
      <c r="EO24" s="59">
        <f ca="1">AVERAGE(OFFSET($EN$3,0,0,'Données projet'!$E$15+1,1))-AVERAGE(OFFSET($H$3,0,0,'Données projet'!$E$15+1,1))</f>
        <v>147.64256291235483</v>
      </c>
      <c r="EP24" s="59">
        <f t="shared" si="76"/>
        <v>70.859031694091868</v>
      </c>
      <c r="EQ24" s="15">
        <f>IF(ISNA(VLOOKUP(A24,'Données projet'!$A$201:$I$221,3,0)),0,VLOOKUP(A24,'Données projet'!$A$201:$I$221,3,0))</f>
        <v>0</v>
      </c>
      <c r="ER24" s="15">
        <f>IF(ISNA(VLOOKUP(A24,'Données projet'!$A$201:$I$221,4,0)),0,VLOOKUP(A24,'Données projet'!$A$201:$I$221,4,0))</f>
        <v>0</v>
      </c>
      <c r="ES24" s="16">
        <f>IF(ISNA(VLOOKUP(A24,'Données projet'!$A$201:$I$221,5,0)),0%,VLOOKUP(A24,'Données projet'!$A$201:$I$221,5,0)*VLOOKUP('Données projet'!$B$15,Paramètres!$A$1:$I$89,7,0))</f>
        <v>0</v>
      </c>
      <c r="ET24" s="16">
        <f>IF(ISNA(VLOOKUP(A24,'Données projet'!$A$201:$I$221,6,0)),0%,VLOOKUP(A24,'Données projet'!$A$201:$I$221,6,0)*VLOOKUP('Données projet'!$B$15,Paramètres!$A$1:$I$89,7,0))</f>
        <v>0</v>
      </c>
      <c r="EU24" s="16">
        <f>IF(ISNA(VLOOKUP(A24,'Données projet'!$A$201:$I$221,7,0)),0%,VLOOKUP(A24,'Données projet'!$A$201:$I$221,7,0))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projet'!$A$227:$I$247,2,0)</f>
        <v>#N/A</v>
      </c>
      <c r="FC24" s="12" t="e">
        <f>VLOOKUP(A24,'Données projet'!$A$227:$I$247,9,0)</f>
        <v>#N/A</v>
      </c>
      <c r="FD24" s="12">
        <f t="array" ref="FD24">INDEX(FC:FC,MIN(IF(ISNUMBER(FC24:FC220),ROW(FC24:FC220),"")))</f>
        <v>8</v>
      </c>
      <c r="FE24" s="12">
        <f>IF('Données projet'!$A$228&gt;35,FE23+FD24-FM23,IF(A24&lt;'Données projet'!$A$228,$FB$205^A24,IF(A24='Données projet'!$A$228,'Données projet'!$B$228,FE23+FD24-FM23)))</f>
        <v>66</v>
      </c>
      <c r="FF24" s="17">
        <f>FE24*VLOOKUP('Données projet'!$B$16,Paramètres!$A$1:$I$89,3,0)*VLOOKUP('Données projet'!$B$16,Paramètres!$A$1:$I$89,5,0)</f>
        <v>68.983200000000011</v>
      </c>
      <c r="FG24" s="13">
        <f t="shared" si="77"/>
        <v>19.420735663201629</v>
      </c>
      <c r="FH24" s="20">
        <f t="shared" si="22"/>
        <v>153.97018794674287</v>
      </c>
      <c r="FI24" s="59">
        <f t="shared" si="23"/>
        <v>447.30352128007621</v>
      </c>
      <c r="FJ24" s="59">
        <f ca="1">AVERAGE(OFFSET($FI$3,0,0,'Données projet'!$E$16+1,1))-AVERAGE(OFFSET($H$3,0,0,'Données projet'!$E$16+1,1))</f>
        <v>259.03906550253788</v>
      </c>
      <c r="FK24" s="59">
        <f t="shared" si="78"/>
        <v>235.54542903570831</v>
      </c>
      <c r="FL24" s="15">
        <f>IF(ISNA(VLOOKUP(A24,'Données projet'!$A$227:$I$247,3,0)),0,VLOOKUP(A24,'Données projet'!$A$227:$I$247,3,0))</f>
        <v>0</v>
      </c>
      <c r="FM24" s="15">
        <f>IF(ISNA(VLOOKUP(A24,'Données projet'!$A$227:$I$247,4,0)),0,VLOOKUP(A24,'Données projet'!$A$227:$I$247,4,0))</f>
        <v>0</v>
      </c>
      <c r="FN24" s="16">
        <f>IF(ISNA(VLOOKUP(A24,'Données projet'!$A$227:$I$247,5,0)),0%,VLOOKUP(A24,'Données projet'!$A$227:$I$247,5,0)*VLOOKUP('Données projet'!$B$16,Paramètres!$A$1:$I$89,7,0))</f>
        <v>0</v>
      </c>
      <c r="FO24" s="16">
        <f>IF(ISNA(VLOOKUP(A24,'Données projet'!$A$227:$I$247,6,0)),0%,VLOOKUP(A24,'Données projet'!$A$227:$I$247,6,0)*VLOOKUP('Données projet'!$B$16,Paramètres!$A$1:$I$89,7,0))</f>
        <v>0</v>
      </c>
      <c r="FP24" s="16">
        <f>IF(ISNA(VLOOKUP(A24,'Données projet'!$A$227:$I$247,7,0)),0%,VLOOKUP(A24,'Données projet'!$A$227:$I$247,7,0))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projet'!$A$253:$I$273,2,0)</f>
        <v>#N/A</v>
      </c>
      <c r="FX24" s="12" t="e">
        <f>VLOOKUP(A24,'Données projet'!$A$253:$I$273,9,0)</f>
        <v>#N/A</v>
      </c>
      <c r="FY24" s="12">
        <f t="array" ref="FY24">INDEX(FX:FX,MIN(IF(ISNUMBER(FX24:FX220),ROW(FX24:FX220),"")))</f>
        <v>12.6</v>
      </c>
      <c r="FZ24" s="12">
        <f>IF('Données projet'!$A$254&gt;35,FZ23+FY24-GH23,IF(A24&lt;'Données projet'!$A$254,$FW$205^A24,IF(A24='Données projet'!$A$254,'Données projet'!$B$254,FZ23+FY24-GH23)))</f>
        <v>64.599999999999994</v>
      </c>
      <c r="GA24" s="17">
        <f>FZ24*VLOOKUP('Données projet'!$B$17,Paramètres!$A$1:$I$89,3,0)*VLOOKUP('Données projet'!$B$17,Paramètres!$A$1:$I$89,5,0)</f>
        <v>56.434560000000005</v>
      </c>
      <c r="GB24" s="13">
        <f t="shared" si="79"/>
        <v>16.26362505907256</v>
      </c>
      <c r="GC24" s="20">
        <f t="shared" si="25"/>
        <v>126.61600564455136</v>
      </c>
      <c r="GD24" s="59">
        <f t="shared" si="26"/>
        <v>419.94933897788468</v>
      </c>
      <c r="GE24" s="59">
        <f ca="1">AVERAGE(OFFSET($GD$3,0,0,'Données projet'!$E$17+1,1))-AVERAGE(OFFSET($H$3,0,0,'Données projet'!$E$17+1,1))</f>
        <v>245.1983232777614</v>
      </c>
      <c r="GF24" s="59">
        <f t="shared" si="80"/>
        <v>242.34010522344573</v>
      </c>
      <c r="GG24" s="15">
        <f>IF(ISNA(VLOOKUP(A24,'Données projet'!$A$253:$I$273,3,0)),0,VLOOKUP(A24,'Données projet'!$A$253:$I$273,3,0))</f>
        <v>0</v>
      </c>
      <c r="GH24" s="15">
        <f>IF(ISNA(VLOOKUP(A24,'Données projet'!$A$253:$I$273,4,0)),0,VLOOKUP(A24,'Données projet'!$A$253:$I$273,4,0))</f>
        <v>0</v>
      </c>
      <c r="GI24" s="16">
        <f>IF(ISNA(VLOOKUP(A24,'Données projet'!$A$253:$I$273,5,0)),0%,VLOOKUP(A24,'Données projet'!$A$253:$I$273,5,0)*VLOOKUP('Données projet'!$B$17,Paramètres!$A$1:$I$89,7,0))</f>
        <v>0</v>
      </c>
      <c r="GJ24" s="16">
        <f>IF(ISNA(VLOOKUP(A24,'Données projet'!$A$253:$I$273,6,0)),0%,VLOOKUP(A24,'Données projet'!$A$253:$I$273,6,0)*VLOOKUP('Données projet'!$B$17,Paramètres!$A$1:$I$89,7,0))</f>
        <v>0</v>
      </c>
      <c r="GK24" s="16">
        <f>IF(ISNA(VLOOKUP(A24,'Données projet'!$A$253:$I$273,7,0)),0%,VLOOKUP(A24,'Données projet'!$A$253:$I$273,7,0))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projet'!$A$279:$I$299,2,0)</f>
        <v>#N/A</v>
      </c>
      <c r="GS24" s="12" t="e">
        <f>VLOOKUP(A24,'Données projet'!$A$279:$I$299,9,0)</f>
        <v>#N/A</v>
      </c>
      <c r="GT24" s="12">
        <f t="array" ref="GT24">INDEX(GS:GS,MIN(IF(ISNUMBER(GS24:GS220),ROW(GS24:GS220),"")))</f>
        <v>27.6</v>
      </c>
      <c r="GU24" s="12">
        <f>IF('Données projet'!$A$280&gt;35,GU23+GT24-HC23,IF(A24&lt;'Données projet'!$A$280,$GR$205^A24,IF(A24='Données projet'!$A$280,'Données projet'!$B$280,GU23+GT24-HC23)))</f>
        <v>159.60000000000002</v>
      </c>
      <c r="GV24" s="17">
        <f>GU24*VLOOKUP('Données projet'!$B$18,Paramètres!$A$1:$I$89,3,0)*VLOOKUP('Données projet'!$B$18,Paramètres!$A$1:$I$89,5,0)</f>
        <v>64.31880000000001</v>
      </c>
      <c r="GW24" s="13">
        <f t="shared" si="81"/>
        <v>18.255740872298091</v>
      </c>
      <c r="GX24" s="20">
        <f t="shared" si="28"/>
        <v>143.81732535258584</v>
      </c>
      <c r="GY24" s="59">
        <f t="shared" si="29"/>
        <v>437.15065868591915</v>
      </c>
      <c r="GZ24" s="59">
        <f ca="1">AVERAGE(OFFSET($GY$3,0,0,'Données projet'!$E$18+1,1))-AVERAGE(OFFSET($H$3,0,0,'Données projet'!$E$18+1,1))</f>
        <v>324.36162935850876</v>
      </c>
      <c r="HA24" s="59">
        <f t="shared" si="82"/>
        <v>265.23571072429735</v>
      </c>
      <c r="HB24" s="15">
        <f>IF(ISNA(VLOOKUP(A24,'Données projet'!$A$279:$I$299,3,0)),0,VLOOKUP(A24,'Données projet'!$A$279:$I$299,3,0))</f>
        <v>0</v>
      </c>
      <c r="HC24" s="15">
        <f>IF(ISNA(VLOOKUP(A24,'Données projet'!$A$279:$I$299,4,0)),0,VLOOKUP(A24,'Données projet'!$A$279:$I$299,4,0))</f>
        <v>0</v>
      </c>
      <c r="HD24" s="16">
        <f>IF(ISNA(VLOOKUP(A24,'Données projet'!$A$279:$I$299,5,0)),0%,VLOOKUP(A24,'Données projet'!$A$279:$I$299,5,0)*VLOOKUP('Données projet'!$B$18,Paramètres!$A$1:$I$89,7,0))</f>
        <v>0</v>
      </c>
      <c r="HE24" s="16">
        <f>IF(ISNA(VLOOKUP(A24,'Données projet'!$A$279:$I$299,6,0)),0%,VLOOKUP(A24,'Données projet'!$A$279:$I$299,6,0)*VLOOKUP('Données projet'!$B$18,Paramètres!$A$1:$I$89,7,0))</f>
        <v>0</v>
      </c>
      <c r="HF24" s="16">
        <f>IF(ISNA(VLOOKUP($A24,'Données projet'!$A$279:$I$299,7,0)),0%,VLOOKUP($A24,'Données projet'!$A$279:$I$299,7,0))</f>
        <v>0</v>
      </c>
      <c r="HG24" s="21">
        <f>EXP(-LN(2)/35)*HG23+(1-EXP(-LN(2)/35))/(LN(2)/35)*HC24*HD24*VLOOKUP('Données projet'!$B$18,Paramètres!$A$1:$I$89,3,0)*0.475*44/12</f>
        <v>0</v>
      </c>
      <c r="HH24" s="21">
        <f>EXP(-LN(2)/25)*HH23+(1-EXP(-LN(2)/25))/(LN(2)/25)*Calculateur!HC24*Calculateur!HE24*VLOOKUP('Données projet'!$B$18,Paramètres!$A$1:$I$89,3,0)*0.475*44/12</f>
        <v>0.35060504775061047</v>
      </c>
      <c r="HI24" s="21">
        <f>EXP(-LN(2)/2)*HI23+(1-EXP(-LN(2)/2))/(LN(2)/2)*HC24*HF24*VLOOKUP('Données projet'!$B$18,Paramètres!$A$1:$I$89,3,0)*0.475*44/12</f>
        <v>4.9637766398482102</v>
      </c>
      <c r="HJ24" s="22">
        <f t="shared" si="30"/>
        <v>5.3143816875988206</v>
      </c>
      <c r="HK24" s="74">
        <f>('Scénario référence'!$F$8+'Scénario référence'!$F$9+'Scénario référence'!$B$17+'Scénario référence'!$B$9+'Scénario référence'!$B$10)*70+IF((45+25*(1-EXP(-0.0175*$A24)))&lt;70,'Scénario référence'!$B$16*(45+25*(1-EXP(-0.0175*$A24))),70*'Scénario référence'!$B$16)+IF((32+38*(1-EXP(-0.0175*$A24)))&lt;70,'Scénario référence'!$B$18*(32+38*(1-EXP(-0.0175*$A24))),70*'Scénario référence'!$B$18)</f>
        <v>70</v>
      </c>
      <c r="HL24" s="12">
        <f>IF($A24&gt;30,10,('Scénario référence'!$B$16+'Scénario référence'!$B$17+'Scénario référence'!$B$18+'Scénario référence'!$B$9+'Scénario référence'!$B$10)*$A24*10/30+('Scénario référence'!$F$8+'Scénario référence'!$F$9)*10)</f>
        <v>10</v>
      </c>
      <c r="HM24" s="12" t="e">
        <f>VLOOKUP($A24,'Données projet'!$A$304:$I$324,2,0)</f>
        <v>#N/A</v>
      </c>
      <c r="HN24" s="12" t="e">
        <f>VLOOKUP($A24,'Données projet'!$A$304:$I$324,9,0)</f>
        <v>#N/A</v>
      </c>
      <c r="HO24" s="12">
        <f t="array" ref="HO24">INDEX(HN:HN,MIN(IF(ISNUMBER(HN24:HN220),ROW(HN24:HN220),"")))</f>
        <v>0</v>
      </c>
      <c r="HP24" s="12">
        <f>IF('Données projet'!$A$304&gt;35,HP23+HO24-HX23,IF($A24&lt;'Données projet'!$A$304,$CQ$205^$A24,IF($A24='Données projet'!$A$304,'Données projet'!$B$304,HP23+HO24-HX23)))</f>
        <v>0</v>
      </c>
      <c r="HQ24" s="17">
        <f>HP24*VLOOKUP('Données projet'!$B$19,Paramètres!$A$1:$I$89,3,0)*VLOOKUP('Données projet'!$B$19,Paramètres!$A$1:$I$89,5,0)</f>
        <v>0</v>
      </c>
      <c r="HR24" s="13" t="e">
        <f t="shared" si="83"/>
        <v>#NUM!</v>
      </c>
      <c r="HS24" s="14" t="e">
        <f t="shared" si="31"/>
        <v>#NUM!</v>
      </c>
      <c r="HT24" s="59" t="e">
        <f t="shared" si="32"/>
        <v>#NUM!</v>
      </c>
      <c r="HU24" s="59">
        <f ca="1">AVERAGE(OFFSET(HT$3,0,0,'Données projet'!$E$19+1,1))-AVERAGE(OFFSET($H$3,0,0,'Données projet'!$E$19+1,1))</f>
        <v>91.60721429656013</v>
      </c>
      <c r="HV24" s="59">
        <f t="shared" si="84"/>
        <v>258.94957804210856</v>
      </c>
      <c r="HW24" s="15">
        <f>IF(ISNA(VLOOKUP($A24,'Données projet'!$A$304:$I$324,3,0)),0,VLOOKUP($A24,'Données projet'!$A$304:$I$324,3,0))</f>
        <v>0</v>
      </c>
      <c r="HX24" s="15">
        <f>IF(ISNA(VLOOKUP($A24,'Données projet'!$A$304:$I$324,4,0)),0,VLOOKUP($A24,'Données projet'!$A$304:$I$324,4,0))</f>
        <v>0</v>
      </c>
      <c r="HY24" s="16">
        <f>IF(ISNA(VLOOKUP($A24,'Données projet'!$A$304:$I$324,5,0)),0%,VLOOKUP($A24,'Données projet'!$A$304:$I$324,5,0)*VLOOKUP('Données projet'!$B$19,Paramètres!$A$1:$I$89,7,0))</f>
        <v>0</v>
      </c>
      <c r="HZ24" s="16">
        <f>IF(ISNA(VLOOKUP($A24,'Données projet'!$A$304:$I$324,6,0)),0%,VLOOKUP($A24,'Données projet'!$A$304:$I$324,6,0)*VLOOKUP('Données projet'!$B$19,Paramètres!$A$1:$I$89,7,0))</f>
        <v>0</v>
      </c>
      <c r="IA24" s="16">
        <f>IF(ISNA(VLOOKUP($A24,'Données projet'!$A$304:$I$324,7,0)),0%,VLOOKUP($A24,'Données projet'!$A$304:$I$324,7,0))</f>
        <v>0</v>
      </c>
      <c r="IB24" s="21">
        <f>EXP(-LN(2)/35)*IB23+(1-EXP(-LN(2)/35))/(LN(2)/35)*HX24*HY24*VLOOKUP('Données projet'!$B$19,Paramètres!$A$1:$I$89,3,0)*0.475*44/12</f>
        <v>58.957986035572951</v>
      </c>
      <c r="IC24" s="21">
        <f>EXP(-LN(2)/25)*IC23+(1-EXP(-LN(2)/25))/(LN(2)/25)*Calculateur!HX24*Calculateur!HZ24*VLOOKUP('Données projet'!$B$19,Paramètres!$A$1:$I$89,3,0)*0.475*44/12</f>
        <v>12.484816340571436</v>
      </c>
      <c r="ID24" s="21">
        <f>EXP(-LN(2)/2)*ID23+(1-EXP(-LN(2)/2))/(LN(2)/2)*HX24*IA24*VLOOKUP('Données projet'!$B$19,Paramètres!$A$1:$I$89,3,0)*0.475*44/12</f>
        <v>12.962168136081813</v>
      </c>
      <c r="IE24" s="22">
        <f t="shared" si="33"/>
        <v>84.4049705122262</v>
      </c>
      <c r="IF24" s="74">
        <f>('Scénario référence'!$F$8+'Scénario référence'!$F$9+'Scénario référence'!$B$17+'Scénario référence'!$B$9+'Scénario référence'!$B$10)*70+IF((45+25*(1-EXP(-0.0175*$A24)))&lt;70,'Scénario référence'!$B$16*(45+25*(1-EXP(-0.0175*$A24))),70*'Scénario référence'!$B$16)+IF((32+38*(1-EXP(-0.0175*$A24)))&lt;70,'Scénario référence'!$B$18*(32+38*(1-EXP(-0.0175*$A24))),70*'Scénario référence'!$B$18)</f>
        <v>70</v>
      </c>
      <c r="IG24" s="12">
        <f>IF($A24&gt;30,10,('Scénario référence'!$B$16+'Scénario référence'!$B$17+'Scénario référence'!$B$18+'Scénario référence'!$B$9+'Scénario référence'!$B$10)*$A24*10/30+('Scénario référence'!$F$8+'Scénario référence'!$F$9)*10)</f>
        <v>10</v>
      </c>
      <c r="IH24" s="12" t="e">
        <f>VLOOKUP($A24,'Données projet'!$A$330:$I$350,2,0)</f>
        <v>#N/A</v>
      </c>
      <c r="II24" s="12" t="e">
        <f>VLOOKUP($A24,'Données projet'!$A$330:$I$350,9,0)</f>
        <v>#N/A</v>
      </c>
      <c r="IJ24" s="12">
        <f t="array" ref="IJ24">INDEX(II:II,MIN(IF(ISNUMBER(II24:II220),ROW(II24:II220),"")))</f>
        <v>0</v>
      </c>
      <c r="IK24" s="12">
        <f>IF('Données projet'!$A$330&gt;35,IK23+IJ24-IS23,IF($A24&lt;'Données projet'!$A$330,$CQ$205^$A24,IF($A24='Données projet'!$A$330,'Données projet'!$B$330,IK23+IJ24-IS23)))</f>
        <v>0</v>
      </c>
      <c r="IL24" s="17">
        <f>IK24*VLOOKUP('Données projet'!$B$20,Paramètres!$A$1:$I$89,3,0)*VLOOKUP('Données projet'!$B$20,Paramètres!$A$1:$I$89,5,0)</f>
        <v>0</v>
      </c>
      <c r="IM24" s="13" t="e">
        <f t="shared" si="85"/>
        <v>#NUM!</v>
      </c>
      <c r="IN24" s="20" t="e">
        <f t="shared" si="86"/>
        <v>#NUM!</v>
      </c>
      <c r="IO24" s="59" t="e">
        <f t="shared" si="87"/>
        <v>#NUM!</v>
      </c>
      <c r="IP24" s="59">
        <f ca="1">AVERAGE(OFFSET(IO$3,0,0,'Données projet'!$E$20+1,1))-AVERAGE(OFFSET($H$3,0,0,'Données projet'!$E$20+1,1))</f>
        <v>91.60721429656013</v>
      </c>
      <c r="IQ24" s="59">
        <f t="shared" si="88"/>
        <v>258.94957804210856</v>
      </c>
      <c r="IR24" s="15">
        <f>IF(ISNA(VLOOKUP($A24,'Données projet'!$A$330:$I$350,3,0)),0,VLOOKUP($A24,'Données projet'!$A$330:$I$350,3,0))</f>
        <v>0</v>
      </c>
      <c r="IS24" s="15">
        <f>IF(ISNA(VLOOKUP($A24,'Données projet'!$A$330:$I$350,4,0)),0,VLOOKUP($A24,'Données projet'!$A$330:$I$350,4,0))</f>
        <v>0</v>
      </c>
      <c r="IT24" s="16">
        <f>IF(ISNA(VLOOKUP($A24,'Données projet'!$A$330:$I$350,5,0)),0%,VLOOKUP($A24,'Données projet'!$A$330:$I$350,5,0)*VLOOKUP('Données projet'!$B$20,Paramètres!$A$1:$I$89,7,0))</f>
        <v>0</v>
      </c>
      <c r="IU24" s="16">
        <f>IF(ISNA(VLOOKUP($A24,'Données projet'!$A$330:$I$350,6,0)),0%,VLOOKUP($A24,'Données projet'!$A$330:$I$350,6,0)*VLOOKUP('Données projet'!$B$20,Paramètres!$A$1:$I$89,7,0))</f>
        <v>0</v>
      </c>
      <c r="IV24" s="16">
        <f>IF(ISNA(VLOOKUP($A24,'Données projet'!$A$330:$I$350,7,0)),0%,VLOOKUP($A24,'Données projet'!$A$330:$I$350,7,0))</f>
        <v>0</v>
      </c>
      <c r="IW24" s="21">
        <f>EXP(-LN(2)/35)*IW23+(1-EXP(-LN(2)/35))/(LN(2)/35)*IS24*IT24*VLOOKUP('Données projet'!$B$20,Paramètres!$A$1:$I$89,3,0)*0.475*44/12</f>
        <v>58.957986035572951</v>
      </c>
      <c r="IX24" s="21">
        <f>EXP(-LN(2)/25)*IX23+(1-EXP(-LN(2)/25))/(LN(2)/25)*Calculateur!IS24*Calculateur!IU24*VLOOKUP('Données projet'!$B$20,Paramètres!$A$1:$I$89,3,0)*0.475*44/12</f>
        <v>12.484816340571436</v>
      </c>
      <c r="IY24" s="21">
        <f>EXP(-LN(2)/2)*IY23+(1-EXP(-LN(2)/2))/(LN(2)/2)*IS24*IV24*VLOOKUP('Données projet'!$B$20,Paramètres!$A$1:$I$89,3,0)*0.475*44/12</f>
        <v>12.962168136081813</v>
      </c>
      <c r="IZ24" s="22">
        <f t="shared" si="89"/>
        <v>84.4049705122262</v>
      </c>
      <c r="JA24" s="74">
        <f>('Scénario référence'!$F$8+'Scénario référence'!$F$9+'Scénario référence'!$B$17+'Scénario référence'!$B$9+'Scénario référence'!$B$10)*70+IF((45+25*(1-EXP(-0.0175*$A24)))&lt;70,'Scénario référence'!$B$16*(45+25*(1-EXP(-0.0175*$A24))),70*'Scénario référence'!$B$16)+IF((32+38*(1-EXP(-0.0175*$A24)))&lt;70,'Scénario référence'!$B$18*(32+38*(1-EXP(-0.0175*$A24))),70*'Scénario référence'!$B$18)</f>
        <v>70</v>
      </c>
      <c r="JB24" s="12">
        <f>IF($A24&gt;30,10,('Scénario référence'!$B$16+'Scénario référence'!$B$17+'Scénario référence'!$B$18+'Scénario référence'!$B$9+'Scénario référence'!$B$10)*$A24*10/30+('Scénario référence'!$F$8+'Scénario référence'!$F$9)*10)</f>
        <v>10</v>
      </c>
      <c r="JC24" s="12" t="e">
        <f>VLOOKUP($A24,'Données projet'!$A$356:$I$376,2,0)</f>
        <v>#N/A</v>
      </c>
      <c r="JD24" s="12" t="e">
        <f>VLOOKUP($A24,'Données projet'!$A$356:$I$376,9,0)</f>
        <v>#N/A</v>
      </c>
      <c r="JE24" s="12">
        <f t="array" ref="JE24">INDEX(JD:JD,MIN(IF(ISNUMBER(JD24:JD220),ROW(JD24:JD220),"")))</f>
        <v>3.04</v>
      </c>
      <c r="JF24" s="12">
        <f>IF('Données projet'!$A$356&gt;35,JF23+JE24-JN23,IF($A24&lt;'Données projet'!$A$356,$CQ$205^$A24,IF($A24='Données projet'!$A$356,'Données projet'!$B$356,JF23+JE24-JN23)))</f>
        <v>63.839999999999989</v>
      </c>
      <c r="JG24" s="17">
        <f>JF24*VLOOKUP('Données projet'!$B$21,Paramètres!$A$1:$I$89,3,0)*VLOOKUP('Données projet'!$B$21,Paramètres!$A$1:$I$89,5,0)</f>
        <v>51.787007999999993</v>
      </c>
      <c r="JH24" s="13">
        <f t="shared" si="90"/>
        <v>15.074314842479987</v>
      </c>
      <c r="JI24" s="20">
        <f t="shared" si="91"/>
        <v>116.45013728398595</v>
      </c>
      <c r="JJ24" s="59">
        <f t="shared" si="92"/>
        <v>409.78347061731927</v>
      </c>
      <c r="JK24" s="59">
        <f ca="1">AVERAGE(OFFSET($JJ$3,0,0,'Données projet'!$E$22+1,1))-AVERAGE(OFFSET($H$3,0,0,'Données projet'!$E$22+1,1))</f>
        <v>353.35574633294613</v>
      </c>
      <c r="JL24" s="59">
        <f t="shared" si="93"/>
        <v>170.36796666474726</v>
      </c>
      <c r="JM24" s="15">
        <f>IF(ISNA(VLOOKUP($A24,'Données projet'!$A$356:$I$376,3,0)),0,VLOOKUP($A24,'Données projet'!$A$356:$I$376,3,0))</f>
        <v>0</v>
      </c>
      <c r="JN24" s="15">
        <f>IF(ISNA(VLOOKUP($A24,'Données projet'!$A$356:$I$376,4,0)),0,VLOOKUP($A24,'Données projet'!$A$356:$I$376,4,0))</f>
        <v>0</v>
      </c>
      <c r="JO24" s="16">
        <f>IF(ISNA(VLOOKUP($A24,'Données projet'!$A$356:$I$376,5,0)),0%,VLOOKUP($A24,'Données projet'!$A$356:$I$376,5,0)*VLOOKUP('Données projet'!$B$21,Paramètres!$A$1:$I$89,7,0))</f>
        <v>0</v>
      </c>
      <c r="JP24" s="16">
        <f>IF(ISNA(VLOOKUP($A24,'Données projet'!$A$356:$I$376,6,0)),0%,VLOOKUP($A24,'Données projet'!$A$356:$I$376,6,0)*VLOOKUP('Données projet'!$B$21,Paramètres!$A$1:$I$89,7,0))</f>
        <v>0</v>
      </c>
      <c r="JQ24" s="16">
        <f>IF(ISNA(VLOOKUP($A24,'Données projet'!$A$356:$I$376,7,0)),0%,VLOOKUP($A24,'Données projet'!$A$356:$I$376,7,0))</f>
        <v>0</v>
      </c>
      <c r="JR24" s="21">
        <f>EXP(-LN(2)/35)*JR23+(1-EXP(-LN(2)/35))/(LN(2)/35)*JN24*JO24*VLOOKUP('Données projet'!$B$21,Paramètres!$A$1:$I$89,3,0)*0.475*44/12</f>
        <v>0</v>
      </c>
      <c r="JS24" s="21">
        <f>EXP(-LN(2)/25)*JS23+(1-EXP(-LN(2)/25))/(LN(2)/25)*Calculateur!JN24*Calculateur!JP24*VLOOKUP('Données projet'!$B$21,Paramètres!$A$1:$I$89,3,0)*0.475*44/12</f>
        <v>0</v>
      </c>
      <c r="JT24" s="21">
        <f>EXP(-LN(2)/2)*JT23+(1-EXP(-LN(2)/2))/(LN(2)/2)*JN24*JQ24*VLOOKUP('Données projet'!$B$21,Paramètres!$A$1:$I$89,3,0)*0.475*44/12</f>
        <v>0</v>
      </c>
      <c r="JU24" s="18">
        <f t="shared" si="39"/>
        <v>0</v>
      </c>
      <c r="JV24" s="74">
        <f>('Scénario référence'!$F$8+'Scénario référence'!$F$9+'Scénario référence'!$B$17+'Scénario référence'!$B$9+'Scénario référence'!$B$10)*70+IF((45+25*(1-EXP(-0.0175*$A24)))&lt;70,'Scénario référence'!$B$16*(45+25*(1-EXP(-0.0175*$A24))),70*'Scénario référence'!$B$16)+IF((32+38*(1-EXP(-0.0175*$A24)))&lt;70,'Scénario référence'!$B$18*(32+38*(1-EXP(-0.0175*$A24))),70*'Scénario référence'!$B$18)</f>
        <v>70</v>
      </c>
      <c r="JW24" s="12">
        <f>IF($A24&gt;30,10,('Scénario référence'!$B$16+'Scénario référence'!$B$17+'Scénario référence'!$B$18+'Scénario référence'!$B$9+'Scénario référence'!$B$10)*$A24*10/30+('Scénario référence'!$F$8+'Scénario référence'!$F$9)*10)</f>
        <v>10</v>
      </c>
      <c r="JX24" s="12" t="e">
        <f>VLOOKUP($A24,'Données projet'!$A$382:$I$402,2,0)</f>
        <v>#N/A</v>
      </c>
      <c r="JY24" s="12" t="e">
        <f>VLOOKUP($A24,'Données projet'!$A$382:$I$402,9,0)</f>
        <v>#N/A</v>
      </c>
      <c r="JZ24" s="12">
        <f t="array" ref="JZ24">INDEX(JY:JY,MIN(IF(ISNUMBER(JY24:JY220),ROW(JY24:JY220),"")))</f>
        <v>4.0628205128205126</v>
      </c>
      <c r="KA24" s="12">
        <f>IF('Données projet'!$A$382&gt;35,KA23+JZ24-KI23,IF($A24&lt;'Données projet'!$A$382,$CQ$205^$A24,IF($A24='Données projet'!$A$382,'Données projet'!$B$382,KA23+JZ24-KI23)))</f>
        <v>85.319230769230757</v>
      </c>
      <c r="KB24" s="17">
        <f>KA24*VLOOKUP('Données projet'!$B$22,Paramètres!$A$1:$I$89,3,0)*VLOOKUP('Données projet'!$B$22,Paramètres!$A$1:$I$89,5,0)</f>
        <v>57.232139999999994</v>
      </c>
      <c r="KC24" s="13">
        <f t="shared" si="94"/>
        <v>16.466555253436159</v>
      </c>
      <c r="KD24" s="20">
        <f t="shared" si="95"/>
        <v>128.35856089973461</v>
      </c>
      <c r="KE24" s="59">
        <f t="shared" si="96"/>
        <v>421.69189423306796</v>
      </c>
      <c r="KF24" s="59">
        <f ca="1">AVERAGE(OFFSET($KE$3,0,0,'Données projet'!$E$22+1,1))-AVERAGE(OFFSET($H$3,0,0,'Données projet'!$E$22+1,1))</f>
        <v>193.91714772848269</v>
      </c>
      <c r="KG24" s="59">
        <f t="shared" si="97"/>
        <v>159.20429420478047</v>
      </c>
      <c r="KH24" s="15">
        <f>IF(ISNA(VLOOKUP($A24,'Données projet'!$A$382:$I$402,3,0)),0,VLOOKUP($A24,'Données projet'!$A$382:$I$402,3,0))</f>
        <v>0</v>
      </c>
      <c r="KI24" s="15">
        <f>IF(ISNA(VLOOKUP($A24,'Données projet'!$A$382:$I$402,4,0)),0,VLOOKUP($A24,'Données projet'!$A$382:$I$402,4,0))</f>
        <v>0</v>
      </c>
      <c r="KJ24" s="16">
        <f>IF(ISNA(VLOOKUP($A24,'Données projet'!$A$382:$I$402,5,0)),0%,VLOOKUP($A24,'Données projet'!$A$382:$I$402,5,0)*VLOOKUP('Données projet'!$B$22,Paramètres!$A$1:$I$89,7,0))</f>
        <v>0</v>
      </c>
      <c r="KK24" s="16">
        <f>IF(ISNA(VLOOKUP($A24,'Données projet'!$A$382:$I$402,6,0)),0%,VLOOKUP($A24,'Données projet'!$A$382:$I$402,6,0)*VLOOKUP('Données projet'!$B$22,Paramètres!$A$1:$I$89,7,0))</f>
        <v>0</v>
      </c>
      <c r="KL24" s="16">
        <f>IF(ISNA(VLOOKUP($A24,'Données projet'!$A$382:$I$402,7,0)),0%,VLOOKUP($A24,'Données projet'!$A$382:$I$402,7,0))</f>
        <v>0</v>
      </c>
      <c r="KM24" s="21">
        <f>EXP(-LN(2)/35)*KM23+(1-EXP(-LN(2)/35))/(LN(2)/35)*KI24*KJ24*VLOOKUP('Données projet'!$B$22,Paramètres!$A$1:$I$89,3,0)*0.475*44/12</f>
        <v>0</v>
      </c>
      <c r="KN24" s="21">
        <f>EXP(-LN(2)/25)*KN23+(1-EXP(-LN(2)/25))/(LN(2)/25)*Calculateur!KI24*Calculateur!KK24*VLOOKUP('Données projet'!$B$22,Paramètres!$A$1:$I$89,3,0)*0.475*44/12</f>
        <v>0</v>
      </c>
      <c r="KO24" s="21">
        <f>EXP(-LN(2)/2)*KO23+(1-EXP(-LN(2)/2))/(LN(2)/2)*KI24*KL24*VLOOKUP('Données projet'!$B$22,Paramètres!$A$1:$I$89,3,0)*0.475*44/12</f>
        <v>0</v>
      </c>
      <c r="KP24" s="22">
        <f t="shared" si="98"/>
        <v>0</v>
      </c>
      <c r="KQ24" s="74">
        <f>('Scénario référence'!$F$8+'Scénario référence'!$F$9+'Scénario référence'!$B$17+'Scénario référence'!$B$9+'Scénario référence'!$B$10)*70+IF((45+25*(1-EXP(-0.0175*$A24)))&lt;70,'Scénario référence'!$B$16*(45+25*(1-EXP(-0.0175*$A24))),70*'Scénario référence'!$B$16)+IF((32+38*(1-EXP(-0.0175*$A24)))&lt;70,'Scénario référence'!$B$18*(32+38*(1-EXP(-0.0175*$A24))),70*'Scénario référence'!$B$18)</f>
        <v>70</v>
      </c>
      <c r="KR24" s="12">
        <f>IF($A24&gt;30,10,('Scénario référence'!$B$16+'Scénario référence'!$B$17+'Scénario référence'!$B$18+'Scénario référence'!$B$9+'Scénario référence'!$B$10)*$A24*10/30+('Scénario référence'!$F$8+'Scénario référence'!$F$9)*10)</f>
        <v>10</v>
      </c>
      <c r="KS24" s="12" t="e">
        <f>VLOOKUP($A24,'Données projet'!$A$408:$I$428,2,0)</f>
        <v>#N/A</v>
      </c>
      <c r="KT24" s="12" t="e">
        <f>VLOOKUP($A24,'Données projet'!$A$408:$I$428,9,0)</f>
        <v>#N/A</v>
      </c>
      <c r="KU24" s="12">
        <f t="array" ref="KU24">INDEX(KT:KT,MIN(IF(ISNUMBER(KT24:KT220),ROW(KT24:KT220),"")))</f>
        <v>12.6</v>
      </c>
      <c r="KV24" s="12">
        <f>IF('Données projet'!$A$408&gt;35,KV23+KU24-LD23,IF($A24&lt;'Données projet'!$A$408,$CQ$205^$A24,IF($A24='Données projet'!$A$408,'Données projet'!$B$408,KV23+KU24-LD23)))</f>
        <v>64.600000000000009</v>
      </c>
      <c r="KW24" s="17">
        <f>KV24*VLOOKUP('Données projet'!$B$23,Paramètres!$A$1:$I$89,3,0)*VLOOKUP('Données projet'!$B$23,Paramètres!$A$1:$I$89,5,0)</f>
        <v>56.434560000000019</v>
      </c>
      <c r="KX24" s="13">
        <f t="shared" si="99"/>
        <v>16.26362505907256</v>
      </c>
      <c r="KY24" s="14">
        <f t="shared" si="43"/>
        <v>126.61600564455141</v>
      </c>
      <c r="KZ24" s="59">
        <f t="shared" si="44"/>
        <v>419.94933897788474</v>
      </c>
      <c r="LA24" s="59">
        <f ca="1">AVERAGE(OFFSET($KZ$3,0,0,'Données projet'!$E$23+1,1))-AVERAGE(OFFSET($H$3,0,0,'Données projet'!$E$23+1,1))</f>
        <v>248.33596943633819</v>
      </c>
      <c r="LB24" s="59">
        <f t="shared" si="100"/>
        <v>242.34010522344573</v>
      </c>
      <c r="LC24" s="15">
        <f>IF(ISNA(VLOOKUP($A24,'Données projet'!$A$408:$I$428,3,0)),0,VLOOKUP($A24,'Données projet'!$A$408:$I$428,3,0))</f>
        <v>0</v>
      </c>
      <c r="LD24" s="15">
        <f>IF(ISNA(VLOOKUP($A24,'Données projet'!$A$408:$I$428,4,0)),0,VLOOKUP($A24,'Données projet'!$A$408:$I$428,4,0))</f>
        <v>0</v>
      </c>
      <c r="LE24" s="16">
        <f>IF(ISNA(VLOOKUP($A24,'Données projet'!$A$408:$I$428,5,0)),0%,VLOOKUP($A24,'Données projet'!$A$408:$I$428,5,0)*VLOOKUP('Données projet'!$B$23,Paramètres!$A$1:$I$89,7,0))</f>
        <v>0</v>
      </c>
      <c r="LF24" s="16">
        <f>IF(ISNA(VLOOKUP($A24,'Données projet'!$A$408:$I$428,6,0)),0%,VLOOKUP($A24,'Données projet'!$A$408:$I$428,6,0)*VLOOKUP('Données projet'!$B$23,Paramètres!$A$1:$I$89,7,0))</f>
        <v>0</v>
      </c>
      <c r="LG24" s="16">
        <f>IF(ISNA(VLOOKUP($A24,'Données projet'!$A$408:$I$428,7,0)),0%,VLOOKUP($A24,'Données projet'!$A$408:$I$428,7,0))</f>
        <v>0</v>
      </c>
      <c r="LH24" s="21">
        <f>EXP(-LN(2)/35)*LH23+(1-EXP(-LN(2)/35))/(LN(2)/35)*LD24*LE24*VLOOKUP('Données projet'!$B$23,Paramètres!$A$1:$I$89,3,0)*0.475*44/12</f>
        <v>0</v>
      </c>
      <c r="LI24" s="21">
        <f>EXP(-LN(2)/25)*LI23+(1-EXP(-LN(2)/25))/(LN(2)/25)*Calculateur!LD24*Calculateur!LF24*VLOOKUP('Données projet'!$B$23,Paramètres!$A$1:$I$89,3,0)*0.475*44/12</f>
        <v>0</v>
      </c>
      <c r="LJ24" s="21">
        <f>EXP(-LN(2)/2)*LJ23+(1-EXP(-LN(2)/2))/(LN(2)/2)*LD24*LG24*VLOOKUP('Données projet'!$B$23,Paramètres!$A$1:$I$89,3,0)*0.475*44/12</f>
        <v>0</v>
      </c>
      <c r="LK24" s="22">
        <f t="shared" si="101"/>
        <v>0</v>
      </c>
      <c r="LL24" s="74">
        <f>('Scénario référence'!$F$8+'Scénario référence'!$F$9+'Scénario référence'!$B$17+'Scénario référence'!$B$9+'Scénario référence'!$B$10)*70+IF((45+25*(1-EXP(-0.0175*$A24)))&lt;70,'Scénario référence'!$B$16*(45+25*(1-EXP(-0.0175*$A24))),70*'Scénario référence'!$B$16)+IF((32+38*(1-EXP(-0.0175*$A24)))&lt;70,'Scénario référence'!$B$18*(32+38*(1-EXP(-0.0175*$A24))),70*'Scénario référence'!$B$18)</f>
        <v>70</v>
      </c>
      <c r="LM24" s="12">
        <f>IF($A24&gt;30,10,('Scénario référence'!$B$16+'Scénario référence'!$B$17+'Scénario référence'!$B$18+'Scénario référence'!$B$9+'Scénario référence'!$B$10)*$A24*10/30+('Scénario référence'!$F$8+'Scénario référence'!$F$9)*10)</f>
        <v>10</v>
      </c>
      <c r="LN24" s="12" t="e">
        <f>VLOOKUP($A24,'Données projet'!$A$434:$I$454,2,0)</f>
        <v>#N/A</v>
      </c>
      <c r="LO24" s="12" t="e">
        <f>VLOOKUP($A24,'Données projet'!$A$434:$I$454,9,0)</f>
        <v>#N/A</v>
      </c>
      <c r="LP24" s="12">
        <f t="array" ref="LP24">INDEX(LO:LO,MIN(IF(ISNUMBER(LO24:LO220),ROW(LO24:LO220),"")))</f>
        <v>2.9235042735042733</v>
      </c>
      <c r="LQ24" s="12">
        <f>IF('Données projet'!$A$434&gt;35,LQ23+LP24-LY23,IF($A24&lt;'Données projet'!$A$434,$CQ$205^$A24,IF($A24='Données projet'!$A$434,'Données projet'!$B$434,LQ23+LP24-LY23)))</f>
        <v>61.393589743589722</v>
      </c>
      <c r="LR24" s="17">
        <f>LQ24*VLOOKUP('Données projet'!$B$24,Paramètres!$A$1:$I$89,3,0)*VLOOKUP('Données projet'!$B$24,Paramètres!$A$1:$I$89,5,0)</f>
        <v>62.253099999999982</v>
      </c>
      <c r="LS24" s="13">
        <f t="shared" si="102"/>
        <v>17.73669545977717</v>
      </c>
      <c r="LT24" s="14">
        <f t="shared" si="46"/>
        <v>139.31556042577853</v>
      </c>
      <c r="LU24" s="59">
        <f t="shared" si="103"/>
        <v>432.64889375911184</v>
      </c>
      <c r="LV24" s="59">
        <f ca="1">AVERAGE(OFFSET($LU$3,0,0,'Données projet'!$E$24+1,1))-AVERAGE(OFFSET($H$3,0,0,'Données projet'!$E$24+1,1))</f>
        <v>260.52627655062872</v>
      </c>
      <c r="LW24" s="59">
        <f t="shared" si="104"/>
        <v>159.20429420478047</v>
      </c>
      <c r="LX24" s="15">
        <f>IF(ISNA(VLOOKUP($A24,'Données projet'!$A$434:$I$454,3,0)),0,VLOOKUP($A24,'Données projet'!$A$434:$I$454,3,0))</f>
        <v>0</v>
      </c>
      <c r="LY24" s="15">
        <f>IF(ISNA(VLOOKUP($A24,'Données projet'!$A$434:$I$454,4,0)),0,VLOOKUP($A24,'Données projet'!$A$434:$I$454,4,0))</f>
        <v>0</v>
      </c>
      <c r="LZ24" s="16">
        <f>IF(ISNA(VLOOKUP($A24,'Données projet'!$A$434:$I$454,5,0)),0%,VLOOKUP($A24,'Données projet'!$A$434:$I$454,5,0)*VLOOKUP('Données projet'!$B$24,Paramètres!$A$1:$I$89,7,0))</f>
        <v>0</v>
      </c>
      <c r="MA24" s="16">
        <f>IF(ISNA(VLOOKUP($A24,'Données projet'!$A$434:$I$454,6,0)),0%,VLOOKUP($A24,'Données projet'!$A$434:$I$454,6,0)*VLOOKUP('Données projet'!$B$24,Paramètres!$A$1:$I$89,7,0))</f>
        <v>0</v>
      </c>
      <c r="MB24" s="16">
        <f>IF(ISNA(VLOOKUP($A24,'Données projet'!$A$434:$I$454,7,0)),0%,VLOOKUP($A24,'Données projet'!$A$434:$I$454,7,0))</f>
        <v>0</v>
      </c>
      <c r="MC24" s="21">
        <f>EXP(-LN(2)/35)*MC23+(1-EXP(-LN(2)/35))/(LN(2)/35)*LY24*LZ24*VLOOKUP('Données projet'!$B$24,Paramètres!$A$1:$I$89,3,0)*0.475*44/12</f>
        <v>0</v>
      </c>
      <c r="MD24" s="21">
        <f>EXP(-LN(2)/25)*MD23+(1-EXP(-LN(2)/25))/(LN(2)/25)*Calculateur!LY24*Calculateur!MA24*VLOOKUP('Données projet'!$B$24,Paramètres!$A$1:$I$89,3,0)*0.475*44/12</f>
        <v>0</v>
      </c>
      <c r="ME24" s="21">
        <f>EXP(-LN(2)/2)*ME23+(1-EXP(-LN(2)/2))/(LN(2)/2)*LY24*MB24*VLOOKUP('Données projet'!$B$24,Paramètres!$A$1:$I$89,3,0)*0.475*44/12</f>
        <v>0</v>
      </c>
      <c r="MF24" s="22">
        <f t="shared" si="105"/>
        <v>0</v>
      </c>
      <c r="MG24" s="74">
        <f>('Scénario référence'!$F$8+'Scénario référence'!$F$9+'Scénario référence'!$B$17+'Scénario référence'!$B$9+'Scénario référence'!$B$10)*70+IF((45+25*(1-EXP(-0.0175*$A24)))&lt;70,'Scénario référence'!$B$16*(45+25*(1-EXP(-0.0175*$A24))),70*'Scénario référence'!$B$16)+IF((32+38*(1-EXP(-0.0175*$A24)))&lt;70,'Scénario référence'!$B$18*(32+38*(1-EXP(-0.0175*$A24))),70*'Scénario référence'!$B$18)</f>
        <v>70</v>
      </c>
      <c r="MH24" s="12">
        <f>IF($A24&gt;30,10,('Scénario référence'!$B$16+'Scénario référence'!$B$17+'Scénario référence'!$B$18+'Scénario référence'!$B$9+'Scénario référence'!$B$10)*$A24*10/30+('Scénario référence'!$F$8+'Scénario référence'!$F$9)*10)</f>
        <v>10</v>
      </c>
      <c r="MI24" s="12" t="e">
        <f>VLOOKUP($A24,'Données projet'!$A$460:$I$480,2,0)</f>
        <v>#N/A</v>
      </c>
      <c r="MJ24" s="12" t="e">
        <f>VLOOKUP($A24,'Données projet'!$A$460:$I$480,9,0)</f>
        <v>#N/A</v>
      </c>
      <c r="MK24" s="12">
        <f t="array" ref="MK24">INDEX(MJ:MJ,MIN(IF(ISNUMBER(MJ24:MJ220),ROW(MJ24:MJ220),"")))</f>
        <v>0</v>
      </c>
      <c r="ML24" s="12">
        <f>IF('Données projet'!$A$460&gt;35,ML23+MK24-MT23,IF($A24&lt;'Données projet'!$A$460,$CQ$205^$A24,IF($A24='Données projet'!$A$460,'Données projet'!$B$460,ML23+MK24-MT23)))</f>
        <v>0</v>
      </c>
      <c r="MM24" s="17" t="e">
        <f>ML24*VLOOKUP('Données projet'!$B$25,Paramètres!$A$1:$I$89,3,0)*VLOOKUP('Données projet'!$B$25,Paramètres!$A$1:$I$89,5,0)</f>
        <v>#N/A</v>
      </c>
      <c r="MN24" s="13" t="e">
        <f t="shared" si="106"/>
        <v>#N/A</v>
      </c>
      <c r="MO24" s="14" t="e">
        <f t="shared" si="49"/>
        <v>#N/A</v>
      </c>
      <c r="MP24" s="59" t="e">
        <f t="shared" si="50"/>
        <v>#N/A</v>
      </c>
      <c r="MQ24" s="20" t="e">
        <f ca="1">AVERAGE(OFFSET($MP$3,0,0,'Données projet'!$E$25+1,1))-AVERAGE(OFFSET($H$3,0,0,'Données projet'!$E$25+1,1))</f>
        <v>#N/A</v>
      </c>
      <c r="MR24" s="59" t="e">
        <f t="shared" si="107"/>
        <v>#N/A</v>
      </c>
      <c r="MS24" s="15">
        <f>IF(ISNA(VLOOKUP($A24,'Données projet'!$A$460:$I$480,3,0)),0,VLOOKUP($A24,'Données projet'!$A$460:$I$480,3,0))</f>
        <v>0</v>
      </c>
      <c r="MT24" s="15">
        <f>IF(ISNA(VLOOKUP($A24,'Données projet'!$A$460:$I$480,4,0)),0,VLOOKUP($A24,'Données projet'!$A$460:$I$480,4,0))</f>
        <v>0</v>
      </c>
      <c r="MU24" s="16">
        <f>IF(ISNA(VLOOKUP($A24,'Données projet'!$A$460:$I$480,5,0)),0%,VLOOKUP($A24,'Données projet'!$A$460:$I$480,5,0)*VLOOKUP('Données projet'!$B$25,Paramètres!$A$1:$I$89,7,0))</f>
        <v>0</v>
      </c>
      <c r="MV24" s="16">
        <f>IF(ISNA(VLOOKUP($A24,'Données projet'!$A$460:$I$480,6,0)),0%,VLOOKUP($A24,'Données projet'!$A$460:$I$480,6,0)*VLOOKUP('Données projet'!$B$25,Paramètres!$A$1:$I$89,7,0))</f>
        <v>0</v>
      </c>
      <c r="MW24" s="16">
        <f>IF(ISNA(VLOOKUP($A24,'Données projet'!$A$460:$I$480,7,0)),0%,VLOOKUP($A24,'Données projet'!$A$460:$I$480,7,0))</f>
        <v>0</v>
      </c>
      <c r="MX24" s="21" t="e">
        <f>EXP(-LN(2)/35)*MX23+(1-EXP(-LN(2)/35))/(LN(2)/35)*MT24*MU24*VLOOKUP('Données projet'!$B$25,Paramètres!$A$1:$I$89,3,0)*0.475*44/12</f>
        <v>#N/A</v>
      </c>
      <c r="MY24" s="21" t="e">
        <f>EXP(-LN(2)/25)*MY23+(1-EXP(-LN(2)/25))/(LN(2)/25)*Calculateur!MT24*Calculateur!MV24*VLOOKUP('Données projet'!$B$25,Paramètres!$A$1:$I$89,3,0)*0.475*44/12</f>
        <v>#N/A</v>
      </c>
      <c r="MZ24" s="21" t="e">
        <f>EXP(-LN(2)/2)*MZ23+(1-EXP(-LN(2)/2))/(LN(2)/2)*MT24*MW24*VLOOKUP('Données projet'!$B$25,Paramètres!$A$1:$I$89,3,0)*0.475*44/12</f>
        <v>#N/A</v>
      </c>
      <c r="NA24" s="22" t="e">
        <f t="shared" si="108"/>
        <v>#N/A</v>
      </c>
      <c r="NB24" s="74">
        <f>('Scénario référence'!$F$8+'Scénario référence'!$F$9+'Scénario référence'!$B$17+'Scénario référence'!$B$9+'Scénario référence'!$B$10)*70+IF((45+25*(1-EXP(-0.0175*$A24)))&lt;70,'Scénario référence'!$B$16*(45+25*(1-EXP(-0.0175*$A24))),70*'Scénario référence'!$B$16)+IF((32+38*(1-EXP(-0.0175*$A24)))&lt;70,'Scénario référence'!$B$18*(32+38*(1-EXP(-0.0175*$A24))),70*'Scénario référence'!$B$18)</f>
        <v>70</v>
      </c>
      <c r="NC24" s="12">
        <f>IF($A24&gt;30,10,('Scénario référence'!$B$16+'Scénario référence'!$B$17+'Scénario référence'!$B$18+'Scénario référence'!$B$9+'Scénario référence'!$B$10)*$A24*10/30+('Scénario référence'!$F$8+'Scénario référence'!$F$9)*10)</f>
        <v>10</v>
      </c>
      <c r="ND24" s="12" t="e">
        <f>VLOOKUP($A24,'Données projet'!$A$486:$I$506,2,0)</f>
        <v>#N/A</v>
      </c>
      <c r="NE24" s="12" t="e">
        <f>VLOOKUP($A24,'Données projet'!$A$486:$I$506,9,0)</f>
        <v>#N/A</v>
      </c>
      <c r="NF24" s="12">
        <f t="array" ref="NF24">INDEX(NE:NE,MIN(IF(ISNUMBER(NE24:NE220),ROW(NE24:NE220),"")))</f>
        <v>0</v>
      </c>
      <c r="NG24" s="12">
        <f>IF('Données projet'!$A$486&gt;35,NG23+NF24-NO23,IF($A24&lt;'Données projet'!$A$486,$CQ$205^$A24,IF($A24='Données projet'!$A$486,'Données projet'!$B$486,NG23+NF24-NO23)))</f>
        <v>0</v>
      </c>
      <c r="NH24" s="17" t="e">
        <f>NG24*VLOOKUP('Données projet'!$B$26,Paramètres!$A$1:$I$89,3,0)*VLOOKUP('Données projet'!$B$26,Paramètres!$A$1:$I$89,5,0)</f>
        <v>#N/A</v>
      </c>
      <c r="NI24" s="13" t="e">
        <f t="shared" si="109"/>
        <v>#N/A</v>
      </c>
      <c r="NJ24" s="14" t="e">
        <f t="shared" si="52"/>
        <v>#N/A</v>
      </c>
      <c r="NK24" s="59" t="e">
        <f t="shared" si="53"/>
        <v>#N/A</v>
      </c>
      <c r="NL24" s="20" t="e">
        <f ca="1">AVERAGE(OFFSET($NK$3,0,0,'Données projet'!$E$26+1,1))-AVERAGE(OFFSET($H$3,0,0,'Données projet'!$E$26+1,1))</f>
        <v>#N/A</v>
      </c>
      <c r="NM24" s="59" t="e">
        <f t="shared" si="110"/>
        <v>#N/A</v>
      </c>
      <c r="NN24" s="15">
        <f>IF(ISNA(VLOOKUP($A24,'Données projet'!$A$486:$I$506,3,0)),0,VLOOKUP($A24,'Données projet'!$A$486:$I$506,3,0))</f>
        <v>0</v>
      </c>
      <c r="NO24" s="15">
        <f>IF(ISNA(VLOOKUP($A24,'Données projet'!$A$486:$I$506,4,0)),0,VLOOKUP($A24,'Données projet'!$A$486:$I$506,4,0))</f>
        <v>0</v>
      </c>
      <c r="NP24" s="16">
        <f>IF(ISNA(VLOOKUP($A24,'Données projet'!$A$486:$I$506,5,0)),0%,VLOOKUP($A24,'Données projet'!$A$486:$I$506,5,0)*VLOOKUP('Données projet'!$B$26,Paramètres!$A$1:$I$89,7,0))</f>
        <v>0</v>
      </c>
      <c r="NQ24" s="16">
        <f>IF(ISNA(VLOOKUP($A24,'Données projet'!$A$486:$I$506,6,0)),0%,VLOOKUP($A24,'Données projet'!$A$486:$I$506,6,0)*VLOOKUP('Données projet'!$B$26,Paramètres!$A$1:$I$89,7,0))</f>
        <v>0</v>
      </c>
      <c r="NR24" s="16">
        <f>IF(ISNA(VLOOKUP($A24,'Données projet'!$A$486:$I$506,7,0)),0%,VLOOKUP($A24,'Données projet'!$A$486:$I$506,7,0))</f>
        <v>0</v>
      </c>
      <c r="NS24" s="21" t="e">
        <f>EXP(-LN(2)/35)*NS23+(1-EXP(-LN(2)/35))/(LN(2)/35)*NO24*NP24*VLOOKUP('Données projet'!$B$26,Paramètres!$A$1:$I$89,3,0)*0.475*44/12</f>
        <v>#N/A</v>
      </c>
      <c r="NT24" s="21" t="e">
        <f>EXP(-LN(2)/25)*NT23+(1-EXP(-LN(2)/25))/(LN(2)/25)*Calculateur!NO24*Calculateur!NQ24*VLOOKUP('Données projet'!$B$26,Paramètres!$A$1:$I$89,3,0)*0.475*44/12</f>
        <v>#N/A</v>
      </c>
      <c r="NU24" s="21" t="e">
        <f>EXP(-LN(2)/2)*NU23+(1-EXP(-LN(2)/2))/(LN(2)/2)*NO24*NR24*VLOOKUP('Données projet'!$B$26,Paramètres!$A$1:$I$89,3,0)*0.475*44/12</f>
        <v>#N/A</v>
      </c>
      <c r="NV24" s="22" t="e">
        <f t="shared" si="111"/>
        <v>#N/A</v>
      </c>
      <c r="NW24" s="74">
        <f>('Scénario référence'!$F$8+'Scénario référence'!$F$9+'Scénario référence'!$B$17+'Scénario référence'!$B$9+'Scénario référence'!$B$10)*70+IF((45+25*(1-EXP(-0.0175*$A24)))&lt;70,'Scénario référence'!$B$16*(45+25*(1-EXP(-0.0175*$A24))),70*'Scénario référence'!$B$16)+IF((32+38*(1-EXP(-0.0175*$A24)))&lt;70,'Scénario référence'!$B$18*(32+38*(1-EXP(-0.0175*$A24))),70*'Scénario référence'!$B$18)</f>
        <v>70</v>
      </c>
      <c r="NX24" s="12">
        <f>IF($A24&gt;30,10,('Scénario référence'!$B$16+'Scénario référence'!$B$17+'Scénario référence'!$B$18+'Scénario référence'!$B$9+'Scénario référence'!$B$10)*$A24*10/30+('Scénario référence'!$F$8+'Scénario référence'!$F$9)*10)</f>
        <v>10</v>
      </c>
      <c r="NY24" s="12" t="e">
        <f>VLOOKUP($A24,'Données projet'!$A$512:$I$532,2,0)</f>
        <v>#N/A</v>
      </c>
      <c r="NZ24" s="12" t="e">
        <f>VLOOKUP($A24,'Données projet'!$A$512:$I$532,9,0)</f>
        <v>#N/A</v>
      </c>
      <c r="OA24" s="12">
        <f t="array" ref="OA24">INDEX(NZ:NZ,MIN(IF(ISNUMBER(NZ24:NZ220),ROW(NZ24:NZ220),"")))</f>
        <v>0</v>
      </c>
      <c r="OB24" s="12">
        <f>IF('Données projet'!$A$512&gt;35,OB23+OA24-OJ23,IF($A24&lt;'Données projet'!$A$512,$CQ$205^$A24,IF($A24='Données projet'!$A$512,'Données projet'!$B$512,OB23+OA24-OJ23)))</f>
        <v>0</v>
      </c>
      <c r="OC24" s="17" t="e">
        <f>OB24*VLOOKUP('Données projet'!$B$27,Paramètres!$A$1:$I$89,3,0)*VLOOKUP('Données projet'!$B$27,Paramètres!$A$1:$I$89,5,0)</f>
        <v>#N/A</v>
      </c>
      <c r="OD24" s="13" t="e">
        <f t="shared" si="112"/>
        <v>#N/A</v>
      </c>
      <c r="OE24" s="14" t="e">
        <f t="shared" si="55"/>
        <v>#N/A</v>
      </c>
      <c r="OF24" s="59" t="e">
        <f t="shared" si="56"/>
        <v>#N/A</v>
      </c>
      <c r="OG24" s="20" t="e">
        <f ca="1">AVERAGE(OFFSET($OF$3,0,0,'Données projet'!$E$27+1,1))-AVERAGE(OFFSET($H$3,0,0,'Données projet'!$E$27+1,1))</f>
        <v>#N/A</v>
      </c>
      <c r="OH24" s="59" t="e">
        <f t="shared" si="113"/>
        <v>#N/A</v>
      </c>
      <c r="OI24" s="15">
        <f>IF(ISNA(VLOOKUP($A24,'Données projet'!$A$512:$I$532,3,0)),0,VLOOKUP($A24,'Données projet'!$A$512:$I$532,3,0))</f>
        <v>0</v>
      </c>
      <c r="OJ24" s="15">
        <f>IF(ISNA(VLOOKUP($A24,'Données projet'!$A$512:$I$532,4,0)),0,VLOOKUP($A24,'Données projet'!$A$512:$I$532,4,0))</f>
        <v>0</v>
      </c>
      <c r="OK24" s="16">
        <f>IF(ISNA(VLOOKUP($A24,'Données projet'!$A$512:$I$532,5,0)),0%,VLOOKUP($A24,'Données projet'!$A$512:$I$532,5,0)*VLOOKUP('Données projet'!$B$27,Paramètres!$A$1:$I$89,7,0))</f>
        <v>0</v>
      </c>
      <c r="OL24" s="16">
        <f>IF(ISNA(VLOOKUP($A24,'Données projet'!$A$512:$I$532,6,0)),0%,VLOOKUP($A24,'Données projet'!$A$512:$I$532,6,0)*VLOOKUP('Données projet'!$B$27,Paramètres!$A$1:$I$89,7,0))</f>
        <v>0</v>
      </c>
      <c r="OM24" s="16">
        <f>IF(ISNA(VLOOKUP($A24,'Données projet'!$A$512:$I$532,7,0)),0%,VLOOKUP($A24,'Données projet'!$A$512:$I$532,7,0))</f>
        <v>0</v>
      </c>
      <c r="ON24" s="21" t="e">
        <f>EXP(-LN(2)/35)*ON23+(1-EXP(-LN(2)/35))/(LN(2)/35)*OJ24*OK24*VLOOKUP('Données projet'!$B$27,Paramètres!$A$1:$I$89,3,0)*0.475*44/12</f>
        <v>#N/A</v>
      </c>
      <c r="OO24" s="21" t="e">
        <f>EXP(-LN(2)/25)*OO23+(1-EXP(-LN(2)/25))/(LN(2)/25)*Calculateur!OJ24*Calculateur!OL24*VLOOKUP('Données projet'!$B$27,Paramètres!$A$1:$I$89,3,0)*0.475*44/12</f>
        <v>#N/A</v>
      </c>
      <c r="OP24" s="21" t="e">
        <f>EXP(-LN(2)/2)*OP23+(1-EXP(-LN(2)/2))/(LN(2)/2)*OJ24*OM24*VLOOKUP('Données projet'!$B$27,Paramètres!$A$1:$I$89,3,0)*0.475*44/12</f>
        <v>#N/A</v>
      </c>
      <c r="OQ24" s="22" t="e">
        <f t="shared" si="114"/>
        <v>#N/A</v>
      </c>
      <c r="OR24" s="74">
        <f>('Scénario référence'!$F$8+'Scénario référence'!$F$9+'Scénario référence'!$B$17+'Scénario référence'!$B$9+'Scénario référence'!$B$10)*70+IF((45+25*(1-EXP(-0.0175*$A24)))&lt;70,'Scénario référence'!$B$16*(45+25*(1-EXP(-0.0175*$A24))),70*'Scénario référence'!$B$16)+IF((32+38*(1-EXP(-0.0175*$A24)))&lt;70,'Scénario référence'!$B$18*(32+38*(1-EXP(-0.0175*$A24))),70*'Scénario référence'!$B$18)</f>
        <v>70</v>
      </c>
      <c r="OS24" s="12">
        <f>IF($A24&gt;30,10,('Scénario référence'!$B$16+'Scénario référence'!$B$17+'Scénario référence'!$B$18+'Scénario référence'!$B$9+'Scénario référence'!$B$10)*$A24*10/30+('Scénario référence'!$F$8+'Scénario référence'!$F$9)*10)</f>
        <v>10</v>
      </c>
      <c r="OT24" s="12" t="e">
        <f>VLOOKUP($A24,'Données projet'!$A$538:$I$558,2,0)</f>
        <v>#N/A</v>
      </c>
      <c r="OU24" s="12" t="e">
        <f>VLOOKUP($A24,'Données projet'!$A$538:$I$558,9,0)</f>
        <v>#N/A</v>
      </c>
      <c r="OV24" s="12">
        <f t="array" ref="OV24">INDEX(OU:OU,MIN(IF(ISNUMBER(OU24:OU220),ROW(OU24:OU220),"")))</f>
        <v>0</v>
      </c>
      <c r="OW24" s="12">
        <f>IF('Données projet'!$A$538&gt;35,OW23+OV24-PE23,IF($A24&lt;'Données projet'!$A$538,$CQ$205^$A24,IF($A24='Données projet'!$A$538,'Données projet'!$B$538,OW23+OV24-PE23)))</f>
        <v>0</v>
      </c>
      <c r="OX24" s="17" t="e">
        <f>OW24*VLOOKUP('Données projet'!$B$28,Paramètres!$A$1:$I$89,3,0)*VLOOKUP('Données projet'!$B$28,Paramètres!$A$1:$I$89,5,0)</f>
        <v>#N/A</v>
      </c>
      <c r="OY24" s="13" t="e">
        <f t="shared" si="115"/>
        <v>#N/A</v>
      </c>
      <c r="OZ24" s="14" t="e">
        <f t="shared" si="58"/>
        <v>#N/A</v>
      </c>
      <c r="PA24" s="59" t="e">
        <f t="shared" si="59"/>
        <v>#N/A</v>
      </c>
      <c r="PB24" s="20" t="e">
        <f ca="1">AVERAGE(OFFSET($PA$3,0,0,'Données projet'!$E$28+1,1))-AVERAGE(OFFSET($H$3,0,0,'Données projet'!$E$28+1,1))</f>
        <v>#N/A</v>
      </c>
      <c r="PC24" s="59" t="e">
        <f t="shared" si="116"/>
        <v>#N/A</v>
      </c>
      <c r="PD24" s="15">
        <f>IF(ISNA(VLOOKUP($A24,'Données projet'!$A$538:$I$558,3,0)),0,VLOOKUP($A24,'Données projet'!$A$538:$I$558,3,0))</f>
        <v>0</v>
      </c>
      <c r="PE24" s="15">
        <f>IF(ISNA(VLOOKUP($A24,'Données projet'!$A$538:$I$558,4,0)),0,VLOOKUP($A24,'Données projet'!$A$538:$I$558,4,0))</f>
        <v>0</v>
      </c>
      <c r="PF24" s="16">
        <f>IF(ISNA(VLOOKUP($A24,'Données projet'!$A$538:$I$558,5,0)),0%,VLOOKUP($A24,'Données projet'!$A$538:$I$558,5,0)*VLOOKUP('Données projet'!$B$28,Paramètres!$A$1:$I$89,7,0))</f>
        <v>0</v>
      </c>
      <c r="PG24" s="16">
        <f>IF(ISNA(VLOOKUP($A24,'Données projet'!$A$538:$I$558,6,0)),0%,VLOOKUP($A24,'Données projet'!$A$538:$I$558,6,0)*VLOOKUP('Données projet'!$B$28,Paramètres!$A$1:$I$89,7,0))</f>
        <v>0</v>
      </c>
      <c r="PH24" s="16">
        <f>IF(ISNA(VLOOKUP($A24,'Données projet'!$A$538:$I$558,7,0)),0%,VLOOKUP($A24,'Données projet'!$A$538:$I$558,7,0))</f>
        <v>0</v>
      </c>
      <c r="PI24" s="21" t="e">
        <f>EXP(-LN(2)/35)*PI23+(1-EXP(-LN(2)/35))/(LN(2)/35)*PE24*PF24*VLOOKUP('Données projet'!$B$28,Paramètres!$A$1:$I$89,3,0)*0.475*44/12</f>
        <v>#N/A</v>
      </c>
      <c r="PJ24" s="21" t="e">
        <f>EXP(-LN(2)/25)*PJ23+(1-EXP(-LN(2)/25))/(LN(2)/25)*Calculateur!PE24*Calculateur!PG24*VLOOKUP('Données projet'!$B$28,Paramètres!$A$1:$I$89,3,0)*0.475*44/12</f>
        <v>#N/A</v>
      </c>
      <c r="PK24" s="21" t="e">
        <f>EXP(-LN(2)/2)*PK23+(1-EXP(-LN(2)/2))/(LN(2)/2)*PE24*PH24*VLOOKUP('Données projet'!$B$28,Paramètres!$A$1:$I$89,3,0)*0.475*44/12</f>
        <v>#N/A</v>
      </c>
      <c r="PL24" s="22" t="e">
        <f t="shared" si="117"/>
        <v>#N/A</v>
      </c>
    </row>
    <row r="25" spans="1:428" x14ac:dyDescent="0.35">
      <c r="A25" s="10">
        <f t="shared" si="6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6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projet'!$A$45:$I$65,2,0)</f>
        <v>#N/A</v>
      </c>
      <c r="L25" s="12" t="e">
        <f>VLOOKUP(A25,'Données projet'!$A$45:$I$65,9,0)</f>
        <v>#N/A</v>
      </c>
      <c r="M25" s="12">
        <f t="array" ref="M25">INDEX(L:L,MIN(IF(ISNUMBER(L25:L221),ROW(L25:L221),"")))</f>
        <v>20.658974358974358</v>
      </c>
      <c r="N25" s="13">
        <f>IF('Données projet'!$A$46&gt;35,N24+M25-V24,IF(A25&lt;'Données projet'!$A$46,$K$205^A25,IF(A25='Données projet'!$A$46,'Données projet'!$B$46,N24+M25-V24)))</f>
        <v>196.24358974358969</v>
      </c>
      <c r="O25" s="13">
        <f>N25*VLOOKUP('Données projet'!$B$9,Paramètres!$A$1:$I$89,3,0)*VLOOKUP('Données projet'!$B$9,Paramètres!$A$1:$I$89,5,0)</f>
        <v>109.70016666666663</v>
      </c>
      <c r="P25" s="13">
        <f t="shared" si="63"/>
        <v>29.260330282475415</v>
      </c>
      <c r="Q25" s="20">
        <f t="shared" si="2"/>
        <v>242.02286551975575</v>
      </c>
      <c r="R25" s="59">
        <f t="shared" si="0"/>
        <v>535.35619885308904</v>
      </c>
      <c r="S25" s="59">
        <f ca="1">AVERAGE(OFFSET($R$3,0,0,'Données projet'!$E$9+1,1))-AVERAGE(OFFSET($H$3,0,0,'Données projet'!$E$9+1,1))</f>
        <v>274.57619581652199</v>
      </c>
      <c r="T25" s="59">
        <f t="shared" si="64"/>
        <v>366.15117322598775</v>
      </c>
      <c r="U25" s="15">
        <f>IF(ISNA(VLOOKUP(A25,'Données projet'!$A$45:$I$65,3,0)),0,VLOOKUP(A25,'Données projet'!$A$45:$I$65,3,0))</f>
        <v>0</v>
      </c>
      <c r="V25" s="15">
        <f>IF(ISNA(VLOOKUP(A25,'Données projet'!$A$45:$I$65,4,0)),0,VLOOKUP(A25,'Données projet'!$A$45:$I$65,4,0))</f>
        <v>0</v>
      </c>
      <c r="W25" s="16">
        <f>IF(ISNA(VLOOKUP(A25,'Données projet'!$A$45:$I$65,5,0)),0%,VLOOKUP(A25,'Données projet'!$A$45:$I$65,5,0)*VLOOKUP('Données projet'!$B$9,Paramètres!$A$1:$I$89,7,0))</f>
        <v>0</v>
      </c>
      <c r="X25" s="16">
        <f>IF(ISNA(VLOOKUP(A25,'Données projet'!$A$45:$I$65,6,0)),0%,VLOOKUP(A25,'Données projet'!$A$45:$I$65,6,0)*VLOOKUP('Données projet'!$B$9,Paramètres!$A$1:$I$89,7,0))</f>
        <v>0</v>
      </c>
      <c r="Y25" s="16">
        <f>IF(ISNA(VLOOKUP(A25,'Données projet'!$A$45:$I$65,7,0)),0%,VLOOKUP(A25,'Données projet'!$A$45:$I$65,7,0))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14.107482941808591</v>
      </c>
      <c r="AB25" s="21">
        <f>EXP(-LN(2)/2)*AB24+(1-EXP(-LN(2)/2))/(LN(2)/2)*V25*Y25*VLOOKUP('Données projet'!$B$9,Paramètres!$A$1:$I$89,3,0)*0.475*44/12</f>
        <v>4.8236617117072758</v>
      </c>
      <c r="AC25" s="22">
        <f t="shared" si="3"/>
        <v>18.931144653515865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projet'!$A$71:$I$91,2,0)</f>
        <v>#N/A</v>
      </c>
      <c r="AG25" s="12" t="e">
        <f>VLOOKUP(A25,'Données projet'!$A$71:$I$91,9,0)</f>
        <v>#N/A</v>
      </c>
      <c r="AH25" s="12">
        <f t="array" ref="AH25">INDEX(AG:AG,MIN(IF(ISNUMBER(AG25:AG221),ROW(AG25:AG221),"")))</f>
        <v>4.0628205128205126</v>
      </c>
      <c r="AI25" s="13">
        <f>IF('Données projet'!$A$72&gt;35,AI24+AH25-AQ24,IF(A25&lt;'Données projet'!$A$72,$AF$205^A25,IF(A25='Données projet'!$A$72,'Données projet'!$B$72,AI24+AH25-AQ24)))</f>
        <v>33.860693883812012</v>
      </c>
      <c r="AJ25" s="13">
        <f>AI25*VLOOKUP('Données projet'!$B$10,Paramètres!$A$1:$I$89,3,0)*VLOOKUP('Données projet'!$B$10,Paramètres!$A$1:$I$89,5,0)</f>
        <v>30.637155826073108</v>
      </c>
      <c r="AK25" s="13">
        <f t="shared" si="65"/>
        <v>9.4798440138175533</v>
      </c>
      <c r="AL25" s="20">
        <f t="shared" si="4"/>
        <v>69.870441387809549</v>
      </c>
      <c r="AM25" s="59">
        <f t="shared" si="5"/>
        <v>363.20377472114285</v>
      </c>
      <c r="AN25" s="59">
        <f ca="1">AVERAGE(OFFSET($AM$3,0,0,'Données projet'!$E$10+1,1))-AVERAGE(OFFSET($H$3,0,0,'Données projet'!$E$10+1,1))</f>
        <v>270.87836509222456</v>
      </c>
      <c r="AO25" s="59">
        <f t="shared" si="66"/>
        <v>205.24998237949734</v>
      </c>
      <c r="AP25" s="15">
        <f>IF(ISNA(VLOOKUP(A25,'Données projet'!$A$71:$I$91,3,0)),0,VLOOKUP(A25,'Données projet'!$A$71:$I$91,3,0))</f>
        <v>0</v>
      </c>
      <c r="AQ25" s="15">
        <f>IF(ISNA(VLOOKUP(A25,'Données projet'!$A$71:$I$91,4,0)),0,VLOOKUP(A25,'Données projet'!$A$71:$I$91,4,0))</f>
        <v>0</v>
      </c>
      <c r="AR25" s="16">
        <f>IF(ISNA(VLOOKUP(A25,'Données projet'!$A$71:$I$91,5,0)),0%,VLOOKUP(A25,'Données projet'!$A$71:$I$91,5,0)*VLOOKUP('Données projet'!$B$10,Paramètres!$A$1:$I$89,7,0))</f>
        <v>0</v>
      </c>
      <c r="AS25" s="16">
        <f>IF(ISNA(VLOOKUP(A25,'Données projet'!$A$71:$I$91,6,0)),0%,VLOOKUP(A25,'Données projet'!$A$71:$I$91,6,0)*VLOOKUP('Données projet'!$B$10,Paramètres!$A$1:$I$89,7,0))</f>
        <v>0</v>
      </c>
      <c r="AT25" s="16">
        <f>IF(ISNA(VLOOKUP(A25,'Données projet'!$A$71:$I$91,7,0)),0%,VLOOKUP(A25,'Données projet'!$A$71:$I$91,7,0))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projet'!$A$97:$I$117,2,0)</f>
        <v>#N/A</v>
      </c>
      <c r="BB25" s="12" t="e">
        <f>VLOOKUP(A25,'Données projet'!$A$97:$I$117,9,0)</f>
        <v>#N/A</v>
      </c>
      <c r="BC25" s="12">
        <f t="array" ref="BC25">INDEX(BB:BB,MIN(IF(ISNUMBER(BB25:BB221),ROW(BB25:BB221),"")))</f>
        <v>20.658974358974358</v>
      </c>
      <c r="BD25" s="12">
        <f>IF('Données projet'!$A$98&gt;35,BD24+BC25-BL24,IF(A25&lt;'Données projet'!$A$98,$BA$205^A25,IF(A25='Données projet'!$A$98,'Données projet'!$B$98,BD24+BC25-BL24)))</f>
        <v>196.24358974358969</v>
      </c>
      <c r="BE25" s="13">
        <f>BD25*VLOOKUP('Données projet'!$B$11,Paramètres!$A$1:$I$89,3,0)*VLOOKUP('Données projet'!$B$11,Paramètres!$A$1:$I$89,5,0)</f>
        <v>86.739666666666665</v>
      </c>
      <c r="BF25" s="13">
        <f t="shared" si="67"/>
        <v>23.777230491348298</v>
      </c>
      <c r="BG25" s="20">
        <f t="shared" si="7"/>
        <v>192.48359588354273</v>
      </c>
      <c r="BH25" s="59">
        <f t="shared" si="8"/>
        <v>485.81692921687602</v>
      </c>
      <c r="BI25" s="59">
        <f ca="1">AVERAGE(OFFSET($BH$3,0,0,'Données projet'!$E$11+1,1))-AVERAGE(OFFSET($H$3,0,0,'Données projet'!$E$11+1,1))</f>
        <v>211.31057120485542</v>
      </c>
      <c r="BJ25" s="59">
        <f t="shared" si="68"/>
        <v>283.33292006714777</v>
      </c>
      <c r="BK25" s="15">
        <f>IF(ISNA(VLOOKUP(A25,'Données projet'!$A$97:$I$117,3,0)),0,VLOOKUP(A25,'Données projet'!$A$97:$I$117,3,0))</f>
        <v>0</v>
      </c>
      <c r="BL25" s="15">
        <f>IF(ISNA(VLOOKUP(A25,'Données projet'!$A$97:$I$117,4,0)),0,VLOOKUP(A25,'Données projet'!$A$97:$I$117,4,0))</f>
        <v>0</v>
      </c>
      <c r="BM25" s="16">
        <f>IF(ISNA(VLOOKUP(A25,'Données projet'!$A$97:$I$117,5,0)),0%,VLOOKUP(A25,'Données projet'!$A$97:$I$117,5,0)*VLOOKUP('Données projet'!$B$11,Paramètres!$A$1:$I$89,7,0))</f>
        <v>0</v>
      </c>
      <c r="BN25" s="16">
        <f>IF(ISNA(VLOOKUP(A25,'Données projet'!$A$97:$I$117,6,0)),0%,VLOOKUP(A25,'Données projet'!$A$97:$I$117,6,0)*VLOOKUP('Données projet'!$B$11,Paramètres!$A$1:$I$89,7,0))</f>
        <v>0</v>
      </c>
      <c r="BO25" s="16">
        <f>IF(ISNA(VLOOKUP(A25,'Données projet'!$A$97:$I$117,7,0)),0%,VLOOKUP(A25,'Données projet'!$A$97:$I$117,7,0))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11.154753953988189</v>
      </c>
      <c r="BR25" s="21">
        <f>EXP(-LN(2)/2)*BR24+(1-EXP(-LN(2)/2))/(LN(2)/2)*BL25*BO25*VLOOKUP('Données projet'!$B$11,Paramètres!$A$1:$I$89,3,0)*0.475*44/12</f>
        <v>3.814058097629009</v>
      </c>
      <c r="BS25" s="22">
        <f t="shared" si="9"/>
        <v>14.968812051617199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projet'!$A$123:$I$143,2,0)</f>
        <v>#N/A</v>
      </c>
      <c r="BW25" s="12" t="e">
        <f>VLOOKUP(A25,'Données projet'!$A$123:$I$143,9,0)</f>
        <v>#N/A</v>
      </c>
      <c r="BX25" s="12">
        <f t="array" ref="BX25">INDEX(BW:BW,MIN(IF(ISNUMBER(BW25:BW221),ROW(BW25:BW221),"")))</f>
        <v>10.199999999999999</v>
      </c>
      <c r="BY25" s="12">
        <f>IF('Données projet'!$A$124&gt;35,BY24+BX25-CG24,IF(A25&lt;'Données projet'!$A$124,$BV$205^A25,IF(A25='Données projet'!$A$124,'Données projet'!$B$124,BY24+BX25-CG24)))</f>
        <v>95.399999999999991</v>
      </c>
      <c r="BZ25" s="13">
        <f>BY25*VLOOKUP('Données projet'!$B$12,Paramètres!$A$1:$I$89,3,0)*VLOOKUP('Données projet'!$B$12,Paramètres!$A$1:$I$89,5,0)</f>
        <v>99.71208</v>
      </c>
      <c r="CA25" s="13">
        <f t="shared" si="69"/>
        <v>26.893393072251083</v>
      </c>
      <c r="CB25" s="20">
        <f t="shared" si="10"/>
        <v>220.50453226750395</v>
      </c>
      <c r="CC25" s="59">
        <f t="shared" si="11"/>
        <v>513.83786560083729</v>
      </c>
      <c r="CD25" s="59">
        <f ca="1">AVERAGE(OFFSET($CC$3,0,0,'Données projet'!$E$12+1,1))-AVERAGE(OFFSET($H$3,0,0,'Données projet'!$E$12+1,1))</f>
        <v>322.93502595881938</v>
      </c>
      <c r="CE25" s="59">
        <f t="shared" si="70"/>
        <v>302.67072119588164</v>
      </c>
      <c r="CF25" s="15">
        <f>IF(ISNA(VLOOKUP(A25,'Données projet'!$A$123:$I$143,3,0)),0,VLOOKUP(A25,'Données projet'!$A$123:$I$143,3,0))</f>
        <v>0</v>
      </c>
      <c r="CG25" s="15">
        <f>IF(ISNA(VLOOKUP(A25,'Données projet'!$A$123:$I$143,4,0)),0,VLOOKUP(A25,'Données projet'!$A$123:$I$143,4,0))</f>
        <v>0</v>
      </c>
      <c r="CH25" s="16">
        <f>IF(ISNA(VLOOKUP(A25,'Données projet'!$A$123:$I$143,5,0)),0%,VLOOKUP(A25,'Données projet'!$A$123:$I$143,5,0)*VLOOKUP('Données projet'!$B$12,Paramètres!$A$1:$I$89,7,0))</f>
        <v>0</v>
      </c>
      <c r="CI25" s="16">
        <f>IF(ISNA(VLOOKUP(A25,'Données projet'!$A$123:$I$143,6,0)),0%,VLOOKUP(A25,'Données projet'!$A$123:$I$143,6,0)*VLOOKUP('Données projet'!$B$12,Paramètres!$A$1:$I$89,7,0))</f>
        <v>0</v>
      </c>
      <c r="CJ25" s="16">
        <f>IF(ISNA(VLOOKUP(A25,'Données projet'!$A$123:$I$143,7,0)),0%,VLOOKUP(A25,'Données projet'!$A$123:$I$143,7,0))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projet'!$A$149:$I$169,2,0)</f>
        <v>#N/A</v>
      </c>
      <c r="CR25" s="12" t="e">
        <f>VLOOKUP(A25,'Données projet'!$A$149:$I$169,9,0)</f>
        <v>#N/A</v>
      </c>
      <c r="CS25" s="12">
        <f t="array" ref="CS25">INDEX(CR:CR,MIN(IF(ISNUMBER(CR25:CR221),ROW(CR25:CR221),"")))</f>
        <v>2.9235042735042733</v>
      </c>
      <c r="CT25" s="12">
        <f>IF('Données projet'!$A$150&gt;35,CT24+CS25-DB24,IF(A25&lt;'Données projet'!$A$150,$CQ$205^A25,IF(A25='Données projet'!$A$150,'Données projet'!$B$150,CT24+CS25-DB24)))</f>
        <v>26.600205452048144</v>
      </c>
      <c r="CU25" s="17">
        <f>CT25*VLOOKUP('Données projet'!$B$13,Paramètres!$A$1:$I$89,3,0)*VLOOKUP('Données projet'!$B$13,Paramètres!$A$1:$I$89,5,0)</f>
        <v>26.972608328376822</v>
      </c>
      <c r="CV25" s="13">
        <f t="shared" si="71"/>
        <v>8.4706274241085247</v>
      </c>
      <c r="CW25" s="20">
        <f t="shared" si="13"/>
        <v>61.730302268911977</v>
      </c>
      <c r="CX25" s="59">
        <f t="shared" si="14"/>
        <v>355.06363560224531</v>
      </c>
      <c r="CY25" s="59">
        <f ca="1">AVERAGE(OFFSET($CX$3,0,0,'Données projet'!$E$13+1,1))-AVERAGE(OFFSET($H$3,0,0,'Données projet'!$E$13+1,1))</f>
        <v>250.31277422753283</v>
      </c>
      <c r="CZ25" s="59">
        <f t="shared" si="72"/>
        <v>159.20429420478047</v>
      </c>
      <c r="DA25" s="15">
        <f>IF(ISNA(VLOOKUP(A25,'Données projet'!$A$149:$I$169,3,0)),0,VLOOKUP(A25,'Données projet'!$A$149:$I$169,3,0))</f>
        <v>0</v>
      </c>
      <c r="DB25" s="15">
        <f>IF(ISNA(VLOOKUP(A25,'Données projet'!$A$149:$I$169,4,0)),0,VLOOKUP(A25,'Données projet'!$A$149:$I$169,4,0))</f>
        <v>0</v>
      </c>
      <c r="DC25" s="16">
        <f>IF(ISNA(VLOOKUP(A25,'Données projet'!$A$149:$I$169,5,0)),0%,VLOOKUP(A25,'Données projet'!$A$149:$I$169,5,0)*VLOOKUP('Données projet'!$B$13,Paramètres!$A$1:$I$89,7,0))</f>
        <v>0</v>
      </c>
      <c r="DD25" s="16">
        <f>IF(ISNA(VLOOKUP(A25,'Données projet'!$A$149:$I$169,6,0)),0%,VLOOKUP(A25,'Données projet'!$A$149:$I$169,6,0)*VLOOKUP('Données projet'!$B$13,Paramètres!$A$1:$I$89,7,0))</f>
        <v>0</v>
      </c>
      <c r="DE25" s="16">
        <f>IF(ISNA(VLOOKUP(A25,'Données projet'!$A$149:$I$169,7,0)),0%,VLOOKUP(A25,'Données projet'!$A$149:$I$169,7,0))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projet'!$A$175:$I$195,2,0)</f>
        <v>#N/A</v>
      </c>
      <c r="DM25" s="12" t="e">
        <f>VLOOKUP(A25,'Données projet'!$A$175:$I$195,9,0)</f>
        <v>#N/A</v>
      </c>
      <c r="DN25" s="12">
        <f t="array" ref="DN25">INDEX(DM:DM,MIN(IF(ISNUMBER(DM25:DM221),ROW(DM25:DM221),"")))</f>
        <v>16.8</v>
      </c>
      <c r="DO25" s="12">
        <f>IF('Données projet'!$A$176&gt;35,DO24+DN25-DW24,IF(A25&lt;'Données projet'!$A$176,$DL$205^A25,IF(A25='Données projet'!$A$176,'Données projet'!$B$176,DO24+DN25-DW24)))</f>
        <v>114.60000000000001</v>
      </c>
      <c r="DP25" s="17">
        <f>DO25*VLOOKUP('Données projet'!$B$14,Paramètres!$A$1:$I$89,3,0)*VLOOKUP('Données projet'!$B$14,Paramètres!$A$1:$I$89,5,0)</f>
        <v>84.024720000000002</v>
      </c>
      <c r="DQ25" s="13">
        <f t="shared" si="73"/>
        <v>23.11842031654454</v>
      </c>
      <c r="DR25" s="20">
        <f t="shared" si="16"/>
        <v>186.6076360513151</v>
      </c>
      <c r="DS25" s="59">
        <f t="shared" si="17"/>
        <v>479.94096938464838</v>
      </c>
      <c r="DT25" s="59">
        <f ca="1">AVERAGE(OFFSET($DS$3,0,0,'Données projet'!$E$14+1,1))-AVERAGE(OFFSET($H$3,0,0,'Données projet'!$E$14+1,1))</f>
        <v>296.91321813251051</v>
      </c>
      <c r="DU25" s="59">
        <f t="shared" si="74"/>
        <v>291.0718079639509</v>
      </c>
      <c r="DV25" s="15">
        <f>IF(ISNA(VLOOKUP(A25,'Données projet'!$A$175:$I$195,3,0)),0,VLOOKUP(A25,'Données projet'!$A$175:$I$195,3,0))</f>
        <v>0</v>
      </c>
      <c r="DW25" s="15">
        <f>IF(ISNA(VLOOKUP(A25,'Données projet'!$A$175:$I$195,4,0)),0,VLOOKUP(A25,'Données projet'!$A$175:$I$195,4,0))</f>
        <v>0</v>
      </c>
      <c r="DX25" s="16">
        <f>IF(ISNA(VLOOKUP(A25,'Données projet'!$A$175:$I$195,5,0)),0%,VLOOKUP(A25,'Données projet'!$A$175:$I$195,5,0)*VLOOKUP('Données projet'!$B$14,Paramètres!$A$1:$I$89,7,0))</f>
        <v>0</v>
      </c>
      <c r="DY25" s="16">
        <f>IF(ISNA(VLOOKUP(A25,'Données projet'!$A$175:$I$195,6,0)),0%,VLOOKUP(A25,'Données projet'!$A$175:$I$195,6,0)*VLOOKUP('Données projet'!$B$14,Paramètres!$A$1:$I$89,7,0))</f>
        <v>0</v>
      </c>
      <c r="DZ25" s="16">
        <f>IF(ISNA(VLOOKUP(A25,'Données projet'!$A$175:$I$195,7,0)),0%,VLOOKUP(A25,'Données projet'!$A$175:$I$195,7,0))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1.6552850814264353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1.6552850814264353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projet'!$A$201:$I$221,2,0)</f>
        <v>#N/A</v>
      </c>
      <c r="EH25" s="12" t="e">
        <f>VLOOKUP(A25,'Données projet'!$A$201:$I$221,9,0)</f>
        <v>#N/A</v>
      </c>
      <c r="EI25" s="12">
        <f t="array" ref="EI25">INDEX(EH:EH,MIN(IF(ISNUMBER(EH25:EH221),ROW(EH25:EH221),"")))</f>
        <v>3.4425641025641025</v>
      </c>
      <c r="EJ25" s="12">
        <f>IF('Données projet'!$A$202&gt;35,EJ24+EI25-ER24,IF(A25&lt;'Données projet'!$A$202,$EG$205^A25,IF(A25='Données projet'!$A$202,'Données projet'!$B$202,EJ24+EI25-ER24)))</f>
        <v>29.987188275534368</v>
      </c>
      <c r="EK25" s="17">
        <f>EJ25*VLOOKUP('Données projet'!$B$15,Paramètres!$A$1:$I$89,3,0)*VLOOKUP('Données projet'!$B$15,Paramètres!$A$1:$I$89,5,0)</f>
        <v>14.034004112950084</v>
      </c>
      <c r="EL25" s="13">
        <f t="shared" si="75"/>
        <v>4.7555606647394173</v>
      </c>
      <c r="EM25" s="20">
        <f t="shared" si="19"/>
        <v>32.725158654475884</v>
      </c>
      <c r="EN25" s="59">
        <f t="shared" si="20"/>
        <v>326.05849198780919</v>
      </c>
      <c r="EO25" s="59">
        <f ca="1">AVERAGE(OFFSET($EN$3,0,0,'Données projet'!$E$15+1,1))-AVERAGE(OFFSET($H$3,0,0,'Données projet'!$E$15+1,1))</f>
        <v>147.64256291235483</v>
      </c>
      <c r="EP25" s="59">
        <f t="shared" si="76"/>
        <v>70.859031694091868</v>
      </c>
      <c r="EQ25" s="15">
        <f>IF(ISNA(VLOOKUP(A25,'Données projet'!$A$201:$I$221,3,0)),0,VLOOKUP(A25,'Données projet'!$A$201:$I$221,3,0))</f>
        <v>0</v>
      </c>
      <c r="ER25" s="15">
        <f>IF(ISNA(VLOOKUP(A25,'Données projet'!$A$201:$I$221,4,0)),0,VLOOKUP(A25,'Données projet'!$A$201:$I$221,4,0))</f>
        <v>0</v>
      </c>
      <c r="ES25" s="16">
        <f>IF(ISNA(VLOOKUP(A25,'Données projet'!$A$201:$I$221,5,0)),0%,VLOOKUP(A25,'Données projet'!$A$201:$I$221,5,0)*VLOOKUP('Données projet'!$B$15,Paramètres!$A$1:$I$89,7,0))</f>
        <v>0</v>
      </c>
      <c r="ET25" s="16">
        <f>IF(ISNA(VLOOKUP(A25,'Données projet'!$A$201:$I$221,6,0)),0%,VLOOKUP(A25,'Données projet'!$A$201:$I$221,6,0)*VLOOKUP('Données projet'!$B$15,Paramètres!$A$1:$I$89,7,0))</f>
        <v>0</v>
      </c>
      <c r="EU25" s="16">
        <f>IF(ISNA(VLOOKUP(A25,'Données projet'!$A$201:$I$221,7,0)),0%,VLOOKUP(A25,'Données projet'!$A$201:$I$221,7,0))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projet'!$A$227:$I$247,2,0)</f>
        <v>#N/A</v>
      </c>
      <c r="FC25" s="12" t="e">
        <f>VLOOKUP(A25,'Données projet'!$A$227:$I$247,9,0)</f>
        <v>#N/A</v>
      </c>
      <c r="FD25" s="12">
        <f t="array" ref="FD25">INDEX(FC:FC,MIN(IF(ISNUMBER(FC25:FC221),ROW(FC25:FC221),"")))</f>
        <v>8</v>
      </c>
      <c r="FE25" s="12">
        <f>IF('Données projet'!$A$228&gt;35,FE24+FD25-FM24,IF(A25&lt;'Données projet'!$A$228,$FB$205^A25,IF(A25='Données projet'!$A$228,'Données projet'!$B$228,FE24+FD25-FM24)))</f>
        <v>74</v>
      </c>
      <c r="FF25" s="17">
        <f>FE25*VLOOKUP('Données projet'!$B$16,Paramètres!$A$1:$I$89,3,0)*VLOOKUP('Données projet'!$B$16,Paramètres!$A$1:$I$89,5,0)</f>
        <v>77.344800000000006</v>
      </c>
      <c r="FG25" s="13">
        <f t="shared" si="77"/>
        <v>21.486704106300962</v>
      </c>
      <c r="FH25" s="20">
        <f t="shared" si="22"/>
        <v>172.13153631847419</v>
      </c>
      <c r="FI25" s="59">
        <f t="shared" si="23"/>
        <v>465.46486965180748</v>
      </c>
      <c r="FJ25" s="59">
        <f ca="1">AVERAGE(OFFSET($FI$3,0,0,'Données projet'!$E$16+1,1))-AVERAGE(OFFSET($H$3,0,0,'Données projet'!$E$16+1,1))</f>
        <v>259.03906550253788</v>
      </c>
      <c r="FK25" s="59">
        <f t="shared" si="78"/>
        <v>235.54542903570831</v>
      </c>
      <c r="FL25" s="15">
        <f>IF(ISNA(VLOOKUP(A25,'Données projet'!$A$227:$I$247,3,0)),0,VLOOKUP(A25,'Données projet'!$A$227:$I$247,3,0))</f>
        <v>0</v>
      </c>
      <c r="FM25" s="15">
        <f>IF(ISNA(VLOOKUP(A25,'Données projet'!$A$227:$I$247,4,0)),0,VLOOKUP(A25,'Données projet'!$A$227:$I$247,4,0))</f>
        <v>0</v>
      </c>
      <c r="FN25" s="16">
        <f>IF(ISNA(VLOOKUP(A25,'Données projet'!$A$227:$I$247,5,0)),0%,VLOOKUP(A25,'Données projet'!$A$227:$I$247,5,0)*VLOOKUP('Données projet'!$B$16,Paramètres!$A$1:$I$89,7,0))</f>
        <v>0</v>
      </c>
      <c r="FO25" s="16">
        <f>IF(ISNA(VLOOKUP(A25,'Données projet'!$A$227:$I$247,6,0)),0%,VLOOKUP(A25,'Données projet'!$A$227:$I$247,6,0)*VLOOKUP('Données projet'!$B$16,Paramètres!$A$1:$I$89,7,0))</f>
        <v>0</v>
      </c>
      <c r="FP25" s="16">
        <f>IF(ISNA(VLOOKUP(A25,'Données projet'!$A$227:$I$247,7,0)),0%,VLOOKUP(A25,'Données projet'!$A$227:$I$247,7,0))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projet'!$A$253:$I$273,2,0)</f>
        <v>#N/A</v>
      </c>
      <c r="FX25" s="12" t="e">
        <f>VLOOKUP(A25,'Données projet'!$A$253:$I$273,9,0)</f>
        <v>#N/A</v>
      </c>
      <c r="FY25" s="12">
        <f t="array" ref="FY25">INDEX(FX:FX,MIN(IF(ISNUMBER(FX25:FX221),ROW(FX25:FX221),"")))</f>
        <v>12.6</v>
      </c>
      <c r="FZ25" s="12">
        <f>IF('Données projet'!$A$254&gt;35,FZ24+FY25-GH24,IF(A25&lt;'Données projet'!$A$254,$FW$205^A25,IF(A25='Données projet'!$A$254,'Données projet'!$B$254,FZ24+FY25-GH24)))</f>
        <v>77.199999999999989</v>
      </c>
      <c r="GA25" s="17">
        <f>FZ25*VLOOKUP('Données projet'!$B$17,Paramètres!$A$1:$I$89,3,0)*VLOOKUP('Données projet'!$B$17,Paramètres!$A$1:$I$89,5,0)</f>
        <v>67.441919999999996</v>
      </c>
      <c r="GB25" s="13">
        <f t="shared" si="79"/>
        <v>19.036826299015036</v>
      </c>
      <c r="GC25" s="20">
        <f t="shared" si="25"/>
        <v>150.61714980411784</v>
      </c>
      <c r="GD25" s="59">
        <f t="shared" si="26"/>
        <v>443.95048313745116</v>
      </c>
      <c r="GE25" s="59">
        <f ca="1">AVERAGE(OFFSET($GD$3,0,0,'Données projet'!$E$17+1,1))-AVERAGE(OFFSET($H$3,0,0,'Données projet'!$E$17+1,1))</f>
        <v>245.1983232777614</v>
      </c>
      <c r="GF25" s="59">
        <f t="shared" si="80"/>
        <v>242.34010522344573</v>
      </c>
      <c r="GG25" s="15">
        <f>IF(ISNA(VLOOKUP(A25,'Données projet'!$A$253:$I$273,3,0)),0,VLOOKUP(A25,'Données projet'!$A$253:$I$273,3,0))</f>
        <v>0</v>
      </c>
      <c r="GH25" s="15">
        <f>IF(ISNA(VLOOKUP(A25,'Données projet'!$A$253:$I$273,4,0)),0,VLOOKUP(A25,'Données projet'!$A$253:$I$273,4,0))</f>
        <v>0</v>
      </c>
      <c r="GI25" s="16">
        <f>IF(ISNA(VLOOKUP(A25,'Données projet'!$A$253:$I$273,5,0)),0%,VLOOKUP(A25,'Données projet'!$A$253:$I$273,5,0)*VLOOKUP('Données projet'!$B$17,Paramètres!$A$1:$I$89,7,0))</f>
        <v>0</v>
      </c>
      <c r="GJ25" s="16">
        <f>IF(ISNA(VLOOKUP(A25,'Données projet'!$A$253:$I$273,6,0)),0%,VLOOKUP(A25,'Données projet'!$A$253:$I$273,6,0)*VLOOKUP('Données projet'!$B$17,Paramètres!$A$1:$I$89,7,0))</f>
        <v>0</v>
      </c>
      <c r="GK25" s="16">
        <f>IF(ISNA(VLOOKUP(A25,'Données projet'!$A$253:$I$273,7,0)),0%,VLOOKUP(A25,'Données projet'!$A$253:$I$273,7,0))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projet'!$A$279:$I$299,2,0)</f>
        <v>#N/A</v>
      </c>
      <c r="GS25" s="12" t="e">
        <f>VLOOKUP(A25,'Données projet'!$A$279:$I$299,9,0)</f>
        <v>#N/A</v>
      </c>
      <c r="GT25" s="12">
        <f t="array" ref="GT25">INDEX(GS:GS,MIN(IF(ISNUMBER(GS25:GS221),ROW(GS25:GS221),"")))</f>
        <v>27.6</v>
      </c>
      <c r="GU25" s="12">
        <f>IF('Données projet'!$A$280&gt;35,GU24+GT25-HC24,IF(A25&lt;'Données projet'!$A$280,$GR$205^A25,IF(A25='Données projet'!$A$280,'Données projet'!$B$280,GU24+GT25-HC24)))</f>
        <v>187.20000000000002</v>
      </c>
      <c r="GV25" s="17">
        <f>GU25*VLOOKUP('Données projet'!$B$18,Paramètres!$A$1:$I$89,3,0)*VLOOKUP('Données projet'!$B$18,Paramètres!$A$1:$I$89,5,0)</f>
        <v>75.441600000000008</v>
      </c>
      <c r="GW25" s="13">
        <f t="shared" si="81"/>
        <v>21.018854688556068</v>
      </c>
      <c r="GX25" s="20">
        <f t="shared" si="28"/>
        <v>168.00195858256848</v>
      </c>
      <c r="GY25" s="59">
        <f t="shared" si="29"/>
        <v>461.33529191590179</v>
      </c>
      <c r="GZ25" s="59">
        <f ca="1">AVERAGE(OFFSET($GY$3,0,0,'Données projet'!$E$18+1,1))-AVERAGE(OFFSET($H$3,0,0,'Données projet'!$E$18+1,1))</f>
        <v>324.36162935850876</v>
      </c>
      <c r="HA25" s="59">
        <f t="shared" si="82"/>
        <v>265.23571072429735</v>
      </c>
      <c r="HB25" s="15">
        <f>IF(ISNA(VLOOKUP(A25,'Données projet'!$A$279:$I$299,3,0)),0,VLOOKUP(A25,'Données projet'!$A$279:$I$299,3,0))</f>
        <v>0</v>
      </c>
      <c r="HC25" s="15">
        <f>IF(ISNA(VLOOKUP(A25,'Données projet'!$A$279:$I$299,4,0)),0,VLOOKUP(A25,'Données projet'!$A$279:$I$299,4,0))</f>
        <v>0</v>
      </c>
      <c r="HD25" s="16">
        <f>IF(ISNA(VLOOKUP(A25,'Données projet'!$A$279:$I$299,5,0)),0%,VLOOKUP(A25,'Données projet'!$A$279:$I$299,5,0)*VLOOKUP('Données projet'!$B$18,Paramètres!$A$1:$I$89,7,0))</f>
        <v>0</v>
      </c>
      <c r="HE25" s="16">
        <f>IF(ISNA(VLOOKUP(A25,'Données projet'!$A$279:$I$299,6,0)),0%,VLOOKUP(A25,'Données projet'!$A$279:$I$299,6,0)*VLOOKUP('Données projet'!$B$18,Paramètres!$A$1:$I$89,7,0))</f>
        <v>0</v>
      </c>
      <c r="HF25" s="16">
        <f>IF(ISNA(VLOOKUP($A25,'Données projet'!$A$279:$I$299,7,0)),0%,VLOOKUP($A25,'Données projet'!$A$279:$I$299,7,0))</f>
        <v>0</v>
      </c>
      <c r="HG25" s="21">
        <f>EXP(-LN(2)/35)*HG24+(1-EXP(-LN(2)/35))/(LN(2)/35)*HC25*HD25*VLOOKUP('Données projet'!$B$18,Paramètres!$A$1:$I$89,3,0)*0.475*44/12</f>
        <v>0</v>
      </c>
      <c r="HH25" s="21">
        <f>EXP(-LN(2)/25)*HH24+(1-EXP(-LN(2)/25))/(LN(2)/25)*Calculateur!HC25*Calculateur!HE25*VLOOKUP('Données projet'!$B$18,Paramètres!$A$1:$I$89,3,0)*0.475*44/12</f>
        <v>0.34101773428235188</v>
      </c>
      <c r="HI25" s="21">
        <f>EXP(-LN(2)/2)*HI24+(1-EXP(-LN(2)/2))/(LN(2)/2)*HC25*HF25*VLOOKUP('Données projet'!$B$18,Paramètres!$A$1:$I$89,3,0)*0.475*44/12</f>
        <v>3.5099201223320446</v>
      </c>
      <c r="HJ25" s="22">
        <f t="shared" si="30"/>
        <v>3.8509378566143964</v>
      </c>
      <c r="HK25" s="74">
        <f>('Scénario référence'!$F$8+'Scénario référence'!$F$9+'Scénario référence'!$B$17+'Scénario référence'!$B$9+'Scénario référence'!$B$10)*70+IF((45+25*(1-EXP(-0.0175*$A25)))&lt;70,'Scénario référence'!$B$16*(45+25*(1-EXP(-0.0175*$A25))),70*'Scénario référence'!$B$16)+IF((32+38*(1-EXP(-0.0175*$A25)))&lt;70,'Scénario référence'!$B$18*(32+38*(1-EXP(-0.0175*$A25))),70*'Scénario référence'!$B$18)</f>
        <v>70</v>
      </c>
      <c r="HL25" s="12">
        <f>IF($A25&gt;30,10,('Scénario référence'!$B$16+'Scénario référence'!$B$17+'Scénario référence'!$B$18+'Scénario référence'!$B$9+'Scénario référence'!$B$10)*$A25*10/30+('Scénario référence'!$F$8+'Scénario référence'!$F$9)*10)</f>
        <v>10</v>
      </c>
      <c r="HM25" s="12" t="e">
        <f>VLOOKUP($A25,'Données projet'!$A$304:$I$324,2,0)</f>
        <v>#N/A</v>
      </c>
      <c r="HN25" s="12" t="e">
        <f>VLOOKUP($A25,'Données projet'!$A$304:$I$324,9,0)</f>
        <v>#N/A</v>
      </c>
      <c r="HO25" s="12">
        <f t="array" ref="HO25">INDEX(HN:HN,MIN(IF(ISNUMBER(HN25:HN221),ROW(HN25:HN221),"")))</f>
        <v>0</v>
      </c>
      <c r="HP25" s="12">
        <f>IF('Données projet'!$A$304&gt;35,HP24+HO25-HX24,IF($A25&lt;'Données projet'!$A$304,$CQ$205^$A25,IF($A25='Données projet'!$A$304,'Données projet'!$B$304,HP24+HO25-HX24)))</f>
        <v>0</v>
      </c>
      <c r="HQ25" s="17">
        <f>HP25*VLOOKUP('Données projet'!$B$19,Paramètres!$A$1:$I$89,3,0)*VLOOKUP('Données projet'!$B$19,Paramètres!$A$1:$I$89,5,0)</f>
        <v>0</v>
      </c>
      <c r="HR25" s="13" t="e">
        <f t="shared" si="83"/>
        <v>#NUM!</v>
      </c>
      <c r="HS25" s="14" t="e">
        <f t="shared" si="31"/>
        <v>#NUM!</v>
      </c>
      <c r="HT25" s="59" t="e">
        <f t="shared" si="32"/>
        <v>#NUM!</v>
      </c>
      <c r="HU25" s="59">
        <f ca="1">AVERAGE(OFFSET(HT$3,0,0,'Données projet'!$E$19+1,1))-AVERAGE(OFFSET($H$3,0,0,'Données projet'!$E$19+1,1))</f>
        <v>91.60721429656013</v>
      </c>
      <c r="HV25" s="59">
        <f t="shared" si="84"/>
        <v>258.94957804210856</v>
      </c>
      <c r="HW25" s="15">
        <f>IF(ISNA(VLOOKUP($A25,'Données projet'!$A$304:$I$324,3,0)),0,VLOOKUP($A25,'Données projet'!$A$304:$I$324,3,0))</f>
        <v>0</v>
      </c>
      <c r="HX25" s="15">
        <f>IF(ISNA(VLOOKUP($A25,'Données projet'!$A$304:$I$324,4,0)),0,VLOOKUP($A25,'Données projet'!$A$304:$I$324,4,0))</f>
        <v>0</v>
      </c>
      <c r="HY25" s="16">
        <f>IF(ISNA(VLOOKUP($A25,'Données projet'!$A$304:$I$324,5,0)),0%,VLOOKUP($A25,'Données projet'!$A$304:$I$324,5,0)*VLOOKUP('Données projet'!$B$19,Paramètres!$A$1:$I$89,7,0))</f>
        <v>0</v>
      </c>
      <c r="HZ25" s="16">
        <f>IF(ISNA(VLOOKUP($A25,'Données projet'!$A$304:$I$324,6,0)),0%,VLOOKUP($A25,'Données projet'!$A$304:$I$324,6,0)*VLOOKUP('Données projet'!$B$19,Paramètres!$A$1:$I$89,7,0))</f>
        <v>0</v>
      </c>
      <c r="IA25" s="16">
        <f>IF(ISNA(VLOOKUP($A25,'Données projet'!$A$304:$I$324,7,0)),0%,VLOOKUP($A25,'Données projet'!$A$304:$I$324,7,0))</f>
        <v>0</v>
      </c>
      <c r="IB25" s="21">
        <f>EXP(-LN(2)/35)*IB24+(1-EXP(-LN(2)/35))/(LN(2)/35)*HX25*HY25*VLOOKUP('Données projet'!$B$19,Paramètres!$A$1:$I$89,3,0)*0.475*44/12</f>
        <v>57.801855890236013</v>
      </c>
      <c r="IC25" s="21">
        <f>EXP(-LN(2)/25)*IC24+(1-EXP(-LN(2)/25))/(LN(2)/25)*Calculateur!HX25*Calculateur!HZ25*VLOOKUP('Données projet'!$B$19,Paramètres!$A$1:$I$89,3,0)*0.475*44/12</f>
        <v>12.143418381190553</v>
      </c>
      <c r="ID25" s="21">
        <f>EXP(-LN(2)/2)*ID24+(1-EXP(-LN(2)/2))/(LN(2)/2)*HX25*IA25*VLOOKUP('Données projet'!$B$19,Paramètres!$A$1:$I$89,3,0)*0.475*44/12</f>
        <v>9.1656369879036408</v>
      </c>
      <c r="IE25" s="22">
        <f t="shared" si="33"/>
        <v>79.110911259330209</v>
      </c>
      <c r="IF25" s="74">
        <f>('Scénario référence'!$F$8+'Scénario référence'!$F$9+'Scénario référence'!$B$17+'Scénario référence'!$B$9+'Scénario référence'!$B$10)*70+IF((45+25*(1-EXP(-0.0175*$A25)))&lt;70,'Scénario référence'!$B$16*(45+25*(1-EXP(-0.0175*$A25))),70*'Scénario référence'!$B$16)+IF((32+38*(1-EXP(-0.0175*$A25)))&lt;70,'Scénario référence'!$B$18*(32+38*(1-EXP(-0.0175*$A25))),70*'Scénario référence'!$B$18)</f>
        <v>70</v>
      </c>
      <c r="IG25" s="12">
        <f>IF($A25&gt;30,10,('Scénario référence'!$B$16+'Scénario référence'!$B$17+'Scénario référence'!$B$18+'Scénario référence'!$B$9+'Scénario référence'!$B$10)*$A25*10/30+('Scénario référence'!$F$8+'Scénario référence'!$F$9)*10)</f>
        <v>10</v>
      </c>
      <c r="IH25" s="12" t="e">
        <f>VLOOKUP($A25,'Données projet'!$A$330:$I$350,2,0)</f>
        <v>#N/A</v>
      </c>
      <c r="II25" s="12" t="e">
        <f>VLOOKUP($A25,'Données projet'!$A$330:$I$350,9,0)</f>
        <v>#N/A</v>
      </c>
      <c r="IJ25" s="12">
        <f t="array" ref="IJ25">INDEX(II:II,MIN(IF(ISNUMBER(II25:II221),ROW(II25:II221),"")))</f>
        <v>0</v>
      </c>
      <c r="IK25" s="12">
        <f>IF('Données projet'!$A$330&gt;35,IK24+IJ25-IS24,IF($A25&lt;'Données projet'!$A$330,$CQ$205^$A25,IF($A25='Données projet'!$A$330,'Données projet'!$B$330,IK24+IJ25-IS24)))</f>
        <v>0</v>
      </c>
      <c r="IL25" s="17">
        <f>IK25*VLOOKUP('Données projet'!$B$20,Paramètres!$A$1:$I$89,3,0)*VLOOKUP('Données projet'!$B$20,Paramètres!$A$1:$I$89,5,0)</f>
        <v>0</v>
      </c>
      <c r="IM25" s="13" t="e">
        <f t="shared" si="85"/>
        <v>#NUM!</v>
      </c>
      <c r="IN25" s="20" t="e">
        <f t="shared" si="86"/>
        <v>#NUM!</v>
      </c>
      <c r="IO25" s="59" t="e">
        <f t="shared" si="87"/>
        <v>#NUM!</v>
      </c>
      <c r="IP25" s="59">
        <f ca="1">AVERAGE(OFFSET(IO$3,0,0,'Données projet'!$E$20+1,1))-AVERAGE(OFFSET($H$3,0,0,'Données projet'!$E$20+1,1))</f>
        <v>91.60721429656013</v>
      </c>
      <c r="IQ25" s="59">
        <f t="shared" si="88"/>
        <v>258.94957804210856</v>
      </c>
      <c r="IR25" s="15">
        <f>IF(ISNA(VLOOKUP($A25,'Données projet'!$A$330:$I$350,3,0)),0,VLOOKUP($A25,'Données projet'!$A$330:$I$350,3,0))</f>
        <v>0</v>
      </c>
      <c r="IS25" s="15">
        <f>IF(ISNA(VLOOKUP($A25,'Données projet'!$A$330:$I$350,4,0)),0,VLOOKUP($A25,'Données projet'!$A$330:$I$350,4,0))</f>
        <v>0</v>
      </c>
      <c r="IT25" s="16">
        <f>IF(ISNA(VLOOKUP($A25,'Données projet'!$A$330:$I$350,5,0)),0%,VLOOKUP($A25,'Données projet'!$A$330:$I$350,5,0)*VLOOKUP('Données projet'!$B$20,Paramètres!$A$1:$I$89,7,0))</f>
        <v>0</v>
      </c>
      <c r="IU25" s="16">
        <f>IF(ISNA(VLOOKUP($A25,'Données projet'!$A$330:$I$350,6,0)),0%,VLOOKUP($A25,'Données projet'!$A$330:$I$350,6,0)*VLOOKUP('Données projet'!$B$20,Paramètres!$A$1:$I$89,7,0))</f>
        <v>0</v>
      </c>
      <c r="IV25" s="16">
        <f>IF(ISNA(VLOOKUP($A25,'Données projet'!$A$330:$I$350,7,0)),0%,VLOOKUP($A25,'Données projet'!$A$330:$I$350,7,0))</f>
        <v>0</v>
      </c>
      <c r="IW25" s="21">
        <f>EXP(-LN(2)/35)*IW24+(1-EXP(-LN(2)/35))/(LN(2)/35)*IS25*IT25*VLOOKUP('Données projet'!$B$20,Paramètres!$A$1:$I$89,3,0)*0.475*44/12</f>
        <v>57.801855890236013</v>
      </c>
      <c r="IX25" s="21">
        <f>EXP(-LN(2)/25)*IX24+(1-EXP(-LN(2)/25))/(LN(2)/25)*Calculateur!IS25*Calculateur!IU25*VLOOKUP('Données projet'!$B$20,Paramètres!$A$1:$I$89,3,0)*0.475*44/12</f>
        <v>12.143418381190553</v>
      </c>
      <c r="IY25" s="21">
        <f>EXP(-LN(2)/2)*IY24+(1-EXP(-LN(2)/2))/(LN(2)/2)*IS25*IV25*VLOOKUP('Données projet'!$B$20,Paramètres!$A$1:$I$89,3,0)*0.475*44/12</f>
        <v>9.1656369879036408</v>
      </c>
      <c r="IZ25" s="22">
        <f t="shared" si="89"/>
        <v>79.110911259330209</v>
      </c>
      <c r="JA25" s="74">
        <f>('Scénario référence'!$F$8+'Scénario référence'!$F$9+'Scénario référence'!$B$17+'Scénario référence'!$B$9+'Scénario référence'!$B$10)*70+IF((45+25*(1-EXP(-0.0175*$A25)))&lt;70,'Scénario référence'!$B$16*(45+25*(1-EXP(-0.0175*$A25))),70*'Scénario référence'!$B$16)+IF((32+38*(1-EXP(-0.0175*$A25)))&lt;70,'Scénario référence'!$B$18*(32+38*(1-EXP(-0.0175*$A25))),70*'Scénario référence'!$B$18)</f>
        <v>70</v>
      </c>
      <c r="JB25" s="12">
        <f>IF($A25&gt;30,10,('Scénario référence'!$B$16+'Scénario référence'!$B$17+'Scénario référence'!$B$18+'Scénario référence'!$B$9+'Scénario référence'!$B$10)*$A25*10/30+('Scénario référence'!$F$8+'Scénario référence'!$F$9)*10)</f>
        <v>10</v>
      </c>
      <c r="JC25" s="12" t="e">
        <f>VLOOKUP($A25,'Données projet'!$A$356:$I$376,2,0)</f>
        <v>#N/A</v>
      </c>
      <c r="JD25" s="12" t="e">
        <f>VLOOKUP($A25,'Données projet'!$A$356:$I$376,9,0)</f>
        <v>#N/A</v>
      </c>
      <c r="JE25" s="12">
        <f t="array" ref="JE25">INDEX(JD:JD,MIN(IF(ISNUMBER(JD25:JD221),ROW(JD25:JD221),"")))</f>
        <v>3.04</v>
      </c>
      <c r="JF25" s="12">
        <f>IF('Données projet'!$A$356&gt;35,JF24+JE25-JN24,IF($A25&lt;'Données projet'!$A$356,$CQ$205^$A25,IF($A25='Données projet'!$A$356,'Données projet'!$B$356,JF24+JE25-JN24)))</f>
        <v>66.88</v>
      </c>
      <c r="JG25" s="17">
        <f>JF25*VLOOKUP('Données projet'!$B$21,Paramètres!$A$1:$I$89,3,0)*VLOOKUP('Données projet'!$B$21,Paramètres!$A$1:$I$89,5,0)</f>
        <v>54.253056000000001</v>
      </c>
      <c r="JH25" s="13">
        <f t="shared" si="90"/>
        <v>15.706857139454106</v>
      </c>
      <c r="JI25" s="20">
        <f t="shared" si="91"/>
        <v>121.84684871788257</v>
      </c>
      <c r="JJ25" s="59">
        <f t="shared" si="92"/>
        <v>415.18018205121587</v>
      </c>
      <c r="JK25" s="59">
        <f ca="1">AVERAGE(OFFSET($JJ$3,0,0,'Données projet'!$E$22+1,1))-AVERAGE(OFFSET($H$3,0,0,'Données projet'!$E$22+1,1))</f>
        <v>353.35574633294613</v>
      </c>
      <c r="JL25" s="59">
        <f t="shared" si="93"/>
        <v>170.36796666474726</v>
      </c>
      <c r="JM25" s="15">
        <f>IF(ISNA(VLOOKUP($A25,'Données projet'!$A$356:$I$376,3,0)),0,VLOOKUP($A25,'Données projet'!$A$356:$I$376,3,0))</f>
        <v>0</v>
      </c>
      <c r="JN25" s="15">
        <f>IF(ISNA(VLOOKUP($A25,'Données projet'!$A$356:$I$376,4,0)),0,VLOOKUP($A25,'Données projet'!$A$356:$I$376,4,0))</f>
        <v>0</v>
      </c>
      <c r="JO25" s="16">
        <f>IF(ISNA(VLOOKUP($A25,'Données projet'!$A$356:$I$376,5,0)),0%,VLOOKUP($A25,'Données projet'!$A$356:$I$376,5,0)*VLOOKUP('Données projet'!$B$21,Paramètres!$A$1:$I$89,7,0))</f>
        <v>0</v>
      </c>
      <c r="JP25" s="16">
        <f>IF(ISNA(VLOOKUP($A25,'Données projet'!$A$356:$I$376,6,0)),0%,VLOOKUP($A25,'Données projet'!$A$356:$I$376,6,0)*VLOOKUP('Données projet'!$B$21,Paramètres!$A$1:$I$89,7,0))</f>
        <v>0</v>
      </c>
      <c r="JQ25" s="16">
        <f>IF(ISNA(VLOOKUP($A25,'Données projet'!$A$356:$I$376,7,0)),0%,VLOOKUP($A25,'Données projet'!$A$356:$I$376,7,0))</f>
        <v>0</v>
      </c>
      <c r="JR25" s="21">
        <f>EXP(-LN(2)/35)*JR24+(1-EXP(-LN(2)/35))/(LN(2)/35)*JN25*JO25*VLOOKUP('Données projet'!$B$21,Paramètres!$A$1:$I$89,3,0)*0.475*44/12</f>
        <v>0</v>
      </c>
      <c r="JS25" s="21">
        <f>EXP(-LN(2)/25)*JS24+(1-EXP(-LN(2)/25))/(LN(2)/25)*Calculateur!JN25*Calculateur!JP25*VLOOKUP('Données projet'!$B$21,Paramètres!$A$1:$I$89,3,0)*0.475*44/12</f>
        <v>0</v>
      </c>
      <c r="JT25" s="21">
        <f>EXP(-LN(2)/2)*JT24+(1-EXP(-LN(2)/2))/(LN(2)/2)*JN25*JQ25*VLOOKUP('Données projet'!$B$21,Paramètres!$A$1:$I$89,3,0)*0.475*44/12</f>
        <v>0</v>
      </c>
      <c r="JU25" s="18">
        <f t="shared" si="39"/>
        <v>0</v>
      </c>
      <c r="JV25" s="74">
        <f>('Scénario référence'!$F$8+'Scénario référence'!$F$9+'Scénario référence'!$B$17+'Scénario référence'!$B$9+'Scénario référence'!$B$10)*70+IF((45+25*(1-EXP(-0.0175*$A25)))&lt;70,'Scénario référence'!$B$16*(45+25*(1-EXP(-0.0175*$A25))),70*'Scénario référence'!$B$16)+IF((32+38*(1-EXP(-0.0175*$A25)))&lt;70,'Scénario référence'!$B$18*(32+38*(1-EXP(-0.0175*$A25))),70*'Scénario référence'!$B$18)</f>
        <v>70</v>
      </c>
      <c r="JW25" s="12">
        <f>IF($A25&gt;30,10,('Scénario référence'!$B$16+'Scénario référence'!$B$17+'Scénario référence'!$B$18+'Scénario référence'!$B$9+'Scénario référence'!$B$10)*$A25*10/30+('Scénario référence'!$F$8+'Scénario référence'!$F$9)*10)</f>
        <v>10</v>
      </c>
      <c r="JX25" s="12" t="e">
        <f>VLOOKUP($A25,'Données projet'!$A$382:$I$402,2,0)</f>
        <v>#N/A</v>
      </c>
      <c r="JY25" s="12" t="e">
        <f>VLOOKUP($A25,'Données projet'!$A$382:$I$402,9,0)</f>
        <v>#N/A</v>
      </c>
      <c r="JZ25" s="12">
        <f t="array" ref="JZ25">INDEX(JY:JY,MIN(IF(ISNUMBER(JY25:JY221),ROW(JY25:JY221),"")))</f>
        <v>4.0628205128205126</v>
      </c>
      <c r="KA25" s="12">
        <f>IF('Données projet'!$A$382&gt;35,KA24+JZ25-KI24,IF($A25&lt;'Données projet'!$A$382,$CQ$205^$A25,IF($A25='Données projet'!$A$382,'Données projet'!$B$382,KA24+JZ25-KI24)))</f>
        <v>89.382051282051265</v>
      </c>
      <c r="KB25" s="17">
        <f>KA25*VLOOKUP('Données projet'!$B$22,Paramètres!$A$1:$I$89,3,0)*VLOOKUP('Données projet'!$B$22,Paramètres!$A$1:$I$89,5,0)</f>
        <v>59.957479999999997</v>
      </c>
      <c r="KC25" s="13">
        <f t="shared" si="94"/>
        <v>17.157518178922345</v>
      </c>
      <c r="KD25" s="20">
        <f t="shared" si="95"/>
        <v>134.30862182828974</v>
      </c>
      <c r="KE25" s="59">
        <f t="shared" si="96"/>
        <v>427.64195516162306</v>
      </c>
      <c r="KF25" s="59">
        <f ca="1">AVERAGE(OFFSET($KE$3,0,0,'Données projet'!$E$22+1,1))-AVERAGE(OFFSET($H$3,0,0,'Données projet'!$E$22+1,1))</f>
        <v>193.91714772848269</v>
      </c>
      <c r="KG25" s="59">
        <f t="shared" si="97"/>
        <v>159.20429420478047</v>
      </c>
      <c r="KH25" s="15">
        <f>IF(ISNA(VLOOKUP($A25,'Données projet'!$A$382:$I$402,3,0)),0,VLOOKUP($A25,'Données projet'!$A$382:$I$402,3,0))</f>
        <v>0</v>
      </c>
      <c r="KI25" s="15">
        <f>IF(ISNA(VLOOKUP($A25,'Données projet'!$A$382:$I$402,4,0)),0,VLOOKUP($A25,'Données projet'!$A$382:$I$402,4,0))</f>
        <v>0</v>
      </c>
      <c r="KJ25" s="16">
        <f>IF(ISNA(VLOOKUP($A25,'Données projet'!$A$382:$I$402,5,0)),0%,VLOOKUP($A25,'Données projet'!$A$382:$I$402,5,0)*VLOOKUP('Données projet'!$B$22,Paramètres!$A$1:$I$89,7,0))</f>
        <v>0</v>
      </c>
      <c r="KK25" s="16">
        <f>IF(ISNA(VLOOKUP($A25,'Données projet'!$A$382:$I$402,6,0)),0%,VLOOKUP($A25,'Données projet'!$A$382:$I$402,6,0)*VLOOKUP('Données projet'!$B$22,Paramètres!$A$1:$I$89,7,0))</f>
        <v>0</v>
      </c>
      <c r="KL25" s="16">
        <f>IF(ISNA(VLOOKUP($A25,'Données projet'!$A$382:$I$402,7,0)),0%,VLOOKUP($A25,'Données projet'!$A$382:$I$402,7,0))</f>
        <v>0</v>
      </c>
      <c r="KM25" s="21">
        <f>EXP(-LN(2)/35)*KM24+(1-EXP(-LN(2)/35))/(LN(2)/35)*KI25*KJ25*VLOOKUP('Données projet'!$B$22,Paramètres!$A$1:$I$89,3,0)*0.475*44/12</f>
        <v>0</v>
      </c>
      <c r="KN25" s="21">
        <f>EXP(-LN(2)/25)*KN24+(1-EXP(-LN(2)/25))/(LN(2)/25)*Calculateur!KI25*Calculateur!KK25*VLOOKUP('Données projet'!$B$22,Paramètres!$A$1:$I$89,3,0)*0.475*44/12</f>
        <v>0</v>
      </c>
      <c r="KO25" s="21">
        <f>EXP(-LN(2)/2)*KO24+(1-EXP(-LN(2)/2))/(LN(2)/2)*KI25*KL25*VLOOKUP('Données projet'!$B$22,Paramètres!$A$1:$I$89,3,0)*0.475*44/12</f>
        <v>0</v>
      </c>
      <c r="KP25" s="22">
        <f t="shared" si="98"/>
        <v>0</v>
      </c>
      <c r="KQ25" s="74">
        <f>('Scénario référence'!$F$8+'Scénario référence'!$F$9+'Scénario référence'!$B$17+'Scénario référence'!$B$9+'Scénario référence'!$B$10)*70+IF((45+25*(1-EXP(-0.0175*$A25)))&lt;70,'Scénario référence'!$B$16*(45+25*(1-EXP(-0.0175*$A25))),70*'Scénario référence'!$B$16)+IF((32+38*(1-EXP(-0.0175*$A25)))&lt;70,'Scénario référence'!$B$18*(32+38*(1-EXP(-0.0175*$A25))),70*'Scénario référence'!$B$18)</f>
        <v>70</v>
      </c>
      <c r="KR25" s="12">
        <f>IF($A25&gt;30,10,('Scénario référence'!$B$16+'Scénario référence'!$B$17+'Scénario référence'!$B$18+'Scénario référence'!$B$9+'Scénario référence'!$B$10)*$A25*10/30+('Scénario référence'!$F$8+'Scénario référence'!$F$9)*10)</f>
        <v>10</v>
      </c>
      <c r="KS25" s="12" t="e">
        <f>VLOOKUP($A25,'Données projet'!$A$408:$I$428,2,0)</f>
        <v>#N/A</v>
      </c>
      <c r="KT25" s="12" t="e">
        <f>VLOOKUP($A25,'Données projet'!$A$408:$I$428,9,0)</f>
        <v>#N/A</v>
      </c>
      <c r="KU25" s="12">
        <f t="array" ref="KU25">INDEX(KT:KT,MIN(IF(ISNUMBER(KT25:KT221),ROW(KT25:KT221),"")))</f>
        <v>12.6</v>
      </c>
      <c r="KV25" s="12">
        <f>IF('Données projet'!$A$408&gt;35,KV24+KU25-LD24,IF($A25&lt;'Données projet'!$A$408,$CQ$205^$A25,IF($A25='Données projet'!$A$408,'Données projet'!$B$408,KV24+KU25-LD24)))</f>
        <v>77.2</v>
      </c>
      <c r="KW25" s="17">
        <f>KV25*VLOOKUP('Données projet'!$B$23,Paramètres!$A$1:$I$89,3,0)*VLOOKUP('Données projet'!$B$23,Paramètres!$A$1:$I$89,5,0)</f>
        <v>67.44192000000001</v>
      </c>
      <c r="KX25" s="13">
        <f t="shared" si="99"/>
        <v>19.036826299015054</v>
      </c>
      <c r="KY25" s="14">
        <f t="shared" si="43"/>
        <v>150.61714980411787</v>
      </c>
      <c r="KZ25" s="59">
        <f t="shared" si="44"/>
        <v>443.95048313745122</v>
      </c>
      <c r="LA25" s="59">
        <f ca="1">AVERAGE(OFFSET($KZ$3,0,0,'Données projet'!$E$23+1,1))-AVERAGE(OFFSET($H$3,0,0,'Données projet'!$E$23+1,1))</f>
        <v>248.33596943633819</v>
      </c>
      <c r="LB25" s="59">
        <f t="shared" si="100"/>
        <v>242.34010522344573</v>
      </c>
      <c r="LC25" s="15">
        <f>IF(ISNA(VLOOKUP($A25,'Données projet'!$A$408:$I$428,3,0)),0,VLOOKUP($A25,'Données projet'!$A$408:$I$428,3,0))</f>
        <v>0</v>
      </c>
      <c r="LD25" s="15">
        <f>IF(ISNA(VLOOKUP($A25,'Données projet'!$A$408:$I$428,4,0)),0,VLOOKUP($A25,'Données projet'!$A$408:$I$428,4,0))</f>
        <v>0</v>
      </c>
      <c r="LE25" s="16">
        <f>IF(ISNA(VLOOKUP($A25,'Données projet'!$A$408:$I$428,5,0)),0%,VLOOKUP($A25,'Données projet'!$A$408:$I$428,5,0)*VLOOKUP('Données projet'!$B$23,Paramètres!$A$1:$I$89,7,0))</f>
        <v>0</v>
      </c>
      <c r="LF25" s="16">
        <f>IF(ISNA(VLOOKUP($A25,'Données projet'!$A$408:$I$428,6,0)),0%,VLOOKUP($A25,'Données projet'!$A$408:$I$428,6,0)*VLOOKUP('Données projet'!$B$23,Paramètres!$A$1:$I$89,7,0))</f>
        <v>0</v>
      </c>
      <c r="LG25" s="16">
        <f>IF(ISNA(VLOOKUP($A25,'Données projet'!$A$408:$I$428,7,0)),0%,VLOOKUP($A25,'Données projet'!$A$408:$I$428,7,0))</f>
        <v>0</v>
      </c>
      <c r="LH25" s="21">
        <f>EXP(-LN(2)/35)*LH24+(1-EXP(-LN(2)/35))/(LN(2)/35)*LD25*LE25*VLOOKUP('Données projet'!$B$23,Paramètres!$A$1:$I$89,3,0)*0.475*44/12</f>
        <v>0</v>
      </c>
      <c r="LI25" s="21">
        <f>EXP(-LN(2)/25)*LI24+(1-EXP(-LN(2)/25))/(LN(2)/25)*Calculateur!LD25*Calculateur!LF25*VLOOKUP('Données projet'!$B$23,Paramètres!$A$1:$I$89,3,0)*0.475*44/12</f>
        <v>0</v>
      </c>
      <c r="LJ25" s="21">
        <f>EXP(-LN(2)/2)*LJ24+(1-EXP(-LN(2)/2))/(LN(2)/2)*LD25*LG25*VLOOKUP('Données projet'!$B$23,Paramètres!$A$1:$I$89,3,0)*0.475*44/12</f>
        <v>0</v>
      </c>
      <c r="LK25" s="22">
        <f t="shared" si="101"/>
        <v>0</v>
      </c>
      <c r="LL25" s="74">
        <f>('Scénario référence'!$F$8+'Scénario référence'!$F$9+'Scénario référence'!$B$17+'Scénario référence'!$B$9+'Scénario référence'!$B$10)*70+IF((45+25*(1-EXP(-0.0175*$A25)))&lt;70,'Scénario référence'!$B$16*(45+25*(1-EXP(-0.0175*$A25))),70*'Scénario référence'!$B$16)+IF((32+38*(1-EXP(-0.0175*$A25)))&lt;70,'Scénario référence'!$B$18*(32+38*(1-EXP(-0.0175*$A25))),70*'Scénario référence'!$B$18)</f>
        <v>70</v>
      </c>
      <c r="LM25" s="12">
        <f>IF($A25&gt;30,10,('Scénario référence'!$B$16+'Scénario référence'!$B$17+'Scénario référence'!$B$18+'Scénario référence'!$B$9+'Scénario référence'!$B$10)*$A25*10/30+('Scénario référence'!$F$8+'Scénario référence'!$F$9)*10)</f>
        <v>10</v>
      </c>
      <c r="LN25" s="12" t="e">
        <f>VLOOKUP($A25,'Données projet'!$A$434:$I$454,2,0)</f>
        <v>#N/A</v>
      </c>
      <c r="LO25" s="12" t="e">
        <f>VLOOKUP($A25,'Données projet'!$A$434:$I$454,9,0)</f>
        <v>#N/A</v>
      </c>
      <c r="LP25" s="12">
        <f t="array" ref="LP25">INDEX(LO:LO,MIN(IF(ISNUMBER(LO25:LO221),ROW(LO25:LO221),"")))</f>
        <v>2.9235042735042733</v>
      </c>
      <c r="LQ25" s="12">
        <f>IF('Données projet'!$A$434&gt;35,LQ24+LP25-LY24,IF($A25&lt;'Données projet'!$A$434,$CQ$205^$A25,IF($A25='Données projet'!$A$434,'Données projet'!$B$434,LQ24+LP25-LY24)))</f>
        <v>64.317094017093993</v>
      </c>
      <c r="LR25" s="17">
        <f>LQ25*VLOOKUP('Données projet'!$B$24,Paramètres!$A$1:$I$89,3,0)*VLOOKUP('Données projet'!$B$24,Paramètres!$A$1:$I$89,5,0)</f>
        <v>65.217533333333321</v>
      </c>
      <c r="LS25" s="13">
        <f t="shared" si="102"/>
        <v>18.48095549441846</v>
      </c>
      <c r="LT25" s="14">
        <f t="shared" si="46"/>
        <v>145.7748680416677</v>
      </c>
      <c r="LU25" s="59">
        <f t="shared" si="103"/>
        <v>439.10820137500104</v>
      </c>
      <c r="LV25" s="59">
        <f ca="1">AVERAGE(OFFSET($LU$3,0,0,'Données projet'!$E$24+1,1))-AVERAGE(OFFSET($H$3,0,0,'Données projet'!$E$24+1,1))</f>
        <v>260.52627655062872</v>
      </c>
      <c r="LW25" s="59">
        <f t="shared" si="104"/>
        <v>159.20429420478047</v>
      </c>
      <c r="LX25" s="15">
        <f>IF(ISNA(VLOOKUP($A25,'Données projet'!$A$434:$I$454,3,0)),0,VLOOKUP($A25,'Données projet'!$A$434:$I$454,3,0))</f>
        <v>0</v>
      </c>
      <c r="LY25" s="15">
        <f>IF(ISNA(VLOOKUP($A25,'Données projet'!$A$434:$I$454,4,0)),0,VLOOKUP($A25,'Données projet'!$A$434:$I$454,4,0))</f>
        <v>0</v>
      </c>
      <c r="LZ25" s="16">
        <f>IF(ISNA(VLOOKUP($A25,'Données projet'!$A$434:$I$454,5,0)),0%,VLOOKUP($A25,'Données projet'!$A$434:$I$454,5,0)*VLOOKUP('Données projet'!$B$24,Paramètres!$A$1:$I$89,7,0))</f>
        <v>0</v>
      </c>
      <c r="MA25" s="16">
        <f>IF(ISNA(VLOOKUP($A25,'Données projet'!$A$434:$I$454,6,0)),0%,VLOOKUP($A25,'Données projet'!$A$434:$I$454,6,0)*VLOOKUP('Données projet'!$B$24,Paramètres!$A$1:$I$89,7,0))</f>
        <v>0</v>
      </c>
      <c r="MB25" s="16">
        <f>IF(ISNA(VLOOKUP($A25,'Données projet'!$A$434:$I$454,7,0)),0%,VLOOKUP($A25,'Données projet'!$A$434:$I$454,7,0))</f>
        <v>0</v>
      </c>
      <c r="MC25" s="21">
        <f>EXP(-LN(2)/35)*MC24+(1-EXP(-LN(2)/35))/(LN(2)/35)*LY25*LZ25*VLOOKUP('Données projet'!$B$24,Paramètres!$A$1:$I$89,3,0)*0.475*44/12</f>
        <v>0</v>
      </c>
      <c r="MD25" s="21">
        <f>EXP(-LN(2)/25)*MD24+(1-EXP(-LN(2)/25))/(LN(2)/25)*Calculateur!LY25*Calculateur!MA25*VLOOKUP('Données projet'!$B$24,Paramètres!$A$1:$I$89,3,0)*0.475*44/12</f>
        <v>0</v>
      </c>
      <c r="ME25" s="21">
        <f>EXP(-LN(2)/2)*ME24+(1-EXP(-LN(2)/2))/(LN(2)/2)*LY25*MB25*VLOOKUP('Données projet'!$B$24,Paramètres!$A$1:$I$89,3,0)*0.475*44/12</f>
        <v>0</v>
      </c>
      <c r="MF25" s="22">
        <f t="shared" si="105"/>
        <v>0</v>
      </c>
      <c r="MG25" s="74">
        <f>('Scénario référence'!$F$8+'Scénario référence'!$F$9+'Scénario référence'!$B$17+'Scénario référence'!$B$9+'Scénario référence'!$B$10)*70+IF((45+25*(1-EXP(-0.0175*$A25)))&lt;70,'Scénario référence'!$B$16*(45+25*(1-EXP(-0.0175*$A25))),70*'Scénario référence'!$B$16)+IF((32+38*(1-EXP(-0.0175*$A25)))&lt;70,'Scénario référence'!$B$18*(32+38*(1-EXP(-0.0175*$A25))),70*'Scénario référence'!$B$18)</f>
        <v>70</v>
      </c>
      <c r="MH25" s="12">
        <f>IF($A25&gt;30,10,('Scénario référence'!$B$16+'Scénario référence'!$B$17+'Scénario référence'!$B$18+'Scénario référence'!$B$9+'Scénario référence'!$B$10)*$A25*10/30+('Scénario référence'!$F$8+'Scénario référence'!$F$9)*10)</f>
        <v>10</v>
      </c>
      <c r="MI25" s="12" t="e">
        <f>VLOOKUP($A25,'Données projet'!$A$460:$I$480,2,0)</f>
        <v>#N/A</v>
      </c>
      <c r="MJ25" s="12" t="e">
        <f>VLOOKUP($A25,'Données projet'!$A$460:$I$480,9,0)</f>
        <v>#N/A</v>
      </c>
      <c r="MK25" s="12">
        <f t="array" ref="MK25">INDEX(MJ:MJ,MIN(IF(ISNUMBER(MJ25:MJ221),ROW(MJ25:MJ221),"")))</f>
        <v>0</v>
      </c>
      <c r="ML25" s="12">
        <f>IF('Données projet'!$A$460&gt;35,ML24+MK25-MT24,IF($A25&lt;'Données projet'!$A$460,$CQ$205^$A25,IF($A25='Données projet'!$A$460,'Données projet'!$B$460,ML24+MK25-MT24)))</f>
        <v>0</v>
      </c>
      <c r="MM25" s="17" t="e">
        <f>ML25*VLOOKUP('Données projet'!$B$25,Paramètres!$A$1:$I$89,3,0)*VLOOKUP('Données projet'!$B$25,Paramètres!$A$1:$I$89,5,0)</f>
        <v>#N/A</v>
      </c>
      <c r="MN25" s="13" t="e">
        <f t="shared" si="106"/>
        <v>#N/A</v>
      </c>
      <c r="MO25" s="14" t="e">
        <f t="shared" si="49"/>
        <v>#N/A</v>
      </c>
      <c r="MP25" s="59" t="e">
        <f t="shared" si="50"/>
        <v>#N/A</v>
      </c>
      <c r="MQ25" s="20" t="e">
        <f ca="1">AVERAGE(OFFSET($MP$3,0,0,'Données projet'!$E$25+1,1))-AVERAGE(OFFSET($H$3,0,0,'Données projet'!$E$25+1,1))</f>
        <v>#N/A</v>
      </c>
      <c r="MR25" s="59" t="e">
        <f t="shared" si="107"/>
        <v>#N/A</v>
      </c>
      <c r="MS25" s="15">
        <f>IF(ISNA(VLOOKUP($A25,'Données projet'!$A$460:$I$480,3,0)),0,VLOOKUP($A25,'Données projet'!$A$460:$I$480,3,0))</f>
        <v>0</v>
      </c>
      <c r="MT25" s="15">
        <f>IF(ISNA(VLOOKUP($A25,'Données projet'!$A$460:$I$480,4,0)),0,VLOOKUP($A25,'Données projet'!$A$460:$I$480,4,0))</f>
        <v>0</v>
      </c>
      <c r="MU25" s="16">
        <f>IF(ISNA(VLOOKUP($A25,'Données projet'!$A$460:$I$480,5,0)),0%,VLOOKUP($A25,'Données projet'!$A$460:$I$480,5,0)*VLOOKUP('Données projet'!$B$25,Paramètres!$A$1:$I$89,7,0))</f>
        <v>0</v>
      </c>
      <c r="MV25" s="16">
        <f>IF(ISNA(VLOOKUP($A25,'Données projet'!$A$460:$I$480,6,0)),0%,VLOOKUP($A25,'Données projet'!$A$460:$I$480,6,0)*VLOOKUP('Données projet'!$B$25,Paramètres!$A$1:$I$89,7,0))</f>
        <v>0</v>
      </c>
      <c r="MW25" s="16">
        <f>IF(ISNA(VLOOKUP($A25,'Données projet'!$A$460:$I$480,7,0)),0%,VLOOKUP($A25,'Données projet'!$A$460:$I$480,7,0))</f>
        <v>0</v>
      </c>
      <c r="MX25" s="21" t="e">
        <f>EXP(-LN(2)/35)*MX24+(1-EXP(-LN(2)/35))/(LN(2)/35)*MT25*MU25*VLOOKUP('Données projet'!$B$25,Paramètres!$A$1:$I$89,3,0)*0.475*44/12</f>
        <v>#N/A</v>
      </c>
      <c r="MY25" s="21" t="e">
        <f>EXP(-LN(2)/25)*MY24+(1-EXP(-LN(2)/25))/(LN(2)/25)*Calculateur!MT25*Calculateur!MV25*VLOOKUP('Données projet'!$B$25,Paramètres!$A$1:$I$89,3,0)*0.475*44/12</f>
        <v>#N/A</v>
      </c>
      <c r="MZ25" s="21" t="e">
        <f>EXP(-LN(2)/2)*MZ24+(1-EXP(-LN(2)/2))/(LN(2)/2)*MT25*MW25*VLOOKUP('Données projet'!$B$25,Paramètres!$A$1:$I$89,3,0)*0.475*44/12</f>
        <v>#N/A</v>
      </c>
      <c r="NA25" s="22" t="e">
        <f t="shared" si="108"/>
        <v>#N/A</v>
      </c>
      <c r="NB25" s="74">
        <f>('Scénario référence'!$F$8+'Scénario référence'!$F$9+'Scénario référence'!$B$17+'Scénario référence'!$B$9+'Scénario référence'!$B$10)*70+IF((45+25*(1-EXP(-0.0175*$A25)))&lt;70,'Scénario référence'!$B$16*(45+25*(1-EXP(-0.0175*$A25))),70*'Scénario référence'!$B$16)+IF((32+38*(1-EXP(-0.0175*$A25)))&lt;70,'Scénario référence'!$B$18*(32+38*(1-EXP(-0.0175*$A25))),70*'Scénario référence'!$B$18)</f>
        <v>70</v>
      </c>
      <c r="NC25" s="12">
        <f>IF($A25&gt;30,10,('Scénario référence'!$B$16+'Scénario référence'!$B$17+'Scénario référence'!$B$18+'Scénario référence'!$B$9+'Scénario référence'!$B$10)*$A25*10/30+('Scénario référence'!$F$8+'Scénario référence'!$F$9)*10)</f>
        <v>10</v>
      </c>
      <c r="ND25" s="12" t="e">
        <f>VLOOKUP($A25,'Données projet'!$A$486:$I$506,2,0)</f>
        <v>#N/A</v>
      </c>
      <c r="NE25" s="12" t="e">
        <f>VLOOKUP($A25,'Données projet'!$A$486:$I$506,9,0)</f>
        <v>#N/A</v>
      </c>
      <c r="NF25" s="12">
        <f t="array" ref="NF25">INDEX(NE:NE,MIN(IF(ISNUMBER(NE25:NE221),ROW(NE25:NE221),"")))</f>
        <v>0</v>
      </c>
      <c r="NG25" s="12">
        <f>IF('Données projet'!$A$486&gt;35,NG24+NF25-NO24,IF($A25&lt;'Données projet'!$A$486,$CQ$205^$A25,IF($A25='Données projet'!$A$486,'Données projet'!$B$486,NG24+NF25-NO24)))</f>
        <v>0</v>
      </c>
      <c r="NH25" s="17" t="e">
        <f>NG25*VLOOKUP('Données projet'!$B$26,Paramètres!$A$1:$I$89,3,0)*VLOOKUP('Données projet'!$B$26,Paramètres!$A$1:$I$89,5,0)</f>
        <v>#N/A</v>
      </c>
      <c r="NI25" s="13" t="e">
        <f t="shared" si="109"/>
        <v>#N/A</v>
      </c>
      <c r="NJ25" s="14" t="e">
        <f t="shared" si="52"/>
        <v>#N/A</v>
      </c>
      <c r="NK25" s="59" t="e">
        <f t="shared" si="53"/>
        <v>#N/A</v>
      </c>
      <c r="NL25" s="20" t="e">
        <f ca="1">AVERAGE(OFFSET($NK$3,0,0,'Données projet'!$E$26+1,1))-AVERAGE(OFFSET($H$3,0,0,'Données projet'!$E$26+1,1))</f>
        <v>#N/A</v>
      </c>
      <c r="NM25" s="59" t="e">
        <f t="shared" si="110"/>
        <v>#N/A</v>
      </c>
      <c r="NN25" s="15">
        <f>IF(ISNA(VLOOKUP($A25,'Données projet'!$A$486:$I$506,3,0)),0,VLOOKUP($A25,'Données projet'!$A$486:$I$506,3,0))</f>
        <v>0</v>
      </c>
      <c r="NO25" s="15">
        <f>IF(ISNA(VLOOKUP($A25,'Données projet'!$A$486:$I$506,4,0)),0,VLOOKUP($A25,'Données projet'!$A$486:$I$506,4,0))</f>
        <v>0</v>
      </c>
      <c r="NP25" s="16">
        <f>IF(ISNA(VLOOKUP($A25,'Données projet'!$A$486:$I$506,5,0)),0%,VLOOKUP($A25,'Données projet'!$A$486:$I$506,5,0)*VLOOKUP('Données projet'!$B$26,Paramètres!$A$1:$I$89,7,0))</f>
        <v>0</v>
      </c>
      <c r="NQ25" s="16">
        <f>IF(ISNA(VLOOKUP($A25,'Données projet'!$A$486:$I$506,6,0)),0%,VLOOKUP($A25,'Données projet'!$A$486:$I$506,6,0)*VLOOKUP('Données projet'!$B$26,Paramètres!$A$1:$I$89,7,0))</f>
        <v>0</v>
      </c>
      <c r="NR25" s="16">
        <f>IF(ISNA(VLOOKUP($A25,'Données projet'!$A$486:$I$506,7,0)),0%,VLOOKUP($A25,'Données projet'!$A$486:$I$506,7,0))</f>
        <v>0</v>
      </c>
      <c r="NS25" s="21" t="e">
        <f>EXP(-LN(2)/35)*NS24+(1-EXP(-LN(2)/35))/(LN(2)/35)*NO25*NP25*VLOOKUP('Données projet'!$B$26,Paramètres!$A$1:$I$89,3,0)*0.475*44/12</f>
        <v>#N/A</v>
      </c>
      <c r="NT25" s="21" t="e">
        <f>EXP(-LN(2)/25)*NT24+(1-EXP(-LN(2)/25))/(LN(2)/25)*Calculateur!NO25*Calculateur!NQ25*VLOOKUP('Données projet'!$B$26,Paramètres!$A$1:$I$89,3,0)*0.475*44/12</f>
        <v>#N/A</v>
      </c>
      <c r="NU25" s="21" t="e">
        <f>EXP(-LN(2)/2)*NU24+(1-EXP(-LN(2)/2))/(LN(2)/2)*NO25*NR25*VLOOKUP('Données projet'!$B$26,Paramètres!$A$1:$I$89,3,0)*0.475*44/12</f>
        <v>#N/A</v>
      </c>
      <c r="NV25" s="22" t="e">
        <f t="shared" si="111"/>
        <v>#N/A</v>
      </c>
      <c r="NW25" s="74">
        <f>('Scénario référence'!$F$8+'Scénario référence'!$F$9+'Scénario référence'!$B$17+'Scénario référence'!$B$9+'Scénario référence'!$B$10)*70+IF((45+25*(1-EXP(-0.0175*$A25)))&lt;70,'Scénario référence'!$B$16*(45+25*(1-EXP(-0.0175*$A25))),70*'Scénario référence'!$B$16)+IF((32+38*(1-EXP(-0.0175*$A25)))&lt;70,'Scénario référence'!$B$18*(32+38*(1-EXP(-0.0175*$A25))),70*'Scénario référence'!$B$18)</f>
        <v>70</v>
      </c>
      <c r="NX25" s="12">
        <f>IF($A25&gt;30,10,('Scénario référence'!$B$16+'Scénario référence'!$B$17+'Scénario référence'!$B$18+'Scénario référence'!$B$9+'Scénario référence'!$B$10)*$A25*10/30+('Scénario référence'!$F$8+'Scénario référence'!$F$9)*10)</f>
        <v>10</v>
      </c>
      <c r="NY25" s="12" t="e">
        <f>VLOOKUP($A25,'Données projet'!$A$512:$I$532,2,0)</f>
        <v>#N/A</v>
      </c>
      <c r="NZ25" s="12" t="e">
        <f>VLOOKUP($A25,'Données projet'!$A$512:$I$532,9,0)</f>
        <v>#N/A</v>
      </c>
      <c r="OA25" s="12">
        <f t="array" ref="OA25">INDEX(NZ:NZ,MIN(IF(ISNUMBER(NZ25:NZ221),ROW(NZ25:NZ221),"")))</f>
        <v>0</v>
      </c>
      <c r="OB25" s="12">
        <f>IF('Données projet'!$A$512&gt;35,OB24+OA25-OJ24,IF($A25&lt;'Données projet'!$A$512,$CQ$205^$A25,IF($A25='Données projet'!$A$512,'Données projet'!$B$512,OB24+OA25-OJ24)))</f>
        <v>0</v>
      </c>
      <c r="OC25" s="17" t="e">
        <f>OB25*VLOOKUP('Données projet'!$B$27,Paramètres!$A$1:$I$89,3,0)*VLOOKUP('Données projet'!$B$27,Paramètres!$A$1:$I$89,5,0)</f>
        <v>#N/A</v>
      </c>
      <c r="OD25" s="13" t="e">
        <f t="shared" si="112"/>
        <v>#N/A</v>
      </c>
      <c r="OE25" s="14" t="e">
        <f t="shared" si="55"/>
        <v>#N/A</v>
      </c>
      <c r="OF25" s="59" t="e">
        <f t="shared" si="56"/>
        <v>#N/A</v>
      </c>
      <c r="OG25" s="20" t="e">
        <f ca="1">AVERAGE(OFFSET($OF$3,0,0,'Données projet'!$E$27+1,1))-AVERAGE(OFFSET($H$3,0,0,'Données projet'!$E$27+1,1))</f>
        <v>#N/A</v>
      </c>
      <c r="OH25" s="59" t="e">
        <f t="shared" si="113"/>
        <v>#N/A</v>
      </c>
      <c r="OI25" s="15">
        <f>IF(ISNA(VLOOKUP($A25,'Données projet'!$A$512:$I$532,3,0)),0,VLOOKUP($A25,'Données projet'!$A$512:$I$532,3,0))</f>
        <v>0</v>
      </c>
      <c r="OJ25" s="15">
        <f>IF(ISNA(VLOOKUP($A25,'Données projet'!$A$512:$I$532,4,0)),0,VLOOKUP($A25,'Données projet'!$A$512:$I$532,4,0))</f>
        <v>0</v>
      </c>
      <c r="OK25" s="16">
        <f>IF(ISNA(VLOOKUP($A25,'Données projet'!$A$512:$I$532,5,0)),0%,VLOOKUP($A25,'Données projet'!$A$512:$I$532,5,0)*VLOOKUP('Données projet'!$B$27,Paramètres!$A$1:$I$89,7,0))</f>
        <v>0</v>
      </c>
      <c r="OL25" s="16">
        <f>IF(ISNA(VLOOKUP($A25,'Données projet'!$A$512:$I$532,6,0)),0%,VLOOKUP($A25,'Données projet'!$A$512:$I$532,6,0)*VLOOKUP('Données projet'!$B$27,Paramètres!$A$1:$I$89,7,0))</f>
        <v>0</v>
      </c>
      <c r="OM25" s="16">
        <f>IF(ISNA(VLOOKUP($A25,'Données projet'!$A$512:$I$532,7,0)),0%,VLOOKUP($A25,'Données projet'!$A$512:$I$532,7,0))</f>
        <v>0</v>
      </c>
      <c r="ON25" s="21" t="e">
        <f>EXP(-LN(2)/35)*ON24+(1-EXP(-LN(2)/35))/(LN(2)/35)*OJ25*OK25*VLOOKUP('Données projet'!$B$27,Paramètres!$A$1:$I$89,3,0)*0.475*44/12</f>
        <v>#N/A</v>
      </c>
      <c r="OO25" s="21" t="e">
        <f>EXP(-LN(2)/25)*OO24+(1-EXP(-LN(2)/25))/(LN(2)/25)*Calculateur!OJ25*Calculateur!OL25*VLOOKUP('Données projet'!$B$27,Paramètres!$A$1:$I$89,3,0)*0.475*44/12</f>
        <v>#N/A</v>
      </c>
      <c r="OP25" s="21" t="e">
        <f>EXP(-LN(2)/2)*OP24+(1-EXP(-LN(2)/2))/(LN(2)/2)*OJ25*OM25*VLOOKUP('Données projet'!$B$27,Paramètres!$A$1:$I$89,3,0)*0.475*44/12</f>
        <v>#N/A</v>
      </c>
      <c r="OQ25" s="22" t="e">
        <f t="shared" si="114"/>
        <v>#N/A</v>
      </c>
      <c r="OR25" s="74">
        <f>('Scénario référence'!$F$8+'Scénario référence'!$F$9+'Scénario référence'!$B$17+'Scénario référence'!$B$9+'Scénario référence'!$B$10)*70+IF((45+25*(1-EXP(-0.0175*$A25)))&lt;70,'Scénario référence'!$B$16*(45+25*(1-EXP(-0.0175*$A25))),70*'Scénario référence'!$B$16)+IF((32+38*(1-EXP(-0.0175*$A25)))&lt;70,'Scénario référence'!$B$18*(32+38*(1-EXP(-0.0175*$A25))),70*'Scénario référence'!$B$18)</f>
        <v>70</v>
      </c>
      <c r="OS25" s="12">
        <f>IF($A25&gt;30,10,('Scénario référence'!$B$16+'Scénario référence'!$B$17+'Scénario référence'!$B$18+'Scénario référence'!$B$9+'Scénario référence'!$B$10)*$A25*10/30+('Scénario référence'!$F$8+'Scénario référence'!$F$9)*10)</f>
        <v>10</v>
      </c>
      <c r="OT25" s="12" t="e">
        <f>VLOOKUP($A25,'Données projet'!$A$538:$I$558,2,0)</f>
        <v>#N/A</v>
      </c>
      <c r="OU25" s="12" t="e">
        <f>VLOOKUP($A25,'Données projet'!$A$538:$I$558,9,0)</f>
        <v>#N/A</v>
      </c>
      <c r="OV25" s="12">
        <f t="array" ref="OV25">INDEX(OU:OU,MIN(IF(ISNUMBER(OU25:OU221),ROW(OU25:OU221),"")))</f>
        <v>0</v>
      </c>
      <c r="OW25" s="12">
        <f>IF('Données projet'!$A$538&gt;35,OW24+OV25-PE24,IF($A25&lt;'Données projet'!$A$538,$CQ$205^$A25,IF($A25='Données projet'!$A$538,'Données projet'!$B$538,OW24+OV25-PE24)))</f>
        <v>0</v>
      </c>
      <c r="OX25" s="17" t="e">
        <f>OW25*VLOOKUP('Données projet'!$B$28,Paramètres!$A$1:$I$89,3,0)*VLOOKUP('Données projet'!$B$28,Paramètres!$A$1:$I$89,5,0)</f>
        <v>#N/A</v>
      </c>
      <c r="OY25" s="13" t="e">
        <f t="shared" si="115"/>
        <v>#N/A</v>
      </c>
      <c r="OZ25" s="14" t="e">
        <f t="shared" si="58"/>
        <v>#N/A</v>
      </c>
      <c r="PA25" s="59" t="e">
        <f t="shared" si="59"/>
        <v>#N/A</v>
      </c>
      <c r="PB25" s="20" t="e">
        <f ca="1">AVERAGE(OFFSET($PA$3,0,0,'Données projet'!$E$28+1,1))-AVERAGE(OFFSET($H$3,0,0,'Données projet'!$E$28+1,1))</f>
        <v>#N/A</v>
      </c>
      <c r="PC25" s="59" t="e">
        <f t="shared" si="116"/>
        <v>#N/A</v>
      </c>
      <c r="PD25" s="15">
        <f>IF(ISNA(VLOOKUP($A25,'Données projet'!$A$538:$I$558,3,0)),0,VLOOKUP($A25,'Données projet'!$A$538:$I$558,3,0))</f>
        <v>0</v>
      </c>
      <c r="PE25" s="15">
        <f>IF(ISNA(VLOOKUP($A25,'Données projet'!$A$538:$I$558,4,0)),0,VLOOKUP($A25,'Données projet'!$A$538:$I$558,4,0))</f>
        <v>0</v>
      </c>
      <c r="PF25" s="16">
        <f>IF(ISNA(VLOOKUP($A25,'Données projet'!$A$538:$I$558,5,0)),0%,VLOOKUP($A25,'Données projet'!$A$538:$I$558,5,0)*VLOOKUP('Données projet'!$B$28,Paramètres!$A$1:$I$89,7,0))</f>
        <v>0</v>
      </c>
      <c r="PG25" s="16">
        <f>IF(ISNA(VLOOKUP($A25,'Données projet'!$A$538:$I$558,6,0)),0%,VLOOKUP($A25,'Données projet'!$A$538:$I$558,6,0)*VLOOKUP('Données projet'!$B$28,Paramètres!$A$1:$I$89,7,0))</f>
        <v>0</v>
      </c>
      <c r="PH25" s="16">
        <f>IF(ISNA(VLOOKUP($A25,'Données projet'!$A$538:$I$558,7,0)),0%,VLOOKUP($A25,'Données projet'!$A$538:$I$558,7,0))</f>
        <v>0</v>
      </c>
      <c r="PI25" s="21" t="e">
        <f>EXP(-LN(2)/35)*PI24+(1-EXP(-LN(2)/35))/(LN(2)/35)*PE25*PF25*VLOOKUP('Données projet'!$B$28,Paramètres!$A$1:$I$89,3,0)*0.475*44/12</f>
        <v>#N/A</v>
      </c>
      <c r="PJ25" s="21" t="e">
        <f>EXP(-LN(2)/25)*PJ24+(1-EXP(-LN(2)/25))/(LN(2)/25)*Calculateur!PE25*Calculateur!PG25*VLOOKUP('Données projet'!$B$28,Paramètres!$A$1:$I$89,3,0)*0.475*44/12</f>
        <v>#N/A</v>
      </c>
      <c r="PK25" s="21" t="e">
        <f>EXP(-LN(2)/2)*PK24+(1-EXP(-LN(2)/2))/(LN(2)/2)*PE25*PH25*VLOOKUP('Données projet'!$B$28,Paramètres!$A$1:$I$89,3,0)*0.475*44/12</f>
        <v>#N/A</v>
      </c>
      <c r="PL25" s="22" t="e">
        <f t="shared" si="117"/>
        <v>#N/A</v>
      </c>
    </row>
    <row r="26" spans="1:428" x14ac:dyDescent="0.35">
      <c r="A26" s="10">
        <f t="shared" si="6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6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projet'!$A$45:$I$65,2,0)</f>
        <v>#N/A</v>
      </c>
      <c r="L26" s="12" t="e">
        <f>VLOOKUP(A26,'Données projet'!$A$45:$I$65,9,0)</f>
        <v>#N/A</v>
      </c>
      <c r="M26" s="12">
        <f t="array" ref="M26">INDEX(L:L,MIN(IF(ISNUMBER(L26:L222),ROW(L26:L222),"")))</f>
        <v>20.658974358974358</v>
      </c>
      <c r="N26" s="13">
        <f>IF('Données projet'!$A$46&gt;35,N25+M26-V25,IF(A26&lt;'Données projet'!$A$46,$K$205^A26,IF(A26='Données projet'!$A$46,'Données projet'!$B$46,N25+M26-V25)))</f>
        <v>216.90256410256404</v>
      </c>
      <c r="O26" s="13">
        <f>N26*VLOOKUP('Données projet'!$B$9,Paramètres!$A$1:$I$89,3,0)*VLOOKUP('Données projet'!$B$9,Paramètres!$A$1:$I$89,5,0)</f>
        <v>121.2485333333333</v>
      </c>
      <c r="P26" s="13">
        <f t="shared" si="63"/>
        <v>31.966023537079113</v>
      </c>
      <c r="Q26" s="20">
        <f t="shared" si="2"/>
        <v>266.84868654930165</v>
      </c>
      <c r="R26" s="59">
        <f t="shared" si="0"/>
        <v>560.1820198826349</v>
      </c>
      <c r="S26" s="59">
        <f ca="1">AVERAGE(OFFSET($R$3,0,0,'Données projet'!$E$9+1,1))-AVERAGE(OFFSET($H$3,0,0,'Données projet'!$E$9+1,1))</f>
        <v>274.57619581652199</v>
      </c>
      <c r="T26" s="59">
        <f t="shared" si="64"/>
        <v>366.15117322598775</v>
      </c>
      <c r="U26" s="15">
        <f>IF(ISNA(VLOOKUP(A26,'Données projet'!$A$45:$I$65,3,0)),0,VLOOKUP(A26,'Données projet'!$A$45:$I$65,3,0))</f>
        <v>0</v>
      </c>
      <c r="V26" s="15">
        <f>IF(ISNA(VLOOKUP(A26,'Données projet'!$A$45:$I$65,4,0)),0,VLOOKUP(A26,'Données projet'!$A$45:$I$65,4,0))</f>
        <v>0</v>
      </c>
      <c r="W26" s="16">
        <f>IF(ISNA(VLOOKUP(A26,'Données projet'!$A$45:$I$65,5,0)),0%,VLOOKUP(A26,'Données projet'!$A$45:$I$65,5,0)*VLOOKUP('Données projet'!$B$9,Paramètres!$A$1:$I$89,7,0))</f>
        <v>0</v>
      </c>
      <c r="X26" s="16">
        <f>IF(ISNA(VLOOKUP(A26,'Données projet'!$A$45:$I$65,6,0)),0%,VLOOKUP(A26,'Données projet'!$A$45:$I$65,6,0)*VLOOKUP('Données projet'!$B$9,Paramètres!$A$1:$I$89,7,0))</f>
        <v>0</v>
      </c>
      <c r="Y26" s="16">
        <f>IF(ISNA(VLOOKUP(A26,'Données projet'!$A$45:$I$65,7,0)),0%,VLOOKUP(A26,'Données projet'!$A$45:$I$65,7,0))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13.72171307888455</v>
      </c>
      <c r="AB26" s="21">
        <f>EXP(-LN(2)/2)*AB25+(1-EXP(-LN(2)/2))/(LN(2)/2)*V26*Y26*VLOOKUP('Données projet'!$B$9,Paramètres!$A$1:$I$89,3,0)*0.475*44/12</f>
        <v>3.410843906498124</v>
      </c>
      <c r="AC26" s="22">
        <f t="shared" si="3"/>
        <v>17.132556985382674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projet'!$A$71:$I$91,2,0)</f>
        <v>#N/A</v>
      </c>
      <c r="AG26" s="12" t="e">
        <f>VLOOKUP(A26,'Données projet'!$A$71:$I$91,9,0)</f>
        <v>#N/A</v>
      </c>
      <c r="AH26" s="12">
        <f t="array" ref="AH26">INDEX(AG:AG,MIN(IF(ISNUMBER(AG26:AG222),ROW(AG26:AG222),"")))</f>
        <v>4.0628205128205126</v>
      </c>
      <c r="AI26" s="13">
        <f>IF('Données projet'!$A$72&gt;35,AI25+AH26-AQ25,IF(A26&lt;'Données projet'!$A$72,$AF$205^A26,IF(A26='Données projet'!$A$72,'Données projet'!$B$72,AI25+AH26-AQ25)))</f>
        <v>39.739965273463824</v>
      </c>
      <c r="AJ26" s="13">
        <f>AI26*VLOOKUP('Données projet'!$B$10,Paramètres!$A$1:$I$89,3,0)*VLOOKUP('Données projet'!$B$10,Paramètres!$A$1:$I$89,5,0)</f>
        <v>35.956720579430062</v>
      </c>
      <c r="AK26" s="13">
        <f t="shared" si="65"/>
        <v>10.920419940209383</v>
      </c>
      <c r="AL26" s="20">
        <f t="shared" si="4"/>
        <v>81.644353071705368</v>
      </c>
      <c r="AM26" s="59">
        <f t="shared" si="5"/>
        <v>374.9776864050387</v>
      </c>
      <c r="AN26" s="59">
        <f ca="1">AVERAGE(OFFSET($AM$3,0,0,'Données projet'!$E$10+1,1))-AVERAGE(OFFSET($H$3,0,0,'Données projet'!$E$10+1,1))</f>
        <v>270.87836509222456</v>
      </c>
      <c r="AO26" s="59">
        <f t="shared" si="66"/>
        <v>205.24998237949734</v>
      </c>
      <c r="AP26" s="15">
        <f>IF(ISNA(VLOOKUP(A26,'Données projet'!$A$71:$I$91,3,0)),0,VLOOKUP(A26,'Données projet'!$A$71:$I$91,3,0))</f>
        <v>0</v>
      </c>
      <c r="AQ26" s="15">
        <f>IF(ISNA(VLOOKUP(A26,'Données projet'!$A$71:$I$91,4,0)),0,VLOOKUP(A26,'Données projet'!$A$71:$I$91,4,0))</f>
        <v>0</v>
      </c>
      <c r="AR26" s="16">
        <f>IF(ISNA(VLOOKUP(A26,'Données projet'!$A$71:$I$91,5,0)),0%,VLOOKUP(A26,'Données projet'!$A$71:$I$91,5,0)*VLOOKUP('Données projet'!$B$10,Paramètres!$A$1:$I$89,7,0))</f>
        <v>0</v>
      </c>
      <c r="AS26" s="16">
        <f>IF(ISNA(VLOOKUP(A26,'Données projet'!$A$71:$I$91,6,0)),0%,VLOOKUP(A26,'Données projet'!$A$71:$I$91,6,0)*VLOOKUP('Données projet'!$B$10,Paramètres!$A$1:$I$89,7,0))</f>
        <v>0</v>
      </c>
      <c r="AT26" s="16">
        <f>IF(ISNA(VLOOKUP(A26,'Données projet'!$A$71:$I$91,7,0)),0%,VLOOKUP(A26,'Données projet'!$A$71:$I$91,7,0))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projet'!$A$97:$I$117,2,0)</f>
        <v>#N/A</v>
      </c>
      <c r="BB26" s="12" t="e">
        <f>VLOOKUP(A26,'Données projet'!$A$97:$I$117,9,0)</f>
        <v>#N/A</v>
      </c>
      <c r="BC26" s="12">
        <f t="array" ref="BC26">INDEX(BB:BB,MIN(IF(ISNUMBER(BB26:BB222),ROW(BB26:BB222),"")))</f>
        <v>20.658974358974358</v>
      </c>
      <c r="BD26" s="12">
        <f>IF('Données projet'!$A$98&gt;35,BD25+BC26-BL25,IF(A26&lt;'Données projet'!$A$98,$BA$205^A26,IF(A26='Données projet'!$A$98,'Données projet'!$B$98,BD25+BC26-BL25)))</f>
        <v>216.90256410256404</v>
      </c>
      <c r="BE26" s="13">
        <f>BD26*VLOOKUP('Données projet'!$B$11,Paramètres!$A$1:$I$89,3,0)*VLOOKUP('Données projet'!$B$11,Paramètres!$A$1:$I$89,5,0)</f>
        <v>95.870933333333312</v>
      </c>
      <c r="BF26" s="13">
        <f t="shared" si="67"/>
        <v>25.975903285965739</v>
      </c>
      <c r="BG26" s="20">
        <f t="shared" si="7"/>
        <v>212.21657377861251</v>
      </c>
      <c r="BH26" s="59">
        <f t="shared" si="8"/>
        <v>505.5499071119458</v>
      </c>
      <c r="BI26" s="59">
        <f ca="1">AVERAGE(OFFSET($BH$3,0,0,'Données projet'!$E$11+1,1))-AVERAGE(OFFSET($H$3,0,0,'Données projet'!$E$11+1,1))</f>
        <v>211.31057120485542</v>
      </c>
      <c r="BJ26" s="59">
        <f t="shared" si="68"/>
        <v>283.33292006714777</v>
      </c>
      <c r="BK26" s="15">
        <f>IF(ISNA(VLOOKUP(A26,'Données projet'!$A$97:$I$117,3,0)),0,VLOOKUP(A26,'Données projet'!$A$97:$I$117,3,0))</f>
        <v>0</v>
      </c>
      <c r="BL26" s="15">
        <f>IF(ISNA(VLOOKUP(A26,'Données projet'!$A$97:$I$117,4,0)),0,VLOOKUP(A26,'Données projet'!$A$97:$I$117,4,0))</f>
        <v>0</v>
      </c>
      <c r="BM26" s="16">
        <f>IF(ISNA(VLOOKUP(A26,'Données projet'!$A$97:$I$117,5,0)),0%,VLOOKUP(A26,'Données projet'!$A$97:$I$117,5,0)*VLOOKUP('Données projet'!$B$11,Paramètres!$A$1:$I$89,7,0))</f>
        <v>0</v>
      </c>
      <c r="BN26" s="16">
        <f>IF(ISNA(VLOOKUP(A26,'Données projet'!$A$97:$I$117,6,0)),0%,VLOOKUP(A26,'Données projet'!$A$97:$I$117,6,0)*VLOOKUP('Données projet'!$B$11,Paramètres!$A$1:$I$89,7,0))</f>
        <v>0</v>
      </c>
      <c r="BO26" s="16">
        <f>IF(ISNA(VLOOKUP(A26,'Données projet'!$A$97:$I$117,7,0)),0%,VLOOKUP(A26,'Données projet'!$A$97:$I$117,7,0))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10.849726620513366</v>
      </c>
      <c r="BR26" s="21">
        <f>EXP(-LN(2)/2)*BR25+(1-EXP(-LN(2)/2))/(LN(2)/2)*BL26*BO26*VLOOKUP('Données projet'!$B$11,Paramètres!$A$1:$I$89,3,0)*0.475*44/12</f>
        <v>2.6969463446729356</v>
      </c>
      <c r="BS26" s="22">
        <f t="shared" si="9"/>
        <v>13.546672965186302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projet'!$A$123:$I$143,2,0)</f>
        <v>#N/A</v>
      </c>
      <c r="BW26" s="12" t="e">
        <f>VLOOKUP(A26,'Données projet'!$A$123:$I$143,9,0)</f>
        <v>#N/A</v>
      </c>
      <c r="BX26" s="12">
        <f t="array" ref="BX26">INDEX(BW:BW,MIN(IF(ISNUMBER(BW26:BW222),ROW(BW26:BW222),"")))</f>
        <v>10.199999999999999</v>
      </c>
      <c r="BY26" s="12">
        <f>IF('Données projet'!$A$124&gt;35,BY25+BX26-CG25,IF(A26&lt;'Données projet'!$A$124,$BV$205^A26,IF(A26='Données projet'!$A$124,'Données projet'!$B$124,BY25+BX26-CG25)))</f>
        <v>105.6</v>
      </c>
      <c r="BZ26" s="13">
        <f>BY26*VLOOKUP('Données projet'!$B$12,Paramètres!$A$1:$I$89,3,0)*VLOOKUP('Données projet'!$B$12,Paramètres!$A$1:$I$89,5,0)</f>
        <v>110.37312</v>
      </c>
      <c r="CA26" s="13">
        <f t="shared" si="69"/>
        <v>29.418877221958358</v>
      </c>
      <c r="CB26" s="20">
        <f t="shared" si="10"/>
        <v>243.47106182824413</v>
      </c>
      <c r="CC26" s="59">
        <f t="shared" si="11"/>
        <v>536.80439516157742</v>
      </c>
      <c r="CD26" s="59">
        <f ca="1">AVERAGE(OFFSET($CC$3,0,0,'Données projet'!$E$12+1,1))-AVERAGE(OFFSET($H$3,0,0,'Données projet'!$E$12+1,1))</f>
        <v>322.93502595881938</v>
      </c>
      <c r="CE26" s="59">
        <f t="shared" si="70"/>
        <v>302.67072119588164</v>
      </c>
      <c r="CF26" s="15">
        <f>IF(ISNA(VLOOKUP(A26,'Données projet'!$A$123:$I$143,3,0)),0,VLOOKUP(A26,'Données projet'!$A$123:$I$143,3,0))</f>
        <v>0</v>
      </c>
      <c r="CG26" s="15">
        <f>IF(ISNA(VLOOKUP(A26,'Données projet'!$A$123:$I$143,4,0)),0,VLOOKUP(A26,'Données projet'!$A$123:$I$143,4,0))</f>
        <v>0</v>
      </c>
      <c r="CH26" s="16">
        <f>IF(ISNA(VLOOKUP(A26,'Données projet'!$A$123:$I$143,5,0)),0%,VLOOKUP(A26,'Données projet'!$A$123:$I$143,5,0)*VLOOKUP('Données projet'!$B$12,Paramètres!$A$1:$I$89,7,0))</f>
        <v>0</v>
      </c>
      <c r="CI26" s="16">
        <f>IF(ISNA(VLOOKUP(A26,'Données projet'!$A$123:$I$143,6,0)),0%,VLOOKUP(A26,'Données projet'!$A$123:$I$143,6,0)*VLOOKUP('Données projet'!$B$12,Paramètres!$A$1:$I$89,7,0))</f>
        <v>0</v>
      </c>
      <c r="CJ26" s="16">
        <f>IF(ISNA(VLOOKUP(A26,'Données projet'!$A$123:$I$143,7,0)),0%,VLOOKUP(A26,'Données projet'!$A$123:$I$143,7,0))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projet'!$A$149:$I$169,2,0)</f>
        <v>#N/A</v>
      </c>
      <c r="CR26" s="12" t="e">
        <f>VLOOKUP(A26,'Données projet'!$A$149:$I$169,9,0)</f>
        <v>#N/A</v>
      </c>
      <c r="CS26" s="12">
        <f t="array" ref="CS26">INDEX(CR:CR,MIN(IF(ISNUMBER(CR26:CR222),ROW(CR26:CR222),"")))</f>
        <v>2.9235042735042733</v>
      </c>
      <c r="CT26" s="12">
        <f>IF('Données projet'!$A$150&gt;35,CT25+CS26-DB25,IF(A26&lt;'Données projet'!$A$150,$CQ$205^A26,IF(A26='Données projet'!$A$150,'Données projet'!$B$150,CT25+CS26-DB25)))</f>
        <v>30.878236599516239</v>
      </c>
      <c r="CU26" s="17">
        <f>CT26*VLOOKUP('Données projet'!$B$13,Paramètres!$A$1:$I$89,3,0)*VLOOKUP('Données projet'!$B$13,Paramètres!$A$1:$I$89,5,0)</f>
        <v>31.310531911909472</v>
      </c>
      <c r="CV26" s="13">
        <f t="shared" si="71"/>
        <v>9.6637156506405031</v>
      </c>
      <c r="CW26" s="20">
        <f t="shared" si="13"/>
        <v>71.363481171441208</v>
      </c>
      <c r="CX26" s="59">
        <f t="shared" si="14"/>
        <v>364.69681450477452</v>
      </c>
      <c r="CY26" s="59">
        <f ca="1">AVERAGE(OFFSET($CX$3,0,0,'Données projet'!$E$13+1,1))-AVERAGE(OFFSET($H$3,0,0,'Données projet'!$E$13+1,1))</f>
        <v>250.31277422753283</v>
      </c>
      <c r="CZ26" s="59">
        <f t="shared" si="72"/>
        <v>159.20429420478047</v>
      </c>
      <c r="DA26" s="15">
        <f>IF(ISNA(VLOOKUP(A26,'Données projet'!$A$149:$I$169,3,0)),0,VLOOKUP(A26,'Données projet'!$A$149:$I$169,3,0))</f>
        <v>0</v>
      </c>
      <c r="DB26" s="15">
        <f>IF(ISNA(VLOOKUP(A26,'Données projet'!$A$149:$I$169,4,0)),0,VLOOKUP(A26,'Données projet'!$A$149:$I$169,4,0))</f>
        <v>0</v>
      </c>
      <c r="DC26" s="16">
        <f>IF(ISNA(VLOOKUP(A26,'Données projet'!$A$149:$I$169,5,0)),0%,VLOOKUP(A26,'Données projet'!$A$149:$I$169,5,0)*VLOOKUP('Données projet'!$B$13,Paramètres!$A$1:$I$89,7,0))</f>
        <v>0</v>
      </c>
      <c r="DD26" s="16">
        <f>IF(ISNA(VLOOKUP(A26,'Données projet'!$A$149:$I$169,6,0)),0%,VLOOKUP(A26,'Données projet'!$A$149:$I$169,6,0)*VLOOKUP('Données projet'!$B$13,Paramètres!$A$1:$I$89,7,0))</f>
        <v>0</v>
      </c>
      <c r="DE26" s="16">
        <f>IF(ISNA(VLOOKUP(A26,'Données projet'!$A$149:$I$169,7,0)),0%,VLOOKUP(A26,'Données projet'!$A$149:$I$169,7,0))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projet'!$A$175:$I$195,2,0)</f>
        <v>#N/A</v>
      </c>
      <c r="DM26" s="12" t="e">
        <f>VLOOKUP(A26,'Données projet'!$A$175:$I$195,9,0)</f>
        <v>#N/A</v>
      </c>
      <c r="DN26" s="12">
        <f t="array" ref="DN26">INDEX(DM:DM,MIN(IF(ISNUMBER(DM26:DM222),ROW(DM26:DM222),"")))</f>
        <v>16.8</v>
      </c>
      <c r="DO26" s="12">
        <f>IF('Données projet'!$A$176&gt;35,DO25+DN26-DW25,IF(A26&lt;'Données projet'!$A$176,$DL$205^A26,IF(A26='Données projet'!$A$176,'Données projet'!$B$176,DO25+DN26-DW25)))</f>
        <v>131.4</v>
      </c>
      <c r="DP26" s="17">
        <f>DO26*VLOOKUP('Données projet'!$B$14,Paramètres!$A$1:$I$89,3,0)*VLOOKUP('Données projet'!$B$14,Paramètres!$A$1:$I$89,5,0)</f>
        <v>96.342480000000009</v>
      </c>
      <c r="DQ26" s="13">
        <f t="shared" si="73"/>
        <v>26.088763268244669</v>
      </c>
      <c r="DR26" s="20">
        <f t="shared" si="16"/>
        <v>213.23441535885948</v>
      </c>
      <c r="DS26" s="59">
        <f t="shared" si="17"/>
        <v>506.56774869219282</v>
      </c>
      <c r="DT26" s="59">
        <f ca="1">AVERAGE(OFFSET($DS$3,0,0,'Données projet'!$E$14+1,1))-AVERAGE(OFFSET($H$3,0,0,'Données projet'!$E$14+1,1))</f>
        <v>296.91321813251051</v>
      </c>
      <c r="DU26" s="59">
        <f t="shared" si="74"/>
        <v>291.0718079639509</v>
      </c>
      <c r="DV26" s="15">
        <f>IF(ISNA(VLOOKUP(A26,'Données projet'!$A$175:$I$195,3,0)),0,VLOOKUP(A26,'Données projet'!$A$175:$I$195,3,0))</f>
        <v>0</v>
      </c>
      <c r="DW26" s="15">
        <f>IF(ISNA(VLOOKUP(A26,'Données projet'!$A$175:$I$195,4,0)),0,VLOOKUP(A26,'Données projet'!$A$175:$I$195,4,0))</f>
        <v>0</v>
      </c>
      <c r="DX26" s="16">
        <f>IF(ISNA(VLOOKUP(A26,'Données projet'!$A$175:$I$195,5,0)),0%,VLOOKUP(A26,'Données projet'!$A$175:$I$195,5,0)*VLOOKUP('Données projet'!$B$14,Paramètres!$A$1:$I$89,7,0))</f>
        <v>0</v>
      </c>
      <c r="DY26" s="16">
        <f>IF(ISNA(VLOOKUP(A26,'Données projet'!$A$175:$I$195,6,0)),0%,VLOOKUP(A26,'Données projet'!$A$175:$I$195,6,0)*VLOOKUP('Données projet'!$B$14,Paramètres!$A$1:$I$89,7,0))</f>
        <v>0</v>
      </c>
      <c r="DZ26" s="16">
        <f>IF(ISNA(VLOOKUP(A26,'Données projet'!$A$175:$I$195,7,0)),0%,VLOOKUP(A26,'Données projet'!$A$175:$I$195,7,0))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1.6100212238271703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1.6100212238271703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projet'!$A$201:$I$221,2,0)</f>
        <v>#N/A</v>
      </c>
      <c r="EH26" s="12" t="e">
        <f>VLOOKUP(A26,'Données projet'!$A$201:$I$221,9,0)</f>
        <v>#N/A</v>
      </c>
      <c r="EI26" s="12">
        <f t="array" ref="EI26">INDEX(EH:EH,MIN(IF(ISNUMBER(EH26:EH222),ROW(EH26:EH222),"")))</f>
        <v>3.4425641025641025</v>
      </c>
      <c r="EJ26" s="12">
        <f>IF('Données projet'!$A$202&gt;35,EJ25+EI26-ER25,IF(A26&lt;'Données projet'!$A$202,$EG$205^A26,IF(A26='Données projet'!$A$202,'Données projet'!$B$202,EJ25+EI26-ER25)))</f>
        <v>35.000092281482424</v>
      </c>
      <c r="EK26" s="17">
        <f>EJ26*VLOOKUP('Données projet'!$B$15,Paramètres!$A$1:$I$89,3,0)*VLOOKUP('Données projet'!$B$15,Paramètres!$A$1:$I$89,5,0)</f>
        <v>16.380043187733772</v>
      </c>
      <c r="EL26" s="13">
        <f t="shared" si="75"/>
        <v>5.4515605034859353</v>
      </c>
      <c r="EM26" s="20">
        <f t="shared" si="19"/>
        <v>38.023376428874322</v>
      </c>
      <c r="EN26" s="59">
        <f t="shared" si="20"/>
        <v>331.35670976220763</v>
      </c>
      <c r="EO26" s="59">
        <f ca="1">AVERAGE(OFFSET($EN$3,0,0,'Données projet'!$E$15+1,1))-AVERAGE(OFFSET($H$3,0,0,'Données projet'!$E$15+1,1))</f>
        <v>147.64256291235483</v>
      </c>
      <c r="EP26" s="59">
        <f t="shared" si="76"/>
        <v>70.859031694091868</v>
      </c>
      <c r="EQ26" s="15">
        <f>IF(ISNA(VLOOKUP(A26,'Données projet'!$A$201:$I$221,3,0)),0,VLOOKUP(A26,'Données projet'!$A$201:$I$221,3,0))</f>
        <v>0</v>
      </c>
      <c r="ER26" s="15">
        <f>IF(ISNA(VLOOKUP(A26,'Données projet'!$A$201:$I$221,4,0)),0,VLOOKUP(A26,'Données projet'!$A$201:$I$221,4,0))</f>
        <v>0</v>
      </c>
      <c r="ES26" s="16">
        <f>IF(ISNA(VLOOKUP(A26,'Données projet'!$A$201:$I$221,5,0)),0%,VLOOKUP(A26,'Données projet'!$A$201:$I$221,5,0)*VLOOKUP('Données projet'!$B$15,Paramètres!$A$1:$I$89,7,0))</f>
        <v>0</v>
      </c>
      <c r="ET26" s="16">
        <f>IF(ISNA(VLOOKUP(A26,'Données projet'!$A$201:$I$221,6,0)),0%,VLOOKUP(A26,'Données projet'!$A$201:$I$221,6,0)*VLOOKUP('Données projet'!$B$15,Paramètres!$A$1:$I$89,7,0))</f>
        <v>0</v>
      </c>
      <c r="EU26" s="16">
        <f>IF(ISNA(VLOOKUP(A26,'Données projet'!$A$201:$I$221,7,0)),0%,VLOOKUP(A26,'Données projet'!$A$201:$I$221,7,0))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projet'!$A$227:$I$247,2,0)</f>
        <v>#N/A</v>
      </c>
      <c r="FC26" s="12" t="e">
        <f>VLOOKUP(A26,'Données projet'!$A$227:$I$247,9,0)</f>
        <v>#N/A</v>
      </c>
      <c r="FD26" s="12">
        <f t="array" ref="FD26">INDEX(FC:FC,MIN(IF(ISNUMBER(FC26:FC222),ROW(FC26:FC222),"")))</f>
        <v>8</v>
      </c>
      <c r="FE26" s="12">
        <f>IF('Données projet'!$A$228&gt;35,FE25+FD26-FM25,IF(A26&lt;'Données projet'!$A$228,$FB$205^A26,IF(A26='Données projet'!$A$228,'Données projet'!$B$228,FE25+FD26-FM25)))</f>
        <v>82</v>
      </c>
      <c r="FF26" s="17">
        <f>FE26*VLOOKUP('Données projet'!$B$16,Paramètres!$A$1:$I$89,3,0)*VLOOKUP('Données projet'!$B$16,Paramètres!$A$1:$I$89,5,0)</f>
        <v>85.706400000000016</v>
      </c>
      <c r="FG26" s="13">
        <f t="shared" si="77"/>
        <v>23.526784562031285</v>
      </c>
      <c r="FH26" s="20">
        <f t="shared" si="22"/>
        <v>190.24779644553783</v>
      </c>
      <c r="FI26" s="59">
        <f t="shared" si="23"/>
        <v>483.58112977887117</v>
      </c>
      <c r="FJ26" s="59">
        <f ca="1">AVERAGE(OFFSET($FI$3,0,0,'Données projet'!$E$16+1,1))-AVERAGE(OFFSET($H$3,0,0,'Données projet'!$E$16+1,1))</f>
        <v>259.03906550253788</v>
      </c>
      <c r="FK26" s="59">
        <f t="shared" si="78"/>
        <v>235.54542903570831</v>
      </c>
      <c r="FL26" s="15">
        <f>IF(ISNA(VLOOKUP(A26,'Données projet'!$A$227:$I$247,3,0)),0,VLOOKUP(A26,'Données projet'!$A$227:$I$247,3,0))</f>
        <v>0</v>
      </c>
      <c r="FM26" s="15">
        <f>IF(ISNA(VLOOKUP(A26,'Données projet'!$A$227:$I$247,4,0)),0,VLOOKUP(A26,'Données projet'!$A$227:$I$247,4,0))</f>
        <v>0</v>
      </c>
      <c r="FN26" s="16">
        <f>IF(ISNA(VLOOKUP(A26,'Données projet'!$A$227:$I$247,5,0)),0%,VLOOKUP(A26,'Données projet'!$A$227:$I$247,5,0)*VLOOKUP('Données projet'!$B$16,Paramètres!$A$1:$I$89,7,0))</f>
        <v>0</v>
      </c>
      <c r="FO26" s="16">
        <f>IF(ISNA(VLOOKUP(A26,'Données projet'!$A$227:$I$247,6,0)),0%,VLOOKUP(A26,'Données projet'!$A$227:$I$247,6,0)*VLOOKUP('Données projet'!$B$16,Paramètres!$A$1:$I$89,7,0))</f>
        <v>0</v>
      </c>
      <c r="FP26" s="16">
        <f>IF(ISNA(VLOOKUP(A26,'Données projet'!$A$227:$I$247,7,0)),0%,VLOOKUP(A26,'Données projet'!$A$227:$I$247,7,0))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projet'!$A$253:$I$273,2,0)</f>
        <v>#N/A</v>
      </c>
      <c r="FX26" s="12" t="e">
        <f>VLOOKUP(A26,'Données projet'!$A$253:$I$273,9,0)</f>
        <v>#N/A</v>
      </c>
      <c r="FY26" s="12">
        <f t="array" ref="FY26">INDEX(FX:FX,MIN(IF(ISNUMBER(FX26:FX222),ROW(FX26:FX222),"")))</f>
        <v>12.6</v>
      </c>
      <c r="FZ26" s="12">
        <f>IF('Données projet'!$A$254&gt;35,FZ25+FY26-GH25,IF(A26&lt;'Données projet'!$A$254,$FW$205^A26,IF(A26='Données projet'!$A$254,'Données projet'!$B$254,FZ25+FY26-GH25)))</f>
        <v>89.799999999999983</v>
      </c>
      <c r="GA26" s="17">
        <f>FZ26*VLOOKUP('Données projet'!$B$17,Paramètres!$A$1:$I$89,3,0)*VLOOKUP('Données projet'!$B$17,Paramètres!$A$1:$I$89,5,0)</f>
        <v>78.449280000000002</v>
      </c>
      <c r="GB26" s="13">
        <f t="shared" si="79"/>
        <v>21.757594161482565</v>
      </c>
      <c r="GC26" s="20">
        <f t="shared" si="25"/>
        <v>174.52697249791549</v>
      </c>
      <c r="GD26" s="59">
        <f t="shared" si="26"/>
        <v>467.86030583124881</v>
      </c>
      <c r="GE26" s="59">
        <f ca="1">AVERAGE(OFFSET($GD$3,0,0,'Données projet'!$E$17+1,1))-AVERAGE(OFFSET($H$3,0,0,'Données projet'!$E$17+1,1))</f>
        <v>245.1983232777614</v>
      </c>
      <c r="GF26" s="59">
        <f t="shared" si="80"/>
        <v>242.34010522344573</v>
      </c>
      <c r="GG26" s="15">
        <f>IF(ISNA(VLOOKUP(A26,'Données projet'!$A$253:$I$273,3,0)),0,VLOOKUP(A26,'Données projet'!$A$253:$I$273,3,0))</f>
        <v>0</v>
      </c>
      <c r="GH26" s="15">
        <f>IF(ISNA(VLOOKUP(A26,'Données projet'!$A$253:$I$273,4,0)),0,VLOOKUP(A26,'Données projet'!$A$253:$I$273,4,0))</f>
        <v>0</v>
      </c>
      <c r="GI26" s="16">
        <f>IF(ISNA(VLOOKUP(A26,'Données projet'!$A$253:$I$273,5,0)),0%,VLOOKUP(A26,'Données projet'!$A$253:$I$273,5,0)*VLOOKUP('Données projet'!$B$17,Paramètres!$A$1:$I$89,7,0))</f>
        <v>0</v>
      </c>
      <c r="GJ26" s="16">
        <f>IF(ISNA(VLOOKUP(A26,'Données projet'!$A$253:$I$273,6,0)),0%,VLOOKUP(A26,'Données projet'!$A$253:$I$273,6,0)*VLOOKUP('Données projet'!$B$17,Paramètres!$A$1:$I$89,7,0))</f>
        <v>0</v>
      </c>
      <c r="GK26" s="16">
        <f>IF(ISNA(VLOOKUP(A26,'Données projet'!$A$253:$I$273,7,0)),0%,VLOOKUP(A26,'Données projet'!$A$253:$I$273,7,0))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projet'!$A$279:$I$299,2,0)</f>
        <v>#N/A</v>
      </c>
      <c r="GS26" s="12" t="e">
        <f>VLOOKUP(A26,'Données projet'!$A$279:$I$299,9,0)</f>
        <v>#N/A</v>
      </c>
      <c r="GT26" s="12">
        <f t="array" ref="GT26">INDEX(GS:GS,MIN(IF(ISNUMBER(GS26:GS222),ROW(GS26:GS222),"")))</f>
        <v>27.6</v>
      </c>
      <c r="GU26" s="12">
        <f>IF('Données projet'!$A$280&gt;35,GU25+GT26-HC25,IF(A26&lt;'Données projet'!$A$280,$GR$205^A26,IF(A26='Données projet'!$A$280,'Données projet'!$B$280,GU25+GT26-HC25)))</f>
        <v>214.8</v>
      </c>
      <c r="GV26" s="17">
        <f>GU26*VLOOKUP('Données projet'!$B$18,Paramètres!$A$1:$I$89,3,0)*VLOOKUP('Données projet'!$B$18,Paramètres!$A$1:$I$89,5,0)</f>
        <v>86.56440000000002</v>
      </c>
      <c r="GW26" s="13">
        <f t="shared" si="81"/>
        <v>23.734773456397676</v>
      </c>
      <c r="GX26" s="20">
        <f t="shared" si="28"/>
        <v>192.10439376989265</v>
      </c>
      <c r="GY26" s="59">
        <f t="shared" si="29"/>
        <v>485.43772710322594</v>
      </c>
      <c r="GZ26" s="59">
        <f ca="1">AVERAGE(OFFSET($GY$3,0,0,'Données projet'!$E$18+1,1))-AVERAGE(OFFSET($H$3,0,0,'Données projet'!$E$18+1,1))</f>
        <v>324.36162935850876</v>
      </c>
      <c r="HA26" s="59">
        <f t="shared" si="82"/>
        <v>265.23571072429735</v>
      </c>
      <c r="HB26" s="15">
        <f>IF(ISNA(VLOOKUP(A26,'Données projet'!$A$279:$I$299,3,0)),0,VLOOKUP(A26,'Données projet'!$A$279:$I$299,3,0))</f>
        <v>0</v>
      </c>
      <c r="HC26" s="15">
        <f>IF(ISNA(VLOOKUP(A26,'Données projet'!$A$279:$I$299,4,0)),0,VLOOKUP(A26,'Données projet'!$A$279:$I$299,4,0))</f>
        <v>0</v>
      </c>
      <c r="HD26" s="16">
        <f>IF(ISNA(VLOOKUP(A26,'Données projet'!$A$279:$I$299,5,0)),0%,VLOOKUP(A26,'Données projet'!$A$279:$I$299,5,0)*VLOOKUP('Données projet'!$B$18,Paramètres!$A$1:$I$89,7,0))</f>
        <v>0</v>
      </c>
      <c r="HE26" s="16">
        <f>IF(ISNA(VLOOKUP(A26,'Données projet'!$A$279:$I$299,6,0)),0%,VLOOKUP(A26,'Données projet'!$A$279:$I$299,6,0)*VLOOKUP('Données projet'!$B$18,Paramètres!$A$1:$I$89,7,0))</f>
        <v>0</v>
      </c>
      <c r="HF26" s="16">
        <f>IF(ISNA(VLOOKUP($A26,'Données projet'!$A$279:$I$299,7,0)),0%,VLOOKUP($A26,'Données projet'!$A$279:$I$299,7,0))</f>
        <v>0</v>
      </c>
      <c r="HG26" s="21">
        <f>EXP(-LN(2)/35)*HG25+(1-EXP(-LN(2)/35))/(LN(2)/35)*HC26*HD26*VLOOKUP('Données projet'!$B$18,Paramètres!$A$1:$I$89,3,0)*0.475*44/12</f>
        <v>0</v>
      </c>
      <c r="HH26" s="21">
        <f>EXP(-LN(2)/25)*HH25+(1-EXP(-LN(2)/25))/(LN(2)/25)*Calculateur!HC26*Calculateur!HE26*VLOOKUP('Données projet'!$B$18,Paramètres!$A$1:$I$89,3,0)*0.475*44/12</f>
        <v>0.33169258640505772</v>
      </c>
      <c r="HI26" s="21">
        <f>EXP(-LN(2)/2)*HI25+(1-EXP(-LN(2)/2))/(LN(2)/2)*HC26*HF26*VLOOKUP('Données projet'!$B$18,Paramètres!$A$1:$I$89,3,0)*0.475*44/12</f>
        <v>2.4818883199241055</v>
      </c>
      <c r="HJ26" s="22">
        <f t="shared" si="30"/>
        <v>2.8135809063291632</v>
      </c>
      <c r="HK26" s="74">
        <f>('Scénario référence'!$F$8+'Scénario référence'!$F$9+'Scénario référence'!$B$17+'Scénario référence'!$B$9+'Scénario référence'!$B$10)*70+IF((45+25*(1-EXP(-0.0175*$A26)))&lt;70,'Scénario référence'!$B$16*(45+25*(1-EXP(-0.0175*$A26))),70*'Scénario référence'!$B$16)+IF((32+38*(1-EXP(-0.0175*$A26)))&lt;70,'Scénario référence'!$B$18*(32+38*(1-EXP(-0.0175*$A26))),70*'Scénario référence'!$B$18)</f>
        <v>70</v>
      </c>
      <c r="HL26" s="12">
        <f>IF($A26&gt;30,10,('Scénario référence'!$B$16+'Scénario référence'!$B$17+'Scénario référence'!$B$18+'Scénario référence'!$B$9+'Scénario référence'!$B$10)*$A26*10/30+('Scénario référence'!$F$8+'Scénario référence'!$F$9)*10)</f>
        <v>10</v>
      </c>
      <c r="HM26" s="12" t="e">
        <f>VLOOKUP($A26,'Données projet'!$A$304:$I$324,2,0)</f>
        <v>#N/A</v>
      </c>
      <c r="HN26" s="12" t="e">
        <f>VLOOKUP($A26,'Données projet'!$A$304:$I$324,9,0)</f>
        <v>#N/A</v>
      </c>
      <c r="HO26" s="12">
        <f t="array" ref="HO26">INDEX(HN:HN,MIN(IF(ISNUMBER(HN26:HN222),ROW(HN26:HN222),"")))</f>
        <v>0</v>
      </c>
      <c r="HP26" s="12">
        <f>IF('Données projet'!$A$304&gt;35,HP25+HO26-HX25,IF($A26&lt;'Données projet'!$A$304,$CQ$205^$A26,IF($A26='Données projet'!$A$304,'Données projet'!$B$304,HP25+HO26-HX25)))</f>
        <v>0</v>
      </c>
      <c r="HQ26" s="17">
        <f>HP26*VLOOKUP('Données projet'!$B$19,Paramètres!$A$1:$I$89,3,0)*VLOOKUP('Données projet'!$B$19,Paramètres!$A$1:$I$89,5,0)</f>
        <v>0</v>
      </c>
      <c r="HR26" s="13" t="e">
        <f t="shared" si="83"/>
        <v>#NUM!</v>
      </c>
      <c r="HS26" s="14" t="e">
        <f t="shared" si="31"/>
        <v>#NUM!</v>
      </c>
      <c r="HT26" s="59" t="e">
        <f t="shared" si="32"/>
        <v>#NUM!</v>
      </c>
      <c r="HU26" s="59">
        <f ca="1">AVERAGE(OFFSET(HT$3,0,0,'Données projet'!$E$19+1,1))-AVERAGE(OFFSET($H$3,0,0,'Données projet'!$E$19+1,1))</f>
        <v>91.60721429656013</v>
      </c>
      <c r="HV26" s="59">
        <f t="shared" si="84"/>
        <v>258.94957804210856</v>
      </c>
      <c r="HW26" s="15">
        <f>IF(ISNA(VLOOKUP($A26,'Données projet'!$A$304:$I$324,3,0)),0,VLOOKUP($A26,'Données projet'!$A$304:$I$324,3,0))</f>
        <v>0</v>
      </c>
      <c r="HX26" s="15">
        <f>IF(ISNA(VLOOKUP($A26,'Données projet'!$A$304:$I$324,4,0)),0,VLOOKUP($A26,'Données projet'!$A$304:$I$324,4,0))</f>
        <v>0</v>
      </c>
      <c r="HY26" s="16">
        <f>IF(ISNA(VLOOKUP($A26,'Données projet'!$A$304:$I$324,5,0)),0%,VLOOKUP($A26,'Données projet'!$A$304:$I$324,5,0)*VLOOKUP('Données projet'!$B$19,Paramètres!$A$1:$I$89,7,0))</f>
        <v>0</v>
      </c>
      <c r="HZ26" s="16">
        <f>IF(ISNA(VLOOKUP($A26,'Données projet'!$A$304:$I$324,6,0)),0%,VLOOKUP($A26,'Données projet'!$A$304:$I$324,6,0)*VLOOKUP('Données projet'!$B$19,Paramètres!$A$1:$I$89,7,0))</f>
        <v>0</v>
      </c>
      <c r="IA26" s="16">
        <f>IF(ISNA(VLOOKUP($A26,'Données projet'!$A$304:$I$324,7,0)),0%,VLOOKUP($A26,'Données projet'!$A$304:$I$324,7,0))</f>
        <v>0</v>
      </c>
      <c r="IB26" s="21">
        <f>EXP(-LN(2)/35)*IB25+(1-EXP(-LN(2)/35))/(LN(2)/35)*HX26*HY26*VLOOKUP('Données projet'!$B$19,Paramètres!$A$1:$I$89,3,0)*0.475*44/12</f>
        <v>56.668396751879371</v>
      </c>
      <c r="IC26" s="21">
        <f>EXP(-LN(2)/25)*IC25+(1-EXP(-LN(2)/25))/(LN(2)/25)*Calculateur!HX26*Calculateur!HZ26*VLOOKUP('Données projet'!$B$19,Paramètres!$A$1:$I$89,3,0)*0.475*44/12</f>
        <v>11.81135596696228</v>
      </c>
      <c r="ID26" s="21">
        <f>EXP(-LN(2)/2)*ID25+(1-EXP(-LN(2)/2))/(LN(2)/2)*HX26*IA26*VLOOKUP('Données projet'!$B$19,Paramètres!$A$1:$I$89,3,0)*0.475*44/12</f>
        <v>6.4810840680409063</v>
      </c>
      <c r="IE26" s="22">
        <f t="shared" si="33"/>
        <v>74.960836786882552</v>
      </c>
      <c r="IF26" s="74">
        <f>('Scénario référence'!$F$8+'Scénario référence'!$F$9+'Scénario référence'!$B$17+'Scénario référence'!$B$9+'Scénario référence'!$B$10)*70+IF((45+25*(1-EXP(-0.0175*$A26)))&lt;70,'Scénario référence'!$B$16*(45+25*(1-EXP(-0.0175*$A26))),70*'Scénario référence'!$B$16)+IF((32+38*(1-EXP(-0.0175*$A26)))&lt;70,'Scénario référence'!$B$18*(32+38*(1-EXP(-0.0175*$A26))),70*'Scénario référence'!$B$18)</f>
        <v>70</v>
      </c>
      <c r="IG26" s="12">
        <f>IF($A26&gt;30,10,('Scénario référence'!$B$16+'Scénario référence'!$B$17+'Scénario référence'!$B$18+'Scénario référence'!$B$9+'Scénario référence'!$B$10)*$A26*10/30+('Scénario référence'!$F$8+'Scénario référence'!$F$9)*10)</f>
        <v>10</v>
      </c>
      <c r="IH26" s="12" t="e">
        <f>VLOOKUP($A26,'Données projet'!$A$330:$I$350,2,0)</f>
        <v>#N/A</v>
      </c>
      <c r="II26" s="12" t="e">
        <f>VLOOKUP($A26,'Données projet'!$A$330:$I$350,9,0)</f>
        <v>#N/A</v>
      </c>
      <c r="IJ26" s="12">
        <f t="array" ref="IJ26">INDEX(II:II,MIN(IF(ISNUMBER(II26:II222),ROW(II26:II222),"")))</f>
        <v>0</v>
      </c>
      <c r="IK26" s="12">
        <f>IF('Données projet'!$A$330&gt;35,IK25+IJ26-IS25,IF($A26&lt;'Données projet'!$A$330,$CQ$205^$A26,IF($A26='Données projet'!$A$330,'Données projet'!$B$330,IK25+IJ26-IS25)))</f>
        <v>0</v>
      </c>
      <c r="IL26" s="17">
        <f>IK26*VLOOKUP('Données projet'!$B$20,Paramètres!$A$1:$I$89,3,0)*VLOOKUP('Données projet'!$B$20,Paramètres!$A$1:$I$89,5,0)</f>
        <v>0</v>
      </c>
      <c r="IM26" s="13" t="e">
        <f t="shared" si="85"/>
        <v>#NUM!</v>
      </c>
      <c r="IN26" s="20" t="e">
        <f t="shared" si="86"/>
        <v>#NUM!</v>
      </c>
      <c r="IO26" s="59" t="e">
        <f t="shared" si="87"/>
        <v>#NUM!</v>
      </c>
      <c r="IP26" s="59">
        <f ca="1">AVERAGE(OFFSET(IO$3,0,0,'Données projet'!$E$20+1,1))-AVERAGE(OFFSET($H$3,0,0,'Données projet'!$E$20+1,1))</f>
        <v>91.60721429656013</v>
      </c>
      <c r="IQ26" s="59">
        <f t="shared" si="88"/>
        <v>258.94957804210856</v>
      </c>
      <c r="IR26" s="15">
        <f>IF(ISNA(VLOOKUP($A26,'Données projet'!$A$330:$I$350,3,0)),0,VLOOKUP($A26,'Données projet'!$A$330:$I$350,3,0))</f>
        <v>0</v>
      </c>
      <c r="IS26" s="15">
        <f>IF(ISNA(VLOOKUP($A26,'Données projet'!$A$330:$I$350,4,0)),0,VLOOKUP($A26,'Données projet'!$A$330:$I$350,4,0))</f>
        <v>0</v>
      </c>
      <c r="IT26" s="16">
        <f>IF(ISNA(VLOOKUP($A26,'Données projet'!$A$330:$I$350,5,0)),0%,VLOOKUP($A26,'Données projet'!$A$330:$I$350,5,0)*VLOOKUP('Données projet'!$B$20,Paramètres!$A$1:$I$89,7,0))</f>
        <v>0</v>
      </c>
      <c r="IU26" s="16">
        <f>IF(ISNA(VLOOKUP($A26,'Données projet'!$A$330:$I$350,6,0)),0%,VLOOKUP($A26,'Données projet'!$A$330:$I$350,6,0)*VLOOKUP('Données projet'!$B$20,Paramètres!$A$1:$I$89,7,0))</f>
        <v>0</v>
      </c>
      <c r="IV26" s="16">
        <f>IF(ISNA(VLOOKUP($A26,'Données projet'!$A$330:$I$350,7,0)),0%,VLOOKUP($A26,'Données projet'!$A$330:$I$350,7,0))</f>
        <v>0</v>
      </c>
      <c r="IW26" s="21">
        <f>EXP(-LN(2)/35)*IW25+(1-EXP(-LN(2)/35))/(LN(2)/35)*IS26*IT26*VLOOKUP('Données projet'!$B$20,Paramètres!$A$1:$I$89,3,0)*0.475*44/12</f>
        <v>56.668396751879371</v>
      </c>
      <c r="IX26" s="21">
        <f>EXP(-LN(2)/25)*IX25+(1-EXP(-LN(2)/25))/(LN(2)/25)*Calculateur!IS26*Calculateur!IU26*VLOOKUP('Données projet'!$B$20,Paramètres!$A$1:$I$89,3,0)*0.475*44/12</f>
        <v>11.81135596696228</v>
      </c>
      <c r="IY26" s="21">
        <f>EXP(-LN(2)/2)*IY25+(1-EXP(-LN(2)/2))/(LN(2)/2)*IS26*IV26*VLOOKUP('Données projet'!$B$20,Paramètres!$A$1:$I$89,3,0)*0.475*44/12</f>
        <v>6.4810840680409063</v>
      </c>
      <c r="IZ26" s="22">
        <f t="shared" si="89"/>
        <v>74.960836786882552</v>
      </c>
      <c r="JA26" s="74">
        <f>('Scénario référence'!$F$8+'Scénario référence'!$F$9+'Scénario référence'!$B$17+'Scénario référence'!$B$9+'Scénario référence'!$B$10)*70+IF((45+25*(1-EXP(-0.0175*$A26)))&lt;70,'Scénario référence'!$B$16*(45+25*(1-EXP(-0.0175*$A26))),70*'Scénario référence'!$B$16)+IF((32+38*(1-EXP(-0.0175*$A26)))&lt;70,'Scénario référence'!$B$18*(32+38*(1-EXP(-0.0175*$A26))),70*'Scénario référence'!$B$18)</f>
        <v>70</v>
      </c>
      <c r="JB26" s="12">
        <f>IF($A26&gt;30,10,('Scénario référence'!$B$16+'Scénario référence'!$B$17+'Scénario référence'!$B$18+'Scénario référence'!$B$9+'Scénario référence'!$B$10)*$A26*10/30+('Scénario référence'!$F$8+'Scénario référence'!$F$9)*10)</f>
        <v>10</v>
      </c>
      <c r="JC26" s="12" t="e">
        <f>VLOOKUP($A26,'Données projet'!$A$356:$I$376,2,0)</f>
        <v>#N/A</v>
      </c>
      <c r="JD26" s="12" t="e">
        <f>VLOOKUP($A26,'Données projet'!$A$356:$I$376,9,0)</f>
        <v>#N/A</v>
      </c>
      <c r="JE26" s="12">
        <f t="array" ref="JE26">INDEX(JD:JD,MIN(IF(ISNUMBER(JD26:JD222),ROW(JD26:JD222),"")))</f>
        <v>3.04</v>
      </c>
      <c r="JF26" s="12">
        <f>IF('Données projet'!$A$356&gt;35,JF25+JE26-JN25,IF($A26&lt;'Données projet'!$A$356,$CQ$205^$A26,IF($A26='Données projet'!$A$356,'Données projet'!$B$356,JF25+JE26-JN25)))</f>
        <v>69.92</v>
      </c>
      <c r="JG26" s="17">
        <f>JF26*VLOOKUP('Données projet'!$B$21,Paramètres!$A$1:$I$89,3,0)*VLOOKUP('Données projet'!$B$21,Paramètres!$A$1:$I$89,5,0)</f>
        <v>56.719104000000009</v>
      </c>
      <c r="JH26" s="13">
        <f t="shared" si="90"/>
        <v>16.336060336510453</v>
      </c>
      <c r="JI26" s="20">
        <f t="shared" si="91"/>
        <v>127.2377445527557</v>
      </c>
      <c r="JJ26" s="59">
        <f t="shared" si="92"/>
        <v>420.57107788608903</v>
      </c>
      <c r="JK26" s="59">
        <f ca="1">AVERAGE(OFFSET($JJ$3,0,0,'Données projet'!$E$22+1,1))-AVERAGE(OFFSET($H$3,0,0,'Données projet'!$E$22+1,1))</f>
        <v>353.35574633294613</v>
      </c>
      <c r="JL26" s="59">
        <f t="shared" si="93"/>
        <v>170.36796666474726</v>
      </c>
      <c r="JM26" s="15">
        <f>IF(ISNA(VLOOKUP($A26,'Données projet'!$A$356:$I$376,3,0)),0,VLOOKUP($A26,'Données projet'!$A$356:$I$376,3,0))</f>
        <v>0</v>
      </c>
      <c r="JN26" s="15">
        <f>IF(ISNA(VLOOKUP($A26,'Données projet'!$A$356:$I$376,4,0)),0,VLOOKUP($A26,'Données projet'!$A$356:$I$376,4,0))</f>
        <v>0</v>
      </c>
      <c r="JO26" s="16">
        <f>IF(ISNA(VLOOKUP($A26,'Données projet'!$A$356:$I$376,5,0)),0%,VLOOKUP($A26,'Données projet'!$A$356:$I$376,5,0)*VLOOKUP('Données projet'!$B$21,Paramètres!$A$1:$I$89,7,0))</f>
        <v>0</v>
      </c>
      <c r="JP26" s="16">
        <f>IF(ISNA(VLOOKUP($A26,'Données projet'!$A$356:$I$376,6,0)),0%,VLOOKUP($A26,'Données projet'!$A$356:$I$376,6,0)*VLOOKUP('Données projet'!$B$21,Paramètres!$A$1:$I$89,7,0))</f>
        <v>0</v>
      </c>
      <c r="JQ26" s="16">
        <f>IF(ISNA(VLOOKUP($A26,'Données projet'!$A$356:$I$376,7,0)),0%,VLOOKUP($A26,'Données projet'!$A$356:$I$376,7,0))</f>
        <v>0</v>
      </c>
      <c r="JR26" s="21">
        <f>EXP(-LN(2)/35)*JR25+(1-EXP(-LN(2)/35))/(LN(2)/35)*JN26*JO26*VLOOKUP('Données projet'!$B$21,Paramètres!$A$1:$I$89,3,0)*0.475*44/12</f>
        <v>0</v>
      </c>
      <c r="JS26" s="21">
        <f>EXP(-LN(2)/25)*JS25+(1-EXP(-LN(2)/25))/(LN(2)/25)*Calculateur!JN26*Calculateur!JP26*VLOOKUP('Données projet'!$B$21,Paramètres!$A$1:$I$89,3,0)*0.475*44/12</f>
        <v>0</v>
      </c>
      <c r="JT26" s="21">
        <f>EXP(-LN(2)/2)*JT25+(1-EXP(-LN(2)/2))/(LN(2)/2)*JN26*JQ26*VLOOKUP('Données projet'!$B$21,Paramètres!$A$1:$I$89,3,0)*0.475*44/12</f>
        <v>0</v>
      </c>
      <c r="JU26" s="18">
        <f t="shared" si="39"/>
        <v>0</v>
      </c>
      <c r="JV26" s="74">
        <f>('Scénario référence'!$F$8+'Scénario référence'!$F$9+'Scénario référence'!$B$17+'Scénario référence'!$B$9+'Scénario référence'!$B$10)*70+IF((45+25*(1-EXP(-0.0175*$A26)))&lt;70,'Scénario référence'!$B$16*(45+25*(1-EXP(-0.0175*$A26))),70*'Scénario référence'!$B$16)+IF((32+38*(1-EXP(-0.0175*$A26)))&lt;70,'Scénario référence'!$B$18*(32+38*(1-EXP(-0.0175*$A26))),70*'Scénario référence'!$B$18)</f>
        <v>70</v>
      </c>
      <c r="JW26" s="12">
        <f>IF($A26&gt;30,10,('Scénario référence'!$B$16+'Scénario référence'!$B$17+'Scénario référence'!$B$18+'Scénario référence'!$B$9+'Scénario référence'!$B$10)*$A26*10/30+('Scénario référence'!$F$8+'Scénario référence'!$F$9)*10)</f>
        <v>10</v>
      </c>
      <c r="JX26" s="12" t="e">
        <f>VLOOKUP($A26,'Données projet'!$A$382:$I$402,2,0)</f>
        <v>#N/A</v>
      </c>
      <c r="JY26" s="12" t="e">
        <f>VLOOKUP($A26,'Données projet'!$A$382:$I$402,9,0)</f>
        <v>#N/A</v>
      </c>
      <c r="JZ26" s="12">
        <f t="array" ref="JZ26">INDEX(JY:JY,MIN(IF(ISNUMBER(JY26:JY222),ROW(JY26:JY222),"")))</f>
        <v>4.0628205128205126</v>
      </c>
      <c r="KA26" s="12">
        <f>IF('Données projet'!$A$382&gt;35,KA25+JZ26-KI25,IF($A26&lt;'Données projet'!$A$382,$CQ$205^$A26,IF($A26='Données projet'!$A$382,'Données projet'!$B$382,KA25+JZ26-KI25)))</f>
        <v>93.444871794871773</v>
      </c>
      <c r="KB26" s="17">
        <f>KA26*VLOOKUP('Données projet'!$B$22,Paramètres!$A$1:$I$89,3,0)*VLOOKUP('Données projet'!$B$22,Paramètres!$A$1:$I$89,5,0)</f>
        <v>62.682819999999985</v>
      </c>
      <c r="KC26" s="13">
        <f t="shared" si="94"/>
        <v>17.844833610385258</v>
      </c>
      <c r="KD26" s="20">
        <f t="shared" si="95"/>
        <v>140.25233003808765</v>
      </c>
      <c r="KE26" s="59">
        <f t="shared" si="96"/>
        <v>433.58566337142099</v>
      </c>
      <c r="KF26" s="59">
        <f ca="1">AVERAGE(OFFSET($KE$3,0,0,'Données projet'!$E$22+1,1))-AVERAGE(OFFSET($H$3,0,0,'Données projet'!$E$22+1,1))</f>
        <v>193.91714772848269</v>
      </c>
      <c r="KG26" s="59">
        <f t="shared" si="97"/>
        <v>159.20429420478047</v>
      </c>
      <c r="KH26" s="15">
        <f>IF(ISNA(VLOOKUP($A26,'Données projet'!$A$382:$I$402,3,0)),0,VLOOKUP($A26,'Données projet'!$A$382:$I$402,3,0))</f>
        <v>0</v>
      </c>
      <c r="KI26" s="15">
        <f>IF(ISNA(VLOOKUP($A26,'Données projet'!$A$382:$I$402,4,0)),0,VLOOKUP($A26,'Données projet'!$A$382:$I$402,4,0))</f>
        <v>0</v>
      </c>
      <c r="KJ26" s="16">
        <f>IF(ISNA(VLOOKUP($A26,'Données projet'!$A$382:$I$402,5,0)),0%,VLOOKUP($A26,'Données projet'!$A$382:$I$402,5,0)*VLOOKUP('Données projet'!$B$22,Paramètres!$A$1:$I$89,7,0))</f>
        <v>0</v>
      </c>
      <c r="KK26" s="16">
        <f>IF(ISNA(VLOOKUP($A26,'Données projet'!$A$382:$I$402,6,0)),0%,VLOOKUP($A26,'Données projet'!$A$382:$I$402,6,0)*VLOOKUP('Données projet'!$B$22,Paramètres!$A$1:$I$89,7,0))</f>
        <v>0</v>
      </c>
      <c r="KL26" s="16">
        <f>IF(ISNA(VLOOKUP($A26,'Données projet'!$A$382:$I$402,7,0)),0%,VLOOKUP($A26,'Données projet'!$A$382:$I$402,7,0))</f>
        <v>0</v>
      </c>
      <c r="KM26" s="21">
        <f>EXP(-LN(2)/35)*KM25+(1-EXP(-LN(2)/35))/(LN(2)/35)*KI26*KJ26*VLOOKUP('Données projet'!$B$22,Paramètres!$A$1:$I$89,3,0)*0.475*44/12</f>
        <v>0</v>
      </c>
      <c r="KN26" s="21">
        <f>EXP(-LN(2)/25)*KN25+(1-EXP(-LN(2)/25))/(LN(2)/25)*Calculateur!KI26*Calculateur!KK26*VLOOKUP('Données projet'!$B$22,Paramètres!$A$1:$I$89,3,0)*0.475*44/12</f>
        <v>0</v>
      </c>
      <c r="KO26" s="21">
        <f>EXP(-LN(2)/2)*KO25+(1-EXP(-LN(2)/2))/(LN(2)/2)*KI26*KL26*VLOOKUP('Données projet'!$B$22,Paramètres!$A$1:$I$89,3,0)*0.475*44/12</f>
        <v>0</v>
      </c>
      <c r="KP26" s="22">
        <f t="shared" si="98"/>
        <v>0</v>
      </c>
      <c r="KQ26" s="74">
        <f>('Scénario référence'!$F$8+'Scénario référence'!$F$9+'Scénario référence'!$B$17+'Scénario référence'!$B$9+'Scénario référence'!$B$10)*70+IF((45+25*(1-EXP(-0.0175*$A26)))&lt;70,'Scénario référence'!$B$16*(45+25*(1-EXP(-0.0175*$A26))),70*'Scénario référence'!$B$16)+IF((32+38*(1-EXP(-0.0175*$A26)))&lt;70,'Scénario référence'!$B$18*(32+38*(1-EXP(-0.0175*$A26))),70*'Scénario référence'!$B$18)</f>
        <v>70</v>
      </c>
      <c r="KR26" s="12">
        <f>IF($A26&gt;30,10,('Scénario référence'!$B$16+'Scénario référence'!$B$17+'Scénario référence'!$B$18+'Scénario référence'!$B$9+'Scénario référence'!$B$10)*$A26*10/30+('Scénario référence'!$F$8+'Scénario référence'!$F$9)*10)</f>
        <v>10</v>
      </c>
      <c r="KS26" s="12" t="e">
        <f>VLOOKUP($A26,'Données projet'!$A$408:$I$428,2,0)</f>
        <v>#N/A</v>
      </c>
      <c r="KT26" s="12" t="e">
        <f>VLOOKUP($A26,'Données projet'!$A$408:$I$428,9,0)</f>
        <v>#N/A</v>
      </c>
      <c r="KU26" s="12">
        <f t="array" ref="KU26">INDEX(KT:KT,MIN(IF(ISNUMBER(KT26:KT222),ROW(KT26:KT222),"")))</f>
        <v>12.6</v>
      </c>
      <c r="KV26" s="12">
        <f>IF('Données projet'!$A$408&gt;35,KV25+KU26-LD25,IF($A26&lt;'Données projet'!$A$408,$CQ$205^$A26,IF($A26='Données projet'!$A$408,'Données projet'!$B$408,KV25+KU26-LD25)))</f>
        <v>89.8</v>
      </c>
      <c r="KW26" s="17">
        <f>KV26*VLOOKUP('Données projet'!$B$23,Paramètres!$A$1:$I$89,3,0)*VLOOKUP('Données projet'!$B$23,Paramètres!$A$1:$I$89,5,0)</f>
        <v>78.449280000000002</v>
      </c>
      <c r="KX26" s="13">
        <f t="shared" si="99"/>
        <v>21.757594161482565</v>
      </c>
      <c r="KY26" s="14">
        <f t="shared" si="43"/>
        <v>174.52697249791549</v>
      </c>
      <c r="KZ26" s="59">
        <f t="shared" si="44"/>
        <v>467.86030583124881</v>
      </c>
      <c r="LA26" s="59">
        <f ca="1">AVERAGE(OFFSET($KZ$3,0,0,'Données projet'!$E$23+1,1))-AVERAGE(OFFSET($H$3,0,0,'Données projet'!$E$23+1,1))</f>
        <v>248.33596943633819</v>
      </c>
      <c r="LB26" s="59">
        <f t="shared" si="100"/>
        <v>242.34010522344573</v>
      </c>
      <c r="LC26" s="15">
        <f>IF(ISNA(VLOOKUP($A26,'Données projet'!$A$408:$I$428,3,0)),0,VLOOKUP($A26,'Données projet'!$A$408:$I$428,3,0))</f>
        <v>0</v>
      </c>
      <c r="LD26" s="15">
        <f>IF(ISNA(VLOOKUP($A26,'Données projet'!$A$408:$I$428,4,0)),0,VLOOKUP($A26,'Données projet'!$A$408:$I$428,4,0))</f>
        <v>0</v>
      </c>
      <c r="LE26" s="16">
        <f>IF(ISNA(VLOOKUP($A26,'Données projet'!$A$408:$I$428,5,0)),0%,VLOOKUP($A26,'Données projet'!$A$408:$I$428,5,0)*VLOOKUP('Données projet'!$B$23,Paramètres!$A$1:$I$89,7,0))</f>
        <v>0</v>
      </c>
      <c r="LF26" s="16">
        <f>IF(ISNA(VLOOKUP($A26,'Données projet'!$A$408:$I$428,6,0)),0%,VLOOKUP($A26,'Données projet'!$A$408:$I$428,6,0)*VLOOKUP('Données projet'!$B$23,Paramètres!$A$1:$I$89,7,0))</f>
        <v>0</v>
      </c>
      <c r="LG26" s="16">
        <f>IF(ISNA(VLOOKUP($A26,'Données projet'!$A$408:$I$428,7,0)),0%,VLOOKUP($A26,'Données projet'!$A$408:$I$428,7,0))</f>
        <v>0</v>
      </c>
      <c r="LH26" s="21">
        <f>EXP(-LN(2)/35)*LH25+(1-EXP(-LN(2)/35))/(LN(2)/35)*LD26*LE26*VLOOKUP('Données projet'!$B$23,Paramètres!$A$1:$I$89,3,0)*0.475*44/12</f>
        <v>0</v>
      </c>
      <c r="LI26" s="21">
        <f>EXP(-LN(2)/25)*LI25+(1-EXP(-LN(2)/25))/(LN(2)/25)*Calculateur!LD26*Calculateur!LF26*VLOOKUP('Données projet'!$B$23,Paramètres!$A$1:$I$89,3,0)*0.475*44/12</f>
        <v>0</v>
      </c>
      <c r="LJ26" s="21">
        <f>EXP(-LN(2)/2)*LJ25+(1-EXP(-LN(2)/2))/(LN(2)/2)*LD26*LG26*VLOOKUP('Données projet'!$B$23,Paramètres!$A$1:$I$89,3,0)*0.475*44/12</f>
        <v>0</v>
      </c>
      <c r="LK26" s="22">
        <f t="shared" si="101"/>
        <v>0</v>
      </c>
      <c r="LL26" s="74">
        <f>('Scénario référence'!$F$8+'Scénario référence'!$F$9+'Scénario référence'!$B$17+'Scénario référence'!$B$9+'Scénario référence'!$B$10)*70+IF((45+25*(1-EXP(-0.0175*$A26)))&lt;70,'Scénario référence'!$B$16*(45+25*(1-EXP(-0.0175*$A26))),70*'Scénario référence'!$B$16)+IF((32+38*(1-EXP(-0.0175*$A26)))&lt;70,'Scénario référence'!$B$18*(32+38*(1-EXP(-0.0175*$A26))),70*'Scénario référence'!$B$18)</f>
        <v>70</v>
      </c>
      <c r="LM26" s="12">
        <f>IF($A26&gt;30,10,('Scénario référence'!$B$16+'Scénario référence'!$B$17+'Scénario référence'!$B$18+'Scénario référence'!$B$9+'Scénario référence'!$B$10)*$A26*10/30+('Scénario référence'!$F$8+'Scénario référence'!$F$9)*10)</f>
        <v>10</v>
      </c>
      <c r="LN26" s="12" t="e">
        <f>VLOOKUP($A26,'Données projet'!$A$434:$I$454,2,0)</f>
        <v>#N/A</v>
      </c>
      <c r="LO26" s="12" t="e">
        <f>VLOOKUP($A26,'Données projet'!$A$434:$I$454,9,0)</f>
        <v>#N/A</v>
      </c>
      <c r="LP26" s="12">
        <f t="array" ref="LP26">INDEX(LO:LO,MIN(IF(ISNUMBER(LO26:LO222),ROW(LO26:LO222),"")))</f>
        <v>2.9235042735042733</v>
      </c>
      <c r="LQ26" s="12">
        <f>IF('Données projet'!$A$434&gt;35,LQ25+LP26-LY25,IF($A26&lt;'Données projet'!$A$434,$CQ$205^$A26,IF($A26='Données projet'!$A$434,'Données projet'!$B$434,LQ25+LP26-LY25)))</f>
        <v>67.240598290598271</v>
      </c>
      <c r="LR26" s="17">
        <f>LQ26*VLOOKUP('Données projet'!$B$24,Paramètres!$A$1:$I$89,3,0)*VLOOKUP('Données projet'!$B$24,Paramètres!$A$1:$I$89,5,0)</f>
        <v>68.181966666666654</v>
      </c>
      <c r="LS26" s="13">
        <f t="shared" si="102"/>
        <v>19.221286687253642</v>
      </c>
      <c r="LT26" s="14">
        <f t="shared" si="46"/>
        <v>152.2273329247445</v>
      </c>
      <c r="LU26" s="59">
        <f t="shared" si="103"/>
        <v>445.56066625807784</v>
      </c>
      <c r="LV26" s="59">
        <f ca="1">AVERAGE(OFFSET($LU$3,0,0,'Données projet'!$E$24+1,1))-AVERAGE(OFFSET($H$3,0,0,'Données projet'!$E$24+1,1))</f>
        <v>260.52627655062872</v>
      </c>
      <c r="LW26" s="59">
        <f t="shared" si="104"/>
        <v>159.20429420478047</v>
      </c>
      <c r="LX26" s="15">
        <f>IF(ISNA(VLOOKUP($A26,'Données projet'!$A$434:$I$454,3,0)),0,VLOOKUP($A26,'Données projet'!$A$434:$I$454,3,0))</f>
        <v>0</v>
      </c>
      <c r="LY26" s="15">
        <f>IF(ISNA(VLOOKUP($A26,'Données projet'!$A$434:$I$454,4,0)),0,VLOOKUP($A26,'Données projet'!$A$434:$I$454,4,0))</f>
        <v>0</v>
      </c>
      <c r="LZ26" s="16">
        <f>IF(ISNA(VLOOKUP($A26,'Données projet'!$A$434:$I$454,5,0)),0%,VLOOKUP($A26,'Données projet'!$A$434:$I$454,5,0)*VLOOKUP('Données projet'!$B$24,Paramètres!$A$1:$I$89,7,0))</f>
        <v>0</v>
      </c>
      <c r="MA26" s="16">
        <f>IF(ISNA(VLOOKUP($A26,'Données projet'!$A$434:$I$454,6,0)),0%,VLOOKUP($A26,'Données projet'!$A$434:$I$454,6,0)*VLOOKUP('Données projet'!$B$24,Paramètres!$A$1:$I$89,7,0))</f>
        <v>0</v>
      </c>
      <c r="MB26" s="16">
        <f>IF(ISNA(VLOOKUP($A26,'Données projet'!$A$434:$I$454,7,0)),0%,VLOOKUP($A26,'Données projet'!$A$434:$I$454,7,0))</f>
        <v>0</v>
      </c>
      <c r="MC26" s="21">
        <f>EXP(-LN(2)/35)*MC25+(1-EXP(-LN(2)/35))/(LN(2)/35)*LY26*LZ26*VLOOKUP('Données projet'!$B$24,Paramètres!$A$1:$I$89,3,0)*0.475*44/12</f>
        <v>0</v>
      </c>
      <c r="MD26" s="21">
        <f>EXP(-LN(2)/25)*MD25+(1-EXP(-LN(2)/25))/(LN(2)/25)*Calculateur!LY26*Calculateur!MA26*VLOOKUP('Données projet'!$B$24,Paramètres!$A$1:$I$89,3,0)*0.475*44/12</f>
        <v>0</v>
      </c>
      <c r="ME26" s="21">
        <f>EXP(-LN(2)/2)*ME25+(1-EXP(-LN(2)/2))/(LN(2)/2)*LY26*MB26*VLOOKUP('Données projet'!$B$24,Paramètres!$A$1:$I$89,3,0)*0.475*44/12</f>
        <v>0</v>
      </c>
      <c r="MF26" s="22">
        <f t="shared" si="105"/>
        <v>0</v>
      </c>
      <c r="MG26" s="74">
        <f>('Scénario référence'!$F$8+'Scénario référence'!$F$9+'Scénario référence'!$B$17+'Scénario référence'!$B$9+'Scénario référence'!$B$10)*70+IF((45+25*(1-EXP(-0.0175*$A26)))&lt;70,'Scénario référence'!$B$16*(45+25*(1-EXP(-0.0175*$A26))),70*'Scénario référence'!$B$16)+IF((32+38*(1-EXP(-0.0175*$A26)))&lt;70,'Scénario référence'!$B$18*(32+38*(1-EXP(-0.0175*$A26))),70*'Scénario référence'!$B$18)</f>
        <v>70</v>
      </c>
      <c r="MH26" s="12">
        <f>IF($A26&gt;30,10,('Scénario référence'!$B$16+'Scénario référence'!$B$17+'Scénario référence'!$B$18+'Scénario référence'!$B$9+'Scénario référence'!$B$10)*$A26*10/30+('Scénario référence'!$F$8+'Scénario référence'!$F$9)*10)</f>
        <v>10</v>
      </c>
      <c r="MI26" s="12" t="e">
        <f>VLOOKUP($A26,'Données projet'!$A$460:$I$480,2,0)</f>
        <v>#N/A</v>
      </c>
      <c r="MJ26" s="12" t="e">
        <f>VLOOKUP($A26,'Données projet'!$A$460:$I$480,9,0)</f>
        <v>#N/A</v>
      </c>
      <c r="MK26" s="12">
        <f t="array" ref="MK26">INDEX(MJ:MJ,MIN(IF(ISNUMBER(MJ26:MJ222),ROW(MJ26:MJ222),"")))</f>
        <v>0</v>
      </c>
      <c r="ML26" s="12">
        <f>IF('Données projet'!$A$460&gt;35,ML25+MK26-MT25,IF($A26&lt;'Données projet'!$A$460,$CQ$205^$A26,IF($A26='Données projet'!$A$460,'Données projet'!$B$460,ML25+MK26-MT25)))</f>
        <v>0</v>
      </c>
      <c r="MM26" s="17" t="e">
        <f>ML26*VLOOKUP('Données projet'!$B$25,Paramètres!$A$1:$I$89,3,0)*VLOOKUP('Données projet'!$B$25,Paramètres!$A$1:$I$89,5,0)</f>
        <v>#N/A</v>
      </c>
      <c r="MN26" s="13" t="e">
        <f t="shared" si="106"/>
        <v>#N/A</v>
      </c>
      <c r="MO26" s="14" t="e">
        <f t="shared" si="49"/>
        <v>#N/A</v>
      </c>
      <c r="MP26" s="59" t="e">
        <f t="shared" si="50"/>
        <v>#N/A</v>
      </c>
      <c r="MQ26" s="20" t="e">
        <f ca="1">AVERAGE(OFFSET($MP$3,0,0,'Données projet'!$E$25+1,1))-AVERAGE(OFFSET($H$3,0,0,'Données projet'!$E$25+1,1))</f>
        <v>#N/A</v>
      </c>
      <c r="MR26" s="59" t="e">
        <f t="shared" si="107"/>
        <v>#N/A</v>
      </c>
      <c r="MS26" s="15">
        <f>IF(ISNA(VLOOKUP($A26,'Données projet'!$A$460:$I$480,3,0)),0,VLOOKUP($A26,'Données projet'!$A$460:$I$480,3,0))</f>
        <v>0</v>
      </c>
      <c r="MT26" s="15">
        <f>IF(ISNA(VLOOKUP($A26,'Données projet'!$A$460:$I$480,4,0)),0,VLOOKUP($A26,'Données projet'!$A$460:$I$480,4,0))</f>
        <v>0</v>
      </c>
      <c r="MU26" s="16">
        <f>IF(ISNA(VLOOKUP($A26,'Données projet'!$A$460:$I$480,5,0)),0%,VLOOKUP($A26,'Données projet'!$A$460:$I$480,5,0)*VLOOKUP('Données projet'!$B$25,Paramètres!$A$1:$I$89,7,0))</f>
        <v>0</v>
      </c>
      <c r="MV26" s="16">
        <f>IF(ISNA(VLOOKUP($A26,'Données projet'!$A$460:$I$480,6,0)),0%,VLOOKUP($A26,'Données projet'!$A$460:$I$480,6,0)*VLOOKUP('Données projet'!$B$25,Paramètres!$A$1:$I$89,7,0))</f>
        <v>0</v>
      </c>
      <c r="MW26" s="16">
        <f>IF(ISNA(VLOOKUP($A26,'Données projet'!$A$460:$I$480,7,0)),0%,VLOOKUP($A26,'Données projet'!$A$460:$I$480,7,0))</f>
        <v>0</v>
      </c>
      <c r="MX26" s="21" t="e">
        <f>EXP(-LN(2)/35)*MX25+(1-EXP(-LN(2)/35))/(LN(2)/35)*MT26*MU26*VLOOKUP('Données projet'!$B$25,Paramètres!$A$1:$I$89,3,0)*0.475*44/12</f>
        <v>#N/A</v>
      </c>
      <c r="MY26" s="21" t="e">
        <f>EXP(-LN(2)/25)*MY25+(1-EXP(-LN(2)/25))/(LN(2)/25)*Calculateur!MT26*Calculateur!MV26*VLOOKUP('Données projet'!$B$25,Paramètres!$A$1:$I$89,3,0)*0.475*44/12</f>
        <v>#N/A</v>
      </c>
      <c r="MZ26" s="21" t="e">
        <f>EXP(-LN(2)/2)*MZ25+(1-EXP(-LN(2)/2))/(LN(2)/2)*MT26*MW26*VLOOKUP('Données projet'!$B$25,Paramètres!$A$1:$I$89,3,0)*0.475*44/12</f>
        <v>#N/A</v>
      </c>
      <c r="NA26" s="22" t="e">
        <f t="shared" si="108"/>
        <v>#N/A</v>
      </c>
      <c r="NB26" s="74">
        <f>('Scénario référence'!$F$8+'Scénario référence'!$F$9+'Scénario référence'!$B$17+'Scénario référence'!$B$9+'Scénario référence'!$B$10)*70+IF((45+25*(1-EXP(-0.0175*$A26)))&lt;70,'Scénario référence'!$B$16*(45+25*(1-EXP(-0.0175*$A26))),70*'Scénario référence'!$B$16)+IF((32+38*(1-EXP(-0.0175*$A26)))&lt;70,'Scénario référence'!$B$18*(32+38*(1-EXP(-0.0175*$A26))),70*'Scénario référence'!$B$18)</f>
        <v>70</v>
      </c>
      <c r="NC26" s="12">
        <f>IF($A26&gt;30,10,('Scénario référence'!$B$16+'Scénario référence'!$B$17+'Scénario référence'!$B$18+'Scénario référence'!$B$9+'Scénario référence'!$B$10)*$A26*10/30+('Scénario référence'!$F$8+'Scénario référence'!$F$9)*10)</f>
        <v>10</v>
      </c>
      <c r="ND26" s="12" t="e">
        <f>VLOOKUP($A26,'Données projet'!$A$486:$I$506,2,0)</f>
        <v>#N/A</v>
      </c>
      <c r="NE26" s="12" t="e">
        <f>VLOOKUP($A26,'Données projet'!$A$486:$I$506,9,0)</f>
        <v>#N/A</v>
      </c>
      <c r="NF26" s="12">
        <f t="array" ref="NF26">INDEX(NE:NE,MIN(IF(ISNUMBER(NE26:NE222),ROW(NE26:NE222),"")))</f>
        <v>0</v>
      </c>
      <c r="NG26" s="12">
        <f>IF('Données projet'!$A$486&gt;35,NG25+NF26-NO25,IF($A26&lt;'Données projet'!$A$486,$CQ$205^$A26,IF($A26='Données projet'!$A$486,'Données projet'!$B$486,NG25+NF26-NO25)))</f>
        <v>0</v>
      </c>
      <c r="NH26" s="17" t="e">
        <f>NG26*VLOOKUP('Données projet'!$B$26,Paramètres!$A$1:$I$89,3,0)*VLOOKUP('Données projet'!$B$26,Paramètres!$A$1:$I$89,5,0)</f>
        <v>#N/A</v>
      </c>
      <c r="NI26" s="13" t="e">
        <f t="shared" si="109"/>
        <v>#N/A</v>
      </c>
      <c r="NJ26" s="14" t="e">
        <f t="shared" si="52"/>
        <v>#N/A</v>
      </c>
      <c r="NK26" s="59" t="e">
        <f t="shared" si="53"/>
        <v>#N/A</v>
      </c>
      <c r="NL26" s="20" t="e">
        <f ca="1">AVERAGE(OFFSET($NK$3,0,0,'Données projet'!$E$26+1,1))-AVERAGE(OFFSET($H$3,0,0,'Données projet'!$E$26+1,1))</f>
        <v>#N/A</v>
      </c>
      <c r="NM26" s="59" t="e">
        <f t="shared" si="110"/>
        <v>#N/A</v>
      </c>
      <c r="NN26" s="15">
        <f>IF(ISNA(VLOOKUP($A26,'Données projet'!$A$486:$I$506,3,0)),0,VLOOKUP($A26,'Données projet'!$A$486:$I$506,3,0))</f>
        <v>0</v>
      </c>
      <c r="NO26" s="15">
        <f>IF(ISNA(VLOOKUP($A26,'Données projet'!$A$486:$I$506,4,0)),0,VLOOKUP($A26,'Données projet'!$A$486:$I$506,4,0))</f>
        <v>0</v>
      </c>
      <c r="NP26" s="16">
        <f>IF(ISNA(VLOOKUP($A26,'Données projet'!$A$486:$I$506,5,0)),0%,VLOOKUP($A26,'Données projet'!$A$486:$I$506,5,0)*VLOOKUP('Données projet'!$B$26,Paramètres!$A$1:$I$89,7,0))</f>
        <v>0</v>
      </c>
      <c r="NQ26" s="16">
        <f>IF(ISNA(VLOOKUP($A26,'Données projet'!$A$486:$I$506,6,0)),0%,VLOOKUP($A26,'Données projet'!$A$486:$I$506,6,0)*VLOOKUP('Données projet'!$B$26,Paramètres!$A$1:$I$89,7,0))</f>
        <v>0</v>
      </c>
      <c r="NR26" s="16">
        <f>IF(ISNA(VLOOKUP($A26,'Données projet'!$A$486:$I$506,7,0)),0%,VLOOKUP($A26,'Données projet'!$A$486:$I$506,7,0))</f>
        <v>0</v>
      </c>
      <c r="NS26" s="21" t="e">
        <f>EXP(-LN(2)/35)*NS25+(1-EXP(-LN(2)/35))/(LN(2)/35)*NO26*NP26*VLOOKUP('Données projet'!$B$26,Paramètres!$A$1:$I$89,3,0)*0.475*44/12</f>
        <v>#N/A</v>
      </c>
      <c r="NT26" s="21" t="e">
        <f>EXP(-LN(2)/25)*NT25+(1-EXP(-LN(2)/25))/(LN(2)/25)*Calculateur!NO26*Calculateur!NQ26*VLOOKUP('Données projet'!$B$26,Paramètres!$A$1:$I$89,3,0)*0.475*44/12</f>
        <v>#N/A</v>
      </c>
      <c r="NU26" s="21" t="e">
        <f>EXP(-LN(2)/2)*NU25+(1-EXP(-LN(2)/2))/(LN(2)/2)*NO26*NR26*VLOOKUP('Données projet'!$B$26,Paramètres!$A$1:$I$89,3,0)*0.475*44/12</f>
        <v>#N/A</v>
      </c>
      <c r="NV26" s="22" t="e">
        <f t="shared" si="111"/>
        <v>#N/A</v>
      </c>
      <c r="NW26" s="74">
        <f>('Scénario référence'!$F$8+'Scénario référence'!$F$9+'Scénario référence'!$B$17+'Scénario référence'!$B$9+'Scénario référence'!$B$10)*70+IF((45+25*(1-EXP(-0.0175*$A26)))&lt;70,'Scénario référence'!$B$16*(45+25*(1-EXP(-0.0175*$A26))),70*'Scénario référence'!$B$16)+IF((32+38*(1-EXP(-0.0175*$A26)))&lt;70,'Scénario référence'!$B$18*(32+38*(1-EXP(-0.0175*$A26))),70*'Scénario référence'!$B$18)</f>
        <v>70</v>
      </c>
      <c r="NX26" s="12">
        <f>IF($A26&gt;30,10,('Scénario référence'!$B$16+'Scénario référence'!$B$17+'Scénario référence'!$B$18+'Scénario référence'!$B$9+'Scénario référence'!$B$10)*$A26*10/30+('Scénario référence'!$F$8+'Scénario référence'!$F$9)*10)</f>
        <v>10</v>
      </c>
      <c r="NY26" s="12" t="e">
        <f>VLOOKUP($A26,'Données projet'!$A$512:$I$532,2,0)</f>
        <v>#N/A</v>
      </c>
      <c r="NZ26" s="12" t="e">
        <f>VLOOKUP($A26,'Données projet'!$A$512:$I$532,9,0)</f>
        <v>#N/A</v>
      </c>
      <c r="OA26" s="12">
        <f t="array" ref="OA26">INDEX(NZ:NZ,MIN(IF(ISNUMBER(NZ26:NZ222),ROW(NZ26:NZ222),"")))</f>
        <v>0</v>
      </c>
      <c r="OB26" s="12">
        <f>IF('Données projet'!$A$512&gt;35,OB25+OA26-OJ25,IF($A26&lt;'Données projet'!$A$512,$CQ$205^$A26,IF($A26='Données projet'!$A$512,'Données projet'!$B$512,OB25+OA26-OJ25)))</f>
        <v>0</v>
      </c>
      <c r="OC26" s="17" t="e">
        <f>OB26*VLOOKUP('Données projet'!$B$27,Paramètres!$A$1:$I$89,3,0)*VLOOKUP('Données projet'!$B$27,Paramètres!$A$1:$I$89,5,0)</f>
        <v>#N/A</v>
      </c>
      <c r="OD26" s="13" t="e">
        <f t="shared" si="112"/>
        <v>#N/A</v>
      </c>
      <c r="OE26" s="14" t="e">
        <f t="shared" si="55"/>
        <v>#N/A</v>
      </c>
      <c r="OF26" s="59" t="e">
        <f t="shared" si="56"/>
        <v>#N/A</v>
      </c>
      <c r="OG26" s="20" t="e">
        <f ca="1">AVERAGE(OFFSET($OF$3,0,0,'Données projet'!$E$27+1,1))-AVERAGE(OFFSET($H$3,0,0,'Données projet'!$E$27+1,1))</f>
        <v>#N/A</v>
      </c>
      <c r="OH26" s="59" t="e">
        <f t="shared" si="113"/>
        <v>#N/A</v>
      </c>
      <c r="OI26" s="15">
        <f>IF(ISNA(VLOOKUP($A26,'Données projet'!$A$512:$I$532,3,0)),0,VLOOKUP($A26,'Données projet'!$A$512:$I$532,3,0))</f>
        <v>0</v>
      </c>
      <c r="OJ26" s="15">
        <f>IF(ISNA(VLOOKUP($A26,'Données projet'!$A$512:$I$532,4,0)),0,VLOOKUP($A26,'Données projet'!$A$512:$I$532,4,0))</f>
        <v>0</v>
      </c>
      <c r="OK26" s="16">
        <f>IF(ISNA(VLOOKUP($A26,'Données projet'!$A$512:$I$532,5,0)),0%,VLOOKUP($A26,'Données projet'!$A$512:$I$532,5,0)*VLOOKUP('Données projet'!$B$27,Paramètres!$A$1:$I$89,7,0))</f>
        <v>0</v>
      </c>
      <c r="OL26" s="16">
        <f>IF(ISNA(VLOOKUP($A26,'Données projet'!$A$512:$I$532,6,0)),0%,VLOOKUP($A26,'Données projet'!$A$512:$I$532,6,0)*VLOOKUP('Données projet'!$B$27,Paramètres!$A$1:$I$89,7,0))</f>
        <v>0</v>
      </c>
      <c r="OM26" s="16">
        <f>IF(ISNA(VLOOKUP($A26,'Données projet'!$A$512:$I$532,7,0)),0%,VLOOKUP($A26,'Données projet'!$A$512:$I$532,7,0))</f>
        <v>0</v>
      </c>
      <c r="ON26" s="21" t="e">
        <f>EXP(-LN(2)/35)*ON25+(1-EXP(-LN(2)/35))/(LN(2)/35)*OJ26*OK26*VLOOKUP('Données projet'!$B$27,Paramètres!$A$1:$I$89,3,0)*0.475*44/12</f>
        <v>#N/A</v>
      </c>
      <c r="OO26" s="21" t="e">
        <f>EXP(-LN(2)/25)*OO25+(1-EXP(-LN(2)/25))/(LN(2)/25)*Calculateur!OJ26*Calculateur!OL26*VLOOKUP('Données projet'!$B$27,Paramètres!$A$1:$I$89,3,0)*0.475*44/12</f>
        <v>#N/A</v>
      </c>
      <c r="OP26" s="21" t="e">
        <f>EXP(-LN(2)/2)*OP25+(1-EXP(-LN(2)/2))/(LN(2)/2)*OJ26*OM26*VLOOKUP('Données projet'!$B$27,Paramètres!$A$1:$I$89,3,0)*0.475*44/12</f>
        <v>#N/A</v>
      </c>
      <c r="OQ26" s="22" t="e">
        <f t="shared" si="114"/>
        <v>#N/A</v>
      </c>
      <c r="OR26" s="74">
        <f>('Scénario référence'!$F$8+'Scénario référence'!$F$9+'Scénario référence'!$B$17+'Scénario référence'!$B$9+'Scénario référence'!$B$10)*70+IF((45+25*(1-EXP(-0.0175*$A26)))&lt;70,'Scénario référence'!$B$16*(45+25*(1-EXP(-0.0175*$A26))),70*'Scénario référence'!$B$16)+IF((32+38*(1-EXP(-0.0175*$A26)))&lt;70,'Scénario référence'!$B$18*(32+38*(1-EXP(-0.0175*$A26))),70*'Scénario référence'!$B$18)</f>
        <v>70</v>
      </c>
      <c r="OS26" s="12">
        <f>IF($A26&gt;30,10,('Scénario référence'!$B$16+'Scénario référence'!$B$17+'Scénario référence'!$B$18+'Scénario référence'!$B$9+'Scénario référence'!$B$10)*$A26*10/30+('Scénario référence'!$F$8+'Scénario référence'!$F$9)*10)</f>
        <v>10</v>
      </c>
      <c r="OT26" s="12" t="e">
        <f>VLOOKUP($A26,'Données projet'!$A$538:$I$558,2,0)</f>
        <v>#N/A</v>
      </c>
      <c r="OU26" s="12" t="e">
        <f>VLOOKUP($A26,'Données projet'!$A$538:$I$558,9,0)</f>
        <v>#N/A</v>
      </c>
      <c r="OV26" s="12">
        <f t="array" ref="OV26">INDEX(OU:OU,MIN(IF(ISNUMBER(OU26:OU222),ROW(OU26:OU222),"")))</f>
        <v>0</v>
      </c>
      <c r="OW26" s="12">
        <f>IF('Données projet'!$A$538&gt;35,OW25+OV26-PE25,IF($A26&lt;'Données projet'!$A$538,$CQ$205^$A26,IF($A26='Données projet'!$A$538,'Données projet'!$B$538,OW25+OV26-PE25)))</f>
        <v>0</v>
      </c>
      <c r="OX26" s="17" t="e">
        <f>OW26*VLOOKUP('Données projet'!$B$28,Paramètres!$A$1:$I$89,3,0)*VLOOKUP('Données projet'!$B$28,Paramètres!$A$1:$I$89,5,0)</f>
        <v>#N/A</v>
      </c>
      <c r="OY26" s="13" t="e">
        <f t="shared" si="115"/>
        <v>#N/A</v>
      </c>
      <c r="OZ26" s="14" t="e">
        <f t="shared" si="58"/>
        <v>#N/A</v>
      </c>
      <c r="PA26" s="59" t="e">
        <f t="shared" si="59"/>
        <v>#N/A</v>
      </c>
      <c r="PB26" s="20" t="e">
        <f ca="1">AVERAGE(OFFSET($PA$3,0,0,'Données projet'!$E$28+1,1))-AVERAGE(OFFSET($H$3,0,0,'Données projet'!$E$28+1,1))</f>
        <v>#N/A</v>
      </c>
      <c r="PC26" s="59" t="e">
        <f t="shared" si="116"/>
        <v>#N/A</v>
      </c>
      <c r="PD26" s="15">
        <f>IF(ISNA(VLOOKUP($A26,'Données projet'!$A$538:$I$558,3,0)),0,VLOOKUP($A26,'Données projet'!$A$538:$I$558,3,0))</f>
        <v>0</v>
      </c>
      <c r="PE26" s="15">
        <f>IF(ISNA(VLOOKUP($A26,'Données projet'!$A$538:$I$558,4,0)),0,VLOOKUP($A26,'Données projet'!$A$538:$I$558,4,0))</f>
        <v>0</v>
      </c>
      <c r="PF26" s="16">
        <f>IF(ISNA(VLOOKUP($A26,'Données projet'!$A$538:$I$558,5,0)),0%,VLOOKUP($A26,'Données projet'!$A$538:$I$558,5,0)*VLOOKUP('Données projet'!$B$28,Paramètres!$A$1:$I$89,7,0))</f>
        <v>0</v>
      </c>
      <c r="PG26" s="16">
        <f>IF(ISNA(VLOOKUP($A26,'Données projet'!$A$538:$I$558,6,0)),0%,VLOOKUP($A26,'Données projet'!$A$538:$I$558,6,0)*VLOOKUP('Données projet'!$B$28,Paramètres!$A$1:$I$89,7,0))</f>
        <v>0</v>
      </c>
      <c r="PH26" s="16">
        <f>IF(ISNA(VLOOKUP($A26,'Données projet'!$A$538:$I$558,7,0)),0%,VLOOKUP($A26,'Données projet'!$A$538:$I$558,7,0))</f>
        <v>0</v>
      </c>
      <c r="PI26" s="21" t="e">
        <f>EXP(-LN(2)/35)*PI25+(1-EXP(-LN(2)/35))/(LN(2)/35)*PE26*PF26*VLOOKUP('Données projet'!$B$28,Paramètres!$A$1:$I$89,3,0)*0.475*44/12</f>
        <v>#N/A</v>
      </c>
      <c r="PJ26" s="21" t="e">
        <f>EXP(-LN(2)/25)*PJ25+(1-EXP(-LN(2)/25))/(LN(2)/25)*Calculateur!PE26*Calculateur!PG26*VLOOKUP('Données projet'!$B$28,Paramètres!$A$1:$I$89,3,0)*0.475*44/12</f>
        <v>#N/A</v>
      </c>
      <c r="PK26" s="21" t="e">
        <f>EXP(-LN(2)/2)*PK25+(1-EXP(-LN(2)/2))/(LN(2)/2)*PE26*PH26*VLOOKUP('Données projet'!$B$28,Paramètres!$A$1:$I$89,3,0)*0.475*44/12</f>
        <v>#N/A</v>
      </c>
      <c r="PL26" s="22" t="e">
        <f t="shared" si="117"/>
        <v>#N/A</v>
      </c>
    </row>
    <row r="27" spans="1:428" x14ac:dyDescent="0.35">
      <c r="A27" s="10">
        <f t="shared" si="6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6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projet'!$A$45:$I$65,2,0)</f>
        <v>237.56153846153845</v>
      </c>
      <c r="L27" s="12">
        <f>VLOOKUP(A27,'Données projet'!$A$45:$I$65,9,0)</f>
        <v>20.658974358974358</v>
      </c>
      <c r="M27" s="12">
        <f t="array" ref="M27">INDEX(L:L,MIN(IF(ISNUMBER(L27:L223),ROW(L27:L223),"")))</f>
        <v>20.658974358974358</v>
      </c>
      <c r="N27" s="13">
        <f>IF('Données projet'!$A$46&gt;35,N26+M27-V26,IF(A27&lt;'Données projet'!$A$46,$K$205^A27,IF(A27='Données projet'!$A$46,'Données projet'!$B$46,N26+M27-V26)))</f>
        <v>237.56153846153839</v>
      </c>
      <c r="O27" s="13">
        <f>N27*VLOOKUP('Données projet'!$B$9,Paramètres!$A$1:$I$89,3,0)*VLOOKUP('Données projet'!$B$9,Paramètres!$A$1:$I$89,5,0)</f>
        <v>132.79689999999997</v>
      </c>
      <c r="P27" s="13">
        <f t="shared" si="63"/>
        <v>34.641837967861036</v>
      </c>
      <c r="Q27" s="20">
        <f t="shared" si="2"/>
        <v>291.62246862735793</v>
      </c>
      <c r="R27" s="59">
        <f t="shared" si="0"/>
        <v>584.95580196069125</v>
      </c>
      <c r="S27" s="59">
        <f ca="1">AVERAGE(OFFSET($R$3,0,0,'Données projet'!$E$9+1,1))-AVERAGE(OFFSET($H$3,0,0,'Données projet'!$E$9+1,1))</f>
        <v>274.57619581652199</v>
      </c>
      <c r="T27" s="59">
        <f t="shared" si="64"/>
        <v>366.15117322598775</v>
      </c>
      <c r="U27" s="15">
        <f>IF(ISNA(VLOOKUP(A27,'Données projet'!$A$45:$I$65,3,0)),0,VLOOKUP(A27,'Données projet'!$A$45:$I$65,3,0))</f>
        <v>2</v>
      </c>
      <c r="V27" s="15">
        <f>IF(ISNA(VLOOKUP(A27,'Données projet'!$A$45:$I$65,4,0)),0,VLOOKUP(A27,'Données projet'!$A$45:$I$65,4,0))</f>
        <v>42.661538461538463</v>
      </c>
      <c r="W27" s="16">
        <f>IF(ISNA(VLOOKUP(A27,'Données projet'!$A$45:$I$65,5,0)),0%,VLOOKUP(A27,'Données projet'!$A$45:$I$65,5,0)*VLOOKUP('Données projet'!$B$9,Paramètres!$A$1:$I$89,7,0))</f>
        <v>0.38500000000000001</v>
      </c>
      <c r="X27" s="16">
        <f>IF(ISNA(VLOOKUP(A27,'Données projet'!$A$45:$I$65,6,0)),0%,VLOOKUP(A27,'Données projet'!$A$45:$I$65,6,0)*VLOOKUP('Données projet'!$B$9,Paramètres!$A$1:$I$89,7,0))</f>
        <v>9.240000000000001E-2</v>
      </c>
      <c r="Y27" s="16">
        <f>IF(ISNA(VLOOKUP(A27,'Données projet'!$A$45:$I$65,7,0)),0%,VLOOKUP(A27,'Données projet'!$A$45:$I$65,7,0))</f>
        <v>0.13200000000000001</v>
      </c>
      <c r="Z27" s="21">
        <f>EXP(-LN(2)/35)*Z26+(1-EXP(-LN(2)/35))/(LN(2)/35)*V27*W27*VLOOKUP('Données projet'!$B$9,Paramètres!$A$1:$I$89,3,0)*0.475*44/12</f>
        <v>12.179722870865961</v>
      </c>
      <c r="AA27" s="21">
        <f>EXP(-LN(2)/25)*AA26+(1-EXP(-LN(2)/25))/(LN(2)/25)*Calculateur!V27*Calculateur!X27*VLOOKUP('Données projet'!$B$9,Paramètres!$A$1:$I$89,3,0)*0.475*44/12</f>
        <v>16.25811611180935</v>
      </c>
      <c r="AB27" s="21">
        <f>EXP(-LN(2)/2)*AB26+(1-EXP(-LN(2)/2))/(LN(2)/2)*V27*Y27*VLOOKUP('Données projet'!$B$9,Paramètres!$A$1:$I$89,3,0)*0.475*44/12</f>
        <v>5.9759957746672558</v>
      </c>
      <c r="AC27" s="22">
        <f t="shared" si="3"/>
        <v>34.413834757342563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projet'!$A$71:$I$91,2,0)</f>
        <v>#N/A</v>
      </c>
      <c r="AG27" s="12" t="e">
        <f>VLOOKUP(A27,'Données projet'!$A$71:$I$91,9,0)</f>
        <v>#N/A</v>
      </c>
      <c r="AH27" s="12">
        <f t="array" ref="AH27">INDEX(AG:AG,MIN(IF(ISNUMBER(AG27:AG223),ROW(AG27:AG223),"")))</f>
        <v>4.0628205128205126</v>
      </c>
      <c r="AI27" s="13">
        <f>IF('Données projet'!$A$72&gt;35,AI26+AH27-AQ26,IF(A27&lt;'Données projet'!$A$72,$AF$205^A27,IF(A27='Données projet'!$A$72,'Données projet'!$B$72,AI26+AH27-AQ26)))</f>
        <v>46.640061345320483</v>
      </c>
      <c r="AJ27" s="13">
        <f>AI27*VLOOKUP('Données projet'!$B$10,Paramètres!$A$1:$I$89,3,0)*VLOOKUP('Données projet'!$B$10,Paramètres!$A$1:$I$89,5,0)</f>
        <v>42.199927505245967</v>
      </c>
      <c r="AK27" s="13">
        <f t="shared" si="65"/>
        <v>12.579908645827834</v>
      </c>
      <c r="AL27" s="20">
        <f t="shared" si="4"/>
        <v>95.408214629786869</v>
      </c>
      <c r="AM27" s="59">
        <f t="shared" si="5"/>
        <v>388.74154796312018</v>
      </c>
      <c r="AN27" s="59">
        <f ca="1">AVERAGE(OFFSET($AM$3,0,0,'Données projet'!$E$10+1,1))-AVERAGE(OFFSET($H$3,0,0,'Données projet'!$E$10+1,1))</f>
        <v>270.87836509222456</v>
      </c>
      <c r="AO27" s="59">
        <f t="shared" si="66"/>
        <v>205.24998237949734</v>
      </c>
      <c r="AP27" s="15">
        <f>IF(ISNA(VLOOKUP(A27,'Données projet'!$A$71:$I$91,3,0)),0,VLOOKUP(A27,'Données projet'!$A$71:$I$91,3,0))</f>
        <v>0</v>
      </c>
      <c r="AQ27" s="15">
        <f>IF(ISNA(VLOOKUP(A27,'Données projet'!$A$71:$I$91,4,0)),0,VLOOKUP(A27,'Données projet'!$A$71:$I$91,4,0))</f>
        <v>0</v>
      </c>
      <c r="AR27" s="16">
        <f>IF(ISNA(VLOOKUP(A27,'Données projet'!$A$71:$I$91,5,0)),0%,VLOOKUP(A27,'Données projet'!$A$71:$I$91,5,0)*VLOOKUP('Données projet'!$B$10,Paramètres!$A$1:$I$89,7,0))</f>
        <v>0</v>
      </c>
      <c r="AS27" s="16">
        <f>IF(ISNA(VLOOKUP(A27,'Données projet'!$A$71:$I$91,6,0)),0%,VLOOKUP(A27,'Données projet'!$A$71:$I$91,6,0)*VLOOKUP('Données projet'!$B$10,Paramètres!$A$1:$I$89,7,0))</f>
        <v>0</v>
      </c>
      <c r="AT27" s="16">
        <f>IF(ISNA(VLOOKUP(A27,'Données projet'!$A$71:$I$91,7,0)),0%,VLOOKUP(A27,'Données projet'!$A$71:$I$91,7,0))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>
        <f>VLOOKUP(A27,'Données projet'!$A$97:$I$117,2,0)</f>
        <v>237.56153846153845</v>
      </c>
      <c r="BB27" s="12">
        <f>VLOOKUP(A27,'Données projet'!$A$97:$I$117,9,0)</f>
        <v>20.658974358974358</v>
      </c>
      <c r="BC27" s="12">
        <f t="array" ref="BC27">INDEX(BB:BB,MIN(IF(ISNUMBER(BB27:BB223),ROW(BB27:BB223),"")))</f>
        <v>20.658974358974358</v>
      </c>
      <c r="BD27" s="12">
        <f>IF('Données projet'!$A$98&gt;35,BD26+BC27-BL26,IF(A27&lt;'Données projet'!$A$98,$BA$205^A27,IF(A27='Données projet'!$A$98,'Données projet'!$B$98,BD26+BC27-BL26)))</f>
        <v>237.56153846153839</v>
      </c>
      <c r="BE27" s="13">
        <f>BD27*VLOOKUP('Données projet'!$B$11,Paramètres!$A$1:$I$89,3,0)*VLOOKUP('Données projet'!$B$11,Paramètres!$A$1:$I$89,5,0)</f>
        <v>105.00219999999997</v>
      </c>
      <c r="BF27" s="13">
        <f t="shared" si="67"/>
        <v>28.15029625619421</v>
      </c>
      <c r="BG27" s="20">
        <f t="shared" si="7"/>
        <v>231.90726431287155</v>
      </c>
      <c r="BH27" s="59">
        <f t="shared" si="8"/>
        <v>525.24059764620483</v>
      </c>
      <c r="BI27" s="59">
        <f ca="1">AVERAGE(OFFSET($BH$3,0,0,'Données projet'!$E$11+1,1))-AVERAGE(OFFSET($H$3,0,0,'Données projet'!$E$11+1,1))</f>
        <v>211.31057120485542</v>
      </c>
      <c r="BJ27" s="59">
        <f t="shared" si="68"/>
        <v>283.33292006714777</v>
      </c>
      <c r="BK27" s="15">
        <f>IF(ISNA(VLOOKUP(A27,'Données projet'!$A$97:$I$117,3,0)),0,VLOOKUP(A27,'Données projet'!$A$97:$I$117,3,0))</f>
        <v>2</v>
      </c>
      <c r="BL27" s="15">
        <f>IF(ISNA(VLOOKUP(A27,'Données projet'!$A$97:$I$117,4,0)),0,VLOOKUP(A27,'Données projet'!$A$97:$I$117,4,0))</f>
        <v>42.661538461538463</v>
      </c>
      <c r="BM27" s="16">
        <f>IF(ISNA(VLOOKUP(A27,'Données projet'!$A$97:$I$117,5,0)),0%,VLOOKUP(A27,'Données projet'!$A$97:$I$117,5,0)*VLOOKUP('Données projet'!$B$11,Paramètres!$A$1:$I$89,7,0))</f>
        <v>0.38500000000000001</v>
      </c>
      <c r="BN27" s="16">
        <f>IF(ISNA(VLOOKUP(A27,'Données projet'!$A$97:$I$117,6,0)),0%,VLOOKUP(A27,'Données projet'!$A$97:$I$117,6,0)*VLOOKUP('Données projet'!$B$11,Paramètres!$A$1:$I$89,7,0))</f>
        <v>9.240000000000001E-2</v>
      </c>
      <c r="BO27" s="16">
        <f>IF(ISNA(VLOOKUP(A27,'Données projet'!$A$97:$I$117,7,0)),0%,VLOOKUP(A27,'Données projet'!$A$97:$I$117,7,0))</f>
        <v>0.13200000000000001</v>
      </c>
      <c r="BP27" s="21">
        <f>EXP(-LN(2)/35)*BP26+(1-EXP(-LN(2)/35))/(LN(2)/35)*BL27*BM27*VLOOKUP('Données projet'!$B$11,Paramètres!$A$1:$I$89,3,0)*0.475*44/12</f>
        <v>9.6304785490568054</v>
      </c>
      <c r="BQ27" s="21">
        <f>EXP(-LN(2)/25)*BQ26+(1-EXP(-LN(2)/25))/(LN(2)/25)*Calculateur!BL27*Calculateur!BN27*VLOOKUP('Données projet'!$B$11,Paramètres!$A$1:$I$89,3,0)*0.475*44/12</f>
        <v>12.8552546000353</v>
      </c>
      <c r="BR27" s="21">
        <f>EXP(-LN(2)/2)*BR26+(1-EXP(-LN(2)/2))/(LN(2)/2)*BL27*BO27*VLOOKUP('Données projet'!$B$11,Paramètres!$A$1:$I$89,3,0)*0.475*44/12</f>
        <v>4.7252059613648081</v>
      </c>
      <c r="BS27" s="22">
        <f t="shared" si="9"/>
        <v>27.210939110456913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projet'!$A$123:$I$143,2,0)</f>
        <v>#N/A</v>
      </c>
      <c r="BW27" s="12" t="e">
        <f>VLOOKUP(A27,'Données projet'!$A$123:$I$143,9,0)</f>
        <v>#N/A</v>
      </c>
      <c r="BX27" s="12">
        <f t="array" ref="BX27">INDEX(BW:BW,MIN(IF(ISNUMBER(BW27:BW223),ROW(BW27:BW223),"")))</f>
        <v>10.199999999999999</v>
      </c>
      <c r="BY27" s="12">
        <f>IF('Données projet'!$A$124&gt;35,BY26+BX27-CG26,IF(A27&lt;'Données projet'!$A$124,$BV$205^A27,IF(A27='Données projet'!$A$124,'Données projet'!$B$124,BY26+BX27-CG26)))</f>
        <v>115.8</v>
      </c>
      <c r="BZ27" s="13">
        <f>BY27*VLOOKUP('Données projet'!$B$12,Paramètres!$A$1:$I$89,3,0)*VLOOKUP('Données projet'!$B$12,Paramètres!$A$1:$I$89,5,0)</f>
        <v>121.03416</v>
      </c>
      <c r="CA27" s="13">
        <f t="shared" si="69"/>
        <v>31.916079538986775</v>
      </c>
      <c r="CB27" s="20">
        <f t="shared" si="10"/>
        <v>266.38833386373528</v>
      </c>
      <c r="CC27" s="59">
        <f t="shared" si="11"/>
        <v>559.72166719706865</v>
      </c>
      <c r="CD27" s="59">
        <f ca="1">AVERAGE(OFFSET($CC$3,0,0,'Données projet'!$E$12+1,1))-AVERAGE(OFFSET($H$3,0,0,'Données projet'!$E$12+1,1))</f>
        <v>322.93502595881938</v>
      </c>
      <c r="CE27" s="59">
        <f t="shared" si="70"/>
        <v>302.67072119588164</v>
      </c>
      <c r="CF27" s="15">
        <f>IF(ISNA(VLOOKUP(A27,'Données projet'!$A$123:$I$143,3,0)),0,VLOOKUP(A27,'Données projet'!$A$123:$I$143,3,0))</f>
        <v>0</v>
      </c>
      <c r="CG27" s="15">
        <f>IF(ISNA(VLOOKUP(A27,'Données projet'!$A$123:$I$143,4,0)),0,VLOOKUP(A27,'Données projet'!$A$123:$I$143,4,0))</f>
        <v>0</v>
      </c>
      <c r="CH27" s="16">
        <f>IF(ISNA(VLOOKUP(A27,'Données projet'!$A$123:$I$143,5,0)),0%,VLOOKUP(A27,'Données projet'!$A$123:$I$143,5,0)*VLOOKUP('Données projet'!$B$12,Paramètres!$A$1:$I$89,7,0))</f>
        <v>0</v>
      </c>
      <c r="CI27" s="16">
        <f>IF(ISNA(VLOOKUP(A27,'Données projet'!$A$123:$I$143,6,0)),0%,VLOOKUP(A27,'Données projet'!$A$123:$I$143,6,0)*VLOOKUP('Données projet'!$B$12,Paramètres!$A$1:$I$89,7,0))</f>
        <v>0</v>
      </c>
      <c r="CJ27" s="16">
        <f>IF(ISNA(VLOOKUP(A27,'Données projet'!$A$123:$I$143,7,0)),0%,VLOOKUP(A27,'Données projet'!$A$123:$I$143,7,0))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projet'!$A$149:$I$169,2,0)</f>
        <v>#N/A</v>
      </c>
      <c r="CR27" s="12" t="e">
        <f>VLOOKUP(A27,'Données projet'!$A$149:$I$169,9,0)</f>
        <v>#N/A</v>
      </c>
      <c r="CS27" s="12">
        <f t="array" ref="CS27">INDEX(CR:CR,MIN(IF(ISNUMBER(CR27:CR223),ROW(CR27:CR223),"")))</f>
        <v>2.9235042735042733</v>
      </c>
      <c r="CT27" s="12">
        <f>IF('Données projet'!$A$150&gt;35,CT26+CS27-DB26,IF(A27&lt;'Données projet'!$A$150,$CQ$205^A27,IF(A27='Données projet'!$A$150,'Données projet'!$B$150,CT26+CS27-DB26)))</f>
        <v>35.844290647096855</v>
      </c>
      <c r="CU27" s="17">
        <f>CT27*VLOOKUP('Données projet'!$B$13,Paramètres!$A$1:$I$89,3,0)*VLOOKUP('Données projet'!$B$13,Paramètres!$A$1:$I$89,5,0)</f>
        <v>36.346110716156211</v>
      </c>
      <c r="CV27" s="13">
        <f t="shared" si="71"/>
        <v>11.024850403718778</v>
      </c>
      <c r="CW27" s="20">
        <f t="shared" si="13"/>
        <v>82.504423950448952</v>
      </c>
      <c r="CX27" s="59">
        <f t="shared" si="14"/>
        <v>375.83775728378225</v>
      </c>
      <c r="CY27" s="59">
        <f ca="1">AVERAGE(OFFSET($CX$3,0,0,'Données projet'!$E$13+1,1))-AVERAGE(OFFSET($H$3,0,0,'Données projet'!$E$13+1,1))</f>
        <v>250.31277422753283</v>
      </c>
      <c r="CZ27" s="59">
        <f t="shared" si="72"/>
        <v>159.20429420478047</v>
      </c>
      <c r="DA27" s="15">
        <f>IF(ISNA(VLOOKUP(A27,'Données projet'!$A$149:$I$169,3,0)),0,VLOOKUP(A27,'Données projet'!$A$149:$I$169,3,0))</f>
        <v>0</v>
      </c>
      <c r="DB27" s="15">
        <f>IF(ISNA(VLOOKUP(A27,'Données projet'!$A$149:$I$169,4,0)),0,VLOOKUP(A27,'Données projet'!$A$149:$I$169,4,0))</f>
        <v>0</v>
      </c>
      <c r="DC27" s="16">
        <f>IF(ISNA(VLOOKUP(A27,'Données projet'!$A$149:$I$169,5,0)),0%,VLOOKUP(A27,'Données projet'!$A$149:$I$169,5,0)*VLOOKUP('Données projet'!$B$13,Paramètres!$A$1:$I$89,7,0))</f>
        <v>0</v>
      </c>
      <c r="DD27" s="16">
        <f>IF(ISNA(VLOOKUP(A27,'Données projet'!$A$149:$I$169,6,0)),0%,VLOOKUP(A27,'Données projet'!$A$149:$I$169,6,0)*VLOOKUP('Données projet'!$B$13,Paramètres!$A$1:$I$89,7,0))</f>
        <v>0</v>
      </c>
      <c r="DE27" s="16">
        <f>IF(ISNA(VLOOKUP(A27,'Données projet'!$A$149:$I$169,7,0)),0%,VLOOKUP(A27,'Données projet'!$A$149:$I$169,7,0))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projet'!$A$175:$I$195,2,0)</f>
        <v>#N/A</v>
      </c>
      <c r="DM27" s="12" t="e">
        <f>VLOOKUP(A27,'Données projet'!$A$175:$I$195,9,0)</f>
        <v>#N/A</v>
      </c>
      <c r="DN27" s="12">
        <f t="array" ref="DN27">INDEX(DM:DM,MIN(IF(ISNUMBER(DM27:DM223),ROW(DM27:DM223),"")))</f>
        <v>16.8</v>
      </c>
      <c r="DO27" s="12">
        <f>IF('Données projet'!$A$176&gt;35,DO26+DN27-DW26,IF(A27&lt;'Données projet'!$A$176,$DL$205^A27,IF(A27='Données projet'!$A$176,'Données projet'!$B$176,DO26+DN27-DW26)))</f>
        <v>148.20000000000002</v>
      </c>
      <c r="DP27" s="17">
        <f>DO27*VLOOKUP('Données projet'!$B$14,Paramètres!$A$1:$I$89,3,0)*VLOOKUP('Données projet'!$B$14,Paramètres!$A$1:$I$89,5,0)</f>
        <v>108.66024000000002</v>
      </c>
      <c r="DQ27" s="13">
        <f t="shared" si="73"/>
        <v>29.015101890437414</v>
      </c>
      <c r="DR27" s="20">
        <f t="shared" si="16"/>
        <v>239.78455379251184</v>
      </c>
      <c r="DS27" s="59">
        <f t="shared" si="17"/>
        <v>533.11788712584519</v>
      </c>
      <c r="DT27" s="59">
        <f ca="1">AVERAGE(OFFSET($DS$3,0,0,'Données projet'!$E$14+1,1))-AVERAGE(OFFSET($H$3,0,0,'Données projet'!$E$14+1,1))</f>
        <v>296.91321813251051</v>
      </c>
      <c r="DU27" s="59">
        <f t="shared" si="74"/>
        <v>291.0718079639509</v>
      </c>
      <c r="DV27" s="15">
        <f>IF(ISNA(VLOOKUP(A27,'Données projet'!$A$175:$I$195,3,0)),0,VLOOKUP(A27,'Données projet'!$A$175:$I$195,3,0))</f>
        <v>0</v>
      </c>
      <c r="DW27" s="15">
        <f>IF(ISNA(VLOOKUP(A27,'Données projet'!$A$175:$I$195,4,0)),0,VLOOKUP(A27,'Données projet'!$A$175:$I$195,4,0))</f>
        <v>0</v>
      </c>
      <c r="DX27" s="16">
        <f>IF(ISNA(VLOOKUP(A27,'Données projet'!$A$175:$I$195,5,0)),0%,VLOOKUP(A27,'Données projet'!$A$175:$I$195,5,0)*VLOOKUP('Données projet'!$B$14,Paramètres!$A$1:$I$89,7,0))</f>
        <v>0</v>
      </c>
      <c r="DY27" s="16">
        <f>IF(ISNA(VLOOKUP(A27,'Données projet'!$A$175:$I$195,6,0)),0%,VLOOKUP(A27,'Données projet'!$A$175:$I$195,6,0)*VLOOKUP('Données projet'!$B$14,Paramètres!$A$1:$I$89,7,0))</f>
        <v>0</v>
      </c>
      <c r="DZ27" s="16">
        <f>IF(ISNA(VLOOKUP(A27,'Données projet'!$A$175:$I$195,7,0)),0%,VLOOKUP(A27,'Données projet'!$A$175:$I$195,7,0))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1.5659951087942798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1.5659951087942798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projet'!$A$201:$I$221,2,0)</f>
        <v>#N/A</v>
      </c>
      <c r="EH27" s="12" t="e">
        <f>VLOOKUP(A27,'Données projet'!$A$201:$I$221,9,0)</f>
        <v>#N/A</v>
      </c>
      <c r="EI27" s="12">
        <f t="array" ref="EI27">INDEX(EH:EH,MIN(IF(ISNUMBER(EH27:EH223),ROW(EH27:EH223),"")))</f>
        <v>3.4425641025641025</v>
      </c>
      <c r="EJ27" s="12">
        <f>IF('Données projet'!$A$202&gt;35,EJ26+EI27-ER26,IF(A27&lt;'Données projet'!$A$202,$EG$205^A27,IF(A27='Données projet'!$A$202,'Données projet'!$B$202,EJ26+EI27-ER26)))</f>
        <v>40.850994379880916</v>
      </c>
      <c r="EK27" s="17">
        <f>EJ27*VLOOKUP('Données projet'!$B$15,Paramètres!$A$1:$I$89,3,0)*VLOOKUP('Données projet'!$B$15,Paramètres!$A$1:$I$89,5,0)</f>
        <v>19.118265369784268</v>
      </c>
      <c r="EL27" s="13">
        <f t="shared" si="75"/>
        <v>6.2494233631643379</v>
      </c>
      <c r="EM27" s="20">
        <f t="shared" si="19"/>
        <v>44.182057876552157</v>
      </c>
      <c r="EN27" s="59">
        <f t="shared" si="20"/>
        <v>337.51539120988548</v>
      </c>
      <c r="EO27" s="59">
        <f ca="1">AVERAGE(OFFSET($EN$3,0,0,'Données projet'!$E$15+1,1))-AVERAGE(OFFSET($H$3,0,0,'Données projet'!$E$15+1,1))</f>
        <v>147.64256291235483</v>
      </c>
      <c r="EP27" s="59">
        <f t="shared" si="76"/>
        <v>70.859031694091868</v>
      </c>
      <c r="EQ27" s="15">
        <f>IF(ISNA(VLOOKUP(A27,'Données projet'!$A$201:$I$221,3,0)),0,VLOOKUP(A27,'Données projet'!$A$201:$I$221,3,0))</f>
        <v>0</v>
      </c>
      <c r="ER27" s="15">
        <f>IF(ISNA(VLOOKUP(A27,'Données projet'!$A$201:$I$221,4,0)),0,VLOOKUP(A27,'Données projet'!$A$201:$I$221,4,0))</f>
        <v>0</v>
      </c>
      <c r="ES27" s="16">
        <f>IF(ISNA(VLOOKUP(A27,'Données projet'!$A$201:$I$221,5,0)),0%,VLOOKUP(A27,'Données projet'!$A$201:$I$221,5,0)*VLOOKUP('Données projet'!$B$15,Paramètres!$A$1:$I$89,7,0))</f>
        <v>0</v>
      </c>
      <c r="ET27" s="16">
        <f>IF(ISNA(VLOOKUP(A27,'Données projet'!$A$201:$I$221,6,0)),0%,VLOOKUP(A27,'Données projet'!$A$201:$I$221,6,0)*VLOOKUP('Données projet'!$B$15,Paramètres!$A$1:$I$89,7,0))</f>
        <v>0</v>
      </c>
      <c r="EU27" s="16">
        <f>IF(ISNA(VLOOKUP(A27,'Données projet'!$A$201:$I$221,7,0)),0%,VLOOKUP(A27,'Données projet'!$A$201:$I$221,7,0))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projet'!$A$227:$I$247,2,0)</f>
        <v>#N/A</v>
      </c>
      <c r="FC27" s="12" t="e">
        <f>VLOOKUP(A27,'Données projet'!$A$227:$I$247,9,0)</f>
        <v>#N/A</v>
      </c>
      <c r="FD27" s="12">
        <f t="array" ref="FD27">INDEX(FC:FC,MIN(IF(ISNUMBER(FC27:FC223),ROW(FC27:FC223),"")))</f>
        <v>8</v>
      </c>
      <c r="FE27" s="12">
        <f>IF('Données projet'!$A$228&gt;35,FE26+FD27-FM26,IF(A27&lt;'Données projet'!$A$228,$FB$205^A27,IF(A27='Données projet'!$A$228,'Données projet'!$B$228,FE26+FD27-FM26)))</f>
        <v>90</v>
      </c>
      <c r="FF27" s="17">
        <f>FE27*VLOOKUP('Données projet'!$B$16,Paramètres!$A$1:$I$89,3,0)*VLOOKUP('Données projet'!$B$16,Paramètres!$A$1:$I$89,5,0)</f>
        <v>94.068000000000012</v>
      </c>
      <c r="FG27" s="13">
        <f t="shared" si="77"/>
        <v>25.543790108694029</v>
      </c>
      <c r="FH27" s="20">
        <f t="shared" si="22"/>
        <v>208.3238677726421</v>
      </c>
      <c r="FI27" s="59">
        <f t="shared" si="23"/>
        <v>501.65720110597545</v>
      </c>
      <c r="FJ27" s="59">
        <f ca="1">AVERAGE(OFFSET($FI$3,0,0,'Données projet'!$E$16+1,1))-AVERAGE(OFFSET($H$3,0,0,'Données projet'!$E$16+1,1))</f>
        <v>259.03906550253788</v>
      </c>
      <c r="FK27" s="59">
        <f t="shared" si="78"/>
        <v>235.54542903570831</v>
      </c>
      <c r="FL27" s="15">
        <f>IF(ISNA(VLOOKUP(A27,'Données projet'!$A$227:$I$247,3,0)),0,VLOOKUP(A27,'Données projet'!$A$227:$I$247,3,0))</f>
        <v>0</v>
      </c>
      <c r="FM27" s="15">
        <f>IF(ISNA(VLOOKUP(A27,'Données projet'!$A$227:$I$247,4,0)),0,VLOOKUP(A27,'Données projet'!$A$227:$I$247,4,0))</f>
        <v>0</v>
      </c>
      <c r="FN27" s="16">
        <f>IF(ISNA(VLOOKUP(A27,'Données projet'!$A$227:$I$247,5,0)),0%,VLOOKUP(A27,'Données projet'!$A$227:$I$247,5,0)*VLOOKUP('Données projet'!$B$16,Paramètres!$A$1:$I$89,7,0))</f>
        <v>0</v>
      </c>
      <c r="FO27" s="16">
        <f>IF(ISNA(VLOOKUP(A27,'Données projet'!$A$227:$I$247,6,0)),0%,VLOOKUP(A27,'Données projet'!$A$227:$I$247,6,0)*VLOOKUP('Données projet'!$B$16,Paramètres!$A$1:$I$89,7,0))</f>
        <v>0</v>
      </c>
      <c r="FP27" s="16">
        <f>IF(ISNA(VLOOKUP(A27,'Données projet'!$A$227:$I$247,7,0)),0%,VLOOKUP(A27,'Données projet'!$A$227:$I$247,7,0))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projet'!$A$253:$I$273,2,0)</f>
        <v>#N/A</v>
      </c>
      <c r="FX27" s="12" t="e">
        <f>VLOOKUP(A27,'Données projet'!$A$253:$I$273,9,0)</f>
        <v>#N/A</v>
      </c>
      <c r="FY27" s="12">
        <f t="array" ref="FY27">INDEX(FX:FX,MIN(IF(ISNUMBER(FX27:FX223),ROW(FX27:FX223),"")))</f>
        <v>12.6</v>
      </c>
      <c r="FZ27" s="12">
        <f>IF('Données projet'!$A$254&gt;35,FZ26+FY27-GH26,IF(A27&lt;'Données projet'!$A$254,$FW$205^A27,IF(A27='Données projet'!$A$254,'Données projet'!$B$254,FZ26+FY27-GH26)))</f>
        <v>102.39999999999998</v>
      </c>
      <c r="GA27" s="17">
        <f>FZ27*VLOOKUP('Données projet'!$B$17,Paramètres!$A$1:$I$89,3,0)*VLOOKUP('Données projet'!$B$17,Paramètres!$A$1:$I$89,5,0)</f>
        <v>89.456639999999993</v>
      </c>
      <c r="GB27" s="13">
        <f t="shared" si="79"/>
        <v>24.434133496437113</v>
      </c>
      <c r="GC27" s="20">
        <f t="shared" si="25"/>
        <v>198.35976383962796</v>
      </c>
      <c r="GD27" s="59">
        <f t="shared" si="26"/>
        <v>491.6930971729613</v>
      </c>
      <c r="GE27" s="59">
        <f ca="1">AVERAGE(OFFSET($GD$3,0,0,'Données projet'!$E$17+1,1))-AVERAGE(OFFSET($H$3,0,0,'Données projet'!$E$17+1,1))</f>
        <v>245.1983232777614</v>
      </c>
      <c r="GF27" s="59">
        <f t="shared" si="80"/>
        <v>242.34010522344573</v>
      </c>
      <c r="GG27" s="15">
        <f>IF(ISNA(VLOOKUP(A27,'Données projet'!$A$253:$I$273,3,0)),0,VLOOKUP(A27,'Données projet'!$A$253:$I$273,3,0))</f>
        <v>0</v>
      </c>
      <c r="GH27" s="15">
        <f>IF(ISNA(VLOOKUP(A27,'Données projet'!$A$253:$I$273,4,0)),0,VLOOKUP(A27,'Données projet'!$A$253:$I$273,4,0))</f>
        <v>0</v>
      </c>
      <c r="GI27" s="16">
        <f>IF(ISNA(VLOOKUP(A27,'Données projet'!$A$253:$I$273,5,0)),0%,VLOOKUP(A27,'Données projet'!$A$253:$I$273,5,0)*VLOOKUP('Données projet'!$B$17,Paramètres!$A$1:$I$89,7,0))</f>
        <v>0</v>
      </c>
      <c r="GJ27" s="16">
        <f>IF(ISNA(VLOOKUP(A27,'Données projet'!$A$253:$I$273,6,0)),0%,VLOOKUP(A27,'Données projet'!$A$253:$I$273,6,0)*VLOOKUP('Données projet'!$B$17,Paramètres!$A$1:$I$89,7,0))</f>
        <v>0</v>
      </c>
      <c r="GK27" s="16">
        <f>IF(ISNA(VLOOKUP(A27,'Données projet'!$A$253:$I$273,7,0)),0%,VLOOKUP(A27,'Données projet'!$A$253:$I$273,7,0))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projet'!$A$279:$I$299,2,0)</f>
        <v>#N/A</v>
      </c>
      <c r="GS27" s="12" t="e">
        <f>VLOOKUP(A27,'Données projet'!$A$279:$I$299,9,0)</f>
        <v>#N/A</v>
      </c>
      <c r="GT27" s="12">
        <f t="array" ref="GT27">INDEX(GS:GS,MIN(IF(ISNUMBER(GS27:GS223),ROW(GS27:GS223),"")))</f>
        <v>27.6</v>
      </c>
      <c r="GU27" s="12">
        <f>IF('Données projet'!$A$280&gt;35,GU26+GT27-HC26,IF(A27&lt;'Données projet'!$A$280,$GR$205^A27,IF(A27='Données projet'!$A$280,'Données projet'!$B$280,GU26+GT27-HC26)))</f>
        <v>242.4</v>
      </c>
      <c r="GV27" s="17">
        <f>GU27*VLOOKUP('Données projet'!$B$18,Paramètres!$A$1:$I$89,3,0)*VLOOKUP('Données projet'!$B$18,Paramètres!$A$1:$I$89,5,0)</f>
        <v>97.687200000000004</v>
      </c>
      <c r="GW27" s="13">
        <f t="shared" si="81"/>
        <v>26.410256715038198</v>
      </c>
      <c r="GX27" s="20">
        <f t="shared" si="28"/>
        <v>216.13640377869152</v>
      </c>
      <c r="GY27" s="59">
        <f t="shared" si="29"/>
        <v>509.46973711202486</v>
      </c>
      <c r="GZ27" s="59">
        <f ca="1">AVERAGE(OFFSET($GY$3,0,0,'Données projet'!$E$18+1,1))-AVERAGE(OFFSET($H$3,0,0,'Données projet'!$E$18+1,1))</f>
        <v>324.36162935850876</v>
      </c>
      <c r="HA27" s="59">
        <f t="shared" si="82"/>
        <v>265.23571072429735</v>
      </c>
      <c r="HB27" s="15">
        <f>IF(ISNA(VLOOKUP(A27,'Données projet'!$A$279:$I$299,3,0)),0,VLOOKUP(A27,'Données projet'!$A$279:$I$299,3,0))</f>
        <v>0</v>
      </c>
      <c r="HC27" s="15">
        <f>IF(ISNA(VLOOKUP(A27,'Données projet'!$A$279:$I$299,4,0)),0,VLOOKUP(A27,'Données projet'!$A$279:$I$299,4,0))</f>
        <v>0</v>
      </c>
      <c r="HD27" s="16">
        <f>IF(ISNA(VLOOKUP(A27,'Données projet'!$A$279:$I$299,5,0)),0%,VLOOKUP(A27,'Données projet'!$A$279:$I$299,5,0)*VLOOKUP('Données projet'!$B$18,Paramètres!$A$1:$I$89,7,0))</f>
        <v>0</v>
      </c>
      <c r="HE27" s="16">
        <f>IF(ISNA(VLOOKUP(A27,'Données projet'!$A$279:$I$299,6,0)),0%,VLOOKUP(A27,'Données projet'!$A$279:$I$299,6,0)*VLOOKUP('Données projet'!$B$18,Paramètres!$A$1:$I$89,7,0))</f>
        <v>0</v>
      </c>
      <c r="HF27" s="16">
        <f>IF(ISNA(VLOOKUP($A27,'Données projet'!$A$279:$I$299,7,0)),0%,VLOOKUP($A27,'Données projet'!$A$279:$I$299,7,0))</f>
        <v>0</v>
      </c>
      <c r="HG27" s="21">
        <f>EXP(-LN(2)/35)*HG26+(1-EXP(-LN(2)/35))/(LN(2)/35)*HC27*HD27*VLOOKUP('Données projet'!$B$18,Paramètres!$A$1:$I$89,3,0)*0.475*44/12</f>
        <v>0</v>
      </c>
      <c r="HH27" s="21">
        <f>EXP(-LN(2)/25)*HH26+(1-EXP(-LN(2)/25))/(LN(2)/25)*Calculateur!HC27*Calculateur!HE27*VLOOKUP('Données projet'!$B$18,Paramètres!$A$1:$I$89,3,0)*0.475*44/12</f>
        <v>0.3226224351868564</v>
      </c>
      <c r="HI27" s="21">
        <f>EXP(-LN(2)/2)*HI26+(1-EXP(-LN(2)/2))/(LN(2)/2)*HC27*HF27*VLOOKUP('Données projet'!$B$18,Paramètres!$A$1:$I$89,3,0)*0.475*44/12</f>
        <v>1.7549600611660228</v>
      </c>
      <c r="HJ27" s="22">
        <f t="shared" si="30"/>
        <v>2.0775824963528793</v>
      </c>
      <c r="HK27" s="74">
        <f>('Scénario référence'!$F$8+'Scénario référence'!$F$9+'Scénario référence'!$B$17+'Scénario référence'!$B$9+'Scénario référence'!$B$10)*70+IF((45+25*(1-EXP(-0.0175*$A27)))&lt;70,'Scénario référence'!$B$16*(45+25*(1-EXP(-0.0175*$A27))),70*'Scénario référence'!$B$16)+IF((32+38*(1-EXP(-0.0175*$A27)))&lt;70,'Scénario référence'!$B$18*(32+38*(1-EXP(-0.0175*$A27))),70*'Scénario référence'!$B$18)</f>
        <v>70</v>
      </c>
      <c r="HL27" s="12">
        <f>IF($A27&gt;30,10,('Scénario référence'!$B$16+'Scénario référence'!$B$17+'Scénario référence'!$B$18+'Scénario référence'!$B$9+'Scénario référence'!$B$10)*$A27*10/30+('Scénario référence'!$F$8+'Scénario référence'!$F$9)*10)</f>
        <v>10</v>
      </c>
      <c r="HM27" s="12" t="e">
        <f>VLOOKUP($A27,'Données projet'!$A$304:$I$324,2,0)</f>
        <v>#N/A</v>
      </c>
      <c r="HN27" s="12" t="e">
        <f>VLOOKUP($A27,'Données projet'!$A$304:$I$324,9,0)</f>
        <v>#N/A</v>
      </c>
      <c r="HO27" s="12">
        <f t="array" ref="HO27">INDEX(HN:HN,MIN(IF(ISNUMBER(HN27:HN223),ROW(HN27:HN223),"")))</f>
        <v>0</v>
      </c>
      <c r="HP27" s="12">
        <f>IF('Données projet'!$A$304&gt;35,HP26+HO27-HX26,IF($A27&lt;'Données projet'!$A$304,$CQ$205^$A27,IF($A27='Données projet'!$A$304,'Données projet'!$B$304,HP26+HO27-HX26)))</f>
        <v>0</v>
      </c>
      <c r="HQ27" s="17">
        <f>HP27*VLOOKUP('Données projet'!$B$19,Paramètres!$A$1:$I$89,3,0)*VLOOKUP('Données projet'!$B$19,Paramètres!$A$1:$I$89,5,0)</f>
        <v>0</v>
      </c>
      <c r="HR27" s="13" t="e">
        <f t="shared" si="83"/>
        <v>#NUM!</v>
      </c>
      <c r="HS27" s="14" t="e">
        <f t="shared" si="31"/>
        <v>#NUM!</v>
      </c>
      <c r="HT27" s="59" t="e">
        <f t="shared" si="32"/>
        <v>#NUM!</v>
      </c>
      <c r="HU27" s="59">
        <f ca="1">AVERAGE(OFFSET(HT$3,0,0,'Données projet'!$E$19+1,1))-AVERAGE(OFFSET($H$3,0,0,'Données projet'!$E$19+1,1))</f>
        <v>91.60721429656013</v>
      </c>
      <c r="HV27" s="59">
        <f t="shared" si="84"/>
        <v>258.94957804210856</v>
      </c>
      <c r="HW27" s="15">
        <f>IF(ISNA(VLOOKUP($A27,'Données projet'!$A$304:$I$324,3,0)),0,VLOOKUP($A27,'Données projet'!$A$304:$I$324,3,0))</f>
        <v>0</v>
      </c>
      <c r="HX27" s="15">
        <f>IF(ISNA(VLOOKUP($A27,'Données projet'!$A$304:$I$324,4,0)),0,VLOOKUP($A27,'Données projet'!$A$304:$I$324,4,0))</f>
        <v>0</v>
      </c>
      <c r="HY27" s="16">
        <f>IF(ISNA(VLOOKUP($A27,'Données projet'!$A$304:$I$324,5,0)),0%,VLOOKUP($A27,'Données projet'!$A$304:$I$324,5,0)*VLOOKUP('Données projet'!$B$19,Paramètres!$A$1:$I$89,7,0))</f>
        <v>0</v>
      </c>
      <c r="HZ27" s="16">
        <f>IF(ISNA(VLOOKUP($A27,'Données projet'!$A$304:$I$324,6,0)),0%,VLOOKUP($A27,'Données projet'!$A$304:$I$324,6,0)*VLOOKUP('Données projet'!$B$19,Paramètres!$A$1:$I$89,7,0))</f>
        <v>0</v>
      </c>
      <c r="IA27" s="16">
        <f>IF(ISNA(VLOOKUP($A27,'Données projet'!$A$304:$I$324,7,0)),0%,VLOOKUP($A27,'Données projet'!$A$304:$I$324,7,0))</f>
        <v>0</v>
      </c>
      <c r="IB27" s="21">
        <f>EXP(-LN(2)/35)*IB26+(1-EXP(-LN(2)/35))/(LN(2)/35)*HX27*HY27*VLOOKUP('Données projet'!$B$19,Paramètres!$A$1:$I$89,3,0)*0.475*44/12</f>
        <v>55.557164055884094</v>
      </c>
      <c r="IC27" s="21">
        <f>EXP(-LN(2)/25)*IC26+(1-EXP(-LN(2)/25))/(LN(2)/25)*Calculateur!HX27*Calculateur!HZ27*VLOOKUP('Données projet'!$B$19,Paramètres!$A$1:$I$89,3,0)*0.475*44/12</f>
        <v>11.488373816913482</v>
      </c>
      <c r="ID27" s="21">
        <f>EXP(-LN(2)/2)*ID26+(1-EXP(-LN(2)/2))/(LN(2)/2)*HX27*IA27*VLOOKUP('Données projet'!$B$19,Paramètres!$A$1:$I$89,3,0)*0.475*44/12</f>
        <v>4.5828184939518204</v>
      </c>
      <c r="IE27" s="22">
        <f t="shared" si="33"/>
        <v>71.628356366749401</v>
      </c>
      <c r="IF27" s="74">
        <f>('Scénario référence'!$F$8+'Scénario référence'!$F$9+'Scénario référence'!$B$17+'Scénario référence'!$B$9+'Scénario référence'!$B$10)*70+IF((45+25*(1-EXP(-0.0175*$A27)))&lt;70,'Scénario référence'!$B$16*(45+25*(1-EXP(-0.0175*$A27))),70*'Scénario référence'!$B$16)+IF((32+38*(1-EXP(-0.0175*$A27)))&lt;70,'Scénario référence'!$B$18*(32+38*(1-EXP(-0.0175*$A27))),70*'Scénario référence'!$B$18)</f>
        <v>70</v>
      </c>
      <c r="IG27" s="12">
        <f>IF($A27&gt;30,10,('Scénario référence'!$B$16+'Scénario référence'!$B$17+'Scénario référence'!$B$18+'Scénario référence'!$B$9+'Scénario référence'!$B$10)*$A27*10/30+('Scénario référence'!$F$8+'Scénario référence'!$F$9)*10)</f>
        <v>10</v>
      </c>
      <c r="IH27" s="12" t="e">
        <f>VLOOKUP($A27,'Données projet'!$A$330:$I$350,2,0)</f>
        <v>#N/A</v>
      </c>
      <c r="II27" s="12" t="e">
        <f>VLOOKUP($A27,'Données projet'!$A$330:$I$350,9,0)</f>
        <v>#N/A</v>
      </c>
      <c r="IJ27" s="12">
        <f t="array" ref="IJ27">INDEX(II:II,MIN(IF(ISNUMBER(II27:II223),ROW(II27:II223),"")))</f>
        <v>0</v>
      </c>
      <c r="IK27" s="12">
        <f>IF('Données projet'!$A$330&gt;35,IK26+IJ27-IS26,IF($A27&lt;'Données projet'!$A$330,$CQ$205^$A27,IF($A27='Données projet'!$A$330,'Données projet'!$B$330,IK26+IJ27-IS26)))</f>
        <v>0</v>
      </c>
      <c r="IL27" s="17">
        <f>IK27*VLOOKUP('Données projet'!$B$20,Paramètres!$A$1:$I$89,3,0)*VLOOKUP('Données projet'!$B$20,Paramètres!$A$1:$I$89,5,0)</f>
        <v>0</v>
      </c>
      <c r="IM27" s="13" t="e">
        <f t="shared" si="85"/>
        <v>#NUM!</v>
      </c>
      <c r="IN27" s="20" t="e">
        <f t="shared" si="86"/>
        <v>#NUM!</v>
      </c>
      <c r="IO27" s="59" t="e">
        <f t="shared" si="87"/>
        <v>#NUM!</v>
      </c>
      <c r="IP27" s="59">
        <f ca="1">AVERAGE(OFFSET(IO$3,0,0,'Données projet'!$E$20+1,1))-AVERAGE(OFFSET($H$3,0,0,'Données projet'!$E$20+1,1))</f>
        <v>91.60721429656013</v>
      </c>
      <c r="IQ27" s="59">
        <f t="shared" si="88"/>
        <v>258.94957804210856</v>
      </c>
      <c r="IR27" s="15">
        <f>IF(ISNA(VLOOKUP($A27,'Données projet'!$A$330:$I$350,3,0)),0,VLOOKUP($A27,'Données projet'!$A$330:$I$350,3,0))</f>
        <v>0</v>
      </c>
      <c r="IS27" s="15">
        <f>IF(ISNA(VLOOKUP($A27,'Données projet'!$A$330:$I$350,4,0)),0,VLOOKUP($A27,'Données projet'!$A$330:$I$350,4,0))</f>
        <v>0</v>
      </c>
      <c r="IT27" s="16">
        <f>IF(ISNA(VLOOKUP($A27,'Données projet'!$A$330:$I$350,5,0)),0%,VLOOKUP($A27,'Données projet'!$A$330:$I$350,5,0)*VLOOKUP('Données projet'!$B$20,Paramètres!$A$1:$I$89,7,0))</f>
        <v>0</v>
      </c>
      <c r="IU27" s="16">
        <f>IF(ISNA(VLOOKUP($A27,'Données projet'!$A$330:$I$350,6,0)),0%,VLOOKUP($A27,'Données projet'!$A$330:$I$350,6,0)*VLOOKUP('Données projet'!$B$20,Paramètres!$A$1:$I$89,7,0))</f>
        <v>0</v>
      </c>
      <c r="IV27" s="16">
        <f>IF(ISNA(VLOOKUP($A27,'Données projet'!$A$330:$I$350,7,0)),0%,VLOOKUP($A27,'Données projet'!$A$330:$I$350,7,0))</f>
        <v>0</v>
      </c>
      <c r="IW27" s="21">
        <f>EXP(-LN(2)/35)*IW26+(1-EXP(-LN(2)/35))/(LN(2)/35)*IS27*IT27*VLOOKUP('Données projet'!$B$20,Paramètres!$A$1:$I$89,3,0)*0.475*44/12</f>
        <v>55.557164055884094</v>
      </c>
      <c r="IX27" s="21">
        <f>EXP(-LN(2)/25)*IX26+(1-EXP(-LN(2)/25))/(LN(2)/25)*Calculateur!IS27*Calculateur!IU27*VLOOKUP('Données projet'!$B$20,Paramètres!$A$1:$I$89,3,0)*0.475*44/12</f>
        <v>11.488373816913482</v>
      </c>
      <c r="IY27" s="21">
        <f>EXP(-LN(2)/2)*IY26+(1-EXP(-LN(2)/2))/(LN(2)/2)*IS27*IV27*VLOOKUP('Données projet'!$B$20,Paramètres!$A$1:$I$89,3,0)*0.475*44/12</f>
        <v>4.5828184939518204</v>
      </c>
      <c r="IZ27" s="22">
        <f t="shared" si="89"/>
        <v>71.628356366749401</v>
      </c>
      <c r="JA27" s="74">
        <f>('Scénario référence'!$F$8+'Scénario référence'!$F$9+'Scénario référence'!$B$17+'Scénario référence'!$B$9+'Scénario référence'!$B$10)*70+IF((45+25*(1-EXP(-0.0175*$A27)))&lt;70,'Scénario référence'!$B$16*(45+25*(1-EXP(-0.0175*$A27))),70*'Scénario référence'!$B$16)+IF((32+38*(1-EXP(-0.0175*$A27)))&lt;70,'Scénario référence'!$B$18*(32+38*(1-EXP(-0.0175*$A27))),70*'Scénario référence'!$B$18)</f>
        <v>70</v>
      </c>
      <c r="JB27" s="12">
        <f>IF($A27&gt;30,10,('Scénario référence'!$B$16+'Scénario référence'!$B$17+'Scénario référence'!$B$18+'Scénario référence'!$B$9+'Scénario référence'!$B$10)*$A27*10/30+('Scénario référence'!$F$8+'Scénario référence'!$F$9)*10)</f>
        <v>10</v>
      </c>
      <c r="JC27" s="12" t="e">
        <f>VLOOKUP($A27,'Données projet'!$A$356:$I$376,2,0)</f>
        <v>#N/A</v>
      </c>
      <c r="JD27" s="12" t="e">
        <f>VLOOKUP($A27,'Données projet'!$A$356:$I$376,9,0)</f>
        <v>#N/A</v>
      </c>
      <c r="JE27" s="12">
        <f t="array" ref="JE27">INDEX(JD:JD,MIN(IF(ISNUMBER(JD27:JD223),ROW(JD27:JD223),"")))</f>
        <v>3.04</v>
      </c>
      <c r="JF27" s="12">
        <f>IF('Données projet'!$A$356&gt;35,JF26+JE27-JN26,IF($A27&lt;'Données projet'!$A$356,$CQ$205^$A27,IF($A27='Données projet'!$A$356,'Données projet'!$B$356,JF26+JE27-JN26)))</f>
        <v>72.960000000000008</v>
      </c>
      <c r="JG27" s="17">
        <f>JF27*VLOOKUP('Données projet'!$B$21,Paramètres!$A$1:$I$89,3,0)*VLOOKUP('Données projet'!$B$21,Paramètres!$A$1:$I$89,5,0)</f>
        <v>59.185152000000009</v>
      </c>
      <c r="JH27" s="13">
        <f t="shared" si="90"/>
        <v>16.962086205266914</v>
      </c>
      <c r="JI27" s="20">
        <f t="shared" si="91"/>
        <v>132.62310654083987</v>
      </c>
      <c r="JJ27" s="59">
        <f t="shared" si="92"/>
        <v>425.95643987417316</v>
      </c>
      <c r="JK27" s="59">
        <f ca="1">AVERAGE(OFFSET($JJ$3,0,0,'Données projet'!$E$22+1,1))-AVERAGE(OFFSET($H$3,0,0,'Données projet'!$E$22+1,1))</f>
        <v>353.35574633294613</v>
      </c>
      <c r="JL27" s="59">
        <f t="shared" si="93"/>
        <v>170.36796666474726</v>
      </c>
      <c r="JM27" s="15">
        <f>IF(ISNA(VLOOKUP($A27,'Données projet'!$A$356:$I$376,3,0)),0,VLOOKUP($A27,'Données projet'!$A$356:$I$376,3,0))</f>
        <v>0</v>
      </c>
      <c r="JN27" s="15">
        <f>IF(ISNA(VLOOKUP($A27,'Données projet'!$A$356:$I$376,4,0)),0,VLOOKUP($A27,'Données projet'!$A$356:$I$376,4,0))</f>
        <v>0</v>
      </c>
      <c r="JO27" s="16">
        <f>IF(ISNA(VLOOKUP($A27,'Données projet'!$A$356:$I$376,5,0)),0%,VLOOKUP($A27,'Données projet'!$A$356:$I$376,5,0)*VLOOKUP('Données projet'!$B$21,Paramètres!$A$1:$I$89,7,0))</f>
        <v>0</v>
      </c>
      <c r="JP27" s="16">
        <f>IF(ISNA(VLOOKUP($A27,'Données projet'!$A$356:$I$376,6,0)),0%,VLOOKUP($A27,'Données projet'!$A$356:$I$376,6,0)*VLOOKUP('Données projet'!$B$21,Paramètres!$A$1:$I$89,7,0))</f>
        <v>0</v>
      </c>
      <c r="JQ27" s="16">
        <f>IF(ISNA(VLOOKUP($A27,'Données projet'!$A$356:$I$376,7,0)),0%,VLOOKUP($A27,'Données projet'!$A$356:$I$376,7,0))</f>
        <v>0</v>
      </c>
      <c r="JR27" s="21">
        <f>EXP(-LN(2)/35)*JR26+(1-EXP(-LN(2)/35))/(LN(2)/35)*JN27*JO27*VLOOKUP('Données projet'!$B$21,Paramètres!$A$1:$I$89,3,0)*0.475*44/12</f>
        <v>0</v>
      </c>
      <c r="JS27" s="21">
        <f>EXP(-LN(2)/25)*JS26+(1-EXP(-LN(2)/25))/(LN(2)/25)*Calculateur!JN27*Calculateur!JP27*VLOOKUP('Données projet'!$B$21,Paramètres!$A$1:$I$89,3,0)*0.475*44/12</f>
        <v>0</v>
      </c>
      <c r="JT27" s="21">
        <f>EXP(-LN(2)/2)*JT26+(1-EXP(-LN(2)/2))/(LN(2)/2)*JN27*JQ27*VLOOKUP('Données projet'!$B$21,Paramètres!$A$1:$I$89,3,0)*0.475*44/12</f>
        <v>0</v>
      </c>
      <c r="JU27" s="18">
        <f t="shared" si="39"/>
        <v>0</v>
      </c>
      <c r="JV27" s="74">
        <f>('Scénario référence'!$F$8+'Scénario référence'!$F$9+'Scénario référence'!$B$17+'Scénario référence'!$B$9+'Scénario référence'!$B$10)*70+IF((45+25*(1-EXP(-0.0175*$A27)))&lt;70,'Scénario référence'!$B$16*(45+25*(1-EXP(-0.0175*$A27))),70*'Scénario référence'!$B$16)+IF((32+38*(1-EXP(-0.0175*$A27)))&lt;70,'Scénario référence'!$B$18*(32+38*(1-EXP(-0.0175*$A27))),70*'Scénario référence'!$B$18)</f>
        <v>70</v>
      </c>
      <c r="JW27" s="12">
        <f>IF($A27&gt;30,10,('Scénario référence'!$B$16+'Scénario référence'!$B$17+'Scénario référence'!$B$18+'Scénario référence'!$B$9+'Scénario référence'!$B$10)*$A27*10/30+('Scénario référence'!$F$8+'Scénario référence'!$F$9)*10)</f>
        <v>10</v>
      </c>
      <c r="JX27" s="12" t="e">
        <f>VLOOKUP($A27,'Données projet'!$A$382:$I$402,2,0)</f>
        <v>#N/A</v>
      </c>
      <c r="JY27" s="12" t="e">
        <f>VLOOKUP($A27,'Données projet'!$A$382:$I$402,9,0)</f>
        <v>#N/A</v>
      </c>
      <c r="JZ27" s="12">
        <f t="array" ref="JZ27">INDEX(JY:JY,MIN(IF(ISNUMBER(JY27:JY223),ROW(JY27:JY223),"")))</f>
        <v>4.0628205128205126</v>
      </c>
      <c r="KA27" s="12">
        <f>IF('Données projet'!$A$382&gt;35,KA26+JZ27-KI26,IF($A27&lt;'Données projet'!$A$382,$CQ$205^$A27,IF($A27='Données projet'!$A$382,'Données projet'!$B$382,KA26+JZ27-KI26)))</f>
        <v>97.507692307692281</v>
      </c>
      <c r="KB27" s="17">
        <f>KA27*VLOOKUP('Données projet'!$B$22,Paramètres!$A$1:$I$89,3,0)*VLOOKUP('Données projet'!$B$22,Paramètres!$A$1:$I$89,5,0)</f>
        <v>65.408159999999995</v>
      </c>
      <c r="KC27" s="13">
        <f t="shared" si="94"/>
        <v>18.528678260419298</v>
      </c>
      <c r="KD27" s="20">
        <f t="shared" si="95"/>
        <v>146.18999330356357</v>
      </c>
      <c r="KE27" s="59">
        <f t="shared" si="96"/>
        <v>439.52332663689685</v>
      </c>
      <c r="KF27" s="59">
        <f ca="1">AVERAGE(OFFSET($KE$3,0,0,'Données projet'!$E$22+1,1))-AVERAGE(OFFSET($H$3,0,0,'Données projet'!$E$22+1,1))</f>
        <v>193.91714772848269</v>
      </c>
      <c r="KG27" s="59">
        <f t="shared" si="97"/>
        <v>159.20429420478047</v>
      </c>
      <c r="KH27" s="15">
        <f>IF(ISNA(VLOOKUP($A27,'Données projet'!$A$382:$I$402,3,0)),0,VLOOKUP($A27,'Données projet'!$A$382:$I$402,3,0))</f>
        <v>0</v>
      </c>
      <c r="KI27" s="15">
        <f>IF(ISNA(VLOOKUP($A27,'Données projet'!$A$382:$I$402,4,0)),0,VLOOKUP($A27,'Données projet'!$A$382:$I$402,4,0))</f>
        <v>0</v>
      </c>
      <c r="KJ27" s="16">
        <f>IF(ISNA(VLOOKUP($A27,'Données projet'!$A$382:$I$402,5,0)),0%,VLOOKUP($A27,'Données projet'!$A$382:$I$402,5,0)*VLOOKUP('Données projet'!$B$22,Paramètres!$A$1:$I$89,7,0))</f>
        <v>0</v>
      </c>
      <c r="KK27" s="16">
        <f>IF(ISNA(VLOOKUP($A27,'Données projet'!$A$382:$I$402,6,0)),0%,VLOOKUP($A27,'Données projet'!$A$382:$I$402,6,0)*VLOOKUP('Données projet'!$B$22,Paramètres!$A$1:$I$89,7,0))</f>
        <v>0</v>
      </c>
      <c r="KL27" s="16">
        <f>IF(ISNA(VLOOKUP($A27,'Données projet'!$A$382:$I$402,7,0)),0%,VLOOKUP($A27,'Données projet'!$A$382:$I$402,7,0))</f>
        <v>0</v>
      </c>
      <c r="KM27" s="21">
        <f>EXP(-LN(2)/35)*KM26+(1-EXP(-LN(2)/35))/(LN(2)/35)*KI27*KJ27*VLOOKUP('Données projet'!$B$22,Paramètres!$A$1:$I$89,3,0)*0.475*44/12</f>
        <v>0</v>
      </c>
      <c r="KN27" s="21">
        <f>EXP(-LN(2)/25)*KN26+(1-EXP(-LN(2)/25))/(LN(2)/25)*Calculateur!KI27*Calculateur!KK27*VLOOKUP('Données projet'!$B$22,Paramètres!$A$1:$I$89,3,0)*0.475*44/12</f>
        <v>0</v>
      </c>
      <c r="KO27" s="21">
        <f>EXP(-LN(2)/2)*KO26+(1-EXP(-LN(2)/2))/(LN(2)/2)*KI27*KL27*VLOOKUP('Données projet'!$B$22,Paramètres!$A$1:$I$89,3,0)*0.475*44/12</f>
        <v>0</v>
      </c>
      <c r="KP27" s="22">
        <f t="shared" si="98"/>
        <v>0</v>
      </c>
      <c r="KQ27" s="74">
        <f>('Scénario référence'!$F$8+'Scénario référence'!$F$9+'Scénario référence'!$B$17+'Scénario référence'!$B$9+'Scénario référence'!$B$10)*70+IF((45+25*(1-EXP(-0.0175*$A27)))&lt;70,'Scénario référence'!$B$16*(45+25*(1-EXP(-0.0175*$A27))),70*'Scénario référence'!$B$16)+IF((32+38*(1-EXP(-0.0175*$A27)))&lt;70,'Scénario référence'!$B$18*(32+38*(1-EXP(-0.0175*$A27))),70*'Scénario référence'!$B$18)</f>
        <v>70</v>
      </c>
      <c r="KR27" s="12">
        <f>IF($A27&gt;30,10,('Scénario référence'!$B$16+'Scénario référence'!$B$17+'Scénario référence'!$B$18+'Scénario référence'!$B$9+'Scénario référence'!$B$10)*$A27*10/30+('Scénario référence'!$F$8+'Scénario référence'!$F$9)*10)</f>
        <v>10</v>
      </c>
      <c r="KS27" s="12" t="e">
        <f>VLOOKUP($A27,'Données projet'!$A$408:$I$428,2,0)</f>
        <v>#N/A</v>
      </c>
      <c r="KT27" s="12" t="e">
        <f>VLOOKUP($A27,'Données projet'!$A$408:$I$428,9,0)</f>
        <v>#N/A</v>
      </c>
      <c r="KU27" s="12">
        <f t="array" ref="KU27">INDEX(KT:KT,MIN(IF(ISNUMBER(KT27:KT223),ROW(KT27:KT223),"")))</f>
        <v>12.6</v>
      </c>
      <c r="KV27" s="12">
        <f>IF('Données projet'!$A$408&gt;35,KV26+KU27-LD26,IF($A27&lt;'Données projet'!$A$408,$CQ$205^$A27,IF($A27='Données projet'!$A$408,'Données projet'!$B$408,KV26+KU27-LD26)))</f>
        <v>102.39999999999999</v>
      </c>
      <c r="KW27" s="17">
        <f>KV27*VLOOKUP('Données projet'!$B$23,Paramètres!$A$1:$I$89,3,0)*VLOOKUP('Données projet'!$B$23,Paramètres!$A$1:$I$89,5,0)</f>
        <v>89.456640000000007</v>
      </c>
      <c r="KX27" s="13">
        <f t="shared" si="99"/>
        <v>24.434133496437113</v>
      </c>
      <c r="KY27" s="14">
        <f t="shared" si="43"/>
        <v>198.35976383962796</v>
      </c>
      <c r="KZ27" s="59">
        <f t="shared" si="44"/>
        <v>491.6930971729613</v>
      </c>
      <c r="LA27" s="59">
        <f ca="1">AVERAGE(OFFSET($KZ$3,0,0,'Données projet'!$E$23+1,1))-AVERAGE(OFFSET($H$3,0,0,'Données projet'!$E$23+1,1))</f>
        <v>248.33596943633819</v>
      </c>
      <c r="LB27" s="59">
        <f t="shared" si="100"/>
        <v>242.34010522344573</v>
      </c>
      <c r="LC27" s="15">
        <f>IF(ISNA(VLOOKUP($A27,'Données projet'!$A$408:$I$428,3,0)),0,VLOOKUP($A27,'Données projet'!$A$408:$I$428,3,0))</f>
        <v>0</v>
      </c>
      <c r="LD27" s="15">
        <f>IF(ISNA(VLOOKUP($A27,'Données projet'!$A$408:$I$428,4,0)),0,VLOOKUP($A27,'Données projet'!$A$408:$I$428,4,0))</f>
        <v>0</v>
      </c>
      <c r="LE27" s="16">
        <f>IF(ISNA(VLOOKUP($A27,'Données projet'!$A$408:$I$428,5,0)),0%,VLOOKUP($A27,'Données projet'!$A$408:$I$428,5,0)*VLOOKUP('Données projet'!$B$23,Paramètres!$A$1:$I$89,7,0))</f>
        <v>0</v>
      </c>
      <c r="LF27" s="16">
        <f>IF(ISNA(VLOOKUP($A27,'Données projet'!$A$408:$I$428,6,0)),0%,VLOOKUP($A27,'Données projet'!$A$408:$I$428,6,0)*VLOOKUP('Données projet'!$B$23,Paramètres!$A$1:$I$89,7,0))</f>
        <v>0</v>
      </c>
      <c r="LG27" s="16">
        <f>IF(ISNA(VLOOKUP($A27,'Données projet'!$A$408:$I$428,7,0)),0%,VLOOKUP($A27,'Données projet'!$A$408:$I$428,7,0))</f>
        <v>0</v>
      </c>
      <c r="LH27" s="21">
        <f>EXP(-LN(2)/35)*LH26+(1-EXP(-LN(2)/35))/(LN(2)/35)*LD27*LE27*VLOOKUP('Données projet'!$B$23,Paramètres!$A$1:$I$89,3,0)*0.475*44/12</f>
        <v>0</v>
      </c>
      <c r="LI27" s="21">
        <f>EXP(-LN(2)/25)*LI26+(1-EXP(-LN(2)/25))/(LN(2)/25)*Calculateur!LD27*Calculateur!LF27*VLOOKUP('Données projet'!$B$23,Paramètres!$A$1:$I$89,3,0)*0.475*44/12</f>
        <v>0</v>
      </c>
      <c r="LJ27" s="21">
        <f>EXP(-LN(2)/2)*LJ26+(1-EXP(-LN(2)/2))/(LN(2)/2)*LD27*LG27*VLOOKUP('Données projet'!$B$23,Paramètres!$A$1:$I$89,3,0)*0.475*44/12</f>
        <v>0</v>
      </c>
      <c r="LK27" s="22">
        <f t="shared" si="101"/>
        <v>0</v>
      </c>
      <c r="LL27" s="74">
        <f>('Scénario référence'!$F$8+'Scénario référence'!$F$9+'Scénario référence'!$B$17+'Scénario référence'!$B$9+'Scénario référence'!$B$10)*70+IF((45+25*(1-EXP(-0.0175*$A27)))&lt;70,'Scénario référence'!$B$16*(45+25*(1-EXP(-0.0175*$A27))),70*'Scénario référence'!$B$16)+IF((32+38*(1-EXP(-0.0175*$A27)))&lt;70,'Scénario référence'!$B$18*(32+38*(1-EXP(-0.0175*$A27))),70*'Scénario référence'!$B$18)</f>
        <v>70</v>
      </c>
      <c r="LM27" s="12">
        <f>IF($A27&gt;30,10,('Scénario référence'!$B$16+'Scénario référence'!$B$17+'Scénario référence'!$B$18+'Scénario référence'!$B$9+'Scénario référence'!$B$10)*$A27*10/30+('Scénario référence'!$F$8+'Scénario référence'!$F$9)*10)</f>
        <v>10</v>
      </c>
      <c r="LN27" s="12" t="e">
        <f>VLOOKUP($A27,'Données projet'!$A$434:$I$454,2,0)</f>
        <v>#N/A</v>
      </c>
      <c r="LO27" s="12" t="e">
        <f>VLOOKUP($A27,'Données projet'!$A$434:$I$454,9,0)</f>
        <v>#N/A</v>
      </c>
      <c r="LP27" s="12">
        <f t="array" ref="LP27">INDEX(LO:LO,MIN(IF(ISNUMBER(LO27:LO223),ROW(LO27:LO223),"")))</f>
        <v>2.9235042735042733</v>
      </c>
      <c r="LQ27" s="12">
        <f>IF('Données projet'!$A$434&gt;35,LQ26+LP27-LY26,IF($A27&lt;'Données projet'!$A$434,$CQ$205^$A27,IF($A27='Données projet'!$A$434,'Données projet'!$B$434,LQ26+LP27-LY26)))</f>
        <v>70.164102564102549</v>
      </c>
      <c r="LR27" s="17">
        <f>LQ27*VLOOKUP('Données projet'!$B$24,Paramètres!$A$1:$I$89,3,0)*VLOOKUP('Données projet'!$B$24,Paramètres!$A$1:$I$89,5,0)</f>
        <v>71.1464</v>
      </c>
      <c r="LS27" s="13">
        <f t="shared" si="102"/>
        <v>19.957879381522289</v>
      </c>
      <c r="LT27" s="14">
        <f t="shared" si="46"/>
        <v>158.67328658948463</v>
      </c>
      <c r="LU27" s="59">
        <f t="shared" si="103"/>
        <v>452.00661992281795</v>
      </c>
      <c r="LV27" s="59">
        <f ca="1">AVERAGE(OFFSET($LU$3,0,0,'Données projet'!$E$24+1,1))-AVERAGE(OFFSET($H$3,0,0,'Données projet'!$E$24+1,1))</f>
        <v>260.52627655062872</v>
      </c>
      <c r="LW27" s="59">
        <f t="shared" si="104"/>
        <v>159.20429420478047</v>
      </c>
      <c r="LX27" s="15">
        <f>IF(ISNA(VLOOKUP($A27,'Données projet'!$A$434:$I$454,3,0)),0,VLOOKUP($A27,'Données projet'!$A$434:$I$454,3,0))</f>
        <v>0</v>
      </c>
      <c r="LY27" s="15">
        <f>IF(ISNA(VLOOKUP($A27,'Données projet'!$A$434:$I$454,4,0)),0,VLOOKUP($A27,'Données projet'!$A$434:$I$454,4,0))</f>
        <v>0</v>
      </c>
      <c r="LZ27" s="16">
        <f>IF(ISNA(VLOOKUP($A27,'Données projet'!$A$434:$I$454,5,0)),0%,VLOOKUP($A27,'Données projet'!$A$434:$I$454,5,0)*VLOOKUP('Données projet'!$B$24,Paramètres!$A$1:$I$89,7,0))</f>
        <v>0</v>
      </c>
      <c r="MA27" s="16">
        <f>IF(ISNA(VLOOKUP($A27,'Données projet'!$A$434:$I$454,6,0)),0%,VLOOKUP($A27,'Données projet'!$A$434:$I$454,6,0)*VLOOKUP('Données projet'!$B$24,Paramètres!$A$1:$I$89,7,0))</f>
        <v>0</v>
      </c>
      <c r="MB27" s="16">
        <f>IF(ISNA(VLOOKUP($A27,'Données projet'!$A$434:$I$454,7,0)),0%,VLOOKUP($A27,'Données projet'!$A$434:$I$454,7,0))</f>
        <v>0</v>
      </c>
      <c r="MC27" s="21">
        <f>EXP(-LN(2)/35)*MC26+(1-EXP(-LN(2)/35))/(LN(2)/35)*LY27*LZ27*VLOOKUP('Données projet'!$B$24,Paramètres!$A$1:$I$89,3,0)*0.475*44/12</f>
        <v>0</v>
      </c>
      <c r="MD27" s="21">
        <f>EXP(-LN(2)/25)*MD26+(1-EXP(-LN(2)/25))/(LN(2)/25)*Calculateur!LY27*Calculateur!MA27*VLOOKUP('Données projet'!$B$24,Paramètres!$A$1:$I$89,3,0)*0.475*44/12</f>
        <v>0</v>
      </c>
      <c r="ME27" s="21">
        <f>EXP(-LN(2)/2)*ME26+(1-EXP(-LN(2)/2))/(LN(2)/2)*LY27*MB27*VLOOKUP('Données projet'!$B$24,Paramètres!$A$1:$I$89,3,0)*0.475*44/12</f>
        <v>0</v>
      </c>
      <c r="MF27" s="22">
        <f t="shared" si="105"/>
        <v>0</v>
      </c>
      <c r="MG27" s="74">
        <f>('Scénario référence'!$F$8+'Scénario référence'!$F$9+'Scénario référence'!$B$17+'Scénario référence'!$B$9+'Scénario référence'!$B$10)*70+IF((45+25*(1-EXP(-0.0175*$A27)))&lt;70,'Scénario référence'!$B$16*(45+25*(1-EXP(-0.0175*$A27))),70*'Scénario référence'!$B$16)+IF((32+38*(1-EXP(-0.0175*$A27)))&lt;70,'Scénario référence'!$B$18*(32+38*(1-EXP(-0.0175*$A27))),70*'Scénario référence'!$B$18)</f>
        <v>70</v>
      </c>
      <c r="MH27" s="12">
        <f>IF($A27&gt;30,10,('Scénario référence'!$B$16+'Scénario référence'!$B$17+'Scénario référence'!$B$18+'Scénario référence'!$B$9+'Scénario référence'!$B$10)*$A27*10/30+('Scénario référence'!$F$8+'Scénario référence'!$F$9)*10)</f>
        <v>10</v>
      </c>
      <c r="MI27" s="12" t="e">
        <f>VLOOKUP($A27,'Données projet'!$A$460:$I$480,2,0)</f>
        <v>#N/A</v>
      </c>
      <c r="MJ27" s="12" t="e">
        <f>VLOOKUP($A27,'Données projet'!$A$460:$I$480,9,0)</f>
        <v>#N/A</v>
      </c>
      <c r="MK27" s="12">
        <f t="array" ref="MK27">INDEX(MJ:MJ,MIN(IF(ISNUMBER(MJ27:MJ223),ROW(MJ27:MJ223),"")))</f>
        <v>0</v>
      </c>
      <c r="ML27" s="12">
        <f>IF('Données projet'!$A$460&gt;35,ML26+MK27-MT26,IF($A27&lt;'Données projet'!$A$460,$CQ$205^$A27,IF($A27='Données projet'!$A$460,'Données projet'!$B$460,ML26+MK27-MT26)))</f>
        <v>0</v>
      </c>
      <c r="MM27" s="17" t="e">
        <f>ML27*VLOOKUP('Données projet'!$B$25,Paramètres!$A$1:$I$89,3,0)*VLOOKUP('Données projet'!$B$25,Paramètres!$A$1:$I$89,5,0)</f>
        <v>#N/A</v>
      </c>
      <c r="MN27" s="13" t="e">
        <f t="shared" si="106"/>
        <v>#N/A</v>
      </c>
      <c r="MO27" s="14" t="e">
        <f t="shared" si="49"/>
        <v>#N/A</v>
      </c>
      <c r="MP27" s="59" t="e">
        <f t="shared" si="50"/>
        <v>#N/A</v>
      </c>
      <c r="MQ27" s="20" t="e">
        <f ca="1">AVERAGE(OFFSET($MP$3,0,0,'Données projet'!$E$25+1,1))-AVERAGE(OFFSET($H$3,0,0,'Données projet'!$E$25+1,1))</f>
        <v>#N/A</v>
      </c>
      <c r="MR27" s="59" t="e">
        <f t="shared" si="107"/>
        <v>#N/A</v>
      </c>
      <c r="MS27" s="15">
        <f>IF(ISNA(VLOOKUP($A27,'Données projet'!$A$460:$I$480,3,0)),0,VLOOKUP($A27,'Données projet'!$A$460:$I$480,3,0))</f>
        <v>0</v>
      </c>
      <c r="MT27" s="15">
        <f>IF(ISNA(VLOOKUP($A27,'Données projet'!$A$460:$I$480,4,0)),0,VLOOKUP($A27,'Données projet'!$A$460:$I$480,4,0))</f>
        <v>0</v>
      </c>
      <c r="MU27" s="16">
        <f>IF(ISNA(VLOOKUP($A27,'Données projet'!$A$460:$I$480,5,0)),0%,VLOOKUP($A27,'Données projet'!$A$460:$I$480,5,0)*VLOOKUP('Données projet'!$B$25,Paramètres!$A$1:$I$89,7,0))</f>
        <v>0</v>
      </c>
      <c r="MV27" s="16">
        <f>IF(ISNA(VLOOKUP($A27,'Données projet'!$A$460:$I$480,6,0)),0%,VLOOKUP($A27,'Données projet'!$A$460:$I$480,6,0)*VLOOKUP('Données projet'!$B$25,Paramètres!$A$1:$I$89,7,0))</f>
        <v>0</v>
      </c>
      <c r="MW27" s="16">
        <f>IF(ISNA(VLOOKUP($A27,'Données projet'!$A$460:$I$480,7,0)),0%,VLOOKUP($A27,'Données projet'!$A$460:$I$480,7,0))</f>
        <v>0</v>
      </c>
      <c r="MX27" s="21" t="e">
        <f>EXP(-LN(2)/35)*MX26+(1-EXP(-LN(2)/35))/(LN(2)/35)*MT27*MU27*VLOOKUP('Données projet'!$B$25,Paramètres!$A$1:$I$89,3,0)*0.475*44/12</f>
        <v>#N/A</v>
      </c>
      <c r="MY27" s="21" t="e">
        <f>EXP(-LN(2)/25)*MY26+(1-EXP(-LN(2)/25))/(LN(2)/25)*Calculateur!MT27*Calculateur!MV27*VLOOKUP('Données projet'!$B$25,Paramètres!$A$1:$I$89,3,0)*0.475*44/12</f>
        <v>#N/A</v>
      </c>
      <c r="MZ27" s="21" t="e">
        <f>EXP(-LN(2)/2)*MZ26+(1-EXP(-LN(2)/2))/(LN(2)/2)*MT27*MW27*VLOOKUP('Données projet'!$B$25,Paramètres!$A$1:$I$89,3,0)*0.475*44/12</f>
        <v>#N/A</v>
      </c>
      <c r="NA27" s="22" t="e">
        <f t="shared" si="108"/>
        <v>#N/A</v>
      </c>
      <c r="NB27" s="74">
        <f>('Scénario référence'!$F$8+'Scénario référence'!$F$9+'Scénario référence'!$B$17+'Scénario référence'!$B$9+'Scénario référence'!$B$10)*70+IF((45+25*(1-EXP(-0.0175*$A27)))&lt;70,'Scénario référence'!$B$16*(45+25*(1-EXP(-0.0175*$A27))),70*'Scénario référence'!$B$16)+IF((32+38*(1-EXP(-0.0175*$A27)))&lt;70,'Scénario référence'!$B$18*(32+38*(1-EXP(-0.0175*$A27))),70*'Scénario référence'!$B$18)</f>
        <v>70</v>
      </c>
      <c r="NC27" s="12">
        <f>IF($A27&gt;30,10,('Scénario référence'!$B$16+'Scénario référence'!$B$17+'Scénario référence'!$B$18+'Scénario référence'!$B$9+'Scénario référence'!$B$10)*$A27*10/30+('Scénario référence'!$F$8+'Scénario référence'!$F$9)*10)</f>
        <v>10</v>
      </c>
      <c r="ND27" s="12" t="e">
        <f>VLOOKUP($A27,'Données projet'!$A$486:$I$506,2,0)</f>
        <v>#N/A</v>
      </c>
      <c r="NE27" s="12" t="e">
        <f>VLOOKUP($A27,'Données projet'!$A$486:$I$506,9,0)</f>
        <v>#N/A</v>
      </c>
      <c r="NF27" s="12">
        <f t="array" ref="NF27">INDEX(NE:NE,MIN(IF(ISNUMBER(NE27:NE223),ROW(NE27:NE223),"")))</f>
        <v>0</v>
      </c>
      <c r="NG27" s="12">
        <f>IF('Données projet'!$A$486&gt;35,NG26+NF27-NO26,IF($A27&lt;'Données projet'!$A$486,$CQ$205^$A27,IF($A27='Données projet'!$A$486,'Données projet'!$B$486,NG26+NF27-NO26)))</f>
        <v>0</v>
      </c>
      <c r="NH27" s="17" t="e">
        <f>NG27*VLOOKUP('Données projet'!$B$26,Paramètres!$A$1:$I$89,3,0)*VLOOKUP('Données projet'!$B$26,Paramètres!$A$1:$I$89,5,0)</f>
        <v>#N/A</v>
      </c>
      <c r="NI27" s="13" t="e">
        <f t="shared" si="109"/>
        <v>#N/A</v>
      </c>
      <c r="NJ27" s="14" t="e">
        <f t="shared" si="52"/>
        <v>#N/A</v>
      </c>
      <c r="NK27" s="59" t="e">
        <f t="shared" si="53"/>
        <v>#N/A</v>
      </c>
      <c r="NL27" s="20" t="e">
        <f ca="1">AVERAGE(OFFSET($NK$3,0,0,'Données projet'!$E$26+1,1))-AVERAGE(OFFSET($H$3,0,0,'Données projet'!$E$26+1,1))</f>
        <v>#N/A</v>
      </c>
      <c r="NM27" s="59" t="e">
        <f t="shared" si="110"/>
        <v>#N/A</v>
      </c>
      <c r="NN27" s="15">
        <f>IF(ISNA(VLOOKUP($A27,'Données projet'!$A$486:$I$506,3,0)),0,VLOOKUP($A27,'Données projet'!$A$486:$I$506,3,0))</f>
        <v>0</v>
      </c>
      <c r="NO27" s="15">
        <f>IF(ISNA(VLOOKUP($A27,'Données projet'!$A$486:$I$506,4,0)),0,VLOOKUP($A27,'Données projet'!$A$486:$I$506,4,0))</f>
        <v>0</v>
      </c>
      <c r="NP27" s="16">
        <f>IF(ISNA(VLOOKUP($A27,'Données projet'!$A$486:$I$506,5,0)),0%,VLOOKUP($A27,'Données projet'!$A$486:$I$506,5,0)*VLOOKUP('Données projet'!$B$26,Paramètres!$A$1:$I$89,7,0))</f>
        <v>0</v>
      </c>
      <c r="NQ27" s="16">
        <f>IF(ISNA(VLOOKUP($A27,'Données projet'!$A$486:$I$506,6,0)),0%,VLOOKUP($A27,'Données projet'!$A$486:$I$506,6,0)*VLOOKUP('Données projet'!$B$26,Paramètres!$A$1:$I$89,7,0))</f>
        <v>0</v>
      </c>
      <c r="NR27" s="16">
        <f>IF(ISNA(VLOOKUP($A27,'Données projet'!$A$486:$I$506,7,0)),0%,VLOOKUP($A27,'Données projet'!$A$486:$I$506,7,0))</f>
        <v>0</v>
      </c>
      <c r="NS27" s="21" t="e">
        <f>EXP(-LN(2)/35)*NS26+(1-EXP(-LN(2)/35))/(LN(2)/35)*NO27*NP27*VLOOKUP('Données projet'!$B$26,Paramètres!$A$1:$I$89,3,0)*0.475*44/12</f>
        <v>#N/A</v>
      </c>
      <c r="NT27" s="21" t="e">
        <f>EXP(-LN(2)/25)*NT26+(1-EXP(-LN(2)/25))/(LN(2)/25)*Calculateur!NO27*Calculateur!NQ27*VLOOKUP('Données projet'!$B$26,Paramètres!$A$1:$I$89,3,0)*0.475*44/12</f>
        <v>#N/A</v>
      </c>
      <c r="NU27" s="21" t="e">
        <f>EXP(-LN(2)/2)*NU26+(1-EXP(-LN(2)/2))/(LN(2)/2)*NO27*NR27*VLOOKUP('Données projet'!$B$26,Paramètres!$A$1:$I$89,3,0)*0.475*44/12</f>
        <v>#N/A</v>
      </c>
      <c r="NV27" s="22" t="e">
        <f t="shared" si="111"/>
        <v>#N/A</v>
      </c>
      <c r="NW27" s="74">
        <f>('Scénario référence'!$F$8+'Scénario référence'!$F$9+'Scénario référence'!$B$17+'Scénario référence'!$B$9+'Scénario référence'!$B$10)*70+IF((45+25*(1-EXP(-0.0175*$A27)))&lt;70,'Scénario référence'!$B$16*(45+25*(1-EXP(-0.0175*$A27))),70*'Scénario référence'!$B$16)+IF((32+38*(1-EXP(-0.0175*$A27)))&lt;70,'Scénario référence'!$B$18*(32+38*(1-EXP(-0.0175*$A27))),70*'Scénario référence'!$B$18)</f>
        <v>70</v>
      </c>
      <c r="NX27" s="12">
        <f>IF($A27&gt;30,10,('Scénario référence'!$B$16+'Scénario référence'!$B$17+'Scénario référence'!$B$18+'Scénario référence'!$B$9+'Scénario référence'!$B$10)*$A27*10/30+('Scénario référence'!$F$8+'Scénario référence'!$F$9)*10)</f>
        <v>10</v>
      </c>
      <c r="NY27" s="12" t="e">
        <f>VLOOKUP($A27,'Données projet'!$A$512:$I$532,2,0)</f>
        <v>#N/A</v>
      </c>
      <c r="NZ27" s="12" t="e">
        <f>VLOOKUP($A27,'Données projet'!$A$512:$I$532,9,0)</f>
        <v>#N/A</v>
      </c>
      <c r="OA27" s="12">
        <f t="array" ref="OA27">INDEX(NZ:NZ,MIN(IF(ISNUMBER(NZ27:NZ223),ROW(NZ27:NZ223),"")))</f>
        <v>0</v>
      </c>
      <c r="OB27" s="12">
        <f>IF('Données projet'!$A$512&gt;35,OB26+OA27-OJ26,IF($A27&lt;'Données projet'!$A$512,$CQ$205^$A27,IF($A27='Données projet'!$A$512,'Données projet'!$B$512,OB26+OA27-OJ26)))</f>
        <v>0</v>
      </c>
      <c r="OC27" s="17" t="e">
        <f>OB27*VLOOKUP('Données projet'!$B$27,Paramètres!$A$1:$I$89,3,0)*VLOOKUP('Données projet'!$B$27,Paramètres!$A$1:$I$89,5,0)</f>
        <v>#N/A</v>
      </c>
      <c r="OD27" s="13" t="e">
        <f t="shared" si="112"/>
        <v>#N/A</v>
      </c>
      <c r="OE27" s="14" t="e">
        <f t="shared" si="55"/>
        <v>#N/A</v>
      </c>
      <c r="OF27" s="59" t="e">
        <f t="shared" si="56"/>
        <v>#N/A</v>
      </c>
      <c r="OG27" s="20" t="e">
        <f ca="1">AVERAGE(OFFSET($OF$3,0,0,'Données projet'!$E$27+1,1))-AVERAGE(OFFSET($H$3,0,0,'Données projet'!$E$27+1,1))</f>
        <v>#N/A</v>
      </c>
      <c r="OH27" s="59" t="e">
        <f t="shared" si="113"/>
        <v>#N/A</v>
      </c>
      <c r="OI27" s="15">
        <f>IF(ISNA(VLOOKUP($A27,'Données projet'!$A$512:$I$532,3,0)),0,VLOOKUP($A27,'Données projet'!$A$512:$I$532,3,0))</f>
        <v>0</v>
      </c>
      <c r="OJ27" s="15">
        <f>IF(ISNA(VLOOKUP($A27,'Données projet'!$A$512:$I$532,4,0)),0,VLOOKUP($A27,'Données projet'!$A$512:$I$532,4,0))</f>
        <v>0</v>
      </c>
      <c r="OK27" s="16">
        <f>IF(ISNA(VLOOKUP($A27,'Données projet'!$A$512:$I$532,5,0)),0%,VLOOKUP($A27,'Données projet'!$A$512:$I$532,5,0)*VLOOKUP('Données projet'!$B$27,Paramètres!$A$1:$I$89,7,0))</f>
        <v>0</v>
      </c>
      <c r="OL27" s="16">
        <f>IF(ISNA(VLOOKUP($A27,'Données projet'!$A$512:$I$532,6,0)),0%,VLOOKUP($A27,'Données projet'!$A$512:$I$532,6,0)*VLOOKUP('Données projet'!$B$27,Paramètres!$A$1:$I$89,7,0))</f>
        <v>0</v>
      </c>
      <c r="OM27" s="16">
        <f>IF(ISNA(VLOOKUP($A27,'Données projet'!$A$512:$I$532,7,0)),0%,VLOOKUP($A27,'Données projet'!$A$512:$I$532,7,0))</f>
        <v>0</v>
      </c>
      <c r="ON27" s="21" t="e">
        <f>EXP(-LN(2)/35)*ON26+(1-EXP(-LN(2)/35))/(LN(2)/35)*OJ27*OK27*VLOOKUP('Données projet'!$B$27,Paramètres!$A$1:$I$89,3,0)*0.475*44/12</f>
        <v>#N/A</v>
      </c>
      <c r="OO27" s="21" t="e">
        <f>EXP(-LN(2)/25)*OO26+(1-EXP(-LN(2)/25))/(LN(2)/25)*Calculateur!OJ27*Calculateur!OL27*VLOOKUP('Données projet'!$B$27,Paramètres!$A$1:$I$89,3,0)*0.475*44/12</f>
        <v>#N/A</v>
      </c>
      <c r="OP27" s="21" t="e">
        <f>EXP(-LN(2)/2)*OP26+(1-EXP(-LN(2)/2))/(LN(2)/2)*OJ27*OM27*VLOOKUP('Données projet'!$B$27,Paramètres!$A$1:$I$89,3,0)*0.475*44/12</f>
        <v>#N/A</v>
      </c>
      <c r="OQ27" s="22" t="e">
        <f t="shared" si="114"/>
        <v>#N/A</v>
      </c>
      <c r="OR27" s="74">
        <f>('Scénario référence'!$F$8+'Scénario référence'!$F$9+'Scénario référence'!$B$17+'Scénario référence'!$B$9+'Scénario référence'!$B$10)*70+IF((45+25*(1-EXP(-0.0175*$A27)))&lt;70,'Scénario référence'!$B$16*(45+25*(1-EXP(-0.0175*$A27))),70*'Scénario référence'!$B$16)+IF((32+38*(1-EXP(-0.0175*$A27)))&lt;70,'Scénario référence'!$B$18*(32+38*(1-EXP(-0.0175*$A27))),70*'Scénario référence'!$B$18)</f>
        <v>70</v>
      </c>
      <c r="OS27" s="12">
        <f>IF($A27&gt;30,10,('Scénario référence'!$B$16+'Scénario référence'!$B$17+'Scénario référence'!$B$18+'Scénario référence'!$B$9+'Scénario référence'!$B$10)*$A27*10/30+('Scénario référence'!$F$8+'Scénario référence'!$F$9)*10)</f>
        <v>10</v>
      </c>
      <c r="OT27" s="12" t="e">
        <f>VLOOKUP($A27,'Données projet'!$A$538:$I$558,2,0)</f>
        <v>#N/A</v>
      </c>
      <c r="OU27" s="12" t="e">
        <f>VLOOKUP($A27,'Données projet'!$A$538:$I$558,9,0)</f>
        <v>#N/A</v>
      </c>
      <c r="OV27" s="12">
        <f t="array" ref="OV27">INDEX(OU:OU,MIN(IF(ISNUMBER(OU27:OU223),ROW(OU27:OU223),"")))</f>
        <v>0</v>
      </c>
      <c r="OW27" s="12">
        <f>IF('Données projet'!$A$538&gt;35,OW26+OV27-PE26,IF($A27&lt;'Données projet'!$A$538,$CQ$205^$A27,IF($A27='Données projet'!$A$538,'Données projet'!$B$538,OW26+OV27-PE26)))</f>
        <v>0</v>
      </c>
      <c r="OX27" s="17" t="e">
        <f>OW27*VLOOKUP('Données projet'!$B$28,Paramètres!$A$1:$I$89,3,0)*VLOOKUP('Données projet'!$B$28,Paramètres!$A$1:$I$89,5,0)</f>
        <v>#N/A</v>
      </c>
      <c r="OY27" s="13" t="e">
        <f t="shared" si="115"/>
        <v>#N/A</v>
      </c>
      <c r="OZ27" s="14" t="e">
        <f t="shared" si="58"/>
        <v>#N/A</v>
      </c>
      <c r="PA27" s="59" t="e">
        <f t="shared" si="59"/>
        <v>#N/A</v>
      </c>
      <c r="PB27" s="20" t="e">
        <f ca="1">AVERAGE(OFFSET($PA$3,0,0,'Données projet'!$E$28+1,1))-AVERAGE(OFFSET($H$3,0,0,'Données projet'!$E$28+1,1))</f>
        <v>#N/A</v>
      </c>
      <c r="PC27" s="59" t="e">
        <f t="shared" si="116"/>
        <v>#N/A</v>
      </c>
      <c r="PD27" s="15">
        <f>IF(ISNA(VLOOKUP($A27,'Données projet'!$A$538:$I$558,3,0)),0,VLOOKUP($A27,'Données projet'!$A$538:$I$558,3,0))</f>
        <v>0</v>
      </c>
      <c r="PE27" s="15">
        <f>IF(ISNA(VLOOKUP($A27,'Données projet'!$A$538:$I$558,4,0)),0,VLOOKUP($A27,'Données projet'!$A$538:$I$558,4,0))</f>
        <v>0</v>
      </c>
      <c r="PF27" s="16">
        <f>IF(ISNA(VLOOKUP($A27,'Données projet'!$A$538:$I$558,5,0)),0%,VLOOKUP($A27,'Données projet'!$A$538:$I$558,5,0)*VLOOKUP('Données projet'!$B$28,Paramètres!$A$1:$I$89,7,0))</f>
        <v>0</v>
      </c>
      <c r="PG27" s="16">
        <f>IF(ISNA(VLOOKUP($A27,'Données projet'!$A$538:$I$558,6,0)),0%,VLOOKUP($A27,'Données projet'!$A$538:$I$558,6,0)*VLOOKUP('Données projet'!$B$28,Paramètres!$A$1:$I$89,7,0))</f>
        <v>0</v>
      </c>
      <c r="PH27" s="16">
        <f>IF(ISNA(VLOOKUP($A27,'Données projet'!$A$538:$I$558,7,0)),0%,VLOOKUP($A27,'Données projet'!$A$538:$I$558,7,0))</f>
        <v>0</v>
      </c>
      <c r="PI27" s="21" t="e">
        <f>EXP(-LN(2)/35)*PI26+(1-EXP(-LN(2)/35))/(LN(2)/35)*PE27*PF27*VLOOKUP('Données projet'!$B$28,Paramètres!$A$1:$I$89,3,0)*0.475*44/12</f>
        <v>#N/A</v>
      </c>
      <c r="PJ27" s="21" t="e">
        <f>EXP(-LN(2)/25)*PJ26+(1-EXP(-LN(2)/25))/(LN(2)/25)*Calculateur!PE27*Calculateur!PG27*VLOOKUP('Données projet'!$B$28,Paramètres!$A$1:$I$89,3,0)*0.475*44/12</f>
        <v>#N/A</v>
      </c>
      <c r="PK27" s="21" t="e">
        <f>EXP(-LN(2)/2)*PK26+(1-EXP(-LN(2)/2))/(LN(2)/2)*PE27*PH27*VLOOKUP('Données projet'!$B$28,Paramètres!$A$1:$I$89,3,0)*0.475*44/12</f>
        <v>#N/A</v>
      </c>
      <c r="PL27" s="22" t="e">
        <f t="shared" si="117"/>
        <v>#N/A</v>
      </c>
    </row>
    <row r="28" spans="1:428" x14ac:dyDescent="0.35">
      <c r="A28" s="10">
        <f t="shared" si="6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6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projet'!$A$45:$I$65,2,0)</f>
        <v>#N/A</v>
      </c>
      <c r="L28" s="12" t="e">
        <f>VLOOKUP(A28,'Données projet'!$A$45:$I$65,9,0)</f>
        <v>#N/A</v>
      </c>
      <c r="M28" s="12">
        <f t="array" ref="M28">INDEX(L:L,MIN(IF(ISNUMBER(L28:L224),ROW(L28:L224),"")))</f>
        <v>22.828205128205127</v>
      </c>
      <c r="N28" s="13">
        <f>IF('Données projet'!$A$46&gt;35,N27+M28-V27,IF(A28&lt;'Données projet'!$A$46,$K$205^A28,IF(A28='Données projet'!$A$46,'Données projet'!$B$46,N27+M28-V27)))</f>
        <v>217.72820512820502</v>
      </c>
      <c r="O28" s="13">
        <f>N28*VLOOKUP('Données projet'!$B$9,Paramètres!$A$1:$I$89,3,0)*VLOOKUP('Données projet'!$B$9,Paramètres!$A$1:$I$89,5,0)</f>
        <v>121.71006666666661</v>
      </c>
      <c r="P28" s="13">
        <f t="shared" si="63"/>
        <v>32.073515207801002</v>
      </c>
      <c r="Q28" s="20">
        <f t="shared" si="2"/>
        <v>267.83973843136442</v>
      </c>
      <c r="R28" s="59">
        <f t="shared" si="0"/>
        <v>561.17307176469774</v>
      </c>
      <c r="S28" s="59">
        <f ca="1">AVERAGE(OFFSET($R$3,0,0,'Données projet'!$E$9+1,1))-AVERAGE(OFFSET($H$3,0,0,'Données projet'!$E$9+1,1))</f>
        <v>274.57619581652199</v>
      </c>
      <c r="T28" s="59">
        <f t="shared" si="64"/>
        <v>366.15117322598775</v>
      </c>
      <c r="U28" s="15">
        <f>IF(ISNA(VLOOKUP(A28,'Données projet'!$A$45:$I$65,3,0)),0,VLOOKUP(A28,'Données projet'!$A$45:$I$65,3,0))</f>
        <v>0</v>
      </c>
      <c r="V28" s="15">
        <f>IF(ISNA(VLOOKUP(A28,'Données projet'!$A$45:$I$65,4,0)),0,VLOOKUP(A28,'Données projet'!$A$45:$I$65,4,0))</f>
        <v>0</v>
      </c>
      <c r="W28" s="16">
        <f>IF(ISNA(VLOOKUP(A28,'Données projet'!$A$45:$I$65,5,0)),0%,VLOOKUP(A28,'Données projet'!$A$45:$I$65,5,0)*VLOOKUP('Données projet'!$B$9,Paramètres!$A$1:$I$89,7,0))</f>
        <v>0</v>
      </c>
      <c r="X28" s="16">
        <f>IF(ISNA(VLOOKUP(A28,'Données projet'!$A$45:$I$65,6,0)),0%,VLOOKUP(A28,'Données projet'!$A$45:$I$65,6,0)*VLOOKUP('Données projet'!$B$9,Paramètres!$A$1:$I$89,7,0))</f>
        <v>0</v>
      </c>
      <c r="Y28" s="16">
        <f>IF(ISNA(VLOOKUP(A28,'Données projet'!$A$45:$I$65,7,0)),0%,VLOOKUP(A28,'Données projet'!$A$45:$I$65,7,0))</f>
        <v>0</v>
      </c>
      <c r="Z28" s="21">
        <f>EXP(-LN(2)/35)*Z27+(1-EXP(-LN(2)/35))/(LN(2)/35)*V28*W28*VLOOKUP('Données projet'!$B$9,Paramètres!$A$1:$I$89,3,0)*0.475*44/12</f>
        <v>11.940885934265687</v>
      </c>
      <c r="AA28" s="21">
        <f>EXP(-LN(2)/25)*AA27+(1-EXP(-LN(2)/25))/(LN(2)/25)*Calculateur!V28*Calculateur!X28*VLOOKUP('Données projet'!$B$9,Paramètres!$A$1:$I$89,3,0)*0.475*44/12</f>
        <v>15.813537071754755</v>
      </c>
      <c r="AB28" s="21">
        <f>EXP(-LN(2)/2)*AB27+(1-EXP(-LN(2)/2))/(LN(2)/2)*V28*Y28*VLOOKUP('Données projet'!$B$9,Paramètres!$A$1:$I$89,3,0)*0.475*44/12</f>
        <v>4.2256671366093723</v>
      </c>
      <c r="AC28" s="22">
        <f t="shared" si="3"/>
        <v>31.980090142629813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projet'!$A$71:$I$91,2,0)</f>
        <v>#N/A</v>
      </c>
      <c r="AG28" s="12" t="e">
        <f>VLOOKUP(A28,'Données projet'!$A$71:$I$91,9,0)</f>
        <v>#N/A</v>
      </c>
      <c r="AH28" s="12">
        <f t="array" ref="AH28">INDEX(AG:AG,MIN(IF(ISNUMBER(AG28:AG224),ROW(AG28:AG224),"")))</f>
        <v>4.0628205128205126</v>
      </c>
      <c r="AI28" s="13">
        <f>IF('Données projet'!$A$72&gt;35,AI27+AH28-AQ27,IF(A28&lt;'Données projet'!$A$72,$AF$205^A28,IF(A28='Données projet'!$A$72,'Données projet'!$B$72,AI27+AH28-AQ27)))</f>
        <v>54.738229068051083</v>
      </c>
      <c r="AJ28" s="13">
        <f>AI28*VLOOKUP('Données projet'!$B$10,Paramètres!$A$1:$I$89,3,0)*VLOOKUP('Données projet'!$B$10,Paramètres!$A$1:$I$89,5,0)</f>
        <v>49.527149660772622</v>
      </c>
      <c r="AK28" s="13">
        <f t="shared" si="65"/>
        <v>14.49157655143614</v>
      </c>
      <c r="AL28" s="20">
        <f t="shared" si="4"/>
        <v>111.49928148626357</v>
      </c>
      <c r="AM28" s="59">
        <f t="shared" si="5"/>
        <v>404.83261481959687</v>
      </c>
      <c r="AN28" s="59">
        <f ca="1">AVERAGE(OFFSET($AM$3,0,0,'Données projet'!$E$10+1,1))-AVERAGE(OFFSET($H$3,0,0,'Données projet'!$E$10+1,1))</f>
        <v>270.87836509222456</v>
      </c>
      <c r="AO28" s="59">
        <f t="shared" si="66"/>
        <v>205.24998237949734</v>
      </c>
      <c r="AP28" s="15">
        <f>IF(ISNA(VLOOKUP(A28,'Données projet'!$A$71:$I$91,3,0)),0,VLOOKUP(A28,'Données projet'!$A$71:$I$91,3,0))</f>
        <v>0</v>
      </c>
      <c r="AQ28" s="15">
        <f>IF(ISNA(VLOOKUP(A28,'Données projet'!$A$71:$I$91,4,0)),0,VLOOKUP(A28,'Données projet'!$A$71:$I$91,4,0))</f>
        <v>0</v>
      </c>
      <c r="AR28" s="16">
        <f>IF(ISNA(VLOOKUP(A28,'Données projet'!$A$71:$I$91,5,0)),0%,VLOOKUP(A28,'Données projet'!$A$71:$I$91,5,0)*VLOOKUP('Données projet'!$B$10,Paramètres!$A$1:$I$89,7,0))</f>
        <v>0</v>
      </c>
      <c r="AS28" s="16">
        <f>IF(ISNA(VLOOKUP(A28,'Données projet'!$A$71:$I$91,6,0)),0%,VLOOKUP(A28,'Données projet'!$A$71:$I$91,6,0)*VLOOKUP('Données projet'!$B$10,Paramètres!$A$1:$I$89,7,0))</f>
        <v>0</v>
      </c>
      <c r="AT28" s="16">
        <f>IF(ISNA(VLOOKUP(A28,'Données projet'!$A$71:$I$91,7,0)),0%,VLOOKUP(A28,'Données projet'!$A$71:$I$91,7,0))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projet'!$A$97:$I$117,2,0)</f>
        <v>#N/A</v>
      </c>
      <c r="BB28" s="12" t="e">
        <f>VLOOKUP(A28,'Données projet'!$A$97:$I$117,9,0)</f>
        <v>#N/A</v>
      </c>
      <c r="BC28" s="12">
        <f t="array" ref="BC28">INDEX(BB:BB,MIN(IF(ISNUMBER(BB28:BB224),ROW(BB28:BB224),"")))</f>
        <v>22.828205128205127</v>
      </c>
      <c r="BD28" s="12">
        <f>IF('Données projet'!$A$98&gt;35,BD27+BC28-BL27,IF(A28&lt;'Données projet'!$A$98,$BA$205^A28,IF(A28='Données projet'!$A$98,'Données projet'!$B$98,BD27+BC28-BL27)))</f>
        <v>217.72820512820502</v>
      </c>
      <c r="BE28" s="13">
        <f>BD28*VLOOKUP('Données projet'!$B$11,Paramètres!$A$1:$I$89,3,0)*VLOOKUP('Données projet'!$B$11,Paramètres!$A$1:$I$89,5,0)</f>
        <v>96.235866666666638</v>
      </c>
      <c r="BF28" s="13">
        <f t="shared" si="67"/>
        <v>26.063252068634284</v>
      </c>
      <c r="BG28" s="20">
        <f t="shared" si="7"/>
        <v>213.00429846398242</v>
      </c>
      <c r="BH28" s="59">
        <f t="shared" si="8"/>
        <v>506.33763179731574</v>
      </c>
      <c r="BI28" s="59">
        <f ca="1">AVERAGE(OFFSET($BH$3,0,0,'Données projet'!$E$11+1,1))-AVERAGE(OFFSET($H$3,0,0,'Données projet'!$E$11+1,1))</f>
        <v>211.31057120485542</v>
      </c>
      <c r="BJ28" s="59">
        <f t="shared" si="68"/>
        <v>283.33292006714777</v>
      </c>
      <c r="BK28" s="15">
        <f>IF(ISNA(VLOOKUP(A28,'Données projet'!$A$97:$I$117,3,0)),0,VLOOKUP(A28,'Données projet'!$A$97:$I$117,3,0))</f>
        <v>0</v>
      </c>
      <c r="BL28" s="15">
        <f>IF(ISNA(VLOOKUP(A28,'Données projet'!$A$97:$I$117,4,0)),0,VLOOKUP(A28,'Données projet'!$A$97:$I$117,4,0))</f>
        <v>0</v>
      </c>
      <c r="BM28" s="16">
        <f>IF(ISNA(VLOOKUP(A28,'Données projet'!$A$97:$I$117,5,0)),0%,VLOOKUP(A28,'Données projet'!$A$97:$I$117,5,0)*VLOOKUP('Données projet'!$B$11,Paramètres!$A$1:$I$89,7,0))</f>
        <v>0</v>
      </c>
      <c r="BN28" s="16">
        <f>IF(ISNA(VLOOKUP(A28,'Données projet'!$A$97:$I$117,6,0)),0%,VLOOKUP(A28,'Données projet'!$A$97:$I$117,6,0)*VLOOKUP('Données projet'!$B$11,Paramètres!$A$1:$I$89,7,0))</f>
        <v>0</v>
      </c>
      <c r="BO28" s="16">
        <f>IF(ISNA(VLOOKUP(A28,'Données projet'!$A$97:$I$117,7,0)),0%,VLOOKUP(A28,'Données projet'!$A$97:$I$117,7,0))</f>
        <v>0</v>
      </c>
      <c r="BP28" s="21">
        <f>EXP(-LN(2)/35)*BP27+(1-EXP(-LN(2)/35))/(LN(2)/35)*BL28*BM28*VLOOKUP('Données projet'!$B$11,Paramètres!$A$1:$I$89,3,0)*0.475*44/12</f>
        <v>9.441630738721706</v>
      </c>
      <c r="BQ28" s="21">
        <f>EXP(-LN(2)/25)*BQ27+(1-EXP(-LN(2)/25))/(LN(2)/25)*Calculateur!BL28*Calculateur!BN28*VLOOKUP('Données projet'!$B$11,Paramètres!$A$1:$I$89,3,0)*0.475*44/12</f>
        <v>12.503726986968877</v>
      </c>
      <c r="BR28" s="21">
        <f>EXP(-LN(2)/2)*BR27+(1-EXP(-LN(2)/2))/(LN(2)/2)*BL28*BO28*VLOOKUP('Données projet'!$B$11,Paramètres!$A$1:$I$89,3,0)*0.475*44/12</f>
        <v>3.3412251777841555</v>
      </c>
      <c r="BS28" s="22">
        <f t="shared" si="9"/>
        <v>25.286582903474741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projet'!$A$123:$I$143,2,0)</f>
        <v>126</v>
      </c>
      <c r="BW28" s="12">
        <f>VLOOKUP(A28,'Données projet'!$A$123:$I$143,9,0)</f>
        <v>10.199999999999999</v>
      </c>
      <c r="BX28" s="12">
        <f t="array" ref="BX28">INDEX(BW:BW,MIN(IF(ISNUMBER(BW28:BW224),ROW(BW28:BW224),"")))</f>
        <v>10.199999999999999</v>
      </c>
      <c r="BY28" s="12">
        <f>IF('Données projet'!$A$124&gt;35,BY27+BX28-CG27,IF(A28&lt;'Données projet'!$A$124,$BV$205^A28,IF(A28='Données projet'!$A$124,'Données projet'!$B$124,BY27+BX28-CG27)))</f>
        <v>126</v>
      </c>
      <c r="BZ28" s="13">
        <f>BY28*VLOOKUP('Données projet'!$B$12,Paramètres!$A$1:$I$89,3,0)*VLOOKUP('Données projet'!$B$12,Paramètres!$A$1:$I$89,5,0)</f>
        <v>131.6952</v>
      </c>
      <c r="CA28" s="13">
        <f t="shared" si="69"/>
        <v>34.387774432362242</v>
      </c>
      <c r="CB28" s="20">
        <f t="shared" si="10"/>
        <v>289.26118046969754</v>
      </c>
      <c r="CC28" s="59">
        <f t="shared" si="11"/>
        <v>582.59451380303085</v>
      </c>
      <c r="CD28" s="59">
        <f ca="1">AVERAGE(OFFSET($CC$3,0,0,'Données projet'!$E$12+1,1))-AVERAGE(OFFSET($H$3,0,0,'Données projet'!$E$12+1,1))</f>
        <v>322.93502595881938</v>
      </c>
      <c r="CE28" s="59">
        <f t="shared" si="70"/>
        <v>302.67072119588164</v>
      </c>
      <c r="CF28" s="15">
        <f>IF(ISNA(VLOOKUP(A28,'Données projet'!$A$123:$I$143,3,0)),0,VLOOKUP(A28,'Données projet'!$A$123:$I$143,3,0))</f>
        <v>2</v>
      </c>
      <c r="CG28" s="15" t="str">
        <f>IF(ISNA(VLOOKUP(A28,'Données projet'!$A$123:$I$143,4,0)),0,VLOOKUP(A28,'Données projet'!$A$123:$I$143,4,0))</f>
        <v>26</v>
      </c>
      <c r="CH28" s="16">
        <f>IF(ISNA(VLOOKUP(A28,'Données projet'!$A$123:$I$143,5,0)),0%,VLOOKUP(A28,'Données projet'!$A$123:$I$143,5,0)*VLOOKUP('Données projet'!$B$12,Paramètres!$A$1:$I$89,7,0))</f>
        <v>0</v>
      </c>
      <c r="CI28" s="16">
        <f>IF(ISNA(VLOOKUP(A28,'Données projet'!$A$123:$I$143,6,0)),0%,VLOOKUP(A28,'Données projet'!$A$123:$I$143,6,0)*VLOOKUP('Données projet'!$B$12,Paramètres!$A$1:$I$89,7,0))</f>
        <v>0</v>
      </c>
      <c r="CJ28" s="16">
        <f>IF(ISNA(VLOOKUP(A28,'Données projet'!$A$123:$I$143,7,0)),0%,VLOOKUP(A28,'Données projet'!$A$123:$I$143,7,0))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projet'!$A$149:$I$169,2,0)</f>
        <v>#N/A</v>
      </c>
      <c r="CR28" s="12" t="e">
        <f>VLOOKUP(A28,'Données projet'!$A$149:$I$169,9,0)</f>
        <v>#N/A</v>
      </c>
      <c r="CS28" s="12">
        <f t="array" ref="CS28">INDEX(CR:CR,MIN(IF(ISNUMBER(CR28:CR224),ROW(CR28:CR224),"")))</f>
        <v>2.9235042735042733</v>
      </c>
      <c r="CT28" s="12">
        <f>IF('Données projet'!$A$150&gt;35,CT27+CS28-DB27,IF(A28&lt;'Données projet'!$A$150,$CQ$205^A28,IF(A28='Données projet'!$A$150,'Données projet'!$B$150,CT27+CS28-DB27)))</f>
        <v>41.609020251295185</v>
      </c>
      <c r="CU28" s="17">
        <f>CT28*VLOOKUP('Données projet'!$B$13,Paramètres!$A$1:$I$89,3,0)*VLOOKUP('Données projet'!$B$13,Paramètres!$A$1:$I$89,5,0)</f>
        <v>42.19154653481332</v>
      </c>
      <c r="CV28" s="13">
        <f t="shared" si="71"/>
        <v>12.577701043627256</v>
      </c>
      <c r="CW28" s="20">
        <f t="shared" si="13"/>
        <v>95.389772865783996</v>
      </c>
      <c r="CX28" s="59">
        <f t="shared" si="14"/>
        <v>388.7231061991173</v>
      </c>
      <c r="CY28" s="59">
        <f ca="1">AVERAGE(OFFSET($CX$3,0,0,'Données projet'!$E$13+1,1))-AVERAGE(OFFSET($H$3,0,0,'Données projet'!$E$13+1,1))</f>
        <v>250.31277422753283</v>
      </c>
      <c r="CZ28" s="59">
        <f t="shared" si="72"/>
        <v>159.20429420478047</v>
      </c>
      <c r="DA28" s="15">
        <f>IF(ISNA(VLOOKUP(A28,'Données projet'!$A$149:$I$169,3,0)),0,VLOOKUP(A28,'Données projet'!$A$149:$I$169,3,0))</f>
        <v>0</v>
      </c>
      <c r="DB28" s="15">
        <f>IF(ISNA(VLOOKUP(A28,'Données projet'!$A$149:$I$169,4,0)),0,VLOOKUP(A28,'Données projet'!$A$149:$I$169,4,0))</f>
        <v>0</v>
      </c>
      <c r="DC28" s="16">
        <f>IF(ISNA(VLOOKUP(A28,'Données projet'!$A$149:$I$169,5,0)),0%,VLOOKUP(A28,'Données projet'!$A$149:$I$169,5,0)*VLOOKUP('Données projet'!$B$13,Paramètres!$A$1:$I$89,7,0))</f>
        <v>0</v>
      </c>
      <c r="DD28" s="16">
        <f>IF(ISNA(VLOOKUP(A28,'Données projet'!$A$149:$I$169,6,0)),0%,VLOOKUP(A28,'Données projet'!$A$149:$I$169,6,0)*VLOOKUP('Données projet'!$B$13,Paramètres!$A$1:$I$89,7,0))</f>
        <v>0</v>
      </c>
      <c r="DE28" s="16">
        <f>IF(ISNA(VLOOKUP(A28,'Données projet'!$A$149:$I$169,7,0)),0%,VLOOKUP(A28,'Données projet'!$A$149:$I$169,7,0))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>
        <f>VLOOKUP(A28,'Données projet'!$A$175:$I$195,2,0)</f>
        <v>165</v>
      </c>
      <c r="DM28" s="12">
        <f>VLOOKUP(A28,'Données projet'!$A$175:$I$195,9,0)</f>
        <v>16.8</v>
      </c>
      <c r="DN28" s="12">
        <f t="array" ref="DN28">INDEX(DM:DM,MIN(IF(ISNUMBER(DM28:DM224),ROW(DM28:DM224),"")))</f>
        <v>16.8</v>
      </c>
      <c r="DO28" s="12">
        <f>IF('Données projet'!$A$176&gt;35,DO27+DN28-DW27,IF(A28&lt;'Données projet'!$A$176,$DL$205^A28,IF(A28='Données projet'!$A$176,'Données projet'!$B$176,DO27+DN28-DW27)))</f>
        <v>165.00000000000003</v>
      </c>
      <c r="DP28" s="17">
        <f>DO28*VLOOKUP('Données projet'!$B$14,Paramètres!$A$1:$I$89,3,0)*VLOOKUP('Données projet'!$B$14,Paramètres!$A$1:$I$89,5,0)</f>
        <v>120.97800000000002</v>
      </c>
      <c r="DQ28" s="13">
        <f t="shared" si="73"/>
        <v>31.902993864447531</v>
      </c>
      <c r="DR28" s="20">
        <f t="shared" si="16"/>
        <v>266.26773098057953</v>
      </c>
      <c r="DS28" s="59">
        <f t="shared" si="17"/>
        <v>559.60106431391284</v>
      </c>
      <c r="DT28" s="59">
        <f ca="1">AVERAGE(OFFSET($DS$3,0,0,'Données projet'!$E$14+1,1))-AVERAGE(OFFSET($H$3,0,0,'Données projet'!$E$14+1,1))</f>
        <v>296.91321813251051</v>
      </c>
      <c r="DU28" s="59">
        <f t="shared" si="74"/>
        <v>291.0718079639509</v>
      </c>
      <c r="DV28" s="15">
        <f>IF(ISNA(VLOOKUP(A28,'Données projet'!$A$175:$I$195,3,0)),0,VLOOKUP(A28,'Données projet'!$A$175:$I$195,3,0))</f>
        <v>4</v>
      </c>
      <c r="DW28" s="15">
        <f>IF(ISNA(VLOOKUP(A28,'Données projet'!$A$175:$I$195,4,0)),0,VLOOKUP(A28,'Données projet'!$A$175:$I$195,4,0))</f>
        <v>42</v>
      </c>
      <c r="DX28" s="16">
        <f>IF(ISNA(VLOOKUP(A28,'Données projet'!$A$175:$I$195,5,0)),0%,VLOOKUP(A28,'Données projet'!$A$175:$I$195,5,0)*VLOOKUP('Données projet'!$B$14,Paramètres!$A$1:$I$89,7,0))</f>
        <v>6.0200000000000004E-2</v>
      </c>
      <c r="DY28" s="16">
        <f>IF(ISNA(VLOOKUP(A28,'Données projet'!$A$175:$I$195,6,0)),0%,VLOOKUP(A28,'Données projet'!$A$175:$I$195,6,0)*VLOOKUP('Données projet'!$B$14,Paramètres!$A$1:$I$89,7,0))</f>
        <v>0.18489999999999998</v>
      </c>
      <c r="DZ28" s="16">
        <f>IF(ISNA(VLOOKUP(A28,'Données projet'!$A$175:$I$195,7,0)),0%,VLOOKUP(A28,'Données projet'!$A$175:$I$195,7,0))</f>
        <v>0</v>
      </c>
      <c r="EA28" s="21">
        <f>EXP(-LN(2)/35)*EA27+(1-EXP(-LN(2)/35))/(LN(2)/35)*DW28*DX28*VLOOKUP('Données projet'!$B$14,Paramètres!$A$1:$I$89,3,0)*0.475*44/12</f>
        <v>2.0493462827404669</v>
      </c>
      <c r="EB28" s="21">
        <f>EXP(-LN(2)/25)*EB27+(1-EXP(-LN(2)/25))/(LN(2)/25)*Calculateur!DW28*Calculateur!DY28*VLOOKUP('Données projet'!$B$14,Paramètres!$A$1:$I$89,3,0)*0.475*44/12</f>
        <v>7.7928100829933467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9.842156365733814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projet'!$A$201:$I$221,2,0)</f>
        <v>#N/A</v>
      </c>
      <c r="EH28" s="12" t="e">
        <f>VLOOKUP(A28,'Données projet'!$A$201:$I$221,9,0)</f>
        <v>#N/A</v>
      </c>
      <c r="EI28" s="12">
        <f t="array" ref="EI28">INDEX(EH:EH,MIN(IF(ISNUMBER(EH28:EH224),ROW(EH28:EH224),"")))</f>
        <v>3.4425641025641025</v>
      </c>
      <c r="EJ28" s="12">
        <f>IF('Données projet'!$A$202&gt;35,EJ27+EI28-ER27,IF(A28&lt;'Données projet'!$A$202,$EG$205^A28,IF(A28='Données projet'!$A$202,'Données projet'!$B$202,EJ27+EI28-ER27)))</f>
        <v>47.679981195591871</v>
      </c>
      <c r="EK28" s="17">
        <f>EJ28*VLOOKUP('Données projet'!$B$15,Paramètres!$A$1:$I$89,3,0)*VLOOKUP('Données projet'!$B$15,Paramètres!$A$1:$I$89,5,0)</f>
        <v>22.314231199536998</v>
      </c>
      <c r="EL28" s="13">
        <f t="shared" si="75"/>
        <v>7.1640574010122027</v>
      </c>
      <c r="EM28" s="20">
        <f t="shared" si="19"/>
        <v>51.341352645956526</v>
      </c>
      <c r="EN28" s="59">
        <f t="shared" si="20"/>
        <v>344.67468597928985</v>
      </c>
      <c r="EO28" s="59">
        <f ca="1">AVERAGE(OFFSET($EN$3,0,0,'Données projet'!$E$15+1,1))-AVERAGE(OFFSET($H$3,0,0,'Données projet'!$E$15+1,1))</f>
        <v>147.64256291235483</v>
      </c>
      <c r="EP28" s="59">
        <f t="shared" si="76"/>
        <v>70.859031694091868</v>
      </c>
      <c r="EQ28" s="15">
        <f>IF(ISNA(VLOOKUP(A28,'Données projet'!$A$201:$I$221,3,0)),0,VLOOKUP(A28,'Données projet'!$A$201:$I$221,3,0))</f>
        <v>0</v>
      </c>
      <c r="ER28" s="15">
        <f>IF(ISNA(VLOOKUP(A28,'Données projet'!$A$201:$I$221,4,0)),0,VLOOKUP(A28,'Données projet'!$A$201:$I$221,4,0))</f>
        <v>0</v>
      </c>
      <c r="ES28" s="16">
        <f>IF(ISNA(VLOOKUP(A28,'Données projet'!$A$201:$I$221,5,0)),0%,VLOOKUP(A28,'Données projet'!$A$201:$I$221,5,0)*VLOOKUP('Données projet'!$B$15,Paramètres!$A$1:$I$89,7,0))</f>
        <v>0</v>
      </c>
      <c r="ET28" s="16">
        <f>IF(ISNA(VLOOKUP(A28,'Données projet'!$A$201:$I$221,6,0)),0%,VLOOKUP(A28,'Données projet'!$A$201:$I$221,6,0)*VLOOKUP('Données projet'!$B$15,Paramètres!$A$1:$I$89,7,0))</f>
        <v>0</v>
      </c>
      <c r="EU28" s="16">
        <f>IF(ISNA(VLOOKUP(A28,'Données projet'!$A$201:$I$221,7,0)),0%,VLOOKUP(A28,'Données projet'!$A$201:$I$221,7,0))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>
        <f>VLOOKUP(A28,'Données projet'!$A$227:$I$247,2,0)</f>
        <v>98</v>
      </c>
      <c r="FC28" s="12">
        <f>VLOOKUP(A28,'Données projet'!$A$227:$I$247,9,0)</f>
        <v>8</v>
      </c>
      <c r="FD28" s="12">
        <f t="array" ref="FD28">INDEX(FC:FC,MIN(IF(ISNUMBER(FC28:FC224),ROW(FC28:FC224),"")))</f>
        <v>8</v>
      </c>
      <c r="FE28" s="12">
        <f>IF('Données projet'!$A$228&gt;35,FE27+FD28-FM27,IF(A28&lt;'Données projet'!$A$228,$FB$205^A28,IF(A28='Données projet'!$A$228,'Données projet'!$B$228,FE27+FD28-FM27)))</f>
        <v>98</v>
      </c>
      <c r="FF28" s="17">
        <f>FE28*VLOOKUP('Données projet'!$B$16,Paramètres!$A$1:$I$89,3,0)*VLOOKUP('Données projet'!$B$16,Paramètres!$A$1:$I$89,5,0)</f>
        <v>102.42960000000002</v>
      </c>
      <c r="FG28" s="13">
        <f t="shared" si="77"/>
        <v>27.540005085928001</v>
      </c>
      <c r="FH28" s="20">
        <f t="shared" si="22"/>
        <v>226.3637288579913</v>
      </c>
      <c r="FI28" s="59">
        <f t="shared" si="23"/>
        <v>519.69706219132468</v>
      </c>
      <c r="FJ28" s="59">
        <f ca="1">AVERAGE(OFFSET($FI$3,0,0,'Données projet'!$E$16+1,1))-AVERAGE(OFFSET($H$3,0,0,'Données projet'!$E$16+1,1))</f>
        <v>259.03906550253788</v>
      </c>
      <c r="FK28" s="59">
        <f t="shared" si="78"/>
        <v>235.54542903570831</v>
      </c>
      <c r="FL28" s="15">
        <f>IF(ISNA(VLOOKUP(A28,'Données projet'!$A$227:$I$247,3,0)),0,VLOOKUP(A28,'Données projet'!$A$227:$I$247,3,0))</f>
        <v>2</v>
      </c>
      <c r="FM28" s="15" t="str">
        <f>IF(ISNA(VLOOKUP(A28,'Données projet'!$A$227:$I$247,4,0)),0,VLOOKUP(A28,'Données projet'!$A$227:$I$247,4,0))</f>
        <v>19</v>
      </c>
      <c r="FN28" s="16">
        <f>IF(ISNA(VLOOKUP(A28,'Données projet'!$A$227:$I$247,5,0)),0%,VLOOKUP(A28,'Données projet'!$A$227:$I$247,5,0)*VLOOKUP('Données projet'!$B$16,Paramètres!$A$1:$I$89,7,0))</f>
        <v>0</v>
      </c>
      <c r="FO28" s="16">
        <f>IF(ISNA(VLOOKUP(A28,'Données projet'!$A$227:$I$247,6,0)),0%,VLOOKUP(A28,'Données projet'!$A$227:$I$247,6,0)*VLOOKUP('Données projet'!$B$16,Paramètres!$A$1:$I$89,7,0))</f>
        <v>0</v>
      </c>
      <c r="FP28" s="16">
        <f>IF(ISNA(VLOOKUP(A28,'Données projet'!$A$227:$I$247,7,0)),0%,VLOOKUP(A28,'Données projet'!$A$227:$I$247,7,0))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>
        <f>VLOOKUP(A28,'Données projet'!$A$253:$I$273,2,0)</f>
        <v>115</v>
      </c>
      <c r="FX28" s="12">
        <f>VLOOKUP(A28,'Données projet'!$A$253:$I$273,9,0)</f>
        <v>12.6</v>
      </c>
      <c r="FY28" s="12">
        <f t="array" ref="FY28">INDEX(FX:FX,MIN(IF(ISNUMBER(FX28:FX224),ROW(FX28:FX224),"")))</f>
        <v>12.6</v>
      </c>
      <c r="FZ28" s="12">
        <f>IF('Données projet'!$A$254&gt;35,FZ27+FY28-GH27,IF(A28&lt;'Données projet'!$A$254,$FW$205^A28,IF(A28='Données projet'!$A$254,'Données projet'!$B$254,FZ27+FY28-GH27)))</f>
        <v>114.99999999999997</v>
      </c>
      <c r="GA28" s="17">
        <f>FZ28*VLOOKUP('Données projet'!$B$17,Paramètres!$A$1:$I$89,3,0)*VLOOKUP('Données projet'!$B$17,Paramètres!$A$1:$I$89,5,0)</f>
        <v>100.46399999999998</v>
      </c>
      <c r="GB28" s="13">
        <f t="shared" si="79"/>
        <v>27.072509349827456</v>
      </c>
      <c r="GC28" s="20">
        <f t="shared" si="25"/>
        <v>222.12608711761615</v>
      </c>
      <c r="GD28" s="59">
        <f t="shared" si="26"/>
        <v>515.45942045094944</v>
      </c>
      <c r="GE28" s="59">
        <f ca="1">AVERAGE(OFFSET($GD$3,0,0,'Données projet'!$E$17+1,1))-AVERAGE(OFFSET($H$3,0,0,'Données projet'!$E$17+1,1))</f>
        <v>245.1983232777614</v>
      </c>
      <c r="GF28" s="59">
        <f t="shared" si="80"/>
        <v>242.34010522344573</v>
      </c>
      <c r="GG28" s="15">
        <f>IF(ISNA(VLOOKUP(A28,'Données projet'!$A$253:$I$273,3,0)),0,VLOOKUP(A28,'Données projet'!$A$253:$I$273,3,0))</f>
        <v>3</v>
      </c>
      <c r="GH28" s="15">
        <f>IF(ISNA(VLOOKUP(A28,'Données projet'!$A$253:$I$273,4,0)),0,VLOOKUP(A28,'Données projet'!$A$253:$I$273,4,0))</f>
        <v>28</v>
      </c>
      <c r="GI28" s="16">
        <f>IF(ISNA(VLOOKUP(A28,'Données projet'!$A$253:$I$273,5,0)),0%,VLOOKUP(A28,'Données projet'!$A$253:$I$273,5,0)*VLOOKUP('Données projet'!$B$17,Paramètres!$A$1:$I$89,7,0))</f>
        <v>0</v>
      </c>
      <c r="GJ28" s="16">
        <f>IF(ISNA(VLOOKUP(A28,'Données projet'!$A$253:$I$273,6,0)),0%,VLOOKUP(A28,'Données projet'!$A$253:$I$273,6,0)*VLOOKUP('Données projet'!$B$17,Paramètres!$A$1:$I$89,7,0))</f>
        <v>3.0100000000000002E-2</v>
      </c>
      <c r="GK28" s="16">
        <f>IF(ISNA(VLOOKUP(A28,'Données projet'!$A$253:$I$273,7,0)),0%,VLOOKUP(A28,'Données projet'!$A$253:$I$273,7,0))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0.81072003284778205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0.81072003284778205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>
        <f>VLOOKUP(A28,'Données projet'!$A$279:$I$299,2,0)</f>
        <v>270</v>
      </c>
      <c r="GS28" s="12">
        <f>VLOOKUP(A28,'Données projet'!$A$279:$I$299,9,0)</f>
        <v>27.6</v>
      </c>
      <c r="GT28" s="12">
        <f t="array" ref="GT28">INDEX(GS:GS,MIN(IF(ISNUMBER(GS28:GS224),ROW(GS28:GS224),"")))</f>
        <v>27.6</v>
      </c>
      <c r="GU28" s="12">
        <f>IF('Données projet'!$A$280&gt;35,GU27+GT28-HC27,IF(A28&lt;'Données projet'!$A$280,$GR$205^A28,IF(A28='Données projet'!$A$280,'Données projet'!$B$280,GU27+GT28-HC27)))</f>
        <v>270</v>
      </c>
      <c r="GV28" s="17">
        <f>GU28*VLOOKUP('Données projet'!$B$18,Paramètres!$A$1:$I$89,3,0)*VLOOKUP('Données projet'!$B$18,Paramètres!$A$1:$I$89,5,0)</f>
        <v>108.81</v>
      </c>
      <c r="GW28" s="13">
        <f t="shared" si="81"/>
        <v>29.05043404802263</v>
      </c>
      <c r="GX28" s="20">
        <f t="shared" si="28"/>
        <v>240.10692263363936</v>
      </c>
      <c r="GY28" s="59">
        <f t="shared" si="29"/>
        <v>533.4402559669727</v>
      </c>
      <c r="GZ28" s="59">
        <f ca="1">AVERAGE(OFFSET($GY$3,0,0,'Données projet'!$E$18+1,1))-AVERAGE(OFFSET($H$3,0,0,'Données projet'!$E$18+1,1))</f>
        <v>324.36162935850876</v>
      </c>
      <c r="HA28" s="59">
        <f t="shared" si="82"/>
        <v>265.23571072429735</v>
      </c>
      <c r="HB28" s="15">
        <f>IF(ISNA(VLOOKUP(A28,'Données projet'!$A$279:$I$299,3,0)),0,VLOOKUP(A28,'Données projet'!$A$279:$I$299,3,0))</f>
        <v>2</v>
      </c>
      <c r="HC28" s="15">
        <f>IF(ISNA(VLOOKUP(A28,'Données projet'!$A$279:$I$299,4,0)),0,VLOOKUP(A28,'Données projet'!$A$279:$I$299,4,0))</f>
        <v>35</v>
      </c>
      <c r="HD28" s="16">
        <f>IF(ISNA(VLOOKUP(A28,'Données projet'!$A$279:$I$299,5,0)),0%,VLOOKUP(A28,'Données projet'!$A$279:$I$299,5,0)*VLOOKUP('Données projet'!$B$18,Paramètres!$A$1:$I$89,7,0))</f>
        <v>0</v>
      </c>
      <c r="HE28" s="16">
        <f>IF(ISNA(VLOOKUP(A28,'Données projet'!$A$279:$I$299,6,0)),0%,VLOOKUP(A28,'Données projet'!$A$279:$I$299,6,0)*VLOOKUP('Données projet'!$B$18,Paramètres!$A$1:$I$89,7,0))</f>
        <v>3.9285714285714285E-2</v>
      </c>
      <c r="HF28" s="16">
        <f>IF(ISNA(VLOOKUP($A28,'Données projet'!$A$279:$I$299,7,0)),0%,VLOOKUP($A28,'Données projet'!$A$279:$I$299,7,0))</f>
        <v>0.4642857142857143</v>
      </c>
      <c r="HG28" s="21">
        <f>EXP(-LN(2)/35)*HG27+(1-EXP(-LN(2)/35))/(LN(2)/35)*HC28*HD28*VLOOKUP('Données projet'!$B$18,Paramètres!$A$1:$I$89,3,0)*0.475*44/12</f>
        <v>0</v>
      </c>
      <c r="HH28" s="21">
        <f>EXP(-LN(2)/25)*HH27+(1-EXP(-LN(2)/25))/(LN(2)/25)*Calculateur!HC28*Calculateur!HE28*VLOOKUP('Données projet'!$B$18,Paramètres!$A$1:$I$89,3,0)*0.475*44/12</f>
        <v>1.0459885365965653</v>
      </c>
      <c r="HI28" s="21">
        <f>EXP(-LN(2)/2)*HI27+(1-EXP(-LN(2)/2))/(LN(2)/2)*HC28*HF28*VLOOKUP('Données projet'!$B$18,Paramètres!$A$1:$I$89,3,0)*0.475*44/12</f>
        <v>8.655650418388495</v>
      </c>
      <c r="HJ28" s="22">
        <f t="shared" si="30"/>
        <v>9.7016389549850608</v>
      </c>
      <c r="HK28" s="74">
        <f>('Scénario référence'!$F$8+'Scénario référence'!$F$9+'Scénario référence'!$B$17+'Scénario référence'!$B$9+'Scénario référence'!$B$10)*70+IF((45+25*(1-EXP(-0.0175*$A28)))&lt;70,'Scénario référence'!$B$16*(45+25*(1-EXP(-0.0175*$A28))),70*'Scénario référence'!$B$16)+IF((32+38*(1-EXP(-0.0175*$A28)))&lt;70,'Scénario référence'!$B$18*(32+38*(1-EXP(-0.0175*$A28))),70*'Scénario référence'!$B$18)</f>
        <v>70</v>
      </c>
      <c r="HL28" s="12">
        <f>IF($A28&gt;30,10,('Scénario référence'!$B$16+'Scénario référence'!$B$17+'Scénario référence'!$B$18+'Scénario référence'!$B$9+'Scénario référence'!$B$10)*$A28*10/30+('Scénario référence'!$F$8+'Scénario référence'!$F$9)*10)</f>
        <v>10</v>
      </c>
      <c r="HM28" s="12" t="e">
        <f>VLOOKUP($A28,'Données projet'!$A$304:$I$324,2,0)</f>
        <v>#N/A</v>
      </c>
      <c r="HN28" s="12" t="e">
        <f>VLOOKUP($A28,'Données projet'!$A$304:$I$324,9,0)</f>
        <v>#N/A</v>
      </c>
      <c r="HO28" s="12">
        <f t="array" ref="HO28">INDEX(HN:HN,MIN(IF(ISNUMBER(HN28:HN224),ROW(HN28:HN224),"")))</f>
        <v>0</v>
      </c>
      <c r="HP28" s="12">
        <f>IF('Données projet'!$A$304&gt;35,HP27+HO28-HX27,IF($A28&lt;'Données projet'!$A$304,$CQ$205^$A28,IF($A28='Données projet'!$A$304,'Données projet'!$B$304,HP27+HO28-HX27)))</f>
        <v>0</v>
      </c>
      <c r="HQ28" s="17">
        <f>HP28*VLOOKUP('Données projet'!$B$19,Paramètres!$A$1:$I$89,3,0)*VLOOKUP('Données projet'!$B$19,Paramètres!$A$1:$I$89,5,0)</f>
        <v>0</v>
      </c>
      <c r="HR28" s="13" t="e">
        <f t="shared" si="83"/>
        <v>#NUM!</v>
      </c>
      <c r="HS28" s="14" t="e">
        <f t="shared" si="31"/>
        <v>#NUM!</v>
      </c>
      <c r="HT28" s="59" t="e">
        <f t="shared" si="32"/>
        <v>#NUM!</v>
      </c>
      <c r="HU28" s="59">
        <f ca="1">AVERAGE(OFFSET(HT$3,0,0,'Données projet'!$E$19+1,1))-AVERAGE(OFFSET($H$3,0,0,'Données projet'!$E$19+1,1))</f>
        <v>91.60721429656013</v>
      </c>
      <c r="HV28" s="59">
        <f t="shared" si="84"/>
        <v>258.94957804210856</v>
      </c>
      <c r="HW28" s="15">
        <f>IF(ISNA(VLOOKUP($A28,'Données projet'!$A$304:$I$324,3,0)),0,VLOOKUP($A28,'Données projet'!$A$304:$I$324,3,0))</f>
        <v>0</v>
      </c>
      <c r="HX28" s="15">
        <f>IF(ISNA(VLOOKUP($A28,'Données projet'!$A$304:$I$324,4,0)),0,VLOOKUP($A28,'Données projet'!$A$304:$I$324,4,0))</f>
        <v>0</v>
      </c>
      <c r="HY28" s="16">
        <f>IF(ISNA(VLOOKUP($A28,'Données projet'!$A$304:$I$324,5,0)),0%,VLOOKUP($A28,'Données projet'!$A$304:$I$324,5,0)*VLOOKUP('Données projet'!$B$19,Paramètres!$A$1:$I$89,7,0))</f>
        <v>0</v>
      </c>
      <c r="HZ28" s="16">
        <f>IF(ISNA(VLOOKUP($A28,'Données projet'!$A$304:$I$324,6,0)),0%,VLOOKUP($A28,'Données projet'!$A$304:$I$324,6,0)*VLOOKUP('Données projet'!$B$19,Paramètres!$A$1:$I$89,7,0))</f>
        <v>0</v>
      </c>
      <c r="IA28" s="16">
        <f>IF(ISNA(VLOOKUP($A28,'Données projet'!$A$304:$I$324,7,0)),0%,VLOOKUP($A28,'Données projet'!$A$304:$I$324,7,0))</f>
        <v>0</v>
      </c>
      <c r="IB28" s="21">
        <f>EXP(-LN(2)/35)*IB27+(1-EXP(-LN(2)/35))/(LN(2)/35)*HX28*HY28*VLOOKUP('Données projet'!$B$19,Paramètres!$A$1:$I$89,3,0)*0.475*44/12</f>
        <v>54.467721955272268</v>
      </c>
      <c r="IC28" s="21">
        <f>EXP(-LN(2)/25)*IC27+(1-EXP(-LN(2)/25))/(LN(2)/25)*Calculateur!HX28*Calculateur!HZ28*VLOOKUP('Données projet'!$B$19,Paramètres!$A$1:$I$89,3,0)*0.475*44/12</f>
        <v>11.174223630742661</v>
      </c>
      <c r="ID28" s="21">
        <f>EXP(-LN(2)/2)*ID27+(1-EXP(-LN(2)/2))/(LN(2)/2)*HX28*IA28*VLOOKUP('Données projet'!$B$19,Paramètres!$A$1:$I$89,3,0)*0.475*44/12</f>
        <v>3.2405420340204532</v>
      </c>
      <c r="IE28" s="22">
        <f t="shared" si="33"/>
        <v>68.882487620035377</v>
      </c>
      <c r="IF28" s="74">
        <f>('Scénario référence'!$F$8+'Scénario référence'!$F$9+'Scénario référence'!$B$17+'Scénario référence'!$B$9+'Scénario référence'!$B$10)*70+IF((45+25*(1-EXP(-0.0175*$A28)))&lt;70,'Scénario référence'!$B$16*(45+25*(1-EXP(-0.0175*$A28))),70*'Scénario référence'!$B$16)+IF((32+38*(1-EXP(-0.0175*$A28)))&lt;70,'Scénario référence'!$B$18*(32+38*(1-EXP(-0.0175*$A28))),70*'Scénario référence'!$B$18)</f>
        <v>70</v>
      </c>
      <c r="IG28" s="12">
        <f>IF($A28&gt;30,10,('Scénario référence'!$B$16+'Scénario référence'!$B$17+'Scénario référence'!$B$18+'Scénario référence'!$B$9+'Scénario référence'!$B$10)*$A28*10/30+('Scénario référence'!$F$8+'Scénario référence'!$F$9)*10)</f>
        <v>10</v>
      </c>
      <c r="IH28" s="12" t="e">
        <f>VLOOKUP($A28,'Données projet'!$A$330:$I$350,2,0)</f>
        <v>#N/A</v>
      </c>
      <c r="II28" s="12" t="e">
        <f>VLOOKUP($A28,'Données projet'!$A$330:$I$350,9,0)</f>
        <v>#N/A</v>
      </c>
      <c r="IJ28" s="12">
        <f t="array" ref="IJ28">INDEX(II:II,MIN(IF(ISNUMBER(II28:II224),ROW(II28:II224),"")))</f>
        <v>0</v>
      </c>
      <c r="IK28" s="12">
        <f>IF('Données projet'!$A$330&gt;35,IK27+IJ28-IS27,IF($A28&lt;'Données projet'!$A$330,$CQ$205^$A28,IF($A28='Données projet'!$A$330,'Données projet'!$B$330,IK27+IJ28-IS27)))</f>
        <v>0</v>
      </c>
      <c r="IL28" s="17">
        <f>IK28*VLOOKUP('Données projet'!$B$20,Paramètres!$A$1:$I$89,3,0)*VLOOKUP('Données projet'!$B$20,Paramètres!$A$1:$I$89,5,0)</f>
        <v>0</v>
      </c>
      <c r="IM28" s="13" t="e">
        <f t="shared" si="85"/>
        <v>#NUM!</v>
      </c>
      <c r="IN28" s="20" t="e">
        <f t="shared" si="86"/>
        <v>#NUM!</v>
      </c>
      <c r="IO28" s="59" t="e">
        <f t="shared" si="87"/>
        <v>#NUM!</v>
      </c>
      <c r="IP28" s="59">
        <f ca="1">AVERAGE(OFFSET(IO$3,0,0,'Données projet'!$E$20+1,1))-AVERAGE(OFFSET($H$3,0,0,'Données projet'!$E$20+1,1))</f>
        <v>91.60721429656013</v>
      </c>
      <c r="IQ28" s="59">
        <f t="shared" si="88"/>
        <v>258.94957804210856</v>
      </c>
      <c r="IR28" s="15">
        <f>IF(ISNA(VLOOKUP($A28,'Données projet'!$A$330:$I$350,3,0)),0,VLOOKUP($A28,'Données projet'!$A$330:$I$350,3,0))</f>
        <v>0</v>
      </c>
      <c r="IS28" s="15">
        <f>IF(ISNA(VLOOKUP($A28,'Données projet'!$A$330:$I$350,4,0)),0,VLOOKUP($A28,'Données projet'!$A$330:$I$350,4,0))</f>
        <v>0</v>
      </c>
      <c r="IT28" s="16">
        <f>IF(ISNA(VLOOKUP($A28,'Données projet'!$A$330:$I$350,5,0)),0%,VLOOKUP($A28,'Données projet'!$A$330:$I$350,5,0)*VLOOKUP('Données projet'!$B$20,Paramètres!$A$1:$I$89,7,0))</f>
        <v>0</v>
      </c>
      <c r="IU28" s="16">
        <f>IF(ISNA(VLOOKUP($A28,'Données projet'!$A$330:$I$350,6,0)),0%,VLOOKUP($A28,'Données projet'!$A$330:$I$350,6,0)*VLOOKUP('Données projet'!$B$20,Paramètres!$A$1:$I$89,7,0))</f>
        <v>0</v>
      </c>
      <c r="IV28" s="16">
        <f>IF(ISNA(VLOOKUP($A28,'Données projet'!$A$330:$I$350,7,0)),0%,VLOOKUP($A28,'Données projet'!$A$330:$I$350,7,0))</f>
        <v>0</v>
      </c>
      <c r="IW28" s="21">
        <f>EXP(-LN(2)/35)*IW27+(1-EXP(-LN(2)/35))/(LN(2)/35)*IS28*IT28*VLOOKUP('Données projet'!$B$20,Paramètres!$A$1:$I$89,3,0)*0.475*44/12</f>
        <v>54.467721955272268</v>
      </c>
      <c r="IX28" s="21">
        <f>EXP(-LN(2)/25)*IX27+(1-EXP(-LN(2)/25))/(LN(2)/25)*Calculateur!IS28*Calculateur!IU28*VLOOKUP('Données projet'!$B$20,Paramètres!$A$1:$I$89,3,0)*0.475*44/12</f>
        <v>11.174223630742661</v>
      </c>
      <c r="IY28" s="21">
        <f>EXP(-LN(2)/2)*IY27+(1-EXP(-LN(2)/2))/(LN(2)/2)*IS28*IV28*VLOOKUP('Données projet'!$B$20,Paramètres!$A$1:$I$89,3,0)*0.475*44/12</f>
        <v>3.2405420340204532</v>
      </c>
      <c r="IZ28" s="22">
        <f t="shared" si="89"/>
        <v>68.882487620035377</v>
      </c>
      <c r="JA28" s="74">
        <f>('Scénario référence'!$F$8+'Scénario référence'!$F$9+'Scénario référence'!$B$17+'Scénario référence'!$B$9+'Scénario référence'!$B$10)*70+IF((45+25*(1-EXP(-0.0175*$A28)))&lt;70,'Scénario référence'!$B$16*(45+25*(1-EXP(-0.0175*$A28))),70*'Scénario référence'!$B$16)+IF((32+38*(1-EXP(-0.0175*$A28)))&lt;70,'Scénario référence'!$B$18*(32+38*(1-EXP(-0.0175*$A28))),70*'Scénario référence'!$B$18)</f>
        <v>70</v>
      </c>
      <c r="JB28" s="12">
        <f>IF($A28&gt;30,10,('Scénario référence'!$B$16+'Scénario référence'!$B$17+'Scénario référence'!$B$18+'Scénario référence'!$B$9+'Scénario référence'!$B$10)*$A28*10/30+('Scénario référence'!$F$8+'Scénario référence'!$F$9)*10)</f>
        <v>10</v>
      </c>
      <c r="JC28" s="12">
        <f>VLOOKUP($A28,'Données projet'!$A$356:$I$376,2,0)</f>
        <v>76</v>
      </c>
      <c r="JD28" s="12">
        <f>VLOOKUP($A28,'Données projet'!$A$356:$I$376,9,0)</f>
        <v>3.04</v>
      </c>
      <c r="JE28" s="12">
        <f t="array" ref="JE28">INDEX(JD:JD,MIN(IF(ISNUMBER(JD28:JD224),ROW(JD28:JD224),"")))</f>
        <v>3.04</v>
      </c>
      <c r="JF28" s="12">
        <f>IF('Données projet'!$A$356&gt;35,JF27+JE28-JN27,IF($A28&lt;'Données projet'!$A$356,$CQ$205^$A28,IF($A28='Données projet'!$A$356,'Données projet'!$B$356,JF27+JE28-JN27)))</f>
        <v>76.000000000000014</v>
      </c>
      <c r="JG28" s="17">
        <f>JF28*VLOOKUP('Données projet'!$B$21,Paramètres!$A$1:$I$89,3,0)*VLOOKUP('Données projet'!$B$21,Paramètres!$A$1:$I$89,5,0)</f>
        <v>61.651200000000017</v>
      </c>
      <c r="JH28" s="13">
        <f t="shared" si="90"/>
        <v>17.58508227367491</v>
      </c>
      <c r="JI28" s="20">
        <f t="shared" si="91"/>
        <v>138.0031916266505</v>
      </c>
      <c r="JJ28" s="59">
        <f t="shared" si="92"/>
        <v>431.33652495998382</v>
      </c>
      <c r="JK28" s="59">
        <f ca="1">AVERAGE(OFFSET($JJ$3,0,0,'Données projet'!$E$22+1,1))-AVERAGE(OFFSET($H$3,0,0,'Données projet'!$E$22+1,1))</f>
        <v>353.35574633294613</v>
      </c>
      <c r="JL28" s="59">
        <f t="shared" si="93"/>
        <v>170.36796666474726</v>
      </c>
      <c r="JM28" s="15">
        <f>IF(ISNA(VLOOKUP($A28,'Données projet'!$A$356:$I$376,3,0)),0,VLOOKUP($A28,'Données projet'!$A$356:$I$376,3,0))</f>
        <v>1</v>
      </c>
      <c r="JN28" s="15">
        <f>IF(ISNA(VLOOKUP($A28,'Données projet'!$A$356:$I$376,4,0)),0,VLOOKUP($A28,'Données projet'!$A$356:$I$376,4,0))</f>
        <v>7</v>
      </c>
      <c r="JO28" s="16">
        <f>IF(ISNA(VLOOKUP($A28,'Données projet'!$A$356:$I$376,5,0)),0%,VLOOKUP($A28,'Données projet'!$A$356:$I$376,5,0)*VLOOKUP('Données projet'!$B$21,Paramètres!$A$1:$I$89,7,0))</f>
        <v>0</v>
      </c>
      <c r="JP28" s="16">
        <f>IF(ISNA(VLOOKUP($A28,'Données projet'!$A$356:$I$376,6,0)),0%,VLOOKUP($A28,'Données projet'!$A$356:$I$376,6,0)*VLOOKUP('Données projet'!$B$21,Paramètres!$A$1:$I$89,7,0))</f>
        <v>0</v>
      </c>
      <c r="JQ28" s="16">
        <f>IF(ISNA(VLOOKUP($A28,'Données projet'!$A$356:$I$376,7,0)),0%,VLOOKUP($A28,'Données projet'!$A$356:$I$376,7,0))</f>
        <v>0</v>
      </c>
      <c r="JR28" s="21">
        <f>EXP(-LN(2)/35)*JR27+(1-EXP(-LN(2)/35))/(LN(2)/35)*JN28*JO28*VLOOKUP('Données projet'!$B$21,Paramètres!$A$1:$I$89,3,0)*0.475*44/12</f>
        <v>0</v>
      </c>
      <c r="JS28" s="21">
        <f>EXP(-LN(2)/25)*JS27+(1-EXP(-LN(2)/25))/(LN(2)/25)*Calculateur!JN28*Calculateur!JP28*VLOOKUP('Données projet'!$B$21,Paramètres!$A$1:$I$89,3,0)*0.475*44/12</f>
        <v>0</v>
      </c>
      <c r="JT28" s="21">
        <f>EXP(-LN(2)/2)*JT27+(1-EXP(-LN(2)/2))/(LN(2)/2)*JN28*JQ28*VLOOKUP('Données projet'!$B$21,Paramètres!$A$1:$I$89,3,0)*0.475*44/12</f>
        <v>0</v>
      </c>
      <c r="JU28" s="18">
        <f t="shared" si="39"/>
        <v>0</v>
      </c>
      <c r="JV28" s="74">
        <f>('Scénario référence'!$F$8+'Scénario référence'!$F$9+'Scénario référence'!$B$17+'Scénario référence'!$B$9+'Scénario référence'!$B$10)*70+IF((45+25*(1-EXP(-0.0175*$A28)))&lt;70,'Scénario référence'!$B$16*(45+25*(1-EXP(-0.0175*$A28))),70*'Scénario référence'!$B$16)+IF((32+38*(1-EXP(-0.0175*$A28)))&lt;70,'Scénario référence'!$B$18*(32+38*(1-EXP(-0.0175*$A28))),70*'Scénario référence'!$B$18)</f>
        <v>70</v>
      </c>
      <c r="JW28" s="12">
        <f>IF($A28&gt;30,10,('Scénario référence'!$B$16+'Scénario référence'!$B$17+'Scénario référence'!$B$18+'Scénario référence'!$B$9+'Scénario référence'!$B$10)*$A28*10/30+('Scénario référence'!$F$8+'Scénario référence'!$F$9)*10)</f>
        <v>10</v>
      </c>
      <c r="JX28" s="12" t="e">
        <f>VLOOKUP($A28,'Données projet'!$A$382:$I$402,2,0)</f>
        <v>#N/A</v>
      </c>
      <c r="JY28" s="12" t="e">
        <f>VLOOKUP($A28,'Données projet'!$A$382:$I$402,9,0)</f>
        <v>#N/A</v>
      </c>
      <c r="JZ28" s="12">
        <f t="array" ref="JZ28">INDEX(JY:JY,MIN(IF(ISNUMBER(JY28:JY224),ROW(JY28:JY224),"")))</f>
        <v>4.0628205128205126</v>
      </c>
      <c r="KA28" s="12">
        <f>IF('Données projet'!$A$382&gt;35,KA27+JZ28-KI27,IF($A28&lt;'Données projet'!$A$382,$CQ$205^$A28,IF($A28='Données projet'!$A$382,'Données projet'!$B$382,KA27+JZ28-KI27)))</f>
        <v>101.57051282051279</v>
      </c>
      <c r="KB28" s="17">
        <f>KA28*VLOOKUP('Données projet'!$B$22,Paramètres!$A$1:$I$89,3,0)*VLOOKUP('Données projet'!$B$22,Paramètres!$A$1:$I$89,5,0)</f>
        <v>68.133499999999984</v>
      </c>
      <c r="KC28" s="13">
        <f t="shared" si="94"/>
        <v>19.209213282429342</v>
      </c>
      <c r="KD28" s="20">
        <f t="shared" si="95"/>
        <v>152.12189230023105</v>
      </c>
      <c r="KE28" s="59">
        <f t="shared" si="96"/>
        <v>445.4552256335644</v>
      </c>
      <c r="KF28" s="59">
        <f ca="1">AVERAGE(OFFSET($KE$3,0,0,'Données projet'!$E$22+1,1))-AVERAGE(OFFSET($H$3,0,0,'Données projet'!$E$22+1,1))</f>
        <v>193.91714772848269</v>
      </c>
      <c r="KG28" s="59">
        <f t="shared" si="97"/>
        <v>159.20429420478047</v>
      </c>
      <c r="KH28" s="15">
        <f>IF(ISNA(VLOOKUP($A28,'Données projet'!$A$382:$I$402,3,0)),0,VLOOKUP($A28,'Données projet'!$A$382:$I$402,3,0))</f>
        <v>0</v>
      </c>
      <c r="KI28" s="15">
        <f>IF(ISNA(VLOOKUP($A28,'Données projet'!$A$382:$I$402,4,0)),0,VLOOKUP($A28,'Données projet'!$A$382:$I$402,4,0))</f>
        <v>0</v>
      </c>
      <c r="KJ28" s="16">
        <f>IF(ISNA(VLOOKUP($A28,'Données projet'!$A$382:$I$402,5,0)),0%,VLOOKUP($A28,'Données projet'!$A$382:$I$402,5,0)*VLOOKUP('Données projet'!$B$22,Paramètres!$A$1:$I$89,7,0))</f>
        <v>0</v>
      </c>
      <c r="KK28" s="16">
        <f>IF(ISNA(VLOOKUP($A28,'Données projet'!$A$382:$I$402,6,0)),0%,VLOOKUP($A28,'Données projet'!$A$382:$I$402,6,0)*VLOOKUP('Données projet'!$B$22,Paramètres!$A$1:$I$89,7,0))</f>
        <v>0</v>
      </c>
      <c r="KL28" s="16">
        <f>IF(ISNA(VLOOKUP($A28,'Données projet'!$A$382:$I$402,7,0)),0%,VLOOKUP($A28,'Données projet'!$A$382:$I$402,7,0))</f>
        <v>0</v>
      </c>
      <c r="KM28" s="21">
        <f>EXP(-LN(2)/35)*KM27+(1-EXP(-LN(2)/35))/(LN(2)/35)*KI28*KJ28*VLOOKUP('Données projet'!$B$22,Paramètres!$A$1:$I$89,3,0)*0.475*44/12</f>
        <v>0</v>
      </c>
      <c r="KN28" s="21">
        <f>EXP(-LN(2)/25)*KN27+(1-EXP(-LN(2)/25))/(LN(2)/25)*Calculateur!KI28*Calculateur!KK28*VLOOKUP('Données projet'!$B$22,Paramètres!$A$1:$I$89,3,0)*0.475*44/12</f>
        <v>0</v>
      </c>
      <c r="KO28" s="21">
        <f>EXP(-LN(2)/2)*KO27+(1-EXP(-LN(2)/2))/(LN(2)/2)*KI28*KL28*VLOOKUP('Données projet'!$B$22,Paramètres!$A$1:$I$89,3,0)*0.475*44/12</f>
        <v>0</v>
      </c>
      <c r="KP28" s="22">
        <f t="shared" si="98"/>
        <v>0</v>
      </c>
      <c r="KQ28" s="74">
        <f>('Scénario référence'!$F$8+'Scénario référence'!$F$9+'Scénario référence'!$B$17+'Scénario référence'!$B$9+'Scénario référence'!$B$10)*70+IF((45+25*(1-EXP(-0.0175*$A28)))&lt;70,'Scénario référence'!$B$16*(45+25*(1-EXP(-0.0175*$A28))),70*'Scénario référence'!$B$16)+IF((32+38*(1-EXP(-0.0175*$A28)))&lt;70,'Scénario référence'!$B$18*(32+38*(1-EXP(-0.0175*$A28))),70*'Scénario référence'!$B$18)</f>
        <v>70</v>
      </c>
      <c r="KR28" s="12">
        <f>IF($A28&gt;30,10,('Scénario référence'!$B$16+'Scénario référence'!$B$17+'Scénario référence'!$B$18+'Scénario référence'!$B$9+'Scénario référence'!$B$10)*$A28*10/30+('Scénario référence'!$F$8+'Scénario référence'!$F$9)*10)</f>
        <v>10</v>
      </c>
      <c r="KS28" s="12">
        <f>VLOOKUP($A28,'Données projet'!$A$408:$I$428,2,0)</f>
        <v>115</v>
      </c>
      <c r="KT28" s="12">
        <f>VLOOKUP($A28,'Données projet'!$A$408:$I$428,9,0)</f>
        <v>12.6</v>
      </c>
      <c r="KU28" s="12">
        <f t="array" ref="KU28">INDEX(KT:KT,MIN(IF(ISNUMBER(KT28:KT224),ROW(KT28:KT224),"")))</f>
        <v>12.6</v>
      </c>
      <c r="KV28" s="12">
        <f>IF('Données projet'!$A$408&gt;35,KV27+KU28-LD27,IF($A28&lt;'Données projet'!$A$408,$CQ$205^$A28,IF($A28='Données projet'!$A$408,'Données projet'!$B$408,KV27+KU28-LD27)))</f>
        <v>114.99999999999999</v>
      </c>
      <c r="KW28" s="17">
        <f>KV28*VLOOKUP('Données projet'!$B$23,Paramètres!$A$1:$I$89,3,0)*VLOOKUP('Données projet'!$B$23,Paramètres!$A$1:$I$89,5,0)</f>
        <v>100.46399999999998</v>
      </c>
      <c r="KX28" s="13">
        <f t="shared" si="99"/>
        <v>27.072509349827456</v>
      </c>
      <c r="KY28" s="14">
        <f t="shared" si="43"/>
        <v>222.12608711761615</v>
      </c>
      <c r="KZ28" s="59">
        <f t="shared" si="44"/>
        <v>515.45942045094944</v>
      </c>
      <c r="LA28" s="59">
        <f ca="1">AVERAGE(OFFSET($KZ$3,0,0,'Données projet'!$E$23+1,1))-AVERAGE(OFFSET($H$3,0,0,'Données projet'!$E$23+1,1))</f>
        <v>248.33596943633819</v>
      </c>
      <c r="LB28" s="59">
        <f t="shared" si="100"/>
        <v>242.34010522344573</v>
      </c>
      <c r="LC28" s="15">
        <f>IF(ISNA(VLOOKUP($A28,'Données projet'!$A$408:$I$428,3,0)),0,VLOOKUP($A28,'Données projet'!$A$408:$I$428,3,0))</f>
        <v>3</v>
      </c>
      <c r="LD28" s="15">
        <f>IF(ISNA(VLOOKUP($A28,'Données projet'!$A$408:$I$428,4,0)),0,VLOOKUP($A28,'Données projet'!$A$408:$I$428,4,0))</f>
        <v>28</v>
      </c>
      <c r="LE28" s="16">
        <f>IF(ISNA(VLOOKUP($A28,'Données projet'!$A$408:$I$428,5,0)),0%,VLOOKUP($A28,'Données projet'!$A$408:$I$428,5,0)*VLOOKUP('Données projet'!$B$23,Paramètres!$A$1:$I$89,7,0))</f>
        <v>0</v>
      </c>
      <c r="LF28" s="16">
        <f>IF(ISNA(VLOOKUP($A28,'Données projet'!$A$408:$I$428,6,0)),0%,VLOOKUP($A28,'Données projet'!$A$408:$I$428,6,0)*VLOOKUP('Données projet'!$B$23,Paramètres!$A$1:$I$89,7,0))</f>
        <v>3.0100000000000002E-2</v>
      </c>
      <c r="LG28" s="16">
        <f>IF(ISNA(VLOOKUP($A28,'Données projet'!$A$408:$I$428,7,0)),0%,VLOOKUP($A28,'Données projet'!$A$408:$I$428,7,0))</f>
        <v>0</v>
      </c>
      <c r="LH28" s="21">
        <f>EXP(-LN(2)/35)*LH27+(1-EXP(-LN(2)/35))/(LN(2)/35)*LD28*LE28*VLOOKUP('Données projet'!$B$23,Paramètres!$A$1:$I$89,3,0)*0.475*44/12</f>
        <v>0</v>
      </c>
      <c r="LI28" s="21">
        <f>EXP(-LN(2)/25)*LI27+(1-EXP(-LN(2)/25))/(LN(2)/25)*Calculateur!LD28*Calculateur!LF28*VLOOKUP('Données projet'!$B$23,Paramètres!$A$1:$I$89,3,0)*0.475*44/12</f>
        <v>0.81072003284778205</v>
      </c>
      <c r="LJ28" s="21">
        <f>EXP(-LN(2)/2)*LJ27+(1-EXP(-LN(2)/2))/(LN(2)/2)*LD28*LG28*VLOOKUP('Données projet'!$B$23,Paramètres!$A$1:$I$89,3,0)*0.475*44/12</f>
        <v>0</v>
      </c>
      <c r="LK28" s="22">
        <f t="shared" si="101"/>
        <v>0.81072003284778205</v>
      </c>
      <c r="LL28" s="74">
        <f>('Scénario référence'!$F$8+'Scénario référence'!$F$9+'Scénario référence'!$B$17+'Scénario référence'!$B$9+'Scénario référence'!$B$10)*70+IF((45+25*(1-EXP(-0.0175*$A28)))&lt;70,'Scénario référence'!$B$16*(45+25*(1-EXP(-0.0175*$A28))),70*'Scénario référence'!$B$16)+IF((32+38*(1-EXP(-0.0175*$A28)))&lt;70,'Scénario référence'!$B$18*(32+38*(1-EXP(-0.0175*$A28))),70*'Scénario référence'!$B$18)</f>
        <v>70</v>
      </c>
      <c r="LM28" s="12">
        <f>IF($A28&gt;30,10,('Scénario référence'!$B$16+'Scénario référence'!$B$17+'Scénario référence'!$B$18+'Scénario référence'!$B$9+'Scénario référence'!$B$10)*$A28*10/30+('Scénario référence'!$F$8+'Scénario référence'!$F$9)*10)</f>
        <v>10</v>
      </c>
      <c r="LN28" s="12" t="e">
        <f>VLOOKUP($A28,'Données projet'!$A$434:$I$454,2,0)</f>
        <v>#N/A</v>
      </c>
      <c r="LO28" s="12" t="e">
        <f>VLOOKUP($A28,'Données projet'!$A$434:$I$454,9,0)</f>
        <v>#N/A</v>
      </c>
      <c r="LP28" s="12">
        <f t="array" ref="LP28">INDEX(LO:LO,MIN(IF(ISNUMBER(LO28:LO224),ROW(LO28:LO224),"")))</f>
        <v>2.9235042735042733</v>
      </c>
      <c r="LQ28" s="12">
        <f>IF('Données projet'!$A$434&gt;35,LQ27+LP28-LY27,IF($A28&lt;'Données projet'!$A$434,$CQ$205^$A28,IF($A28='Données projet'!$A$434,'Données projet'!$B$434,LQ27+LP28-LY27)))</f>
        <v>73.087606837606828</v>
      </c>
      <c r="LR28" s="17">
        <f>LQ28*VLOOKUP('Données projet'!$B$24,Paramètres!$A$1:$I$89,3,0)*VLOOKUP('Données projet'!$B$24,Paramètres!$A$1:$I$89,5,0)</f>
        <v>74.110833333333332</v>
      </c>
      <c r="LS28" s="13">
        <f t="shared" si="102"/>
        <v>20.69090716112337</v>
      </c>
      <c r="LT28" s="14">
        <f t="shared" si="46"/>
        <v>165.11303136117877</v>
      </c>
      <c r="LU28" s="59">
        <f t="shared" si="103"/>
        <v>458.44636469451211</v>
      </c>
      <c r="LV28" s="59">
        <f ca="1">AVERAGE(OFFSET($LU$3,0,0,'Données projet'!$E$24+1,1))-AVERAGE(OFFSET($H$3,0,0,'Données projet'!$E$24+1,1))</f>
        <v>260.52627655062872</v>
      </c>
      <c r="LW28" s="59">
        <f t="shared" si="104"/>
        <v>159.20429420478047</v>
      </c>
      <c r="LX28" s="15">
        <f>IF(ISNA(VLOOKUP($A28,'Données projet'!$A$434:$I$454,3,0)),0,VLOOKUP($A28,'Données projet'!$A$434:$I$454,3,0))</f>
        <v>0</v>
      </c>
      <c r="LY28" s="15">
        <f>IF(ISNA(VLOOKUP($A28,'Données projet'!$A$434:$I$454,4,0)),0,VLOOKUP($A28,'Données projet'!$A$434:$I$454,4,0))</f>
        <v>0</v>
      </c>
      <c r="LZ28" s="16">
        <f>IF(ISNA(VLOOKUP($A28,'Données projet'!$A$434:$I$454,5,0)),0%,VLOOKUP($A28,'Données projet'!$A$434:$I$454,5,0)*VLOOKUP('Données projet'!$B$24,Paramètres!$A$1:$I$89,7,0))</f>
        <v>0</v>
      </c>
      <c r="MA28" s="16">
        <f>IF(ISNA(VLOOKUP($A28,'Données projet'!$A$434:$I$454,6,0)),0%,VLOOKUP($A28,'Données projet'!$A$434:$I$454,6,0)*VLOOKUP('Données projet'!$B$24,Paramètres!$A$1:$I$89,7,0))</f>
        <v>0</v>
      </c>
      <c r="MB28" s="16">
        <f>IF(ISNA(VLOOKUP($A28,'Données projet'!$A$434:$I$454,7,0)),0%,VLOOKUP($A28,'Données projet'!$A$434:$I$454,7,0))</f>
        <v>0</v>
      </c>
      <c r="MC28" s="21">
        <f>EXP(-LN(2)/35)*MC27+(1-EXP(-LN(2)/35))/(LN(2)/35)*LY28*LZ28*VLOOKUP('Données projet'!$B$24,Paramètres!$A$1:$I$89,3,0)*0.475*44/12</f>
        <v>0</v>
      </c>
      <c r="MD28" s="21">
        <f>EXP(-LN(2)/25)*MD27+(1-EXP(-LN(2)/25))/(LN(2)/25)*Calculateur!LY28*Calculateur!MA28*VLOOKUP('Données projet'!$B$24,Paramètres!$A$1:$I$89,3,0)*0.475*44/12</f>
        <v>0</v>
      </c>
      <c r="ME28" s="21">
        <f>EXP(-LN(2)/2)*ME27+(1-EXP(-LN(2)/2))/(LN(2)/2)*LY28*MB28*VLOOKUP('Données projet'!$B$24,Paramètres!$A$1:$I$89,3,0)*0.475*44/12</f>
        <v>0</v>
      </c>
      <c r="MF28" s="22">
        <f t="shared" si="105"/>
        <v>0</v>
      </c>
      <c r="MG28" s="74">
        <f>('Scénario référence'!$F$8+'Scénario référence'!$F$9+'Scénario référence'!$B$17+'Scénario référence'!$B$9+'Scénario référence'!$B$10)*70+IF((45+25*(1-EXP(-0.0175*$A28)))&lt;70,'Scénario référence'!$B$16*(45+25*(1-EXP(-0.0175*$A28))),70*'Scénario référence'!$B$16)+IF((32+38*(1-EXP(-0.0175*$A28)))&lt;70,'Scénario référence'!$B$18*(32+38*(1-EXP(-0.0175*$A28))),70*'Scénario référence'!$B$18)</f>
        <v>70</v>
      </c>
      <c r="MH28" s="12">
        <f>IF($A28&gt;30,10,('Scénario référence'!$B$16+'Scénario référence'!$B$17+'Scénario référence'!$B$18+'Scénario référence'!$B$9+'Scénario référence'!$B$10)*$A28*10/30+('Scénario référence'!$F$8+'Scénario référence'!$F$9)*10)</f>
        <v>10</v>
      </c>
      <c r="MI28" s="12" t="e">
        <f>VLOOKUP($A28,'Données projet'!$A$460:$I$480,2,0)</f>
        <v>#N/A</v>
      </c>
      <c r="MJ28" s="12" t="e">
        <f>VLOOKUP($A28,'Données projet'!$A$460:$I$480,9,0)</f>
        <v>#N/A</v>
      </c>
      <c r="MK28" s="12">
        <f t="array" ref="MK28">INDEX(MJ:MJ,MIN(IF(ISNUMBER(MJ28:MJ224),ROW(MJ28:MJ224),"")))</f>
        <v>0</v>
      </c>
      <c r="ML28" s="12">
        <f>IF('Données projet'!$A$460&gt;35,ML27+MK28-MT27,IF($A28&lt;'Données projet'!$A$460,$CQ$205^$A28,IF($A28='Données projet'!$A$460,'Données projet'!$B$460,ML27+MK28-MT27)))</f>
        <v>0</v>
      </c>
      <c r="MM28" s="17" t="e">
        <f>ML28*VLOOKUP('Données projet'!$B$25,Paramètres!$A$1:$I$89,3,0)*VLOOKUP('Données projet'!$B$25,Paramètres!$A$1:$I$89,5,0)</f>
        <v>#N/A</v>
      </c>
      <c r="MN28" s="13" t="e">
        <f t="shared" si="106"/>
        <v>#N/A</v>
      </c>
      <c r="MO28" s="14" t="e">
        <f t="shared" si="49"/>
        <v>#N/A</v>
      </c>
      <c r="MP28" s="59" t="e">
        <f t="shared" si="50"/>
        <v>#N/A</v>
      </c>
      <c r="MQ28" s="20" t="e">
        <f ca="1">AVERAGE(OFFSET($MP$3,0,0,'Données projet'!$E$25+1,1))-AVERAGE(OFFSET($H$3,0,0,'Données projet'!$E$25+1,1))</f>
        <v>#N/A</v>
      </c>
      <c r="MR28" s="59" t="e">
        <f t="shared" si="107"/>
        <v>#N/A</v>
      </c>
      <c r="MS28" s="15">
        <f>IF(ISNA(VLOOKUP($A28,'Données projet'!$A$460:$I$480,3,0)),0,VLOOKUP($A28,'Données projet'!$A$460:$I$480,3,0))</f>
        <v>0</v>
      </c>
      <c r="MT28" s="15">
        <f>IF(ISNA(VLOOKUP($A28,'Données projet'!$A$460:$I$480,4,0)),0,VLOOKUP($A28,'Données projet'!$A$460:$I$480,4,0))</f>
        <v>0</v>
      </c>
      <c r="MU28" s="16">
        <f>IF(ISNA(VLOOKUP($A28,'Données projet'!$A$460:$I$480,5,0)),0%,VLOOKUP($A28,'Données projet'!$A$460:$I$480,5,0)*VLOOKUP('Données projet'!$B$25,Paramètres!$A$1:$I$89,7,0))</f>
        <v>0</v>
      </c>
      <c r="MV28" s="16">
        <f>IF(ISNA(VLOOKUP($A28,'Données projet'!$A$460:$I$480,6,0)),0%,VLOOKUP($A28,'Données projet'!$A$460:$I$480,6,0)*VLOOKUP('Données projet'!$B$25,Paramètres!$A$1:$I$89,7,0))</f>
        <v>0</v>
      </c>
      <c r="MW28" s="16">
        <f>IF(ISNA(VLOOKUP($A28,'Données projet'!$A$460:$I$480,7,0)),0%,VLOOKUP($A28,'Données projet'!$A$460:$I$480,7,0))</f>
        <v>0</v>
      </c>
      <c r="MX28" s="21" t="e">
        <f>EXP(-LN(2)/35)*MX27+(1-EXP(-LN(2)/35))/(LN(2)/35)*MT28*MU28*VLOOKUP('Données projet'!$B$25,Paramètres!$A$1:$I$89,3,0)*0.475*44/12</f>
        <v>#N/A</v>
      </c>
      <c r="MY28" s="21" t="e">
        <f>EXP(-LN(2)/25)*MY27+(1-EXP(-LN(2)/25))/(LN(2)/25)*Calculateur!MT28*Calculateur!MV28*VLOOKUP('Données projet'!$B$25,Paramètres!$A$1:$I$89,3,0)*0.475*44/12</f>
        <v>#N/A</v>
      </c>
      <c r="MZ28" s="21" t="e">
        <f>EXP(-LN(2)/2)*MZ27+(1-EXP(-LN(2)/2))/(LN(2)/2)*MT28*MW28*VLOOKUP('Données projet'!$B$25,Paramètres!$A$1:$I$89,3,0)*0.475*44/12</f>
        <v>#N/A</v>
      </c>
      <c r="NA28" s="22" t="e">
        <f t="shared" si="108"/>
        <v>#N/A</v>
      </c>
      <c r="NB28" s="74">
        <f>('Scénario référence'!$F$8+'Scénario référence'!$F$9+'Scénario référence'!$B$17+'Scénario référence'!$B$9+'Scénario référence'!$B$10)*70+IF((45+25*(1-EXP(-0.0175*$A28)))&lt;70,'Scénario référence'!$B$16*(45+25*(1-EXP(-0.0175*$A28))),70*'Scénario référence'!$B$16)+IF((32+38*(1-EXP(-0.0175*$A28)))&lt;70,'Scénario référence'!$B$18*(32+38*(1-EXP(-0.0175*$A28))),70*'Scénario référence'!$B$18)</f>
        <v>70</v>
      </c>
      <c r="NC28" s="12">
        <f>IF($A28&gt;30,10,('Scénario référence'!$B$16+'Scénario référence'!$B$17+'Scénario référence'!$B$18+'Scénario référence'!$B$9+'Scénario référence'!$B$10)*$A28*10/30+('Scénario référence'!$F$8+'Scénario référence'!$F$9)*10)</f>
        <v>10</v>
      </c>
      <c r="ND28" s="12" t="e">
        <f>VLOOKUP($A28,'Données projet'!$A$486:$I$506,2,0)</f>
        <v>#N/A</v>
      </c>
      <c r="NE28" s="12" t="e">
        <f>VLOOKUP($A28,'Données projet'!$A$486:$I$506,9,0)</f>
        <v>#N/A</v>
      </c>
      <c r="NF28" s="12">
        <f t="array" ref="NF28">INDEX(NE:NE,MIN(IF(ISNUMBER(NE28:NE224),ROW(NE28:NE224),"")))</f>
        <v>0</v>
      </c>
      <c r="NG28" s="12">
        <f>IF('Données projet'!$A$486&gt;35,NG27+NF28-NO27,IF($A28&lt;'Données projet'!$A$486,$CQ$205^$A28,IF($A28='Données projet'!$A$486,'Données projet'!$B$486,NG27+NF28-NO27)))</f>
        <v>0</v>
      </c>
      <c r="NH28" s="17" t="e">
        <f>NG28*VLOOKUP('Données projet'!$B$26,Paramètres!$A$1:$I$89,3,0)*VLOOKUP('Données projet'!$B$26,Paramètres!$A$1:$I$89,5,0)</f>
        <v>#N/A</v>
      </c>
      <c r="NI28" s="13" t="e">
        <f t="shared" si="109"/>
        <v>#N/A</v>
      </c>
      <c r="NJ28" s="14" t="e">
        <f t="shared" si="52"/>
        <v>#N/A</v>
      </c>
      <c r="NK28" s="59" t="e">
        <f t="shared" si="53"/>
        <v>#N/A</v>
      </c>
      <c r="NL28" s="20" t="e">
        <f ca="1">AVERAGE(OFFSET($NK$3,0,0,'Données projet'!$E$26+1,1))-AVERAGE(OFFSET($H$3,0,0,'Données projet'!$E$26+1,1))</f>
        <v>#N/A</v>
      </c>
      <c r="NM28" s="59" t="e">
        <f t="shared" si="110"/>
        <v>#N/A</v>
      </c>
      <c r="NN28" s="15">
        <f>IF(ISNA(VLOOKUP($A28,'Données projet'!$A$486:$I$506,3,0)),0,VLOOKUP($A28,'Données projet'!$A$486:$I$506,3,0))</f>
        <v>0</v>
      </c>
      <c r="NO28" s="15">
        <f>IF(ISNA(VLOOKUP($A28,'Données projet'!$A$486:$I$506,4,0)),0,VLOOKUP($A28,'Données projet'!$A$486:$I$506,4,0))</f>
        <v>0</v>
      </c>
      <c r="NP28" s="16">
        <f>IF(ISNA(VLOOKUP($A28,'Données projet'!$A$486:$I$506,5,0)),0%,VLOOKUP($A28,'Données projet'!$A$486:$I$506,5,0)*VLOOKUP('Données projet'!$B$26,Paramètres!$A$1:$I$89,7,0))</f>
        <v>0</v>
      </c>
      <c r="NQ28" s="16">
        <f>IF(ISNA(VLOOKUP($A28,'Données projet'!$A$486:$I$506,6,0)),0%,VLOOKUP($A28,'Données projet'!$A$486:$I$506,6,0)*VLOOKUP('Données projet'!$B$26,Paramètres!$A$1:$I$89,7,0))</f>
        <v>0</v>
      </c>
      <c r="NR28" s="16">
        <f>IF(ISNA(VLOOKUP($A28,'Données projet'!$A$486:$I$506,7,0)),0%,VLOOKUP($A28,'Données projet'!$A$486:$I$506,7,0))</f>
        <v>0</v>
      </c>
      <c r="NS28" s="21" t="e">
        <f>EXP(-LN(2)/35)*NS27+(1-EXP(-LN(2)/35))/(LN(2)/35)*NO28*NP28*VLOOKUP('Données projet'!$B$26,Paramètres!$A$1:$I$89,3,0)*0.475*44/12</f>
        <v>#N/A</v>
      </c>
      <c r="NT28" s="21" t="e">
        <f>EXP(-LN(2)/25)*NT27+(1-EXP(-LN(2)/25))/(LN(2)/25)*Calculateur!NO28*Calculateur!NQ28*VLOOKUP('Données projet'!$B$26,Paramètres!$A$1:$I$89,3,0)*0.475*44/12</f>
        <v>#N/A</v>
      </c>
      <c r="NU28" s="21" t="e">
        <f>EXP(-LN(2)/2)*NU27+(1-EXP(-LN(2)/2))/(LN(2)/2)*NO28*NR28*VLOOKUP('Données projet'!$B$26,Paramètres!$A$1:$I$89,3,0)*0.475*44/12</f>
        <v>#N/A</v>
      </c>
      <c r="NV28" s="22" t="e">
        <f t="shared" si="111"/>
        <v>#N/A</v>
      </c>
      <c r="NW28" s="74">
        <f>('Scénario référence'!$F$8+'Scénario référence'!$F$9+'Scénario référence'!$B$17+'Scénario référence'!$B$9+'Scénario référence'!$B$10)*70+IF((45+25*(1-EXP(-0.0175*$A28)))&lt;70,'Scénario référence'!$B$16*(45+25*(1-EXP(-0.0175*$A28))),70*'Scénario référence'!$B$16)+IF((32+38*(1-EXP(-0.0175*$A28)))&lt;70,'Scénario référence'!$B$18*(32+38*(1-EXP(-0.0175*$A28))),70*'Scénario référence'!$B$18)</f>
        <v>70</v>
      </c>
      <c r="NX28" s="12">
        <f>IF($A28&gt;30,10,('Scénario référence'!$B$16+'Scénario référence'!$B$17+'Scénario référence'!$B$18+'Scénario référence'!$B$9+'Scénario référence'!$B$10)*$A28*10/30+('Scénario référence'!$F$8+'Scénario référence'!$F$9)*10)</f>
        <v>10</v>
      </c>
      <c r="NY28" s="12" t="e">
        <f>VLOOKUP($A28,'Données projet'!$A$512:$I$532,2,0)</f>
        <v>#N/A</v>
      </c>
      <c r="NZ28" s="12" t="e">
        <f>VLOOKUP($A28,'Données projet'!$A$512:$I$532,9,0)</f>
        <v>#N/A</v>
      </c>
      <c r="OA28" s="12">
        <f t="array" ref="OA28">INDEX(NZ:NZ,MIN(IF(ISNUMBER(NZ28:NZ224),ROW(NZ28:NZ224),"")))</f>
        <v>0</v>
      </c>
      <c r="OB28" s="12">
        <f>IF('Données projet'!$A$512&gt;35,OB27+OA28-OJ27,IF($A28&lt;'Données projet'!$A$512,$CQ$205^$A28,IF($A28='Données projet'!$A$512,'Données projet'!$B$512,OB27+OA28-OJ27)))</f>
        <v>0</v>
      </c>
      <c r="OC28" s="17" t="e">
        <f>OB28*VLOOKUP('Données projet'!$B$27,Paramètres!$A$1:$I$89,3,0)*VLOOKUP('Données projet'!$B$27,Paramètres!$A$1:$I$89,5,0)</f>
        <v>#N/A</v>
      </c>
      <c r="OD28" s="13" t="e">
        <f t="shared" si="112"/>
        <v>#N/A</v>
      </c>
      <c r="OE28" s="14" t="e">
        <f t="shared" si="55"/>
        <v>#N/A</v>
      </c>
      <c r="OF28" s="59" t="e">
        <f t="shared" si="56"/>
        <v>#N/A</v>
      </c>
      <c r="OG28" s="20" t="e">
        <f ca="1">AVERAGE(OFFSET($OF$3,0,0,'Données projet'!$E$27+1,1))-AVERAGE(OFFSET($H$3,0,0,'Données projet'!$E$27+1,1))</f>
        <v>#N/A</v>
      </c>
      <c r="OH28" s="59" t="e">
        <f t="shared" si="113"/>
        <v>#N/A</v>
      </c>
      <c r="OI28" s="15">
        <f>IF(ISNA(VLOOKUP($A28,'Données projet'!$A$512:$I$532,3,0)),0,VLOOKUP($A28,'Données projet'!$A$512:$I$532,3,0))</f>
        <v>0</v>
      </c>
      <c r="OJ28" s="15">
        <f>IF(ISNA(VLOOKUP($A28,'Données projet'!$A$512:$I$532,4,0)),0,VLOOKUP($A28,'Données projet'!$A$512:$I$532,4,0))</f>
        <v>0</v>
      </c>
      <c r="OK28" s="16">
        <f>IF(ISNA(VLOOKUP($A28,'Données projet'!$A$512:$I$532,5,0)),0%,VLOOKUP($A28,'Données projet'!$A$512:$I$532,5,0)*VLOOKUP('Données projet'!$B$27,Paramètres!$A$1:$I$89,7,0))</f>
        <v>0</v>
      </c>
      <c r="OL28" s="16">
        <f>IF(ISNA(VLOOKUP($A28,'Données projet'!$A$512:$I$532,6,0)),0%,VLOOKUP($A28,'Données projet'!$A$512:$I$532,6,0)*VLOOKUP('Données projet'!$B$27,Paramètres!$A$1:$I$89,7,0))</f>
        <v>0</v>
      </c>
      <c r="OM28" s="16">
        <f>IF(ISNA(VLOOKUP($A28,'Données projet'!$A$512:$I$532,7,0)),0%,VLOOKUP($A28,'Données projet'!$A$512:$I$532,7,0))</f>
        <v>0</v>
      </c>
      <c r="ON28" s="21" t="e">
        <f>EXP(-LN(2)/35)*ON27+(1-EXP(-LN(2)/35))/(LN(2)/35)*OJ28*OK28*VLOOKUP('Données projet'!$B$27,Paramètres!$A$1:$I$89,3,0)*0.475*44/12</f>
        <v>#N/A</v>
      </c>
      <c r="OO28" s="21" t="e">
        <f>EXP(-LN(2)/25)*OO27+(1-EXP(-LN(2)/25))/(LN(2)/25)*Calculateur!OJ28*Calculateur!OL28*VLOOKUP('Données projet'!$B$27,Paramètres!$A$1:$I$89,3,0)*0.475*44/12</f>
        <v>#N/A</v>
      </c>
      <c r="OP28" s="21" t="e">
        <f>EXP(-LN(2)/2)*OP27+(1-EXP(-LN(2)/2))/(LN(2)/2)*OJ28*OM28*VLOOKUP('Données projet'!$B$27,Paramètres!$A$1:$I$89,3,0)*0.475*44/12</f>
        <v>#N/A</v>
      </c>
      <c r="OQ28" s="22" t="e">
        <f t="shared" si="114"/>
        <v>#N/A</v>
      </c>
      <c r="OR28" s="74">
        <f>('Scénario référence'!$F$8+'Scénario référence'!$F$9+'Scénario référence'!$B$17+'Scénario référence'!$B$9+'Scénario référence'!$B$10)*70+IF((45+25*(1-EXP(-0.0175*$A28)))&lt;70,'Scénario référence'!$B$16*(45+25*(1-EXP(-0.0175*$A28))),70*'Scénario référence'!$B$16)+IF((32+38*(1-EXP(-0.0175*$A28)))&lt;70,'Scénario référence'!$B$18*(32+38*(1-EXP(-0.0175*$A28))),70*'Scénario référence'!$B$18)</f>
        <v>70</v>
      </c>
      <c r="OS28" s="12">
        <f>IF($A28&gt;30,10,('Scénario référence'!$B$16+'Scénario référence'!$B$17+'Scénario référence'!$B$18+'Scénario référence'!$B$9+'Scénario référence'!$B$10)*$A28*10/30+('Scénario référence'!$F$8+'Scénario référence'!$F$9)*10)</f>
        <v>10</v>
      </c>
      <c r="OT28" s="12" t="e">
        <f>VLOOKUP($A28,'Données projet'!$A$538:$I$558,2,0)</f>
        <v>#N/A</v>
      </c>
      <c r="OU28" s="12" t="e">
        <f>VLOOKUP($A28,'Données projet'!$A$538:$I$558,9,0)</f>
        <v>#N/A</v>
      </c>
      <c r="OV28" s="12">
        <f t="array" ref="OV28">INDEX(OU:OU,MIN(IF(ISNUMBER(OU28:OU224),ROW(OU28:OU224),"")))</f>
        <v>0</v>
      </c>
      <c r="OW28" s="12">
        <f>IF('Données projet'!$A$538&gt;35,OW27+OV28-PE27,IF($A28&lt;'Données projet'!$A$538,$CQ$205^$A28,IF($A28='Données projet'!$A$538,'Données projet'!$B$538,OW27+OV28-PE27)))</f>
        <v>0</v>
      </c>
      <c r="OX28" s="17" t="e">
        <f>OW28*VLOOKUP('Données projet'!$B$28,Paramètres!$A$1:$I$89,3,0)*VLOOKUP('Données projet'!$B$28,Paramètres!$A$1:$I$89,5,0)</f>
        <v>#N/A</v>
      </c>
      <c r="OY28" s="13" t="e">
        <f t="shared" si="115"/>
        <v>#N/A</v>
      </c>
      <c r="OZ28" s="14" t="e">
        <f t="shared" si="58"/>
        <v>#N/A</v>
      </c>
      <c r="PA28" s="59" t="e">
        <f t="shared" si="59"/>
        <v>#N/A</v>
      </c>
      <c r="PB28" s="20" t="e">
        <f ca="1">AVERAGE(OFFSET($PA$3,0,0,'Données projet'!$E$28+1,1))-AVERAGE(OFFSET($H$3,0,0,'Données projet'!$E$28+1,1))</f>
        <v>#N/A</v>
      </c>
      <c r="PC28" s="59" t="e">
        <f t="shared" si="116"/>
        <v>#N/A</v>
      </c>
      <c r="PD28" s="15">
        <f>IF(ISNA(VLOOKUP($A28,'Données projet'!$A$538:$I$558,3,0)),0,VLOOKUP($A28,'Données projet'!$A$538:$I$558,3,0))</f>
        <v>0</v>
      </c>
      <c r="PE28" s="15">
        <f>IF(ISNA(VLOOKUP($A28,'Données projet'!$A$538:$I$558,4,0)),0,VLOOKUP($A28,'Données projet'!$A$538:$I$558,4,0))</f>
        <v>0</v>
      </c>
      <c r="PF28" s="16">
        <f>IF(ISNA(VLOOKUP($A28,'Données projet'!$A$538:$I$558,5,0)),0%,VLOOKUP($A28,'Données projet'!$A$538:$I$558,5,0)*VLOOKUP('Données projet'!$B$28,Paramètres!$A$1:$I$89,7,0))</f>
        <v>0</v>
      </c>
      <c r="PG28" s="16">
        <f>IF(ISNA(VLOOKUP($A28,'Données projet'!$A$538:$I$558,6,0)),0%,VLOOKUP($A28,'Données projet'!$A$538:$I$558,6,0)*VLOOKUP('Données projet'!$B$28,Paramètres!$A$1:$I$89,7,0))</f>
        <v>0</v>
      </c>
      <c r="PH28" s="16">
        <f>IF(ISNA(VLOOKUP($A28,'Données projet'!$A$538:$I$558,7,0)),0%,VLOOKUP($A28,'Données projet'!$A$538:$I$558,7,0))</f>
        <v>0</v>
      </c>
      <c r="PI28" s="21" t="e">
        <f>EXP(-LN(2)/35)*PI27+(1-EXP(-LN(2)/35))/(LN(2)/35)*PE28*PF28*VLOOKUP('Données projet'!$B$28,Paramètres!$A$1:$I$89,3,0)*0.475*44/12</f>
        <v>#N/A</v>
      </c>
      <c r="PJ28" s="21" t="e">
        <f>EXP(-LN(2)/25)*PJ27+(1-EXP(-LN(2)/25))/(LN(2)/25)*Calculateur!PE28*Calculateur!PG28*VLOOKUP('Données projet'!$B$28,Paramètres!$A$1:$I$89,3,0)*0.475*44/12</f>
        <v>#N/A</v>
      </c>
      <c r="PK28" s="21" t="e">
        <f>EXP(-LN(2)/2)*PK27+(1-EXP(-LN(2)/2))/(LN(2)/2)*PE28*PH28*VLOOKUP('Données projet'!$B$28,Paramètres!$A$1:$I$89,3,0)*0.475*44/12</f>
        <v>#N/A</v>
      </c>
      <c r="PL28" s="22" t="e">
        <f t="shared" si="117"/>
        <v>#N/A</v>
      </c>
    </row>
    <row r="29" spans="1:428" x14ac:dyDescent="0.35">
      <c r="A29" s="10">
        <f t="shared" si="6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6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projet'!$A$45:$I$65,2,0)</f>
        <v>#N/A</v>
      </c>
      <c r="L29" s="12" t="e">
        <f>VLOOKUP(A29,'Données projet'!$A$45:$I$65,9,0)</f>
        <v>#N/A</v>
      </c>
      <c r="M29" s="12">
        <f t="array" ref="M29">INDEX(L:L,MIN(IF(ISNUMBER(L29:L225),ROW(L29:L225),"")))</f>
        <v>22.828205128205127</v>
      </c>
      <c r="N29" s="13">
        <f>IF('Données projet'!$A$46&gt;35,N28+M29-V28,IF(A29&lt;'Données projet'!$A$46,$K$205^A29,IF(A29='Données projet'!$A$46,'Données projet'!$B$46,N28+M29-V28)))</f>
        <v>240.55641025641015</v>
      </c>
      <c r="O29" s="13">
        <f>N29*VLOOKUP('Données projet'!$B$9,Paramètres!$A$1:$I$89,3,0)*VLOOKUP('Données projet'!$B$9,Paramètres!$A$1:$I$89,5,0)</f>
        <v>134.47103333333328</v>
      </c>
      <c r="P29" s="13">
        <f t="shared" si="63"/>
        <v>35.027441907439481</v>
      </c>
      <c r="Q29" s="20">
        <f t="shared" si="2"/>
        <v>295.20984437767919</v>
      </c>
      <c r="R29" s="59">
        <f t="shared" si="0"/>
        <v>588.5431777110125</v>
      </c>
      <c r="S29" s="59">
        <f ca="1">AVERAGE(OFFSET($R$3,0,0,'Données projet'!$E$9+1,1))-AVERAGE(OFFSET($H$3,0,0,'Données projet'!$E$9+1,1))</f>
        <v>274.57619581652199</v>
      </c>
      <c r="T29" s="59">
        <f t="shared" si="64"/>
        <v>366.15117322598775</v>
      </c>
      <c r="U29" s="15">
        <f>IF(ISNA(VLOOKUP(A29,'Données projet'!$A$45:$I$65,3,0)),0,VLOOKUP(A29,'Données projet'!$A$45:$I$65,3,0))</f>
        <v>0</v>
      </c>
      <c r="V29" s="15">
        <f>IF(ISNA(VLOOKUP(A29,'Données projet'!$A$45:$I$65,4,0)),0,VLOOKUP(A29,'Données projet'!$A$45:$I$65,4,0))</f>
        <v>0</v>
      </c>
      <c r="W29" s="16">
        <f>IF(ISNA(VLOOKUP(A29,'Données projet'!$A$45:$I$65,5,0)),0%,VLOOKUP(A29,'Données projet'!$A$45:$I$65,5,0)*VLOOKUP('Données projet'!$B$9,Paramètres!$A$1:$I$89,7,0))</f>
        <v>0</v>
      </c>
      <c r="X29" s="16">
        <f>IF(ISNA(VLOOKUP(A29,'Données projet'!$A$45:$I$65,6,0)),0%,VLOOKUP(A29,'Données projet'!$A$45:$I$65,6,0)*VLOOKUP('Données projet'!$B$9,Paramètres!$A$1:$I$89,7,0))</f>
        <v>0</v>
      </c>
      <c r="Y29" s="16">
        <f>IF(ISNA(VLOOKUP(A29,'Données projet'!$A$45:$I$65,7,0)),0%,VLOOKUP(A29,'Données projet'!$A$45:$I$65,7,0))</f>
        <v>0</v>
      </c>
      <c r="Z29" s="21">
        <f>EXP(-LN(2)/35)*Z28+(1-EXP(-LN(2)/35))/(LN(2)/35)*V29*W29*VLOOKUP('Données projet'!$B$9,Paramètres!$A$1:$I$89,3,0)*0.475*44/12</f>
        <v>11.706732444315998</v>
      </c>
      <c r="AA29" s="21">
        <f>EXP(-LN(2)/25)*AA28+(1-EXP(-LN(2)/25))/(LN(2)/25)*Calculateur!V29*Calculateur!X29*VLOOKUP('Données projet'!$B$9,Paramètres!$A$1:$I$89,3,0)*0.475*44/12</f>
        <v>15.38111506892985</v>
      </c>
      <c r="AB29" s="21">
        <f>EXP(-LN(2)/2)*AB28+(1-EXP(-LN(2)/2))/(LN(2)/2)*V29*Y29*VLOOKUP('Données projet'!$B$9,Paramètres!$A$1:$I$89,3,0)*0.475*44/12</f>
        <v>2.9879978873336284</v>
      </c>
      <c r="AC29" s="22">
        <f t="shared" si="3"/>
        <v>30.075845400579475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projet'!$A$71:$I$91,2,0)</f>
        <v>#N/A</v>
      </c>
      <c r="AG29" s="12" t="e">
        <f>VLOOKUP(A29,'Données projet'!$A$71:$I$91,9,0)</f>
        <v>#N/A</v>
      </c>
      <c r="AH29" s="12">
        <f t="array" ref="AH29">INDEX(AG:AG,MIN(IF(ISNUMBER(AG29:AG225),ROW(AG29:AG225),"")))</f>
        <v>4.0628205128205126</v>
      </c>
      <c r="AI29" s="13">
        <f>IF('Données projet'!$A$72&gt;35,AI28+AH29-AQ28,IF(A29&lt;'Données projet'!$A$72,$AF$205^A29,IF(A29='Données projet'!$A$72,'Données projet'!$B$72,AI28+AH29-AQ28)))</f>
        <v>64.242491006222849</v>
      </c>
      <c r="AJ29" s="13">
        <f>AI29*VLOOKUP('Données projet'!$B$10,Paramètres!$A$1:$I$89,3,0)*VLOOKUP('Données projet'!$B$10,Paramètres!$A$1:$I$89,5,0)</f>
        <v>58.126605862430431</v>
      </c>
      <c r="AK29" s="13">
        <f t="shared" si="65"/>
        <v>16.69374530917462</v>
      </c>
      <c r="AL29" s="20">
        <f t="shared" si="4"/>
        <v>130.31211162387879</v>
      </c>
      <c r="AM29" s="59">
        <f t="shared" si="5"/>
        <v>423.64544495721213</v>
      </c>
      <c r="AN29" s="59">
        <f ca="1">AVERAGE(OFFSET($AM$3,0,0,'Données projet'!$E$10+1,1))-AVERAGE(OFFSET($H$3,0,0,'Données projet'!$E$10+1,1))</f>
        <v>270.87836509222456</v>
      </c>
      <c r="AO29" s="59">
        <f t="shared" si="66"/>
        <v>205.24998237949734</v>
      </c>
      <c r="AP29" s="15">
        <f>IF(ISNA(VLOOKUP(A29,'Données projet'!$A$71:$I$91,3,0)),0,VLOOKUP(A29,'Données projet'!$A$71:$I$91,3,0))</f>
        <v>0</v>
      </c>
      <c r="AQ29" s="15">
        <f>IF(ISNA(VLOOKUP(A29,'Données projet'!$A$71:$I$91,4,0)),0,VLOOKUP(A29,'Données projet'!$A$71:$I$91,4,0))</f>
        <v>0</v>
      </c>
      <c r="AR29" s="16">
        <f>IF(ISNA(VLOOKUP(A29,'Données projet'!$A$71:$I$91,5,0)),0%,VLOOKUP(A29,'Données projet'!$A$71:$I$91,5,0)*VLOOKUP('Données projet'!$B$10,Paramètres!$A$1:$I$89,7,0))</f>
        <v>0</v>
      </c>
      <c r="AS29" s="16">
        <f>IF(ISNA(VLOOKUP(A29,'Données projet'!$A$71:$I$91,6,0)),0%,VLOOKUP(A29,'Données projet'!$A$71:$I$91,6,0)*VLOOKUP('Données projet'!$B$10,Paramètres!$A$1:$I$89,7,0))</f>
        <v>0</v>
      </c>
      <c r="AT29" s="16">
        <f>IF(ISNA(VLOOKUP(A29,'Données projet'!$A$71:$I$91,7,0)),0%,VLOOKUP(A29,'Données projet'!$A$71:$I$91,7,0))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projet'!$A$97:$I$117,2,0)</f>
        <v>#N/A</v>
      </c>
      <c r="BB29" s="12" t="e">
        <f>VLOOKUP(A29,'Données projet'!$A$97:$I$117,9,0)</f>
        <v>#N/A</v>
      </c>
      <c r="BC29" s="12">
        <f t="array" ref="BC29">INDEX(BB:BB,MIN(IF(ISNUMBER(BB29:BB225),ROW(BB29:BB225),"")))</f>
        <v>22.828205128205127</v>
      </c>
      <c r="BD29" s="12">
        <f>IF('Données projet'!$A$98&gt;35,BD28+BC29-BL28,IF(A29&lt;'Données projet'!$A$98,$BA$205^A29,IF(A29='Données projet'!$A$98,'Données projet'!$B$98,BD28+BC29-BL28)))</f>
        <v>240.55641025641015</v>
      </c>
      <c r="BE29" s="13">
        <f>BD29*VLOOKUP('Données projet'!$B$11,Paramètres!$A$1:$I$89,3,0)*VLOOKUP('Données projet'!$B$11,Paramètres!$A$1:$I$89,5,0)</f>
        <v>106.3259333333333</v>
      </c>
      <c r="BF29" s="13">
        <f t="shared" si="67"/>
        <v>28.463641787882203</v>
      </c>
      <c r="BG29" s="20">
        <f t="shared" si="7"/>
        <v>234.75851000278365</v>
      </c>
      <c r="BH29" s="59">
        <f t="shared" si="8"/>
        <v>528.09184333611699</v>
      </c>
      <c r="BI29" s="59">
        <f ca="1">AVERAGE(OFFSET($BH$3,0,0,'Données projet'!$E$11+1,1))-AVERAGE(OFFSET($H$3,0,0,'Données projet'!$E$11+1,1))</f>
        <v>211.31057120485542</v>
      </c>
      <c r="BJ29" s="59">
        <f t="shared" si="68"/>
        <v>283.33292006714777</v>
      </c>
      <c r="BK29" s="15">
        <f>IF(ISNA(VLOOKUP(A29,'Données projet'!$A$97:$I$117,3,0)),0,VLOOKUP(A29,'Données projet'!$A$97:$I$117,3,0))</f>
        <v>0</v>
      </c>
      <c r="BL29" s="15">
        <f>IF(ISNA(VLOOKUP(A29,'Données projet'!$A$97:$I$117,4,0)),0,VLOOKUP(A29,'Données projet'!$A$97:$I$117,4,0))</f>
        <v>0</v>
      </c>
      <c r="BM29" s="16">
        <f>IF(ISNA(VLOOKUP(A29,'Données projet'!$A$97:$I$117,5,0)),0%,VLOOKUP(A29,'Données projet'!$A$97:$I$117,5,0)*VLOOKUP('Données projet'!$B$11,Paramètres!$A$1:$I$89,7,0))</f>
        <v>0</v>
      </c>
      <c r="BN29" s="16">
        <f>IF(ISNA(VLOOKUP(A29,'Données projet'!$A$97:$I$117,6,0)),0%,VLOOKUP(A29,'Données projet'!$A$97:$I$117,6,0)*VLOOKUP('Données projet'!$B$11,Paramètres!$A$1:$I$89,7,0))</f>
        <v>0</v>
      </c>
      <c r="BO29" s="16">
        <f>IF(ISNA(VLOOKUP(A29,'Données projet'!$A$97:$I$117,7,0)),0%,VLOOKUP(A29,'Données projet'!$A$97:$I$117,7,0))</f>
        <v>0</v>
      </c>
      <c r="BP29" s="21">
        <f>EXP(-LN(2)/35)*BP28+(1-EXP(-LN(2)/35))/(LN(2)/35)*BL29*BM29*VLOOKUP('Données projet'!$B$11,Paramètres!$A$1:$I$89,3,0)*0.475*44/12</f>
        <v>9.2564861187614866</v>
      </c>
      <c r="BQ29" s="21">
        <f>EXP(-LN(2)/25)*BQ28+(1-EXP(-LN(2)/25))/(LN(2)/25)*Calculateur!BL29*Calculateur!BN29*VLOOKUP('Données projet'!$B$11,Paramètres!$A$1:$I$89,3,0)*0.475*44/12</f>
        <v>12.161811914967789</v>
      </c>
      <c r="BR29" s="21">
        <f>EXP(-LN(2)/2)*BR28+(1-EXP(-LN(2)/2))/(LN(2)/2)*BL29*BO29*VLOOKUP('Données projet'!$B$11,Paramètres!$A$1:$I$89,3,0)*0.475*44/12</f>
        <v>2.3626029806824045</v>
      </c>
      <c r="BS29" s="22">
        <f t="shared" si="9"/>
        <v>23.780901014411679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projet'!$A$123:$I$143,2,0)</f>
        <v>#N/A</v>
      </c>
      <c r="BW29" s="12" t="e">
        <f>VLOOKUP(A29,'Données projet'!$A$123:$I$143,9,0)</f>
        <v>#N/A</v>
      </c>
      <c r="BX29" s="12">
        <f t="array" ref="BX29">INDEX(BW:BW,MIN(IF(ISNUMBER(BW29:BW225),ROW(BW29:BW225),"")))</f>
        <v>9.8000000000000007</v>
      </c>
      <c r="BY29" s="12">
        <f>IF('Données projet'!$A$124&gt;35,BY28+BX29-CG28,IF(A29&lt;'Données projet'!$A$124,$BV$205^A29,IF(A29='Données projet'!$A$124,'Données projet'!$B$124,BY28+BX29-CG28)))</f>
        <v>109.80000000000001</v>
      </c>
      <c r="BZ29" s="13">
        <f>BY29*VLOOKUP('Données projet'!$B$12,Paramètres!$A$1:$I$89,3,0)*VLOOKUP('Données projet'!$B$12,Paramètres!$A$1:$I$89,5,0)</f>
        <v>114.76296000000004</v>
      </c>
      <c r="CA29" s="13">
        <f t="shared" si="69"/>
        <v>30.450391685635733</v>
      </c>
      <c r="CB29" s="20">
        <f t="shared" si="10"/>
        <v>252.91325418581559</v>
      </c>
      <c r="CC29" s="59">
        <f t="shared" si="11"/>
        <v>546.24658751914887</v>
      </c>
      <c r="CD29" s="59">
        <f ca="1">AVERAGE(OFFSET($CC$3,0,0,'Données projet'!$E$12+1,1))-AVERAGE(OFFSET($H$3,0,0,'Données projet'!$E$12+1,1))</f>
        <v>322.93502595881938</v>
      </c>
      <c r="CE29" s="59">
        <f t="shared" si="70"/>
        <v>302.67072119588164</v>
      </c>
      <c r="CF29" s="15">
        <f>IF(ISNA(VLOOKUP(A29,'Données projet'!$A$123:$I$143,3,0)),0,VLOOKUP(A29,'Données projet'!$A$123:$I$143,3,0))</f>
        <v>0</v>
      </c>
      <c r="CG29" s="15">
        <f>IF(ISNA(VLOOKUP(A29,'Données projet'!$A$123:$I$143,4,0)),0,VLOOKUP(A29,'Données projet'!$A$123:$I$143,4,0))</f>
        <v>0</v>
      </c>
      <c r="CH29" s="16">
        <f>IF(ISNA(VLOOKUP(A29,'Données projet'!$A$123:$I$143,5,0)),0%,VLOOKUP(A29,'Données projet'!$A$123:$I$143,5,0)*VLOOKUP('Données projet'!$B$12,Paramètres!$A$1:$I$89,7,0))</f>
        <v>0</v>
      </c>
      <c r="CI29" s="16">
        <f>IF(ISNA(VLOOKUP(A29,'Données projet'!$A$123:$I$143,6,0)),0%,VLOOKUP(A29,'Données projet'!$A$123:$I$143,6,0)*VLOOKUP('Données projet'!$B$12,Paramètres!$A$1:$I$89,7,0))</f>
        <v>0</v>
      </c>
      <c r="CJ29" s="16">
        <f>IF(ISNA(VLOOKUP(A29,'Données projet'!$A$123:$I$143,7,0)),0%,VLOOKUP(A29,'Données projet'!$A$123:$I$143,7,0))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projet'!$A$149:$I$169,2,0)</f>
        <v>#N/A</v>
      </c>
      <c r="CR29" s="12" t="e">
        <f>VLOOKUP(A29,'Données projet'!$A$149:$I$169,9,0)</f>
        <v>#N/A</v>
      </c>
      <c r="CS29" s="12">
        <f t="array" ref="CS29">INDEX(CR:CR,MIN(IF(ISNUMBER(CR29:CR225),ROW(CR29:CR225),"")))</f>
        <v>2.9235042735042733</v>
      </c>
      <c r="CT29" s="12">
        <f>IF('Données projet'!$A$150&gt;35,CT28+CS29-DB28,IF(A29&lt;'Données projet'!$A$150,$CQ$205^A29,IF(A29='Données projet'!$A$150,'Données projet'!$B$150,CT28+CS29-DB28)))</f>
        <v>48.30087400300993</v>
      </c>
      <c r="CU29" s="17">
        <f>CT29*VLOOKUP('Données projet'!$B$13,Paramètres!$A$1:$I$89,3,0)*VLOOKUP('Données projet'!$B$13,Paramètres!$A$1:$I$89,5,0)</f>
        <v>48.97708623905207</v>
      </c>
      <c r="CV29" s="13">
        <f t="shared" si="71"/>
        <v>14.34927076103458</v>
      </c>
      <c r="CW29" s="20">
        <f t="shared" si="13"/>
        <v>110.29340510848425</v>
      </c>
      <c r="CX29" s="59">
        <f t="shared" si="14"/>
        <v>403.62673844181757</v>
      </c>
      <c r="CY29" s="59">
        <f ca="1">AVERAGE(OFFSET($CX$3,0,0,'Données projet'!$E$13+1,1))-AVERAGE(OFFSET($H$3,0,0,'Données projet'!$E$13+1,1))</f>
        <v>250.31277422753283</v>
      </c>
      <c r="CZ29" s="59">
        <f t="shared" si="72"/>
        <v>159.20429420478047</v>
      </c>
      <c r="DA29" s="15">
        <f>IF(ISNA(VLOOKUP(A29,'Données projet'!$A$149:$I$169,3,0)),0,VLOOKUP(A29,'Données projet'!$A$149:$I$169,3,0))</f>
        <v>0</v>
      </c>
      <c r="DB29" s="15">
        <f>IF(ISNA(VLOOKUP(A29,'Données projet'!$A$149:$I$169,4,0)),0,VLOOKUP(A29,'Données projet'!$A$149:$I$169,4,0))</f>
        <v>0</v>
      </c>
      <c r="DC29" s="16">
        <f>IF(ISNA(VLOOKUP(A29,'Données projet'!$A$149:$I$169,5,0)),0%,VLOOKUP(A29,'Données projet'!$A$149:$I$169,5,0)*VLOOKUP('Données projet'!$B$13,Paramètres!$A$1:$I$89,7,0))</f>
        <v>0</v>
      </c>
      <c r="DD29" s="16">
        <f>IF(ISNA(VLOOKUP(A29,'Données projet'!$A$149:$I$169,6,0)),0%,VLOOKUP(A29,'Données projet'!$A$149:$I$169,6,0)*VLOOKUP('Données projet'!$B$13,Paramètres!$A$1:$I$89,7,0))</f>
        <v>0</v>
      </c>
      <c r="DE29" s="16">
        <f>IF(ISNA(VLOOKUP(A29,'Données projet'!$A$149:$I$169,7,0)),0%,VLOOKUP(A29,'Données projet'!$A$149:$I$169,7,0))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projet'!$A$175:$I$195,2,0)</f>
        <v>#N/A</v>
      </c>
      <c r="DM29" s="12" t="e">
        <f>VLOOKUP(A29,'Données projet'!$A$175:$I$195,9,0)</f>
        <v>#N/A</v>
      </c>
      <c r="DN29" s="12">
        <f t="array" ref="DN29">INDEX(DM:DM,MIN(IF(ISNUMBER(DM29:DM225),ROW(DM29:DM225),"")))</f>
        <v>16.399999999999999</v>
      </c>
      <c r="DO29" s="12">
        <f>IF('Données projet'!$A$176&gt;35,DO28+DN29-DW28,IF(A29&lt;'Données projet'!$A$176,$DL$205^A29,IF(A29='Données projet'!$A$176,'Données projet'!$B$176,DO28+DN29-DW28)))</f>
        <v>139.40000000000003</v>
      </c>
      <c r="DP29" s="17">
        <f>DO29*VLOOKUP('Données projet'!$B$14,Paramètres!$A$1:$I$89,3,0)*VLOOKUP('Données projet'!$B$14,Paramètres!$A$1:$I$89,5,0)</f>
        <v>102.20808000000002</v>
      </c>
      <c r="DQ29" s="13">
        <f t="shared" si="73"/>
        <v>27.487371629246301</v>
      </c>
      <c r="DR29" s="20">
        <f t="shared" si="16"/>
        <v>225.88624492093732</v>
      </c>
      <c r="DS29" s="59">
        <f t="shared" si="17"/>
        <v>519.21957825427057</v>
      </c>
      <c r="DT29" s="59">
        <f ca="1">AVERAGE(OFFSET($DS$3,0,0,'Données projet'!$E$14+1,1))-AVERAGE(OFFSET($H$3,0,0,'Données projet'!$E$14+1,1))</f>
        <v>296.91321813251051</v>
      </c>
      <c r="DU29" s="59">
        <f t="shared" si="74"/>
        <v>291.0718079639509</v>
      </c>
      <c r="DV29" s="15">
        <f>IF(ISNA(VLOOKUP(A29,'Données projet'!$A$175:$I$195,3,0)),0,VLOOKUP(A29,'Données projet'!$A$175:$I$195,3,0))</f>
        <v>0</v>
      </c>
      <c r="DW29" s="15">
        <f>IF(ISNA(VLOOKUP(A29,'Données projet'!$A$175:$I$195,4,0)),0,VLOOKUP(A29,'Données projet'!$A$175:$I$195,4,0))</f>
        <v>0</v>
      </c>
      <c r="DX29" s="16">
        <f>IF(ISNA(VLOOKUP(A29,'Données projet'!$A$175:$I$195,5,0)),0%,VLOOKUP(A29,'Données projet'!$A$175:$I$195,5,0)*VLOOKUP('Données projet'!$B$14,Paramètres!$A$1:$I$89,7,0))</f>
        <v>0</v>
      </c>
      <c r="DY29" s="16">
        <f>IF(ISNA(VLOOKUP(A29,'Données projet'!$A$175:$I$195,6,0)),0%,VLOOKUP(A29,'Données projet'!$A$175:$I$195,6,0)*VLOOKUP('Données projet'!$B$14,Paramètres!$A$1:$I$89,7,0))</f>
        <v>0</v>
      </c>
      <c r="DZ29" s="16">
        <f>IF(ISNA(VLOOKUP(A29,'Données projet'!$A$175:$I$195,7,0)),0%,VLOOKUP(A29,'Données projet'!$A$175:$I$195,7,0))</f>
        <v>0</v>
      </c>
      <c r="EA29" s="21">
        <f>EXP(-LN(2)/35)*EA28+(1-EXP(-LN(2)/35))/(LN(2)/35)*DW29*DX29*VLOOKUP('Données projet'!$B$14,Paramètres!$A$1:$I$89,3,0)*0.475*44/12</f>
        <v>2.0091598521137337</v>
      </c>
      <c r="EB29" s="21">
        <f>EXP(-LN(2)/25)*EB28+(1-EXP(-LN(2)/25))/(LN(2)/25)*Calculateur!DW29*Calculateur!DY29*VLOOKUP('Données projet'!$B$14,Paramètres!$A$1:$I$89,3,0)*0.475*44/12</f>
        <v>7.5797152814678217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9.5888751335815563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projet'!$A$201:$I$221,2,0)</f>
        <v>#N/A</v>
      </c>
      <c r="EH29" s="12" t="e">
        <f>VLOOKUP(A29,'Données projet'!$A$201:$I$221,9,0)</f>
        <v>#N/A</v>
      </c>
      <c r="EI29" s="12">
        <f t="array" ref="EI29">INDEX(EH:EH,MIN(IF(ISNUMBER(EH29:EH225),ROW(EH29:EH225),"")))</f>
        <v>3.4425641025641025</v>
      </c>
      <c r="EJ29" s="12">
        <f>IF('Données projet'!$A$202&gt;35,EJ28+EI29-ER28,IF(A29&lt;'Données projet'!$A$202,$EG$205^A29,IF(A29='Données projet'!$A$202,'Données projet'!$B$202,EJ28+EI29-ER28)))</f>
        <v>55.650557381086244</v>
      </c>
      <c r="EK29" s="17">
        <f>EJ29*VLOOKUP('Données projet'!$B$15,Paramètres!$A$1:$I$89,3,0)*VLOOKUP('Données projet'!$B$15,Paramètres!$A$1:$I$89,5,0)</f>
        <v>26.044460854348362</v>
      </c>
      <c r="EL29" s="13">
        <f t="shared" si="75"/>
        <v>8.2125526568599181</v>
      </c>
      <c r="EM29" s="20">
        <f t="shared" si="19"/>
        <v>59.664298532021071</v>
      </c>
      <c r="EN29" s="59">
        <f t="shared" si="20"/>
        <v>352.99763186535438</v>
      </c>
      <c r="EO29" s="59">
        <f ca="1">AVERAGE(OFFSET($EN$3,0,0,'Données projet'!$E$15+1,1))-AVERAGE(OFFSET($H$3,0,0,'Données projet'!$E$15+1,1))</f>
        <v>147.64256291235483</v>
      </c>
      <c r="EP29" s="59">
        <f t="shared" si="76"/>
        <v>70.859031694091868</v>
      </c>
      <c r="EQ29" s="15">
        <f>IF(ISNA(VLOOKUP(A29,'Données projet'!$A$201:$I$221,3,0)),0,VLOOKUP(A29,'Données projet'!$A$201:$I$221,3,0))</f>
        <v>0</v>
      </c>
      <c r="ER29" s="15">
        <f>IF(ISNA(VLOOKUP(A29,'Données projet'!$A$201:$I$221,4,0)),0,VLOOKUP(A29,'Données projet'!$A$201:$I$221,4,0))</f>
        <v>0</v>
      </c>
      <c r="ES29" s="16">
        <f>IF(ISNA(VLOOKUP(A29,'Données projet'!$A$201:$I$221,5,0)),0%,VLOOKUP(A29,'Données projet'!$A$201:$I$221,5,0)*VLOOKUP('Données projet'!$B$15,Paramètres!$A$1:$I$89,7,0))</f>
        <v>0</v>
      </c>
      <c r="ET29" s="16">
        <f>IF(ISNA(VLOOKUP(A29,'Données projet'!$A$201:$I$221,6,0)),0%,VLOOKUP(A29,'Données projet'!$A$201:$I$221,6,0)*VLOOKUP('Données projet'!$B$15,Paramètres!$A$1:$I$89,7,0))</f>
        <v>0</v>
      </c>
      <c r="EU29" s="16">
        <f>IF(ISNA(VLOOKUP(A29,'Données projet'!$A$201:$I$221,7,0)),0%,VLOOKUP(A29,'Données projet'!$A$201:$I$221,7,0))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projet'!$A$227:$I$247,2,0)</f>
        <v>#N/A</v>
      </c>
      <c r="FC29" s="12" t="e">
        <f>VLOOKUP(A29,'Données projet'!$A$227:$I$247,9,0)</f>
        <v>#N/A</v>
      </c>
      <c r="FD29" s="12">
        <f t="array" ref="FD29">INDEX(FC:FC,MIN(IF(ISNUMBER(FC29:FC225),ROW(FC29:FC225),"")))</f>
        <v>8</v>
      </c>
      <c r="FE29" s="12">
        <f>IF('Données projet'!$A$228&gt;35,FE28+FD29-FM28,IF(A29&lt;'Données projet'!$A$228,$FB$205^A29,IF(A29='Données projet'!$A$228,'Données projet'!$B$228,FE28+FD29-FM28)))</f>
        <v>87</v>
      </c>
      <c r="FF29" s="17">
        <f>FE29*VLOOKUP('Données projet'!$B$16,Paramètres!$A$1:$I$89,3,0)*VLOOKUP('Données projet'!$B$16,Paramètres!$A$1:$I$89,5,0)</f>
        <v>90.932400000000015</v>
      </c>
      <c r="FG29" s="13">
        <f t="shared" si="77"/>
        <v>24.78996235436804</v>
      </c>
      <c r="FH29" s="20">
        <f t="shared" si="22"/>
        <v>201.54978110052437</v>
      </c>
      <c r="FI29" s="59">
        <f t="shared" si="23"/>
        <v>494.88311443385771</v>
      </c>
      <c r="FJ29" s="59">
        <f ca="1">AVERAGE(OFFSET($FI$3,0,0,'Données projet'!$E$16+1,1))-AVERAGE(OFFSET($H$3,0,0,'Données projet'!$E$16+1,1))</f>
        <v>259.03906550253788</v>
      </c>
      <c r="FK29" s="59">
        <f t="shared" si="78"/>
        <v>235.54542903570831</v>
      </c>
      <c r="FL29" s="15">
        <f>IF(ISNA(VLOOKUP(A29,'Données projet'!$A$227:$I$247,3,0)),0,VLOOKUP(A29,'Données projet'!$A$227:$I$247,3,0))</f>
        <v>0</v>
      </c>
      <c r="FM29" s="15">
        <f>IF(ISNA(VLOOKUP(A29,'Données projet'!$A$227:$I$247,4,0)),0,VLOOKUP(A29,'Données projet'!$A$227:$I$247,4,0))</f>
        <v>0</v>
      </c>
      <c r="FN29" s="16">
        <f>IF(ISNA(VLOOKUP(A29,'Données projet'!$A$227:$I$247,5,0)),0%,VLOOKUP(A29,'Données projet'!$A$227:$I$247,5,0)*VLOOKUP('Données projet'!$B$16,Paramètres!$A$1:$I$89,7,0))</f>
        <v>0</v>
      </c>
      <c r="FO29" s="16">
        <f>IF(ISNA(VLOOKUP(A29,'Données projet'!$A$227:$I$247,6,0)),0%,VLOOKUP(A29,'Données projet'!$A$227:$I$247,6,0)*VLOOKUP('Données projet'!$B$16,Paramètres!$A$1:$I$89,7,0))</f>
        <v>0</v>
      </c>
      <c r="FP29" s="16">
        <f>IF(ISNA(VLOOKUP(A29,'Données projet'!$A$227:$I$247,7,0)),0%,VLOOKUP(A29,'Données projet'!$A$227:$I$247,7,0))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projet'!$A$253:$I$273,2,0)</f>
        <v>#N/A</v>
      </c>
      <c r="FX29" s="12" t="e">
        <f>VLOOKUP(A29,'Données projet'!$A$253:$I$273,9,0)</f>
        <v>#N/A</v>
      </c>
      <c r="FY29" s="12">
        <f t="array" ref="FY29">INDEX(FX:FX,MIN(IF(ISNUMBER(FX29:FX225),ROW(FX29:FX225),"")))</f>
        <v>11.8</v>
      </c>
      <c r="FZ29" s="12">
        <f>IF('Données projet'!$A$254&gt;35,FZ28+FY29-GH28,IF(A29&lt;'Données projet'!$A$254,$FW$205^A29,IF(A29='Données projet'!$A$254,'Données projet'!$B$254,FZ28+FY29-GH28)))</f>
        <v>98.799999999999969</v>
      </c>
      <c r="GA29" s="17">
        <f>FZ29*VLOOKUP('Données projet'!$B$17,Paramètres!$A$1:$I$89,3,0)*VLOOKUP('Données projet'!$B$17,Paramètres!$A$1:$I$89,5,0)</f>
        <v>86.311679999999981</v>
      </c>
      <c r="GB29" s="13">
        <f t="shared" si="79"/>
        <v>23.673536308765939</v>
      </c>
      <c r="GC29" s="20">
        <f t="shared" si="25"/>
        <v>191.55758507110065</v>
      </c>
      <c r="GD29" s="59">
        <f t="shared" si="26"/>
        <v>484.89091840443393</v>
      </c>
      <c r="GE29" s="59">
        <f ca="1">AVERAGE(OFFSET($GD$3,0,0,'Données projet'!$E$17+1,1))-AVERAGE(OFFSET($H$3,0,0,'Données projet'!$E$17+1,1))</f>
        <v>245.1983232777614</v>
      </c>
      <c r="GF29" s="59">
        <f t="shared" si="80"/>
        <v>242.34010522344573</v>
      </c>
      <c r="GG29" s="15">
        <f>IF(ISNA(VLOOKUP(A29,'Données projet'!$A$253:$I$273,3,0)),0,VLOOKUP(A29,'Données projet'!$A$253:$I$273,3,0))</f>
        <v>0</v>
      </c>
      <c r="GH29" s="15">
        <f>IF(ISNA(VLOOKUP(A29,'Données projet'!$A$253:$I$273,4,0)),0,VLOOKUP(A29,'Données projet'!$A$253:$I$273,4,0))</f>
        <v>0</v>
      </c>
      <c r="GI29" s="16">
        <f>IF(ISNA(VLOOKUP(A29,'Données projet'!$A$253:$I$273,5,0)),0%,VLOOKUP(A29,'Données projet'!$A$253:$I$273,5,0)*VLOOKUP('Données projet'!$B$17,Paramètres!$A$1:$I$89,7,0))</f>
        <v>0</v>
      </c>
      <c r="GJ29" s="16">
        <f>IF(ISNA(VLOOKUP(A29,'Données projet'!$A$253:$I$273,6,0)),0%,VLOOKUP(A29,'Données projet'!$A$253:$I$273,6,0)*VLOOKUP('Données projet'!$B$17,Paramètres!$A$1:$I$89,7,0))</f>
        <v>0</v>
      </c>
      <c r="GK29" s="16">
        <f>IF(ISNA(VLOOKUP(A29,'Données projet'!$A$253:$I$273,7,0)),0%,VLOOKUP(A29,'Données projet'!$A$253:$I$273,7,0))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0.78855085091564581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0.78855085091564581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projet'!$A$279:$I$299,2,0)</f>
        <v>#N/A</v>
      </c>
      <c r="GS29" s="12" t="e">
        <f>VLOOKUP(A29,'Données projet'!$A$279:$I$299,9,0)</f>
        <v>#N/A</v>
      </c>
      <c r="GT29" s="12">
        <f t="array" ref="GT29">INDEX(GS:GS,MIN(IF(ISNUMBER(GS29:GS225),ROW(GS29:GS225),"")))</f>
        <v>21.6</v>
      </c>
      <c r="GU29" s="12">
        <f>IF('Données projet'!$A$280&gt;35,GU28+GT29-HC28,IF(A29&lt;'Données projet'!$A$280,$GR$205^A29,IF(A29='Données projet'!$A$280,'Données projet'!$B$280,GU28+GT29-HC28)))</f>
        <v>256.60000000000002</v>
      </c>
      <c r="GV29" s="17">
        <f>GU29*VLOOKUP('Données projet'!$B$18,Paramètres!$A$1:$I$89,3,0)*VLOOKUP('Données projet'!$B$18,Paramètres!$A$1:$I$89,5,0)</f>
        <v>103.40980000000002</v>
      </c>
      <c r="GW29" s="13">
        <f t="shared" si="81"/>
        <v>27.772743385407381</v>
      </c>
      <c r="GX29" s="20">
        <f t="shared" si="28"/>
        <v>228.47626306291787</v>
      </c>
      <c r="GY29" s="59">
        <f t="shared" si="29"/>
        <v>521.80959639625121</v>
      </c>
      <c r="GZ29" s="59">
        <f ca="1">AVERAGE(OFFSET($GY$3,0,0,'Données projet'!$E$18+1,1))-AVERAGE(OFFSET($H$3,0,0,'Données projet'!$E$18+1,1))</f>
        <v>324.36162935850876</v>
      </c>
      <c r="HA29" s="59">
        <f t="shared" si="82"/>
        <v>265.23571072429735</v>
      </c>
      <c r="HB29" s="15">
        <f>IF(ISNA(VLOOKUP(A29,'Données projet'!$A$279:$I$299,3,0)),0,VLOOKUP(A29,'Données projet'!$A$279:$I$299,3,0))</f>
        <v>0</v>
      </c>
      <c r="HC29" s="15">
        <f>IF(ISNA(VLOOKUP(A29,'Données projet'!$A$279:$I$299,4,0)),0,VLOOKUP(A29,'Données projet'!$A$279:$I$299,4,0))</f>
        <v>0</v>
      </c>
      <c r="HD29" s="16">
        <f>IF(ISNA(VLOOKUP(A29,'Données projet'!$A$279:$I$299,5,0)),0%,VLOOKUP(A29,'Données projet'!$A$279:$I$299,5,0)*VLOOKUP('Données projet'!$B$18,Paramètres!$A$1:$I$89,7,0))</f>
        <v>0</v>
      </c>
      <c r="HE29" s="16">
        <f>IF(ISNA(VLOOKUP(A29,'Données projet'!$A$279:$I$299,6,0)),0%,VLOOKUP(A29,'Données projet'!$A$279:$I$299,6,0)*VLOOKUP('Données projet'!$B$18,Paramètres!$A$1:$I$89,7,0))</f>
        <v>0</v>
      </c>
      <c r="HF29" s="16">
        <f>IF(ISNA(VLOOKUP($A29,'Données projet'!$A$279:$I$299,7,0)),0%,VLOOKUP($A29,'Données projet'!$A$279:$I$299,7,0))</f>
        <v>0</v>
      </c>
      <c r="HG29" s="21">
        <f>EXP(-LN(2)/35)*HG28+(1-EXP(-LN(2)/35))/(LN(2)/35)*HC29*HD29*VLOOKUP('Données projet'!$B$18,Paramètres!$A$1:$I$89,3,0)*0.475*44/12</f>
        <v>0</v>
      </c>
      <c r="HH29" s="21">
        <f>EXP(-LN(2)/25)*HH28+(1-EXP(-LN(2)/25))/(LN(2)/25)*Calculateur!HC29*Calculateur!HE29*VLOOKUP('Données projet'!$B$18,Paramètres!$A$1:$I$89,3,0)*0.475*44/12</f>
        <v>1.0173859250571857</v>
      </c>
      <c r="HI29" s="21">
        <f>EXP(-LN(2)/2)*HI28+(1-EXP(-LN(2)/2))/(LN(2)/2)*HC29*HF29*VLOOKUP('Données projet'!$B$18,Paramètres!$A$1:$I$89,3,0)*0.475*44/12</f>
        <v>6.1204691064226822</v>
      </c>
      <c r="HJ29" s="22">
        <f t="shared" si="30"/>
        <v>7.1378550314798677</v>
      </c>
      <c r="HK29" s="74">
        <f>('Scénario référence'!$F$8+'Scénario référence'!$F$9+'Scénario référence'!$B$17+'Scénario référence'!$B$9+'Scénario référence'!$B$10)*70+IF((45+25*(1-EXP(-0.0175*$A29)))&lt;70,'Scénario référence'!$B$16*(45+25*(1-EXP(-0.0175*$A29))),70*'Scénario référence'!$B$16)+IF((32+38*(1-EXP(-0.0175*$A29)))&lt;70,'Scénario référence'!$B$18*(32+38*(1-EXP(-0.0175*$A29))),70*'Scénario référence'!$B$18)</f>
        <v>70</v>
      </c>
      <c r="HL29" s="12">
        <f>IF($A29&gt;30,10,('Scénario référence'!$B$16+'Scénario référence'!$B$17+'Scénario référence'!$B$18+'Scénario référence'!$B$9+'Scénario référence'!$B$10)*$A29*10/30+('Scénario référence'!$F$8+'Scénario référence'!$F$9)*10)</f>
        <v>10</v>
      </c>
      <c r="HM29" s="12" t="e">
        <f>VLOOKUP($A29,'Données projet'!$A$304:$I$324,2,0)</f>
        <v>#N/A</v>
      </c>
      <c r="HN29" s="12" t="e">
        <f>VLOOKUP($A29,'Données projet'!$A$304:$I$324,9,0)</f>
        <v>#N/A</v>
      </c>
      <c r="HO29" s="12">
        <f t="array" ref="HO29">INDEX(HN:HN,MIN(IF(ISNUMBER(HN29:HN225),ROW(HN29:HN225),"")))</f>
        <v>0</v>
      </c>
      <c r="HP29" s="12">
        <f>IF('Données projet'!$A$304&gt;35,HP28+HO29-HX28,IF($A29&lt;'Données projet'!$A$304,$CQ$205^$A29,IF($A29='Données projet'!$A$304,'Données projet'!$B$304,HP28+HO29-HX28)))</f>
        <v>0</v>
      </c>
      <c r="HQ29" s="17">
        <f>HP29*VLOOKUP('Données projet'!$B$19,Paramètres!$A$1:$I$89,3,0)*VLOOKUP('Données projet'!$B$19,Paramètres!$A$1:$I$89,5,0)</f>
        <v>0</v>
      </c>
      <c r="HR29" s="13" t="e">
        <f t="shared" si="83"/>
        <v>#NUM!</v>
      </c>
      <c r="HS29" s="14" t="e">
        <f t="shared" si="31"/>
        <v>#NUM!</v>
      </c>
      <c r="HT29" s="59" t="e">
        <f t="shared" si="32"/>
        <v>#NUM!</v>
      </c>
      <c r="HU29" s="59">
        <f ca="1">AVERAGE(OFFSET(HT$3,0,0,'Données projet'!$E$19+1,1))-AVERAGE(OFFSET($H$3,0,0,'Données projet'!$E$19+1,1))</f>
        <v>91.60721429656013</v>
      </c>
      <c r="HV29" s="59">
        <f t="shared" si="84"/>
        <v>258.94957804210856</v>
      </c>
      <c r="HW29" s="15">
        <f>IF(ISNA(VLOOKUP($A29,'Données projet'!$A$304:$I$324,3,0)),0,VLOOKUP($A29,'Données projet'!$A$304:$I$324,3,0))</f>
        <v>0</v>
      </c>
      <c r="HX29" s="15">
        <f>IF(ISNA(VLOOKUP($A29,'Données projet'!$A$304:$I$324,4,0)),0,VLOOKUP($A29,'Données projet'!$A$304:$I$324,4,0))</f>
        <v>0</v>
      </c>
      <c r="HY29" s="16">
        <f>IF(ISNA(VLOOKUP($A29,'Données projet'!$A$304:$I$324,5,0)),0%,VLOOKUP($A29,'Données projet'!$A$304:$I$324,5,0)*VLOOKUP('Données projet'!$B$19,Paramètres!$A$1:$I$89,7,0))</f>
        <v>0</v>
      </c>
      <c r="HZ29" s="16">
        <f>IF(ISNA(VLOOKUP($A29,'Données projet'!$A$304:$I$324,6,0)),0%,VLOOKUP($A29,'Données projet'!$A$304:$I$324,6,0)*VLOOKUP('Données projet'!$B$19,Paramètres!$A$1:$I$89,7,0))</f>
        <v>0</v>
      </c>
      <c r="IA29" s="16">
        <f>IF(ISNA(VLOOKUP($A29,'Données projet'!$A$304:$I$324,7,0)),0%,VLOOKUP($A29,'Données projet'!$A$304:$I$324,7,0))</f>
        <v>0</v>
      </c>
      <c r="IB29" s="21">
        <f>EXP(-LN(2)/35)*IB28+(1-EXP(-LN(2)/35))/(LN(2)/35)*HX29*HY29*VLOOKUP('Données projet'!$B$19,Paramètres!$A$1:$I$89,3,0)*0.475*44/12</f>
        <v>53.39964314975937</v>
      </c>
      <c r="IC29" s="21">
        <f>EXP(-LN(2)/25)*IC28+(1-EXP(-LN(2)/25))/(LN(2)/25)*Calculateur!HX29*Calculateur!HZ29*VLOOKUP('Données projet'!$B$19,Paramètres!$A$1:$I$89,3,0)*0.475*44/12</f>
        <v>10.868663897933121</v>
      </c>
      <c r="ID29" s="21">
        <f>EXP(-LN(2)/2)*ID28+(1-EXP(-LN(2)/2))/(LN(2)/2)*HX29*IA29*VLOOKUP('Données projet'!$B$19,Paramètres!$A$1:$I$89,3,0)*0.475*44/12</f>
        <v>2.2914092469759102</v>
      </c>
      <c r="IE29" s="22">
        <f t="shared" si="33"/>
        <v>66.559716294668405</v>
      </c>
      <c r="IF29" s="74">
        <f>('Scénario référence'!$F$8+'Scénario référence'!$F$9+'Scénario référence'!$B$17+'Scénario référence'!$B$9+'Scénario référence'!$B$10)*70+IF((45+25*(1-EXP(-0.0175*$A29)))&lt;70,'Scénario référence'!$B$16*(45+25*(1-EXP(-0.0175*$A29))),70*'Scénario référence'!$B$16)+IF((32+38*(1-EXP(-0.0175*$A29)))&lt;70,'Scénario référence'!$B$18*(32+38*(1-EXP(-0.0175*$A29))),70*'Scénario référence'!$B$18)</f>
        <v>70</v>
      </c>
      <c r="IG29" s="12">
        <f>IF($A29&gt;30,10,('Scénario référence'!$B$16+'Scénario référence'!$B$17+'Scénario référence'!$B$18+'Scénario référence'!$B$9+'Scénario référence'!$B$10)*$A29*10/30+('Scénario référence'!$F$8+'Scénario référence'!$F$9)*10)</f>
        <v>10</v>
      </c>
      <c r="IH29" s="12" t="e">
        <f>VLOOKUP($A29,'Données projet'!$A$330:$I$350,2,0)</f>
        <v>#N/A</v>
      </c>
      <c r="II29" s="12" t="e">
        <f>VLOOKUP($A29,'Données projet'!$A$330:$I$350,9,0)</f>
        <v>#N/A</v>
      </c>
      <c r="IJ29" s="12">
        <f t="array" ref="IJ29">INDEX(II:II,MIN(IF(ISNUMBER(II29:II225),ROW(II29:II225),"")))</f>
        <v>0</v>
      </c>
      <c r="IK29" s="12">
        <f>IF('Données projet'!$A$330&gt;35,IK28+IJ29-IS28,IF($A29&lt;'Données projet'!$A$330,$CQ$205^$A29,IF($A29='Données projet'!$A$330,'Données projet'!$B$330,IK28+IJ29-IS28)))</f>
        <v>0</v>
      </c>
      <c r="IL29" s="17">
        <f>IK29*VLOOKUP('Données projet'!$B$20,Paramètres!$A$1:$I$89,3,0)*VLOOKUP('Données projet'!$B$20,Paramètres!$A$1:$I$89,5,0)</f>
        <v>0</v>
      </c>
      <c r="IM29" s="13" t="e">
        <f t="shared" si="85"/>
        <v>#NUM!</v>
      </c>
      <c r="IN29" s="20" t="e">
        <f t="shared" si="86"/>
        <v>#NUM!</v>
      </c>
      <c r="IO29" s="59" t="e">
        <f t="shared" si="87"/>
        <v>#NUM!</v>
      </c>
      <c r="IP29" s="59">
        <f ca="1">AVERAGE(OFFSET(IO$3,0,0,'Données projet'!$E$20+1,1))-AVERAGE(OFFSET($H$3,0,0,'Données projet'!$E$20+1,1))</f>
        <v>91.60721429656013</v>
      </c>
      <c r="IQ29" s="59">
        <f t="shared" si="88"/>
        <v>258.94957804210856</v>
      </c>
      <c r="IR29" s="15">
        <f>IF(ISNA(VLOOKUP($A29,'Données projet'!$A$330:$I$350,3,0)),0,VLOOKUP($A29,'Données projet'!$A$330:$I$350,3,0))</f>
        <v>0</v>
      </c>
      <c r="IS29" s="15">
        <f>IF(ISNA(VLOOKUP($A29,'Données projet'!$A$330:$I$350,4,0)),0,VLOOKUP($A29,'Données projet'!$A$330:$I$350,4,0))</f>
        <v>0</v>
      </c>
      <c r="IT29" s="16">
        <f>IF(ISNA(VLOOKUP($A29,'Données projet'!$A$330:$I$350,5,0)),0%,VLOOKUP($A29,'Données projet'!$A$330:$I$350,5,0)*VLOOKUP('Données projet'!$B$20,Paramètres!$A$1:$I$89,7,0))</f>
        <v>0</v>
      </c>
      <c r="IU29" s="16">
        <f>IF(ISNA(VLOOKUP($A29,'Données projet'!$A$330:$I$350,6,0)),0%,VLOOKUP($A29,'Données projet'!$A$330:$I$350,6,0)*VLOOKUP('Données projet'!$B$20,Paramètres!$A$1:$I$89,7,0))</f>
        <v>0</v>
      </c>
      <c r="IV29" s="16">
        <f>IF(ISNA(VLOOKUP($A29,'Données projet'!$A$330:$I$350,7,0)),0%,VLOOKUP($A29,'Données projet'!$A$330:$I$350,7,0))</f>
        <v>0</v>
      </c>
      <c r="IW29" s="21">
        <f>EXP(-LN(2)/35)*IW28+(1-EXP(-LN(2)/35))/(LN(2)/35)*IS29*IT29*VLOOKUP('Données projet'!$B$20,Paramètres!$A$1:$I$89,3,0)*0.475*44/12</f>
        <v>53.39964314975937</v>
      </c>
      <c r="IX29" s="21">
        <f>EXP(-LN(2)/25)*IX28+(1-EXP(-LN(2)/25))/(LN(2)/25)*Calculateur!IS29*Calculateur!IU29*VLOOKUP('Données projet'!$B$20,Paramètres!$A$1:$I$89,3,0)*0.475*44/12</f>
        <v>10.868663897933121</v>
      </c>
      <c r="IY29" s="21">
        <f>EXP(-LN(2)/2)*IY28+(1-EXP(-LN(2)/2))/(LN(2)/2)*IS29*IV29*VLOOKUP('Données projet'!$B$20,Paramètres!$A$1:$I$89,3,0)*0.475*44/12</f>
        <v>2.2914092469759102</v>
      </c>
      <c r="IZ29" s="22">
        <f t="shared" si="89"/>
        <v>66.559716294668405</v>
      </c>
      <c r="JA29" s="74">
        <f>('Scénario référence'!$F$8+'Scénario référence'!$F$9+'Scénario référence'!$B$17+'Scénario référence'!$B$9+'Scénario référence'!$B$10)*70+IF((45+25*(1-EXP(-0.0175*$A29)))&lt;70,'Scénario référence'!$B$16*(45+25*(1-EXP(-0.0175*$A29))),70*'Scénario référence'!$B$16)+IF((32+38*(1-EXP(-0.0175*$A29)))&lt;70,'Scénario référence'!$B$18*(32+38*(1-EXP(-0.0175*$A29))),70*'Scénario référence'!$B$18)</f>
        <v>70</v>
      </c>
      <c r="JB29" s="12">
        <f>IF($A29&gt;30,10,('Scénario référence'!$B$16+'Scénario référence'!$B$17+'Scénario référence'!$B$18+'Scénario référence'!$B$9+'Scénario référence'!$B$10)*$A29*10/30+('Scénario référence'!$F$8+'Scénario référence'!$F$9)*10)</f>
        <v>10</v>
      </c>
      <c r="JC29" s="12" t="e">
        <f>VLOOKUP($A29,'Données projet'!$A$356:$I$376,2,0)</f>
        <v>#N/A</v>
      </c>
      <c r="JD29" s="12" t="e">
        <f>VLOOKUP($A29,'Données projet'!$A$356:$I$376,9,0)</f>
        <v>#N/A</v>
      </c>
      <c r="JE29" s="12">
        <f t="array" ref="JE29">INDEX(JD:JD,MIN(IF(ISNUMBER(JD29:JD225),ROW(JD29:JD225),"")))</f>
        <v>9.4</v>
      </c>
      <c r="JF29" s="12">
        <f>IF('Données projet'!$A$356&gt;35,JF28+JE29-JN28,IF($A29&lt;'Données projet'!$A$356,$CQ$205^$A29,IF($A29='Données projet'!$A$356,'Données projet'!$B$356,JF28+JE29-JN28)))</f>
        <v>78.40000000000002</v>
      </c>
      <c r="JG29" s="17">
        <f>JF29*VLOOKUP('Données projet'!$B$21,Paramètres!$A$1:$I$89,3,0)*VLOOKUP('Données projet'!$B$21,Paramètres!$A$1:$I$89,5,0)</f>
        <v>63.598080000000024</v>
      </c>
      <c r="JH29" s="13">
        <f t="shared" si="90"/>
        <v>18.074870208108596</v>
      </c>
      <c r="JI29" s="20">
        <f t="shared" si="91"/>
        <v>142.24705494578916</v>
      </c>
      <c r="JJ29" s="59">
        <f t="shared" si="92"/>
        <v>435.58038827912247</v>
      </c>
      <c r="JK29" s="59">
        <f ca="1">AVERAGE(OFFSET($JJ$3,0,0,'Données projet'!$E$22+1,1))-AVERAGE(OFFSET($H$3,0,0,'Données projet'!$E$22+1,1))</f>
        <v>353.35574633294613</v>
      </c>
      <c r="JL29" s="59">
        <f t="shared" si="93"/>
        <v>170.36796666474726</v>
      </c>
      <c r="JM29" s="15">
        <f>IF(ISNA(VLOOKUP($A29,'Données projet'!$A$356:$I$376,3,0)),0,VLOOKUP($A29,'Données projet'!$A$356:$I$376,3,0))</f>
        <v>0</v>
      </c>
      <c r="JN29" s="15">
        <f>IF(ISNA(VLOOKUP($A29,'Données projet'!$A$356:$I$376,4,0)),0,VLOOKUP($A29,'Données projet'!$A$356:$I$376,4,0))</f>
        <v>0</v>
      </c>
      <c r="JO29" s="16">
        <f>IF(ISNA(VLOOKUP($A29,'Données projet'!$A$356:$I$376,5,0)),0%,VLOOKUP($A29,'Données projet'!$A$356:$I$376,5,0)*VLOOKUP('Données projet'!$B$21,Paramètres!$A$1:$I$89,7,0))</f>
        <v>0</v>
      </c>
      <c r="JP29" s="16">
        <f>IF(ISNA(VLOOKUP($A29,'Données projet'!$A$356:$I$376,6,0)),0%,VLOOKUP($A29,'Données projet'!$A$356:$I$376,6,0)*VLOOKUP('Données projet'!$B$21,Paramètres!$A$1:$I$89,7,0))</f>
        <v>0</v>
      </c>
      <c r="JQ29" s="16">
        <f>IF(ISNA(VLOOKUP($A29,'Données projet'!$A$356:$I$376,7,0)),0%,VLOOKUP($A29,'Données projet'!$A$356:$I$376,7,0))</f>
        <v>0</v>
      </c>
      <c r="JR29" s="21">
        <f>EXP(-LN(2)/35)*JR28+(1-EXP(-LN(2)/35))/(LN(2)/35)*JN29*JO29*VLOOKUP('Données projet'!$B$21,Paramètres!$A$1:$I$89,3,0)*0.475*44/12</f>
        <v>0</v>
      </c>
      <c r="JS29" s="21">
        <f>EXP(-LN(2)/25)*JS28+(1-EXP(-LN(2)/25))/(LN(2)/25)*Calculateur!JN29*Calculateur!JP29*VLOOKUP('Données projet'!$B$21,Paramètres!$A$1:$I$89,3,0)*0.475*44/12</f>
        <v>0</v>
      </c>
      <c r="JT29" s="21">
        <f>EXP(-LN(2)/2)*JT28+(1-EXP(-LN(2)/2))/(LN(2)/2)*JN29*JQ29*VLOOKUP('Données projet'!$B$21,Paramètres!$A$1:$I$89,3,0)*0.475*44/12</f>
        <v>0</v>
      </c>
      <c r="JU29" s="18">
        <f t="shared" si="39"/>
        <v>0</v>
      </c>
      <c r="JV29" s="74">
        <f>('Scénario référence'!$F$8+'Scénario référence'!$F$9+'Scénario référence'!$B$17+'Scénario référence'!$B$9+'Scénario référence'!$B$10)*70+IF((45+25*(1-EXP(-0.0175*$A29)))&lt;70,'Scénario référence'!$B$16*(45+25*(1-EXP(-0.0175*$A29))),70*'Scénario référence'!$B$16)+IF((32+38*(1-EXP(-0.0175*$A29)))&lt;70,'Scénario référence'!$B$18*(32+38*(1-EXP(-0.0175*$A29))),70*'Scénario référence'!$B$18)</f>
        <v>70</v>
      </c>
      <c r="JW29" s="12">
        <f>IF($A29&gt;30,10,('Scénario référence'!$B$16+'Scénario référence'!$B$17+'Scénario référence'!$B$18+'Scénario référence'!$B$9+'Scénario référence'!$B$10)*$A29*10/30+('Scénario référence'!$F$8+'Scénario référence'!$F$9)*10)</f>
        <v>10</v>
      </c>
      <c r="JX29" s="12" t="e">
        <f>VLOOKUP($A29,'Données projet'!$A$382:$I$402,2,0)</f>
        <v>#N/A</v>
      </c>
      <c r="JY29" s="12" t="e">
        <f>VLOOKUP($A29,'Données projet'!$A$382:$I$402,9,0)</f>
        <v>#N/A</v>
      </c>
      <c r="JZ29" s="12">
        <f t="array" ref="JZ29">INDEX(JY:JY,MIN(IF(ISNUMBER(JY29:JY225),ROW(JY29:JY225),"")))</f>
        <v>4.0628205128205126</v>
      </c>
      <c r="KA29" s="12">
        <f>IF('Données projet'!$A$382&gt;35,KA28+JZ29-KI28,IF($A29&lt;'Données projet'!$A$382,$CQ$205^$A29,IF($A29='Données projet'!$A$382,'Données projet'!$B$382,KA28+JZ29-KI28)))</f>
        <v>105.6333333333333</v>
      </c>
      <c r="KB29" s="17">
        <f>KA29*VLOOKUP('Données projet'!$B$22,Paramètres!$A$1:$I$89,3,0)*VLOOKUP('Données projet'!$B$22,Paramètres!$A$1:$I$89,5,0)</f>
        <v>70.858839999999987</v>
      </c>
      <c r="KC29" s="13">
        <f t="shared" si="94"/>
        <v>19.886586207804097</v>
      </c>
      <c r="KD29" s="20">
        <f t="shared" si="95"/>
        <v>158.04828397859211</v>
      </c>
      <c r="KE29" s="59">
        <f t="shared" si="96"/>
        <v>451.38161731192542</v>
      </c>
      <c r="KF29" s="59">
        <f ca="1">AVERAGE(OFFSET($KE$3,0,0,'Données projet'!$E$22+1,1))-AVERAGE(OFFSET($H$3,0,0,'Données projet'!$E$22+1,1))</f>
        <v>193.91714772848269</v>
      </c>
      <c r="KG29" s="59">
        <f t="shared" si="97"/>
        <v>159.20429420478047</v>
      </c>
      <c r="KH29" s="15">
        <f>IF(ISNA(VLOOKUP($A29,'Données projet'!$A$382:$I$402,3,0)),0,VLOOKUP($A29,'Données projet'!$A$382:$I$402,3,0))</f>
        <v>0</v>
      </c>
      <c r="KI29" s="15">
        <f>IF(ISNA(VLOOKUP($A29,'Données projet'!$A$382:$I$402,4,0)),0,VLOOKUP($A29,'Données projet'!$A$382:$I$402,4,0))</f>
        <v>0</v>
      </c>
      <c r="KJ29" s="16">
        <f>IF(ISNA(VLOOKUP($A29,'Données projet'!$A$382:$I$402,5,0)),0%,VLOOKUP($A29,'Données projet'!$A$382:$I$402,5,0)*VLOOKUP('Données projet'!$B$22,Paramètres!$A$1:$I$89,7,0))</f>
        <v>0</v>
      </c>
      <c r="KK29" s="16">
        <f>IF(ISNA(VLOOKUP($A29,'Données projet'!$A$382:$I$402,6,0)),0%,VLOOKUP($A29,'Données projet'!$A$382:$I$402,6,0)*VLOOKUP('Données projet'!$B$22,Paramètres!$A$1:$I$89,7,0))</f>
        <v>0</v>
      </c>
      <c r="KL29" s="16">
        <f>IF(ISNA(VLOOKUP($A29,'Données projet'!$A$382:$I$402,7,0)),0%,VLOOKUP($A29,'Données projet'!$A$382:$I$402,7,0))</f>
        <v>0</v>
      </c>
      <c r="KM29" s="21">
        <f>EXP(-LN(2)/35)*KM28+(1-EXP(-LN(2)/35))/(LN(2)/35)*KI29*KJ29*VLOOKUP('Données projet'!$B$22,Paramètres!$A$1:$I$89,3,0)*0.475*44/12</f>
        <v>0</v>
      </c>
      <c r="KN29" s="21">
        <f>EXP(-LN(2)/25)*KN28+(1-EXP(-LN(2)/25))/(LN(2)/25)*Calculateur!KI29*Calculateur!KK29*VLOOKUP('Données projet'!$B$22,Paramètres!$A$1:$I$89,3,0)*0.475*44/12</f>
        <v>0</v>
      </c>
      <c r="KO29" s="21">
        <f>EXP(-LN(2)/2)*KO28+(1-EXP(-LN(2)/2))/(LN(2)/2)*KI29*KL29*VLOOKUP('Données projet'!$B$22,Paramètres!$A$1:$I$89,3,0)*0.475*44/12</f>
        <v>0</v>
      </c>
      <c r="KP29" s="22">
        <f t="shared" si="98"/>
        <v>0</v>
      </c>
      <c r="KQ29" s="74">
        <f>('Scénario référence'!$F$8+'Scénario référence'!$F$9+'Scénario référence'!$B$17+'Scénario référence'!$B$9+'Scénario référence'!$B$10)*70+IF((45+25*(1-EXP(-0.0175*$A29)))&lt;70,'Scénario référence'!$B$16*(45+25*(1-EXP(-0.0175*$A29))),70*'Scénario référence'!$B$16)+IF((32+38*(1-EXP(-0.0175*$A29)))&lt;70,'Scénario référence'!$B$18*(32+38*(1-EXP(-0.0175*$A29))),70*'Scénario référence'!$B$18)</f>
        <v>70</v>
      </c>
      <c r="KR29" s="12">
        <f>IF($A29&gt;30,10,('Scénario référence'!$B$16+'Scénario référence'!$B$17+'Scénario référence'!$B$18+'Scénario référence'!$B$9+'Scénario référence'!$B$10)*$A29*10/30+('Scénario référence'!$F$8+'Scénario référence'!$F$9)*10)</f>
        <v>10</v>
      </c>
      <c r="KS29" s="12" t="e">
        <f>VLOOKUP($A29,'Données projet'!$A$408:$I$428,2,0)</f>
        <v>#N/A</v>
      </c>
      <c r="KT29" s="12" t="e">
        <f>VLOOKUP($A29,'Données projet'!$A$408:$I$428,9,0)</f>
        <v>#N/A</v>
      </c>
      <c r="KU29" s="12">
        <f t="array" ref="KU29">INDEX(KT:KT,MIN(IF(ISNUMBER(KT29:KT225),ROW(KT29:KT225),"")))</f>
        <v>11.8</v>
      </c>
      <c r="KV29" s="12">
        <f>IF('Données projet'!$A$408&gt;35,KV28+KU29-LD28,IF($A29&lt;'Données projet'!$A$408,$CQ$205^$A29,IF($A29='Données projet'!$A$408,'Données projet'!$B$408,KV28+KU29-LD28)))</f>
        <v>98.799999999999983</v>
      </c>
      <c r="KW29" s="17">
        <f>KV29*VLOOKUP('Données projet'!$B$23,Paramètres!$A$1:$I$89,3,0)*VLOOKUP('Données projet'!$B$23,Paramètres!$A$1:$I$89,5,0)</f>
        <v>86.311679999999996</v>
      </c>
      <c r="KX29" s="13">
        <f t="shared" si="99"/>
        <v>23.673536308765939</v>
      </c>
      <c r="KY29" s="14">
        <f t="shared" si="43"/>
        <v>191.55758507110065</v>
      </c>
      <c r="KZ29" s="59">
        <f t="shared" si="44"/>
        <v>484.89091840443393</v>
      </c>
      <c r="LA29" s="59">
        <f ca="1">AVERAGE(OFFSET($KZ$3,0,0,'Données projet'!$E$23+1,1))-AVERAGE(OFFSET($H$3,0,0,'Données projet'!$E$23+1,1))</f>
        <v>248.33596943633819</v>
      </c>
      <c r="LB29" s="59">
        <f t="shared" si="100"/>
        <v>242.34010522344573</v>
      </c>
      <c r="LC29" s="15">
        <f>IF(ISNA(VLOOKUP($A29,'Données projet'!$A$408:$I$428,3,0)),0,VLOOKUP($A29,'Données projet'!$A$408:$I$428,3,0))</f>
        <v>0</v>
      </c>
      <c r="LD29" s="15">
        <f>IF(ISNA(VLOOKUP($A29,'Données projet'!$A$408:$I$428,4,0)),0,VLOOKUP($A29,'Données projet'!$A$408:$I$428,4,0))</f>
        <v>0</v>
      </c>
      <c r="LE29" s="16">
        <f>IF(ISNA(VLOOKUP($A29,'Données projet'!$A$408:$I$428,5,0)),0%,VLOOKUP($A29,'Données projet'!$A$408:$I$428,5,0)*VLOOKUP('Données projet'!$B$23,Paramètres!$A$1:$I$89,7,0))</f>
        <v>0</v>
      </c>
      <c r="LF29" s="16">
        <f>IF(ISNA(VLOOKUP($A29,'Données projet'!$A$408:$I$428,6,0)),0%,VLOOKUP($A29,'Données projet'!$A$408:$I$428,6,0)*VLOOKUP('Données projet'!$B$23,Paramètres!$A$1:$I$89,7,0))</f>
        <v>0</v>
      </c>
      <c r="LG29" s="16">
        <f>IF(ISNA(VLOOKUP($A29,'Données projet'!$A$408:$I$428,7,0)),0%,VLOOKUP($A29,'Données projet'!$A$408:$I$428,7,0))</f>
        <v>0</v>
      </c>
      <c r="LH29" s="21">
        <f>EXP(-LN(2)/35)*LH28+(1-EXP(-LN(2)/35))/(LN(2)/35)*LD29*LE29*VLOOKUP('Données projet'!$B$23,Paramètres!$A$1:$I$89,3,0)*0.475*44/12</f>
        <v>0</v>
      </c>
      <c r="LI29" s="21">
        <f>EXP(-LN(2)/25)*LI28+(1-EXP(-LN(2)/25))/(LN(2)/25)*Calculateur!LD29*Calculateur!LF29*VLOOKUP('Données projet'!$B$23,Paramètres!$A$1:$I$89,3,0)*0.475*44/12</f>
        <v>0.78855085091564581</v>
      </c>
      <c r="LJ29" s="21">
        <f>EXP(-LN(2)/2)*LJ28+(1-EXP(-LN(2)/2))/(LN(2)/2)*LD29*LG29*VLOOKUP('Données projet'!$B$23,Paramètres!$A$1:$I$89,3,0)*0.475*44/12</f>
        <v>0</v>
      </c>
      <c r="LK29" s="22">
        <f t="shared" si="101"/>
        <v>0.78855085091564581</v>
      </c>
      <c r="LL29" s="74">
        <f>('Scénario référence'!$F$8+'Scénario référence'!$F$9+'Scénario référence'!$B$17+'Scénario référence'!$B$9+'Scénario référence'!$B$10)*70+IF((45+25*(1-EXP(-0.0175*$A29)))&lt;70,'Scénario référence'!$B$16*(45+25*(1-EXP(-0.0175*$A29))),70*'Scénario référence'!$B$16)+IF((32+38*(1-EXP(-0.0175*$A29)))&lt;70,'Scénario référence'!$B$18*(32+38*(1-EXP(-0.0175*$A29))),70*'Scénario référence'!$B$18)</f>
        <v>70</v>
      </c>
      <c r="LM29" s="12">
        <f>IF($A29&gt;30,10,('Scénario référence'!$B$16+'Scénario référence'!$B$17+'Scénario référence'!$B$18+'Scénario référence'!$B$9+'Scénario référence'!$B$10)*$A29*10/30+('Scénario référence'!$F$8+'Scénario référence'!$F$9)*10)</f>
        <v>10</v>
      </c>
      <c r="LN29" s="12" t="e">
        <f>VLOOKUP($A29,'Données projet'!$A$434:$I$454,2,0)</f>
        <v>#N/A</v>
      </c>
      <c r="LO29" s="12" t="e">
        <f>VLOOKUP($A29,'Données projet'!$A$434:$I$454,9,0)</f>
        <v>#N/A</v>
      </c>
      <c r="LP29" s="12">
        <f t="array" ref="LP29">INDEX(LO:LO,MIN(IF(ISNUMBER(LO29:LO225),ROW(LO29:LO225),"")))</f>
        <v>2.9235042735042733</v>
      </c>
      <c r="LQ29" s="12">
        <f>IF('Données projet'!$A$434&gt;35,LQ28+LP29-LY28,IF($A29&lt;'Données projet'!$A$434,$CQ$205^$A29,IF($A29='Données projet'!$A$434,'Données projet'!$B$434,LQ28+LP29-LY28)))</f>
        <v>76.011111111111106</v>
      </c>
      <c r="LR29" s="17">
        <f>LQ29*VLOOKUP('Données projet'!$B$24,Paramètres!$A$1:$I$89,3,0)*VLOOKUP('Données projet'!$B$24,Paramètres!$A$1:$I$89,5,0)</f>
        <v>77.075266666666678</v>
      </c>
      <c r="LS29" s="13">
        <f t="shared" si="102"/>
        <v>21.420528937211799</v>
      </c>
      <c r="LT29" s="14">
        <f t="shared" si="46"/>
        <v>171.54684401008834</v>
      </c>
      <c r="LU29" s="59">
        <f t="shared" si="103"/>
        <v>464.88017734342168</v>
      </c>
      <c r="LV29" s="59">
        <f ca="1">AVERAGE(OFFSET($LU$3,0,0,'Données projet'!$E$24+1,1))-AVERAGE(OFFSET($H$3,0,0,'Données projet'!$E$24+1,1))</f>
        <v>260.52627655062872</v>
      </c>
      <c r="LW29" s="59">
        <f t="shared" si="104"/>
        <v>159.20429420478047</v>
      </c>
      <c r="LX29" s="15">
        <f>IF(ISNA(VLOOKUP($A29,'Données projet'!$A$434:$I$454,3,0)),0,VLOOKUP($A29,'Données projet'!$A$434:$I$454,3,0))</f>
        <v>0</v>
      </c>
      <c r="LY29" s="15">
        <f>IF(ISNA(VLOOKUP($A29,'Données projet'!$A$434:$I$454,4,0)),0,VLOOKUP($A29,'Données projet'!$A$434:$I$454,4,0))</f>
        <v>0</v>
      </c>
      <c r="LZ29" s="16">
        <f>IF(ISNA(VLOOKUP($A29,'Données projet'!$A$434:$I$454,5,0)),0%,VLOOKUP($A29,'Données projet'!$A$434:$I$454,5,0)*VLOOKUP('Données projet'!$B$24,Paramètres!$A$1:$I$89,7,0))</f>
        <v>0</v>
      </c>
      <c r="MA29" s="16">
        <f>IF(ISNA(VLOOKUP($A29,'Données projet'!$A$434:$I$454,6,0)),0%,VLOOKUP($A29,'Données projet'!$A$434:$I$454,6,0)*VLOOKUP('Données projet'!$B$24,Paramètres!$A$1:$I$89,7,0))</f>
        <v>0</v>
      </c>
      <c r="MB29" s="16">
        <f>IF(ISNA(VLOOKUP($A29,'Données projet'!$A$434:$I$454,7,0)),0%,VLOOKUP($A29,'Données projet'!$A$434:$I$454,7,0))</f>
        <v>0</v>
      </c>
      <c r="MC29" s="21">
        <f>EXP(-LN(2)/35)*MC28+(1-EXP(-LN(2)/35))/(LN(2)/35)*LY29*LZ29*VLOOKUP('Données projet'!$B$24,Paramètres!$A$1:$I$89,3,0)*0.475*44/12</f>
        <v>0</v>
      </c>
      <c r="MD29" s="21">
        <f>EXP(-LN(2)/25)*MD28+(1-EXP(-LN(2)/25))/(LN(2)/25)*Calculateur!LY29*Calculateur!MA29*VLOOKUP('Données projet'!$B$24,Paramètres!$A$1:$I$89,3,0)*0.475*44/12</f>
        <v>0</v>
      </c>
      <c r="ME29" s="21">
        <f>EXP(-LN(2)/2)*ME28+(1-EXP(-LN(2)/2))/(LN(2)/2)*LY29*MB29*VLOOKUP('Données projet'!$B$24,Paramètres!$A$1:$I$89,3,0)*0.475*44/12</f>
        <v>0</v>
      </c>
      <c r="MF29" s="22">
        <f t="shared" si="105"/>
        <v>0</v>
      </c>
      <c r="MG29" s="74">
        <f>('Scénario référence'!$F$8+'Scénario référence'!$F$9+'Scénario référence'!$B$17+'Scénario référence'!$B$9+'Scénario référence'!$B$10)*70+IF((45+25*(1-EXP(-0.0175*$A29)))&lt;70,'Scénario référence'!$B$16*(45+25*(1-EXP(-0.0175*$A29))),70*'Scénario référence'!$B$16)+IF((32+38*(1-EXP(-0.0175*$A29)))&lt;70,'Scénario référence'!$B$18*(32+38*(1-EXP(-0.0175*$A29))),70*'Scénario référence'!$B$18)</f>
        <v>70</v>
      </c>
      <c r="MH29" s="12">
        <f>IF($A29&gt;30,10,('Scénario référence'!$B$16+'Scénario référence'!$B$17+'Scénario référence'!$B$18+'Scénario référence'!$B$9+'Scénario référence'!$B$10)*$A29*10/30+('Scénario référence'!$F$8+'Scénario référence'!$F$9)*10)</f>
        <v>10</v>
      </c>
      <c r="MI29" s="12" t="e">
        <f>VLOOKUP($A29,'Données projet'!$A$460:$I$480,2,0)</f>
        <v>#N/A</v>
      </c>
      <c r="MJ29" s="12" t="e">
        <f>VLOOKUP($A29,'Données projet'!$A$460:$I$480,9,0)</f>
        <v>#N/A</v>
      </c>
      <c r="MK29" s="12">
        <f t="array" ref="MK29">INDEX(MJ:MJ,MIN(IF(ISNUMBER(MJ29:MJ225),ROW(MJ29:MJ225),"")))</f>
        <v>0</v>
      </c>
      <c r="ML29" s="12">
        <f>IF('Données projet'!$A$460&gt;35,ML28+MK29-MT28,IF($A29&lt;'Données projet'!$A$460,$CQ$205^$A29,IF($A29='Données projet'!$A$460,'Données projet'!$B$460,ML28+MK29-MT28)))</f>
        <v>0</v>
      </c>
      <c r="MM29" s="17" t="e">
        <f>ML29*VLOOKUP('Données projet'!$B$25,Paramètres!$A$1:$I$89,3,0)*VLOOKUP('Données projet'!$B$25,Paramètres!$A$1:$I$89,5,0)</f>
        <v>#N/A</v>
      </c>
      <c r="MN29" s="13" t="e">
        <f t="shared" si="106"/>
        <v>#N/A</v>
      </c>
      <c r="MO29" s="14" t="e">
        <f t="shared" si="49"/>
        <v>#N/A</v>
      </c>
      <c r="MP29" s="59" t="e">
        <f t="shared" si="50"/>
        <v>#N/A</v>
      </c>
      <c r="MQ29" s="20" t="e">
        <f ca="1">AVERAGE(OFFSET($MP$3,0,0,'Données projet'!$E$25+1,1))-AVERAGE(OFFSET($H$3,0,0,'Données projet'!$E$25+1,1))</f>
        <v>#N/A</v>
      </c>
      <c r="MR29" s="59" t="e">
        <f t="shared" si="107"/>
        <v>#N/A</v>
      </c>
      <c r="MS29" s="15">
        <f>IF(ISNA(VLOOKUP($A29,'Données projet'!$A$460:$I$480,3,0)),0,VLOOKUP($A29,'Données projet'!$A$460:$I$480,3,0))</f>
        <v>0</v>
      </c>
      <c r="MT29" s="15">
        <f>IF(ISNA(VLOOKUP($A29,'Données projet'!$A$460:$I$480,4,0)),0,VLOOKUP($A29,'Données projet'!$A$460:$I$480,4,0))</f>
        <v>0</v>
      </c>
      <c r="MU29" s="16">
        <f>IF(ISNA(VLOOKUP($A29,'Données projet'!$A$460:$I$480,5,0)),0%,VLOOKUP($A29,'Données projet'!$A$460:$I$480,5,0)*VLOOKUP('Données projet'!$B$25,Paramètres!$A$1:$I$89,7,0))</f>
        <v>0</v>
      </c>
      <c r="MV29" s="16">
        <f>IF(ISNA(VLOOKUP($A29,'Données projet'!$A$460:$I$480,6,0)),0%,VLOOKUP($A29,'Données projet'!$A$460:$I$480,6,0)*VLOOKUP('Données projet'!$B$25,Paramètres!$A$1:$I$89,7,0))</f>
        <v>0</v>
      </c>
      <c r="MW29" s="16">
        <f>IF(ISNA(VLOOKUP($A29,'Données projet'!$A$460:$I$480,7,0)),0%,VLOOKUP($A29,'Données projet'!$A$460:$I$480,7,0))</f>
        <v>0</v>
      </c>
      <c r="MX29" s="21" t="e">
        <f>EXP(-LN(2)/35)*MX28+(1-EXP(-LN(2)/35))/(LN(2)/35)*MT29*MU29*VLOOKUP('Données projet'!$B$25,Paramètres!$A$1:$I$89,3,0)*0.475*44/12</f>
        <v>#N/A</v>
      </c>
      <c r="MY29" s="21" t="e">
        <f>EXP(-LN(2)/25)*MY28+(1-EXP(-LN(2)/25))/(LN(2)/25)*Calculateur!MT29*Calculateur!MV29*VLOOKUP('Données projet'!$B$25,Paramètres!$A$1:$I$89,3,0)*0.475*44/12</f>
        <v>#N/A</v>
      </c>
      <c r="MZ29" s="21" t="e">
        <f>EXP(-LN(2)/2)*MZ28+(1-EXP(-LN(2)/2))/(LN(2)/2)*MT29*MW29*VLOOKUP('Données projet'!$B$25,Paramètres!$A$1:$I$89,3,0)*0.475*44/12</f>
        <v>#N/A</v>
      </c>
      <c r="NA29" s="22" t="e">
        <f t="shared" si="108"/>
        <v>#N/A</v>
      </c>
      <c r="NB29" s="74">
        <f>('Scénario référence'!$F$8+'Scénario référence'!$F$9+'Scénario référence'!$B$17+'Scénario référence'!$B$9+'Scénario référence'!$B$10)*70+IF((45+25*(1-EXP(-0.0175*$A29)))&lt;70,'Scénario référence'!$B$16*(45+25*(1-EXP(-0.0175*$A29))),70*'Scénario référence'!$B$16)+IF((32+38*(1-EXP(-0.0175*$A29)))&lt;70,'Scénario référence'!$B$18*(32+38*(1-EXP(-0.0175*$A29))),70*'Scénario référence'!$B$18)</f>
        <v>70</v>
      </c>
      <c r="NC29" s="12">
        <f>IF($A29&gt;30,10,('Scénario référence'!$B$16+'Scénario référence'!$B$17+'Scénario référence'!$B$18+'Scénario référence'!$B$9+'Scénario référence'!$B$10)*$A29*10/30+('Scénario référence'!$F$8+'Scénario référence'!$F$9)*10)</f>
        <v>10</v>
      </c>
      <c r="ND29" s="12" t="e">
        <f>VLOOKUP($A29,'Données projet'!$A$486:$I$506,2,0)</f>
        <v>#N/A</v>
      </c>
      <c r="NE29" s="12" t="e">
        <f>VLOOKUP($A29,'Données projet'!$A$486:$I$506,9,0)</f>
        <v>#N/A</v>
      </c>
      <c r="NF29" s="12">
        <f t="array" ref="NF29">INDEX(NE:NE,MIN(IF(ISNUMBER(NE29:NE225),ROW(NE29:NE225),"")))</f>
        <v>0</v>
      </c>
      <c r="NG29" s="12">
        <f>IF('Données projet'!$A$486&gt;35,NG28+NF29-NO28,IF($A29&lt;'Données projet'!$A$486,$CQ$205^$A29,IF($A29='Données projet'!$A$486,'Données projet'!$B$486,NG28+NF29-NO28)))</f>
        <v>0</v>
      </c>
      <c r="NH29" s="17" t="e">
        <f>NG29*VLOOKUP('Données projet'!$B$26,Paramètres!$A$1:$I$89,3,0)*VLOOKUP('Données projet'!$B$26,Paramètres!$A$1:$I$89,5,0)</f>
        <v>#N/A</v>
      </c>
      <c r="NI29" s="13" t="e">
        <f t="shared" si="109"/>
        <v>#N/A</v>
      </c>
      <c r="NJ29" s="14" t="e">
        <f t="shared" si="52"/>
        <v>#N/A</v>
      </c>
      <c r="NK29" s="59" t="e">
        <f t="shared" si="53"/>
        <v>#N/A</v>
      </c>
      <c r="NL29" s="20" t="e">
        <f ca="1">AVERAGE(OFFSET($NK$3,0,0,'Données projet'!$E$26+1,1))-AVERAGE(OFFSET($H$3,0,0,'Données projet'!$E$26+1,1))</f>
        <v>#N/A</v>
      </c>
      <c r="NM29" s="59" t="e">
        <f t="shared" si="110"/>
        <v>#N/A</v>
      </c>
      <c r="NN29" s="15">
        <f>IF(ISNA(VLOOKUP($A29,'Données projet'!$A$486:$I$506,3,0)),0,VLOOKUP($A29,'Données projet'!$A$486:$I$506,3,0))</f>
        <v>0</v>
      </c>
      <c r="NO29" s="15">
        <f>IF(ISNA(VLOOKUP($A29,'Données projet'!$A$486:$I$506,4,0)),0,VLOOKUP($A29,'Données projet'!$A$486:$I$506,4,0))</f>
        <v>0</v>
      </c>
      <c r="NP29" s="16">
        <f>IF(ISNA(VLOOKUP($A29,'Données projet'!$A$486:$I$506,5,0)),0%,VLOOKUP($A29,'Données projet'!$A$486:$I$506,5,0)*VLOOKUP('Données projet'!$B$26,Paramètres!$A$1:$I$89,7,0))</f>
        <v>0</v>
      </c>
      <c r="NQ29" s="16">
        <f>IF(ISNA(VLOOKUP($A29,'Données projet'!$A$486:$I$506,6,0)),0%,VLOOKUP($A29,'Données projet'!$A$486:$I$506,6,0)*VLOOKUP('Données projet'!$B$26,Paramètres!$A$1:$I$89,7,0))</f>
        <v>0</v>
      </c>
      <c r="NR29" s="16">
        <f>IF(ISNA(VLOOKUP($A29,'Données projet'!$A$486:$I$506,7,0)),0%,VLOOKUP($A29,'Données projet'!$A$486:$I$506,7,0))</f>
        <v>0</v>
      </c>
      <c r="NS29" s="21" t="e">
        <f>EXP(-LN(2)/35)*NS28+(1-EXP(-LN(2)/35))/(LN(2)/35)*NO29*NP29*VLOOKUP('Données projet'!$B$26,Paramètres!$A$1:$I$89,3,0)*0.475*44/12</f>
        <v>#N/A</v>
      </c>
      <c r="NT29" s="21" t="e">
        <f>EXP(-LN(2)/25)*NT28+(1-EXP(-LN(2)/25))/(LN(2)/25)*Calculateur!NO29*Calculateur!NQ29*VLOOKUP('Données projet'!$B$26,Paramètres!$A$1:$I$89,3,0)*0.475*44/12</f>
        <v>#N/A</v>
      </c>
      <c r="NU29" s="21" t="e">
        <f>EXP(-LN(2)/2)*NU28+(1-EXP(-LN(2)/2))/(LN(2)/2)*NO29*NR29*VLOOKUP('Données projet'!$B$26,Paramètres!$A$1:$I$89,3,0)*0.475*44/12</f>
        <v>#N/A</v>
      </c>
      <c r="NV29" s="22" t="e">
        <f t="shared" si="111"/>
        <v>#N/A</v>
      </c>
      <c r="NW29" s="74">
        <f>('Scénario référence'!$F$8+'Scénario référence'!$F$9+'Scénario référence'!$B$17+'Scénario référence'!$B$9+'Scénario référence'!$B$10)*70+IF((45+25*(1-EXP(-0.0175*$A29)))&lt;70,'Scénario référence'!$B$16*(45+25*(1-EXP(-0.0175*$A29))),70*'Scénario référence'!$B$16)+IF((32+38*(1-EXP(-0.0175*$A29)))&lt;70,'Scénario référence'!$B$18*(32+38*(1-EXP(-0.0175*$A29))),70*'Scénario référence'!$B$18)</f>
        <v>70</v>
      </c>
      <c r="NX29" s="12">
        <f>IF($A29&gt;30,10,('Scénario référence'!$B$16+'Scénario référence'!$B$17+'Scénario référence'!$B$18+'Scénario référence'!$B$9+'Scénario référence'!$B$10)*$A29*10/30+('Scénario référence'!$F$8+'Scénario référence'!$F$9)*10)</f>
        <v>10</v>
      </c>
      <c r="NY29" s="12" t="e">
        <f>VLOOKUP($A29,'Données projet'!$A$512:$I$532,2,0)</f>
        <v>#N/A</v>
      </c>
      <c r="NZ29" s="12" t="e">
        <f>VLOOKUP($A29,'Données projet'!$A$512:$I$532,9,0)</f>
        <v>#N/A</v>
      </c>
      <c r="OA29" s="12">
        <f t="array" ref="OA29">INDEX(NZ:NZ,MIN(IF(ISNUMBER(NZ29:NZ225),ROW(NZ29:NZ225),"")))</f>
        <v>0</v>
      </c>
      <c r="OB29" s="12">
        <f>IF('Données projet'!$A$512&gt;35,OB28+OA29-OJ28,IF($A29&lt;'Données projet'!$A$512,$CQ$205^$A29,IF($A29='Données projet'!$A$512,'Données projet'!$B$512,OB28+OA29-OJ28)))</f>
        <v>0</v>
      </c>
      <c r="OC29" s="17" t="e">
        <f>OB29*VLOOKUP('Données projet'!$B$27,Paramètres!$A$1:$I$89,3,0)*VLOOKUP('Données projet'!$B$27,Paramètres!$A$1:$I$89,5,0)</f>
        <v>#N/A</v>
      </c>
      <c r="OD29" s="13" t="e">
        <f t="shared" si="112"/>
        <v>#N/A</v>
      </c>
      <c r="OE29" s="14" t="e">
        <f t="shared" si="55"/>
        <v>#N/A</v>
      </c>
      <c r="OF29" s="59" t="e">
        <f t="shared" si="56"/>
        <v>#N/A</v>
      </c>
      <c r="OG29" s="20" t="e">
        <f ca="1">AVERAGE(OFFSET($OF$3,0,0,'Données projet'!$E$27+1,1))-AVERAGE(OFFSET($H$3,0,0,'Données projet'!$E$27+1,1))</f>
        <v>#N/A</v>
      </c>
      <c r="OH29" s="59" t="e">
        <f t="shared" si="113"/>
        <v>#N/A</v>
      </c>
      <c r="OI29" s="15">
        <f>IF(ISNA(VLOOKUP($A29,'Données projet'!$A$512:$I$532,3,0)),0,VLOOKUP($A29,'Données projet'!$A$512:$I$532,3,0))</f>
        <v>0</v>
      </c>
      <c r="OJ29" s="15">
        <f>IF(ISNA(VLOOKUP($A29,'Données projet'!$A$512:$I$532,4,0)),0,VLOOKUP($A29,'Données projet'!$A$512:$I$532,4,0))</f>
        <v>0</v>
      </c>
      <c r="OK29" s="16">
        <f>IF(ISNA(VLOOKUP($A29,'Données projet'!$A$512:$I$532,5,0)),0%,VLOOKUP($A29,'Données projet'!$A$512:$I$532,5,0)*VLOOKUP('Données projet'!$B$27,Paramètres!$A$1:$I$89,7,0))</f>
        <v>0</v>
      </c>
      <c r="OL29" s="16">
        <f>IF(ISNA(VLOOKUP($A29,'Données projet'!$A$512:$I$532,6,0)),0%,VLOOKUP($A29,'Données projet'!$A$512:$I$532,6,0)*VLOOKUP('Données projet'!$B$27,Paramètres!$A$1:$I$89,7,0))</f>
        <v>0</v>
      </c>
      <c r="OM29" s="16">
        <f>IF(ISNA(VLOOKUP($A29,'Données projet'!$A$512:$I$532,7,0)),0%,VLOOKUP($A29,'Données projet'!$A$512:$I$532,7,0))</f>
        <v>0</v>
      </c>
      <c r="ON29" s="21" t="e">
        <f>EXP(-LN(2)/35)*ON28+(1-EXP(-LN(2)/35))/(LN(2)/35)*OJ29*OK29*VLOOKUP('Données projet'!$B$27,Paramètres!$A$1:$I$89,3,0)*0.475*44/12</f>
        <v>#N/A</v>
      </c>
      <c r="OO29" s="21" t="e">
        <f>EXP(-LN(2)/25)*OO28+(1-EXP(-LN(2)/25))/(LN(2)/25)*Calculateur!OJ29*Calculateur!OL29*VLOOKUP('Données projet'!$B$27,Paramètres!$A$1:$I$89,3,0)*0.475*44/12</f>
        <v>#N/A</v>
      </c>
      <c r="OP29" s="21" t="e">
        <f>EXP(-LN(2)/2)*OP28+(1-EXP(-LN(2)/2))/(LN(2)/2)*OJ29*OM29*VLOOKUP('Données projet'!$B$27,Paramètres!$A$1:$I$89,3,0)*0.475*44/12</f>
        <v>#N/A</v>
      </c>
      <c r="OQ29" s="22" t="e">
        <f t="shared" si="114"/>
        <v>#N/A</v>
      </c>
      <c r="OR29" s="74">
        <f>('Scénario référence'!$F$8+'Scénario référence'!$F$9+'Scénario référence'!$B$17+'Scénario référence'!$B$9+'Scénario référence'!$B$10)*70+IF((45+25*(1-EXP(-0.0175*$A29)))&lt;70,'Scénario référence'!$B$16*(45+25*(1-EXP(-0.0175*$A29))),70*'Scénario référence'!$B$16)+IF((32+38*(1-EXP(-0.0175*$A29)))&lt;70,'Scénario référence'!$B$18*(32+38*(1-EXP(-0.0175*$A29))),70*'Scénario référence'!$B$18)</f>
        <v>70</v>
      </c>
      <c r="OS29" s="12">
        <f>IF($A29&gt;30,10,('Scénario référence'!$B$16+'Scénario référence'!$B$17+'Scénario référence'!$B$18+'Scénario référence'!$B$9+'Scénario référence'!$B$10)*$A29*10/30+('Scénario référence'!$F$8+'Scénario référence'!$F$9)*10)</f>
        <v>10</v>
      </c>
      <c r="OT29" s="12" t="e">
        <f>VLOOKUP($A29,'Données projet'!$A$538:$I$558,2,0)</f>
        <v>#N/A</v>
      </c>
      <c r="OU29" s="12" t="e">
        <f>VLOOKUP($A29,'Données projet'!$A$538:$I$558,9,0)</f>
        <v>#N/A</v>
      </c>
      <c r="OV29" s="12">
        <f t="array" ref="OV29">INDEX(OU:OU,MIN(IF(ISNUMBER(OU29:OU225),ROW(OU29:OU225),"")))</f>
        <v>0</v>
      </c>
      <c r="OW29" s="12">
        <f>IF('Données projet'!$A$538&gt;35,OW28+OV29-PE28,IF($A29&lt;'Données projet'!$A$538,$CQ$205^$A29,IF($A29='Données projet'!$A$538,'Données projet'!$B$538,OW28+OV29-PE28)))</f>
        <v>0</v>
      </c>
      <c r="OX29" s="17" t="e">
        <f>OW29*VLOOKUP('Données projet'!$B$28,Paramètres!$A$1:$I$89,3,0)*VLOOKUP('Données projet'!$B$28,Paramètres!$A$1:$I$89,5,0)</f>
        <v>#N/A</v>
      </c>
      <c r="OY29" s="13" t="e">
        <f t="shared" si="115"/>
        <v>#N/A</v>
      </c>
      <c r="OZ29" s="14" t="e">
        <f t="shared" si="58"/>
        <v>#N/A</v>
      </c>
      <c r="PA29" s="59" t="e">
        <f t="shared" si="59"/>
        <v>#N/A</v>
      </c>
      <c r="PB29" s="20" t="e">
        <f ca="1">AVERAGE(OFFSET($PA$3,0,0,'Données projet'!$E$28+1,1))-AVERAGE(OFFSET($H$3,0,0,'Données projet'!$E$28+1,1))</f>
        <v>#N/A</v>
      </c>
      <c r="PC29" s="59" t="e">
        <f t="shared" si="116"/>
        <v>#N/A</v>
      </c>
      <c r="PD29" s="15">
        <f>IF(ISNA(VLOOKUP($A29,'Données projet'!$A$538:$I$558,3,0)),0,VLOOKUP($A29,'Données projet'!$A$538:$I$558,3,0))</f>
        <v>0</v>
      </c>
      <c r="PE29" s="15">
        <f>IF(ISNA(VLOOKUP($A29,'Données projet'!$A$538:$I$558,4,0)),0,VLOOKUP($A29,'Données projet'!$A$538:$I$558,4,0))</f>
        <v>0</v>
      </c>
      <c r="PF29" s="16">
        <f>IF(ISNA(VLOOKUP($A29,'Données projet'!$A$538:$I$558,5,0)),0%,VLOOKUP($A29,'Données projet'!$A$538:$I$558,5,0)*VLOOKUP('Données projet'!$B$28,Paramètres!$A$1:$I$89,7,0))</f>
        <v>0</v>
      </c>
      <c r="PG29" s="16">
        <f>IF(ISNA(VLOOKUP($A29,'Données projet'!$A$538:$I$558,6,0)),0%,VLOOKUP($A29,'Données projet'!$A$538:$I$558,6,0)*VLOOKUP('Données projet'!$B$28,Paramètres!$A$1:$I$89,7,0))</f>
        <v>0</v>
      </c>
      <c r="PH29" s="16">
        <f>IF(ISNA(VLOOKUP($A29,'Données projet'!$A$538:$I$558,7,0)),0%,VLOOKUP($A29,'Données projet'!$A$538:$I$558,7,0))</f>
        <v>0</v>
      </c>
      <c r="PI29" s="21" t="e">
        <f>EXP(-LN(2)/35)*PI28+(1-EXP(-LN(2)/35))/(LN(2)/35)*PE29*PF29*VLOOKUP('Données projet'!$B$28,Paramètres!$A$1:$I$89,3,0)*0.475*44/12</f>
        <v>#N/A</v>
      </c>
      <c r="PJ29" s="21" t="e">
        <f>EXP(-LN(2)/25)*PJ28+(1-EXP(-LN(2)/25))/(LN(2)/25)*Calculateur!PE29*Calculateur!PG29*VLOOKUP('Données projet'!$B$28,Paramètres!$A$1:$I$89,3,0)*0.475*44/12</f>
        <v>#N/A</v>
      </c>
      <c r="PK29" s="21" t="e">
        <f>EXP(-LN(2)/2)*PK28+(1-EXP(-LN(2)/2))/(LN(2)/2)*PE29*PH29*VLOOKUP('Données projet'!$B$28,Paramètres!$A$1:$I$89,3,0)*0.475*44/12</f>
        <v>#N/A</v>
      </c>
      <c r="PL29" s="22" t="e">
        <f t="shared" si="117"/>
        <v>#N/A</v>
      </c>
    </row>
    <row r="30" spans="1:428" x14ac:dyDescent="0.35">
      <c r="A30" s="10">
        <f t="shared" si="6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6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projet'!$A$45:$I$65,2,0)</f>
        <v>#N/A</v>
      </c>
      <c r="L30" s="12" t="e">
        <f>VLOOKUP(A30,'Données projet'!$A$45:$I$65,9,0)</f>
        <v>#N/A</v>
      </c>
      <c r="M30" s="12">
        <f t="array" ref="M30">INDEX(L:L,MIN(IF(ISNUMBER(L30:L226),ROW(L30:L226),"")))</f>
        <v>22.828205128205127</v>
      </c>
      <c r="N30" s="13">
        <f>IF('Données projet'!$A$46&gt;35,N29+M30-V29,IF(A30&lt;'Données projet'!$A$46,$K$205^A30,IF(A30='Données projet'!$A$46,'Données projet'!$B$46,N29+M30-V29)))</f>
        <v>263.38461538461524</v>
      </c>
      <c r="O30" s="13">
        <f>N30*VLOOKUP('Données projet'!$B$9,Paramètres!$A$1:$I$89,3,0)*VLOOKUP('Données projet'!$B$9,Paramètres!$A$1:$I$89,5,0)</f>
        <v>147.23199999999994</v>
      </c>
      <c r="P30" s="13">
        <f t="shared" si="63"/>
        <v>37.948867426510738</v>
      </c>
      <c r="Q30" s="20">
        <f t="shared" si="2"/>
        <v>322.52334410117277</v>
      </c>
      <c r="R30" s="59">
        <f t="shared" si="0"/>
        <v>615.85667743450608</v>
      </c>
      <c r="S30" s="59">
        <f ca="1">AVERAGE(OFFSET($R$3,0,0,'Données projet'!$E$9+1,1))-AVERAGE(OFFSET($H$3,0,0,'Données projet'!$E$9+1,1))</f>
        <v>274.57619581652199</v>
      </c>
      <c r="T30" s="59">
        <f t="shared" si="64"/>
        <v>366.15117322598775</v>
      </c>
      <c r="U30" s="15">
        <f>IF(ISNA(VLOOKUP(A30,'Données projet'!$A$45:$I$65,3,0)),0,VLOOKUP(A30,'Données projet'!$A$45:$I$65,3,0))</f>
        <v>0</v>
      </c>
      <c r="V30" s="15">
        <f>IF(ISNA(VLOOKUP(A30,'Données projet'!$A$45:$I$65,4,0)),0,VLOOKUP(A30,'Données projet'!$A$45:$I$65,4,0))</f>
        <v>0</v>
      </c>
      <c r="W30" s="16">
        <f>IF(ISNA(VLOOKUP(A30,'Données projet'!$A$45:$I$65,5,0)),0%,VLOOKUP(A30,'Données projet'!$A$45:$I$65,5,0)*VLOOKUP('Données projet'!$B$9,Paramètres!$A$1:$I$89,7,0))</f>
        <v>0</v>
      </c>
      <c r="X30" s="16">
        <f>IF(ISNA(VLOOKUP(A30,'Données projet'!$A$45:$I$65,6,0)),0%,VLOOKUP(A30,'Données projet'!$A$45:$I$65,6,0)*VLOOKUP('Données projet'!$B$9,Paramètres!$A$1:$I$89,7,0))</f>
        <v>0</v>
      </c>
      <c r="Y30" s="16">
        <f>IF(ISNA(VLOOKUP(A30,'Données projet'!$A$45:$I$65,7,0)),0%,VLOOKUP(A30,'Données projet'!$A$45:$I$65,7,0))</f>
        <v>0</v>
      </c>
      <c r="Z30" s="21">
        <f>EXP(-LN(2)/35)*Z29+(1-EXP(-LN(2)/35))/(LN(2)/35)*V30*W30*VLOOKUP('Données projet'!$B$9,Paramètres!$A$1:$I$89,3,0)*0.475*44/12</f>
        <v>11.477170561484696</v>
      </c>
      <c r="AA30" s="21">
        <f>EXP(-LN(2)/25)*AA29+(1-EXP(-LN(2)/25))/(LN(2)/25)*Calculateur!V30*Calculateur!X30*VLOOKUP('Données projet'!$B$9,Paramètres!$A$1:$I$89,3,0)*0.475*44/12</f>
        <v>14.960517668512276</v>
      </c>
      <c r="AB30" s="21">
        <f>EXP(-LN(2)/2)*AB29+(1-EXP(-LN(2)/2))/(LN(2)/2)*V30*Y30*VLOOKUP('Données projet'!$B$9,Paramètres!$A$1:$I$89,3,0)*0.475*44/12</f>
        <v>2.1128335683046862</v>
      </c>
      <c r="AC30" s="22">
        <f t="shared" si="3"/>
        <v>28.550521798301659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projet'!$A$71:$I$91,2,0)</f>
        <v>#N/A</v>
      </c>
      <c r="AG30" s="12" t="e">
        <f>VLOOKUP(A30,'Données projet'!$A$71:$I$91,9,0)</f>
        <v>#N/A</v>
      </c>
      <c r="AH30" s="12">
        <f t="array" ref="AH30">INDEX(AG:AG,MIN(IF(ISNUMBER(AG30:AG226),ROW(AG30:AG226),"")))</f>
        <v>4.0628205128205126</v>
      </c>
      <c r="AI30" s="13">
        <f>IF('Données projet'!$A$72&gt;35,AI29+AH30-AQ29,IF(A30&lt;'Données projet'!$A$72,$AF$205^A30,IF(A30='Données projet'!$A$72,'Données projet'!$B$72,AI29+AH30-AQ29)))</f>
        <v>75.396988922564091</v>
      </c>
      <c r="AJ30" s="13">
        <f>AI30*VLOOKUP('Données projet'!$B$10,Paramètres!$A$1:$I$89,3,0)*VLOOKUP('Données projet'!$B$10,Paramètres!$A$1:$I$89,5,0)</f>
        <v>68.219195577135991</v>
      </c>
      <c r="AK30" s="13">
        <f t="shared" si="65"/>
        <v>19.230560005562129</v>
      </c>
      <c r="AL30" s="20">
        <f t="shared" si="4"/>
        <v>152.30832430653254</v>
      </c>
      <c r="AM30" s="59">
        <f t="shared" si="5"/>
        <v>445.64165763986585</v>
      </c>
      <c r="AN30" s="59">
        <f ca="1">AVERAGE(OFFSET($AM$3,0,0,'Données projet'!$E$10+1,1))-AVERAGE(OFFSET($H$3,0,0,'Données projet'!$E$10+1,1))</f>
        <v>270.87836509222456</v>
      </c>
      <c r="AO30" s="59">
        <f t="shared" si="66"/>
        <v>205.24998237949734</v>
      </c>
      <c r="AP30" s="15">
        <f>IF(ISNA(VLOOKUP(A30,'Données projet'!$A$71:$I$91,3,0)),0,VLOOKUP(A30,'Données projet'!$A$71:$I$91,3,0))</f>
        <v>0</v>
      </c>
      <c r="AQ30" s="15">
        <f>IF(ISNA(VLOOKUP(A30,'Données projet'!$A$71:$I$91,4,0)),0,VLOOKUP(A30,'Données projet'!$A$71:$I$91,4,0))</f>
        <v>0</v>
      </c>
      <c r="AR30" s="16">
        <f>IF(ISNA(VLOOKUP(A30,'Données projet'!$A$71:$I$91,5,0)),0%,VLOOKUP(A30,'Données projet'!$A$71:$I$91,5,0)*VLOOKUP('Données projet'!$B$10,Paramètres!$A$1:$I$89,7,0))</f>
        <v>0</v>
      </c>
      <c r="AS30" s="16">
        <f>IF(ISNA(VLOOKUP(A30,'Données projet'!$A$71:$I$91,6,0)),0%,VLOOKUP(A30,'Données projet'!$A$71:$I$91,6,0)*VLOOKUP('Données projet'!$B$10,Paramètres!$A$1:$I$89,7,0))</f>
        <v>0</v>
      </c>
      <c r="AT30" s="16">
        <f>IF(ISNA(VLOOKUP(A30,'Données projet'!$A$71:$I$91,7,0)),0%,VLOOKUP(A30,'Données projet'!$A$71:$I$91,7,0))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projet'!$A$97:$I$117,2,0)</f>
        <v>#N/A</v>
      </c>
      <c r="BB30" s="12" t="e">
        <f>VLOOKUP(A30,'Données projet'!$A$97:$I$117,9,0)</f>
        <v>#N/A</v>
      </c>
      <c r="BC30" s="12">
        <f t="array" ref="BC30">INDEX(BB:BB,MIN(IF(ISNUMBER(BB30:BB226),ROW(BB30:BB226),"")))</f>
        <v>22.828205128205127</v>
      </c>
      <c r="BD30" s="12">
        <f>IF('Données projet'!$A$98&gt;35,BD29+BC30-BL29,IF(A30&lt;'Données projet'!$A$98,$BA$205^A30,IF(A30='Données projet'!$A$98,'Données projet'!$B$98,BD29+BC30-BL29)))</f>
        <v>263.38461538461524</v>
      </c>
      <c r="BE30" s="13">
        <f>BD30*VLOOKUP('Données projet'!$B$11,Paramètres!$A$1:$I$89,3,0)*VLOOKUP('Données projet'!$B$11,Paramètres!$A$1:$I$89,5,0)</f>
        <v>116.41599999999995</v>
      </c>
      <c r="BF30" s="13">
        <f t="shared" si="67"/>
        <v>30.837620730008716</v>
      </c>
      <c r="BG30" s="20">
        <f t="shared" si="7"/>
        <v>256.46672277143176</v>
      </c>
      <c r="BH30" s="59">
        <f t="shared" si="8"/>
        <v>549.80005610476508</v>
      </c>
      <c r="BI30" s="59">
        <f ca="1">AVERAGE(OFFSET($BH$3,0,0,'Données projet'!$E$11+1,1))-AVERAGE(OFFSET($H$3,0,0,'Données projet'!$E$11+1,1))</f>
        <v>211.31057120485542</v>
      </c>
      <c r="BJ30" s="59">
        <f t="shared" si="68"/>
        <v>283.33292006714777</v>
      </c>
      <c r="BK30" s="15">
        <f>IF(ISNA(VLOOKUP(A30,'Données projet'!$A$97:$I$117,3,0)),0,VLOOKUP(A30,'Données projet'!$A$97:$I$117,3,0))</f>
        <v>0</v>
      </c>
      <c r="BL30" s="15">
        <f>IF(ISNA(VLOOKUP(A30,'Données projet'!$A$97:$I$117,4,0)),0,VLOOKUP(A30,'Données projet'!$A$97:$I$117,4,0))</f>
        <v>0</v>
      </c>
      <c r="BM30" s="16">
        <f>IF(ISNA(VLOOKUP(A30,'Données projet'!$A$97:$I$117,5,0)),0%,VLOOKUP(A30,'Données projet'!$A$97:$I$117,5,0)*VLOOKUP('Données projet'!$B$11,Paramètres!$A$1:$I$89,7,0))</f>
        <v>0</v>
      </c>
      <c r="BN30" s="16">
        <f>IF(ISNA(VLOOKUP(A30,'Données projet'!$A$97:$I$117,6,0)),0%,VLOOKUP(A30,'Données projet'!$A$97:$I$117,6,0)*VLOOKUP('Données projet'!$B$11,Paramètres!$A$1:$I$89,7,0))</f>
        <v>0</v>
      </c>
      <c r="BO30" s="16">
        <f>IF(ISNA(VLOOKUP(A30,'Données projet'!$A$97:$I$117,7,0)),0%,VLOOKUP(A30,'Données projet'!$A$97:$I$117,7,0))</f>
        <v>0</v>
      </c>
      <c r="BP30" s="21">
        <f>EXP(-LN(2)/35)*BP29+(1-EXP(-LN(2)/35))/(LN(2)/35)*BL30*BM30*VLOOKUP('Données projet'!$B$11,Paramètres!$A$1:$I$89,3,0)*0.475*44/12</f>
        <v>9.0749720718716205</v>
      </c>
      <c r="BQ30" s="21">
        <f>EXP(-LN(2)/25)*BQ29+(1-EXP(-LN(2)/25))/(LN(2)/25)*Calculateur!BL30*Calculateur!BN30*VLOOKUP('Données projet'!$B$11,Paramètres!$A$1:$I$89,3,0)*0.475*44/12</f>
        <v>11.829246528591103</v>
      </c>
      <c r="BR30" s="21">
        <f>EXP(-LN(2)/2)*BR29+(1-EXP(-LN(2)/2))/(LN(2)/2)*BL30*BO30*VLOOKUP('Données projet'!$B$11,Paramètres!$A$1:$I$89,3,0)*0.475*44/12</f>
        <v>1.670612588892078</v>
      </c>
      <c r="BS30" s="22">
        <f t="shared" si="9"/>
        <v>22.5748311893548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projet'!$A$123:$I$143,2,0)</f>
        <v>#N/A</v>
      </c>
      <c r="BW30" s="12" t="e">
        <f>VLOOKUP(A30,'Données projet'!$A$123:$I$143,9,0)</f>
        <v>#N/A</v>
      </c>
      <c r="BX30" s="12">
        <f t="array" ref="BX30">INDEX(BW:BW,MIN(IF(ISNUMBER(BW30:BW226),ROW(BW30:BW226),"")))</f>
        <v>9.8000000000000007</v>
      </c>
      <c r="BY30" s="12">
        <f>IF('Données projet'!$A$124&gt;35,BY29+BX30-CG29,IF(A30&lt;'Données projet'!$A$124,$BV$205^A30,IF(A30='Données projet'!$A$124,'Données projet'!$B$124,BY29+BX30-CG29)))</f>
        <v>119.60000000000001</v>
      </c>
      <c r="BZ30" s="13">
        <f>BY30*VLOOKUP('Données projet'!$B$12,Paramètres!$A$1:$I$89,3,0)*VLOOKUP('Données projet'!$B$12,Paramètres!$A$1:$I$89,5,0)</f>
        <v>125.00592000000002</v>
      </c>
      <c r="CA30" s="13">
        <f t="shared" si="69"/>
        <v>32.839756328142556</v>
      </c>
      <c r="CB30" s="20">
        <f t="shared" si="10"/>
        <v>274.91455293818166</v>
      </c>
      <c r="CC30" s="59">
        <f t="shared" si="11"/>
        <v>568.24788627151497</v>
      </c>
      <c r="CD30" s="59">
        <f ca="1">AVERAGE(OFFSET($CC$3,0,0,'Données projet'!$E$12+1,1))-AVERAGE(OFFSET($H$3,0,0,'Données projet'!$E$12+1,1))</f>
        <v>322.93502595881938</v>
      </c>
      <c r="CE30" s="59">
        <f t="shared" si="70"/>
        <v>302.67072119588164</v>
      </c>
      <c r="CF30" s="15">
        <f>IF(ISNA(VLOOKUP(A30,'Données projet'!$A$123:$I$143,3,0)),0,VLOOKUP(A30,'Données projet'!$A$123:$I$143,3,0))</f>
        <v>0</v>
      </c>
      <c r="CG30" s="15">
        <f>IF(ISNA(VLOOKUP(A30,'Données projet'!$A$123:$I$143,4,0)),0,VLOOKUP(A30,'Données projet'!$A$123:$I$143,4,0))</f>
        <v>0</v>
      </c>
      <c r="CH30" s="16">
        <f>IF(ISNA(VLOOKUP(A30,'Données projet'!$A$123:$I$143,5,0)),0%,VLOOKUP(A30,'Données projet'!$A$123:$I$143,5,0)*VLOOKUP('Données projet'!$B$12,Paramètres!$A$1:$I$89,7,0))</f>
        <v>0</v>
      </c>
      <c r="CI30" s="16">
        <f>IF(ISNA(VLOOKUP(A30,'Données projet'!$A$123:$I$143,6,0)),0%,VLOOKUP(A30,'Données projet'!$A$123:$I$143,6,0)*VLOOKUP('Données projet'!$B$12,Paramètres!$A$1:$I$89,7,0))</f>
        <v>0</v>
      </c>
      <c r="CJ30" s="16">
        <f>IF(ISNA(VLOOKUP(A30,'Données projet'!$A$123:$I$143,7,0)),0%,VLOOKUP(A30,'Données projet'!$A$123:$I$143,7,0))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projet'!$A$149:$I$169,2,0)</f>
        <v>#N/A</v>
      </c>
      <c r="CR30" s="12" t="e">
        <f>VLOOKUP(A30,'Données projet'!$A$149:$I$169,9,0)</f>
        <v>#N/A</v>
      </c>
      <c r="CS30" s="12">
        <f t="array" ref="CS30">INDEX(CR:CR,MIN(IF(ISNUMBER(CR30:CR226),ROW(CR30:CR226),"")))</f>
        <v>2.9235042735042733</v>
      </c>
      <c r="CT30" s="12">
        <f>IF('Données projet'!$A$150&gt;35,CT29+CS30-DB29,IF(A30&lt;'Données projet'!$A$150,$CQ$205^A30,IF(A30='Données projet'!$A$150,'Données projet'!$B$150,CT29+CS30-DB29)))</f>
        <v>56.068958494210662</v>
      </c>
      <c r="CU30" s="17">
        <f>CT30*VLOOKUP('Données projet'!$B$13,Paramètres!$A$1:$I$89,3,0)*VLOOKUP('Données projet'!$B$13,Paramètres!$A$1:$I$89,5,0)</f>
        <v>56.853923913129613</v>
      </c>
      <c r="CV30" s="13">
        <f t="shared" si="71"/>
        <v>16.370366147143088</v>
      </c>
      <c r="CW30" s="20">
        <f t="shared" si="13"/>
        <v>127.53230518830827</v>
      </c>
      <c r="CX30" s="59">
        <f t="shared" si="14"/>
        <v>420.86563852164159</v>
      </c>
      <c r="CY30" s="59">
        <f ca="1">AVERAGE(OFFSET($CX$3,0,0,'Données projet'!$E$13+1,1))-AVERAGE(OFFSET($H$3,0,0,'Données projet'!$E$13+1,1))</f>
        <v>250.31277422753283</v>
      </c>
      <c r="CZ30" s="59">
        <f t="shared" si="72"/>
        <v>159.20429420478047</v>
      </c>
      <c r="DA30" s="15">
        <f>IF(ISNA(VLOOKUP(A30,'Données projet'!$A$149:$I$169,3,0)),0,VLOOKUP(A30,'Données projet'!$A$149:$I$169,3,0))</f>
        <v>0</v>
      </c>
      <c r="DB30" s="15">
        <f>IF(ISNA(VLOOKUP(A30,'Données projet'!$A$149:$I$169,4,0)),0,VLOOKUP(A30,'Données projet'!$A$149:$I$169,4,0))</f>
        <v>0</v>
      </c>
      <c r="DC30" s="16">
        <f>IF(ISNA(VLOOKUP(A30,'Données projet'!$A$149:$I$169,5,0)),0%,VLOOKUP(A30,'Données projet'!$A$149:$I$169,5,0)*VLOOKUP('Données projet'!$B$13,Paramètres!$A$1:$I$89,7,0))</f>
        <v>0</v>
      </c>
      <c r="DD30" s="16">
        <f>IF(ISNA(VLOOKUP(A30,'Données projet'!$A$149:$I$169,6,0)),0%,VLOOKUP(A30,'Données projet'!$A$149:$I$169,6,0)*VLOOKUP('Données projet'!$B$13,Paramètres!$A$1:$I$89,7,0))</f>
        <v>0</v>
      </c>
      <c r="DE30" s="16">
        <f>IF(ISNA(VLOOKUP(A30,'Données projet'!$A$149:$I$169,7,0)),0%,VLOOKUP(A30,'Données projet'!$A$149:$I$169,7,0))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projet'!$A$175:$I$195,2,0)</f>
        <v>#N/A</v>
      </c>
      <c r="DM30" s="12" t="e">
        <f>VLOOKUP(A30,'Données projet'!$A$175:$I$195,9,0)</f>
        <v>#N/A</v>
      </c>
      <c r="DN30" s="12">
        <f t="array" ref="DN30">INDEX(DM:DM,MIN(IF(ISNUMBER(DM30:DM226),ROW(DM30:DM226),"")))</f>
        <v>16.399999999999999</v>
      </c>
      <c r="DO30" s="12">
        <f>IF('Données projet'!$A$176&gt;35,DO29+DN30-DW29,IF(A30&lt;'Données projet'!$A$176,$DL$205^A30,IF(A30='Données projet'!$A$176,'Données projet'!$B$176,DO29+DN30-DW29)))</f>
        <v>155.80000000000004</v>
      </c>
      <c r="DP30" s="17">
        <f>DO30*VLOOKUP('Données projet'!$B$14,Paramètres!$A$1:$I$89,3,0)*VLOOKUP('Données projet'!$B$14,Paramètres!$A$1:$I$89,5,0)</f>
        <v>114.23256000000002</v>
      </c>
      <c r="DQ30" s="13">
        <f t="shared" si="73"/>
        <v>30.326006869580301</v>
      </c>
      <c r="DR30" s="20">
        <f t="shared" si="16"/>
        <v>251.77283729785236</v>
      </c>
      <c r="DS30" s="59">
        <f t="shared" si="17"/>
        <v>545.10617063118571</v>
      </c>
      <c r="DT30" s="59">
        <f ca="1">AVERAGE(OFFSET($DS$3,0,0,'Données projet'!$E$14+1,1))-AVERAGE(OFFSET($H$3,0,0,'Données projet'!$E$14+1,1))</f>
        <v>296.91321813251051</v>
      </c>
      <c r="DU30" s="59">
        <f t="shared" si="74"/>
        <v>291.0718079639509</v>
      </c>
      <c r="DV30" s="15">
        <f>IF(ISNA(VLOOKUP(A30,'Données projet'!$A$175:$I$195,3,0)),0,VLOOKUP(A30,'Données projet'!$A$175:$I$195,3,0))</f>
        <v>0</v>
      </c>
      <c r="DW30" s="15">
        <f>IF(ISNA(VLOOKUP(A30,'Données projet'!$A$175:$I$195,4,0)),0,VLOOKUP(A30,'Données projet'!$A$175:$I$195,4,0))</f>
        <v>0</v>
      </c>
      <c r="DX30" s="16">
        <f>IF(ISNA(VLOOKUP(A30,'Données projet'!$A$175:$I$195,5,0)),0%,VLOOKUP(A30,'Données projet'!$A$175:$I$195,5,0)*VLOOKUP('Données projet'!$B$14,Paramètres!$A$1:$I$89,7,0))</f>
        <v>0</v>
      </c>
      <c r="DY30" s="16">
        <f>IF(ISNA(VLOOKUP(A30,'Données projet'!$A$175:$I$195,6,0)),0%,VLOOKUP(A30,'Données projet'!$A$175:$I$195,6,0)*VLOOKUP('Données projet'!$B$14,Paramètres!$A$1:$I$89,7,0))</f>
        <v>0</v>
      </c>
      <c r="DZ30" s="16">
        <f>IF(ISNA(VLOOKUP(A30,'Données projet'!$A$175:$I$195,7,0)),0%,VLOOKUP(A30,'Données projet'!$A$175:$I$195,7,0))</f>
        <v>0</v>
      </c>
      <c r="EA30" s="21">
        <f>EXP(-LN(2)/35)*EA29+(1-EXP(-LN(2)/35))/(LN(2)/35)*DW30*DX30*VLOOKUP('Données projet'!$B$14,Paramètres!$A$1:$I$89,3,0)*0.475*44/12</f>
        <v>1.9697614528802885</v>
      </c>
      <c r="EB30" s="21">
        <f>EXP(-LN(2)/25)*EB29+(1-EXP(-LN(2)/25))/(LN(2)/25)*Calculateur!DW30*Calculateur!DY30*VLOOKUP('Données projet'!$B$14,Paramètres!$A$1:$I$89,3,0)*0.475*44/12</f>
        <v>7.372447568496181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9.342209021376469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projet'!$A$201:$I$221,2,0)</f>
        <v>#N/A</v>
      </c>
      <c r="EH30" s="12" t="e">
        <f>VLOOKUP(A30,'Données projet'!$A$201:$I$221,9,0)</f>
        <v>#N/A</v>
      </c>
      <c r="EI30" s="12">
        <f t="array" ref="EI30">INDEX(EH:EH,MIN(IF(ISNUMBER(EH30:EH226),ROW(EH30:EH226),"")))</f>
        <v>3.4425641025641025</v>
      </c>
      <c r="EJ30" s="12">
        <f>IF('Données projet'!$A$202&gt;35,EJ29+EI30-ER29,IF(A30&lt;'Données projet'!$A$202,$EG$205^A30,IF(A30='Données projet'!$A$202,'Données projet'!$B$202,EJ29+EI30-ER29)))</f>
        <v>64.953560365747308</v>
      </c>
      <c r="EK30" s="17">
        <f>EJ30*VLOOKUP('Données projet'!$B$15,Paramètres!$A$1:$I$89,3,0)*VLOOKUP('Données projet'!$B$15,Paramètres!$A$1:$I$89,5,0)</f>
        <v>30.398266251169741</v>
      </c>
      <c r="EL30" s="13">
        <f t="shared" si="75"/>
        <v>9.4145003824463398</v>
      </c>
      <c r="EM30" s="20">
        <f t="shared" si="19"/>
        <v>69.340568553547996</v>
      </c>
      <c r="EN30" s="59">
        <f t="shared" si="20"/>
        <v>362.67390188688131</v>
      </c>
      <c r="EO30" s="59">
        <f ca="1">AVERAGE(OFFSET($EN$3,0,0,'Données projet'!$E$15+1,1))-AVERAGE(OFFSET($H$3,0,0,'Données projet'!$E$15+1,1))</f>
        <v>147.64256291235483</v>
      </c>
      <c r="EP30" s="59">
        <f t="shared" si="76"/>
        <v>70.859031694091868</v>
      </c>
      <c r="EQ30" s="15">
        <f>IF(ISNA(VLOOKUP(A30,'Données projet'!$A$201:$I$221,3,0)),0,VLOOKUP(A30,'Données projet'!$A$201:$I$221,3,0))</f>
        <v>0</v>
      </c>
      <c r="ER30" s="15">
        <f>IF(ISNA(VLOOKUP(A30,'Données projet'!$A$201:$I$221,4,0)),0,VLOOKUP(A30,'Données projet'!$A$201:$I$221,4,0))</f>
        <v>0</v>
      </c>
      <c r="ES30" s="16">
        <f>IF(ISNA(VLOOKUP(A30,'Données projet'!$A$201:$I$221,5,0)),0%,VLOOKUP(A30,'Données projet'!$A$201:$I$221,5,0)*VLOOKUP('Données projet'!$B$15,Paramètres!$A$1:$I$89,7,0))</f>
        <v>0</v>
      </c>
      <c r="ET30" s="16">
        <f>IF(ISNA(VLOOKUP(A30,'Données projet'!$A$201:$I$221,6,0)),0%,VLOOKUP(A30,'Données projet'!$A$201:$I$221,6,0)*VLOOKUP('Données projet'!$B$15,Paramètres!$A$1:$I$89,7,0))</f>
        <v>0</v>
      </c>
      <c r="EU30" s="16">
        <f>IF(ISNA(VLOOKUP(A30,'Données projet'!$A$201:$I$221,7,0)),0%,VLOOKUP(A30,'Données projet'!$A$201:$I$221,7,0))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projet'!$A$227:$I$247,2,0)</f>
        <v>#N/A</v>
      </c>
      <c r="FC30" s="12" t="e">
        <f>VLOOKUP(A30,'Données projet'!$A$227:$I$247,9,0)</f>
        <v>#N/A</v>
      </c>
      <c r="FD30" s="12">
        <f t="array" ref="FD30">INDEX(FC:FC,MIN(IF(ISNUMBER(FC30:FC226),ROW(FC30:FC226),"")))</f>
        <v>8</v>
      </c>
      <c r="FE30" s="12">
        <f>IF('Données projet'!$A$228&gt;35,FE29+FD30-FM29,IF(A30&lt;'Données projet'!$A$228,$FB$205^A30,IF(A30='Données projet'!$A$228,'Données projet'!$B$228,FE29+FD30-FM29)))</f>
        <v>95</v>
      </c>
      <c r="FF30" s="17">
        <f>FE30*VLOOKUP('Données projet'!$B$16,Paramètres!$A$1:$I$89,3,0)*VLOOKUP('Données projet'!$B$16,Paramètres!$A$1:$I$89,5,0)</f>
        <v>99.294000000000011</v>
      </c>
      <c r="FG30" s="13">
        <f t="shared" si="77"/>
        <v>26.793733491718786</v>
      </c>
      <c r="FH30" s="20">
        <f t="shared" si="22"/>
        <v>219.6028024980769</v>
      </c>
      <c r="FI30" s="59">
        <f t="shared" si="23"/>
        <v>512.93613583141018</v>
      </c>
      <c r="FJ30" s="59">
        <f ca="1">AVERAGE(OFFSET($FI$3,0,0,'Données projet'!$E$16+1,1))-AVERAGE(OFFSET($H$3,0,0,'Données projet'!$E$16+1,1))</f>
        <v>259.03906550253788</v>
      </c>
      <c r="FK30" s="59">
        <f t="shared" si="78"/>
        <v>235.54542903570831</v>
      </c>
      <c r="FL30" s="15">
        <f>IF(ISNA(VLOOKUP(A30,'Données projet'!$A$227:$I$247,3,0)),0,VLOOKUP(A30,'Données projet'!$A$227:$I$247,3,0))</f>
        <v>0</v>
      </c>
      <c r="FM30" s="15">
        <f>IF(ISNA(VLOOKUP(A30,'Données projet'!$A$227:$I$247,4,0)),0,VLOOKUP(A30,'Données projet'!$A$227:$I$247,4,0))</f>
        <v>0</v>
      </c>
      <c r="FN30" s="16">
        <f>IF(ISNA(VLOOKUP(A30,'Données projet'!$A$227:$I$247,5,0)),0%,VLOOKUP(A30,'Données projet'!$A$227:$I$247,5,0)*VLOOKUP('Données projet'!$B$16,Paramètres!$A$1:$I$89,7,0))</f>
        <v>0</v>
      </c>
      <c r="FO30" s="16">
        <f>IF(ISNA(VLOOKUP(A30,'Données projet'!$A$227:$I$247,6,0)),0%,VLOOKUP(A30,'Données projet'!$A$227:$I$247,6,0)*VLOOKUP('Données projet'!$B$16,Paramètres!$A$1:$I$89,7,0))</f>
        <v>0</v>
      </c>
      <c r="FP30" s="16">
        <f>IF(ISNA(VLOOKUP(A30,'Données projet'!$A$227:$I$247,7,0)),0%,VLOOKUP(A30,'Données projet'!$A$227:$I$247,7,0))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projet'!$A$253:$I$273,2,0)</f>
        <v>#N/A</v>
      </c>
      <c r="FX30" s="12" t="e">
        <f>VLOOKUP(A30,'Données projet'!$A$253:$I$273,9,0)</f>
        <v>#N/A</v>
      </c>
      <c r="FY30" s="12">
        <f t="array" ref="FY30">INDEX(FX:FX,MIN(IF(ISNUMBER(FX30:FX226),ROW(FX30:FX226),"")))</f>
        <v>11.8</v>
      </c>
      <c r="FZ30" s="12">
        <f>IF('Données projet'!$A$254&gt;35,FZ29+FY30-GH29,IF(A30&lt;'Données projet'!$A$254,$FW$205^A30,IF(A30='Données projet'!$A$254,'Données projet'!$B$254,FZ29+FY30-GH29)))</f>
        <v>110.59999999999997</v>
      </c>
      <c r="GA30" s="17">
        <f>FZ30*VLOOKUP('Données projet'!$B$17,Paramètres!$A$1:$I$89,3,0)*VLOOKUP('Données projet'!$B$17,Paramètres!$A$1:$I$89,5,0)</f>
        <v>96.620159999999984</v>
      </c>
      <c r="GB30" s="13">
        <f t="shared" si="79"/>
        <v>26.155193107181663</v>
      </c>
      <c r="GC30" s="20">
        <f t="shared" si="25"/>
        <v>213.83373999500802</v>
      </c>
      <c r="GD30" s="59">
        <f t="shared" si="26"/>
        <v>507.1670733283413</v>
      </c>
      <c r="GE30" s="59">
        <f ca="1">AVERAGE(OFFSET($GD$3,0,0,'Données projet'!$E$17+1,1))-AVERAGE(OFFSET($H$3,0,0,'Données projet'!$E$17+1,1))</f>
        <v>245.1983232777614</v>
      </c>
      <c r="GF30" s="59">
        <f t="shared" si="80"/>
        <v>242.34010522344573</v>
      </c>
      <c r="GG30" s="15">
        <f>IF(ISNA(VLOOKUP(A30,'Données projet'!$A$253:$I$273,3,0)),0,VLOOKUP(A30,'Données projet'!$A$253:$I$273,3,0))</f>
        <v>0</v>
      </c>
      <c r="GH30" s="15">
        <f>IF(ISNA(VLOOKUP(A30,'Données projet'!$A$253:$I$273,4,0)),0,VLOOKUP(A30,'Données projet'!$A$253:$I$273,4,0))</f>
        <v>0</v>
      </c>
      <c r="GI30" s="16">
        <f>IF(ISNA(VLOOKUP(A30,'Données projet'!$A$253:$I$273,5,0)),0%,VLOOKUP(A30,'Données projet'!$A$253:$I$273,5,0)*VLOOKUP('Données projet'!$B$17,Paramètres!$A$1:$I$89,7,0))</f>
        <v>0</v>
      </c>
      <c r="GJ30" s="16">
        <f>IF(ISNA(VLOOKUP(A30,'Données projet'!$A$253:$I$273,6,0)),0%,VLOOKUP(A30,'Données projet'!$A$253:$I$273,6,0)*VLOOKUP('Données projet'!$B$17,Paramètres!$A$1:$I$89,7,0))</f>
        <v>0</v>
      </c>
      <c r="GK30" s="16">
        <f>IF(ISNA(VLOOKUP(A30,'Données projet'!$A$253:$I$273,7,0)),0%,VLOOKUP(A30,'Données projet'!$A$253:$I$273,7,0))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0.76698788642927052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0.76698788642927052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projet'!$A$279:$I$299,2,0)</f>
        <v>#N/A</v>
      </c>
      <c r="GS30" s="12" t="e">
        <f>VLOOKUP(A30,'Données projet'!$A$279:$I$299,9,0)</f>
        <v>#N/A</v>
      </c>
      <c r="GT30" s="12">
        <f t="array" ref="GT30">INDEX(GS:GS,MIN(IF(ISNUMBER(GS30:GS226),ROW(GS30:GS226),"")))</f>
        <v>21.6</v>
      </c>
      <c r="GU30" s="12">
        <f>IF('Données projet'!$A$280&gt;35,GU29+GT30-HC29,IF(A30&lt;'Données projet'!$A$280,$GR$205^A30,IF(A30='Données projet'!$A$280,'Données projet'!$B$280,GU29+GT30-HC29)))</f>
        <v>278.20000000000005</v>
      </c>
      <c r="GV30" s="17">
        <f>GU30*VLOOKUP('Données projet'!$B$18,Paramètres!$A$1:$I$89,3,0)*VLOOKUP('Données projet'!$B$18,Paramètres!$A$1:$I$89,5,0)</f>
        <v>112.11460000000002</v>
      </c>
      <c r="GW30" s="13">
        <f t="shared" si="81"/>
        <v>29.828647361206773</v>
      </c>
      <c r="GX30" s="20">
        <f t="shared" si="28"/>
        <v>247.2178224874352</v>
      </c>
      <c r="GY30" s="59">
        <f t="shared" si="29"/>
        <v>540.55115582076849</v>
      </c>
      <c r="GZ30" s="59">
        <f ca="1">AVERAGE(OFFSET($GY$3,0,0,'Données projet'!$E$18+1,1))-AVERAGE(OFFSET($H$3,0,0,'Données projet'!$E$18+1,1))</f>
        <v>324.36162935850876</v>
      </c>
      <c r="HA30" s="59">
        <f t="shared" si="82"/>
        <v>265.23571072429735</v>
      </c>
      <c r="HB30" s="15">
        <f>IF(ISNA(VLOOKUP(A30,'Données projet'!$A$279:$I$299,3,0)),0,VLOOKUP(A30,'Données projet'!$A$279:$I$299,3,0))</f>
        <v>0</v>
      </c>
      <c r="HC30" s="15">
        <f>IF(ISNA(VLOOKUP(A30,'Données projet'!$A$279:$I$299,4,0)),0,VLOOKUP(A30,'Données projet'!$A$279:$I$299,4,0))</f>
        <v>0</v>
      </c>
      <c r="HD30" s="16">
        <f>IF(ISNA(VLOOKUP(A30,'Données projet'!$A$279:$I$299,5,0)),0%,VLOOKUP(A30,'Données projet'!$A$279:$I$299,5,0)*VLOOKUP('Données projet'!$B$18,Paramètres!$A$1:$I$89,7,0))</f>
        <v>0</v>
      </c>
      <c r="HE30" s="16">
        <f>IF(ISNA(VLOOKUP(A30,'Données projet'!$A$279:$I$299,6,0)),0%,VLOOKUP(A30,'Données projet'!$A$279:$I$299,6,0)*VLOOKUP('Données projet'!$B$18,Paramètres!$A$1:$I$89,7,0))</f>
        <v>0</v>
      </c>
      <c r="HF30" s="16">
        <f>IF(ISNA(VLOOKUP($A30,'Données projet'!$A$279:$I$299,7,0)),0%,VLOOKUP($A30,'Données projet'!$A$279:$I$299,7,0))</f>
        <v>0</v>
      </c>
      <c r="HG30" s="21">
        <f>EXP(-LN(2)/35)*HG29+(1-EXP(-LN(2)/35))/(LN(2)/35)*HC30*HD30*VLOOKUP('Données projet'!$B$18,Paramètres!$A$1:$I$89,3,0)*0.475*44/12</f>
        <v>0</v>
      </c>
      <c r="HH30" s="21">
        <f>EXP(-LN(2)/25)*HH29+(1-EXP(-LN(2)/25))/(LN(2)/25)*Calculateur!HC30*Calculateur!HE30*VLOOKUP('Données projet'!$B$18,Paramètres!$A$1:$I$89,3,0)*0.475*44/12</f>
        <v>0.98956545343449642</v>
      </c>
      <c r="HI30" s="21">
        <f>EXP(-LN(2)/2)*HI29+(1-EXP(-LN(2)/2))/(LN(2)/2)*HC30*HF30*VLOOKUP('Données projet'!$B$18,Paramètres!$A$1:$I$89,3,0)*0.475*44/12</f>
        <v>4.3278252091942475</v>
      </c>
      <c r="HJ30" s="22">
        <f t="shared" si="30"/>
        <v>5.3173906626287444</v>
      </c>
      <c r="HK30" s="74">
        <f>('Scénario référence'!$F$8+'Scénario référence'!$F$9+'Scénario référence'!$B$17+'Scénario référence'!$B$9+'Scénario référence'!$B$10)*70+IF((45+25*(1-EXP(-0.0175*$A30)))&lt;70,'Scénario référence'!$B$16*(45+25*(1-EXP(-0.0175*$A30))),70*'Scénario référence'!$B$16)+IF((32+38*(1-EXP(-0.0175*$A30)))&lt;70,'Scénario référence'!$B$18*(32+38*(1-EXP(-0.0175*$A30))),70*'Scénario référence'!$B$18)</f>
        <v>70</v>
      </c>
      <c r="HL30" s="12">
        <f>IF($A30&gt;30,10,('Scénario référence'!$B$16+'Scénario référence'!$B$17+'Scénario référence'!$B$18+'Scénario référence'!$B$9+'Scénario référence'!$B$10)*$A30*10/30+('Scénario référence'!$F$8+'Scénario référence'!$F$9)*10)</f>
        <v>10</v>
      </c>
      <c r="HM30" s="12" t="e">
        <f>VLOOKUP($A30,'Données projet'!$A$304:$I$324,2,0)</f>
        <v>#N/A</v>
      </c>
      <c r="HN30" s="12" t="e">
        <f>VLOOKUP($A30,'Données projet'!$A$304:$I$324,9,0)</f>
        <v>#N/A</v>
      </c>
      <c r="HO30" s="12">
        <f t="array" ref="HO30">INDEX(HN:HN,MIN(IF(ISNUMBER(HN30:HN226),ROW(HN30:HN226),"")))</f>
        <v>0</v>
      </c>
      <c r="HP30" s="12">
        <f>IF('Données projet'!$A$304&gt;35,HP29+HO30-HX29,IF($A30&lt;'Données projet'!$A$304,$CQ$205^$A30,IF($A30='Données projet'!$A$304,'Données projet'!$B$304,HP29+HO30-HX29)))</f>
        <v>0</v>
      </c>
      <c r="HQ30" s="17">
        <f>HP30*VLOOKUP('Données projet'!$B$19,Paramètres!$A$1:$I$89,3,0)*VLOOKUP('Données projet'!$B$19,Paramètres!$A$1:$I$89,5,0)</f>
        <v>0</v>
      </c>
      <c r="HR30" s="13" t="e">
        <f t="shared" si="83"/>
        <v>#NUM!</v>
      </c>
      <c r="HS30" s="14" t="e">
        <f t="shared" si="31"/>
        <v>#NUM!</v>
      </c>
      <c r="HT30" s="59" t="e">
        <f t="shared" si="32"/>
        <v>#NUM!</v>
      </c>
      <c r="HU30" s="59">
        <f ca="1">AVERAGE(OFFSET(HT$3,0,0,'Données projet'!$E$19+1,1))-AVERAGE(OFFSET($H$3,0,0,'Données projet'!$E$19+1,1))</f>
        <v>91.60721429656013</v>
      </c>
      <c r="HV30" s="59">
        <f t="shared" si="84"/>
        <v>258.94957804210856</v>
      </c>
      <c r="HW30" s="15">
        <f>IF(ISNA(VLOOKUP($A30,'Données projet'!$A$304:$I$324,3,0)),0,VLOOKUP($A30,'Données projet'!$A$304:$I$324,3,0))</f>
        <v>0</v>
      </c>
      <c r="HX30" s="15">
        <f>IF(ISNA(VLOOKUP($A30,'Données projet'!$A$304:$I$324,4,0)),0,VLOOKUP($A30,'Données projet'!$A$304:$I$324,4,0))</f>
        <v>0</v>
      </c>
      <c r="HY30" s="16">
        <f>IF(ISNA(VLOOKUP($A30,'Données projet'!$A$304:$I$324,5,0)),0%,VLOOKUP($A30,'Données projet'!$A$304:$I$324,5,0)*VLOOKUP('Données projet'!$B$19,Paramètres!$A$1:$I$89,7,0))</f>
        <v>0</v>
      </c>
      <c r="HZ30" s="16">
        <f>IF(ISNA(VLOOKUP($A30,'Données projet'!$A$304:$I$324,6,0)),0%,VLOOKUP($A30,'Données projet'!$A$304:$I$324,6,0)*VLOOKUP('Données projet'!$B$19,Paramètres!$A$1:$I$89,7,0))</f>
        <v>0</v>
      </c>
      <c r="IA30" s="16">
        <f>IF(ISNA(VLOOKUP($A30,'Données projet'!$A$304:$I$324,7,0)),0%,VLOOKUP($A30,'Données projet'!$A$304:$I$324,7,0))</f>
        <v>0</v>
      </c>
      <c r="IB30" s="21">
        <f>EXP(-LN(2)/35)*IB29+(1-EXP(-LN(2)/35))/(LN(2)/35)*HX30*HY30*VLOOKUP('Données projet'!$B$19,Paramètres!$A$1:$I$89,3,0)*0.475*44/12</f>
        <v>52.352508718158838</v>
      </c>
      <c r="IC30" s="21">
        <f>EXP(-LN(2)/25)*IC29+(1-EXP(-LN(2)/25))/(LN(2)/25)*Calculateur!HX30*Calculateur!HZ30*VLOOKUP('Données projet'!$B$19,Paramètres!$A$1:$I$89,3,0)*0.475*44/12</f>
        <v>10.571459712085947</v>
      </c>
      <c r="ID30" s="21">
        <f>EXP(-LN(2)/2)*ID29+(1-EXP(-LN(2)/2))/(LN(2)/2)*HX30*IA30*VLOOKUP('Données projet'!$B$19,Paramètres!$A$1:$I$89,3,0)*0.475*44/12</f>
        <v>1.6202710170102266</v>
      </c>
      <c r="IE30" s="22">
        <f t="shared" si="33"/>
        <v>64.544239447255009</v>
      </c>
      <c r="IF30" s="74">
        <f>('Scénario référence'!$F$8+'Scénario référence'!$F$9+'Scénario référence'!$B$17+'Scénario référence'!$B$9+'Scénario référence'!$B$10)*70+IF((45+25*(1-EXP(-0.0175*$A30)))&lt;70,'Scénario référence'!$B$16*(45+25*(1-EXP(-0.0175*$A30))),70*'Scénario référence'!$B$16)+IF((32+38*(1-EXP(-0.0175*$A30)))&lt;70,'Scénario référence'!$B$18*(32+38*(1-EXP(-0.0175*$A30))),70*'Scénario référence'!$B$18)</f>
        <v>70</v>
      </c>
      <c r="IG30" s="12">
        <f>IF($A30&gt;30,10,('Scénario référence'!$B$16+'Scénario référence'!$B$17+'Scénario référence'!$B$18+'Scénario référence'!$B$9+'Scénario référence'!$B$10)*$A30*10/30+('Scénario référence'!$F$8+'Scénario référence'!$F$9)*10)</f>
        <v>10</v>
      </c>
      <c r="IH30" s="12" t="e">
        <f>VLOOKUP($A30,'Données projet'!$A$330:$I$350,2,0)</f>
        <v>#N/A</v>
      </c>
      <c r="II30" s="12" t="e">
        <f>VLOOKUP($A30,'Données projet'!$A$330:$I$350,9,0)</f>
        <v>#N/A</v>
      </c>
      <c r="IJ30" s="12">
        <f t="array" ref="IJ30">INDEX(II:II,MIN(IF(ISNUMBER(II30:II226),ROW(II30:II226),"")))</f>
        <v>0</v>
      </c>
      <c r="IK30" s="12">
        <f>IF('Données projet'!$A$330&gt;35,IK29+IJ30-IS29,IF($A30&lt;'Données projet'!$A$330,$CQ$205^$A30,IF($A30='Données projet'!$A$330,'Données projet'!$B$330,IK29+IJ30-IS29)))</f>
        <v>0</v>
      </c>
      <c r="IL30" s="17">
        <f>IK30*VLOOKUP('Données projet'!$B$20,Paramètres!$A$1:$I$89,3,0)*VLOOKUP('Données projet'!$B$20,Paramètres!$A$1:$I$89,5,0)</f>
        <v>0</v>
      </c>
      <c r="IM30" s="13" t="e">
        <f t="shared" si="85"/>
        <v>#NUM!</v>
      </c>
      <c r="IN30" s="20" t="e">
        <f t="shared" si="86"/>
        <v>#NUM!</v>
      </c>
      <c r="IO30" s="59" t="e">
        <f t="shared" si="87"/>
        <v>#NUM!</v>
      </c>
      <c r="IP30" s="59">
        <f ca="1">AVERAGE(OFFSET(IO$3,0,0,'Données projet'!$E$20+1,1))-AVERAGE(OFFSET($H$3,0,0,'Données projet'!$E$20+1,1))</f>
        <v>91.60721429656013</v>
      </c>
      <c r="IQ30" s="59">
        <f t="shared" si="88"/>
        <v>258.94957804210856</v>
      </c>
      <c r="IR30" s="15">
        <f>IF(ISNA(VLOOKUP($A30,'Données projet'!$A$330:$I$350,3,0)),0,VLOOKUP($A30,'Données projet'!$A$330:$I$350,3,0))</f>
        <v>0</v>
      </c>
      <c r="IS30" s="15">
        <f>IF(ISNA(VLOOKUP($A30,'Données projet'!$A$330:$I$350,4,0)),0,VLOOKUP($A30,'Données projet'!$A$330:$I$350,4,0))</f>
        <v>0</v>
      </c>
      <c r="IT30" s="16">
        <f>IF(ISNA(VLOOKUP($A30,'Données projet'!$A$330:$I$350,5,0)),0%,VLOOKUP($A30,'Données projet'!$A$330:$I$350,5,0)*VLOOKUP('Données projet'!$B$20,Paramètres!$A$1:$I$89,7,0))</f>
        <v>0</v>
      </c>
      <c r="IU30" s="16">
        <f>IF(ISNA(VLOOKUP($A30,'Données projet'!$A$330:$I$350,6,0)),0%,VLOOKUP($A30,'Données projet'!$A$330:$I$350,6,0)*VLOOKUP('Données projet'!$B$20,Paramètres!$A$1:$I$89,7,0))</f>
        <v>0</v>
      </c>
      <c r="IV30" s="16">
        <f>IF(ISNA(VLOOKUP($A30,'Données projet'!$A$330:$I$350,7,0)),0%,VLOOKUP($A30,'Données projet'!$A$330:$I$350,7,0))</f>
        <v>0</v>
      </c>
      <c r="IW30" s="21">
        <f>EXP(-LN(2)/35)*IW29+(1-EXP(-LN(2)/35))/(LN(2)/35)*IS30*IT30*VLOOKUP('Données projet'!$B$20,Paramètres!$A$1:$I$89,3,0)*0.475*44/12</f>
        <v>52.352508718158838</v>
      </c>
      <c r="IX30" s="21">
        <f>EXP(-LN(2)/25)*IX29+(1-EXP(-LN(2)/25))/(LN(2)/25)*Calculateur!IS30*Calculateur!IU30*VLOOKUP('Données projet'!$B$20,Paramètres!$A$1:$I$89,3,0)*0.475*44/12</f>
        <v>10.571459712085947</v>
      </c>
      <c r="IY30" s="21">
        <f>EXP(-LN(2)/2)*IY29+(1-EXP(-LN(2)/2))/(LN(2)/2)*IS30*IV30*VLOOKUP('Données projet'!$B$20,Paramètres!$A$1:$I$89,3,0)*0.475*44/12</f>
        <v>1.6202710170102266</v>
      </c>
      <c r="IZ30" s="22">
        <f t="shared" si="89"/>
        <v>64.544239447255009</v>
      </c>
      <c r="JA30" s="74">
        <f>('Scénario référence'!$F$8+'Scénario référence'!$F$9+'Scénario référence'!$B$17+'Scénario référence'!$B$9+'Scénario référence'!$B$10)*70+IF((45+25*(1-EXP(-0.0175*$A30)))&lt;70,'Scénario référence'!$B$16*(45+25*(1-EXP(-0.0175*$A30))),70*'Scénario référence'!$B$16)+IF((32+38*(1-EXP(-0.0175*$A30)))&lt;70,'Scénario référence'!$B$18*(32+38*(1-EXP(-0.0175*$A30))),70*'Scénario référence'!$B$18)</f>
        <v>70</v>
      </c>
      <c r="JB30" s="12">
        <f>IF($A30&gt;30,10,('Scénario référence'!$B$16+'Scénario référence'!$B$17+'Scénario référence'!$B$18+'Scénario référence'!$B$9+'Scénario référence'!$B$10)*$A30*10/30+('Scénario référence'!$F$8+'Scénario référence'!$F$9)*10)</f>
        <v>10</v>
      </c>
      <c r="JC30" s="12" t="e">
        <f>VLOOKUP($A30,'Données projet'!$A$356:$I$376,2,0)</f>
        <v>#N/A</v>
      </c>
      <c r="JD30" s="12" t="e">
        <f>VLOOKUP($A30,'Données projet'!$A$356:$I$376,9,0)</f>
        <v>#N/A</v>
      </c>
      <c r="JE30" s="12">
        <f t="array" ref="JE30">INDEX(JD:JD,MIN(IF(ISNUMBER(JD30:JD226),ROW(JD30:JD226),"")))</f>
        <v>9.4</v>
      </c>
      <c r="JF30" s="12">
        <f>IF('Données projet'!$A$356&gt;35,JF29+JE30-JN29,IF($A30&lt;'Données projet'!$A$356,$CQ$205^$A30,IF($A30='Données projet'!$A$356,'Données projet'!$B$356,JF29+JE30-JN29)))</f>
        <v>87.800000000000026</v>
      </c>
      <c r="JG30" s="17">
        <f>JF30*VLOOKUP('Données projet'!$B$21,Paramètres!$A$1:$I$89,3,0)*VLOOKUP('Données projet'!$B$21,Paramètres!$A$1:$I$89,5,0)</f>
        <v>71.223360000000028</v>
      </c>
      <c r="JH30" s="13">
        <f t="shared" si="90"/>
        <v>19.976953957781454</v>
      </c>
      <c r="JI30" s="20">
        <f t="shared" si="91"/>
        <v>158.84054680980273</v>
      </c>
      <c r="JJ30" s="59">
        <f t="shared" si="92"/>
        <v>452.17388014313605</v>
      </c>
      <c r="JK30" s="59">
        <f ca="1">AVERAGE(OFFSET($JJ$3,0,0,'Données projet'!$E$22+1,1))-AVERAGE(OFFSET($H$3,0,0,'Données projet'!$E$22+1,1))</f>
        <v>353.35574633294613</v>
      </c>
      <c r="JL30" s="59">
        <f t="shared" si="93"/>
        <v>170.36796666474726</v>
      </c>
      <c r="JM30" s="15">
        <f>IF(ISNA(VLOOKUP($A30,'Données projet'!$A$356:$I$376,3,0)),0,VLOOKUP($A30,'Données projet'!$A$356:$I$376,3,0))</f>
        <v>0</v>
      </c>
      <c r="JN30" s="15">
        <f>IF(ISNA(VLOOKUP($A30,'Données projet'!$A$356:$I$376,4,0)),0,VLOOKUP($A30,'Données projet'!$A$356:$I$376,4,0))</f>
        <v>0</v>
      </c>
      <c r="JO30" s="16">
        <f>IF(ISNA(VLOOKUP($A30,'Données projet'!$A$356:$I$376,5,0)),0%,VLOOKUP($A30,'Données projet'!$A$356:$I$376,5,0)*VLOOKUP('Données projet'!$B$21,Paramètres!$A$1:$I$89,7,0))</f>
        <v>0</v>
      </c>
      <c r="JP30" s="16">
        <f>IF(ISNA(VLOOKUP($A30,'Données projet'!$A$356:$I$376,6,0)),0%,VLOOKUP($A30,'Données projet'!$A$356:$I$376,6,0)*VLOOKUP('Données projet'!$B$21,Paramètres!$A$1:$I$89,7,0))</f>
        <v>0</v>
      </c>
      <c r="JQ30" s="16">
        <f>IF(ISNA(VLOOKUP($A30,'Données projet'!$A$356:$I$376,7,0)),0%,VLOOKUP($A30,'Données projet'!$A$356:$I$376,7,0))</f>
        <v>0</v>
      </c>
      <c r="JR30" s="21">
        <f>EXP(-LN(2)/35)*JR29+(1-EXP(-LN(2)/35))/(LN(2)/35)*JN30*JO30*VLOOKUP('Données projet'!$B$21,Paramètres!$A$1:$I$89,3,0)*0.475*44/12</f>
        <v>0</v>
      </c>
      <c r="JS30" s="21">
        <f>EXP(-LN(2)/25)*JS29+(1-EXP(-LN(2)/25))/(LN(2)/25)*Calculateur!JN30*Calculateur!JP30*VLOOKUP('Données projet'!$B$21,Paramètres!$A$1:$I$89,3,0)*0.475*44/12</f>
        <v>0</v>
      </c>
      <c r="JT30" s="21">
        <f>EXP(-LN(2)/2)*JT29+(1-EXP(-LN(2)/2))/(LN(2)/2)*JN30*JQ30*VLOOKUP('Données projet'!$B$21,Paramètres!$A$1:$I$89,3,0)*0.475*44/12</f>
        <v>0</v>
      </c>
      <c r="JU30" s="18">
        <f t="shared" si="39"/>
        <v>0</v>
      </c>
      <c r="JV30" s="74">
        <f>('Scénario référence'!$F$8+'Scénario référence'!$F$9+'Scénario référence'!$B$17+'Scénario référence'!$B$9+'Scénario référence'!$B$10)*70+IF((45+25*(1-EXP(-0.0175*$A30)))&lt;70,'Scénario référence'!$B$16*(45+25*(1-EXP(-0.0175*$A30))),70*'Scénario référence'!$B$16)+IF((32+38*(1-EXP(-0.0175*$A30)))&lt;70,'Scénario référence'!$B$18*(32+38*(1-EXP(-0.0175*$A30))),70*'Scénario référence'!$B$18)</f>
        <v>70</v>
      </c>
      <c r="JW30" s="12">
        <f>IF($A30&gt;30,10,('Scénario référence'!$B$16+'Scénario référence'!$B$17+'Scénario référence'!$B$18+'Scénario référence'!$B$9+'Scénario référence'!$B$10)*$A30*10/30+('Scénario référence'!$F$8+'Scénario référence'!$F$9)*10)</f>
        <v>10</v>
      </c>
      <c r="JX30" s="12" t="e">
        <f>VLOOKUP($A30,'Données projet'!$A$382:$I$402,2,0)</f>
        <v>#N/A</v>
      </c>
      <c r="JY30" s="12" t="e">
        <f>VLOOKUP($A30,'Données projet'!$A$382:$I$402,9,0)</f>
        <v>#N/A</v>
      </c>
      <c r="JZ30" s="12">
        <f t="array" ref="JZ30">INDEX(JY:JY,MIN(IF(ISNUMBER(JY30:JY226),ROW(JY30:JY226),"")))</f>
        <v>4.0628205128205126</v>
      </c>
      <c r="KA30" s="12">
        <f>IF('Données projet'!$A$382&gt;35,KA29+JZ30-KI29,IF($A30&lt;'Données projet'!$A$382,$CQ$205^$A30,IF($A30='Données projet'!$A$382,'Données projet'!$B$382,KA29+JZ30-KI29)))</f>
        <v>109.69615384615381</v>
      </c>
      <c r="KB30" s="17">
        <f>KA30*VLOOKUP('Données projet'!$B$22,Paramètres!$A$1:$I$89,3,0)*VLOOKUP('Données projet'!$B$22,Paramètres!$A$1:$I$89,5,0)</f>
        <v>73.584179999999975</v>
      </c>
      <c r="KC30" s="13">
        <f t="shared" si="94"/>
        <v>20.560932576680106</v>
      </c>
      <c r="KD30" s="20">
        <f t="shared" si="95"/>
        <v>163.96940440438445</v>
      </c>
      <c r="KE30" s="59">
        <f t="shared" si="96"/>
        <v>457.30273773771773</v>
      </c>
      <c r="KF30" s="59">
        <f ca="1">AVERAGE(OFFSET($KE$3,0,0,'Données projet'!$E$22+1,1))-AVERAGE(OFFSET($H$3,0,0,'Données projet'!$E$22+1,1))</f>
        <v>193.91714772848269</v>
      </c>
      <c r="KG30" s="59">
        <f t="shared" si="97"/>
        <v>159.20429420478047</v>
      </c>
      <c r="KH30" s="15">
        <f>IF(ISNA(VLOOKUP($A30,'Données projet'!$A$382:$I$402,3,0)),0,VLOOKUP($A30,'Données projet'!$A$382:$I$402,3,0))</f>
        <v>0</v>
      </c>
      <c r="KI30" s="15">
        <f>IF(ISNA(VLOOKUP($A30,'Données projet'!$A$382:$I$402,4,0)),0,VLOOKUP($A30,'Données projet'!$A$382:$I$402,4,0))</f>
        <v>0</v>
      </c>
      <c r="KJ30" s="16">
        <f>IF(ISNA(VLOOKUP($A30,'Données projet'!$A$382:$I$402,5,0)),0%,VLOOKUP($A30,'Données projet'!$A$382:$I$402,5,0)*VLOOKUP('Données projet'!$B$22,Paramètres!$A$1:$I$89,7,0))</f>
        <v>0</v>
      </c>
      <c r="KK30" s="16">
        <f>IF(ISNA(VLOOKUP($A30,'Données projet'!$A$382:$I$402,6,0)),0%,VLOOKUP($A30,'Données projet'!$A$382:$I$402,6,0)*VLOOKUP('Données projet'!$B$22,Paramètres!$A$1:$I$89,7,0))</f>
        <v>0</v>
      </c>
      <c r="KL30" s="16">
        <f>IF(ISNA(VLOOKUP($A30,'Données projet'!$A$382:$I$402,7,0)),0%,VLOOKUP($A30,'Données projet'!$A$382:$I$402,7,0))</f>
        <v>0</v>
      </c>
      <c r="KM30" s="21">
        <f>EXP(-LN(2)/35)*KM29+(1-EXP(-LN(2)/35))/(LN(2)/35)*KI30*KJ30*VLOOKUP('Données projet'!$B$22,Paramètres!$A$1:$I$89,3,0)*0.475*44/12</f>
        <v>0</v>
      </c>
      <c r="KN30" s="21">
        <f>EXP(-LN(2)/25)*KN29+(1-EXP(-LN(2)/25))/(LN(2)/25)*Calculateur!KI30*Calculateur!KK30*VLOOKUP('Données projet'!$B$22,Paramètres!$A$1:$I$89,3,0)*0.475*44/12</f>
        <v>0</v>
      </c>
      <c r="KO30" s="21">
        <f>EXP(-LN(2)/2)*KO29+(1-EXP(-LN(2)/2))/(LN(2)/2)*KI30*KL30*VLOOKUP('Données projet'!$B$22,Paramètres!$A$1:$I$89,3,0)*0.475*44/12</f>
        <v>0</v>
      </c>
      <c r="KP30" s="22">
        <f t="shared" si="98"/>
        <v>0</v>
      </c>
      <c r="KQ30" s="74">
        <f>('Scénario référence'!$F$8+'Scénario référence'!$F$9+'Scénario référence'!$B$17+'Scénario référence'!$B$9+'Scénario référence'!$B$10)*70+IF((45+25*(1-EXP(-0.0175*$A30)))&lt;70,'Scénario référence'!$B$16*(45+25*(1-EXP(-0.0175*$A30))),70*'Scénario référence'!$B$16)+IF((32+38*(1-EXP(-0.0175*$A30)))&lt;70,'Scénario référence'!$B$18*(32+38*(1-EXP(-0.0175*$A30))),70*'Scénario référence'!$B$18)</f>
        <v>70</v>
      </c>
      <c r="KR30" s="12">
        <f>IF($A30&gt;30,10,('Scénario référence'!$B$16+'Scénario référence'!$B$17+'Scénario référence'!$B$18+'Scénario référence'!$B$9+'Scénario référence'!$B$10)*$A30*10/30+('Scénario référence'!$F$8+'Scénario référence'!$F$9)*10)</f>
        <v>10</v>
      </c>
      <c r="KS30" s="12" t="e">
        <f>VLOOKUP($A30,'Données projet'!$A$408:$I$428,2,0)</f>
        <v>#N/A</v>
      </c>
      <c r="KT30" s="12" t="e">
        <f>VLOOKUP($A30,'Données projet'!$A$408:$I$428,9,0)</f>
        <v>#N/A</v>
      </c>
      <c r="KU30" s="12">
        <f t="array" ref="KU30">INDEX(KT:KT,MIN(IF(ISNUMBER(KT30:KT226),ROW(KT30:KT226),"")))</f>
        <v>11.8</v>
      </c>
      <c r="KV30" s="12">
        <f>IF('Données projet'!$A$408&gt;35,KV29+KU30-LD29,IF($A30&lt;'Données projet'!$A$408,$CQ$205^$A30,IF($A30='Données projet'!$A$408,'Données projet'!$B$408,KV29+KU30-LD29)))</f>
        <v>110.59999999999998</v>
      </c>
      <c r="KW30" s="17">
        <f>KV30*VLOOKUP('Données projet'!$B$23,Paramètres!$A$1:$I$89,3,0)*VLOOKUP('Données projet'!$B$23,Paramètres!$A$1:$I$89,5,0)</f>
        <v>96.620159999999998</v>
      </c>
      <c r="KX30" s="13">
        <f t="shared" si="99"/>
        <v>26.155193107181663</v>
      </c>
      <c r="KY30" s="14">
        <f t="shared" si="43"/>
        <v>213.83373999500805</v>
      </c>
      <c r="KZ30" s="59">
        <f t="shared" si="44"/>
        <v>507.16707332834136</v>
      </c>
      <c r="LA30" s="59">
        <f ca="1">AVERAGE(OFFSET($KZ$3,0,0,'Données projet'!$E$23+1,1))-AVERAGE(OFFSET($H$3,0,0,'Données projet'!$E$23+1,1))</f>
        <v>248.33596943633819</v>
      </c>
      <c r="LB30" s="59">
        <f t="shared" si="100"/>
        <v>242.34010522344573</v>
      </c>
      <c r="LC30" s="15">
        <f>IF(ISNA(VLOOKUP($A30,'Données projet'!$A$408:$I$428,3,0)),0,VLOOKUP($A30,'Données projet'!$A$408:$I$428,3,0))</f>
        <v>0</v>
      </c>
      <c r="LD30" s="15">
        <f>IF(ISNA(VLOOKUP($A30,'Données projet'!$A$408:$I$428,4,0)),0,VLOOKUP($A30,'Données projet'!$A$408:$I$428,4,0))</f>
        <v>0</v>
      </c>
      <c r="LE30" s="16">
        <f>IF(ISNA(VLOOKUP($A30,'Données projet'!$A$408:$I$428,5,0)),0%,VLOOKUP($A30,'Données projet'!$A$408:$I$428,5,0)*VLOOKUP('Données projet'!$B$23,Paramètres!$A$1:$I$89,7,0))</f>
        <v>0</v>
      </c>
      <c r="LF30" s="16">
        <f>IF(ISNA(VLOOKUP($A30,'Données projet'!$A$408:$I$428,6,0)),0%,VLOOKUP($A30,'Données projet'!$A$408:$I$428,6,0)*VLOOKUP('Données projet'!$B$23,Paramètres!$A$1:$I$89,7,0))</f>
        <v>0</v>
      </c>
      <c r="LG30" s="16">
        <f>IF(ISNA(VLOOKUP($A30,'Données projet'!$A$408:$I$428,7,0)),0%,VLOOKUP($A30,'Données projet'!$A$408:$I$428,7,0))</f>
        <v>0</v>
      </c>
      <c r="LH30" s="21">
        <f>EXP(-LN(2)/35)*LH29+(1-EXP(-LN(2)/35))/(LN(2)/35)*LD30*LE30*VLOOKUP('Données projet'!$B$23,Paramètres!$A$1:$I$89,3,0)*0.475*44/12</f>
        <v>0</v>
      </c>
      <c r="LI30" s="21">
        <f>EXP(-LN(2)/25)*LI29+(1-EXP(-LN(2)/25))/(LN(2)/25)*Calculateur!LD30*Calculateur!LF30*VLOOKUP('Données projet'!$B$23,Paramètres!$A$1:$I$89,3,0)*0.475*44/12</f>
        <v>0.76698788642927052</v>
      </c>
      <c r="LJ30" s="21">
        <f>EXP(-LN(2)/2)*LJ29+(1-EXP(-LN(2)/2))/(LN(2)/2)*LD30*LG30*VLOOKUP('Données projet'!$B$23,Paramètres!$A$1:$I$89,3,0)*0.475*44/12</f>
        <v>0</v>
      </c>
      <c r="LK30" s="22">
        <f t="shared" si="101"/>
        <v>0.76698788642927052</v>
      </c>
      <c r="LL30" s="74">
        <f>('Scénario référence'!$F$8+'Scénario référence'!$F$9+'Scénario référence'!$B$17+'Scénario référence'!$B$9+'Scénario référence'!$B$10)*70+IF((45+25*(1-EXP(-0.0175*$A30)))&lt;70,'Scénario référence'!$B$16*(45+25*(1-EXP(-0.0175*$A30))),70*'Scénario référence'!$B$16)+IF((32+38*(1-EXP(-0.0175*$A30)))&lt;70,'Scénario référence'!$B$18*(32+38*(1-EXP(-0.0175*$A30))),70*'Scénario référence'!$B$18)</f>
        <v>70</v>
      </c>
      <c r="LM30" s="12">
        <f>IF($A30&gt;30,10,('Scénario référence'!$B$16+'Scénario référence'!$B$17+'Scénario référence'!$B$18+'Scénario référence'!$B$9+'Scénario référence'!$B$10)*$A30*10/30+('Scénario référence'!$F$8+'Scénario référence'!$F$9)*10)</f>
        <v>10</v>
      </c>
      <c r="LN30" s="12" t="e">
        <f>VLOOKUP($A30,'Données projet'!$A$434:$I$454,2,0)</f>
        <v>#N/A</v>
      </c>
      <c r="LO30" s="12" t="e">
        <f>VLOOKUP($A30,'Données projet'!$A$434:$I$454,9,0)</f>
        <v>#N/A</v>
      </c>
      <c r="LP30" s="12">
        <f t="array" ref="LP30">INDEX(LO:LO,MIN(IF(ISNUMBER(LO30:LO226),ROW(LO30:LO226),"")))</f>
        <v>2.9235042735042733</v>
      </c>
      <c r="LQ30" s="12">
        <f>IF('Données projet'!$A$434&gt;35,LQ29+LP30-LY29,IF($A30&lt;'Données projet'!$A$434,$CQ$205^$A30,IF($A30='Données projet'!$A$434,'Données projet'!$B$434,LQ29+LP30-LY29)))</f>
        <v>78.934615384615384</v>
      </c>
      <c r="LR30" s="17">
        <f>LQ30*VLOOKUP('Données projet'!$B$24,Paramètres!$A$1:$I$89,3,0)*VLOOKUP('Données projet'!$B$24,Paramètres!$A$1:$I$89,5,0)</f>
        <v>80.039700000000011</v>
      </c>
      <c r="LS30" s="13">
        <f t="shared" si="102"/>
        <v>22.146890704750547</v>
      </c>
      <c r="LT30" s="14">
        <f t="shared" si="46"/>
        <v>177.97497881077388</v>
      </c>
      <c r="LU30" s="59">
        <f t="shared" si="103"/>
        <v>471.30831214410716</v>
      </c>
      <c r="LV30" s="59">
        <f ca="1">AVERAGE(OFFSET($LU$3,0,0,'Données projet'!$E$24+1,1))-AVERAGE(OFFSET($H$3,0,0,'Données projet'!$E$24+1,1))</f>
        <v>260.52627655062872</v>
      </c>
      <c r="LW30" s="59">
        <f t="shared" si="104"/>
        <v>159.20429420478047</v>
      </c>
      <c r="LX30" s="15">
        <f>IF(ISNA(VLOOKUP($A30,'Données projet'!$A$434:$I$454,3,0)),0,VLOOKUP($A30,'Données projet'!$A$434:$I$454,3,0))</f>
        <v>0</v>
      </c>
      <c r="LY30" s="15">
        <f>IF(ISNA(VLOOKUP($A30,'Données projet'!$A$434:$I$454,4,0)),0,VLOOKUP($A30,'Données projet'!$A$434:$I$454,4,0))</f>
        <v>0</v>
      </c>
      <c r="LZ30" s="16">
        <f>IF(ISNA(VLOOKUP($A30,'Données projet'!$A$434:$I$454,5,0)),0%,VLOOKUP($A30,'Données projet'!$A$434:$I$454,5,0)*VLOOKUP('Données projet'!$B$24,Paramètres!$A$1:$I$89,7,0))</f>
        <v>0</v>
      </c>
      <c r="MA30" s="16">
        <f>IF(ISNA(VLOOKUP($A30,'Données projet'!$A$434:$I$454,6,0)),0%,VLOOKUP($A30,'Données projet'!$A$434:$I$454,6,0)*VLOOKUP('Données projet'!$B$24,Paramètres!$A$1:$I$89,7,0))</f>
        <v>0</v>
      </c>
      <c r="MB30" s="16">
        <f>IF(ISNA(VLOOKUP($A30,'Données projet'!$A$434:$I$454,7,0)),0%,VLOOKUP($A30,'Données projet'!$A$434:$I$454,7,0))</f>
        <v>0</v>
      </c>
      <c r="MC30" s="21">
        <f>EXP(-LN(2)/35)*MC29+(1-EXP(-LN(2)/35))/(LN(2)/35)*LY30*LZ30*VLOOKUP('Données projet'!$B$24,Paramètres!$A$1:$I$89,3,0)*0.475*44/12</f>
        <v>0</v>
      </c>
      <c r="MD30" s="21">
        <f>EXP(-LN(2)/25)*MD29+(1-EXP(-LN(2)/25))/(LN(2)/25)*Calculateur!LY30*Calculateur!MA30*VLOOKUP('Données projet'!$B$24,Paramètres!$A$1:$I$89,3,0)*0.475*44/12</f>
        <v>0</v>
      </c>
      <c r="ME30" s="21">
        <f>EXP(-LN(2)/2)*ME29+(1-EXP(-LN(2)/2))/(LN(2)/2)*LY30*MB30*VLOOKUP('Données projet'!$B$24,Paramètres!$A$1:$I$89,3,0)*0.475*44/12</f>
        <v>0</v>
      </c>
      <c r="MF30" s="22">
        <f t="shared" si="105"/>
        <v>0</v>
      </c>
      <c r="MG30" s="74">
        <f>('Scénario référence'!$F$8+'Scénario référence'!$F$9+'Scénario référence'!$B$17+'Scénario référence'!$B$9+'Scénario référence'!$B$10)*70+IF((45+25*(1-EXP(-0.0175*$A30)))&lt;70,'Scénario référence'!$B$16*(45+25*(1-EXP(-0.0175*$A30))),70*'Scénario référence'!$B$16)+IF((32+38*(1-EXP(-0.0175*$A30)))&lt;70,'Scénario référence'!$B$18*(32+38*(1-EXP(-0.0175*$A30))),70*'Scénario référence'!$B$18)</f>
        <v>70</v>
      </c>
      <c r="MH30" s="12">
        <f>IF($A30&gt;30,10,('Scénario référence'!$B$16+'Scénario référence'!$B$17+'Scénario référence'!$B$18+'Scénario référence'!$B$9+'Scénario référence'!$B$10)*$A30*10/30+('Scénario référence'!$F$8+'Scénario référence'!$F$9)*10)</f>
        <v>10</v>
      </c>
      <c r="MI30" s="12" t="e">
        <f>VLOOKUP($A30,'Données projet'!$A$460:$I$480,2,0)</f>
        <v>#N/A</v>
      </c>
      <c r="MJ30" s="12" t="e">
        <f>VLOOKUP($A30,'Données projet'!$A$460:$I$480,9,0)</f>
        <v>#N/A</v>
      </c>
      <c r="MK30" s="12">
        <f t="array" ref="MK30">INDEX(MJ:MJ,MIN(IF(ISNUMBER(MJ30:MJ226),ROW(MJ30:MJ226),"")))</f>
        <v>0</v>
      </c>
      <c r="ML30" s="12">
        <f>IF('Données projet'!$A$460&gt;35,ML29+MK30-MT29,IF($A30&lt;'Données projet'!$A$460,$CQ$205^$A30,IF($A30='Données projet'!$A$460,'Données projet'!$B$460,ML29+MK30-MT29)))</f>
        <v>0</v>
      </c>
      <c r="MM30" s="17" t="e">
        <f>ML30*VLOOKUP('Données projet'!$B$25,Paramètres!$A$1:$I$89,3,0)*VLOOKUP('Données projet'!$B$25,Paramètres!$A$1:$I$89,5,0)</f>
        <v>#N/A</v>
      </c>
      <c r="MN30" s="13" t="e">
        <f t="shared" si="106"/>
        <v>#N/A</v>
      </c>
      <c r="MO30" s="14" t="e">
        <f t="shared" si="49"/>
        <v>#N/A</v>
      </c>
      <c r="MP30" s="59" t="e">
        <f t="shared" si="50"/>
        <v>#N/A</v>
      </c>
      <c r="MQ30" s="20" t="e">
        <f ca="1">AVERAGE(OFFSET($MP$3,0,0,'Données projet'!$E$25+1,1))-AVERAGE(OFFSET($H$3,0,0,'Données projet'!$E$25+1,1))</f>
        <v>#N/A</v>
      </c>
      <c r="MR30" s="59" t="e">
        <f t="shared" si="107"/>
        <v>#N/A</v>
      </c>
      <c r="MS30" s="15">
        <f>IF(ISNA(VLOOKUP($A30,'Données projet'!$A$460:$I$480,3,0)),0,VLOOKUP($A30,'Données projet'!$A$460:$I$480,3,0))</f>
        <v>0</v>
      </c>
      <c r="MT30" s="15">
        <f>IF(ISNA(VLOOKUP($A30,'Données projet'!$A$460:$I$480,4,0)),0,VLOOKUP($A30,'Données projet'!$A$460:$I$480,4,0))</f>
        <v>0</v>
      </c>
      <c r="MU30" s="16">
        <f>IF(ISNA(VLOOKUP($A30,'Données projet'!$A$460:$I$480,5,0)),0%,VLOOKUP($A30,'Données projet'!$A$460:$I$480,5,0)*VLOOKUP('Données projet'!$B$25,Paramètres!$A$1:$I$89,7,0))</f>
        <v>0</v>
      </c>
      <c r="MV30" s="16">
        <f>IF(ISNA(VLOOKUP($A30,'Données projet'!$A$460:$I$480,6,0)),0%,VLOOKUP($A30,'Données projet'!$A$460:$I$480,6,0)*VLOOKUP('Données projet'!$B$25,Paramètres!$A$1:$I$89,7,0))</f>
        <v>0</v>
      </c>
      <c r="MW30" s="16">
        <f>IF(ISNA(VLOOKUP($A30,'Données projet'!$A$460:$I$480,7,0)),0%,VLOOKUP($A30,'Données projet'!$A$460:$I$480,7,0))</f>
        <v>0</v>
      </c>
      <c r="MX30" s="21" t="e">
        <f>EXP(-LN(2)/35)*MX29+(1-EXP(-LN(2)/35))/(LN(2)/35)*MT30*MU30*VLOOKUP('Données projet'!$B$25,Paramètres!$A$1:$I$89,3,0)*0.475*44/12</f>
        <v>#N/A</v>
      </c>
      <c r="MY30" s="21" t="e">
        <f>EXP(-LN(2)/25)*MY29+(1-EXP(-LN(2)/25))/(LN(2)/25)*Calculateur!MT30*Calculateur!MV30*VLOOKUP('Données projet'!$B$25,Paramètres!$A$1:$I$89,3,0)*0.475*44/12</f>
        <v>#N/A</v>
      </c>
      <c r="MZ30" s="21" t="e">
        <f>EXP(-LN(2)/2)*MZ29+(1-EXP(-LN(2)/2))/(LN(2)/2)*MT30*MW30*VLOOKUP('Données projet'!$B$25,Paramètres!$A$1:$I$89,3,0)*0.475*44/12</f>
        <v>#N/A</v>
      </c>
      <c r="NA30" s="22" t="e">
        <f t="shared" si="108"/>
        <v>#N/A</v>
      </c>
      <c r="NB30" s="74">
        <f>('Scénario référence'!$F$8+'Scénario référence'!$F$9+'Scénario référence'!$B$17+'Scénario référence'!$B$9+'Scénario référence'!$B$10)*70+IF((45+25*(1-EXP(-0.0175*$A30)))&lt;70,'Scénario référence'!$B$16*(45+25*(1-EXP(-0.0175*$A30))),70*'Scénario référence'!$B$16)+IF((32+38*(1-EXP(-0.0175*$A30)))&lt;70,'Scénario référence'!$B$18*(32+38*(1-EXP(-0.0175*$A30))),70*'Scénario référence'!$B$18)</f>
        <v>70</v>
      </c>
      <c r="NC30" s="12">
        <f>IF($A30&gt;30,10,('Scénario référence'!$B$16+'Scénario référence'!$B$17+'Scénario référence'!$B$18+'Scénario référence'!$B$9+'Scénario référence'!$B$10)*$A30*10/30+('Scénario référence'!$F$8+'Scénario référence'!$F$9)*10)</f>
        <v>10</v>
      </c>
      <c r="ND30" s="12" t="e">
        <f>VLOOKUP($A30,'Données projet'!$A$486:$I$506,2,0)</f>
        <v>#N/A</v>
      </c>
      <c r="NE30" s="12" t="e">
        <f>VLOOKUP($A30,'Données projet'!$A$486:$I$506,9,0)</f>
        <v>#N/A</v>
      </c>
      <c r="NF30" s="12">
        <f t="array" ref="NF30">INDEX(NE:NE,MIN(IF(ISNUMBER(NE30:NE226),ROW(NE30:NE226),"")))</f>
        <v>0</v>
      </c>
      <c r="NG30" s="12">
        <f>IF('Données projet'!$A$486&gt;35,NG29+NF30-NO29,IF($A30&lt;'Données projet'!$A$486,$CQ$205^$A30,IF($A30='Données projet'!$A$486,'Données projet'!$B$486,NG29+NF30-NO29)))</f>
        <v>0</v>
      </c>
      <c r="NH30" s="17" t="e">
        <f>NG30*VLOOKUP('Données projet'!$B$26,Paramètres!$A$1:$I$89,3,0)*VLOOKUP('Données projet'!$B$26,Paramètres!$A$1:$I$89,5,0)</f>
        <v>#N/A</v>
      </c>
      <c r="NI30" s="13" t="e">
        <f t="shared" si="109"/>
        <v>#N/A</v>
      </c>
      <c r="NJ30" s="14" t="e">
        <f t="shared" si="52"/>
        <v>#N/A</v>
      </c>
      <c r="NK30" s="59" t="e">
        <f t="shared" si="53"/>
        <v>#N/A</v>
      </c>
      <c r="NL30" s="20" t="e">
        <f ca="1">AVERAGE(OFFSET($NK$3,0,0,'Données projet'!$E$26+1,1))-AVERAGE(OFFSET($H$3,0,0,'Données projet'!$E$26+1,1))</f>
        <v>#N/A</v>
      </c>
      <c r="NM30" s="59" t="e">
        <f t="shared" si="110"/>
        <v>#N/A</v>
      </c>
      <c r="NN30" s="15">
        <f>IF(ISNA(VLOOKUP($A30,'Données projet'!$A$486:$I$506,3,0)),0,VLOOKUP($A30,'Données projet'!$A$486:$I$506,3,0))</f>
        <v>0</v>
      </c>
      <c r="NO30" s="15">
        <f>IF(ISNA(VLOOKUP($A30,'Données projet'!$A$486:$I$506,4,0)),0,VLOOKUP($A30,'Données projet'!$A$486:$I$506,4,0))</f>
        <v>0</v>
      </c>
      <c r="NP30" s="16">
        <f>IF(ISNA(VLOOKUP($A30,'Données projet'!$A$486:$I$506,5,0)),0%,VLOOKUP($A30,'Données projet'!$A$486:$I$506,5,0)*VLOOKUP('Données projet'!$B$26,Paramètres!$A$1:$I$89,7,0))</f>
        <v>0</v>
      </c>
      <c r="NQ30" s="16">
        <f>IF(ISNA(VLOOKUP($A30,'Données projet'!$A$486:$I$506,6,0)),0%,VLOOKUP($A30,'Données projet'!$A$486:$I$506,6,0)*VLOOKUP('Données projet'!$B$26,Paramètres!$A$1:$I$89,7,0))</f>
        <v>0</v>
      </c>
      <c r="NR30" s="16">
        <f>IF(ISNA(VLOOKUP($A30,'Données projet'!$A$486:$I$506,7,0)),0%,VLOOKUP($A30,'Données projet'!$A$486:$I$506,7,0))</f>
        <v>0</v>
      </c>
      <c r="NS30" s="21" t="e">
        <f>EXP(-LN(2)/35)*NS29+(1-EXP(-LN(2)/35))/(LN(2)/35)*NO30*NP30*VLOOKUP('Données projet'!$B$26,Paramètres!$A$1:$I$89,3,0)*0.475*44/12</f>
        <v>#N/A</v>
      </c>
      <c r="NT30" s="21" t="e">
        <f>EXP(-LN(2)/25)*NT29+(1-EXP(-LN(2)/25))/(LN(2)/25)*Calculateur!NO30*Calculateur!NQ30*VLOOKUP('Données projet'!$B$26,Paramètres!$A$1:$I$89,3,0)*0.475*44/12</f>
        <v>#N/A</v>
      </c>
      <c r="NU30" s="21" t="e">
        <f>EXP(-LN(2)/2)*NU29+(1-EXP(-LN(2)/2))/(LN(2)/2)*NO30*NR30*VLOOKUP('Données projet'!$B$26,Paramètres!$A$1:$I$89,3,0)*0.475*44/12</f>
        <v>#N/A</v>
      </c>
      <c r="NV30" s="22" t="e">
        <f t="shared" si="111"/>
        <v>#N/A</v>
      </c>
      <c r="NW30" s="74">
        <f>('Scénario référence'!$F$8+'Scénario référence'!$F$9+'Scénario référence'!$B$17+'Scénario référence'!$B$9+'Scénario référence'!$B$10)*70+IF((45+25*(1-EXP(-0.0175*$A30)))&lt;70,'Scénario référence'!$B$16*(45+25*(1-EXP(-0.0175*$A30))),70*'Scénario référence'!$B$16)+IF((32+38*(1-EXP(-0.0175*$A30)))&lt;70,'Scénario référence'!$B$18*(32+38*(1-EXP(-0.0175*$A30))),70*'Scénario référence'!$B$18)</f>
        <v>70</v>
      </c>
      <c r="NX30" s="12">
        <f>IF($A30&gt;30,10,('Scénario référence'!$B$16+'Scénario référence'!$B$17+'Scénario référence'!$B$18+'Scénario référence'!$B$9+'Scénario référence'!$B$10)*$A30*10/30+('Scénario référence'!$F$8+'Scénario référence'!$F$9)*10)</f>
        <v>10</v>
      </c>
      <c r="NY30" s="12" t="e">
        <f>VLOOKUP($A30,'Données projet'!$A$512:$I$532,2,0)</f>
        <v>#N/A</v>
      </c>
      <c r="NZ30" s="12" t="e">
        <f>VLOOKUP($A30,'Données projet'!$A$512:$I$532,9,0)</f>
        <v>#N/A</v>
      </c>
      <c r="OA30" s="12">
        <f t="array" ref="OA30">INDEX(NZ:NZ,MIN(IF(ISNUMBER(NZ30:NZ226),ROW(NZ30:NZ226),"")))</f>
        <v>0</v>
      </c>
      <c r="OB30" s="12">
        <f>IF('Données projet'!$A$512&gt;35,OB29+OA30-OJ29,IF($A30&lt;'Données projet'!$A$512,$CQ$205^$A30,IF($A30='Données projet'!$A$512,'Données projet'!$B$512,OB29+OA30-OJ29)))</f>
        <v>0</v>
      </c>
      <c r="OC30" s="17" t="e">
        <f>OB30*VLOOKUP('Données projet'!$B$27,Paramètres!$A$1:$I$89,3,0)*VLOOKUP('Données projet'!$B$27,Paramètres!$A$1:$I$89,5,0)</f>
        <v>#N/A</v>
      </c>
      <c r="OD30" s="13" t="e">
        <f t="shared" si="112"/>
        <v>#N/A</v>
      </c>
      <c r="OE30" s="14" t="e">
        <f t="shared" si="55"/>
        <v>#N/A</v>
      </c>
      <c r="OF30" s="59" t="e">
        <f t="shared" si="56"/>
        <v>#N/A</v>
      </c>
      <c r="OG30" s="20" t="e">
        <f ca="1">AVERAGE(OFFSET($OF$3,0,0,'Données projet'!$E$27+1,1))-AVERAGE(OFFSET($H$3,0,0,'Données projet'!$E$27+1,1))</f>
        <v>#N/A</v>
      </c>
      <c r="OH30" s="59" t="e">
        <f t="shared" si="113"/>
        <v>#N/A</v>
      </c>
      <c r="OI30" s="15">
        <f>IF(ISNA(VLOOKUP($A30,'Données projet'!$A$512:$I$532,3,0)),0,VLOOKUP($A30,'Données projet'!$A$512:$I$532,3,0))</f>
        <v>0</v>
      </c>
      <c r="OJ30" s="15">
        <f>IF(ISNA(VLOOKUP($A30,'Données projet'!$A$512:$I$532,4,0)),0,VLOOKUP($A30,'Données projet'!$A$512:$I$532,4,0))</f>
        <v>0</v>
      </c>
      <c r="OK30" s="16">
        <f>IF(ISNA(VLOOKUP($A30,'Données projet'!$A$512:$I$532,5,0)),0%,VLOOKUP($A30,'Données projet'!$A$512:$I$532,5,0)*VLOOKUP('Données projet'!$B$27,Paramètres!$A$1:$I$89,7,0))</f>
        <v>0</v>
      </c>
      <c r="OL30" s="16">
        <f>IF(ISNA(VLOOKUP($A30,'Données projet'!$A$512:$I$532,6,0)),0%,VLOOKUP($A30,'Données projet'!$A$512:$I$532,6,0)*VLOOKUP('Données projet'!$B$27,Paramètres!$A$1:$I$89,7,0))</f>
        <v>0</v>
      </c>
      <c r="OM30" s="16">
        <f>IF(ISNA(VLOOKUP($A30,'Données projet'!$A$512:$I$532,7,0)),0%,VLOOKUP($A30,'Données projet'!$A$512:$I$532,7,0))</f>
        <v>0</v>
      </c>
      <c r="ON30" s="21" t="e">
        <f>EXP(-LN(2)/35)*ON29+(1-EXP(-LN(2)/35))/(LN(2)/35)*OJ30*OK30*VLOOKUP('Données projet'!$B$27,Paramètres!$A$1:$I$89,3,0)*0.475*44/12</f>
        <v>#N/A</v>
      </c>
      <c r="OO30" s="21" t="e">
        <f>EXP(-LN(2)/25)*OO29+(1-EXP(-LN(2)/25))/(LN(2)/25)*Calculateur!OJ30*Calculateur!OL30*VLOOKUP('Données projet'!$B$27,Paramètres!$A$1:$I$89,3,0)*0.475*44/12</f>
        <v>#N/A</v>
      </c>
      <c r="OP30" s="21" t="e">
        <f>EXP(-LN(2)/2)*OP29+(1-EXP(-LN(2)/2))/(LN(2)/2)*OJ30*OM30*VLOOKUP('Données projet'!$B$27,Paramètres!$A$1:$I$89,3,0)*0.475*44/12</f>
        <v>#N/A</v>
      </c>
      <c r="OQ30" s="22" t="e">
        <f t="shared" si="114"/>
        <v>#N/A</v>
      </c>
      <c r="OR30" s="74">
        <f>('Scénario référence'!$F$8+'Scénario référence'!$F$9+'Scénario référence'!$B$17+'Scénario référence'!$B$9+'Scénario référence'!$B$10)*70+IF((45+25*(1-EXP(-0.0175*$A30)))&lt;70,'Scénario référence'!$B$16*(45+25*(1-EXP(-0.0175*$A30))),70*'Scénario référence'!$B$16)+IF((32+38*(1-EXP(-0.0175*$A30)))&lt;70,'Scénario référence'!$B$18*(32+38*(1-EXP(-0.0175*$A30))),70*'Scénario référence'!$B$18)</f>
        <v>70</v>
      </c>
      <c r="OS30" s="12">
        <f>IF($A30&gt;30,10,('Scénario référence'!$B$16+'Scénario référence'!$B$17+'Scénario référence'!$B$18+'Scénario référence'!$B$9+'Scénario référence'!$B$10)*$A30*10/30+('Scénario référence'!$F$8+'Scénario référence'!$F$9)*10)</f>
        <v>10</v>
      </c>
      <c r="OT30" s="12" t="e">
        <f>VLOOKUP($A30,'Données projet'!$A$538:$I$558,2,0)</f>
        <v>#N/A</v>
      </c>
      <c r="OU30" s="12" t="e">
        <f>VLOOKUP($A30,'Données projet'!$A$538:$I$558,9,0)</f>
        <v>#N/A</v>
      </c>
      <c r="OV30" s="12">
        <f t="array" ref="OV30">INDEX(OU:OU,MIN(IF(ISNUMBER(OU30:OU226),ROW(OU30:OU226),"")))</f>
        <v>0</v>
      </c>
      <c r="OW30" s="12">
        <f>IF('Données projet'!$A$538&gt;35,OW29+OV30-PE29,IF($A30&lt;'Données projet'!$A$538,$CQ$205^$A30,IF($A30='Données projet'!$A$538,'Données projet'!$B$538,OW29+OV30-PE29)))</f>
        <v>0</v>
      </c>
      <c r="OX30" s="17" t="e">
        <f>OW30*VLOOKUP('Données projet'!$B$28,Paramètres!$A$1:$I$89,3,0)*VLOOKUP('Données projet'!$B$28,Paramètres!$A$1:$I$89,5,0)</f>
        <v>#N/A</v>
      </c>
      <c r="OY30" s="13" t="e">
        <f t="shared" si="115"/>
        <v>#N/A</v>
      </c>
      <c r="OZ30" s="14" t="e">
        <f t="shared" si="58"/>
        <v>#N/A</v>
      </c>
      <c r="PA30" s="59" t="e">
        <f t="shared" si="59"/>
        <v>#N/A</v>
      </c>
      <c r="PB30" s="20" t="e">
        <f ca="1">AVERAGE(OFFSET($PA$3,0,0,'Données projet'!$E$28+1,1))-AVERAGE(OFFSET($H$3,0,0,'Données projet'!$E$28+1,1))</f>
        <v>#N/A</v>
      </c>
      <c r="PC30" s="59" t="e">
        <f t="shared" si="116"/>
        <v>#N/A</v>
      </c>
      <c r="PD30" s="15">
        <f>IF(ISNA(VLOOKUP($A30,'Données projet'!$A$538:$I$558,3,0)),0,VLOOKUP($A30,'Données projet'!$A$538:$I$558,3,0))</f>
        <v>0</v>
      </c>
      <c r="PE30" s="15">
        <f>IF(ISNA(VLOOKUP($A30,'Données projet'!$A$538:$I$558,4,0)),0,VLOOKUP($A30,'Données projet'!$A$538:$I$558,4,0))</f>
        <v>0</v>
      </c>
      <c r="PF30" s="16">
        <f>IF(ISNA(VLOOKUP($A30,'Données projet'!$A$538:$I$558,5,0)),0%,VLOOKUP($A30,'Données projet'!$A$538:$I$558,5,0)*VLOOKUP('Données projet'!$B$28,Paramètres!$A$1:$I$89,7,0))</f>
        <v>0</v>
      </c>
      <c r="PG30" s="16">
        <f>IF(ISNA(VLOOKUP($A30,'Données projet'!$A$538:$I$558,6,0)),0%,VLOOKUP($A30,'Données projet'!$A$538:$I$558,6,0)*VLOOKUP('Données projet'!$B$28,Paramètres!$A$1:$I$89,7,0))</f>
        <v>0</v>
      </c>
      <c r="PH30" s="16">
        <f>IF(ISNA(VLOOKUP($A30,'Données projet'!$A$538:$I$558,7,0)),0%,VLOOKUP($A30,'Données projet'!$A$538:$I$558,7,0))</f>
        <v>0</v>
      </c>
      <c r="PI30" s="21" t="e">
        <f>EXP(-LN(2)/35)*PI29+(1-EXP(-LN(2)/35))/(LN(2)/35)*PE30*PF30*VLOOKUP('Données projet'!$B$28,Paramètres!$A$1:$I$89,3,0)*0.475*44/12</f>
        <v>#N/A</v>
      </c>
      <c r="PJ30" s="21" t="e">
        <f>EXP(-LN(2)/25)*PJ29+(1-EXP(-LN(2)/25))/(LN(2)/25)*Calculateur!PE30*Calculateur!PG30*VLOOKUP('Données projet'!$B$28,Paramètres!$A$1:$I$89,3,0)*0.475*44/12</f>
        <v>#N/A</v>
      </c>
      <c r="PK30" s="21" t="e">
        <f>EXP(-LN(2)/2)*PK29+(1-EXP(-LN(2)/2))/(LN(2)/2)*PE30*PH30*VLOOKUP('Données projet'!$B$28,Paramètres!$A$1:$I$89,3,0)*0.475*44/12</f>
        <v>#N/A</v>
      </c>
      <c r="PL30" s="22" t="e">
        <f t="shared" si="117"/>
        <v>#N/A</v>
      </c>
    </row>
    <row r="31" spans="1:428" x14ac:dyDescent="0.35">
      <c r="A31" s="10">
        <f t="shared" si="6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6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projet'!$A$45:$I$65,2,0)</f>
        <v>#N/A</v>
      </c>
      <c r="L31" s="12" t="e">
        <f>VLOOKUP(A31,'Données projet'!$A$45:$I$65,9,0)</f>
        <v>#N/A</v>
      </c>
      <c r="M31" s="12">
        <f t="array" ref="M31">INDEX(L:L,MIN(IF(ISNUMBER(L31:L227),ROW(L31:L227),"")))</f>
        <v>22.828205128205127</v>
      </c>
      <c r="N31" s="13">
        <f>IF('Données projet'!$A$46&gt;35,N30+M31-V30,IF(A31&lt;'Données projet'!$A$46,$K$205^A31,IF(A31='Données projet'!$A$46,'Données projet'!$B$46,N30+M31-V30)))</f>
        <v>286.21282051282037</v>
      </c>
      <c r="O31" s="13">
        <f>N31*VLOOKUP('Données projet'!$B$9,Paramètres!$A$1:$I$89,3,0)*VLOOKUP('Données projet'!$B$9,Paramètres!$A$1:$I$89,5,0)</f>
        <v>159.99296666666658</v>
      </c>
      <c r="P31" s="13">
        <f t="shared" si="63"/>
        <v>40.840929014671453</v>
      </c>
      <c r="Q31" s="20">
        <f t="shared" si="2"/>
        <v>349.785701644997</v>
      </c>
      <c r="R31" s="59">
        <f t="shared" si="0"/>
        <v>643.11903497833032</v>
      </c>
      <c r="S31" s="59">
        <f ca="1">AVERAGE(OFFSET($R$3,0,0,'Données projet'!$E$9+1,1))-AVERAGE(OFFSET($H$3,0,0,'Données projet'!$E$9+1,1))</f>
        <v>274.57619581652199</v>
      </c>
      <c r="T31" s="59">
        <f t="shared" si="64"/>
        <v>366.15117322598775</v>
      </c>
      <c r="U31" s="15">
        <f>IF(ISNA(VLOOKUP(A31,'Données projet'!$A$45:$I$65,3,0)),0,VLOOKUP(A31,'Données projet'!$A$45:$I$65,3,0))</f>
        <v>0</v>
      </c>
      <c r="V31" s="15">
        <f>IF(ISNA(VLOOKUP(A31,'Données projet'!$A$45:$I$65,4,0)),0,VLOOKUP(A31,'Données projet'!$A$45:$I$65,4,0))</f>
        <v>0</v>
      </c>
      <c r="W31" s="16">
        <f>IF(ISNA(VLOOKUP(A31,'Données projet'!$A$45:$I$65,5,0)),0%,VLOOKUP(A31,'Données projet'!$A$45:$I$65,5,0)*VLOOKUP('Données projet'!$B$9,Paramètres!$A$1:$I$89,7,0))</f>
        <v>0</v>
      </c>
      <c r="X31" s="16">
        <f>IF(ISNA(VLOOKUP(A31,'Données projet'!$A$45:$I$65,6,0)),0%,VLOOKUP(A31,'Données projet'!$A$45:$I$65,6,0)*VLOOKUP('Données projet'!$B$9,Paramètres!$A$1:$I$89,7,0))</f>
        <v>0</v>
      </c>
      <c r="Y31" s="16">
        <f>IF(ISNA(VLOOKUP(A31,'Données projet'!$A$45:$I$65,7,0)),0%,VLOOKUP(A31,'Données projet'!$A$45:$I$65,7,0))</f>
        <v>0</v>
      </c>
      <c r="Z31" s="21">
        <f>EXP(-LN(2)/35)*Z30+(1-EXP(-LN(2)/35))/(LN(2)/35)*V31*W31*VLOOKUP('Données projet'!$B$9,Paramètres!$A$1:$I$89,3,0)*0.475*44/12</f>
        <v>11.252110247156793</v>
      </c>
      <c r="AA31" s="21">
        <f>EXP(-LN(2)/25)*AA30+(1-EXP(-LN(2)/25))/(LN(2)/25)*Calculateur!V31*Calculateur!X31*VLOOKUP('Données projet'!$B$9,Paramètres!$A$1:$I$89,3,0)*0.475*44/12</f>
        <v>14.551421526127376</v>
      </c>
      <c r="AB31" s="21">
        <f>EXP(-LN(2)/2)*AB30+(1-EXP(-LN(2)/2))/(LN(2)/2)*V31*Y31*VLOOKUP('Données projet'!$B$9,Paramètres!$A$1:$I$89,3,0)*0.475*44/12</f>
        <v>1.4939989436668142</v>
      </c>
      <c r="AC31" s="22">
        <f t="shared" si="3"/>
        <v>27.297530716950984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projet'!$A$71:$I$91,2,0)</f>
        <v>#N/A</v>
      </c>
      <c r="AG31" s="12" t="e">
        <f>VLOOKUP(A31,'Données projet'!$A$71:$I$91,9,0)</f>
        <v>#N/A</v>
      </c>
      <c r="AH31" s="12">
        <f t="array" ref="AH31">INDEX(AG:AG,MIN(IF(ISNUMBER(AG31:AG227),ROW(AG31:AG227),"")))</f>
        <v>4.0628205128205126</v>
      </c>
      <c r="AI31" s="13">
        <f>IF('Données projet'!$A$72&gt;35,AI30+AH31-AQ30,IF(A31&lt;'Données projet'!$A$72,$AF$205^A31,IF(A31='Données projet'!$A$72,'Données projet'!$B$72,AI30+AH31-AQ30)))</f>
        <v>88.488255196060223</v>
      </c>
      <c r="AJ31" s="13">
        <f>AI31*VLOOKUP('Données projet'!$B$10,Paramètres!$A$1:$I$89,3,0)*VLOOKUP('Données projet'!$B$10,Paramètres!$A$1:$I$89,5,0)</f>
        <v>80.064173301395286</v>
      </c>
      <c r="AK31" s="13">
        <f t="shared" si="65"/>
        <v>22.15287410215139</v>
      </c>
      <c r="AL31" s="20">
        <f t="shared" si="4"/>
        <v>178.02802422784376</v>
      </c>
      <c r="AM31" s="59">
        <f t="shared" si="5"/>
        <v>471.3613575611771</v>
      </c>
      <c r="AN31" s="59">
        <f ca="1">AVERAGE(OFFSET($AM$3,0,0,'Données projet'!$E$10+1,1))-AVERAGE(OFFSET($H$3,0,0,'Données projet'!$E$10+1,1))</f>
        <v>270.87836509222456</v>
      </c>
      <c r="AO31" s="59">
        <f t="shared" si="66"/>
        <v>205.24998237949734</v>
      </c>
      <c r="AP31" s="15">
        <f>IF(ISNA(VLOOKUP(A31,'Données projet'!$A$71:$I$91,3,0)),0,VLOOKUP(A31,'Données projet'!$A$71:$I$91,3,0))</f>
        <v>0</v>
      </c>
      <c r="AQ31" s="15">
        <f>IF(ISNA(VLOOKUP(A31,'Données projet'!$A$71:$I$91,4,0)),0,VLOOKUP(A31,'Données projet'!$A$71:$I$91,4,0))</f>
        <v>0</v>
      </c>
      <c r="AR31" s="16">
        <f>IF(ISNA(VLOOKUP(A31,'Données projet'!$A$71:$I$91,5,0)),0%,VLOOKUP(A31,'Données projet'!$A$71:$I$91,5,0)*VLOOKUP('Données projet'!$B$10,Paramètres!$A$1:$I$89,7,0))</f>
        <v>0</v>
      </c>
      <c r="AS31" s="16">
        <f>IF(ISNA(VLOOKUP(A31,'Données projet'!$A$71:$I$91,6,0)),0%,VLOOKUP(A31,'Données projet'!$A$71:$I$91,6,0)*VLOOKUP('Données projet'!$B$10,Paramètres!$A$1:$I$89,7,0))</f>
        <v>0</v>
      </c>
      <c r="AT31" s="16">
        <f>IF(ISNA(VLOOKUP(A31,'Données projet'!$A$71:$I$91,7,0)),0%,VLOOKUP(A31,'Données projet'!$A$71:$I$91,7,0))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projet'!$A$97:$I$117,2,0)</f>
        <v>#N/A</v>
      </c>
      <c r="BB31" s="12" t="e">
        <f>VLOOKUP(A31,'Données projet'!$A$97:$I$117,9,0)</f>
        <v>#N/A</v>
      </c>
      <c r="BC31" s="12">
        <f t="array" ref="BC31">INDEX(BB:BB,MIN(IF(ISNUMBER(BB31:BB227),ROW(BB31:BB227),"")))</f>
        <v>22.828205128205127</v>
      </c>
      <c r="BD31" s="12">
        <f>IF('Données projet'!$A$98&gt;35,BD30+BC31-BL30,IF(A31&lt;'Données projet'!$A$98,$BA$205^A31,IF(A31='Données projet'!$A$98,'Données projet'!$B$98,BD30+BC31-BL30)))</f>
        <v>286.21282051282037</v>
      </c>
      <c r="BE31" s="13">
        <f>BD31*VLOOKUP('Données projet'!$B$11,Paramètres!$A$1:$I$89,3,0)*VLOOKUP('Données projet'!$B$11,Paramètres!$A$1:$I$89,5,0)</f>
        <v>126.50606666666661</v>
      </c>
      <c r="BF31" s="13">
        <f t="shared" si="67"/>
        <v>33.187738254760546</v>
      </c>
      <c r="BG31" s="20">
        <f t="shared" si="7"/>
        <v>278.13337690481899</v>
      </c>
      <c r="BH31" s="59">
        <f t="shared" si="8"/>
        <v>571.46671023815225</v>
      </c>
      <c r="BI31" s="59">
        <f ca="1">AVERAGE(OFFSET($BH$3,0,0,'Données projet'!$E$11+1,1))-AVERAGE(OFFSET($H$3,0,0,'Données projet'!$E$11+1,1))</f>
        <v>211.31057120485542</v>
      </c>
      <c r="BJ31" s="59">
        <f t="shared" si="68"/>
        <v>283.33292006714777</v>
      </c>
      <c r="BK31" s="15">
        <f>IF(ISNA(VLOOKUP(A31,'Données projet'!$A$97:$I$117,3,0)),0,VLOOKUP(A31,'Données projet'!$A$97:$I$117,3,0))</f>
        <v>0</v>
      </c>
      <c r="BL31" s="15">
        <f>IF(ISNA(VLOOKUP(A31,'Données projet'!$A$97:$I$117,4,0)),0,VLOOKUP(A31,'Données projet'!$A$97:$I$117,4,0))</f>
        <v>0</v>
      </c>
      <c r="BM31" s="16">
        <f>IF(ISNA(VLOOKUP(A31,'Données projet'!$A$97:$I$117,5,0)),0%,VLOOKUP(A31,'Données projet'!$A$97:$I$117,5,0)*VLOOKUP('Données projet'!$B$11,Paramètres!$A$1:$I$89,7,0))</f>
        <v>0</v>
      </c>
      <c r="BN31" s="16">
        <f>IF(ISNA(VLOOKUP(A31,'Données projet'!$A$97:$I$117,6,0)),0%,VLOOKUP(A31,'Données projet'!$A$97:$I$117,6,0)*VLOOKUP('Données projet'!$B$11,Paramètres!$A$1:$I$89,7,0))</f>
        <v>0</v>
      </c>
      <c r="BO31" s="16">
        <f>IF(ISNA(VLOOKUP(A31,'Données projet'!$A$97:$I$117,7,0)),0%,VLOOKUP(A31,'Données projet'!$A$97:$I$117,7,0))</f>
        <v>0</v>
      </c>
      <c r="BP31" s="21">
        <f>EXP(-LN(2)/35)*BP30+(1-EXP(-LN(2)/35))/(LN(2)/35)*BL31*BM31*VLOOKUP('Données projet'!$B$11,Paramètres!$A$1:$I$89,3,0)*0.475*44/12</f>
        <v>8.8970174047286275</v>
      </c>
      <c r="BQ31" s="21">
        <f>EXP(-LN(2)/25)*BQ30+(1-EXP(-LN(2)/25))/(LN(2)/25)*Calculateur!BL31*Calculateur!BN31*VLOOKUP('Données projet'!$B$11,Paramètres!$A$1:$I$89,3,0)*0.475*44/12</f>
        <v>11.505775160193741</v>
      </c>
      <c r="BR31" s="21">
        <f>EXP(-LN(2)/2)*BR30+(1-EXP(-LN(2)/2))/(LN(2)/2)*BL31*BO31*VLOOKUP('Données projet'!$B$11,Paramètres!$A$1:$I$89,3,0)*0.475*44/12</f>
        <v>1.1813014903412022</v>
      </c>
      <c r="BS31" s="22">
        <f t="shared" si="9"/>
        <v>21.58409405526357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projet'!$A$123:$I$143,2,0)</f>
        <v>#N/A</v>
      </c>
      <c r="BW31" s="12" t="e">
        <f>VLOOKUP(A31,'Données projet'!$A$123:$I$143,9,0)</f>
        <v>#N/A</v>
      </c>
      <c r="BX31" s="12">
        <f t="array" ref="BX31">INDEX(BW:BW,MIN(IF(ISNUMBER(BW31:BW227),ROW(BW31:BW227),"")))</f>
        <v>9.8000000000000007</v>
      </c>
      <c r="BY31" s="12">
        <f>IF('Données projet'!$A$124&gt;35,BY30+BX31-CG30,IF(A31&lt;'Données projet'!$A$124,$BV$205^A31,IF(A31='Données projet'!$A$124,'Données projet'!$B$124,BY30+BX31-CG30)))</f>
        <v>129.4</v>
      </c>
      <c r="BZ31" s="13">
        <f>BY31*VLOOKUP('Données projet'!$B$12,Paramètres!$A$1:$I$89,3,0)*VLOOKUP('Données projet'!$B$12,Paramètres!$A$1:$I$89,5,0)</f>
        <v>135.24888000000001</v>
      </c>
      <c r="CA31" s="13">
        <f t="shared" si="69"/>
        <v>35.206413236083414</v>
      </c>
      <c r="CB31" s="20">
        <f t="shared" si="10"/>
        <v>296.87630238617862</v>
      </c>
      <c r="CC31" s="59">
        <f t="shared" si="11"/>
        <v>590.20963571951188</v>
      </c>
      <c r="CD31" s="59">
        <f ca="1">AVERAGE(OFFSET($CC$3,0,0,'Données projet'!$E$12+1,1))-AVERAGE(OFFSET($H$3,0,0,'Données projet'!$E$12+1,1))</f>
        <v>322.93502595881938</v>
      </c>
      <c r="CE31" s="59">
        <f t="shared" si="70"/>
        <v>302.67072119588164</v>
      </c>
      <c r="CF31" s="15">
        <f>IF(ISNA(VLOOKUP(A31,'Données projet'!$A$123:$I$143,3,0)),0,VLOOKUP(A31,'Données projet'!$A$123:$I$143,3,0))</f>
        <v>0</v>
      </c>
      <c r="CG31" s="15">
        <f>IF(ISNA(VLOOKUP(A31,'Données projet'!$A$123:$I$143,4,0)),0,VLOOKUP(A31,'Données projet'!$A$123:$I$143,4,0))</f>
        <v>0</v>
      </c>
      <c r="CH31" s="16">
        <f>IF(ISNA(VLOOKUP(A31,'Données projet'!$A$123:$I$143,5,0)),0%,VLOOKUP(A31,'Données projet'!$A$123:$I$143,5,0)*VLOOKUP('Données projet'!$B$12,Paramètres!$A$1:$I$89,7,0))</f>
        <v>0</v>
      </c>
      <c r="CI31" s="16">
        <f>IF(ISNA(VLOOKUP(A31,'Données projet'!$A$123:$I$143,6,0)),0%,VLOOKUP(A31,'Données projet'!$A$123:$I$143,6,0)*VLOOKUP('Données projet'!$B$12,Paramètres!$A$1:$I$89,7,0))</f>
        <v>0</v>
      </c>
      <c r="CJ31" s="16">
        <f>IF(ISNA(VLOOKUP(A31,'Données projet'!$A$123:$I$143,7,0)),0%,VLOOKUP(A31,'Données projet'!$A$123:$I$143,7,0))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projet'!$A$149:$I$169,2,0)</f>
        <v>#N/A</v>
      </c>
      <c r="CR31" s="12" t="e">
        <f>VLOOKUP(A31,'Données projet'!$A$149:$I$169,9,0)</f>
        <v>#N/A</v>
      </c>
      <c r="CS31" s="12">
        <f t="array" ref="CS31">INDEX(CR:CR,MIN(IF(ISNUMBER(CR31:CR227),ROW(CR31:CR227),"")))</f>
        <v>2.9235042735042733</v>
      </c>
      <c r="CT31" s="12">
        <f>IF('Données projet'!$A$150&gt;35,CT30+CS31-DB30,IF(A31&lt;'Données projet'!$A$150,$CQ$205^A31,IF(A31='Données projet'!$A$150,'Données projet'!$B$150,CT30+CS31-DB30)))</f>
        <v>65.086360682202411</v>
      </c>
      <c r="CU31" s="17">
        <f>CT31*VLOOKUP('Données projet'!$B$13,Paramètres!$A$1:$I$89,3,0)*VLOOKUP('Données projet'!$B$13,Paramètres!$A$1:$I$89,5,0)</f>
        <v>65.997569731753245</v>
      </c>
      <c r="CV31" s="13">
        <f t="shared" si="71"/>
        <v>18.67613290281286</v>
      </c>
      <c r="CW31" s="20">
        <f t="shared" si="13"/>
        <v>147.47336542186929</v>
      </c>
      <c r="CX31" s="59">
        <f t="shared" si="14"/>
        <v>440.8066987552026</v>
      </c>
      <c r="CY31" s="59">
        <f ca="1">AVERAGE(OFFSET($CX$3,0,0,'Données projet'!$E$13+1,1))-AVERAGE(OFFSET($H$3,0,0,'Données projet'!$E$13+1,1))</f>
        <v>250.31277422753283</v>
      </c>
      <c r="CZ31" s="59">
        <f t="shared" si="72"/>
        <v>159.20429420478047</v>
      </c>
      <c r="DA31" s="15">
        <f>IF(ISNA(VLOOKUP(A31,'Données projet'!$A$149:$I$169,3,0)),0,VLOOKUP(A31,'Données projet'!$A$149:$I$169,3,0))</f>
        <v>0</v>
      </c>
      <c r="DB31" s="15">
        <f>IF(ISNA(VLOOKUP(A31,'Données projet'!$A$149:$I$169,4,0)),0,VLOOKUP(A31,'Données projet'!$A$149:$I$169,4,0))</f>
        <v>0</v>
      </c>
      <c r="DC31" s="16">
        <f>IF(ISNA(VLOOKUP(A31,'Données projet'!$A$149:$I$169,5,0)),0%,VLOOKUP(A31,'Données projet'!$A$149:$I$169,5,0)*VLOOKUP('Données projet'!$B$13,Paramètres!$A$1:$I$89,7,0))</f>
        <v>0</v>
      </c>
      <c r="DD31" s="16">
        <f>IF(ISNA(VLOOKUP(A31,'Données projet'!$A$149:$I$169,6,0)),0%,VLOOKUP(A31,'Données projet'!$A$149:$I$169,6,0)*VLOOKUP('Données projet'!$B$13,Paramètres!$A$1:$I$89,7,0))</f>
        <v>0</v>
      </c>
      <c r="DE31" s="16">
        <f>IF(ISNA(VLOOKUP(A31,'Données projet'!$A$149:$I$169,7,0)),0%,VLOOKUP(A31,'Données projet'!$A$149:$I$169,7,0))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projet'!$A$175:$I$195,2,0)</f>
        <v>#N/A</v>
      </c>
      <c r="DM31" s="12" t="e">
        <f>VLOOKUP(A31,'Données projet'!$A$175:$I$195,9,0)</f>
        <v>#N/A</v>
      </c>
      <c r="DN31" s="12">
        <f t="array" ref="DN31">INDEX(DM:DM,MIN(IF(ISNUMBER(DM31:DM227),ROW(DM31:DM227),"")))</f>
        <v>16.399999999999999</v>
      </c>
      <c r="DO31" s="12">
        <f>IF('Données projet'!$A$176&gt;35,DO30+DN31-DW30,IF(A31&lt;'Données projet'!$A$176,$DL$205^A31,IF(A31='Données projet'!$A$176,'Données projet'!$B$176,DO30+DN31-DW30)))</f>
        <v>172.20000000000005</v>
      </c>
      <c r="DP31" s="17">
        <f>DO31*VLOOKUP('Données projet'!$B$14,Paramètres!$A$1:$I$89,3,0)*VLOOKUP('Données projet'!$B$14,Paramètres!$A$1:$I$89,5,0)</f>
        <v>126.25704000000002</v>
      </c>
      <c r="DQ31" s="13">
        <f t="shared" si="73"/>
        <v>33.130006114881255</v>
      </c>
      <c r="DR31" s="20">
        <f t="shared" si="16"/>
        <v>277.59910531675155</v>
      </c>
      <c r="DS31" s="59">
        <f t="shared" si="17"/>
        <v>570.9324386500848</v>
      </c>
      <c r="DT31" s="59">
        <f ca="1">AVERAGE(OFFSET($DS$3,0,0,'Données projet'!$E$14+1,1))-AVERAGE(OFFSET($H$3,0,0,'Données projet'!$E$14+1,1))</f>
        <v>296.91321813251051</v>
      </c>
      <c r="DU31" s="59">
        <f t="shared" si="74"/>
        <v>291.0718079639509</v>
      </c>
      <c r="DV31" s="15">
        <f>IF(ISNA(VLOOKUP(A31,'Données projet'!$A$175:$I$195,3,0)),0,VLOOKUP(A31,'Données projet'!$A$175:$I$195,3,0))</f>
        <v>0</v>
      </c>
      <c r="DW31" s="15">
        <f>IF(ISNA(VLOOKUP(A31,'Données projet'!$A$175:$I$195,4,0)),0,VLOOKUP(A31,'Données projet'!$A$175:$I$195,4,0))</f>
        <v>0</v>
      </c>
      <c r="DX31" s="16">
        <f>IF(ISNA(VLOOKUP(A31,'Données projet'!$A$175:$I$195,5,0)),0%,VLOOKUP(A31,'Données projet'!$A$175:$I$195,5,0)*VLOOKUP('Données projet'!$B$14,Paramètres!$A$1:$I$89,7,0))</f>
        <v>0</v>
      </c>
      <c r="DY31" s="16">
        <f>IF(ISNA(VLOOKUP(A31,'Données projet'!$A$175:$I$195,6,0)),0%,VLOOKUP(A31,'Données projet'!$A$175:$I$195,6,0)*VLOOKUP('Données projet'!$B$14,Paramètres!$A$1:$I$89,7,0))</f>
        <v>0</v>
      </c>
      <c r="DZ31" s="16">
        <f>IF(ISNA(VLOOKUP(A31,'Données projet'!$A$175:$I$195,7,0)),0%,VLOOKUP(A31,'Données projet'!$A$175:$I$195,7,0))</f>
        <v>0</v>
      </c>
      <c r="EA31" s="21">
        <f>EXP(-LN(2)/35)*EA30+(1-EXP(-LN(2)/35))/(LN(2)/35)*DW31*DX31*VLOOKUP('Données projet'!$B$14,Paramètres!$A$1:$I$89,3,0)*0.475*44/12</f>
        <v>1.9311356322251603</v>
      </c>
      <c r="EB31" s="21">
        <f>EXP(-LN(2)/25)*EB30+(1-EXP(-LN(2)/25))/(LN(2)/25)*Calculateur!DW31*Calculateur!DY31*VLOOKUP('Données projet'!$B$14,Paramètres!$A$1:$I$89,3,0)*0.475*44/12</f>
        <v>7.1708476020354857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9.1019832342606453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projet'!$A$201:$I$221,2,0)</f>
        <v>#N/A</v>
      </c>
      <c r="EH31" s="12" t="e">
        <f>VLOOKUP(A31,'Données projet'!$A$201:$I$221,9,0)</f>
        <v>#N/A</v>
      </c>
      <c r="EI31" s="12">
        <f t="array" ref="EI31">INDEX(EH:EH,MIN(IF(ISNUMBER(EH31:EH227),ROW(EH31:EH227),"")))</f>
        <v>3.4425641025641025</v>
      </c>
      <c r="EJ31" s="12">
        <f>IF('Données projet'!$A$202&gt;35,EJ30+EI31-ER30,IF(A31&lt;'Données projet'!$A$202,$EG$205^A31,IF(A31='Données projet'!$A$202,'Données projet'!$B$202,EJ30+EI31-ER30)))</f>
        <v>75.81172952673181</v>
      </c>
      <c r="EK31" s="17">
        <f>EJ31*VLOOKUP('Données projet'!$B$15,Paramètres!$A$1:$I$89,3,0)*VLOOKUP('Données projet'!$B$15,Paramètres!$A$1:$I$89,5,0)</f>
        <v>35.479889418510488</v>
      </c>
      <c r="EL31" s="13">
        <f t="shared" si="75"/>
        <v>10.7923591061602</v>
      </c>
      <c r="EM31" s="20">
        <f t="shared" si="19"/>
        <v>80.590832847134777</v>
      </c>
      <c r="EN31" s="59">
        <f t="shared" si="20"/>
        <v>373.92416618046809</v>
      </c>
      <c r="EO31" s="59">
        <f ca="1">AVERAGE(OFFSET($EN$3,0,0,'Données projet'!$E$15+1,1))-AVERAGE(OFFSET($H$3,0,0,'Données projet'!$E$15+1,1))</f>
        <v>147.64256291235483</v>
      </c>
      <c r="EP31" s="59">
        <f t="shared" si="76"/>
        <v>70.859031694091868</v>
      </c>
      <c r="EQ31" s="15">
        <f>IF(ISNA(VLOOKUP(A31,'Données projet'!$A$201:$I$221,3,0)),0,VLOOKUP(A31,'Données projet'!$A$201:$I$221,3,0))</f>
        <v>0</v>
      </c>
      <c r="ER31" s="15">
        <f>IF(ISNA(VLOOKUP(A31,'Données projet'!$A$201:$I$221,4,0)),0,VLOOKUP(A31,'Données projet'!$A$201:$I$221,4,0))</f>
        <v>0</v>
      </c>
      <c r="ES31" s="16">
        <f>IF(ISNA(VLOOKUP(A31,'Données projet'!$A$201:$I$221,5,0)),0%,VLOOKUP(A31,'Données projet'!$A$201:$I$221,5,0)*VLOOKUP('Données projet'!$B$15,Paramètres!$A$1:$I$89,7,0))</f>
        <v>0</v>
      </c>
      <c r="ET31" s="16">
        <f>IF(ISNA(VLOOKUP(A31,'Données projet'!$A$201:$I$221,6,0)),0%,VLOOKUP(A31,'Données projet'!$A$201:$I$221,6,0)*VLOOKUP('Données projet'!$B$15,Paramètres!$A$1:$I$89,7,0))</f>
        <v>0</v>
      </c>
      <c r="EU31" s="16">
        <f>IF(ISNA(VLOOKUP(A31,'Données projet'!$A$201:$I$221,7,0)),0%,VLOOKUP(A31,'Données projet'!$A$201:$I$221,7,0))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projet'!$A$227:$I$247,2,0)</f>
        <v>#N/A</v>
      </c>
      <c r="FC31" s="12" t="e">
        <f>VLOOKUP(A31,'Données projet'!$A$227:$I$247,9,0)</f>
        <v>#N/A</v>
      </c>
      <c r="FD31" s="12">
        <f t="array" ref="FD31">INDEX(FC:FC,MIN(IF(ISNUMBER(FC31:FC227),ROW(FC31:FC227),"")))</f>
        <v>8</v>
      </c>
      <c r="FE31" s="12">
        <f>IF('Données projet'!$A$228&gt;35,FE30+FD31-FM30,IF(A31&lt;'Données projet'!$A$228,$FB$205^A31,IF(A31='Données projet'!$A$228,'Données projet'!$B$228,FE30+FD31-FM30)))</f>
        <v>103</v>
      </c>
      <c r="FF31" s="17">
        <f>FE31*VLOOKUP('Données projet'!$B$16,Paramètres!$A$1:$I$89,3,0)*VLOOKUP('Données projet'!$B$16,Paramètres!$A$1:$I$89,5,0)</f>
        <v>107.65560000000001</v>
      </c>
      <c r="FG31" s="13">
        <f t="shared" si="77"/>
        <v>28.777935004381202</v>
      </c>
      <c r="FH31" s="20">
        <f t="shared" si="22"/>
        <v>237.62174013263061</v>
      </c>
      <c r="FI31" s="59">
        <f t="shared" si="23"/>
        <v>530.95507346596389</v>
      </c>
      <c r="FJ31" s="59">
        <f ca="1">AVERAGE(OFFSET($FI$3,0,0,'Données projet'!$E$16+1,1))-AVERAGE(OFFSET($H$3,0,0,'Données projet'!$E$16+1,1))</f>
        <v>259.03906550253788</v>
      </c>
      <c r="FK31" s="59">
        <f t="shared" si="78"/>
        <v>235.54542903570831</v>
      </c>
      <c r="FL31" s="15">
        <f>IF(ISNA(VLOOKUP(A31,'Données projet'!$A$227:$I$247,3,0)),0,VLOOKUP(A31,'Données projet'!$A$227:$I$247,3,0))</f>
        <v>0</v>
      </c>
      <c r="FM31" s="15">
        <f>IF(ISNA(VLOOKUP(A31,'Données projet'!$A$227:$I$247,4,0)),0,VLOOKUP(A31,'Données projet'!$A$227:$I$247,4,0))</f>
        <v>0</v>
      </c>
      <c r="FN31" s="16">
        <f>IF(ISNA(VLOOKUP(A31,'Données projet'!$A$227:$I$247,5,0)),0%,VLOOKUP(A31,'Données projet'!$A$227:$I$247,5,0)*VLOOKUP('Données projet'!$B$16,Paramètres!$A$1:$I$89,7,0))</f>
        <v>0</v>
      </c>
      <c r="FO31" s="16">
        <f>IF(ISNA(VLOOKUP(A31,'Données projet'!$A$227:$I$247,6,0)),0%,VLOOKUP(A31,'Données projet'!$A$227:$I$247,6,0)*VLOOKUP('Données projet'!$B$16,Paramètres!$A$1:$I$89,7,0))</f>
        <v>0</v>
      </c>
      <c r="FP31" s="16">
        <f>IF(ISNA(VLOOKUP(A31,'Données projet'!$A$227:$I$247,7,0)),0%,VLOOKUP(A31,'Données projet'!$A$227:$I$247,7,0))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projet'!$A$253:$I$273,2,0)</f>
        <v>#N/A</v>
      </c>
      <c r="FX31" s="12" t="e">
        <f>VLOOKUP(A31,'Données projet'!$A$253:$I$273,9,0)</f>
        <v>#N/A</v>
      </c>
      <c r="FY31" s="12">
        <f t="array" ref="FY31">INDEX(FX:FX,MIN(IF(ISNUMBER(FX31:FX227),ROW(FX31:FX227),"")))</f>
        <v>11.8</v>
      </c>
      <c r="FZ31" s="12">
        <f>IF('Données projet'!$A$254&gt;35,FZ30+FY31-GH30,IF(A31&lt;'Données projet'!$A$254,$FW$205^A31,IF(A31='Données projet'!$A$254,'Données projet'!$B$254,FZ30+FY31-GH30)))</f>
        <v>122.39999999999996</v>
      </c>
      <c r="GA31" s="17">
        <f>FZ31*VLOOKUP('Données projet'!$B$17,Paramètres!$A$1:$I$89,3,0)*VLOOKUP('Données projet'!$B$17,Paramètres!$A$1:$I$89,5,0)</f>
        <v>106.92863999999997</v>
      </c>
      <c r="GB31" s="13">
        <f t="shared" si="79"/>
        <v>28.606159868782917</v>
      </c>
      <c r="GC31" s="20">
        <f t="shared" si="25"/>
        <v>236.05644310479684</v>
      </c>
      <c r="GD31" s="59">
        <f t="shared" si="26"/>
        <v>529.38977643813018</v>
      </c>
      <c r="GE31" s="59">
        <f ca="1">AVERAGE(OFFSET($GD$3,0,0,'Données projet'!$E$17+1,1))-AVERAGE(OFFSET($H$3,0,0,'Données projet'!$E$17+1,1))</f>
        <v>245.1983232777614</v>
      </c>
      <c r="GF31" s="59">
        <f t="shared" si="80"/>
        <v>242.34010522344573</v>
      </c>
      <c r="GG31" s="15">
        <f>IF(ISNA(VLOOKUP(A31,'Données projet'!$A$253:$I$273,3,0)),0,VLOOKUP(A31,'Données projet'!$A$253:$I$273,3,0))</f>
        <v>0</v>
      </c>
      <c r="GH31" s="15">
        <f>IF(ISNA(VLOOKUP(A31,'Données projet'!$A$253:$I$273,4,0)),0,VLOOKUP(A31,'Données projet'!$A$253:$I$273,4,0))</f>
        <v>0</v>
      </c>
      <c r="GI31" s="16">
        <f>IF(ISNA(VLOOKUP(A31,'Données projet'!$A$253:$I$273,5,0)),0%,VLOOKUP(A31,'Données projet'!$A$253:$I$273,5,0)*VLOOKUP('Données projet'!$B$17,Paramètres!$A$1:$I$89,7,0))</f>
        <v>0</v>
      </c>
      <c r="GJ31" s="16">
        <f>IF(ISNA(VLOOKUP(A31,'Données projet'!$A$253:$I$273,6,0)),0%,VLOOKUP(A31,'Données projet'!$A$253:$I$273,6,0)*VLOOKUP('Données projet'!$B$17,Paramètres!$A$1:$I$89,7,0))</f>
        <v>0</v>
      </c>
      <c r="GK31" s="16">
        <f>IF(ISNA(VLOOKUP(A31,'Données projet'!$A$253:$I$273,7,0)),0%,VLOOKUP(A31,'Données projet'!$A$253:$I$273,7,0))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0.74601456234072216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0.74601456234072216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projet'!$A$279:$I$299,2,0)</f>
        <v>#N/A</v>
      </c>
      <c r="GS31" s="12" t="e">
        <f>VLOOKUP(A31,'Données projet'!$A$279:$I$299,9,0)</f>
        <v>#N/A</v>
      </c>
      <c r="GT31" s="12">
        <f t="array" ref="GT31">INDEX(GS:GS,MIN(IF(ISNUMBER(GS31:GS227),ROW(GS31:GS227),"")))</f>
        <v>21.6</v>
      </c>
      <c r="GU31" s="12">
        <f>IF('Données projet'!$A$280&gt;35,GU30+GT31-HC30,IF(A31&lt;'Données projet'!$A$280,$GR$205^A31,IF(A31='Données projet'!$A$280,'Données projet'!$B$280,GU30+GT31-HC30)))</f>
        <v>299.80000000000007</v>
      </c>
      <c r="GV31" s="17">
        <f>GU31*VLOOKUP('Données projet'!$B$18,Paramètres!$A$1:$I$89,3,0)*VLOOKUP('Données projet'!$B$18,Paramètres!$A$1:$I$89,5,0)</f>
        <v>120.81940000000003</v>
      </c>
      <c r="GW31" s="13">
        <f t="shared" si="81"/>
        <v>31.866035130877169</v>
      </c>
      <c r="GX31" s="20">
        <f t="shared" si="28"/>
        <v>265.92713285294445</v>
      </c>
      <c r="GY31" s="59">
        <f t="shared" si="29"/>
        <v>559.26046618627777</v>
      </c>
      <c r="GZ31" s="59">
        <f ca="1">AVERAGE(OFFSET($GY$3,0,0,'Données projet'!$E$18+1,1))-AVERAGE(OFFSET($H$3,0,0,'Données projet'!$E$18+1,1))</f>
        <v>324.36162935850876</v>
      </c>
      <c r="HA31" s="59">
        <f t="shared" si="82"/>
        <v>265.23571072429735</v>
      </c>
      <c r="HB31" s="15">
        <f>IF(ISNA(VLOOKUP(A31,'Données projet'!$A$279:$I$299,3,0)),0,VLOOKUP(A31,'Données projet'!$A$279:$I$299,3,0))</f>
        <v>0</v>
      </c>
      <c r="HC31" s="15">
        <f>IF(ISNA(VLOOKUP(A31,'Données projet'!$A$279:$I$299,4,0)),0,VLOOKUP(A31,'Données projet'!$A$279:$I$299,4,0))</f>
        <v>0</v>
      </c>
      <c r="HD31" s="16">
        <f>IF(ISNA(VLOOKUP(A31,'Données projet'!$A$279:$I$299,5,0)),0%,VLOOKUP(A31,'Données projet'!$A$279:$I$299,5,0)*VLOOKUP('Données projet'!$B$18,Paramètres!$A$1:$I$89,7,0))</f>
        <v>0</v>
      </c>
      <c r="HE31" s="16">
        <f>IF(ISNA(VLOOKUP(A31,'Données projet'!$A$279:$I$299,6,0)),0%,VLOOKUP(A31,'Données projet'!$A$279:$I$299,6,0)*VLOOKUP('Données projet'!$B$18,Paramètres!$A$1:$I$89,7,0))</f>
        <v>0</v>
      </c>
      <c r="HF31" s="16">
        <f>IF(ISNA(VLOOKUP($A31,'Données projet'!$A$279:$I$299,7,0)),0%,VLOOKUP($A31,'Données projet'!$A$279:$I$299,7,0))</f>
        <v>0</v>
      </c>
      <c r="HG31" s="21">
        <f>EXP(-LN(2)/35)*HG30+(1-EXP(-LN(2)/35))/(LN(2)/35)*HC31*HD31*VLOOKUP('Données projet'!$B$18,Paramètres!$A$1:$I$89,3,0)*0.475*44/12</f>
        <v>0</v>
      </c>
      <c r="HH31" s="21">
        <f>EXP(-LN(2)/25)*HH30+(1-EXP(-LN(2)/25))/(LN(2)/25)*Calculateur!HC31*Calculateur!HE31*VLOOKUP('Données projet'!$B$18,Paramètres!$A$1:$I$89,3,0)*0.475*44/12</f>
        <v>0.96250573407134465</v>
      </c>
      <c r="HI31" s="21">
        <f>EXP(-LN(2)/2)*HI30+(1-EXP(-LN(2)/2))/(LN(2)/2)*HC31*HF31*VLOOKUP('Données projet'!$B$18,Paramètres!$A$1:$I$89,3,0)*0.475*44/12</f>
        <v>3.0602345532113411</v>
      </c>
      <c r="HJ31" s="22">
        <f t="shared" si="30"/>
        <v>4.0227402872826854</v>
      </c>
      <c r="HK31" s="74">
        <f>('Scénario référence'!$F$8+'Scénario référence'!$F$9+'Scénario référence'!$B$17+'Scénario référence'!$B$9+'Scénario référence'!$B$10)*70+IF((45+25*(1-EXP(-0.0175*$A31)))&lt;70,'Scénario référence'!$B$16*(45+25*(1-EXP(-0.0175*$A31))),70*'Scénario référence'!$B$16)+IF((32+38*(1-EXP(-0.0175*$A31)))&lt;70,'Scénario référence'!$B$18*(32+38*(1-EXP(-0.0175*$A31))),70*'Scénario référence'!$B$18)</f>
        <v>70</v>
      </c>
      <c r="HL31" s="12">
        <f>IF($A31&gt;30,10,('Scénario référence'!$B$16+'Scénario référence'!$B$17+'Scénario référence'!$B$18+'Scénario référence'!$B$9+'Scénario référence'!$B$10)*$A31*10/30+('Scénario référence'!$F$8+'Scénario référence'!$F$9)*10)</f>
        <v>10</v>
      </c>
      <c r="HM31" s="12" t="e">
        <f>VLOOKUP($A31,'Données projet'!$A$304:$I$324,2,0)</f>
        <v>#N/A</v>
      </c>
      <c r="HN31" s="12" t="e">
        <f>VLOOKUP($A31,'Données projet'!$A$304:$I$324,9,0)</f>
        <v>#N/A</v>
      </c>
      <c r="HO31" s="12">
        <f t="array" ref="HO31">INDEX(HN:HN,MIN(IF(ISNUMBER(HN31:HN227),ROW(HN31:HN227),"")))</f>
        <v>0</v>
      </c>
      <c r="HP31" s="12">
        <f>IF('Données projet'!$A$304&gt;35,HP30+HO31-HX30,IF($A31&lt;'Données projet'!$A$304,$CQ$205^$A31,IF($A31='Données projet'!$A$304,'Données projet'!$B$304,HP30+HO31-HX30)))</f>
        <v>0</v>
      </c>
      <c r="HQ31" s="17">
        <f>HP31*VLOOKUP('Données projet'!$B$19,Paramètres!$A$1:$I$89,3,0)*VLOOKUP('Données projet'!$B$19,Paramètres!$A$1:$I$89,5,0)</f>
        <v>0</v>
      </c>
      <c r="HR31" s="13" t="e">
        <f t="shared" si="83"/>
        <v>#NUM!</v>
      </c>
      <c r="HS31" s="14" t="e">
        <f t="shared" si="31"/>
        <v>#NUM!</v>
      </c>
      <c r="HT31" s="59" t="e">
        <f t="shared" si="32"/>
        <v>#NUM!</v>
      </c>
      <c r="HU31" s="59">
        <f ca="1">AVERAGE(OFFSET(HT$3,0,0,'Données projet'!$E$19+1,1))-AVERAGE(OFFSET($H$3,0,0,'Données projet'!$E$19+1,1))</f>
        <v>91.60721429656013</v>
      </c>
      <c r="HV31" s="59">
        <f t="shared" si="84"/>
        <v>258.94957804210856</v>
      </c>
      <c r="HW31" s="15">
        <f>IF(ISNA(VLOOKUP($A31,'Données projet'!$A$304:$I$324,3,0)),0,VLOOKUP($A31,'Données projet'!$A$304:$I$324,3,0))</f>
        <v>0</v>
      </c>
      <c r="HX31" s="15">
        <f>IF(ISNA(VLOOKUP($A31,'Données projet'!$A$304:$I$324,4,0)),0,VLOOKUP($A31,'Données projet'!$A$304:$I$324,4,0))</f>
        <v>0</v>
      </c>
      <c r="HY31" s="16">
        <f>IF(ISNA(VLOOKUP($A31,'Données projet'!$A$304:$I$324,5,0)),0%,VLOOKUP($A31,'Données projet'!$A$304:$I$324,5,0)*VLOOKUP('Données projet'!$B$19,Paramètres!$A$1:$I$89,7,0))</f>
        <v>0</v>
      </c>
      <c r="HZ31" s="16">
        <f>IF(ISNA(VLOOKUP($A31,'Données projet'!$A$304:$I$324,6,0)),0%,VLOOKUP($A31,'Données projet'!$A$304:$I$324,6,0)*VLOOKUP('Données projet'!$B$19,Paramètres!$A$1:$I$89,7,0))</f>
        <v>0</v>
      </c>
      <c r="IA31" s="16">
        <f>IF(ISNA(VLOOKUP($A31,'Données projet'!$A$304:$I$324,7,0)),0%,VLOOKUP($A31,'Données projet'!$A$304:$I$324,7,0))</f>
        <v>0</v>
      </c>
      <c r="IB31" s="21">
        <f>EXP(-LN(2)/35)*IB30+(1-EXP(-LN(2)/35))/(LN(2)/35)*HX31*HY31*VLOOKUP('Données projet'!$B$19,Paramètres!$A$1:$I$89,3,0)*0.475*44/12</f>
        <v>51.325907954073053</v>
      </c>
      <c r="IC31" s="21">
        <f>EXP(-LN(2)/25)*IC30+(1-EXP(-LN(2)/25))/(LN(2)/25)*Calculateur!HX31*Calculateur!HZ31*VLOOKUP('Données projet'!$B$19,Paramètres!$A$1:$I$89,3,0)*0.475*44/12</f>
        <v>10.282382590330052</v>
      </c>
      <c r="ID31" s="21">
        <f>EXP(-LN(2)/2)*ID30+(1-EXP(-LN(2)/2))/(LN(2)/2)*HX31*IA31*VLOOKUP('Données projet'!$B$19,Paramètres!$A$1:$I$89,3,0)*0.475*44/12</f>
        <v>1.1457046234879551</v>
      </c>
      <c r="IE31" s="22">
        <f t="shared" si="33"/>
        <v>62.753995167891063</v>
      </c>
      <c r="IF31" s="74">
        <f>('Scénario référence'!$F$8+'Scénario référence'!$F$9+'Scénario référence'!$B$17+'Scénario référence'!$B$9+'Scénario référence'!$B$10)*70+IF((45+25*(1-EXP(-0.0175*$A31)))&lt;70,'Scénario référence'!$B$16*(45+25*(1-EXP(-0.0175*$A31))),70*'Scénario référence'!$B$16)+IF((32+38*(1-EXP(-0.0175*$A31)))&lt;70,'Scénario référence'!$B$18*(32+38*(1-EXP(-0.0175*$A31))),70*'Scénario référence'!$B$18)</f>
        <v>70</v>
      </c>
      <c r="IG31" s="12">
        <f>IF($A31&gt;30,10,('Scénario référence'!$B$16+'Scénario référence'!$B$17+'Scénario référence'!$B$18+'Scénario référence'!$B$9+'Scénario référence'!$B$10)*$A31*10/30+('Scénario référence'!$F$8+'Scénario référence'!$F$9)*10)</f>
        <v>10</v>
      </c>
      <c r="IH31" s="12" t="e">
        <f>VLOOKUP($A31,'Données projet'!$A$330:$I$350,2,0)</f>
        <v>#N/A</v>
      </c>
      <c r="II31" s="12" t="e">
        <f>VLOOKUP($A31,'Données projet'!$A$330:$I$350,9,0)</f>
        <v>#N/A</v>
      </c>
      <c r="IJ31" s="12">
        <f t="array" ref="IJ31">INDEX(II:II,MIN(IF(ISNUMBER(II31:II227),ROW(II31:II227),"")))</f>
        <v>0</v>
      </c>
      <c r="IK31" s="12">
        <f>IF('Données projet'!$A$330&gt;35,IK30+IJ31-IS30,IF($A31&lt;'Données projet'!$A$330,$CQ$205^$A31,IF($A31='Données projet'!$A$330,'Données projet'!$B$330,IK30+IJ31-IS30)))</f>
        <v>0</v>
      </c>
      <c r="IL31" s="17">
        <f>IK31*VLOOKUP('Données projet'!$B$20,Paramètres!$A$1:$I$89,3,0)*VLOOKUP('Données projet'!$B$20,Paramètres!$A$1:$I$89,5,0)</f>
        <v>0</v>
      </c>
      <c r="IM31" s="13" t="e">
        <f t="shared" si="85"/>
        <v>#NUM!</v>
      </c>
      <c r="IN31" s="20" t="e">
        <f t="shared" si="86"/>
        <v>#NUM!</v>
      </c>
      <c r="IO31" s="59" t="e">
        <f t="shared" si="87"/>
        <v>#NUM!</v>
      </c>
      <c r="IP31" s="59">
        <f ca="1">AVERAGE(OFFSET(IO$3,0,0,'Données projet'!$E$20+1,1))-AVERAGE(OFFSET($H$3,0,0,'Données projet'!$E$20+1,1))</f>
        <v>91.60721429656013</v>
      </c>
      <c r="IQ31" s="59">
        <f t="shared" si="88"/>
        <v>258.94957804210856</v>
      </c>
      <c r="IR31" s="15">
        <f>IF(ISNA(VLOOKUP($A31,'Données projet'!$A$330:$I$350,3,0)),0,VLOOKUP($A31,'Données projet'!$A$330:$I$350,3,0))</f>
        <v>0</v>
      </c>
      <c r="IS31" s="15">
        <f>IF(ISNA(VLOOKUP($A31,'Données projet'!$A$330:$I$350,4,0)),0,VLOOKUP($A31,'Données projet'!$A$330:$I$350,4,0))</f>
        <v>0</v>
      </c>
      <c r="IT31" s="16">
        <f>IF(ISNA(VLOOKUP($A31,'Données projet'!$A$330:$I$350,5,0)),0%,VLOOKUP($A31,'Données projet'!$A$330:$I$350,5,0)*VLOOKUP('Données projet'!$B$20,Paramètres!$A$1:$I$89,7,0))</f>
        <v>0</v>
      </c>
      <c r="IU31" s="16">
        <f>IF(ISNA(VLOOKUP($A31,'Données projet'!$A$330:$I$350,6,0)),0%,VLOOKUP($A31,'Données projet'!$A$330:$I$350,6,0)*VLOOKUP('Données projet'!$B$20,Paramètres!$A$1:$I$89,7,0))</f>
        <v>0</v>
      </c>
      <c r="IV31" s="16">
        <f>IF(ISNA(VLOOKUP($A31,'Données projet'!$A$330:$I$350,7,0)),0%,VLOOKUP($A31,'Données projet'!$A$330:$I$350,7,0))</f>
        <v>0</v>
      </c>
      <c r="IW31" s="21">
        <f>EXP(-LN(2)/35)*IW30+(1-EXP(-LN(2)/35))/(LN(2)/35)*IS31*IT31*VLOOKUP('Données projet'!$B$20,Paramètres!$A$1:$I$89,3,0)*0.475*44/12</f>
        <v>51.325907954073053</v>
      </c>
      <c r="IX31" s="21">
        <f>EXP(-LN(2)/25)*IX30+(1-EXP(-LN(2)/25))/(LN(2)/25)*Calculateur!IS31*Calculateur!IU31*VLOOKUP('Données projet'!$B$20,Paramètres!$A$1:$I$89,3,0)*0.475*44/12</f>
        <v>10.282382590330052</v>
      </c>
      <c r="IY31" s="21">
        <f>EXP(-LN(2)/2)*IY30+(1-EXP(-LN(2)/2))/(LN(2)/2)*IS31*IV31*VLOOKUP('Données projet'!$B$20,Paramètres!$A$1:$I$89,3,0)*0.475*44/12</f>
        <v>1.1457046234879551</v>
      </c>
      <c r="IZ31" s="22">
        <f t="shared" si="89"/>
        <v>62.753995167891063</v>
      </c>
      <c r="JA31" s="74">
        <f>('Scénario référence'!$F$8+'Scénario référence'!$F$9+'Scénario référence'!$B$17+'Scénario référence'!$B$9+'Scénario référence'!$B$10)*70+IF((45+25*(1-EXP(-0.0175*$A31)))&lt;70,'Scénario référence'!$B$16*(45+25*(1-EXP(-0.0175*$A31))),70*'Scénario référence'!$B$16)+IF((32+38*(1-EXP(-0.0175*$A31)))&lt;70,'Scénario référence'!$B$18*(32+38*(1-EXP(-0.0175*$A31))),70*'Scénario référence'!$B$18)</f>
        <v>70</v>
      </c>
      <c r="JB31" s="12">
        <f>IF($A31&gt;30,10,('Scénario référence'!$B$16+'Scénario référence'!$B$17+'Scénario référence'!$B$18+'Scénario référence'!$B$9+'Scénario référence'!$B$10)*$A31*10/30+('Scénario référence'!$F$8+'Scénario référence'!$F$9)*10)</f>
        <v>10</v>
      </c>
      <c r="JC31" s="12" t="e">
        <f>VLOOKUP($A31,'Données projet'!$A$356:$I$376,2,0)</f>
        <v>#N/A</v>
      </c>
      <c r="JD31" s="12" t="e">
        <f>VLOOKUP($A31,'Données projet'!$A$356:$I$376,9,0)</f>
        <v>#N/A</v>
      </c>
      <c r="JE31" s="12">
        <f t="array" ref="JE31">INDEX(JD:JD,MIN(IF(ISNUMBER(JD31:JD227),ROW(JD31:JD227),"")))</f>
        <v>9.4</v>
      </c>
      <c r="JF31" s="12">
        <f>IF('Données projet'!$A$356&gt;35,JF30+JE31-JN30,IF($A31&lt;'Données projet'!$A$356,$CQ$205^$A31,IF($A31='Données projet'!$A$356,'Données projet'!$B$356,JF30+JE31-JN30)))</f>
        <v>97.200000000000031</v>
      </c>
      <c r="JG31" s="17">
        <f>JF31*VLOOKUP('Données projet'!$B$21,Paramètres!$A$1:$I$89,3,0)*VLOOKUP('Données projet'!$B$21,Paramètres!$A$1:$I$89,5,0)</f>
        <v>78.848640000000032</v>
      </c>
      <c r="JH31" s="13">
        <f t="shared" si="90"/>
        <v>21.855433550732162</v>
      </c>
      <c r="JI31" s="20">
        <f t="shared" si="91"/>
        <v>175.39292810085854</v>
      </c>
      <c r="JJ31" s="59">
        <f t="shared" si="92"/>
        <v>468.72626143419188</v>
      </c>
      <c r="JK31" s="59">
        <f ca="1">AVERAGE(OFFSET($JJ$3,0,0,'Données projet'!$E$22+1,1))-AVERAGE(OFFSET($H$3,0,0,'Données projet'!$E$22+1,1))</f>
        <v>353.35574633294613</v>
      </c>
      <c r="JL31" s="59">
        <f t="shared" si="93"/>
        <v>170.36796666474726</v>
      </c>
      <c r="JM31" s="15">
        <f>IF(ISNA(VLOOKUP($A31,'Données projet'!$A$356:$I$376,3,0)),0,VLOOKUP($A31,'Données projet'!$A$356:$I$376,3,0))</f>
        <v>0</v>
      </c>
      <c r="JN31" s="15">
        <f>IF(ISNA(VLOOKUP($A31,'Données projet'!$A$356:$I$376,4,0)),0,VLOOKUP($A31,'Données projet'!$A$356:$I$376,4,0))</f>
        <v>0</v>
      </c>
      <c r="JO31" s="16">
        <f>IF(ISNA(VLOOKUP($A31,'Données projet'!$A$356:$I$376,5,0)),0%,VLOOKUP($A31,'Données projet'!$A$356:$I$376,5,0)*VLOOKUP('Données projet'!$B$21,Paramètres!$A$1:$I$89,7,0))</f>
        <v>0</v>
      </c>
      <c r="JP31" s="16">
        <f>IF(ISNA(VLOOKUP($A31,'Données projet'!$A$356:$I$376,6,0)),0%,VLOOKUP($A31,'Données projet'!$A$356:$I$376,6,0)*VLOOKUP('Données projet'!$B$21,Paramètres!$A$1:$I$89,7,0))</f>
        <v>0</v>
      </c>
      <c r="JQ31" s="16">
        <f>IF(ISNA(VLOOKUP($A31,'Données projet'!$A$356:$I$376,7,0)),0%,VLOOKUP($A31,'Données projet'!$A$356:$I$376,7,0))</f>
        <v>0</v>
      </c>
      <c r="JR31" s="21">
        <f>EXP(-LN(2)/35)*JR30+(1-EXP(-LN(2)/35))/(LN(2)/35)*JN31*JO31*VLOOKUP('Données projet'!$B$21,Paramètres!$A$1:$I$89,3,0)*0.475*44/12</f>
        <v>0</v>
      </c>
      <c r="JS31" s="21">
        <f>EXP(-LN(2)/25)*JS30+(1-EXP(-LN(2)/25))/(LN(2)/25)*Calculateur!JN31*Calculateur!JP31*VLOOKUP('Données projet'!$B$21,Paramètres!$A$1:$I$89,3,0)*0.475*44/12</f>
        <v>0</v>
      </c>
      <c r="JT31" s="21">
        <f>EXP(-LN(2)/2)*JT30+(1-EXP(-LN(2)/2))/(LN(2)/2)*JN31*JQ31*VLOOKUP('Données projet'!$B$21,Paramètres!$A$1:$I$89,3,0)*0.475*44/12</f>
        <v>0</v>
      </c>
      <c r="JU31" s="18">
        <f t="shared" si="39"/>
        <v>0</v>
      </c>
      <c r="JV31" s="74">
        <f>('Scénario référence'!$F$8+'Scénario référence'!$F$9+'Scénario référence'!$B$17+'Scénario référence'!$B$9+'Scénario référence'!$B$10)*70+IF((45+25*(1-EXP(-0.0175*$A31)))&lt;70,'Scénario référence'!$B$16*(45+25*(1-EXP(-0.0175*$A31))),70*'Scénario référence'!$B$16)+IF((32+38*(1-EXP(-0.0175*$A31)))&lt;70,'Scénario référence'!$B$18*(32+38*(1-EXP(-0.0175*$A31))),70*'Scénario référence'!$B$18)</f>
        <v>70</v>
      </c>
      <c r="JW31" s="12">
        <f>IF($A31&gt;30,10,('Scénario référence'!$B$16+'Scénario référence'!$B$17+'Scénario référence'!$B$18+'Scénario référence'!$B$9+'Scénario référence'!$B$10)*$A31*10/30+('Scénario référence'!$F$8+'Scénario référence'!$F$9)*10)</f>
        <v>10</v>
      </c>
      <c r="JX31" s="12" t="e">
        <f>VLOOKUP($A31,'Données projet'!$A$382:$I$402,2,0)</f>
        <v>#N/A</v>
      </c>
      <c r="JY31" s="12" t="e">
        <f>VLOOKUP($A31,'Données projet'!$A$382:$I$402,9,0)</f>
        <v>#N/A</v>
      </c>
      <c r="JZ31" s="12">
        <f t="array" ref="JZ31">INDEX(JY:JY,MIN(IF(ISNUMBER(JY31:JY227),ROW(JY31:JY227),"")))</f>
        <v>4.0628205128205126</v>
      </c>
      <c r="KA31" s="12">
        <f>IF('Données projet'!$A$382&gt;35,KA30+JZ31-KI30,IF($A31&lt;'Données projet'!$A$382,$CQ$205^$A31,IF($A31='Données projet'!$A$382,'Données projet'!$B$382,KA30+JZ31-KI30)))</f>
        <v>113.75897435897431</v>
      </c>
      <c r="KB31" s="17">
        <f>KA31*VLOOKUP('Données projet'!$B$22,Paramètres!$A$1:$I$89,3,0)*VLOOKUP('Données projet'!$B$22,Paramètres!$A$1:$I$89,5,0)</f>
        <v>76.309519999999978</v>
      </c>
      <c r="KC31" s="13">
        <f t="shared" si="94"/>
        <v>21.232377320319504</v>
      </c>
      <c r="KD31" s="20">
        <f t="shared" si="95"/>
        <v>169.88547116622308</v>
      </c>
      <c r="KE31" s="59">
        <f t="shared" si="96"/>
        <v>463.21880449955643</v>
      </c>
      <c r="KF31" s="59">
        <f ca="1">AVERAGE(OFFSET($KE$3,0,0,'Données projet'!$E$22+1,1))-AVERAGE(OFFSET($H$3,0,0,'Données projet'!$E$22+1,1))</f>
        <v>193.91714772848269</v>
      </c>
      <c r="KG31" s="59">
        <f t="shared" si="97"/>
        <v>159.20429420478047</v>
      </c>
      <c r="KH31" s="15">
        <f>IF(ISNA(VLOOKUP($A31,'Données projet'!$A$382:$I$402,3,0)),0,VLOOKUP($A31,'Données projet'!$A$382:$I$402,3,0))</f>
        <v>0</v>
      </c>
      <c r="KI31" s="15">
        <f>IF(ISNA(VLOOKUP($A31,'Données projet'!$A$382:$I$402,4,0)),0,VLOOKUP($A31,'Données projet'!$A$382:$I$402,4,0))</f>
        <v>0</v>
      </c>
      <c r="KJ31" s="16">
        <f>IF(ISNA(VLOOKUP($A31,'Données projet'!$A$382:$I$402,5,0)),0%,VLOOKUP($A31,'Données projet'!$A$382:$I$402,5,0)*VLOOKUP('Données projet'!$B$22,Paramètres!$A$1:$I$89,7,0))</f>
        <v>0</v>
      </c>
      <c r="KK31" s="16">
        <f>IF(ISNA(VLOOKUP($A31,'Données projet'!$A$382:$I$402,6,0)),0%,VLOOKUP($A31,'Données projet'!$A$382:$I$402,6,0)*VLOOKUP('Données projet'!$B$22,Paramètres!$A$1:$I$89,7,0))</f>
        <v>0</v>
      </c>
      <c r="KL31" s="16">
        <f>IF(ISNA(VLOOKUP($A31,'Données projet'!$A$382:$I$402,7,0)),0%,VLOOKUP($A31,'Données projet'!$A$382:$I$402,7,0))</f>
        <v>0</v>
      </c>
      <c r="KM31" s="21">
        <f>EXP(-LN(2)/35)*KM30+(1-EXP(-LN(2)/35))/(LN(2)/35)*KI31*KJ31*VLOOKUP('Données projet'!$B$22,Paramètres!$A$1:$I$89,3,0)*0.475*44/12</f>
        <v>0</v>
      </c>
      <c r="KN31" s="21">
        <f>EXP(-LN(2)/25)*KN30+(1-EXP(-LN(2)/25))/(LN(2)/25)*Calculateur!KI31*Calculateur!KK31*VLOOKUP('Données projet'!$B$22,Paramètres!$A$1:$I$89,3,0)*0.475*44/12</f>
        <v>0</v>
      </c>
      <c r="KO31" s="21">
        <f>EXP(-LN(2)/2)*KO30+(1-EXP(-LN(2)/2))/(LN(2)/2)*KI31*KL31*VLOOKUP('Données projet'!$B$22,Paramètres!$A$1:$I$89,3,0)*0.475*44/12</f>
        <v>0</v>
      </c>
      <c r="KP31" s="22">
        <f t="shared" si="98"/>
        <v>0</v>
      </c>
      <c r="KQ31" s="74">
        <f>('Scénario référence'!$F$8+'Scénario référence'!$F$9+'Scénario référence'!$B$17+'Scénario référence'!$B$9+'Scénario référence'!$B$10)*70+IF((45+25*(1-EXP(-0.0175*$A31)))&lt;70,'Scénario référence'!$B$16*(45+25*(1-EXP(-0.0175*$A31))),70*'Scénario référence'!$B$16)+IF((32+38*(1-EXP(-0.0175*$A31)))&lt;70,'Scénario référence'!$B$18*(32+38*(1-EXP(-0.0175*$A31))),70*'Scénario référence'!$B$18)</f>
        <v>70</v>
      </c>
      <c r="KR31" s="12">
        <f>IF($A31&gt;30,10,('Scénario référence'!$B$16+'Scénario référence'!$B$17+'Scénario référence'!$B$18+'Scénario référence'!$B$9+'Scénario référence'!$B$10)*$A31*10/30+('Scénario référence'!$F$8+'Scénario référence'!$F$9)*10)</f>
        <v>10</v>
      </c>
      <c r="KS31" s="12" t="e">
        <f>VLOOKUP($A31,'Données projet'!$A$408:$I$428,2,0)</f>
        <v>#N/A</v>
      </c>
      <c r="KT31" s="12" t="e">
        <f>VLOOKUP($A31,'Données projet'!$A$408:$I$428,9,0)</f>
        <v>#N/A</v>
      </c>
      <c r="KU31" s="12">
        <f t="array" ref="KU31">INDEX(KT:KT,MIN(IF(ISNUMBER(KT31:KT227),ROW(KT31:KT227),"")))</f>
        <v>11.8</v>
      </c>
      <c r="KV31" s="12">
        <f>IF('Données projet'!$A$408&gt;35,KV30+KU31-LD30,IF($A31&lt;'Données projet'!$A$408,$CQ$205^$A31,IF($A31='Données projet'!$A$408,'Données projet'!$B$408,KV30+KU31-LD30)))</f>
        <v>122.39999999999998</v>
      </c>
      <c r="KW31" s="17">
        <f>KV31*VLOOKUP('Données projet'!$B$23,Paramètres!$A$1:$I$89,3,0)*VLOOKUP('Données projet'!$B$23,Paramètres!$A$1:$I$89,5,0)</f>
        <v>106.92864</v>
      </c>
      <c r="KX31" s="13">
        <f t="shared" si="99"/>
        <v>28.606159868782942</v>
      </c>
      <c r="KY31" s="14">
        <f t="shared" si="43"/>
        <v>236.05644310479695</v>
      </c>
      <c r="KZ31" s="59">
        <f t="shared" si="44"/>
        <v>529.3897764381303</v>
      </c>
      <c r="LA31" s="59">
        <f ca="1">AVERAGE(OFFSET($KZ$3,0,0,'Données projet'!$E$23+1,1))-AVERAGE(OFFSET($H$3,0,0,'Données projet'!$E$23+1,1))</f>
        <v>248.33596943633819</v>
      </c>
      <c r="LB31" s="59">
        <f t="shared" si="100"/>
        <v>242.34010522344573</v>
      </c>
      <c r="LC31" s="15">
        <f>IF(ISNA(VLOOKUP($A31,'Données projet'!$A$408:$I$428,3,0)),0,VLOOKUP($A31,'Données projet'!$A$408:$I$428,3,0))</f>
        <v>0</v>
      </c>
      <c r="LD31" s="15">
        <f>IF(ISNA(VLOOKUP($A31,'Données projet'!$A$408:$I$428,4,0)),0,VLOOKUP($A31,'Données projet'!$A$408:$I$428,4,0))</f>
        <v>0</v>
      </c>
      <c r="LE31" s="16">
        <f>IF(ISNA(VLOOKUP($A31,'Données projet'!$A$408:$I$428,5,0)),0%,VLOOKUP($A31,'Données projet'!$A$408:$I$428,5,0)*VLOOKUP('Données projet'!$B$23,Paramètres!$A$1:$I$89,7,0))</f>
        <v>0</v>
      </c>
      <c r="LF31" s="16">
        <f>IF(ISNA(VLOOKUP($A31,'Données projet'!$A$408:$I$428,6,0)),0%,VLOOKUP($A31,'Données projet'!$A$408:$I$428,6,0)*VLOOKUP('Données projet'!$B$23,Paramètres!$A$1:$I$89,7,0))</f>
        <v>0</v>
      </c>
      <c r="LG31" s="16">
        <f>IF(ISNA(VLOOKUP($A31,'Données projet'!$A$408:$I$428,7,0)),0%,VLOOKUP($A31,'Données projet'!$A$408:$I$428,7,0))</f>
        <v>0</v>
      </c>
      <c r="LH31" s="21">
        <f>EXP(-LN(2)/35)*LH30+(1-EXP(-LN(2)/35))/(LN(2)/35)*LD31*LE31*VLOOKUP('Données projet'!$B$23,Paramètres!$A$1:$I$89,3,0)*0.475*44/12</f>
        <v>0</v>
      </c>
      <c r="LI31" s="21">
        <f>EXP(-LN(2)/25)*LI30+(1-EXP(-LN(2)/25))/(LN(2)/25)*Calculateur!LD31*Calculateur!LF31*VLOOKUP('Données projet'!$B$23,Paramètres!$A$1:$I$89,3,0)*0.475*44/12</f>
        <v>0.74601456234072216</v>
      </c>
      <c r="LJ31" s="21">
        <f>EXP(-LN(2)/2)*LJ30+(1-EXP(-LN(2)/2))/(LN(2)/2)*LD31*LG31*VLOOKUP('Données projet'!$B$23,Paramètres!$A$1:$I$89,3,0)*0.475*44/12</f>
        <v>0</v>
      </c>
      <c r="LK31" s="22">
        <f t="shared" si="101"/>
        <v>0.74601456234072216</v>
      </c>
      <c r="LL31" s="74">
        <f>('Scénario référence'!$F$8+'Scénario référence'!$F$9+'Scénario référence'!$B$17+'Scénario référence'!$B$9+'Scénario référence'!$B$10)*70+IF((45+25*(1-EXP(-0.0175*$A31)))&lt;70,'Scénario référence'!$B$16*(45+25*(1-EXP(-0.0175*$A31))),70*'Scénario référence'!$B$16)+IF((32+38*(1-EXP(-0.0175*$A31)))&lt;70,'Scénario référence'!$B$18*(32+38*(1-EXP(-0.0175*$A31))),70*'Scénario référence'!$B$18)</f>
        <v>70</v>
      </c>
      <c r="LM31" s="12">
        <f>IF($A31&gt;30,10,('Scénario référence'!$B$16+'Scénario référence'!$B$17+'Scénario référence'!$B$18+'Scénario référence'!$B$9+'Scénario référence'!$B$10)*$A31*10/30+('Scénario référence'!$F$8+'Scénario référence'!$F$9)*10)</f>
        <v>10</v>
      </c>
      <c r="LN31" s="12" t="e">
        <f>VLOOKUP($A31,'Données projet'!$A$434:$I$454,2,0)</f>
        <v>#N/A</v>
      </c>
      <c r="LO31" s="12" t="e">
        <f>VLOOKUP($A31,'Données projet'!$A$434:$I$454,9,0)</f>
        <v>#N/A</v>
      </c>
      <c r="LP31" s="12">
        <f t="array" ref="LP31">INDEX(LO:LO,MIN(IF(ISNUMBER(LO31:LO227),ROW(LO31:LO227),"")))</f>
        <v>2.9235042735042733</v>
      </c>
      <c r="LQ31" s="12">
        <f>IF('Données projet'!$A$434&gt;35,LQ30+LP31-LY30,IF($A31&lt;'Données projet'!$A$434,$CQ$205^$A31,IF($A31='Données projet'!$A$434,'Données projet'!$B$434,LQ30+LP31-LY30)))</f>
        <v>81.858119658119662</v>
      </c>
      <c r="LR31" s="17">
        <f>LQ31*VLOOKUP('Données projet'!$B$24,Paramètres!$A$1:$I$89,3,0)*VLOOKUP('Données projet'!$B$24,Paramètres!$A$1:$I$89,5,0)</f>
        <v>83.004133333333343</v>
      </c>
      <c r="LS31" s="13">
        <f t="shared" si="102"/>
        <v>22.870127031517494</v>
      </c>
      <c r="LT31" s="14">
        <f t="shared" si="46"/>
        <v>184.39767013544852</v>
      </c>
      <c r="LU31" s="59">
        <f t="shared" si="103"/>
        <v>477.73100346878186</v>
      </c>
      <c r="LV31" s="59">
        <f ca="1">AVERAGE(OFFSET($LU$3,0,0,'Données projet'!$E$24+1,1))-AVERAGE(OFFSET($H$3,0,0,'Données projet'!$E$24+1,1))</f>
        <v>260.52627655062872</v>
      </c>
      <c r="LW31" s="59">
        <f t="shared" si="104"/>
        <v>159.20429420478047</v>
      </c>
      <c r="LX31" s="15">
        <f>IF(ISNA(VLOOKUP($A31,'Données projet'!$A$434:$I$454,3,0)),0,VLOOKUP($A31,'Données projet'!$A$434:$I$454,3,0))</f>
        <v>0</v>
      </c>
      <c r="LY31" s="15">
        <f>IF(ISNA(VLOOKUP($A31,'Données projet'!$A$434:$I$454,4,0)),0,VLOOKUP($A31,'Données projet'!$A$434:$I$454,4,0))</f>
        <v>0</v>
      </c>
      <c r="LZ31" s="16">
        <f>IF(ISNA(VLOOKUP($A31,'Données projet'!$A$434:$I$454,5,0)),0%,VLOOKUP($A31,'Données projet'!$A$434:$I$454,5,0)*VLOOKUP('Données projet'!$B$24,Paramètres!$A$1:$I$89,7,0))</f>
        <v>0</v>
      </c>
      <c r="MA31" s="16">
        <f>IF(ISNA(VLOOKUP($A31,'Données projet'!$A$434:$I$454,6,0)),0%,VLOOKUP($A31,'Données projet'!$A$434:$I$454,6,0)*VLOOKUP('Données projet'!$B$24,Paramètres!$A$1:$I$89,7,0))</f>
        <v>0</v>
      </c>
      <c r="MB31" s="16">
        <f>IF(ISNA(VLOOKUP($A31,'Données projet'!$A$434:$I$454,7,0)),0%,VLOOKUP($A31,'Données projet'!$A$434:$I$454,7,0))</f>
        <v>0</v>
      </c>
      <c r="MC31" s="21">
        <f>EXP(-LN(2)/35)*MC30+(1-EXP(-LN(2)/35))/(LN(2)/35)*LY31*LZ31*VLOOKUP('Données projet'!$B$24,Paramètres!$A$1:$I$89,3,0)*0.475*44/12</f>
        <v>0</v>
      </c>
      <c r="MD31" s="21">
        <f>EXP(-LN(2)/25)*MD30+(1-EXP(-LN(2)/25))/(LN(2)/25)*Calculateur!LY31*Calculateur!MA31*VLOOKUP('Données projet'!$B$24,Paramètres!$A$1:$I$89,3,0)*0.475*44/12</f>
        <v>0</v>
      </c>
      <c r="ME31" s="21">
        <f>EXP(-LN(2)/2)*ME30+(1-EXP(-LN(2)/2))/(LN(2)/2)*LY31*MB31*VLOOKUP('Données projet'!$B$24,Paramètres!$A$1:$I$89,3,0)*0.475*44/12</f>
        <v>0</v>
      </c>
      <c r="MF31" s="22">
        <f t="shared" si="105"/>
        <v>0</v>
      </c>
      <c r="MG31" s="74">
        <f>('Scénario référence'!$F$8+'Scénario référence'!$F$9+'Scénario référence'!$B$17+'Scénario référence'!$B$9+'Scénario référence'!$B$10)*70+IF((45+25*(1-EXP(-0.0175*$A31)))&lt;70,'Scénario référence'!$B$16*(45+25*(1-EXP(-0.0175*$A31))),70*'Scénario référence'!$B$16)+IF((32+38*(1-EXP(-0.0175*$A31)))&lt;70,'Scénario référence'!$B$18*(32+38*(1-EXP(-0.0175*$A31))),70*'Scénario référence'!$B$18)</f>
        <v>70</v>
      </c>
      <c r="MH31" s="12">
        <f>IF($A31&gt;30,10,('Scénario référence'!$B$16+'Scénario référence'!$B$17+'Scénario référence'!$B$18+'Scénario référence'!$B$9+'Scénario référence'!$B$10)*$A31*10/30+('Scénario référence'!$F$8+'Scénario référence'!$F$9)*10)</f>
        <v>10</v>
      </c>
      <c r="MI31" s="12" t="e">
        <f>VLOOKUP($A31,'Données projet'!$A$460:$I$480,2,0)</f>
        <v>#N/A</v>
      </c>
      <c r="MJ31" s="12" t="e">
        <f>VLOOKUP($A31,'Données projet'!$A$460:$I$480,9,0)</f>
        <v>#N/A</v>
      </c>
      <c r="MK31" s="12">
        <f t="array" ref="MK31">INDEX(MJ:MJ,MIN(IF(ISNUMBER(MJ31:MJ227),ROW(MJ31:MJ227),"")))</f>
        <v>0</v>
      </c>
      <c r="ML31" s="12">
        <f>IF('Données projet'!$A$460&gt;35,ML30+MK31-MT30,IF($A31&lt;'Données projet'!$A$460,$CQ$205^$A31,IF($A31='Données projet'!$A$460,'Données projet'!$B$460,ML30+MK31-MT30)))</f>
        <v>0</v>
      </c>
      <c r="MM31" s="17" t="e">
        <f>ML31*VLOOKUP('Données projet'!$B$25,Paramètres!$A$1:$I$89,3,0)*VLOOKUP('Données projet'!$B$25,Paramètres!$A$1:$I$89,5,0)</f>
        <v>#N/A</v>
      </c>
      <c r="MN31" s="13" t="e">
        <f t="shared" si="106"/>
        <v>#N/A</v>
      </c>
      <c r="MO31" s="14" t="e">
        <f t="shared" si="49"/>
        <v>#N/A</v>
      </c>
      <c r="MP31" s="59" t="e">
        <f t="shared" si="50"/>
        <v>#N/A</v>
      </c>
      <c r="MQ31" s="20" t="e">
        <f ca="1">AVERAGE(OFFSET($MP$3,0,0,'Données projet'!$E$25+1,1))-AVERAGE(OFFSET($H$3,0,0,'Données projet'!$E$25+1,1))</f>
        <v>#N/A</v>
      </c>
      <c r="MR31" s="59" t="e">
        <f t="shared" si="107"/>
        <v>#N/A</v>
      </c>
      <c r="MS31" s="15">
        <f>IF(ISNA(VLOOKUP($A31,'Données projet'!$A$460:$I$480,3,0)),0,VLOOKUP($A31,'Données projet'!$A$460:$I$480,3,0))</f>
        <v>0</v>
      </c>
      <c r="MT31" s="15">
        <f>IF(ISNA(VLOOKUP($A31,'Données projet'!$A$460:$I$480,4,0)),0,VLOOKUP($A31,'Données projet'!$A$460:$I$480,4,0))</f>
        <v>0</v>
      </c>
      <c r="MU31" s="16">
        <f>IF(ISNA(VLOOKUP($A31,'Données projet'!$A$460:$I$480,5,0)),0%,VLOOKUP($A31,'Données projet'!$A$460:$I$480,5,0)*VLOOKUP('Données projet'!$B$25,Paramètres!$A$1:$I$89,7,0))</f>
        <v>0</v>
      </c>
      <c r="MV31" s="16">
        <f>IF(ISNA(VLOOKUP($A31,'Données projet'!$A$460:$I$480,6,0)),0%,VLOOKUP($A31,'Données projet'!$A$460:$I$480,6,0)*VLOOKUP('Données projet'!$B$25,Paramètres!$A$1:$I$89,7,0))</f>
        <v>0</v>
      </c>
      <c r="MW31" s="16">
        <f>IF(ISNA(VLOOKUP($A31,'Données projet'!$A$460:$I$480,7,0)),0%,VLOOKUP($A31,'Données projet'!$A$460:$I$480,7,0))</f>
        <v>0</v>
      </c>
      <c r="MX31" s="21" t="e">
        <f>EXP(-LN(2)/35)*MX30+(1-EXP(-LN(2)/35))/(LN(2)/35)*MT31*MU31*VLOOKUP('Données projet'!$B$25,Paramètres!$A$1:$I$89,3,0)*0.475*44/12</f>
        <v>#N/A</v>
      </c>
      <c r="MY31" s="21" t="e">
        <f>EXP(-LN(2)/25)*MY30+(1-EXP(-LN(2)/25))/(LN(2)/25)*Calculateur!MT31*Calculateur!MV31*VLOOKUP('Données projet'!$B$25,Paramètres!$A$1:$I$89,3,0)*0.475*44/12</f>
        <v>#N/A</v>
      </c>
      <c r="MZ31" s="21" t="e">
        <f>EXP(-LN(2)/2)*MZ30+(1-EXP(-LN(2)/2))/(LN(2)/2)*MT31*MW31*VLOOKUP('Données projet'!$B$25,Paramètres!$A$1:$I$89,3,0)*0.475*44/12</f>
        <v>#N/A</v>
      </c>
      <c r="NA31" s="22" t="e">
        <f t="shared" si="108"/>
        <v>#N/A</v>
      </c>
      <c r="NB31" s="74">
        <f>('Scénario référence'!$F$8+'Scénario référence'!$F$9+'Scénario référence'!$B$17+'Scénario référence'!$B$9+'Scénario référence'!$B$10)*70+IF((45+25*(1-EXP(-0.0175*$A31)))&lt;70,'Scénario référence'!$B$16*(45+25*(1-EXP(-0.0175*$A31))),70*'Scénario référence'!$B$16)+IF((32+38*(1-EXP(-0.0175*$A31)))&lt;70,'Scénario référence'!$B$18*(32+38*(1-EXP(-0.0175*$A31))),70*'Scénario référence'!$B$18)</f>
        <v>70</v>
      </c>
      <c r="NC31" s="12">
        <f>IF($A31&gt;30,10,('Scénario référence'!$B$16+'Scénario référence'!$B$17+'Scénario référence'!$B$18+'Scénario référence'!$B$9+'Scénario référence'!$B$10)*$A31*10/30+('Scénario référence'!$F$8+'Scénario référence'!$F$9)*10)</f>
        <v>10</v>
      </c>
      <c r="ND31" s="12" t="e">
        <f>VLOOKUP($A31,'Données projet'!$A$486:$I$506,2,0)</f>
        <v>#N/A</v>
      </c>
      <c r="NE31" s="12" t="e">
        <f>VLOOKUP($A31,'Données projet'!$A$486:$I$506,9,0)</f>
        <v>#N/A</v>
      </c>
      <c r="NF31" s="12">
        <f t="array" ref="NF31">INDEX(NE:NE,MIN(IF(ISNUMBER(NE31:NE227),ROW(NE31:NE227),"")))</f>
        <v>0</v>
      </c>
      <c r="NG31" s="12">
        <f>IF('Données projet'!$A$486&gt;35,NG30+NF31-NO30,IF($A31&lt;'Données projet'!$A$486,$CQ$205^$A31,IF($A31='Données projet'!$A$486,'Données projet'!$B$486,NG30+NF31-NO30)))</f>
        <v>0</v>
      </c>
      <c r="NH31" s="17" t="e">
        <f>NG31*VLOOKUP('Données projet'!$B$26,Paramètres!$A$1:$I$89,3,0)*VLOOKUP('Données projet'!$B$26,Paramètres!$A$1:$I$89,5,0)</f>
        <v>#N/A</v>
      </c>
      <c r="NI31" s="13" t="e">
        <f t="shared" si="109"/>
        <v>#N/A</v>
      </c>
      <c r="NJ31" s="14" t="e">
        <f t="shared" si="52"/>
        <v>#N/A</v>
      </c>
      <c r="NK31" s="59" t="e">
        <f t="shared" si="53"/>
        <v>#N/A</v>
      </c>
      <c r="NL31" s="20" t="e">
        <f ca="1">AVERAGE(OFFSET($NK$3,0,0,'Données projet'!$E$26+1,1))-AVERAGE(OFFSET($H$3,0,0,'Données projet'!$E$26+1,1))</f>
        <v>#N/A</v>
      </c>
      <c r="NM31" s="59" t="e">
        <f t="shared" si="110"/>
        <v>#N/A</v>
      </c>
      <c r="NN31" s="15">
        <f>IF(ISNA(VLOOKUP($A31,'Données projet'!$A$486:$I$506,3,0)),0,VLOOKUP($A31,'Données projet'!$A$486:$I$506,3,0))</f>
        <v>0</v>
      </c>
      <c r="NO31" s="15">
        <f>IF(ISNA(VLOOKUP($A31,'Données projet'!$A$486:$I$506,4,0)),0,VLOOKUP($A31,'Données projet'!$A$486:$I$506,4,0))</f>
        <v>0</v>
      </c>
      <c r="NP31" s="16">
        <f>IF(ISNA(VLOOKUP($A31,'Données projet'!$A$486:$I$506,5,0)),0%,VLOOKUP($A31,'Données projet'!$A$486:$I$506,5,0)*VLOOKUP('Données projet'!$B$26,Paramètres!$A$1:$I$89,7,0))</f>
        <v>0</v>
      </c>
      <c r="NQ31" s="16">
        <f>IF(ISNA(VLOOKUP($A31,'Données projet'!$A$486:$I$506,6,0)),0%,VLOOKUP($A31,'Données projet'!$A$486:$I$506,6,0)*VLOOKUP('Données projet'!$B$26,Paramètres!$A$1:$I$89,7,0))</f>
        <v>0</v>
      </c>
      <c r="NR31" s="16">
        <f>IF(ISNA(VLOOKUP($A31,'Données projet'!$A$486:$I$506,7,0)),0%,VLOOKUP($A31,'Données projet'!$A$486:$I$506,7,0))</f>
        <v>0</v>
      </c>
      <c r="NS31" s="21" t="e">
        <f>EXP(-LN(2)/35)*NS30+(1-EXP(-LN(2)/35))/(LN(2)/35)*NO31*NP31*VLOOKUP('Données projet'!$B$26,Paramètres!$A$1:$I$89,3,0)*0.475*44/12</f>
        <v>#N/A</v>
      </c>
      <c r="NT31" s="21" t="e">
        <f>EXP(-LN(2)/25)*NT30+(1-EXP(-LN(2)/25))/(LN(2)/25)*Calculateur!NO31*Calculateur!NQ31*VLOOKUP('Données projet'!$B$26,Paramètres!$A$1:$I$89,3,0)*0.475*44/12</f>
        <v>#N/A</v>
      </c>
      <c r="NU31" s="21" t="e">
        <f>EXP(-LN(2)/2)*NU30+(1-EXP(-LN(2)/2))/(LN(2)/2)*NO31*NR31*VLOOKUP('Données projet'!$B$26,Paramètres!$A$1:$I$89,3,0)*0.475*44/12</f>
        <v>#N/A</v>
      </c>
      <c r="NV31" s="22" t="e">
        <f t="shared" si="111"/>
        <v>#N/A</v>
      </c>
      <c r="NW31" s="74">
        <f>('Scénario référence'!$F$8+'Scénario référence'!$F$9+'Scénario référence'!$B$17+'Scénario référence'!$B$9+'Scénario référence'!$B$10)*70+IF((45+25*(1-EXP(-0.0175*$A31)))&lt;70,'Scénario référence'!$B$16*(45+25*(1-EXP(-0.0175*$A31))),70*'Scénario référence'!$B$16)+IF((32+38*(1-EXP(-0.0175*$A31)))&lt;70,'Scénario référence'!$B$18*(32+38*(1-EXP(-0.0175*$A31))),70*'Scénario référence'!$B$18)</f>
        <v>70</v>
      </c>
      <c r="NX31" s="12">
        <f>IF($A31&gt;30,10,('Scénario référence'!$B$16+'Scénario référence'!$B$17+'Scénario référence'!$B$18+'Scénario référence'!$B$9+'Scénario référence'!$B$10)*$A31*10/30+('Scénario référence'!$F$8+'Scénario référence'!$F$9)*10)</f>
        <v>10</v>
      </c>
      <c r="NY31" s="12" t="e">
        <f>VLOOKUP($A31,'Données projet'!$A$512:$I$532,2,0)</f>
        <v>#N/A</v>
      </c>
      <c r="NZ31" s="12" t="e">
        <f>VLOOKUP($A31,'Données projet'!$A$512:$I$532,9,0)</f>
        <v>#N/A</v>
      </c>
      <c r="OA31" s="12">
        <f t="array" ref="OA31">INDEX(NZ:NZ,MIN(IF(ISNUMBER(NZ31:NZ227),ROW(NZ31:NZ227),"")))</f>
        <v>0</v>
      </c>
      <c r="OB31" s="12">
        <f>IF('Données projet'!$A$512&gt;35,OB30+OA31-OJ30,IF($A31&lt;'Données projet'!$A$512,$CQ$205^$A31,IF($A31='Données projet'!$A$512,'Données projet'!$B$512,OB30+OA31-OJ30)))</f>
        <v>0</v>
      </c>
      <c r="OC31" s="17" t="e">
        <f>OB31*VLOOKUP('Données projet'!$B$27,Paramètres!$A$1:$I$89,3,0)*VLOOKUP('Données projet'!$B$27,Paramètres!$A$1:$I$89,5,0)</f>
        <v>#N/A</v>
      </c>
      <c r="OD31" s="13" t="e">
        <f t="shared" si="112"/>
        <v>#N/A</v>
      </c>
      <c r="OE31" s="14" t="e">
        <f t="shared" si="55"/>
        <v>#N/A</v>
      </c>
      <c r="OF31" s="59" t="e">
        <f t="shared" si="56"/>
        <v>#N/A</v>
      </c>
      <c r="OG31" s="20" t="e">
        <f ca="1">AVERAGE(OFFSET($OF$3,0,0,'Données projet'!$E$27+1,1))-AVERAGE(OFFSET($H$3,0,0,'Données projet'!$E$27+1,1))</f>
        <v>#N/A</v>
      </c>
      <c r="OH31" s="59" t="e">
        <f t="shared" si="113"/>
        <v>#N/A</v>
      </c>
      <c r="OI31" s="15">
        <f>IF(ISNA(VLOOKUP($A31,'Données projet'!$A$512:$I$532,3,0)),0,VLOOKUP($A31,'Données projet'!$A$512:$I$532,3,0))</f>
        <v>0</v>
      </c>
      <c r="OJ31" s="15">
        <f>IF(ISNA(VLOOKUP($A31,'Données projet'!$A$512:$I$532,4,0)),0,VLOOKUP($A31,'Données projet'!$A$512:$I$532,4,0))</f>
        <v>0</v>
      </c>
      <c r="OK31" s="16">
        <f>IF(ISNA(VLOOKUP($A31,'Données projet'!$A$512:$I$532,5,0)),0%,VLOOKUP($A31,'Données projet'!$A$512:$I$532,5,0)*VLOOKUP('Données projet'!$B$27,Paramètres!$A$1:$I$89,7,0))</f>
        <v>0</v>
      </c>
      <c r="OL31" s="16">
        <f>IF(ISNA(VLOOKUP($A31,'Données projet'!$A$512:$I$532,6,0)),0%,VLOOKUP($A31,'Données projet'!$A$512:$I$532,6,0)*VLOOKUP('Données projet'!$B$27,Paramètres!$A$1:$I$89,7,0))</f>
        <v>0</v>
      </c>
      <c r="OM31" s="16">
        <f>IF(ISNA(VLOOKUP($A31,'Données projet'!$A$512:$I$532,7,0)),0%,VLOOKUP($A31,'Données projet'!$A$512:$I$532,7,0))</f>
        <v>0</v>
      </c>
      <c r="ON31" s="21" t="e">
        <f>EXP(-LN(2)/35)*ON30+(1-EXP(-LN(2)/35))/(LN(2)/35)*OJ31*OK31*VLOOKUP('Données projet'!$B$27,Paramètres!$A$1:$I$89,3,0)*0.475*44/12</f>
        <v>#N/A</v>
      </c>
      <c r="OO31" s="21" t="e">
        <f>EXP(-LN(2)/25)*OO30+(1-EXP(-LN(2)/25))/(LN(2)/25)*Calculateur!OJ31*Calculateur!OL31*VLOOKUP('Données projet'!$B$27,Paramètres!$A$1:$I$89,3,0)*0.475*44/12</f>
        <v>#N/A</v>
      </c>
      <c r="OP31" s="21" t="e">
        <f>EXP(-LN(2)/2)*OP30+(1-EXP(-LN(2)/2))/(LN(2)/2)*OJ31*OM31*VLOOKUP('Données projet'!$B$27,Paramètres!$A$1:$I$89,3,0)*0.475*44/12</f>
        <v>#N/A</v>
      </c>
      <c r="OQ31" s="22" t="e">
        <f t="shared" si="114"/>
        <v>#N/A</v>
      </c>
      <c r="OR31" s="74">
        <f>('Scénario référence'!$F$8+'Scénario référence'!$F$9+'Scénario référence'!$B$17+'Scénario référence'!$B$9+'Scénario référence'!$B$10)*70+IF((45+25*(1-EXP(-0.0175*$A31)))&lt;70,'Scénario référence'!$B$16*(45+25*(1-EXP(-0.0175*$A31))),70*'Scénario référence'!$B$16)+IF((32+38*(1-EXP(-0.0175*$A31)))&lt;70,'Scénario référence'!$B$18*(32+38*(1-EXP(-0.0175*$A31))),70*'Scénario référence'!$B$18)</f>
        <v>70</v>
      </c>
      <c r="OS31" s="12">
        <f>IF($A31&gt;30,10,('Scénario référence'!$B$16+'Scénario référence'!$B$17+'Scénario référence'!$B$18+'Scénario référence'!$B$9+'Scénario référence'!$B$10)*$A31*10/30+('Scénario référence'!$F$8+'Scénario référence'!$F$9)*10)</f>
        <v>10</v>
      </c>
      <c r="OT31" s="12" t="e">
        <f>VLOOKUP($A31,'Données projet'!$A$538:$I$558,2,0)</f>
        <v>#N/A</v>
      </c>
      <c r="OU31" s="12" t="e">
        <f>VLOOKUP($A31,'Données projet'!$A$538:$I$558,9,0)</f>
        <v>#N/A</v>
      </c>
      <c r="OV31" s="12">
        <f t="array" ref="OV31">INDEX(OU:OU,MIN(IF(ISNUMBER(OU31:OU227),ROW(OU31:OU227),"")))</f>
        <v>0</v>
      </c>
      <c r="OW31" s="12">
        <f>IF('Données projet'!$A$538&gt;35,OW30+OV31-PE30,IF($A31&lt;'Données projet'!$A$538,$CQ$205^$A31,IF($A31='Données projet'!$A$538,'Données projet'!$B$538,OW30+OV31-PE30)))</f>
        <v>0</v>
      </c>
      <c r="OX31" s="17" t="e">
        <f>OW31*VLOOKUP('Données projet'!$B$28,Paramètres!$A$1:$I$89,3,0)*VLOOKUP('Données projet'!$B$28,Paramètres!$A$1:$I$89,5,0)</f>
        <v>#N/A</v>
      </c>
      <c r="OY31" s="13" t="e">
        <f t="shared" si="115"/>
        <v>#N/A</v>
      </c>
      <c r="OZ31" s="14" t="e">
        <f t="shared" si="58"/>
        <v>#N/A</v>
      </c>
      <c r="PA31" s="59" t="e">
        <f t="shared" si="59"/>
        <v>#N/A</v>
      </c>
      <c r="PB31" s="20" t="e">
        <f ca="1">AVERAGE(OFFSET($PA$3,0,0,'Données projet'!$E$28+1,1))-AVERAGE(OFFSET($H$3,0,0,'Données projet'!$E$28+1,1))</f>
        <v>#N/A</v>
      </c>
      <c r="PC31" s="59" t="e">
        <f t="shared" si="116"/>
        <v>#N/A</v>
      </c>
      <c r="PD31" s="15">
        <f>IF(ISNA(VLOOKUP($A31,'Données projet'!$A$538:$I$558,3,0)),0,VLOOKUP($A31,'Données projet'!$A$538:$I$558,3,0))</f>
        <v>0</v>
      </c>
      <c r="PE31" s="15">
        <f>IF(ISNA(VLOOKUP($A31,'Données projet'!$A$538:$I$558,4,0)),0,VLOOKUP($A31,'Données projet'!$A$538:$I$558,4,0))</f>
        <v>0</v>
      </c>
      <c r="PF31" s="16">
        <f>IF(ISNA(VLOOKUP($A31,'Données projet'!$A$538:$I$558,5,0)),0%,VLOOKUP($A31,'Données projet'!$A$538:$I$558,5,0)*VLOOKUP('Données projet'!$B$28,Paramètres!$A$1:$I$89,7,0))</f>
        <v>0</v>
      </c>
      <c r="PG31" s="16">
        <f>IF(ISNA(VLOOKUP($A31,'Données projet'!$A$538:$I$558,6,0)),0%,VLOOKUP($A31,'Données projet'!$A$538:$I$558,6,0)*VLOOKUP('Données projet'!$B$28,Paramètres!$A$1:$I$89,7,0))</f>
        <v>0</v>
      </c>
      <c r="PH31" s="16">
        <f>IF(ISNA(VLOOKUP($A31,'Données projet'!$A$538:$I$558,7,0)),0%,VLOOKUP($A31,'Données projet'!$A$538:$I$558,7,0))</f>
        <v>0</v>
      </c>
      <c r="PI31" s="21" t="e">
        <f>EXP(-LN(2)/35)*PI30+(1-EXP(-LN(2)/35))/(LN(2)/35)*PE31*PF31*VLOOKUP('Données projet'!$B$28,Paramètres!$A$1:$I$89,3,0)*0.475*44/12</f>
        <v>#N/A</v>
      </c>
      <c r="PJ31" s="21" t="e">
        <f>EXP(-LN(2)/25)*PJ30+(1-EXP(-LN(2)/25))/(LN(2)/25)*Calculateur!PE31*Calculateur!PG31*VLOOKUP('Données projet'!$B$28,Paramètres!$A$1:$I$89,3,0)*0.475*44/12</f>
        <v>#N/A</v>
      </c>
      <c r="PK31" s="21" t="e">
        <f>EXP(-LN(2)/2)*PK30+(1-EXP(-LN(2)/2))/(LN(2)/2)*PE31*PH31*VLOOKUP('Données projet'!$B$28,Paramètres!$A$1:$I$89,3,0)*0.475*44/12</f>
        <v>#N/A</v>
      </c>
      <c r="PL31" s="22" t="e">
        <f t="shared" si="117"/>
        <v>#N/A</v>
      </c>
    </row>
    <row r="32" spans="1:428" x14ac:dyDescent="0.35">
      <c r="A32" s="10">
        <f t="shared" si="6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6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projet'!$A$45:$I$65,2,0)</f>
        <v>#N/A</v>
      </c>
      <c r="L32" s="12" t="e">
        <f>VLOOKUP(A32,'Données projet'!$A$45:$I$65,9,0)</f>
        <v>#N/A</v>
      </c>
      <c r="M32" s="12">
        <f t="array" ref="M32">INDEX(L:L,MIN(IF(ISNUMBER(L32:L228),ROW(L32:L228),"")))</f>
        <v>22.828205128205127</v>
      </c>
      <c r="N32" s="13">
        <f>IF('Données projet'!$A$46&gt;35,N31+M32-V31,IF(A32&lt;'Données projet'!$A$46,$K$205^A32,IF(A32='Données projet'!$A$46,'Données projet'!$B$46,N31+M32-V31)))</f>
        <v>309.0410256410255</v>
      </c>
      <c r="O32" s="13">
        <f>N32*VLOOKUP('Données projet'!$B$9,Paramètres!$A$1:$I$89,3,0)*VLOOKUP('Données projet'!$B$9,Paramètres!$A$1:$I$89,5,0)</f>
        <v>172.75393333333326</v>
      </c>
      <c r="P32" s="13">
        <f t="shared" si="63"/>
        <v>43.706234996805463</v>
      </c>
      <c r="Q32" s="20">
        <f t="shared" si="2"/>
        <v>377.00145984165829</v>
      </c>
      <c r="R32" s="59">
        <f t="shared" si="0"/>
        <v>670.33479317499155</v>
      </c>
      <c r="S32" s="59">
        <f ca="1">AVERAGE(OFFSET($R$3,0,0,'Données projet'!$E$9+1,1))-AVERAGE(OFFSET($H$3,0,0,'Données projet'!$E$9+1,1))</f>
        <v>274.57619581652199</v>
      </c>
      <c r="T32" s="59">
        <f t="shared" si="64"/>
        <v>366.15117322598775</v>
      </c>
      <c r="U32" s="15">
        <f>IF(ISNA(VLOOKUP(A32,'Données projet'!$A$45:$I$65,3,0)),0,VLOOKUP(A32,'Données projet'!$A$45:$I$65,3,0))</f>
        <v>0</v>
      </c>
      <c r="V32" s="15">
        <f>IF(ISNA(VLOOKUP(A32,'Données projet'!$A$45:$I$65,4,0)),0,VLOOKUP(A32,'Données projet'!$A$45:$I$65,4,0))</f>
        <v>0</v>
      </c>
      <c r="W32" s="16">
        <f>IF(ISNA(VLOOKUP(A32,'Données projet'!$A$45:$I$65,5,0)),0%,VLOOKUP(A32,'Données projet'!$A$45:$I$65,5,0)*VLOOKUP('Données projet'!$B$9,Paramètres!$A$1:$I$89,7,0))</f>
        <v>0</v>
      </c>
      <c r="X32" s="16">
        <f>IF(ISNA(VLOOKUP(A32,'Données projet'!$A$45:$I$65,6,0)),0%,VLOOKUP(A32,'Données projet'!$A$45:$I$65,6,0)*VLOOKUP('Données projet'!$B$9,Paramètres!$A$1:$I$89,7,0))</f>
        <v>0</v>
      </c>
      <c r="Y32" s="16">
        <f>IF(ISNA(VLOOKUP(A32,'Données projet'!$A$45:$I$65,7,0)),0%,VLOOKUP(A32,'Données projet'!$A$45:$I$65,7,0))</f>
        <v>0</v>
      </c>
      <c r="Z32" s="21">
        <f>EXP(-LN(2)/35)*Z31+(1-EXP(-LN(2)/35))/(LN(2)/35)*V32*W32*VLOOKUP('Données projet'!$B$9,Paramètres!$A$1:$I$89,3,0)*0.475*44/12</f>
        <v>11.031463228319623</v>
      </c>
      <c r="AA32" s="21">
        <f>EXP(-LN(2)/25)*AA31+(1-EXP(-LN(2)/25))/(LN(2)/25)*Calculateur!V32*Calculateur!X32*VLOOKUP('Données projet'!$B$9,Paramètres!$A$1:$I$89,3,0)*0.475*44/12</f>
        <v>14.153512139269422</v>
      </c>
      <c r="AB32" s="21">
        <f>EXP(-LN(2)/2)*AB31+(1-EXP(-LN(2)/2))/(LN(2)/2)*V32*Y32*VLOOKUP('Données projet'!$B$9,Paramètres!$A$1:$I$89,3,0)*0.475*44/12</f>
        <v>1.0564167841523431</v>
      </c>
      <c r="AC32" s="22">
        <f t="shared" si="3"/>
        <v>26.24139215174139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projet'!$A$71:$I$91,2,0)</f>
        <v>#N/A</v>
      </c>
      <c r="AG32" s="12" t="e">
        <f>VLOOKUP(A32,'Données projet'!$A$71:$I$91,9,0)</f>
        <v>#N/A</v>
      </c>
      <c r="AH32" s="12">
        <f t="array" ref="AH32">INDEX(AG:AG,MIN(IF(ISNUMBER(AG32:AG228),ROW(AG32:AG228),"")))</f>
        <v>4.0628205128205126</v>
      </c>
      <c r="AI32" s="13">
        <f>IF('Données projet'!$A$72&gt;35,AI31+AH32-AQ31,IF(A32&lt;'Données projet'!$A$72,$AF$205^A32,IF(A32='Données projet'!$A$72,'Données projet'!$B$72,AI31+AH32-AQ31)))</f>
        <v>103.85257315361756</v>
      </c>
      <c r="AJ32" s="13">
        <f>AI32*VLOOKUP('Données projet'!$B$10,Paramètres!$A$1:$I$89,3,0)*VLOOKUP('Données projet'!$B$10,Paramètres!$A$1:$I$89,5,0)</f>
        <v>93.965808189393158</v>
      </c>
      <c r="AK32" s="13">
        <f t="shared" si="65"/>
        <v>25.519268853524185</v>
      </c>
      <c r="AL32" s="20">
        <f t="shared" si="4"/>
        <v>208.10317584974769</v>
      </c>
      <c r="AM32" s="59">
        <f t="shared" si="5"/>
        <v>501.436509183081</v>
      </c>
      <c r="AN32" s="59">
        <f ca="1">AVERAGE(OFFSET($AM$3,0,0,'Données projet'!$E$10+1,1))-AVERAGE(OFFSET($H$3,0,0,'Données projet'!$E$10+1,1))</f>
        <v>270.87836509222456</v>
      </c>
      <c r="AO32" s="59">
        <f t="shared" si="66"/>
        <v>205.24998237949734</v>
      </c>
      <c r="AP32" s="15">
        <f>IF(ISNA(VLOOKUP(A32,'Données projet'!$A$71:$I$91,3,0)),0,VLOOKUP(A32,'Données projet'!$A$71:$I$91,3,0))</f>
        <v>0</v>
      </c>
      <c r="AQ32" s="15">
        <f>IF(ISNA(VLOOKUP(A32,'Données projet'!$A$71:$I$91,4,0)),0,VLOOKUP(A32,'Données projet'!$A$71:$I$91,4,0))</f>
        <v>0</v>
      </c>
      <c r="AR32" s="16">
        <f>IF(ISNA(VLOOKUP(A32,'Données projet'!$A$71:$I$91,5,0)),0%,VLOOKUP(A32,'Données projet'!$A$71:$I$91,5,0)*VLOOKUP('Données projet'!$B$10,Paramètres!$A$1:$I$89,7,0))</f>
        <v>0</v>
      </c>
      <c r="AS32" s="16">
        <f>IF(ISNA(VLOOKUP(A32,'Données projet'!$A$71:$I$91,6,0)),0%,VLOOKUP(A32,'Données projet'!$A$71:$I$91,6,0)*VLOOKUP('Données projet'!$B$10,Paramètres!$A$1:$I$89,7,0))</f>
        <v>0</v>
      </c>
      <c r="AT32" s="16">
        <f>IF(ISNA(VLOOKUP(A32,'Données projet'!$A$71:$I$91,7,0)),0%,VLOOKUP(A32,'Données projet'!$A$71:$I$91,7,0))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projet'!$A$97:$I$117,2,0)</f>
        <v>#N/A</v>
      </c>
      <c r="BB32" s="12" t="e">
        <f>VLOOKUP(A32,'Données projet'!$A$97:$I$117,9,0)</f>
        <v>#N/A</v>
      </c>
      <c r="BC32" s="12">
        <f t="array" ref="BC32">INDEX(BB:BB,MIN(IF(ISNUMBER(BB32:BB228),ROW(BB32:BB228),"")))</f>
        <v>22.828205128205127</v>
      </c>
      <c r="BD32" s="12">
        <f>IF('Données projet'!$A$98&gt;35,BD31+BC32-BL31,IF(A32&lt;'Données projet'!$A$98,$BA$205^A32,IF(A32='Données projet'!$A$98,'Données projet'!$B$98,BD31+BC32-BL31)))</f>
        <v>309.0410256410255</v>
      </c>
      <c r="BE32" s="13">
        <f>BD32*VLOOKUP('Données projet'!$B$11,Paramètres!$A$1:$I$89,3,0)*VLOOKUP('Données projet'!$B$11,Paramètres!$A$1:$I$89,5,0)</f>
        <v>136.59613333333328</v>
      </c>
      <c r="BF32" s="13">
        <f t="shared" si="67"/>
        <v>35.516113912442115</v>
      </c>
      <c r="BG32" s="20">
        <f t="shared" si="7"/>
        <v>299.7621639530588</v>
      </c>
      <c r="BH32" s="59">
        <f t="shared" si="8"/>
        <v>593.09549728639217</v>
      </c>
      <c r="BI32" s="59">
        <f ca="1">AVERAGE(OFFSET($BH$3,0,0,'Données projet'!$E$11+1,1))-AVERAGE(OFFSET($H$3,0,0,'Données projet'!$E$11+1,1))</f>
        <v>211.31057120485542</v>
      </c>
      <c r="BJ32" s="59">
        <f t="shared" si="68"/>
        <v>283.33292006714777</v>
      </c>
      <c r="BK32" s="15">
        <f>IF(ISNA(VLOOKUP(A32,'Données projet'!$A$97:$I$117,3,0)),0,VLOOKUP(A32,'Données projet'!$A$97:$I$117,3,0))</f>
        <v>0</v>
      </c>
      <c r="BL32" s="15">
        <f>IF(ISNA(VLOOKUP(A32,'Données projet'!$A$97:$I$117,4,0)),0,VLOOKUP(A32,'Données projet'!$A$97:$I$117,4,0))</f>
        <v>0</v>
      </c>
      <c r="BM32" s="16">
        <f>IF(ISNA(VLOOKUP(A32,'Données projet'!$A$97:$I$117,5,0)),0%,VLOOKUP(A32,'Données projet'!$A$97:$I$117,5,0)*VLOOKUP('Données projet'!$B$11,Paramètres!$A$1:$I$89,7,0))</f>
        <v>0</v>
      </c>
      <c r="BN32" s="16">
        <f>IF(ISNA(VLOOKUP(A32,'Données projet'!$A$97:$I$117,6,0)),0%,VLOOKUP(A32,'Données projet'!$A$97:$I$117,6,0)*VLOOKUP('Données projet'!$B$11,Paramètres!$A$1:$I$89,7,0))</f>
        <v>0</v>
      </c>
      <c r="BO32" s="16">
        <f>IF(ISNA(VLOOKUP(A32,'Données projet'!$A$97:$I$117,7,0)),0%,VLOOKUP(A32,'Données projet'!$A$97:$I$117,7,0))</f>
        <v>0</v>
      </c>
      <c r="BP32" s="21">
        <f>EXP(-LN(2)/35)*BP31+(1-EXP(-LN(2)/35))/(LN(2)/35)*BL32*BM32*VLOOKUP('Données projet'!$B$11,Paramètres!$A$1:$I$89,3,0)*0.475*44/12</f>
        <v>8.7225523200666792</v>
      </c>
      <c r="BQ32" s="21">
        <f>EXP(-LN(2)/25)*BQ31+(1-EXP(-LN(2)/25))/(LN(2)/25)*Calculateur!BL32*Calculateur!BN32*VLOOKUP('Données projet'!$B$11,Paramètres!$A$1:$I$89,3,0)*0.475*44/12</f>
        <v>11.191149133375824</v>
      </c>
      <c r="BR32" s="21">
        <f>EXP(-LN(2)/2)*BR31+(1-EXP(-LN(2)/2))/(LN(2)/2)*BL32*BO32*VLOOKUP('Données projet'!$B$11,Paramètres!$A$1:$I$89,3,0)*0.475*44/12</f>
        <v>0.83530629444603899</v>
      </c>
      <c r="BS32" s="22">
        <f t="shared" si="9"/>
        <v>20.749007747888541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projet'!$A$123:$I$143,2,0)</f>
        <v>#N/A</v>
      </c>
      <c r="BW32" s="12" t="e">
        <f>VLOOKUP(A32,'Données projet'!$A$123:$I$143,9,0)</f>
        <v>#N/A</v>
      </c>
      <c r="BX32" s="12">
        <f t="array" ref="BX32">INDEX(BW:BW,MIN(IF(ISNUMBER(BW32:BW228),ROW(BW32:BW228),"")))</f>
        <v>9.8000000000000007</v>
      </c>
      <c r="BY32" s="12">
        <f>IF('Données projet'!$A$124&gt;35,BY31+BX32-CG31,IF(A32&lt;'Données projet'!$A$124,$BV$205^A32,IF(A32='Données projet'!$A$124,'Données projet'!$B$124,BY31+BX32-CG31)))</f>
        <v>139.20000000000002</v>
      </c>
      <c r="BZ32" s="13">
        <f>BY32*VLOOKUP('Données projet'!$B$12,Paramètres!$A$1:$I$89,3,0)*VLOOKUP('Données projet'!$B$12,Paramètres!$A$1:$I$89,5,0)</f>
        <v>145.49184000000002</v>
      </c>
      <c r="CA32" s="13">
        <f t="shared" si="69"/>
        <v>37.552277703979321</v>
      </c>
      <c r="CB32" s="20">
        <f t="shared" si="10"/>
        <v>318.80183833443067</v>
      </c>
      <c r="CC32" s="59">
        <f t="shared" si="11"/>
        <v>612.13517166776398</v>
      </c>
      <c r="CD32" s="59">
        <f ca="1">AVERAGE(OFFSET($CC$3,0,0,'Données projet'!$E$12+1,1))-AVERAGE(OFFSET($H$3,0,0,'Données projet'!$E$12+1,1))</f>
        <v>322.93502595881938</v>
      </c>
      <c r="CE32" s="59">
        <f t="shared" si="70"/>
        <v>302.67072119588164</v>
      </c>
      <c r="CF32" s="15">
        <f>IF(ISNA(VLOOKUP(A32,'Données projet'!$A$123:$I$143,3,0)),0,VLOOKUP(A32,'Données projet'!$A$123:$I$143,3,0))</f>
        <v>0</v>
      </c>
      <c r="CG32" s="15">
        <f>IF(ISNA(VLOOKUP(A32,'Données projet'!$A$123:$I$143,4,0)),0,VLOOKUP(A32,'Données projet'!$A$123:$I$143,4,0))</f>
        <v>0</v>
      </c>
      <c r="CH32" s="16">
        <f>IF(ISNA(VLOOKUP(A32,'Données projet'!$A$123:$I$143,5,0)),0%,VLOOKUP(A32,'Données projet'!$A$123:$I$143,5,0)*VLOOKUP('Données projet'!$B$12,Paramètres!$A$1:$I$89,7,0))</f>
        <v>0</v>
      </c>
      <c r="CI32" s="16">
        <f>IF(ISNA(VLOOKUP(A32,'Données projet'!$A$123:$I$143,6,0)),0%,VLOOKUP(A32,'Données projet'!$A$123:$I$143,6,0)*VLOOKUP('Données projet'!$B$12,Paramètres!$A$1:$I$89,7,0))</f>
        <v>0</v>
      </c>
      <c r="CJ32" s="16">
        <f>IF(ISNA(VLOOKUP(A32,'Données projet'!$A$123:$I$143,7,0)),0%,VLOOKUP(A32,'Données projet'!$A$123:$I$143,7,0))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projet'!$A$149:$I$169,2,0)</f>
        <v>#N/A</v>
      </c>
      <c r="CR32" s="12" t="e">
        <f>VLOOKUP(A32,'Données projet'!$A$149:$I$169,9,0)</f>
        <v>#N/A</v>
      </c>
      <c r="CS32" s="12">
        <f t="array" ref="CS32">INDEX(CR:CR,MIN(IF(ISNUMBER(CR32:CR228),ROW(CR32:CR228),"")))</f>
        <v>2.9235042735042733</v>
      </c>
      <c r="CT32" s="12">
        <f>IF('Données projet'!$A$150&gt;35,CT31+CS32-DB31,IF(A32&lt;'Données projet'!$A$150,$CQ$205^A32,IF(A32='Données projet'!$A$150,'Données projet'!$B$150,CT31+CS32-DB31)))</f>
        <v>75.55400457975604</v>
      </c>
      <c r="CU32" s="17">
        <f>CT32*VLOOKUP('Données projet'!$B$13,Paramètres!$A$1:$I$89,3,0)*VLOOKUP('Données projet'!$B$13,Paramètres!$A$1:$I$89,5,0)</f>
        <v>76.611760643872628</v>
      </c>
      <c r="CV32" s="13">
        <f t="shared" si="71"/>
        <v>21.306667002338269</v>
      </c>
      <c r="CW32" s="20">
        <f t="shared" si="13"/>
        <v>170.54126148381732</v>
      </c>
      <c r="CX32" s="59">
        <f t="shared" si="14"/>
        <v>463.87459481715064</v>
      </c>
      <c r="CY32" s="59">
        <f ca="1">AVERAGE(OFFSET($CX$3,0,0,'Données projet'!$E$13+1,1))-AVERAGE(OFFSET($H$3,0,0,'Données projet'!$E$13+1,1))</f>
        <v>250.31277422753283</v>
      </c>
      <c r="CZ32" s="59">
        <f t="shared" si="72"/>
        <v>159.20429420478047</v>
      </c>
      <c r="DA32" s="15">
        <f>IF(ISNA(VLOOKUP(A32,'Données projet'!$A$149:$I$169,3,0)),0,VLOOKUP(A32,'Données projet'!$A$149:$I$169,3,0))</f>
        <v>0</v>
      </c>
      <c r="DB32" s="15">
        <f>IF(ISNA(VLOOKUP(A32,'Données projet'!$A$149:$I$169,4,0)),0,VLOOKUP(A32,'Données projet'!$A$149:$I$169,4,0))</f>
        <v>0</v>
      </c>
      <c r="DC32" s="16">
        <f>IF(ISNA(VLOOKUP(A32,'Données projet'!$A$149:$I$169,5,0)),0%,VLOOKUP(A32,'Données projet'!$A$149:$I$169,5,0)*VLOOKUP('Données projet'!$B$13,Paramètres!$A$1:$I$89,7,0))</f>
        <v>0</v>
      </c>
      <c r="DD32" s="16">
        <f>IF(ISNA(VLOOKUP(A32,'Données projet'!$A$149:$I$169,6,0)),0%,VLOOKUP(A32,'Données projet'!$A$149:$I$169,6,0)*VLOOKUP('Données projet'!$B$13,Paramètres!$A$1:$I$89,7,0))</f>
        <v>0</v>
      </c>
      <c r="DE32" s="16">
        <f>IF(ISNA(VLOOKUP(A32,'Données projet'!$A$149:$I$169,7,0)),0%,VLOOKUP(A32,'Données projet'!$A$149:$I$169,7,0))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projet'!$A$175:$I$195,2,0)</f>
        <v>#N/A</v>
      </c>
      <c r="DM32" s="12" t="e">
        <f>VLOOKUP(A32,'Données projet'!$A$175:$I$195,9,0)</f>
        <v>#N/A</v>
      </c>
      <c r="DN32" s="12">
        <f t="array" ref="DN32">INDEX(DM:DM,MIN(IF(ISNUMBER(DM32:DM228),ROW(DM32:DM228),"")))</f>
        <v>16.399999999999999</v>
      </c>
      <c r="DO32" s="12">
        <f>IF('Données projet'!$A$176&gt;35,DO31+DN32-DW31,IF(A32&lt;'Données projet'!$A$176,$DL$205^A32,IF(A32='Données projet'!$A$176,'Données projet'!$B$176,DO31+DN32-DW31)))</f>
        <v>188.60000000000005</v>
      </c>
      <c r="DP32" s="17">
        <f>DO32*VLOOKUP('Données projet'!$B$14,Paramètres!$A$1:$I$89,3,0)*VLOOKUP('Données projet'!$B$14,Paramètres!$A$1:$I$89,5,0)</f>
        <v>138.28152000000003</v>
      </c>
      <c r="DQ32" s="13">
        <f t="shared" si="73"/>
        <v>35.903043322174675</v>
      </c>
      <c r="DR32" s="20">
        <f t="shared" si="16"/>
        <v>303.37144778612094</v>
      </c>
      <c r="DS32" s="59">
        <f t="shared" si="17"/>
        <v>596.70478111945431</v>
      </c>
      <c r="DT32" s="59">
        <f ca="1">AVERAGE(OFFSET($DS$3,0,0,'Données projet'!$E$14+1,1))-AVERAGE(OFFSET($H$3,0,0,'Données projet'!$E$14+1,1))</f>
        <v>296.91321813251051</v>
      </c>
      <c r="DU32" s="59">
        <f t="shared" si="74"/>
        <v>291.0718079639509</v>
      </c>
      <c r="DV32" s="15">
        <f>IF(ISNA(VLOOKUP(A32,'Données projet'!$A$175:$I$195,3,0)),0,VLOOKUP(A32,'Données projet'!$A$175:$I$195,3,0))</f>
        <v>0</v>
      </c>
      <c r="DW32" s="15">
        <f>IF(ISNA(VLOOKUP(A32,'Données projet'!$A$175:$I$195,4,0)),0,VLOOKUP(A32,'Données projet'!$A$175:$I$195,4,0))</f>
        <v>0</v>
      </c>
      <c r="DX32" s="16">
        <f>IF(ISNA(VLOOKUP(A32,'Données projet'!$A$175:$I$195,5,0)),0%,VLOOKUP(A32,'Données projet'!$A$175:$I$195,5,0)*VLOOKUP('Données projet'!$B$14,Paramètres!$A$1:$I$89,7,0))</f>
        <v>0</v>
      </c>
      <c r="DY32" s="16">
        <f>IF(ISNA(VLOOKUP(A32,'Données projet'!$A$175:$I$195,6,0)),0%,VLOOKUP(A32,'Données projet'!$A$175:$I$195,6,0)*VLOOKUP('Données projet'!$B$14,Paramètres!$A$1:$I$89,7,0))</f>
        <v>0</v>
      </c>
      <c r="DZ32" s="16">
        <f>IF(ISNA(VLOOKUP(A32,'Données projet'!$A$175:$I$195,7,0)),0%,VLOOKUP(A32,'Données projet'!$A$175:$I$195,7,0))</f>
        <v>0</v>
      </c>
      <c r="EA32" s="21">
        <f>EXP(-LN(2)/35)*EA31+(1-EXP(-LN(2)/35))/(LN(2)/35)*DW32*DX32*VLOOKUP('Données projet'!$B$14,Paramètres!$A$1:$I$89,3,0)*0.475*44/12</f>
        <v>1.8932672403536548</v>
      </c>
      <c r="EB32" s="21">
        <f>EXP(-LN(2)/25)*EB31+(1-EXP(-LN(2)/25))/(LN(2)/25)*Calculateur!DW32*Calculateur!DY32*VLOOKUP('Données projet'!$B$14,Paramètres!$A$1:$I$89,3,0)*0.475*44/12</f>
        <v>6.9747603972593391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8.8680276376129932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projet'!$A$201:$I$221,2,0)</f>
        <v>#N/A</v>
      </c>
      <c r="EH32" s="12" t="e">
        <f>VLOOKUP(A32,'Données projet'!$A$201:$I$221,9,0)</f>
        <v>#N/A</v>
      </c>
      <c r="EI32" s="12">
        <f t="array" ref="EI32">INDEX(EH:EH,MIN(IF(ISNUMBER(EH32:EH228),ROW(EH32:EH228),"")))</f>
        <v>3.4425641025641025</v>
      </c>
      <c r="EJ32" s="12">
        <f>IF('Données projet'!$A$202&gt;35,EJ31+EI32-ER31,IF(A32&lt;'Données projet'!$A$202,$EG$205^A32,IF(A32='Données projet'!$A$202,'Données projet'!$B$202,EJ31+EI32-ER31)))</f>
        <v>88.485039179856727</v>
      </c>
      <c r="EK32" s="17">
        <f>EJ32*VLOOKUP('Données projet'!$B$15,Paramètres!$A$1:$I$89,3,0)*VLOOKUP('Données projet'!$B$15,Paramètres!$A$1:$I$89,5,0)</f>
        <v>41.410998336172952</v>
      </c>
      <c r="EL32" s="13">
        <f t="shared" si="75"/>
        <v>12.371874273168087</v>
      </c>
      <c r="EM32" s="20">
        <f t="shared" si="19"/>
        <v>93.671836461268967</v>
      </c>
      <c r="EN32" s="59">
        <f t="shared" si="20"/>
        <v>387.0051697946023</v>
      </c>
      <c r="EO32" s="59">
        <f ca="1">AVERAGE(OFFSET($EN$3,0,0,'Données projet'!$E$15+1,1))-AVERAGE(OFFSET($H$3,0,0,'Données projet'!$E$15+1,1))</f>
        <v>147.64256291235483</v>
      </c>
      <c r="EP32" s="59">
        <f t="shared" si="76"/>
        <v>70.859031694091868</v>
      </c>
      <c r="EQ32" s="15">
        <f>IF(ISNA(VLOOKUP(A32,'Données projet'!$A$201:$I$221,3,0)),0,VLOOKUP(A32,'Données projet'!$A$201:$I$221,3,0))</f>
        <v>0</v>
      </c>
      <c r="ER32" s="15">
        <f>IF(ISNA(VLOOKUP(A32,'Données projet'!$A$201:$I$221,4,0)),0,VLOOKUP(A32,'Données projet'!$A$201:$I$221,4,0))</f>
        <v>0</v>
      </c>
      <c r="ES32" s="16">
        <f>IF(ISNA(VLOOKUP(A32,'Données projet'!$A$201:$I$221,5,0)),0%,VLOOKUP(A32,'Données projet'!$A$201:$I$221,5,0)*VLOOKUP('Données projet'!$B$15,Paramètres!$A$1:$I$89,7,0))</f>
        <v>0</v>
      </c>
      <c r="ET32" s="16">
        <f>IF(ISNA(VLOOKUP(A32,'Données projet'!$A$201:$I$221,6,0)),0%,VLOOKUP(A32,'Données projet'!$A$201:$I$221,6,0)*VLOOKUP('Données projet'!$B$15,Paramètres!$A$1:$I$89,7,0))</f>
        <v>0</v>
      </c>
      <c r="EU32" s="16">
        <f>IF(ISNA(VLOOKUP(A32,'Données projet'!$A$201:$I$221,7,0)),0%,VLOOKUP(A32,'Données projet'!$A$201:$I$221,7,0))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projet'!$A$227:$I$247,2,0)</f>
        <v>#N/A</v>
      </c>
      <c r="FC32" s="12" t="e">
        <f>VLOOKUP(A32,'Données projet'!$A$227:$I$247,9,0)</f>
        <v>#N/A</v>
      </c>
      <c r="FD32" s="12">
        <f t="array" ref="FD32">INDEX(FC:FC,MIN(IF(ISNUMBER(FC32:FC228),ROW(FC32:FC228),"")))</f>
        <v>8</v>
      </c>
      <c r="FE32" s="12">
        <f>IF('Données projet'!$A$228&gt;35,FE31+FD32-FM31,IF(A32&lt;'Données projet'!$A$228,$FB$205^A32,IF(A32='Données projet'!$A$228,'Données projet'!$B$228,FE31+FD32-FM31)))</f>
        <v>111</v>
      </c>
      <c r="FF32" s="17">
        <f>FE32*VLOOKUP('Données projet'!$B$16,Paramètres!$A$1:$I$89,3,0)*VLOOKUP('Données projet'!$B$16,Paramètres!$A$1:$I$89,5,0)</f>
        <v>116.01720000000002</v>
      </c>
      <c r="FG32" s="13">
        <f t="shared" si="77"/>
        <v>30.744259678399743</v>
      </c>
      <c r="FH32" s="20">
        <f t="shared" si="22"/>
        <v>255.60954227321292</v>
      </c>
      <c r="FI32" s="59">
        <f t="shared" si="23"/>
        <v>548.94287560654629</v>
      </c>
      <c r="FJ32" s="59">
        <f ca="1">AVERAGE(OFFSET($FI$3,0,0,'Données projet'!$E$16+1,1))-AVERAGE(OFFSET($H$3,0,0,'Données projet'!$E$16+1,1))</f>
        <v>259.03906550253788</v>
      </c>
      <c r="FK32" s="59">
        <f t="shared" si="78"/>
        <v>235.54542903570831</v>
      </c>
      <c r="FL32" s="15">
        <f>IF(ISNA(VLOOKUP(A32,'Données projet'!$A$227:$I$247,3,0)),0,VLOOKUP(A32,'Données projet'!$A$227:$I$247,3,0))</f>
        <v>0</v>
      </c>
      <c r="FM32" s="15">
        <f>IF(ISNA(VLOOKUP(A32,'Données projet'!$A$227:$I$247,4,0)),0,VLOOKUP(A32,'Données projet'!$A$227:$I$247,4,0))</f>
        <v>0</v>
      </c>
      <c r="FN32" s="16">
        <f>IF(ISNA(VLOOKUP(A32,'Données projet'!$A$227:$I$247,5,0)),0%,VLOOKUP(A32,'Données projet'!$A$227:$I$247,5,0)*VLOOKUP('Données projet'!$B$16,Paramètres!$A$1:$I$89,7,0))</f>
        <v>0</v>
      </c>
      <c r="FO32" s="16">
        <f>IF(ISNA(VLOOKUP(A32,'Données projet'!$A$227:$I$247,6,0)),0%,VLOOKUP(A32,'Données projet'!$A$227:$I$247,6,0)*VLOOKUP('Données projet'!$B$16,Paramètres!$A$1:$I$89,7,0))</f>
        <v>0</v>
      </c>
      <c r="FP32" s="16">
        <f>IF(ISNA(VLOOKUP(A32,'Données projet'!$A$227:$I$247,7,0)),0%,VLOOKUP(A32,'Données projet'!$A$227:$I$247,7,0))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projet'!$A$253:$I$273,2,0)</f>
        <v>#N/A</v>
      </c>
      <c r="FX32" s="12" t="e">
        <f>VLOOKUP(A32,'Données projet'!$A$253:$I$273,9,0)</f>
        <v>#N/A</v>
      </c>
      <c r="FY32" s="12">
        <f t="array" ref="FY32">INDEX(FX:FX,MIN(IF(ISNUMBER(FX32:FX228),ROW(FX32:FX228),"")))</f>
        <v>11.8</v>
      </c>
      <c r="FZ32" s="12">
        <f>IF('Données projet'!$A$254&gt;35,FZ31+FY32-GH31,IF(A32&lt;'Données projet'!$A$254,$FW$205^A32,IF(A32='Données projet'!$A$254,'Données projet'!$B$254,FZ31+FY32-GH31)))</f>
        <v>134.19999999999996</v>
      </c>
      <c r="GA32" s="17">
        <f>FZ32*VLOOKUP('Données projet'!$B$17,Paramètres!$A$1:$I$89,3,0)*VLOOKUP('Données projet'!$B$17,Paramètres!$A$1:$I$89,5,0)</f>
        <v>117.23711999999999</v>
      </c>
      <c r="GB32" s="13">
        <f t="shared" si="79"/>
        <v>31.029731926851227</v>
      </c>
      <c r="GC32" s="20">
        <f t="shared" si="25"/>
        <v>258.23143377259919</v>
      </c>
      <c r="GD32" s="59">
        <f t="shared" si="26"/>
        <v>551.56476710593256</v>
      </c>
      <c r="GE32" s="59">
        <f ca="1">AVERAGE(OFFSET($GD$3,0,0,'Données projet'!$E$17+1,1))-AVERAGE(OFFSET($H$3,0,0,'Données projet'!$E$17+1,1))</f>
        <v>245.1983232777614</v>
      </c>
      <c r="GF32" s="59">
        <f t="shared" si="80"/>
        <v>242.34010522344573</v>
      </c>
      <c r="GG32" s="15">
        <f>IF(ISNA(VLOOKUP(A32,'Données projet'!$A$253:$I$273,3,0)),0,VLOOKUP(A32,'Données projet'!$A$253:$I$273,3,0))</f>
        <v>0</v>
      </c>
      <c r="GH32" s="15">
        <f>IF(ISNA(VLOOKUP(A32,'Données projet'!$A$253:$I$273,4,0)),0,VLOOKUP(A32,'Données projet'!$A$253:$I$273,4,0))</f>
        <v>0</v>
      </c>
      <c r="GI32" s="16">
        <f>IF(ISNA(VLOOKUP(A32,'Données projet'!$A$253:$I$273,5,0)),0%,VLOOKUP(A32,'Données projet'!$A$253:$I$273,5,0)*VLOOKUP('Données projet'!$B$17,Paramètres!$A$1:$I$89,7,0))</f>
        <v>0</v>
      </c>
      <c r="GJ32" s="16">
        <f>IF(ISNA(VLOOKUP(A32,'Données projet'!$A$253:$I$273,6,0)),0%,VLOOKUP(A32,'Données projet'!$A$253:$I$273,6,0)*VLOOKUP('Données projet'!$B$17,Paramètres!$A$1:$I$89,7,0))</f>
        <v>0</v>
      </c>
      <c r="GK32" s="16">
        <f>IF(ISNA(VLOOKUP(A32,'Données projet'!$A$253:$I$273,7,0)),0%,VLOOKUP(A32,'Données projet'!$A$253:$I$273,7,0))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0.72561475490231431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0.72561475490231431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projet'!$A$279:$I$299,2,0)</f>
        <v>#N/A</v>
      </c>
      <c r="GS32" s="12" t="e">
        <f>VLOOKUP(A32,'Données projet'!$A$279:$I$299,9,0)</f>
        <v>#N/A</v>
      </c>
      <c r="GT32" s="12">
        <f t="array" ref="GT32">INDEX(GS:GS,MIN(IF(ISNUMBER(GS32:GS228),ROW(GS32:GS228),"")))</f>
        <v>21.6</v>
      </c>
      <c r="GU32" s="12">
        <f>IF('Données projet'!$A$280&gt;35,GU31+GT32-HC31,IF(A32&lt;'Données projet'!$A$280,$GR$205^A32,IF(A32='Données projet'!$A$280,'Données projet'!$B$280,GU31+GT32-HC31)))</f>
        <v>321.40000000000009</v>
      </c>
      <c r="GV32" s="17">
        <f>GU32*VLOOKUP('Données projet'!$B$18,Paramètres!$A$1:$I$89,3,0)*VLOOKUP('Données projet'!$B$18,Paramètres!$A$1:$I$89,5,0)</f>
        <v>129.52420000000004</v>
      </c>
      <c r="GW32" s="13">
        <f t="shared" si="81"/>
        <v>33.886392470956764</v>
      </c>
      <c r="GX32" s="20">
        <f t="shared" si="28"/>
        <v>284.60678188691639</v>
      </c>
      <c r="GY32" s="59">
        <f t="shared" si="29"/>
        <v>577.94011522024971</v>
      </c>
      <c r="GZ32" s="59">
        <f ca="1">AVERAGE(OFFSET($GY$3,0,0,'Données projet'!$E$18+1,1))-AVERAGE(OFFSET($H$3,0,0,'Données projet'!$E$18+1,1))</f>
        <v>324.36162935850876</v>
      </c>
      <c r="HA32" s="59">
        <f t="shared" si="82"/>
        <v>265.23571072429735</v>
      </c>
      <c r="HB32" s="15">
        <f>IF(ISNA(VLOOKUP(A32,'Données projet'!$A$279:$I$299,3,0)),0,VLOOKUP(A32,'Données projet'!$A$279:$I$299,3,0))</f>
        <v>0</v>
      </c>
      <c r="HC32" s="15">
        <f>IF(ISNA(VLOOKUP(A32,'Données projet'!$A$279:$I$299,4,0)),0,VLOOKUP(A32,'Données projet'!$A$279:$I$299,4,0))</f>
        <v>0</v>
      </c>
      <c r="HD32" s="16">
        <f>IF(ISNA(VLOOKUP(A32,'Données projet'!$A$279:$I$299,5,0)),0%,VLOOKUP(A32,'Données projet'!$A$279:$I$299,5,0)*VLOOKUP('Données projet'!$B$18,Paramètres!$A$1:$I$89,7,0))</f>
        <v>0</v>
      </c>
      <c r="HE32" s="16">
        <f>IF(ISNA(VLOOKUP(A32,'Données projet'!$A$279:$I$299,6,0)),0%,VLOOKUP(A32,'Données projet'!$A$279:$I$299,6,0)*VLOOKUP('Données projet'!$B$18,Paramètres!$A$1:$I$89,7,0))</f>
        <v>0</v>
      </c>
      <c r="HF32" s="16">
        <f>IF(ISNA(VLOOKUP($A32,'Données projet'!$A$279:$I$299,7,0)),0%,VLOOKUP($A32,'Données projet'!$A$279:$I$299,7,0))</f>
        <v>0</v>
      </c>
      <c r="HG32" s="21">
        <f>EXP(-LN(2)/35)*HG31+(1-EXP(-LN(2)/35))/(LN(2)/35)*HC32*HD32*VLOOKUP('Données projet'!$B$18,Paramètres!$A$1:$I$89,3,0)*0.475*44/12</f>
        <v>0</v>
      </c>
      <c r="HH32" s="21">
        <f>EXP(-LN(2)/25)*HH31+(1-EXP(-LN(2)/25))/(LN(2)/25)*Calculateur!HC32*Calculateur!HE32*VLOOKUP('Données projet'!$B$18,Paramètres!$A$1:$I$89,3,0)*0.475*44/12</f>
        <v>0.93618596415718702</v>
      </c>
      <c r="HI32" s="21">
        <f>EXP(-LN(2)/2)*HI31+(1-EXP(-LN(2)/2))/(LN(2)/2)*HC32*HF32*VLOOKUP('Données projet'!$B$18,Paramètres!$A$1:$I$89,3,0)*0.475*44/12</f>
        <v>2.1639126045971238</v>
      </c>
      <c r="HJ32" s="22">
        <f t="shared" si="30"/>
        <v>3.1000985687543108</v>
      </c>
      <c r="HK32" s="74">
        <f>('Scénario référence'!$F$8+'Scénario référence'!$F$9+'Scénario référence'!$B$17+'Scénario référence'!$B$9+'Scénario référence'!$B$10)*70+IF((45+25*(1-EXP(-0.0175*$A32)))&lt;70,'Scénario référence'!$B$16*(45+25*(1-EXP(-0.0175*$A32))),70*'Scénario référence'!$B$16)+IF((32+38*(1-EXP(-0.0175*$A32)))&lt;70,'Scénario référence'!$B$18*(32+38*(1-EXP(-0.0175*$A32))),70*'Scénario référence'!$B$18)</f>
        <v>70</v>
      </c>
      <c r="HL32" s="12">
        <f>IF($A32&gt;30,10,('Scénario référence'!$B$16+'Scénario référence'!$B$17+'Scénario référence'!$B$18+'Scénario référence'!$B$9+'Scénario référence'!$B$10)*$A32*10/30+('Scénario référence'!$F$8+'Scénario référence'!$F$9)*10)</f>
        <v>10</v>
      </c>
      <c r="HM32" s="12" t="e">
        <f>VLOOKUP($A32,'Données projet'!$A$304:$I$324,2,0)</f>
        <v>#N/A</v>
      </c>
      <c r="HN32" s="12" t="e">
        <f>VLOOKUP($A32,'Données projet'!$A$304:$I$324,9,0)</f>
        <v>#N/A</v>
      </c>
      <c r="HO32" s="12">
        <f t="array" ref="HO32">INDEX(HN:HN,MIN(IF(ISNUMBER(HN32:HN228),ROW(HN32:HN228),"")))</f>
        <v>0</v>
      </c>
      <c r="HP32" s="12">
        <f>IF('Données projet'!$A$304&gt;35,HP31+HO32-HX31,IF($A32&lt;'Données projet'!$A$304,$CQ$205^$A32,IF($A32='Données projet'!$A$304,'Données projet'!$B$304,HP31+HO32-HX31)))</f>
        <v>0</v>
      </c>
      <c r="HQ32" s="17">
        <f>HP32*VLOOKUP('Données projet'!$B$19,Paramètres!$A$1:$I$89,3,0)*VLOOKUP('Données projet'!$B$19,Paramètres!$A$1:$I$89,5,0)</f>
        <v>0</v>
      </c>
      <c r="HR32" s="13" t="e">
        <f t="shared" si="83"/>
        <v>#NUM!</v>
      </c>
      <c r="HS32" s="14" t="e">
        <f t="shared" si="31"/>
        <v>#NUM!</v>
      </c>
      <c r="HT32" s="59" t="e">
        <f t="shared" si="32"/>
        <v>#NUM!</v>
      </c>
      <c r="HU32" s="59">
        <f ca="1">AVERAGE(OFFSET(HT$3,0,0,'Données projet'!$E$19+1,1))-AVERAGE(OFFSET($H$3,0,0,'Données projet'!$E$19+1,1))</f>
        <v>91.60721429656013</v>
      </c>
      <c r="HV32" s="59">
        <f t="shared" si="84"/>
        <v>258.94957804210856</v>
      </c>
      <c r="HW32" s="15">
        <f>IF(ISNA(VLOOKUP($A32,'Données projet'!$A$304:$I$324,3,0)),0,VLOOKUP($A32,'Données projet'!$A$304:$I$324,3,0))</f>
        <v>0</v>
      </c>
      <c r="HX32" s="15">
        <f>IF(ISNA(VLOOKUP($A32,'Données projet'!$A$304:$I$324,4,0)),0,VLOOKUP($A32,'Données projet'!$A$304:$I$324,4,0))</f>
        <v>0</v>
      </c>
      <c r="HY32" s="16">
        <f>IF(ISNA(VLOOKUP($A32,'Données projet'!$A$304:$I$324,5,0)),0%,VLOOKUP($A32,'Données projet'!$A$304:$I$324,5,0)*VLOOKUP('Données projet'!$B$19,Paramètres!$A$1:$I$89,7,0))</f>
        <v>0</v>
      </c>
      <c r="HZ32" s="16">
        <f>IF(ISNA(VLOOKUP($A32,'Données projet'!$A$304:$I$324,6,0)),0%,VLOOKUP($A32,'Données projet'!$A$304:$I$324,6,0)*VLOOKUP('Données projet'!$B$19,Paramètres!$A$1:$I$89,7,0))</f>
        <v>0</v>
      </c>
      <c r="IA32" s="16">
        <f>IF(ISNA(VLOOKUP($A32,'Données projet'!$A$304:$I$324,7,0)),0%,VLOOKUP($A32,'Données projet'!$A$304:$I$324,7,0))</f>
        <v>0</v>
      </c>
      <c r="IB32" s="21">
        <f>EXP(-LN(2)/35)*IB31+(1-EXP(-LN(2)/35))/(LN(2)/35)*HX32*HY32*VLOOKUP('Données projet'!$B$19,Paramètres!$A$1:$I$89,3,0)*0.475*44/12</f>
        <v>50.319438204806353</v>
      </c>
      <c r="IC32" s="21">
        <f>EXP(-LN(2)/25)*IC31+(1-EXP(-LN(2)/25))/(LN(2)/25)*Calculateur!HX32*Calculateur!HZ32*VLOOKUP('Données projet'!$B$19,Paramètres!$A$1:$I$89,3,0)*0.475*44/12</f>
        <v>10.001210297670477</v>
      </c>
      <c r="ID32" s="21">
        <f>EXP(-LN(2)/2)*ID31+(1-EXP(-LN(2)/2))/(LN(2)/2)*HX32*IA32*VLOOKUP('Données projet'!$B$19,Paramètres!$A$1:$I$89,3,0)*0.475*44/12</f>
        <v>0.81013550850511329</v>
      </c>
      <c r="IE32" s="22">
        <f t="shared" si="33"/>
        <v>61.130784010981941</v>
      </c>
      <c r="IF32" s="74">
        <f>('Scénario référence'!$F$8+'Scénario référence'!$F$9+'Scénario référence'!$B$17+'Scénario référence'!$B$9+'Scénario référence'!$B$10)*70+IF((45+25*(1-EXP(-0.0175*$A32)))&lt;70,'Scénario référence'!$B$16*(45+25*(1-EXP(-0.0175*$A32))),70*'Scénario référence'!$B$16)+IF((32+38*(1-EXP(-0.0175*$A32)))&lt;70,'Scénario référence'!$B$18*(32+38*(1-EXP(-0.0175*$A32))),70*'Scénario référence'!$B$18)</f>
        <v>70</v>
      </c>
      <c r="IG32" s="12">
        <f>IF($A32&gt;30,10,('Scénario référence'!$B$16+'Scénario référence'!$B$17+'Scénario référence'!$B$18+'Scénario référence'!$B$9+'Scénario référence'!$B$10)*$A32*10/30+('Scénario référence'!$F$8+'Scénario référence'!$F$9)*10)</f>
        <v>10</v>
      </c>
      <c r="IH32" s="12" t="e">
        <f>VLOOKUP($A32,'Données projet'!$A$330:$I$350,2,0)</f>
        <v>#N/A</v>
      </c>
      <c r="II32" s="12" t="e">
        <f>VLOOKUP($A32,'Données projet'!$A$330:$I$350,9,0)</f>
        <v>#N/A</v>
      </c>
      <c r="IJ32" s="12">
        <f t="array" ref="IJ32">INDEX(II:II,MIN(IF(ISNUMBER(II32:II228),ROW(II32:II228),"")))</f>
        <v>0</v>
      </c>
      <c r="IK32" s="12">
        <f>IF('Données projet'!$A$330&gt;35,IK31+IJ32-IS31,IF($A32&lt;'Données projet'!$A$330,$CQ$205^$A32,IF($A32='Données projet'!$A$330,'Données projet'!$B$330,IK31+IJ32-IS31)))</f>
        <v>0</v>
      </c>
      <c r="IL32" s="17">
        <f>IK32*VLOOKUP('Données projet'!$B$20,Paramètres!$A$1:$I$89,3,0)*VLOOKUP('Données projet'!$B$20,Paramètres!$A$1:$I$89,5,0)</f>
        <v>0</v>
      </c>
      <c r="IM32" s="13" t="e">
        <f t="shared" si="85"/>
        <v>#NUM!</v>
      </c>
      <c r="IN32" s="20" t="e">
        <f t="shared" si="86"/>
        <v>#NUM!</v>
      </c>
      <c r="IO32" s="59" t="e">
        <f t="shared" si="87"/>
        <v>#NUM!</v>
      </c>
      <c r="IP32" s="59">
        <f ca="1">AVERAGE(OFFSET(IO$3,0,0,'Données projet'!$E$20+1,1))-AVERAGE(OFFSET($H$3,0,0,'Données projet'!$E$20+1,1))</f>
        <v>91.60721429656013</v>
      </c>
      <c r="IQ32" s="59">
        <f t="shared" si="88"/>
        <v>258.94957804210856</v>
      </c>
      <c r="IR32" s="15">
        <f>IF(ISNA(VLOOKUP($A32,'Données projet'!$A$330:$I$350,3,0)),0,VLOOKUP($A32,'Données projet'!$A$330:$I$350,3,0))</f>
        <v>0</v>
      </c>
      <c r="IS32" s="15">
        <f>IF(ISNA(VLOOKUP($A32,'Données projet'!$A$330:$I$350,4,0)),0,VLOOKUP($A32,'Données projet'!$A$330:$I$350,4,0))</f>
        <v>0</v>
      </c>
      <c r="IT32" s="16">
        <f>IF(ISNA(VLOOKUP($A32,'Données projet'!$A$330:$I$350,5,0)),0%,VLOOKUP($A32,'Données projet'!$A$330:$I$350,5,0)*VLOOKUP('Données projet'!$B$20,Paramètres!$A$1:$I$89,7,0))</f>
        <v>0</v>
      </c>
      <c r="IU32" s="16">
        <f>IF(ISNA(VLOOKUP($A32,'Données projet'!$A$330:$I$350,6,0)),0%,VLOOKUP($A32,'Données projet'!$A$330:$I$350,6,0)*VLOOKUP('Données projet'!$B$20,Paramètres!$A$1:$I$89,7,0))</f>
        <v>0</v>
      </c>
      <c r="IV32" s="16">
        <f>IF(ISNA(VLOOKUP($A32,'Données projet'!$A$330:$I$350,7,0)),0%,VLOOKUP($A32,'Données projet'!$A$330:$I$350,7,0))</f>
        <v>0</v>
      </c>
      <c r="IW32" s="21">
        <f>EXP(-LN(2)/35)*IW31+(1-EXP(-LN(2)/35))/(LN(2)/35)*IS32*IT32*VLOOKUP('Données projet'!$B$20,Paramètres!$A$1:$I$89,3,0)*0.475*44/12</f>
        <v>50.319438204806353</v>
      </c>
      <c r="IX32" s="21">
        <f>EXP(-LN(2)/25)*IX31+(1-EXP(-LN(2)/25))/(LN(2)/25)*Calculateur!IS32*Calculateur!IU32*VLOOKUP('Données projet'!$B$20,Paramètres!$A$1:$I$89,3,0)*0.475*44/12</f>
        <v>10.001210297670477</v>
      </c>
      <c r="IY32" s="21">
        <f>EXP(-LN(2)/2)*IY31+(1-EXP(-LN(2)/2))/(LN(2)/2)*IS32*IV32*VLOOKUP('Données projet'!$B$20,Paramètres!$A$1:$I$89,3,0)*0.475*44/12</f>
        <v>0.81013550850511329</v>
      </c>
      <c r="IZ32" s="22">
        <f t="shared" si="89"/>
        <v>61.130784010981941</v>
      </c>
      <c r="JA32" s="74">
        <f>('Scénario référence'!$F$8+'Scénario référence'!$F$9+'Scénario référence'!$B$17+'Scénario référence'!$B$9+'Scénario référence'!$B$10)*70+IF((45+25*(1-EXP(-0.0175*$A32)))&lt;70,'Scénario référence'!$B$16*(45+25*(1-EXP(-0.0175*$A32))),70*'Scénario référence'!$B$16)+IF((32+38*(1-EXP(-0.0175*$A32)))&lt;70,'Scénario référence'!$B$18*(32+38*(1-EXP(-0.0175*$A32))),70*'Scénario référence'!$B$18)</f>
        <v>70</v>
      </c>
      <c r="JB32" s="12">
        <f>IF($A32&gt;30,10,('Scénario référence'!$B$16+'Scénario référence'!$B$17+'Scénario référence'!$B$18+'Scénario référence'!$B$9+'Scénario référence'!$B$10)*$A32*10/30+('Scénario référence'!$F$8+'Scénario référence'!$F$9)*10)</f>
        <v>10</v>
      </c>
      <c r="JC32" s="12" t="e">
        <f>VLOOKUP($A32,'Données projet'!$A$356:$I$376,2,0)</f>
        <v>#N/A</v>
      </c>
      <c r="JD32" s="12" t="e">
        <f>VLOOKUP($A32,'Données projet'!$A$356:$I$376,9,0)</f>
        <v>#N/A</v>
      </c>
      <c r="JE32" s="12">
        <f t="array" ref="JE32">INDEX(JD:JD,MIN(IF(ISNUMBER(JD32:JD228),ROW(JD32:JD228),"")))</f>
        <v>9.4</v>
      </c>
      <c r="JF32" s="12">
        <f>IF('Données projet'!$A$356&gt;35,JF31+JE32-JN31,IF($A32&lt;'Données projet'!$A$356,$CQ$205^$A32,IF($A32='Données projet'!$A$356,'Données projet'!$B$356,JF31+JE32-JN31)))</f>
        <v>106.60000000000004</v>
      </c>
      <c r="JG32" s="17">
        <f>JF32*VLOOKUP('Données projet'!$B$21,Paramètres!$A$1:$I$89,3,0)*VLOOKUP('Données projet'!$B$21,Paramètres!$A$1:$I$89,5,0)</f>
        <v>86.473920000000035</v>
      </c>
      <c r="JH32" s="13">
        <f t="shared" si="90"/>
        <v>23.712851440139524</v>
      </c>
      <c r="JI32" s="20">
        <f t="shared" si="91"/>
        <v>191.90862692490973</v>
      </c>
      <c r="JJ32" s="59">
        <f t="shared" si="92"/>
        <v>485.24196025824301</v>
      </c>
      <c r="JK32" s="59">
        <f ca="1">AVERAGE(OFFSET($JJ$3,0,0,'Données projet'!$E$22+1,1))-AVERAGE(OFFSET($H$3,0,0,'Données projet'!$E$22+1,1))</f>
        <v>353.35574633294613</v>
      </c>
      <c r="JL32" s="59">
        <f t="shared" si="93"/>
        <v>170.36796666474726</v>
      </c>
      <c r="JM32" s="15">
        <f>IF(ISNA(VLOOKUP($A32,'Données projet'!$A$356:$I$376,3,0)),0,VLOOKUP($A32,'Données projet'!$A$356:$I$376,3,0))</f>
        <v>0</v>
      </c>
      <c r="JN32" s="15">
        <f>IF(ISNA(VLOOKUP($A32,'Données projet'!$A$356:$I$376,4,0)),0,VLOOKUP($A32,'Données projet'!$A$356:$I$376,4,0))</f>
        <v>0</v>
      </c>
      <c r="JO32" s="16">
        <f>IF(ISNA(VLOOKUP($A32,'Données projet'!$A$356:$I$376,5,0)),0%,VLOOKUP($A32,'Données projet'!$A$356:$I$376,5,0)*VLOOKUP('Données projet'!$B$21,Paramètres!$A$1:$I$89,7,0))</f>
        <v>0</v>
      </c>
      <c r="JP32" s="16">
        <f>IF(ISNA(VLOOKUP($A32,'Données projet'!$A$356:$I$376,6,0)),0%,VLOOKUP($A32,'Données projet'!$A$356:$I$376,6,0)*VLOOKUP('Données projet'!$B$21,Paramètres!$A$1:$I$89,7,0))</f>
        <v>0</v>
      </c>
      <c r="JQ32" s="16">
        <f>IF(ISNA(VLOOKUP($A32,'Données projet'!$A$356:$I$376,7,0)),0%,VLOOKUP($A32,'Données projet'!$A$356:$I$376,7,0))</f>
        <v>0</v>
      </c>
      <c r="JR32" s="21">
        <f>EXP(-LN(2)/35)*JR31+(1-EXP(-LN(2)/35))/(LN(2)/35)*JN32*JO32*VLOOKUP('Données projet'!$B$21,Paramètres!$A$1:$I$89,3,0)*0.475*44/12</f>
        <v>0</v>
      </c>
      <c r="JS32" s="21">
        <f>EXP(-LN(2)/25)*JS31+(1-EXP(-LN(2)/25))/(LN(2)/25)*Calculateur!JN32*Calculateur!JP32*VLOOKUP('Données projet'!$B$21,Paramètres!$A$1:$I$89,3,0)*0.475*44/12</f>
        <v>0</v>
      </c>
      <c r="JT32" s="21">
        <f>EXP(-LN(2)/2)*JT31+(1-EXP(-LN(2)/2))/(LN(2)/2)*JN32*JQ32*VLOOKUP('Données projet'!$B$21,Paramètres!$A$1:$I$89,3,0)*0.475*44/12</f>
        <v>0</v>
      </c>
      <c r="JU32" s="18">
        <f t="shared" si="39"/>
        <v>0</v>
      </c>
      <c r="JV32" s="74">
        <f>('Scénario référence'!$F$8+'Scénario référence'!$F$9+'Scénario référence'!$B$17+'Scénario référence'!$B$9+'Scénario référence'!$B$10)*70+IF((45+25*(1-EXP(-0.0175*$A32)))&lt;70,'Scénario référence'!$B$16*(45+25*(1-EXP(-0.0175*$A32))),70*'Scénario référence'!$B$16)+IF((32+38*(1-EXP(-0.0175*$A32)))&lt;70,'Scénario référence'!$B$18*(32+38*(1-EXP(-0.0175*$A32))),70*'Scénario référence'!$B$18)</f>
        <v>70</v>
      </c>
      <c r="JW32" s="12">
        <f>IF($A32&gt;30,10,('Scénario référence'!$B$16+'Scénario référence'!$B$17+'Scénario référence'!$B$18+'Scénario référence'!$B$9+'Scénario référence'!$B$10)*$A32*10/30+('Scénario référence'!$F$8+'Scénario référence'!$F$9)*10)</f>
        <v>10</v>
      </c>
      <c r="JX32" s="12" t="e">
        <f>VLOOKUP($A32,'Données projet'!$A$382:$I$402,2,0)</f>
        <v>#N/A</v>
      </c>
      <c r="JY32" s="12" t="e">
        <f>VLOOKUP($A32,'Données projet'!$A$382:$I$402,9,0)</f>
        <v>#N/A</v>
      </c>
      <c r="JZ32" s="12">
        <f t="array" ref="JZ32">INDEX(JY:JY,MIN(IF(ISNUMBER(JY32:JY228),ROW(JY32:JY228),"")))</f>
        <v>4.0628205128205126</v>
      </c>
      <c r="KA32" s="12">
        <f>IF('Données projet'!$A$382&gt;35,KA31+JZ32-KI31,IF($A32&lt;'Données projet'!$A$382,$CQ$205^$A32,IF($A32='Données projet'!$A$382,'Données projet'!$B$382,KA31+JZ32-KI31)))</f>
        <v>117.82179487179482</v>
      </c>
      <c r="KB32" s="17">
        <f>KA32*VLOOKUP('Données projet'!$B$22,Paramètres!$A$1:$I$89,3,0)*VLOOKUP('Données projet'!$B$22,Paramètres!$A$1:$I$89,5,0)</f>
        <v>79.034859999999966</v>
      </c>
      <c r="KC32" s="13">
        <f t="shared" si="94"/>
        <v>21.901035940455767</v>
      </c>
      <c r="KD32" s="20">
        <f t="shared" si="95"/>
        <v>175.79668542962705</v>
      </c>
      <c r="KE32" s="59">
        <f t="shared" si="96"/>
        <v>469.13001876296039</v>
      </c>
      <c r="KF32" s="59">
        <f ca="1">AVERAGE(OFFSET($KE$3,0,0,'Données projet'!$E$22+1,1))-AVERAGE(OFFSET($H$3,0,0,'Données projet'!$E$22+1,1))</f>
        <v>193.91714772848269</v>
      </c>
      <c r="KG32" s="59">
        <f t="shared" si="97"/>
        <v>159.20429420478047</v>
      </c>
      <c r="KH32" s="15">
        <f>IF(ISNA(VLOOKUP($A32,'Données projet'!$A$382:$I$402,3,0)),0,VLOOKUP($A32,'Données projet'!$A$382:$I$402,3,0))</f>
        <v>0</v>
      </c>
      <c r="KI32" s="15">
        <f>IF(ISNA(VLOOKUP($A32,'Données projet'!$A$382:$I$402,4,0)),0,VLOOKUP($A32,'Données projet'!$A$382:$I$402,4,0))</f>
        <v>0</v>
      </c>
      <c r="KJ32" s="16">
        <f>IF(ISNA(VLOOKUP($A32,'Données projet'!$A$382:$I$402,5,0)),0%,VLOOKUP($A32,'Données projet'!$A$382:$I$402,5,0)*VLOOKUP('Données projet'!$B$22,Paramètres!$A$1:$I$89,7,0))</f>
        <v>0</v>
      </c>
      <c r="KK32" s="16">
        <f>IF(ISNA(VLOOKUP($A32,'Données projet'!$A$382:$I$402,6,0)),0%,VLOOKUP($A32,'Données projet'!$A$382:$I$402,6,0)*VLOOKUP('Données projet'!$B$22,Paramètres!$A$1:$I$89,7,0))</f>
        <v>0</v>
      </c>
      <c r="KL32" s="16">
        <f>IF(ISNA(VLOOKUP($A32,'Données projet'!$A$382:$I$402,7,0)),0%,VLOOKUP($A32,'Données projet'!$A$382:$I$402,7,0))</f>
        <v>0</v>
      </c>
      <c r="KM32" s="21">
        <f>EXP(-LN(2)/35)*KM31+(1-EXP(-LN(2)/35))/(LN(2)/35)*KI32*KJ32*VLOOKUP('Données projet'!$B$22,Paramètres!$A$1:$I$89,3,0)*0.475*44/12</f>
        <v>0</v>
      </c>
      <c r="KN32" s="21">
        <f>EXP(-LN(2)/25)*KN31+(1-EXP(-LN(2)/25))/(LN(2)/25)*Calculateur!KI32*Calculateur!KK32*VLOOKUP('Données projet'!$B$22,Paramètres!$A$1:$I$89,3,0)*0.475*44/12</f>
        <v>0</v>
      </c>
      <c r="KO32" s="21">
        <f>EXP(-LN(2)/2)*KO31+(1-EXP(-LN(2)/2))/(LN(2)/2)*KI32*KL32*VLOOKUP('Données projet'!$B$22,Paramètres!$A$1:$I$89,3,0)*0.475*44/12</f>
        <v>0</v>
      </c>
      <c r="KP32" s="22">
        <f t="shared" si="98"/>
        <v>0</v>
      </c>
      <c r="KQ32" s="74">
        <f>('Scénario référence'!$F$8+'Scénario référence'!$F$9+'Scénario référence'!$B$17+'Scénario référence'!$B$9+'Scénario référence'!$B$10)*70+IF((45+25*(1-EXP(-0.0175*$A32)))&lt;70,'Scénario référence'!$B$16*(45+25*(1-EXP(-0.0175*$A32))),70*'Scénario référence'!$B$16)+IF((32+38*(1-EXP(-0.0175*$A32)))&lt;70,'Scénario référence'!$B$18*(32+38*(1-EXP(-0.0175*$A32))),70*'Scénario référence'!$B$18)</f>
        <v>70</v>
      </c>
      <c r="KR32" s="12">
        <f>IF($A32&gt;30,10,('Scénario référence'!$B$16+'Scénario référence'!$B$17+'Scénario référence'!$B$18+'Scénario référence'!$B$9+'Scénario référence'!$B$10)*$A32*10/30+('Scénario référence'!$F$8+'Scénario référence'!$F$9)*10)</f>
        <v>10</v>
      </c>
      <c r="KS32" s="12" t="e">
        <f>VLOOKUP($A32,'Données projet'!$A$408:$I$428,2,0)</f>
        <v>#N/A</v>
      </c>
      <c r="KT32" s="12" t="e">
        <f>VLOOKUP($A32,'Données projet'!$A$408:$I$428,9,0)</f>
        <v>#N/A</v>
      </c>
      <c r="KU32" s="12">
        <f t="array" ref="KU32">INDEX(KT:KT,MIN(IF(ISNUMBER(KT32:KT228),ROW(KT32:KT228),"")))</f>
        <v>11.8</v>
      </c>
      <c r="KV32" s="12">
        <f>IF('Données projet'!$A$408&gt;35,KV31+KU32-LD31,IF($A32&lt;'Données projet'!$A$408,$CQ$205^$A32,IF($A32='Données projet'!$A$408,'Données projet'!$B$408,KV31+KU32-LD31)))</f>
        <v>134.19999999999999</v>
      </c>
      <c r="KW32" s="17">
        <f>KV32*VLOOKUP('Données projet'!$B$23,Paramètres!$A$1:$I$89,3,0)*VLOOKUP('Données projet'!$B$23,Paramètres!$A$1:$I$89,5,0)</f>
        <v>117.23712</v>
      </c>
      <c r="KX32" s="13">
        <f t="shared" si="99"/>
        <v>31.029731926851227</v>
      </c>
      <c r="KY32" s="14">
        <f t="shared" si="43"/>
        <v>258.23143377259925</v>
      </c>
      <c r="KZ32" s="59">
        <f t="shared" si="44"/>
        <v>551.56476710593256</v>
      </c>
      <c r="LA32" s="59">
        <f ca="1">AVERAGE(OFFSET($KZ$3,0,0,'Données projet'!$E$23+1,1))-AVERAGE(OFFSET($H$3,0,0,'Données projet'!$E$23+1,1))</f>
        <v>248.33596943633819</v>
      </c>
      <c r="LB32" s="59">
        <f t="shared" si="100"/>
        <v>242.34010522344573</v>
      </c>
      <c r="LC32" s="15">
        <f>IF(ISNA(VLOOKUP($A32,'Données projet'!$A$408:$I$428,3,0)),0,VLOOKUP($A32,'Données projet'!$A$408:$I$428,3,0))</f>
        <v>0</v>
      </c>
      <c r="LD32" s="15">
        <f>IF(ISNA(VLOOKUP($A32,'Données projet'!$A$408:$I$428,4,0)),0,VLOOKUP($A32,'Données projet'!$A$408:$I$428,4,0))</f>
        <v>0</v>
      </c>
      <c r="LE32" s="16">
        <f>IF(ISNA(VLOOKUP($A32,'Données projet'!$A$408:$I$428,5,0)),0%,VLOOKUP($A32,'Données projet'!$A$408:$I$428,5,0)*VLOOKUP('Données projet'!$B$23,Paramètres!$A$1:$I$89,7,0))</f>
        <v>0</v>
      </c>
      <c r="LF32" s="16">
        <f>IF(ISNA(VLOOKUP($A32,'Données projet'!$A$408:$I$428,6,0)),0%,VLOOKUP($A32,'Données projet'!$A$408:$I$428,6,0)*VLOOKUP('Données projet'!$B$23,Paramètres!$A$1:$I$89,7,0))</f>
        <v>0</v>
      </c>
      <c r="LG32" s="16">
        <f>IF(ISNA(VLOOKUP($A32,'Données projet'!$A$408:$I$428,7,0)),0%,VLOOKUP($A32,'Données projet'!$A$408:$I$428,7,0))</f>
        <v>0</v>
      </c>
      <c r="LH32" s="21">
        <f>EXP(-LN(2)/35)*LH31+(1-EXP(-LN(2)/35))/(LN(2)/35)*LD32*LE32*VLOOKUP('Données projet'!$B$23,Paramètres!$A$1:$I$89,3,0)*0.475*44/12</f>
        <v>0</v>
      </c>
      <c r="LI32" s="21">
        <f>EXP(-LN(2)/25)*LI31+(1-EXP(-LN(2)/25))/(LN(2)/25)*Calculateur!LD32*Calculateur!LF32*VLOOKUP('Données projet'!$B$23,Paramètres!$A$1:$I$89,3,0)*0.475*44/12</f>
        <v>0.72561475490231431</v>
      </c>
      <c r="LJ32" s="21">
        <f>EXP(-LN(2)/2)*LJ31+(1-EXP(-LN(2)/2))/(LN(2)/2)*LD32*LG32*VLOOKUP('Données projet'!$B$23,Paramètres!$A$1:$I$89,3,0)*0.475*44/12</f>
        <v>0</v>
      </c>
      <c r="LK32" s="22">
        <f t="shared" si="101"/>
        <v>0.72561475490231431</v>
      </c>
      <c r="LL32" s="74">
        <f>('Scénario référence'!$F$8+'Scénario référence'!$F$9+'Scénario référence'!$B$17+'Scénario référence'!$B$9+'Scénario référence'!$B$10)*70+IF((45+25*(1-EXP(-0.0175*$A32)))&lt;70,'Scénario référence'!$B$16*(45+25*(1-EXP(-0.0175*$A32))),70*'Scénario référence'!$B$16)+IF((32+38*(1-EXP(-0.0175*$A32)))&lt;70,'Scénario référence'!$B$18*(32+38*(1-EXP(-0.0175*$A32))),70*'Scénario référence'!$B$18)</f>
        <v>70</v>
      </c>
      <c r="LM32" s="12">
        <f>IF($A32&gt;30,10,('Scénario référence'!$B$16+'Scénario référence'!$B$17+'Scénario référence'!$B$18+'Scénario référence'!$B$9+'Scénario référence'!$B$10)*$A32*10/30+('Scénario référence'!$F$8+'Scénario référence'!$F$9)*10)</f>
        <v>10</v>
      </c>
      <c r="LN32" s="12" t="e">
        <f>VLOOKUP($A32,'Données projet'!$A$434:$I$454,2,0)</f>
        <v>#N/A</v>
      </c>
      <c r="LO32" s="12" t="e">
        <f>VLOOKUP($A32,'Données projet'!$A$434:$I$454,9,0)</f>
        <v>#N/A</v>
      </c>
      <c r="LP32" s="12">
        <f t="array" ref="LP32">INDEX(LO:LO,MIN(IF(ISNUMBER(LO32:LO228),ROW(LO32:LO228),"")))</f>
        <v>2.9235042735042733</v>
      </c>
      <c r="LQ32" s="12">
        <f>IF('Données projet'!$A$434&gt;35,LQ31+LP32-LY31,IF($A32&lt;'Données projet'!$A$434,$CQ$205^$A32,IF($A32='Données projet'!$A$434,'Données projet'!$B$434,LQ31+LP32-LY31)))</f>
        <v>84.78162393162394</v>
      </c>
      <c r="LR32" s="17">
        <f>LQ32*VLOOKUP('Données projet'!$B$24,Paramètres!$A$1:$I$89,3,0)*VLOOKUP('Données projet'!$B$24,Paramètres!$A$1:$I$89,5,0)</f>
        <v>85.968566666666689</v>
      </c>
      <c r="LS32" s="13">
        <f t="shared" si="102"/>
        <v>23.590362328419491</v>
      </c>
      <c r="LT32" s="14">
        <f t="shared" si="46"/>
        <v>190.81513466644174</v>
      </c>
      <c r="LU32" s="59">
        <f t="shared" si="103"/>
        <v>484.14846799977505</v>
      </c>
      <c r="LV32" s="59">
        <f ca="1">AVERAGE(OFFSET($LU$3,0,0,'Données projet'!$E$24+1,1))-AVERAGE(OFFSET($H$3,0,0,'Données projet'!$E$24+1,1))</f>
        <v>260.52627655062872</v>
      </c>
      <c r="LW32" s="59">
        <f t="shared" si="104"/>
        <v>159.20429420478047</v>
      </c>
      <c r="LX32" s="15">
        <f>IF(ISNA(VLOOKUP($A32,'Données projet'!$A$434:$I$454,3,0)),0,VLOOKUP($A32,'Données projet'!$A$434:$I$454,3,0))</f>
        <v>0</v>
      </c>
      <c r="LY32" s="15">
        <f>IF(ISNA(VLOOKUP($A32,'Données projet'!$A$434:$I$454,4,0)),0,VLOOKUP($A32,'Données projet'!$A$434:$I$454,4,0))</f>
        <v>0</v>
      </c>
      <c r="LZ32" s="16">
        <f>IF(ISNA(VLOOKUP($A32,'Données projet'!$A$434:$I$454,5,0)),0%,VLOOKUP($A32,'Données projet'!$A$434:$I$454,5,0)*VLOOKUP('Données projet'!$B$24,Paramètres!$A$1:$I$89,7,0))</f>
        <v>0</v>
      </c>
      <c r="MA32" s="16">
        <f>IF(ISNA(VLOOKUP($A32,'Données projet'!$A$434:$I$454,6,0)),0%,VLOOKUP($A32,'Données projet'!$A$434:$I$454,6,0)*VLOOKUP('Données projet'!$B$24,Paramètres!$A$1:$I$89,7,0))</f>
        <v>0</v>
      </c>
      <c r="MB32" s="16">
        <f>IF(ISNA(VLOOKUP($A32,'Données projet'!$A$434:$I$454,7,0)),0%,VLOOKUP($A32,'Données projet'!$A$434:$I$454,7,0))</f>
        <v>0</v>
      </c>
      <c r="MC32" s="21">
        <f>EXP(-LN(2)/35)*MC31+(1-EXP(-LN(2)/35))/(LN(2)/35)*LY32*LZ32*VLOOKUP('Données projet'!$B$24,Paramètres!$A$1:$I$89,3,0)*0.475*44/12</f>
        <v>0</v>
      </c>
      <c r="MD32" s="21">
        <f>EXP(-LN(2)/25)*MD31+(1-EXP(-LN(2)/25))/(LN(2)/25)*Calculateur!LY32*Calculateur!MA32*VLOOKUP('Données projet'!$B$24,Paramètres!$A$1:$I$89,3,0)*0.475*44/12</f>
        <v>0</v>
      </c>
      <c r="ME32" s="21">
        <f>EXP(-LN(2)/2)*ME31+(1-EXP(-LN(2)/2))/(LN(2)/2)*LY32*MB32*VLOOKUP('Données projet'!$B$24,Paramètres!$A$1:$I$89,3,0)*0.475*44/12</f>
        <v>0</v>
      </c>
      <c r="MF32" s="22">
        <f t="shared" si="105"/>
        <v>0</v>
      </c>
      <c r="MG32" s="74">
        <f>('Scénario référence'!$F$8+'Scénario référence'!$F$9+'Scénario référence'!$B$17+'Scénario référence'!$B$9+'Scénario référence'!$B$10)*70+IF((45+25*(1-EXP(-0.0175*$A32)))&lt;70,'Scénario référence'!$B$16*(45+25*(1-EXP(-0.0175*$A32))),70*'Scénario référence'!$B$16)+IF((32+38*(1-EXP(-0.0175*$A32)))&lt;70,'Scénario référence'!$B$18*(32+38*(1-EXP(-0.0175*$A32))),70*'Scénario référence'!$B$18)</f>
        <v>70</v>
      </c>
      <c r="MH32" s="12">
        <f>IF($A32&gt;30,10,('Scénario référence'!$B$16+'Scénario référence'!$B$17+'Scénario référence'!$B$18+'Scénario référence'!$B$9+'Scénario référence'!$B$10)*$A32*10/30+('Scénario référence'!$F$8+'Scénario référence'!$F$9)*10)</f>
        <v>10</v>
      </c>
      <c r="MI32" s="12" t="e">
        <f>VLOOKUP($A32,'Données projet'!$A$460:$I$480,2,0)</f>
        <v>#N/A</v>
      </c>
      <c r="MJ32" s="12" t="e">
        <f>VLOOKUP($A32,'Données projet'!$A$460:$I$480,9,0)</f>
        <v>#N/A</v>
      </c>
      <c r="MK32" s="12">
        <f t="array" ref="MK32">INDEX(MJ:MJ,MIN(IF(ISNUMBER(MJ32:MJ228),ROW(MJ32:MJ228),"")))</f>
        <v>0</v>
      </c>
      <c r="ML32" s="12">
        <f>IF('Données projet'!$A$460&gt;35,ML31+MK32-MT31,IF($A32&lt;'Données projet'!$A$460,$CQ$205^$A32,IF($A32='Données projet'!$A$460,'Données projet'!$B$460,ML31+MK32-MT31)))</f>
        <v>0</v>
      </c>
      <c r="MM32" s="17" t="e">
        <f>ML32*VLOOKUP('Données projet'!$B$25,Paramètres!$A$1:$I$89,3,0)*VLOOKUP('Données projet'!$B$25,Paramètres!$A$1:$I$89,5,0)</f>
        <v>#N/A</v>
      </c>
      <c r="MN32" s="13" t="e">
        <f t="shared" si="106"/>
        <v>#N/A</v>
      </c>
      <c r="MO32" s="14" t="e">
        <f t="shared" si="49"/>
        <v>#N/A</v>
      </c>
      <c r="MP32" s="59" t="e">
        <f t="shared" si="50"/>
        <v>#N/A</v>
      </c>
      <c r="MQ32" s="20" t="e">
        <f ca="1">AVERAGE(OFFSET($MP$3,0,0,'Données projet'!$E$25+1,1))-AVERAGE(OFFSET($H$3,0,0,'Données projet'!$E$25+1,1))</f>
        <v>#N/A</v>
      </c>
      <c r="MR32" s="59" t="e">
        <f t="shared" si="107"/>
        <v>#N/A</v>
      </c>
      <c r="MS32" s="15">
        <f>IF(ISNA(VLOOKUP($A32,'Données projet'!$A$460:$I$480,3,0)),0,VLOOKUP($A32,'Données projet'!$A$460:$I$480,3,0))</f>
        <v>0</v>
      </c>
      <c r="MT32" s="15">
        <f>IF(ISNA(VLOOKUP($A32,'Données projet'!$A$460:$I$480,4,0)),0,VLOOKUP($A32,'Données projet'!$A$460:$I$480,4,0))</f>
        <v>0</v>
      </c>
      <c r="MU32" s="16">
        <f>IF(ISNA(VLOOKUP($A32,'Données projet'!$A$460:$I$480,5,0)),0%,VLOOKUP($A32,'Données projet'!$A$460:$I$480,5,0)*VLOOKUP('Données projet'!$B$25,Paramètres!$A$1:$I$89,7,0))</f>
        <v>0</v>
      </c>
      <c r="MV32" s="16">
        <f>IF(ISNA(VLOOKUP($A32,'Données projet'!$A$460:$I$480,6,0)),0%,VLOOKUP($A32,'Données projet'!$A$460:$I$480,6,0)*VLOOKUP('Données projet'!$B$25,Paramètres!$A$1:$I$89,7,0))</f>
        <v>0</v>
      </c>
      <c r="MW32" s="16">
        <f>IF(ISNA(VLOOKUP($A32,'Données projet'!$A$460:$I$480,7,0)),0%,VLOOKUP($A32,'Données projet'!$A$460:$I$480,7,0))</f>
        <v>0</v>
      </c>
      <c r="MX32" s="21" t="e">
        <f>EXP(-LN(2)/35)*MX31+(1-EXP(-LN(2)/35))/(LN(2)/35)*MT32*MU32*VLOOKUP('Données projet'!$B$25,Paramètres!$A$1:$I$89,3,0)*0.475*44/12</f>
        <v>#N/A</v>
      </c>
      <c r="MY32" s="21" t="e">
        <f>EXP(-LN(2)/25)*MY31+(1-EXP(-LN(2)/25))/(LN(2)/25)*Calculateur!MT32*Calculateur!MV32*VLOOKUP('Données projet'!$B$25,Paramètres!$A$1:$I$89,3,0)*0.475*44/12</f>
        <v>#N/A</v>
      </c>
      <c r="MZ32" s="21" t="e">
        <f>EXP(-LN(2)/2)*MZ31+(1-EXP(-LN(2)/2))/(LN(2)/2)*MT32*MW32*VLOOKUP('Données projet'!$B$25,Paramètres!$A$1:$I$89,3,0)*0.475*44/12</f>
        <v>#N/A</v>
      </c>
      <c r="NA32" s="22" t="e">
        <f t="shared" si="108"/>
        <v>#N/A</v>
      </c>
      <c r="NB32" s="74">
        <f>('Scénario référence'!$F$8+'Scénario référence'!$F$9+'Scénario référence'!$B$17+'Scénario référence'!$B$9+'Scénario référence'!$B$10)*70+IF((45+25*(1-EXP(-0.0175*$A32)))&lt;70,'Scénario référence'!$B$16*(45+25*(1-EXP(-0.0175*$A32))),70*'Scénario référence'!$B$16)+IF((32+38*(1-EXP(-0.0175*$A32)))&lt;70,'Scénario référence'!$B$18*(32+38*(1-EXP(-0.0175*$A32))),70*'Scénario référence'!$B$18)</f>
        <v>70</v>
      </c>
      <c r="NC32" s="12">
        <f>IF($A32&gt;30,10,('Scénario référence'!$B$16+'Scénario référence'!$B$17+'Scénario référence'!$B$18+'Scénario référence'!$B$9+'Scénario référence'!$B$10)*$A32*10/30+('Scénario référence'!$F$8+'Scénario référence'!$F$9)*10)</f>
        <v>10</v>
      </c>
      <c r="ND32" s="12" t="e">
        <f>VLOOKUP($A32,'Données projet'!$A$486:$I$506,2,0)</f>
        <v>#N/A</v>
      </c>
      <c r="NE32" s="12" t="e">
        <f>VLOOKUP($A32,'Données projet'!$A$486:$I$506,9,0)</f>
        <v>#N/A</v>
      </c>
      <c r="NF32" s="12">
        <f t="array" ref="NF32">INDEX(NE:NE,MIN(IF(ISNUMBER(NE32:NE228),ROW(NE32:NE228),"")))</f>
        <v>0</v>
      </c>
      <c r="NG32" s="12">
        <f>IF('Données projet'!$A$486&gt;35,NG31+NF32-NO31,IF($A32&lt;'Données projet'!$A$486,$CQ$205^$A32,IF($A32='Données projet'!$A$486,'Données projet'!$B$486,NG31+NF32-NO31)))</f>
        <v>0</v>
      </c>
      <c r="NH32" s="17" t="e">
        <f>NG32*VLOOKUP('Données projet'!$B$26,Paramètres!$A$1:$I$89,3,0)*VLOOKUP('Données projet'!$B$26,Paramètres!$A$1:$I$89,5,0)</f>
        <v>#N/A</v>
      </c>
      <c r="NI32" s="13" t="e">
        <f t="shared" si="109"/>
        <v>#N/A</v>
      </c>
      <c r="NJ32" s="14" t="e">
        <f t="shared" si="52"/>
        <v>#N/A</v>
      </c>
      <c r="NK32" s="59" t="e">
        <f t="shared" si="53"/>
        <v>#N/A</v>
      </c>
      <c r="NL32" s="20" t="e">
        <f ca="1">AVERAGE(OFFSET($NK$3,0,0,'Données projet'!$E$26+1,1))-AVERAGE(OFFSET($H$3,0,0,'Données projet'!$E$26+1,1))</f>
        <v>#N/A</v>
      </c>
      <c r="NM32" s="59" t="e">
        <f t="shared" si="110"/>
        <v>#N/A</v>
      </c>
      <c r="NN32" s="15">
        <f>IF(ISNA(VLOOKUP($A32,'Données projet'!$A$486:$I$506,3,0)),0,VLOOKUP($A32,'Données projet'!$A$486:$I$506,3,0))</f>
        <v>0</v>
      </c>
      <c r="NO32" s="15">
        <f>IF(ISNA(VLOOKUP($A32,'Données projet'!$A$486:$I$506,4,0)),0,VLOOKUP($A32,'Données projet'!$A$486:$I$506,4,0))</f>
        <v>0</v>
      </c>
      <c r="NP32" s="16">
        <f>IF(ISNA(VLOOKUP($A32,'Données projet'!$A$486:$I$506,5,0)),0%,VLOOKUP($A32,'Données projet'!$A$486:$I$506,5,0)*VLOOKUP('Données projet'!$B$26,Paramètres!$A$1:$I$89,7,0))</f>
        <v>0</v>
      </c>
      <c r="NQ32" s="16">
        <f>IF(ISNA(VLOOKUP($A32,'Données projet'!$A$486:$I$506,6,0)),0%,VLOOKUP($A32,'Données projet'!$A$486:$I$506,6,0)*VLOOKUP('Données projet'!$B$26,Paramètres!$A$1:$I$89,7,0))</f>
        <v>0</v>
      </c>
      <c r="NR32" s="16">
        <f>IF(ISNA(VLOOKUP($A32,'Données projet'!$A$486:$I$506,7,0)),0%,VLOOKUP($A32,'Données projet'!$A$486:$I$506,7,0))</f>
        <v>0</v>
      </c>
      <c r="NS32" s="21" t="e">
        <f>EXP(-LN(2)/35)*NS31+(1-EXP(-LN(2)/35))/(LN(2)/35)*NO32*NP32*VLOOKUP('Données projet'!$B$26,Paramètres!$A$1:$I$89,3,0)*0.475*44/12</f>
        <v>#N/A</v>
      </c>
      <c r="NT32" s="21" t="e">
        <f>EXP(-LN(2)/25)*NT31+(1-EXP(-LN(2)/25))/(LN(2)/25)*Calculateur!NO32*Calculateur!NQ32*VLOOKUP('Données projet'!$B$26,Paramètres!$A$1:$I$89,3,0)*0.475*44/12</f>
        <v>#N/A</v>
      </c>
      <c r="NU32" s="21" t="e">
        <f>EXP(-LN(2)/2)*NU31+(1-EXP(-LN(2)/2))/(LN(2)/2)*NO32*NR32*VLOOKUP('Données projet'!$B$26,Paramètres!$A$1:$I$89,3,0)*0.475*44/12</f>
        <v>#N/A</v>
      </c>
      <c r="NV32" s="22" t="e">
        <f t="shared" si="111"/>
        <v>#N/A</v>
      </c>
      <c r="NW32" s="74">
        <f>('Scénario référence'!$F$8+'Scénario référence'!$F$9+'Scénario référence'!$B$17+'Scénario référence'!$B$9+'Scénario référence'!$B$10)*70+IF((45+25*(1-EXP(-0.0175*$A32)))&lt;70,'Scénario référence'!$B$16*(45+25*(1-EXP(-0.0175*$A32))),70*'Scénario référence'!$B$16)+IF((32+38*(1-EXP(-0.0175*$A32)))&lt;70,'Scénario référence'!$B$18*(32+38*(1-EXP(-0.0175*$A32))),70*'Scénario référence'!$B$18)</f>
        <v>70</v>
      </c>
      <c r="NX32" s="12">
        <f>IF($A32&gt;30,10,('Scénario référence'!$B$16+'Scénario référence'!$B$17+'Scénario référence'!$B$18+'Scénario référence'!$B$9+'Scénario référence'!$B$10)*$A32*10/30+('Scénario référence'!$F$8+'Scénario référence'!$F$9)*10)</f>
        <v>10</v>
      </c>
      <c r="NY32" s="12" t="e">
        <f>VLOOKUP($A32,'Données projet'!$A$512:$I$532,2,0)</f>
        <v>#N/A</v>
      </c>
      <c r="NZ32" s="12" t="e">
        <f>VLOOKUP($A32,'Données projet'!$A$512:$I$532,9,0)</f>
        <v>#N/A</v>
      </c>
      <c r="OA32" s="12">
        <f t="array" ref="OA32">INDEX(NZ:NZ,MIN(IF(ISNUMBER(NZ32:NZ228),ROW(NZ32:NZ228),"")))</f>
        <v>0</v>
      </c>
      <c r="OB32" s="12">
        <f>IF('Données projet'!$A$512&gt;35,OB31+OA32-OJ31,IF($A32&lt;'Données projet'!$A$512,$CQ$205^$A32,IF($A32='Données projet'!$A$512,'Données projet'!$B$512,OB31+OA32-OJ31)))</f>
        <v>0</v>
      </c>
      <c r="OC32" s="17" t="e">
        <f>OB32*VLOOKUP('Données projet'!$B$27,Paramètres!$A$1:$I$89,3,0)*VLOOKUP('Données projet'!$B$27,Paramètres!$A$1:$I$89,5,0)</f>
        <v>#N/A</v>
      </c>
      <c r="OD32" s="13" t="e">
        <f t="shared" si="112"/>
        <v>#N/A</v>
      </c>
      <c r="OE32" s="14" t="e">
        <f t="shared" si="55"/>
        <v>#N/A</v>
      </c>
      <c r="OF32" s="59" t="e">
        <f t="shared" si="56"/>
        <v>#N/A</v>
      </c>
      <c r="OG32" s="20" t="e">
        <f ca="1">AVERAGE(OFFSET($OF$3,0,0,'Données projet'!$E$27+1,1))-AVERAGE(OFFSET($H$3,0,0,'Données projet'!$E$27+1,1))</f>
        <v>#N/A</v>
      </c>
      <c r="OH32" s="59" t="e">
        <f t="shared" si="113"/>
        <v>#N/A</v>
      </c>
      <c r="OI32" s="15">
        <f>IF(ISNA(VLOOKUP($A32,'Données projet'!$A$512:$I$532,3,0)),0,VLOOKUP($A32,'Données projet'!$A$512:$I$532,3,0))</f>
        <v>0</v>
      </c>
      <c r="OJ32" s="15">
        <f>IF(ISNA(VLOOKUP($A32,'Données projet'!$A$512:$I$532,4,0)),0,VLOOKUP($A32,'Données projet'!$A$512:$I$532,4,0))</f>
        <v>0</v>
      </c>
      <c r="OK32" s="16">
        <f>IF(ISNA(VLOOKUP($A32,'Données projet'!$A$512:$I$532,5,0)),0%,VLOOKUP($A32,'Données projet'!$A$512:$I$532,5,0)*VLOOKUP('Données projet'!$B$27,Paramètres!$A$1:$I$89,7,0))</f>
        <v>0</v>
      </c>
      <c r="OL32" s="16">
        <f>IF(ISNA(VLOOKUP($A32,'Données projet'!$A$512:$I$532,6,0)),0%,VLOOKUP($A32,'Données projet'!$A$512:$I$532,6,0)*VLOOKUP('Données projet'!$B$27,Paramètres!$A$1:$I$89,7,0))</f>
        <v>0</v>
      </c>
      <c r="OM32" s="16">
        <f>IF(ISNA(VLOOKUP($A32,'Données projet'!$A$512:$I$532,7,0)),0%,VLOOKUP($A32,'Données projet'!$A$512:$I$532,7,0))</f>
        <v>0</v>
      </c>
      <c r="ON32" s="21" t="e">
        <f>EXP(-LN(2)/35)*ON31+(1-EXP(-LN(2)/35))/(LN(2)/35)*OJ32*OK32*VLOOKUP('Données projet'!$B$27,Paramètres!$A$1:$I$89,3,0)*0.475*44/12</f>
        <v>#N/A</v>
      </c>
      <c r="OO32" s="21" t="e">
        <f>EXP(-LN(2)/25)*OO31+(1-EXP(-LN(2)/25))/(LN(2)/25)*Calculateur!OJ32*Calculateur!OL32*VLOOKUP('Données projet'!$B$27,Paramètres!$A$1:$I$89,3,0)*0.475*44/12</f>
        <v>#N/A</v>
      </c>
      <c r="OP32" s="21" t="e">
        <f>EXP(-LN(2)/2)*OP31+(1-EXP(-LN(2)/2))/(LN(2)/2)*OJ32*OM32*VLOOKUP('Données projet'!$B$27,Paramètres!$A$1:$I$89,3,0)*0.475*44/12</f>
        <v>#N/A</v>
      </c>
      <c r="OQ32" s="22" t="e">
        <f t="shared" si="114"/>
        <v>#N/A</v>
      </c>
      <c r="OR32" s="74">
        <f>('Scénario référence'!$F$8+'Scénario référence'!$F$9+'Scénario référence'!$B$17+'Scénario référence'!$B$9+'Scénario référence'!$B$10)*70+IF((45+25*(1-EXP(-0.0175*$A32)))&lt;70,'Scénario référence'!$B$16*(45+25*(1-EXP(-0.0175*$A32))),70*'Scénario référence'!$B$16)+IF((32+38*(1-EXP(-0.0175*$A32)))&lt;70,'Scénario référence'!$B$18*(32+38*(1-EXP(-0.0175*$A32))),70*'Scénario référence'!$B$18)</f>
        <v>70</v>
      </c>
      <c r="OS32" s="12">
        <f>IF($A32&gt;30,10,('Scénario référence'!$B$16+'Scénario référence'!$B$17+'Scénario référence'!$B$18+'Scénario référence'!$B$9+'Scénario référence'!$B$10)*$A32*10/30+('Scénario référence'!$F$8+'Scénario référence'!$F$9)*10)</f>
        <v>10</v>
      </c>
      <c r="OT32" s="12" t="e">
        <f>VLOOKUP($A32,'Données projet'!$A$538:$I$558,2,0)</f>
        <v>#N/A</v>
      </c>
      <c r="OU32" s="12" t="e">
        <f>VLOOKUP($A32,'Données projet'!$A$538:$I$558,9,0)</f>
        <v>#N/A</v>
      </c>
      <c r="OV32" s="12">
        <f t="array" ref="OV32">INDEX(OU:OU,MIN(IF(ISNUMBER(OU32:OU228),ROW(OU32:OU228),"")))</f>
        <v>0</v>
      </c>
      <c r="OW32" s="12">
        <f>IF('Données projet'!$A$538&gt;35,OW31+OV32-PE31,IF($A32&lt;'Données projet'!$A$538,$CQ$205^$A32,IF($A32='Données projet'!$A$538,'Données projet'!$B$538,OW31+OV32-PE31)))</f>
        <v>0</v>
      </c>
      <c r="OX32" s="17" t="e">
        <f>OW32*VLOOKUP('Données projet'!$B$28,Paramètres!$A$1:$I$89,3,0)*VLOOKUP('Données projet'!$B$28,Paramètres!$A$1:$I$89,5,0)</f>
        <v>#N/A</v>
      </c>
      <c r="OY32" s="13" t="e">
        <f t="shared" si="115"/>
        <v>#N/A</v>
      </c>
      <c r="OZ32" s="14" t="e">
        <f t="shared" si="58"/>
        <v>#N/A</v>
      </c>
      <c r="PA32" s="59" t="e">
        <f t="shared" si="59"/>
        <v>#N/A</v>
      </c>
      <c r="PB32" s="20" t="e">
        <f ca="1">AVERAGE(OFFSET($PA$3,0,0,'Données projet'!$E$28+1,1))-AVERAGE(OFFSET($H$3,0,0,'Données projet'!$E$28+1,1))</f>
        <v>#N/A</v>
      </c>
      <c r="PC32" s="59" t="e">
        <f t="shared" si="116"/>
        <v>#N/A</v>
      </c>
      <c r="PD32" s="15">
        <f>IF(ISNA(VLOOKUP($A32,'Données projet'!$A$538:$I$558,3,0)),0,VLOOKUP($A32,'Données projet'!$A$538:$I$558,3,0))</f>
        <v>0</v>
      </c>
      <c r="PE32" s="15">
        <f>IF(ISNA(VLOOKUP($A32,'Données projet'!$A$538:$I$558,4,0)),0,VLOOKUP($A32,'Données projet'!$A$538:$I$558,4,0))</f>
        <v>0</v>
      </c>
      <c r="PF32" s="16">
        <f>IF(ISNA(VLOOKUP($A32,'Données projet'!$A$538:$I$558,5,0)),0%,VLOOKUP($A32,'Données projet'!$A$538:$I$558,5,0)*VLOOKUP('Données projet'!$B$28,Paramètres!$A$1:$I$89,7,0))</f>
        <v>0</v>
      </c>
      <c r="PG32" s="16">
        <f>IF(ISNA(VLOOKUP($A32,'Données projet'!$A$538:$I$558,6,0)),0%,VLOOKUP($A32,'Données projet'!$A$538:$I$558,6,0)*VLOOKUP('Données projet'!$B$28,Paramètres!$A$1:$I$89,7,0))</f>
        <v>0</v>
      </c>
      <c r="PH32" s="16">
        <f>IF(ISNA(VLOOKUP($A32,'Données projet'!$A$538:$I$558,7,0)),0%,VLOOKUP($A32,'Données projet'!$A$538:$I$558,7,0))</f>
        <v>0</v>
      </c>
      <c r="PI32" s="21" t="e">
        <f>EXP(-LN(2)/35)*PI31+(1-EXP(-LN(2)/35))/(LN(2)/35)*PE32*PF32*VLOOKUP('Données projet'!$B$28,Paramètres!$A$1:$I$89,3,0)*0.475*44/12</f>
        <v>#N/A</v>
      </c>
      <c r="PJ32" s="21" t="e">
        <f>EXP(-LN(2)/25)*PJ31+(1-EXP(-LN(2)/25))/(LN(2)/25)*Calculateur!PE32*Calculateur!PG32*VLOOKUP('Données projet'!$B$28,Paramètres!$A$1:$I$89,3,0)*0.475*44/12</f>
        <v>#N/A</v>
      </c>
      <c r="PK32" s="21" t="e">
        <f>EXP(-LN(2)/2)*PK31+(1-EXP(-LN(2)/2))/(LN(2)/2)*PE32*PH32*VLOOKUP('Données projet'!$B$28,Paramètres!$A$1:$I$89,3,0)*0.475*44/12</f>
        <v>#N/A</v>
      </c>
      <c r="PL32" s="22" t="e">
        <f t="shared" si="117"/>
        <v>#N/A</v>
      </c>
    </row>
    <row r="33" spans="1:428" x14ac:dyDescent="0.35">
      <c r="A33" s="10">
        <f t="shared" si="6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6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projet'!$A$45:$I$65,2,0)</f>
        <v>331.86923076923074</v>
      </c>
      <c r="L33" s="12">
        <f>VLOOKUP(A33,'Données projet'!$A$45:$I$65,9,0)</f>
        <v>22.828205128205127</v>
      </c>
      <c r="M33" s="12">
        <f t="array" ref="M33">INDEX(L:L,MIN(IF(ISNUMBER(L33:L229),ROW(L33:L229),"")))</f>
        <v>22.828205128205127</v>
      </c>
      <c r="N33" s="13">
        <f>IF('Données projet'!$A$46&gt;35,N32+M33-V32,IF(A33&lt;'Données projet'!$A$46,$K$205^A33,IF(A33='Données projet'!$A$46,'Données projet'!$B$46,N32+M33-V32)))</f>
        <v>331.86923076923063</v>
      </c>
      <c r="O33" s="13">
        <f>N33*VLOOKUP('Données projet'!$B$9,Paramètres!$A$1:$I$89,3,0)*VLOOKUP('Données projet'!$B$9,Paramètres!$A$1:$I$89,5,0)</f>
        <v>185.5148999999999</v>
      </c>
      <c r="P33" s="13">
        <f t="shared" si="63"/>
        <v>46.546986497298995</v>
      </c>
      <c r="Q33" s="20">
        <f t="shared" si="2"/>
        <v>404.17445231612891</v>
      </c>
      <c r="R33" s="59">
        <f t="shared" si="0"/>
        <v>697.50778564946222</v>
      </c>
      <c r="S33" s="59">
        <f ca="1">AVERAGE(OFFSET($R$3,0,0,'Données projet'!$E$9+1,1))-AVERAGE(OFFSET($H$3,0,0,'Données projet'!$E$9+1,1))</f>
        <v>274.57619581652199</v>
      </c>
      <c r="T33" s="59">
        <f t="shared" si="64"/>
        <v>366.15117322598775</v>
      </c>
      <c r="U33" s="15">
        <f>IF(ISNA(VLOOKUP(A33,'Données projet'!$A$45:$I$65,3,0)),0,VLOOKUP(A33,'Données projet'!$A$45:$I$65,3,0))</f>
        <v>3</v>
      </c>
      <c r="V33" s="15">
        <f>IF(ISNA(VLOOKUP(A33,'Données projet'!$A$45:$I$65,4,0)),0,VLOOKUP(A33,'Données projet'!$A$45:$I$65,4,0))</f>
        <v>65.669230769230765</v>
      </c>
      <c r="W33" s="16">
        <f>IF(ISNA(VLOOKUP(A33,'Données projet'!$A$45:$I$65,5,0)),0%,VLOOKUP(A33,'Données projet'!$A$45:$I$65,5,0)*VLOOKUP('Données projet'!$B$9,Paramètres!$A$1:$I$89,7,0))</f>
        <v>0.38500000000000001</v>
      </c>
      <c r="X33" s="16">
        <f>IF(ISNA(VLOOKUP(A33,'Données projet'!$A$45:$I$65,6,0)),0%,VLOOKUP(A33,'Données projet'!$A$45:$I$65,6,0)*VLOOKUP('Données projet'!$B$9,Paramètres!$A$1:$I$89,7,0))</f>
        <v>9.240000000000001E-2</v>
      </c>
      <c r="Y33" s="16">
        <f>IF(ISNA(VLOOKUP(A33,'Données projet'!$A$45:$I$65,7,0)),0%,VLOOKUP(A33,'Données projet'!$A$45:$I$65,7,0))</f>
        <v>0.13200000000000001</v>
      </c>
      <c r="Z33" s="21">
        <f>EXP(-LN(2)/35)*Z32+(1-EXP(-LN(2)/35))/(LN(2)/35)*V33*W33*VLOOKUP('Données projet'!$B$9,Paramètres!$A$1:$I$89,3,0)*0.475*44/12</f>
        <v>29.563483054643072</v>
      </c>
      <c r="AA33" s="21">
        <f>EXP(-LN(2)/25)*AA32+(1-EXP(-LN(2)/25))/(LN(2)/25)*Calculateur!V33*Calculateur!X33*VLOOKUP('Données projet'!$B$9,Paramètres!$A$1:$I$89,3,0)*0.475*44/12</f>
        <v>18.248368581460394</v>
      </c>
      <c r="AB33" s="21">
        <f>EXP(-LN(2)/2)*AB32+(1-EXP(-LN(2)/2))/(LN(2)/2)*V33*Y33*VLOOKUP('Données projet'!$B$9,Paramètres!$A$1:$I$89,3,0)*0.475*44/12</f>
        <v>6.233345651406407</v>
      </c>
      <c r="AC33" s="22">
        <f t="shared" si="3"/>
        <v>54.045197287509879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projet'!$A$71:$I$91,2,0)</f>
        <v>121.88461538461537</v>
      </c>
      <c r="AG33" s="12">
        <f>VLOOKUP(A33,'Données projet'!$A$71:$I$91,9,0)</f>
        <v>4.0628205128205126</v>
      </c>
      <c r="AH33" s="12">
        <f t="array" ref="AH33">INDEX(AG:AG,MIN(IF(ISNUMBER(AG33:AG229),ROW(AG33:AG229),"")))</f>
        <v>4.0628205128205126</v>
      </c>
      <c r="AI33" s="13">
        <f>IF('Données projet'!$A$72&gt;35,AI32+AH33-AQ32,IF(A33&lt;'Données projet'!$A$72,$AF$205^A33,IF(A33='Données projet'!$A$72,'Données projet'!$B$72,AI32+AH33-AQ32)))</f>
        <v>121.88461538461537</v>
      </c>
      <c r="AJ33" s="13">
        <f>AI33*VLOOKUP('Données projet'!$B$10,Paramètres!$A$1:$I$89,3,0)*VLOOKUP('Données projet'!$B$10,Paramètres!$A$1:$I$89,5,0)</f>
        <v>110.2812</v>
      </c>
      <c r="AK33" s="13">
        <f t="shared" si="65"/>
        <v>29.397227638069996</v>
      </c>
      <c r="AL33" s="20">
        <f t="shared" si="4"/>
        <v>243.27326146963856</v>
      </c>
      <c r="AM33" s="59">
        <f t="shared" si="5"/>
        <v>536.60659480297181</v>
      </c>
      <c r="AN33" s="59">
        <f ca="1">AVERAGE(OFFSET($AM$3,0,0,'Données projet'!$E$10+1,1))-AVERAGE(OFFSET($H$3,0,0,'Données projet'!$E$10+1,1))</f>
        <v>270.87836509222456</v>
      </c>
      <c r="AO33" s="59">
        <f t="shared" si="66"/>
        <v>205.24998237949734</v>
      </c>
      <c r="AP33" s="15" t="str">
        <f>IF(ISNA(VLOOKUP(A33,'Données projet'!$A$71:$I$91,3,0)),0,VLOOKUP(A33,'Données projet'!$A$71:$I$91,3,0))</f>
        <v>na</v>
      </c>
      <c r="AQ33" s="15">
        <f>IF(ISNA(VLOOKUP(A33,'Données projet'!$A$71:$I$91,4,0)),0,VLOOKUP(A33,'Données projet'!$A$71:$I$91,4,0))</f>
        <v>0</v>
      </c>
      <c r="AR33" s="16">
        <f>IF(ISNA(VLOOKUP(A33,'Données projet'!$A$71:$I$91,5,0)),0%,VLOOKUP(A33,'Données projet'!$A$71:$I$91,5,0)*VLOOKUP('Données projet'!$B$10,Paramètres!$A$1:$I$89,7,0))</f>
        <v>0</v>
      </c>
      <c r="AS33" s="16">
        <f>IF(ISNA(VLOOKUP(A33,'Données projet'!$A$71:$I$91,6,0)),0%,VLOOKUP(A33,'Données projet'!$A$71:$I$91,6,0)*VLOOKUP('Données projet'!$B$10,Paramètres!$A$1:$I$89,7,0))</f>
        <v>0</v>
      </c>
      <c r="AT33" s="16">
        <f>IF(ISNA(VLOOKUP(A33,'Données projet'!$A$71:$I$91,7,0)),0%,VLOOKUP(A33,'Données projet'!$A$71:$I$91,7,0))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projet'!$A$97:$I$117,2,0)</f>
        <v>331.86923076923074</v>
      </c>
      <c r="BB33" s="12">
        <f>VLOOKUP(A33,'Données projet'!$A$97:$I$117,9,0)</f>
        <v>22.828205128205127</v>
      </c>
      <c r="BC33" s="12">
        <f t="array" ref="BC33">INDEX(BB:BB,MIN(IF(ISNUMBER(BB33:BB229),ROW(BB33:BB229),"")))</f>
        <v>22.828205128205127</v>
      </c>
      <c r="BD33" s="12">
        <f>IF('Données projet'!$A$98&gt;35,BD32+BC33-BL32,IF(A33&lt;'Données projet'!$A$98,$BA$205^A33,IF(A33='Données projet'!$A$98,'Données projet'!$B$98,BD32+BC33-BL32)))</f>
        <v>331.86923076923063</v>
      </c>
      <c r="BE33" s="13">
        <f>BD33*VLOOKUP('Données projet'!$B$11,Paramètres!$A$1:$I$89,3,0)*VLOOKUP('Données projet'!$B$11,Paramètres!$A$1:$I$89,5,0)</f>
        <v>146.68619999999996</v>
      </c>
      <c r="BF33" s="13">
        <f t="shared" si="67"/>
        <v>37.824536358252047</v>
      </c>
      <c r="BG33" s="20">
        <f t="shared" si="7"/>
        <v>321.35619915728893</v>
      </c>
      <c r="BH33" s="59">
        <f t="shared" si="8"/>
        <v>614.68953249062224</v>
      </c>
      <c r="BI33" s="59">
        <f ca="1">AVERAGE(OFFSET($BH$3,0,0,'Données projet'!$E$11+1,1))-AVERAGE(OFFSET($H$3,0,0,'Données projet'!$E$11+1,1))</f>
        <v>211.31057120485542</v>
      </c>
      <c r="BJ33" s="59">
        <f t="shared" si="68"/>
        <v>283.33292006714777</v>
      </c>
      <c r="BK33" s="15">
        <f>IF(ISNA(VLOOKUP(A33,'Données projet'!$A$97:$I$117,3,0)),0,VLOOKUP(A33,'Données projet'!$A$97:$I$117,3,0))</f>
        <v>3</v>
      </c>
      <c r="BL33" s="15">
        <f>IF(ISNA(VLOOKUP(A33,'Données projet'!$A$97:$I$117,4,0)),0,VLOOKUP(A33,'Données projet'!$A$97:$I$117,4,0))</f>
        <v>65.669230769230765</v>
      </c>
      <c r="BM33" s="16">
        <f>IF(ISNA(VLOOKUP(A33,'Données projet'!$A$97:$I$117,5,0)),0%,VLOOKUP(A33,'Données projet'!$A$97:$I$117,5,0)*VLOOKUP('Données projet'!$B$11,Paramètres!$A$1:$I$89,7,0))</f>
        <v>0.38500000000000001</v>
      </c>
      <c r="BN33" s="16">
        <f>IF(ISNA(VLOOKUP(A33,'Données projet'!$A$97:$I$117,6,0)),0%,VLOOKUP(A33,'Données projet'!$A$97:$I$117,6,0)*VLOOKUP('Données projet'!$B$11,Paramètres!$A$1:$I$89,7,0))</f>
        <v>9.240000000000001E-2</v>
      </c>
      <c r="BO33" s="16">
        <f>IF(ISNA(VLOOKUP(A33,'Données projet'!$A$97:$I$117,7,0)),0%,VLOOKUP(A33,'Données projet'!$A$97:$I$117,7,0))</f>
        <v>0.13200000000000001</v>
      </c>
      <c r="BP33" s="21">
        <f>EXP(-LN(2)/35)*BP32+(1-EXP(-LN(2)/35))/(LN(2)/35)*BL33*BM33*VLOOKUP('Données projet'!$B$11,Paramètres!$A$1:$I$89,3,0)*0.475*44/12</f>
        <v>23.375777299020104</v>
      </c>
      <c r="BQ33" s="21">
        <f>EXP(-LN(2)/25)*BQ32+(1-EXP(-LN(2)/25))/(LN(2)/25)*Calculateur!BL33*Calculateur!BN33*VLOOKUP('Données projet'!$B$11,Paramètres!$A$1:$I$89,3,0)*0.475*44/12</f>
        <v>14.428942599294265</v>
      </c>
      <c r="BR33" s="21">
        <f>EXP(-LN(2)/2)*BR32+(1-EXP(-LN(2)/2))/(LN(2)/2)*BL33*BO33*VLOOKUP('Données projet'!$B$11,Paramètres!$A$1:$I$89,3,0)*0.475*44/12</f>
        <v>4.9286919104143694</v>
      </c>
      <c r="BS33" s="22">
        <f t="shared" si="9"/>
        <v>42.733411808728739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projet'!$A$123:$I$143,2,0)</f>
        <v>149</v>
      </c>
      <c r="BW33" s="12">
        <f>VLOOKUP(A33,'Données projet'!$A$123:$I$143,9,0)</f>
        <v>9.8000000000000007</v>
      </c>
      <c r="BX33" s="12">
        <f t="array" ref="BX33">INDEX(BW:BW,MIN(IF(ISNUMBER(BW33:BW229),ROW(BW33:BW229),"")))</f>
        <v>9.8000000000000007</v>
      </c>
      <c r="BY33" s="12">
        <f>IF('Données projet'!$A$124&gt;35,BY32+BX33-CG32,IF(A33&lt;'Données projet'!$A$124,$BV$205^A33,IF(A33='Données projet'!$A$124,'Données projet'!$B$124,BY32+BX33-CG32)))</f>
        <v>149.00000000000003</v>
      </c>
      <c r="BZ33" s="13">
        <f>BY33*VLOOKUP('Données projet'!$B$12,Paramètres!$A$1:$I$89,3,0)*VLOOKUP('Données projet'!$B$12,Paramètres!$A$1:$I$89,5,0)</f>
        <v>155.73480000000004</v>
      </c>
      <c r="CA33" s="13">
        <f t="shared" si="69"/>
        <v>39.878980068529806</v>
      </c>
      <c r="CB33" s="20">
        <f t="shared" si="10"/>
        <v>340.6940002860228</v>
      </c>
      <c r="CC33" s="59">
        <f t="shared" si="11"/>
        <v>634.02733361935611</v>
      </c>
      <c r="CD33" s="59">
        <f ca="1">AVERAGE(OFFSET($CC$3,0,0,'Données projet'!$E$12+1,1))-AVERAGE(OFFSET($H$3,0,0,'Données projet'!$E$12+1,1))</f>
        <v>322.93502595881938</v>
      </c>
      <c r="CE33" s="59">
        <f t="shared" si="70"/>
        <v>302.67072119588164</v>
      </c>
      <c r="CF33" s="15">
        <f>IF(ISNA(VLOOKUP(A33,'Données projet'!$A$123:$I$143,3,0)),0,VLOOKUP(A33,'Données projet'!$A$123:$I$143,3,0))</f>
        <v>3</v>
      </c>
      <c r="CG33" s="15" t="str">
        <f>IF(ISNA(VLOOKUP(A33,'Données projet'!$A$123:$I$143,4,0)),0,VLOOKUP(A33,'Données projet'!$A$123:$I$143,4,0))</f>
        <v>27</v>
      </c>
      <c r="CH33" s="16">
        <f>IF(ISNA(VLOOKUP(A33,'Données projet'!$A$123:$I$143,5,0)),0%,VLOOKUP(A33,'Données projet'!$A$123:$I$143,5,0)*VLOOKUP('Données projet'!$B$12,Paramètres!$A$1:$I$89,7,0))</f>
        <v>0</v>
      </c>
      <c r="CI33" s="16">
        <f>IF(ISNA(VLOOKUP(A33,'Données projet'!$A$123:$I$143,6,0)),0%,VLOOKUP(A33,'Données projet'!$A$123:$I$143,6,0)*VLOOKUP('Données projet'!$B$12,Paramètres!$A$1:$I$89,7,0))</f>
        <v>0</v>
      </c>
      <c r="CJ33" s="16">
        <f>IF(ISNA(VLOOKUP(A33,'Données projet'!$A$123:$I$143,7,0)),0%,VLOOKUP(A33,'Données projet'!$A$123:$I$143,7,0))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projet'!$A$149:$I$169,2,0)</f>
        <v>87.705128205128204</v>
      </c>
      <c r="CR33" s="12">
        <f>VLOOKUP(A33,'Données projet'!$A$149:$I$169,9,0)</f>
        <v>2.9235042735042733</v>
      </c>
      <c r="CS33" s="12">
        <f t="array" ref="CS33">INDEX(CR:CR,MIN(IF(ISNUMBER(CR33:CR229),ROW(CR33:CR229),"")))</f>
        <v>2.9235042735042733</v>
      </c>
      <c r="CT33" s="12">
        <f>IF('Données projet'!$A$150&gt;35,CT32+CS33-DB32,IF(A33&lt;'Données projet'!$A$150,$CQ$205^A33,IF(A33='Données projet'!$A$150,'Données projet'!$B$150,CT32+CS33-DB32)))</f>
        <v>87.705128205128204</v>
      </c>
      <c r="CU33" s="17">
        <f>CT33*VLOOKUP('Données projet'!$B$13,Paramètres!$A$1:$I$89,3,0)*VLOOKUP('Données projet'!$B$13,Paramètres!$A$1:$I$89,5,0)</f>
        <v>88.933000000000007</v>
      </c>
      <c r="CV33" s="13">
        <f t="shared" si="71"/>
        <v>24.307711939667918</v>
      </c>
      <c r="CW33" s="20">
        <f t="shared" si="13"/>
        <v>197.22757329492163</v>
      </c>
      <c r="CX33" s="59">
        <f t="shared" si="14"/>
        <v>490.56090662825494</v>
      </c>
      <c r="CY33" s="59">
        <f ca="1">AVERAGE(OFFSET($CX$3,0,0,'Données projet'!$E$13+1,1))-AVERAGE(OFFSET($H$3,0,0,'Données projet'!$E$13+1,1))</f>
        <v>250.31277422753283</v>
      </c>
      <c r="CZ33" s="59">
        <f t="shared" si="72"/>
        <v>159.20429420478047</v>
      </c>
      <c r="DA33" s="15" t="str">
        <f>IF(ISNA(VLOOKUP(A33,'Données projet'!$A$149:$I$169,3,0)),0,VLOOKUP(A33,'Données projet'!$A$149:$I$169,3,0))</f>
        <v>na</v>
      </c>
      <c r="DB33" s="15">
        <f>IF(ISNA(VLOOKUP(A33,'Données projet'!$A$149:$I$169,4,0)),0,VLOOKUP(A33,'Données projet'!$A$149:$I$169,4,0))</f>
        <v>0</v>
      </c>
      <c r="DC33" s="16">
        <f>IF(ISNA(VLOOKUP(A33,'Données projet'!$A$149:$I$169,5,0)),0%,VLOOKUP(A33,'Données projet'!$A$149:$I$169,5,0)*VLOOKUP('Données projet'!$B$13,Paramètres!$A$1:$I$89,7,0))</f>
        <v>0</v>
      </c>
      <c r="DD33" s="16">
        <f>IF(ISNA(VLOOKUP(A33,'Données projet'!$A$149:$I$169,6,0)),0%,VLOOKUP(A33,'Données projet'!$A$149:$I$169,6,0)*VLOOKUP('Données projet'!$B$13,Paramètres!$A$1:$I$89,7,0))</f>
        <v>0</v>
      </c>
      <c r="DE33" s="16">
        <f>IF(ISNA(VLOOKUP(A33,'Données projet'!$A$149:$I$169,7,0)),0%,VLOOKUP(A33,'Données projet'!$A$149:$I$169,7,0))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projet'!$A$175:$I$195,2,0)</f>
        <v>205</v>
      </c>
      <c r="DM33" s="12">
        <f>VLOOKUP(A33,'Données projet'!$A$175:$I$195,9,0)</f>
        <v>16.399999999999999</v>
      </c>
      <c r="DN33" s="12">
        <f t="array" ref="DN33">INDEX(DM:DM,MIN(IF(ISNUMBER(DM33:DM229),ROW(DM33:DM229),"")))</f>
        <v>16.399999999999999</v>
      </c>
      <c r="DO33" s="12">
        <f>IF('Données projet'!$A$176&gt;35,DO32+DN33-DW32,IF(A33&lt;'Données projet'!$A$176,$DL$205^A33,IF(A33='Données projet'!$A$176,'Données projet'!$B$176,DO32+DN33-DW32)))</f>
        <v>205.00000000000006</v>
      </c>
      <c r="DP33" s="17">
        <f>DO33*VLOOKUP('Données projet'!$B$14,Paramètres!$A$1:$I$89,3,0)*VLOOKUP('Données projet'!$B$14,Paramètres!$A$1:$I$89,5,0)</f>
        <v>150.30600000000004</v>
      </c>
      <c r="DQ33" s="13">
        <f t="shared" si="73"/>
        <v>38.648116968856677</v>
      </c>
      <c r="DR33" s="20">
        <f t="shared" si="16"/>
        <v>329.09508705409212</v>
      </c>
      <c r="DS33" s="59">
        <f t="shared" si="17"/>
        <v>622.42842038742538</v>
      </c>
      <c r="DT33" s="59">
        <f ca="1">AVERAGE(OFFSET($DS$3,0,0,'Données projet'!$E$14+1,1))-AVERAGE(OFFSET($H$3,0,0,'Données projet'!$E$14+1,1))</f>
        <v>296.91321813251051</v>
      </c>
      <c r="DU33" s="59">
        <f t="shared" si="74"/>
        <v>291.0718079639509</v>
      </c>
      <c r="DV33" s="15">
        <f>IF(ISNA(VLOOKUP(A33,'Données projet'!$A$175:$I$195,3,0)),0,VLOOKUP(A33,'Données projet'!$A$175:$I$195,3,0))</f>
        <v>5</v>
      </c>
      <c r="DW33" s="15">
        <f>IF(ISNA(VLOOKUP(A33,'Données projet'!$A$175:$I$195,4,0)),0,VLOOKUP(A33,'Données projet'!$A$175:$I$195,4,0))</f>
        <v>42</v>
      </c>
      <c r="DX33" s="16">
        <f>IF(ISNA(VLOOKUP(A33,'Données projet'!$A$175:$I$195,5,0)),0%,VLOOKUP(A33,'Données projet'!$A$175:$I$195,5,0)*VLOOKUP('Données projet'!$B$14,Paramètres!$A$1:$I$89,7,0))</f>
        <v>0.22359999999999999</v>
      </c>
      <c r="DY33" s="16">
        <f>IF(ISNA(VLOOKUP(A33,'Données projet'!$A$175:$I$195,6,0)),0%,VLOOKUP(A33,'Données projet'!$A$175:$I$195,6,0)*VLOOKUP('Données projet'!$B$14,Paramètres!$A$1:$I$89,7,0))</f>
        <v>0.1333</v>
      </c>
      <c r="DZ33" s="16">
        <f>IF(ISNA(VLOOKUP(A33,'Données projet'!$A$175:$I$195,7,0)),0%,VLOOKUP(A33,'Données projet'!$A$175:$I$195,7,0))</f>
        <v>0</v>
      </c>
      <c r="EA33" s="21">
        <f>EXP(-LN(2)/35)*EA32+(1-EXP(-LN(2)/35))/(LN(2)/35)*DW33*DX33*VLOOKUP('Données projet'!$B$14,Paramètres!$A$1:$I$89,3,0)*0.475*44/12</f>
        <v>9.4679990461567591</v>
      </c>
      <c r="EB33" s="21">
        <f>EXP(-LN(2)/25)*EB32+(1-EXP(-LN(2)/25))/(LN(2)/25)*Calculateur!DW33*Calculateur!DY33*VLOOKUP('Données projet'!$B$14,Paramètres!$A$1:$I$89,3,0)*0.475*44/12</f>
        <v>11.30400620687087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20.772005253027629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projet'!$A$201:$I$221,2,0)</f>
        <v>103.27692307692307</v>
      </c>
      <c r="EH33" s="12">
        <f>VLOOKUP(A33,'Données projet'!$A$201:$I$221,9,0)</f>
        <v>3.4425641025641025</v>
      </c>
      <c r="EI33" s="12">
        <f t="array" ref="EI33">INDEX(EH:EH,MIN(IF(ISNUMBER(EH33:EH229),ROW(EH33:EH229),"")))</f>
        <v>3.4425641025641025</v>
      </c>
      <c r="EJ33" s="12">
        <f>IF('Données projet'!$A$202&gt;35,EJ32+EI33-ER32,IF(A33&lt;'Données projet'!$A$202,$EG$205^A33,IF(A33='Données projet'!$A$202,'Données projet'!$B$202,EJ32+EI33-ER32)))</f>
        <v>103.27692307692307</v>
      </c>
      <c r="EK33" s="17">
        <f>EJ33*VLOOKUP('Données projet'!$B$15,Paramètres!$A$1:$I$89,3,0)*VLOOKUP('Données projet'!$B$15,Paramètres!$A$1:$I$89,5,0)</f>
        <v>48.333599999999997</v>
      </c>
      <c r="EL33" s="13">
        <f t="shared" si="75"/>
        <v>14.182559301951969</v>
      </c>
      <c r="EM33" s="20">
        <f t="shared" si="19"/>
        <v>108.88231078423301</v>
      </c>
      <c r="EN33" s="59">
        <f t="shared" si="20"/>
        <v>402.21564411756634</v>
      </c>
      <c r="EO33" s="59">
        <f ca="1">AVERAGE(OFFSET($EN$3,0,0,'Données projet'!$E$15+1,1))-AVERAGE(OFFSET($H$3,0,0,'Données projet'!$E$15+1,1))</f>
        <v>147.64256291235483</v>
      </c>
      <c r="EP33" s="59">
        <f t="shared" si="76"/>
        <v>70.859031694091868</v>
      </c>
      <c r="EQ33" s="15" t="str">
        <f>IF(ISNA(VLOOKUP(A33,'Données projet'!$A$201:$I$221,3,0)),0,VLOOKUP(A33,'Données projet'!$A$201:$I$221,3,0))</f>
        <v>na</v>
      </c>
      <c r="ER33" s="15">
        <f>IF(ISNA(VLOOKUP(A33,'Données projet'!$A$201:$I$221,4,0)),0,VLOOKUP(A33,'Données projet'!$A$201:$I$221,4,0))</f>
        <v>0</v>
      </c>
      <c r="ES33" s="16">
        <f>IF(ISNA(VLOOKUP(A33,'Données projet'!$A$201:$I$221,5,0)),0%,VLOOKUP(A33,'Données projet'!$A$201:$I$221,5,0)*VLOOKUP('Données projet'!$B$15,Paramètres!$A$1:$I$89,7,0))</f>
        <v>0</v>
      </c>
      <c r="ET33" s="16">
        <f>IF(ISNA(VLOOKUP(A33,'Données projet'!$A$201:$I$221,6,0)),0%,VLOOKUP(A33,'Données projet'!$A$201:$I$221,6,0)*VLOOKUP('Données projet'!$B$15,Paramètres!$A$1:$I$89,7,0))</f>
        <v>0</v>
      </c>
      <c r="EU33" s="16">
        <f>IF(ISNA(VLOOKUP(A33,'Données projet'!$A$201:$I$221,7,0)),0%,VLOOKUP(A33,'Données projet'!$A$201:$I$221,7,0))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projet'!$A$227:$I$247,2,0)</f>
        <v>119</v>
      </c>
      <c r="FC33" s="12">
        <f>VLOOKUP(A33,'Données projet'!$A$227:$I$247,9,0)</f>
        <v>8</v>
      </c>
      <c r="FD33" s="12">
        <f t="array" ref="FD33">INDEX(FC:FC,MIN(IF(ISNUMBER(FC33:FC229),ROW(FC33:FC229),"")))</f>
        <v>8</v>
      </c>
      <c r="FE33" s="12">
        <f>IF('Données projet'!$A$228&gt;35,FE32+FD33-FM32,IF(A33&lt;'Données projet'!$A$228,$FB$205^A33,IF(A33='Données projet'!$A$228,'Données projet'!$B$228,FE32+FD33-FM32)))</f>
        <v>119</v>
      </c>
      <c r="FF33" s="17">
        <f>FE33*VLOOKUP('Données projet'!$B$16,Paramètres!$A$1:$I$89,3,0)*VLOOKUP('Données projet'!$B$16,Paramètres!$A$1:$I$89,5,0)</f>
        <v>124.37880000000001</v>
      </c>
      <c r="FG33" s="13">
        <f t="shared" si="77"/>
        <v>32.69414246460255</v>
      </c>
      <c r="FH33" s="20">
        <f t="shared" si="22"/>
        <v>273.56870812584947</v>
      </c>
      <c r="FI33" s="59">
        <f t="shared" si="23"/>
        <v>566.90204145918278</v>
      </c>
      <c r="FJ33" s="59">
        <f ca="1">AVERAGE(OFFSET($FI$3,0,0,'Données projet'!$E$16+1,1))-AVERAGE(OFFSET($H$3,0,0,'Données projet'!$E$16+1,1))</f>
        <v>259.03906550253788</v>
      </c>
      <c r="FK33" s="59">
        <f t="shared" si="78"/>
        <v>235.54542903570831</v>
      </c>
      <c r="FL33" s="15">
        <f>IF(ISNA(VLOOKUP(A33,'Données projet'!$A$227:$I$247,3,0)),0,VLOOKUP(A33,'Données projet'!$A$227:$I$247,3,0))</f>
        <v>3</v>
      </c>
      <c r="FM33" s="15" t="str">
        <f>IF(ISNA(VLOOKUP(A33,'Données projet'!$A$227:$I$247,4,0)),0,VLOOKUP(A33,'Données projet'!$A$227:$I$247,4,0))</f>
        <v>20</v>
      </c>
      <c r="FN33" s="16">
        <f>IF(ISNA(VLOOKUP(A33,'Données projet'!$A$227:$I$247,5,0)),0%,VLOOKUP(A33,'Données projet'!$A$227:$I$247,5,0)*VLOOKUP('Données projet'!$B$16,Paramètres!$A$1:$I$89,7,0))</f>
        <v>0</v>
      </c>
      <c r="FO33" s="16">
        <f>IF(ISNA(VLOOKUP(A33,'Données projet'!$A$227:$I$247,6,0)),0%,VLOOKUP(A33,'Données projet'!$A$227:$I$247,6,0)*VLOOKUP('Données projet'!$B$16,Paramètres!$A$1:$I$89,7,0))</f>
        <v>0</v>
      </c>
      <c r="FP33" s="16">
        <f>IF(ISNA(VLOOKUP(A33,'Données projet'!$A$227:$I$247,7,0)),0%,VLOOKUP(A33,'Données projet'!$A$227:$I$247,7,0))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projet'!$A$253:$I$273,2,0)</f>
        <v>146</v>
      </c>
      <c r="FX33" s="12">
        <f>VLOOKUP(A33,'Données projet'!$A$253:$I$273,9,0)</f>
        <v>11.8</v>
      </c>
      <c r="FY33" s="12">
        <f t="array" ref="FY33">INDEX(FX:FX,MIN(IF(ISNUMBER(FX33:FX229),ROW(FX33:FX229),"")))</f>
        <v>11.8</v>
      </c>
      <c r="FZ33" s="12">
        <f>IF('Données projet'!$A$254&gt;35,FZ32+FY33-GH32,IF(A33&lt;'Données projet'!$A$254,$FW$205^A33,IF(A33='Données projet'!$A$254,'Données projet'!$B$254,FZ32+FY33-GH32)))</f>
        <v>145.99999999999997</v>
      </c>
      <c r="GA33" s="17">
        <f>FZ33*VLOOKUP('Données projet'!$B$17,Paramètres!$A$1:$I$89,3,0)*VLOOKUP('Données projet'!$B$17,Paramètres!$A$1:$I$89,5,0)</f>
        <v>127.54559999999999</v>
      </c>
      <c r="GB33" s="13">
        <f t="shared" si="79"/>
        <v>33.428591950384806</v>
      </c>
      <c r="GC33" s="20">
        <f t="shared" si="25"/>
        <v>280.36338431358689</v>
      </c>
      <c r="GD33" s="59">
        <f t="shared" si="26"/>
        <v>573.69671764692021</v>
      </c>
      <c r="GE33" s="59">
        <f ca="1">AVERAGE(OFFSET($GD$3,0,0,'Données projet'!$E$17+1,1))-AVERAGE(OFFSET($H$3,0,0,'Données projet'!$E$17+1,1))</f>
        <v>245.1983232777614</v>
      </c>
      <c r="GF33" s="59">
        <f t="shared" si="80"/>
        <v>242.34010522344573</v>
      </c>
      <c r="GG33" s="15">
        <f>IF(ISNA(VLOOKUP(A33,'Données projet'!$A$253:$I$273,3,0)),0,VLOOKUP(A33,'Données projet'!$A$253:$I$273,3,0))</f>
        <v>4</v>
      </c>
      <c r="GH33" s="15">
        <f>IF(ISNA(VLOOKUP(A33,'Données projet'!$A$253:$I$273,4,0)),0,VLOOKUP(A33,'Données projet'!$A$253:$I$273,4,0))</f>
        <v>28</v>
      </c>
      <c r="GI33" s="16">
        <f>IF(ISNA(VLOOKUP(A33,'Données projet'!$A$253:$I$273,5,0)),0%,VLOOKUP(A33,'Données projet'!$A$253:$I$273,5,0)*VLOOKUP('Données projet'!$B$17,Paramètres!$A$1:$I$89,7,0))</f>
        <v>1.72E-2</v>
      </c>
      <c r="GJ33" s="16">
        <f>IF(ISNA(VLOOKUP(A33,'Données projet'!$A$253:$I$273,6,0)),0%,VLOOKUP(A33,'Données projet'!$A$253:$I$273,6,0)*VLOOKUP('Données projet'!$B$17,Paramètres!$A$1:$I$89,7,0))</f>
        <v>0.12469999999999999</v>
      </c>
      <c r="GK33" s="16">
        <f>IF(ISNA(VLOOKUP(A33,'Données projet'!$A$253:$I$273,7,0)),0%,VLOOKUP(A33,'Données projet'!$A$253:$I$273,7,0))</f>
        <v>0</v>
      </c>
      <c r="GL33" s="21">
        <f>EXP(-LN(2)/35)*GL32+(1-EXP(-LN(2)/35))/(LN(2)/35)*GH33*GI33*VLOOKUP('Données projet'!$B$17,Paramètres!$A$1:$I$89,3,0)*0.475*44/12</f>
        <v>0.46509986558648891</v>
      </c>
      <c r="GM33" s="21">
        <f>EXP(-LN(2)/25)*GM32+(1-EXP(-LN(2)/25))/(LN(2)/25)*Calculateur!GH33*Calculateur!GJ33*VLOOKUP('Données projet'!$B$17,Paramètres!$A$1:$I$89,3,0)*0.475*44/12</f>
        <v>4.0644700602118995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4.5295699257983886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>
        <f>VLOOKUP(A33,'Données projet'!$A$279:$I$299,2,0)</f>
        <v>343</v>
      </c>
      <c r="GS33" s="12">
        <f>VLOOKUP(A33,'Données projet'!$A$279:$I$299,9,0)</f>
        <v>21.6</v>
      </c>
      <c r="GT33" s="12">
        <f t="array" ref="GT33">INDEX(GS:GS,MIN(IF(ISNUMBER(GS33:GS229),ROW(GS33:GS229),"")))</f>
        <v>21.6</v>
      </c>
      <c r="GU33" s="12">
        <f>IF('Données projet'!$A$280&gt;35,GU32+GT33-HC32,IF(A33&lt;'Données projet'!$A$280,$GR$205^A33,IF(A33='Données projet'!$A$280,'Données projet'!$B$280,GU32+GT33-HC32)))</f>
        <v>343.00000000000011</v>
      </c>
      <c r="GV33" s="17">
        <f>GU33*VLOOKUP('Données projet'!$B$18,Paramètres!$A$1:$I$89,3,0)*VLOOKUP('Données projet'!$B$18,Paramètres!$A$1:$I$89,5,0)</f>
        <v>138.22900000000007</v>
      </c>
      <c r="GW33" s="13">
        <f t="shared" si="81"/>
        <v>35.890994151830675</v>
      </c>
      <c r="GX33" s="20">
        <f t="shared" si="28"/>
        <v>303.25898981443851</v>
      </c>
      <c r="GY33" s="59">
        <f t="shared" si="29"/>
        <v>596.59232314777182</v>
      </c>
      <c r="GZ33" s="59">
        <f ca="1">AVERAGE(OFFSET($GY$3,0,0,'Données projet'!$E$18+1,1))-AVERAGE(OFFSET($H$3,0,0,'Données projet'!$E$18+1,1))</f>
        <v>324.36162935850876</v>
      </c>
      <c r="HA33" s="59">
        <f t="shared" si="82"/>
        <v>265.23571072429735</v>
      </c>
      <c r="HB33" s="15">
        <f>IF(ISNA(VLOOKUP(A33,'Données projet'!$A$279:$I$299,3,0)),0,VLOOKUP(A33,'Données projet'!$A$279:$I$299,3,0))</f>
        <v>3</v>
      </c>
      <c r="HC33" s="15">
        <f>IF(ISNA(VLOOKUP(A33,'Données projet'!$A$279:$I$299,4,0)),0,VLOOKUP(A33,'Données projet'!$A$279:$I$299,4,0))</f>
        <v>35</v>
      </c>
      <c r="HD33" s="16">
        <f>IF(ISNA(VLOOKUP(A33,'Données projet'!$A$279:$I$299,5,0)),0%,VLOOKUP(A33,'Données projet'!$A$279:$I$299,5,0)*VLOOKUP('Données projet'!$B$18,Paramètres!$A$1:$I$89,7,0))</f>
        <v>0</v>
      </c>
      <c r="HE33" s="16">
        <f>IF(ISNA(VLOOKUP(A33,'Données projet'!$A$279:$I$299,6,0)),0%,VLOOKUP(A33,'Données projet'!$A$279:$I$299,6,0)*VLOOKUP('Données projet'!$B$18,Paramètres!$A$1:$I$89,7,0))</f>
        <v>8.6428571428571438E-2</v>
      </c>
      <c r="HF33" s="16">
        <f>IF(ISNA(VLOOKUP($A33,'Données projet'!$A$279:$I$299,7,0)),0%,VLOOKUP($A33,'Données projet'!$A$279:$I$299,7,0))</f>
        <v>0.42142857142857143</v>
      </c>
      <c r="HG33" s="21">
        <f>EXP(-LN(2)/35)*HG32+(1-EXP(-LN(2)/35))/(LN(2)/35)*HC33*HD33*VLOOKUP('Données projet'!$B$18,Paramètres!$A$1:$I$89,3,0)*0.475*44/12</f>
        <v>0</v>
      </c>
      <c r="HH33" s="21">
        <f>EXP(-LN(2)/25)*HH32+(1-EXP(-LN(2)/25))/(LN(2)/25)*Calculateur!HC33*Calculateur!HE33*VLOOKUP('Données projet'!$B$18,Paramètres!$A$1:$I$89,3,0)*0.475*44/12</f>
        <v>2.5214000132403429</v>
      </c>
      <c r="HI33" s="21">
        <f>EXP(-LN(2)/2)*HI32+(1-EXP(-LN(2)/2))/(LN(2)/2)*HC33*HF33*VLOOKUP('Données projet'!$B$18,Paramètres!$A$1:$I$89,3,0)*0.475*44/12</f>
        <v>8.2603891111773642</v>
      </c>
      <c r="HJ33" s="22">
        <f t="shared" si="30"/>
        <v>10.781789124417706</v>
      </c>
      <c r="HK33" s="74">
        <f>('Scénario référence'!$F$8+'Scénario référence'!$F$9+'Scénario référence'!$B$17+'Scénario référence'!$B$9+'Scénario référence'!$B$10)*70+IF((45+25*(1-EXP(-0.0175*$A33)))&lt;70,'Scénario référence'!$B$16*(45+25*(1-EXP(-0.0175*$A33))),70*'Scénario référence'!$B$16)+IF((32+38*(1-EXP(-0.0175*$A33)))&lt;70,'Scénario référence'!$B$18*(32+38*(1-EXP(-0.0175*$A33))),70*'Scénario référence'!$B$18)</f>
        <v>70</v>
      </c>
      <c r="HL33" s="12">
        <f>IF($A33&gt;30,10,('Scénario référence'!$B$16+'Scénario référence'!$B$17+'Scénario référence'!$B$18+'Scénario référence'!$B$9+'Scénario référence'!$B$10)*$A33*10/30+('Scénario référence'!$F$8+'Scénario référence'!$F$9)*10)</f>
        <v>10</v>
      </c>
      <c r="HM33" s="12" t="e">
        <f>VLOOKUP($A33,'Données projet'!$A$304:$I$324,2,0)</f>
        <v>#N/A</v>
      </c>
      <c r="HN33" s="12" t="e">
        <f>VLOOKUP($A33,'Données projet'!$A$304:$I$324,9,0)</f>
        <v>#N/A</v>
      </c>
      <c r="HO33" s="12">
        <f t="array" ref="HO33">INDEX(HN:HN,MIN(IF(ISNUMBER(HN33:HN229),ROW(HN33:HN229),"")))</f>
        <v>0</v>
      </c>
      <c r="HP33" s="12">
        <f>IF('Données projet'!$A$304&gt;35,HP32+HO33-HX32,IF($A33&lt;'Données projet'!$A$304,$CQ$205^$A33,IF($A33='Données projet'!$A$304,'Données projet'!$B$304,HP32+HO33-HX32)))</f>
        <v>0</v>
      </c>
      <c r="HQ33" s="17">
        <f>HP33*VLOOKUP('Données projet'!$B$19,Paramètres!$A$1:$I$89,3,0)*VLOOKUP('Données projet'!$B$19,Paramètres!$A$1:$I$89,5,0)</f>
        <v>0</v>
      </c>
      <c r="HR33" s="13" t="e">
        <f t="shared" si="83"/>
        <v>#NUM!</v>
      </c>
      <c r="HS33" s="14" t="e">
        <f t="shared" si="31"/>
        <v>#NUM!</v>
      </c>
      <c r="HT33" s="59" t="e">
        <f t="shared" si="32"/>
        <v>#NUM!</v>
      </c>
      <c r="HU33" s="59">
        <f ca="1">AVERAGE(OFFSET(HT$3,0,0,'Données projet'!$E$19+1,1))-AVERAGE(OFFSET($H$3,0,0,'Données projet'!$E$19+1,1))</f>
        <v>91.60721429656013</v>
      </c>
      <c r="HV33" s="59">
        <f t="shared" si="84"/>
        <v>258.94957804210856</v>
      </c>
      <c r="HW33" s="15">
        <f>IF(ISNA(VLOOKUP($A33,'Données projet'!$A$304:$I$324,3,0)),0,VLOOKUP($A33,'Données projet'!$A$304:$I$324,3,0))</f>
        <v>0</v>
      </c>
      <c r="HX33" s="15">
        <f>IF(ISNA(VLOOKUP($A33,'Données projet'!$A$304:$I$324,4,0)),0,VLOOKUP($A33,'Données projet'!$A$304:$I$324,4,0))</f>
        <v>0</v>
      </c>
      <c r="HY33" s="16">
        <f>IF(ISNA(VLOOKUP($A33,'Données projet'!$A$304:$I$324,5,0)),0%,VLOOKUP($A33,'Données projet'!$A$304:$I$324,5,0)*VLOOKUP('Données projet'!$B$19,Paramètres!$A$1:$I$89,7,0))</f>
        <v>0</v>
      </c>
      <c r="HZ33" s="16">
        <f>IF(ISNA(VLOOKUP($A33,'Données projet'!$A$304:$I$324,6,0)),0%,VLOOKUP($A33,'Données projet'!$A$304:$I$324,6,0)*VLOOKUP('Données projet'!$B$19,Paramètres!$A$1:$I$89,7,0))</f>
        <v>0</v>
      </c>
      <c r="IA33" s="16">
        <f>IF(ISNA(VLOOKUP($A33,'Données projet'!$A$304:$I$324,7,0)),0%,VLOOKUP($A33,'Données projet'!$A$304:$I$324,7,0))</f>
        <v>0</v>
      </c>
      <c r="IB33" s="21">
        <f>EXP(-LN(2)/35)*IB32+(1-EXP(-LN(2)/35))/(LN(2)/35)*HX33*HY33*VLOOKUP('Données projet'!$B$19,Paramètres!$A$1:$I$89,3,0)*0.475*44/12</f>
        <v>49.33270471343684</v>
      </c>
      <c r="IC33" s="21">
        <f>EXP(-LN(2)/25)*IC32+(1-EXP(-LN(2)/25))/(LN(2)/25)*Calculateur!HX33*Calculateur!HZ33*VLOOKUP('Données projet'!$B$19,Paramètres!$A$1:$I$89,3,0)*0.475*44/12</f>
        <v>9.727726676139886</v>
      </c>
      <c r="ID33" s="21">
        <f>EXP(-LN(2)/2)*ID32+(1-EXP(-LN(2)/2))/(LN(2)/2)*HX33*IA33*VLOOKUP('Données projet'!$B$19,Paramètres!$A$1:$I$89,3,0)*0.475*44/12</f>
        <v>0.57285231174397755</v>
      </c>
      <c r="IE33" s="22">
        <f t="shared" si="33"/>
        <v>59.633283701320707</v>
      </c>
      <c r="IF33" s="74">
        <f>('Scénario référence'!$F$8+'Scénario référence'!$F$9+'Scénario référence'!$B$17+'Scénario référence'!$B$9+'Scénario référence'!$B$10)*70+IF((45+25*(1-EXP(-0.0175*$A33)))&lt;70,'Scénario référence'!$B$16*(45+25*(1-EXP(-0.0175*$A33))),70*'Scénario référence'!$B$16)+IF((32+38*(1-EXP(-0.0175*$A33)))&lt;70,'Scénario référence'!$B$18*(32+38*(1-EXP(-0.0175*$A33))),70*'Scénario référence'!$B$18)</f>
        <v>70</v>
      </c>
      <c r="IG33" s="12">
        <f>IF($A33&gt;30,10,('Scénario référence'!$B$16+'Scénario référence'!$B$17+'Scénario référence'!$B$18+'Scénario référence'!$B$9+'Scénario référence'!$B$10)*$A33*10/30+('Scénario référence'!$F$8+'Scénario référence'!$F$9)*10)</f>
        <v>10</v>
      </c>
      <c r="IH33" s="12" t="e">
        <f>VLOOKUP($A33,'Données projet'!$A$330:$I$350,2,0)</f>
        <v>#N/A</v>
      </c>
      <c r="II33" s="12" t="e">
        <f>VLOOKUP($A33,'Données projet'!$A$330:$I$350,9,0)</f>
        <v>#N/A</v>
      </c>
      <c r="IJ33" s="12">
        <f t="array" ref="IJ33">INDEX(II:II,MIN(IF(ISNUMBER(II33:II229),ROW(II33:II229),"")))</f>
        <v>0</v>
      </c>
      <c r="IK33" s="12">
        <f>IF('Données projet'!$A$330&gt;35,IK32+IJ33-IS32,IF($A33&lt;'Données projet'!$A$330,$CQ$205^$A33,IF($A33='Données projet'!$A$330,'Données projet'!$B$330,IK32+IJ33-IS32)))</f>
        <v>0</v>
      </c>
      <c r="IL33" s="17">
        <f>IK33*VLOOKUP('Données projet'!$B$20,Paramètres!$A$1:$I$89,3,0)*VLOOKUP('Données projet'!$B$20,Paramètres!$A$1:$I$89,5,0)</f>
        <v>0</v>
      </c>
      <c r="IM33" s="13" t="e">
        <f t="shared" si="85"/>
        <v>#NUM!</v>
      </c>
      <c r="IN33" s="20" t="e">
        <f t="shared" si="86"/>
        <v>#NUM!</v>
      </c>
      <c r="IO33" s="59" t="e">
        <f t="shared" si="87"/>
        <v>#NUM!</v>
      </c>
      <c r="IP33" s="59">
        <f ca="1">AVERAGE(OFFSET(IO$3,0,0,'Données projet'!$E$20+1,1))-AVERAGE(OFFSET($H$3,0,0,'Données projet'!$E$20+1,1))</f>
        <v>91.60721429656013</v>
      </c>
      <c r="IQ33" s="59">
        <f t="shared" si="88"/>
        <v>258.94957804210856</v>
      </c>
      <c r="IR33" s="15">
        <f>IF(ISNA(VLOOKUP($A33,'Données projet'!$A$330:$I$350,3,0)),0,VLOOKUP($A33,'Données projet'!$A$330:$I$350,3,0))</f>
        <v>0</v>
      </c>
      <c r="IS33" s="15">
        <f>IF(ISNA(VLOOKUP($A33,'Données projet'!$A$330:$I$350,4,0)),0,VLOOKUP($A33,'Données projet'!$A$330:$I$350,4,0))</f>
        <v>0</v>
      </c>
      <c r="IT33" s="16">
        <f>IF(ISNA(VLOOKUP($A33,'Données projet'!$A$330:$I$350,5,0)),0%,VLOOKUP($A33,'Données projet'!$A$330:$I$350,5,0)*VLOOKUP('Données projet'!$B$20,Paramètres!$A$1:$I$89,7,0))</f>
        <v>0</v>
      </c>
      <c r="IU33" s="16">
        <f>IF(ISNA(VLOOKUP($A33,'Données projet'!$A$330:$I$350,6,0)),0%,VLOOKUP($A33,'Données projet'!$A$330:$I$350,6,0)*VLOOKUP('Données projet'!$B$20,Paramètres!$A$1:$I$89,7,0))</f>
        <v>0</v>
      </c>
      <c r="IV33" s="16">
        <f>IF(ISNA(VLOOKUP($A33,'Données projet'!$A$330:$I$350,7,0)),0%,VLOOKUP($A33,'Données projet'!$A$330:$I$350,7,0))</f>
        <v>0</v>
      </c>
      <c r="IW33" s="21">
        <f>EXP(-LN(2)/35)*IW32+(1-EXP(-LN(2)/35))/(LN(2)/35)*IS33*IT33*VLOOKUP('Données projet'!$B$20,Paramètres!$A$1:$I$89,3,0)*0.475*44/12</f>
        <v>49.33270471343684</v>
      </c>
      <c r="IX33" s="21">
        <f>EXP(-LN(2)/25)*IX32+(1-EXP(-LN(2)/25))/(LN(2)/25)*Calculateur!IS33*Calculateur!IU33*VLOOKUP('Données projet'!$B$20,Paramètres!$A$1:$I$89,3,0)*0.475*44/12</f>
        <v>9.727726676139886</v>
      </c>
      <c r="IY33" s="21">
        <f>EXP(-LN(2)/2)*IY32+(1-EXP(-LN(2)/2))/(LN(2)/2)*IS33*IV33*VLOOKUP('Données projet'!$B$20,Paramètres!$A$1:$I$89,3,0)*0.475*44/12</f>
        <v>0.57285231174397755</v>
      </c>
      <c r="IZ33" s="22">
        <f t="shared" si="89"/>
        <v>59.633283701320707</v>
      </c>
      <c r="JA33" s="74">
        <f>('Scénario référence'!$F$8+'Scénario référence'!$F$9+'Scénario référence'!$B$17+'Scénario référence'!$B$9+'Scénario référence'!$B$10)*70+IF((45+25*(1-EXP(-0.0175*$A33)))&lt;70,'Scénario référence'!$B$16*(45+25*(1-EXP(-0.0175*$A33))),70*'Scénario référence'!$B$16)+IF((32+38*(1-EXP(-0.0175*$A33)))&lt;70,'Scénario référence'!$B$18*(32+38*(1-EXP(-0.0175*$A33))),70*'Scénario référence'!$B$18)</f>
        <v>70</v>
      </c>
      <c r="JB33" s="12">
        <f>IF($A33&gt;30,10,('Scénario référence'!$B$16+'Scénario référence'!$B$17+'Scénario référence'!$B$18+'Scénario référence'!$B$9+'Scénario référence'!$B$10)*$A33*10/30+('Scénario référence'!$F$8+'Scénario référence'!$F$9)*10)</f>
        <v>10</v>
      </c>
      <c r="JC33" s="12">
        <f>VLOOKUP($A33,'Données projet'!$A$356:$I$376,2,0)</f>
        <v>116</v>
      </c>
      <c r="JD33" s="12">
        <f>VLOOKUP($A33,'Données projet'!$A$356:$I$376,9,0)</f>
        <v>9.4</v>
      </c>
      <c r="JE33" s="12">
        <f t="array" ref="JE33">INDEX(JD:JD,MIN(IF(ISNUMBER(JD33:JD229),ROW(JD33:JD229),"")))</f>
        <v>9.4</v>
      </c>
      <c r="JF33" s="12">
        <f>IF('Données projet'!$A$356&gt;35,JF32+JE33-JN32,IF($A33&lt;'Données projet'!$A$356,$CQ$205^$A33,IF($A33='Données projet'!$A$356,'Données projet'!$B$356,JF32+JE33-JN32)))</f>
        <v>116.00000000000004</v>
      </c>
      <c r="JG33" s="17">
        <f>JF33*VLOOKUP('Données projet'!$B$21,Paramètres!$A$1:$I$89,3,0)*VLOOKUP('Données projet'!$B$21,Paramètres!$A$1:$I$89,5,0)</f>
        <v>94.099200000000039</v>
      </c>
      <c r="JH33" s="13">
        <f t="shared" si="90"/>
        <v>25.551276031514842</v>
      </c>
      <c r="JI33" s="20">
        <f t="shared" si="91"/>
        <v>208.39124575488839</v>
      </c>
      <c r="JJ33" s="59">
        <f t="shared" si="92"/>
        <v>501.72457908822173</v>
      </c>
      <c r="JK33" s="59">
        <f ca="1">AVERAGE(OFFSET($JJ$3,0,0,'Données projet'!$E$22+1,1))-AVERAGE(OFFSET($H$3,0,0,'Données projet'!$E$22+1,1))</f>
        <v>353.35574633294613</v>
      </c>
      <c r="JL33" s="59">
        <f t="shared" si="93"/>
        <v>170.36796666474726</v>
      </c>
      <c r="JM33" s="15">
        <f>IF(ISNA(VLOOKUP($A33,'Données projet'!$A$356:$I$376,3,0)),0,VLOOKUP($A33,'Données projet'!$A$356:$I$376,3,0))</f>
        <v>2</v>
      </c>
      <c r="JN33" s="15">
        <f>IF(ISNA(VLOOKUP($A33,'Données projet'!$A$356:$I$376,4,0)),0,VLOOKUP($A33,'Données projet'!$A$356:$I$376,4,0))</f>
        <v>28</v>
      </c>
      <c r="JO33" s="16">
        <f>IF(ISNA(VLOOKUP($A33,'Données projet'!$A$356:$I$376,5,0)),0%,VLOOKUP($A33,'Données projet'!$A$356:$I$376,5,0)*VLOOKUP('Données projet'!$B$21,Paramètres!$A$1:$I$89,7,0))</f>
        <v>0</v>
      </c>
      <c r="JP33" s="16">
        <f>IF(ISNA(VLOOKUP($A33,'Données projet'!$A$356:$I$376,6,0)),0%,VLOOKUP($A33,'Données projet'!$A$356:$I$376,6,0)*VLOOKUP('Données projet'!$B$21,Paramètres!$A$1:$I$89,7,0))</f>
        <v>0</v>
      </c>
      <c r="JQ33" s="16">
        <f>IF(ISNA(VLOOKUP($A33,'Données projet'!$A$356:$I$376,7,0)),0%,VLOOKUP($A33,'Données projet'!$A$356:$I$376,7,0))</f>
        <v>0.3</v>
      </c>
      <c r="JR33" s="21">
        <f>EXP(-LN(2)/35)*JR32+(1-EXP(-LN(2)/35))/(LN(2)/35)*JN33*JO33*VLOOKUP('Données projet'!$B$21,Paramètres!$A$1:$I$89,3,0)*0.475*44/12</f>
        <v>0</v>
      </c>
      <c r="JS33" s="21">
        <f>EXP(-LN(2)/25)*JS32+(1-EXP(-LN(2)/25))/(LN(2)/25)*Calculateur!JN33*Calculateur!JP33*VLOOKUP('Données projet'!$B$21,Paramètres!$A$1:$I$89,3,0)*0.475*44/12</f>
        <v>0</v>
      </c>
      <c r="JT33" s="21">
        <f>EXP(-LN(2)/2)*JT32+(1-EXP(-LN(2)/2))/(LN(2)/2)*JN33*JQ33*VLOOKUP('Données projet'!$B$21,Paramètres!$A$1:$I$89,3,0)*0.475*44/12</f>
        <v>6.4292678782742838</v>
      </c>
      <c r="JU33" s="18">
        <f t="shared" si="39"/>
        <v>6.4292678782742838</v>
      </c>
      <c r="JV33" s="74">
        <f>('Scénario référence'!$F$8+'Scénario référence'!$F$9+'Scénario référence'!$B$17+'Scénario référence'!$B$9+'Scénario référence'!$B$10)*70+IF((45+25*(1-EXP(-0.0175*$A33)))&lt;70,'Scénario référence'!$B$16*(45+25*(1-EXP(-0.0175*$A33))),70*'Scénario référence'!$B$16)+IF((32+38*(1-EXP(-0.0175*$A33)))&lt;70,'Scénario référence'!$B$18*(32+38*(1-EXP(-0.0175*$A33))),70*'Scénario référence'!$B$18)</f>
        <v>70</v>
      </c>
      <c r="JW33" s="12">
        <f>IF($A33&gt;30,10,('Scénario référence'!$B$16+'Scénario référence'!$B$17+'Scénario référence'!$B$18+'Scénario référence'!$B$9+'Scénario référence'!$B$10)*$A33*10/30+('Scénario référence'!$F$8+'Scénario référence'!$F$9)*10)</f>
        <v>10</v>
      </c>
      <c r="JX33" s="12">
        <f>VLOOKUP($A33,'Données projet'!$A$382:$I$402,2,0)</f>
        <v>121.88461538461537</v>
      </c>
      <c r="JY33" s="12">
        <f>VLOOKUP($A33,'Données projet'!$A$382:$I$402,9,0)</f>
        <v>4.0628205128205126</v>
      </c>
      <c r="JZ33" s="12">
        <f t="array" ref="JZ33">INDEX(JY:JY,MIN(IF(ISNUMBER(JY33:JY229),ROW(JY33:JY229),"")))</f>
        <v>4.0628205128205126</v>
      </c>
      <c r="KA33" s="12">
        <f>IF('Données projet'!$A$382&gt;35,KA32+JZ33-KI32,IF($A33&lt;'Données projet'!$A$382,$CQ$205^$A33,IF($A33='Données projet'!$A$382,'Données projet'!$B$382,KA32+JZ33-KI32)))</f>
        <v>121.88461538461533</v>
      </c>
      <c r="KB33" s="17">
        <f>KA33*VLOOKUP('Données projet'!$B$22,Paramètres!$A$1:$I$89,3,0)*VLOOKUP('Données projet'!$B$22,Paramètres!$A$1:$I$89,5,0)</f>
        <v>81.760199999999969</v>
      </c>
      <c r="KC33" s="13">
        <f t="shared" si="94"/>
        <v>22.567015521400862</v>
      </c>
      <c r="KD33" s="20">
        <f t="shared" si="95"/>
        <v>181.70323369977311</v>
      </c>
      <c r="KE33" s="59">
        <f t="shared" si="96"/>
        <v>475.03656703310639</v>
      </c>
      <c r="KF33" s="59">
        <f ca="1">AVERAGE(OFFSET($KE$3,0,0,'Données projet'!$E$22+1,1))-AVERAGE(OFFSET($H$3,0,0,'Données projet'!$E$22+1,1))</f>
        <v>193.91714772848269</v>
      </c>
      <c r="KG33" s="59">
        <f t="shared" si="97"/>
        <v>159.20429420478047</v>
      </c>
      <c r="KH33" s="15" t="str">
        <f>IF(ISNA(VLOOKUP($A33,'Données projet'!$A$382:$I$402,3,0)),0,VLOOKUP($A33,'Données projet'!$A$382:$I$402,3,0))</f>
        <v>na</v>
      </c>
      <c r="KI33" s="15">
        <f>IF(ISNA(VLOOKUP($A33,'Données projet'!$A$382:$I$402,4,0)),0,VLOOKUP($A33,'Données projet'!$A$382:$I$402,4,0))</f>
        <v>0</v>
      </c>
      <c r="KJ33" s="16">
        <f>IF(ISNA(VLOOKUP($A33,'Données projet'!$A$382:$I$402,5,0)),0%,VLOOKUP($A33,'Données projet'!$A$382:$I$402,5,0)*VLOOKUP('Données projet'!$B$22,Paramètres!$A$1:$I$89,7,0))</f>
        <v>0</v>
      </c>
      <c r="KK33" s="16">
        <f>IF(ISNA(VLOOKUP($A33,'Données projet'!$A$382:$I$402,6,0)),0%,VLOOKUP($A33,'Données projet'!$A$382:$I$402,6,0)*VLOOKUP('Données projet'!$B$22,Paramètres!$A$1:$I$89,7,0))</f>
        <v>0</v>
      </c>
      <c r="KL33" s="16">
        <f>IF(ISNA(VLOOKUP($A33,'Données projet'!$A$382:$I$402,7,0)),0%,VLOOKUP($A33,'Données projet'!$A$382:$I$402,7,0))</f>
        <v>0</v>
      </c>
      <c r="KM33" s="21">
        <f>EXP(-LN(2)/35)*KM32+(1-EXP(-LN(2)/35))/(LN(2)/35)*KI33*KJ33*VLOOKUP('Données projet'!$B$22,Paramètres!$A$1:$I$89,3,0)*0.475*44/12</f>
        <v>0</v>
      </c>
      <c r="KN33" s="21">
        <f>EXP(-LN(2)/25)*KN32+(1-EXP(-LN(2)/25))/(LN(2)/25)*Calculateur!KI33*Calculateur!KK33*VLOOKUP('Données projet'!$B$22,Paramètres!$A$1:$I$89,3,0)*0.475*44/12</f>
        <v>0</v>
      </c>
      <c r="KO33" s="21">
        <f>EXP(-LN(2)/2)*KO32+(1-EXP(-LN(2)/2))/(LN(2)/2)*KI33*KL33*VLOOKUP('Données projet'!$B$22,Paramètres!$A$1:$I$89,3,0)*0.475*44/12</f>
        <v>0</v>
      </c>
      <c r="KP33" s="22">
        <f t="shared" si="98"/>
        <v>0</v>
      </c>
      <c r="KQ33" s="74">
        <f>('Scénario référence'!$F$8+'Scénario référence'!$F$9+'Scénario référence'!$B$17+'Scénario référence'!$B$9+'Scénario référence'!$B$10)*70+IF((45+25*(1-EXP(-0.0175*$A33)))&lt;70,'Scénario référence'!$B$16*(45+25*(1-EXP(-0.0175*$A33))),70*'Scénario référence'!$B$16)+IF((32+38*(1-EXP(-0.0175*$A33)))&lt;70,'Scénario référence'!$B$18*(32+38*(1-EXP(-0.0175*$A33))),70*'Scénario référence'!$B$18)</f>
        <v>70</v>
      </c>
      <c r="KR33" s="12">
        <f>IF($A33&gt;30,10,('Scénario référence'!$B$16+'Scénario référence'!$B$17+'Scénario référence'!$B$18+'Scénario référence'!$B$9+'Scénario référence'!$B$10)*$A33*10/30+('Scénario référence'!$F$8+'Scénario référence'!$F$9)*10)</f>
        <v>10</v>
      </c>
      <c r="KS33" s="12">
        <f>VLOOKUP($A33,'Données projet'!$A$408:$I$428,2,0)</f>
        <v>146</v>
      </c>
      <c r="KT33" s="12">
        <f>VLOOKUP($A33,'Données projet'!$A$408:$I$428,9,0)</f>
        <v>11.8</v>
      </c>
      <c r="KU33" s="12">
        <f t="array" ref="KU33">INDEX(KT:KT,MIN(IF(ISNUMBER(KT33:KT229),ROW(KT33:KT229),"")))</f>
        <v>11.8</v>
      </c>
      <c r="KV33" s="12">
        <f>IF('Données projet'!$A$408&gt;35,KV32+KU33-LD32,IF($A33&lt;'Données projet'!$A$408,$CQ$205^$A33,IF($A33='Données projet'!$A$408,'Données projet'!$B$408,KV32+KU33-LD32)))</f>
        <v>146</v>
      </c>
      <c r="KW33" s="17">
        <f>KV33*VLOOKUP('Données projet'!$B$23,Paramètres!$A$1:$I$89,3,0)*VLOOKUP('Données projet'!$B$23,Paramètres!$A$1:$I$89,5,0)</f>
        <v>127.54560000000001</v>
      </c>
      <c r="KX33" s="13">
        <f t="shared" si="99"/>
        <v>33.428591950384806</v>
      </c>
      <c r="KY33" s="14">
        <f t="shared" si="43"/>
        <v>280.36338431358689</v>
      </c>
      <c r="KZ33" s="59">
        <f t="shared" si="44"/>
        <v>573.69671764692021</v>
      </c>
      <c r="LA33" s="59">
        <f ca="1">AVERAGE(OFFSET($KZ$3,0,0,'Données projet'!$E$23+1,1))-AVERAGE(OFFSET($H$3,0,0,'Données projet'!$E$23+1,1))</f>
        <v>248.33596943633819</v>
      </c>
      <c r="LB33" s="59">
        <f t="shared" si="100"/>
        <v>242.34010522344573</v>
      </c>
      <c r="LC33" s="15">
        <f>IF(ISNA(VLOOKUP($A33,'Données projet'!$A$408:$I$428,3,0)),0,VLOOKUP($A33,'Données projet'!$A$408:$I$428,3,0))</f>
        <v>4</v>
      </c>
      <c r="LD33" s="15">
        <f>IF(ISNA(VLOOKUP($A33,'Données projet'!$A$408:$I$428,4,0)),0,VLOOKUP($A33,'Données projet'!$A$408:$I$428,4,0))</f>
        <v>28</v>
      </c>
      <c r="LE33" s="16">
        <f>IF(ISNA(VLOOKUP($A33,'Données projet'!$A$408:$I$428,5,0)),0%,VLOOKUP($A33,'Données projet'!$A$408:$I$428,5,0)*VLOOKUP('Données projet'!$B$23,Paramètres!$A$1:$I$89,7,0))</f>
        <v>1.72E-2</v>
      </c>
      <c r="LF33" s="16">
        <f>IF(ISNA(VLOOKUP($A33,'Données projet'!$A$408:$I$428,6,0)),0%,VLOOKUP($A33,'Données projet'!$A$408:$I$428,6,0)*VLOOKUP('Données projet'!$B$23,Paramètres!$A$1:$I$89,7,0))</f>
        <v>0.12469999999999999</v>
      </c>
      <c r="LG33" s="16">
        <f>IF(ISNA(VLOOKUP($A33,'Données projet'!$A$408:$I$428,7,0)),0%,VLOOKUP($A33,'Données projet'!$A$408:$I$428,7,0))</f>
        <v>0</v>
      </c>
      <c r="LH33" s="21">
        <f>EXP(-LN(2)/35)*LH32+(1-EXP(-LN(2)/35))/(LN(2)/35)*LD33*LE33*VLOOKUP('Données projet'!$B$23,Paramètres!$A$1:$I$89,3,0)*0.475*44/12</f>
        <v>0.46509986558648891</v>
      </c>
      <c r="LI33" s="21">
        <f>EXP(-LN(2)/25)*LI32+(1-EXP(-LN(2)/25))/(LN(2)/25)*Calculateur!LD33*Calculateur!LF33*VLOOKUP('Données projet'!$B$23,Paramètres!$A$1:$I$89,3,0)*0.475*44/12</f>
        <v>4.0644700602118995</v>
      </c>
      <c r="LJ33" s="21">
        <f>EXP(-LN(2)/2)*LJ32+(1-EXP(-LN(2)/2))/(LN(2)/2)*LD33*LG33*VLOOKUP('Données projet'!$B$23,Paramètres!$A$1:$I$89,3,0)*0.475*44/12</f>
        <v>0</v>
      </c>
      <c r="LK33" s="22">
        <f t="shared" si="101"/>
        <v>4.5295699257983886</v>
      </c>
      <c r="LL33" s="74">
        <f>('Scénario référence'!$F$8+'Scénario référence'!$F$9+'Scénario référence'!$B$17+'Scénario référence'!$B$9+'Scénario référence'!$B$10)*70+IF((45+25*(1-EXP(-0.0175*$A33)))&lt;70,'Scénario référence'!$B$16*(45+25*(1-EXP(-0.0175*$A33))),70*'Scénario référence'!$B$16)+IF((32+38*(1-EXP(-0.0175*$A33)))&lt;70,'Scénario référence'!$B$18*(32+38*(1-EXP(-0.0175*$A33))),70*'Scénario référence'!$B$18)</f>
        <v>70</v>
      </c>
      <c r="LM33" s="12">
        <f>IF($A33&gt;30,10,('Scénario référence'!$B$16+'Scénario référence'!$B$17+'Scénario référence'!$B$18+'Scénario référence'!$B$9+'Scénario référence'!$B$10)*$A33*10/30+('Scénario référence'!$F$8+'Scénario référence'!$F$9)*10)</f>
        <v>10</v>
      </c>
      <c r="LN33" s="12">
        <f>VLOOKUP($A33,'Données projet'!$A$434:$I$454,2,0)</f>
        <v>87.705128205128204</v>
      </c>
      <c r="LO33" s="12">
        <f>VLOOKUP($A33,'Données projet'!$A$434:$I$454,9,0)</f>
        <v>2.9235042735042733</v>
      </c>
      <c r="LP33" s="12">
        <f t="array" ref="LP33">INDEX(LO:LO,MIN(IF(ISNUMBER(LO33:LO229),ROW(LO33:LO229),"")))</f>
        <v>2.9235042735042733</v>
      </c>
      <c r="LQ33" s="12">
        <f>IF('Données projet'!$A$434&gt;35,LQ32+LP33-LY32,IF($A33&lt;'Données projet'!$A$434,$CQ$205^$A33,IF($A33='Données projet'!$A$434,'Données projet'!$B$434,LQ32+LP33-LY32)))</f>
        <v>87.705128205128219</v>
      </c>
      <c r="LR33" s="17">
        <f>LQ33*VLOOKUP('Données projet'!$B$24,Paramètres!$A$1:$I$89,3,0)*VLOOKUP('Données projet'!$B$24,Paramètres!$A$1:$I$89,5,0)</f>
        <v>88.933000000000021</v>
      </c>
      <c r="LS33" s="13">
        <f t="shared" si="102"/>
        <v>24.307711939667918</v>
      </c>
      <c r="LT33" s="14">
        <f t="shared" si="46"/>
        <v>197.22757329492163</v>
      </c>
      <c r="LU33" s="59">
        <f t="shared" si="103"/>
        <v>490.56090662825494</v>
      </c>
      <c r="LV33" s="59">
        <f ca="1">AVERAGE(OFFSET($LU$3,0,0,'Données projet'!$E$24+1,1))-AVERAGE(OFFSET($H$3,0,0,'Données projet'!$E$24+1,1))</f>
        <v>260.52627655062872</v>
      </c>
      <c r="LW33" s="59">
        <f t="shared" si="104"/>
        <v>159.20429420478047</v>
      </c>
      <c r="LX33" s="15" t="str">
        <f>IF(ISNA(VLOOKUP($A33,'Données projet'!$A$434:$I$454,3,0)),0,VLOOKUP($A33,'Données projet'!$A$434:$I$454,3,0))</f>
        <v>na</v>
      </c>
      <c r="LY33" s="15">
        <f>IF(ISNA(VLOOKUP($A33,'Données projet'!$A$434:$I$454,4,0)),0,VLOOKUP($A33,'Données projet'!$A$434:$I$454,4,0))</f>
        <v>0</v>
      </c>
      <c r="LZ33" s="16">
        <f>IF(ISNA(VLOOKUP($A33,'Données projet'!$A$434:$I$454,5,0)),0%,VLOOKUP($A33,'Données projet'!$A$434:$I$454,5,0)*VLOOKUP('Données projet'!$B$24,Paramètres!$A$1:$I$89,7,0))</f>
        <v>0</v>
      </c>
      <c r="MA33" s="16">
        <f>IF(ISNA(VLOOKUP($A33,'Données projet'!$A$434:$I$454,6,0)),0%,VLOOKUP($A33,'Données projet'!$A$434:$I$454,6,0)*VLOOKUP('Données projet'!$B$24,Paramètres!$A$1:$I$89,7,0))</f>
        <v>0</v>
      </c>
      <c r="MB33" s="16">
        <f>IF(ISNA(VLOOKUP($A33,'Données projet'!$A$434:$I$454,7,0)),0%,VLOOKUP($A33,'Données projet'!$A$434:$I$454,7,0))</f>
        <v>0</v>
      </c>
      <c r="MC33" s="21">
        <f>EXP(-LN(2)/35)*MC32+(1-EXP(-LN(2)/35))/(LN(2)/35)*LY33*LZ33*VLOOKUP('Données projet'!$B$24,Paramètres!$A$1:$I$89,3,0)*0.475*44/12</f>
        <v>0</v>
      </c>
      <c r="MD33" s="21">
        <f>EXP(-LN(2)/25)*MD32+(1-EXP(-LN(2)/25))/(LN(2)/25)*Calculateur!LY33*Calculateur!MA33*VLOOKUP('Données projet'!$B$24,Paramètres!$A$1:$I$89,3,0)*0.475*44/12</f>
        <v>0</v>
      </c>
      <c r="ME33" s="21">
        <f>EXP(-LN(2)/2)*ME32+(1-EXP(-LN(2)/2))/(LN(2)/2)*LY33*MB33*VLOOKUP('Données projet'!$B$24,Paramètres!$A$1:$I$89,3,0)*0.475*44/12</f>
        <v>0</v>
      </c>
      <c r="MF33" s="22">
        <f t="shared" si="105"/>
        <v>0</v>
      </c>
      <c r="MG33" s="74">
        <f>('Scénario référence'!$F$8+'Scénario référence'!$F$9+'Scénario référence'!$B$17+'Scénario référence'!$B$9+'Scénario référence'!$B$10)*70+IF((45+25*(1-EXP(-0.0175*$A33)))&lt;70,'Scénario référence'!$B$16*(45+25*(1-EXP(-0.0175*$A33))),70*'Scénario référence'!$B$16)+IF((32+38*(1-EXP(-0.0175*$A33)))&lt;70,'Scénario référence'!$B$18*(32+38*(1-EXP(-0.0175*$A33))),70*'Scénario référence'!$B$18)</f>
        <v>70</v>
      </c>
      <c r="MH33" s="12">
        <f>IF($A33&gt;30,10,('Scénario référence'!$B$16+'Scénario référence'!$B$17+'Scénario référence'!$B$18+'Scénario référence'!$B$9+'Scénario référence'!$B$10)*$A33*10/30+('Scénario référence'!$F$8+'Scénario référence'!$F$9)*10)</f>
        <v>10</v>
      </c>
      <c r="MI33" s="12" t="e">
        <f>VLOOKUP($A33,'Données projet'!$A$460:$I$480,2,0)</f>
        <v>#N/A</v>
      </c>
      <c r="MJ33" s="12" t="e">
        <f>VLOOKUP($A33,'Données projet'!$A$460:$I$480,9,0)</f>
        <v>#N/A</v>
      </c>
      <c r="MK33" s="12">
        <f t="array" ref="MK33">INDEX(MJ:MJ,MIN(IF(ISNUMBER(MJ33:MJ229),ROW(MJ33:MJ229),"")))</f>
        <v>0</v>
      </c>
      <c r="ML33" s="12">
        <f>IF('Données projet'!$A$460&gt;35,ML32+MK33-MT32,IF($A33&lt;'Données projet'!$A$460,$CQ$205^$A33,IF($A33='Données projet'!$A$460,'Données projet'!$B$460,ML32+MK33-MT32)))</f>
        <v>0</v>
      </c>
      <c r="MM33" s="17" t="e">
        <f>ML33*VLOOKUP('Données projet'!$B$25,Paramètres!$A$1:$I$89,3,0)*VLOOKUP('Données projet'!$B$25,Paramètres!$A$1:$I$89,5,0)</f>
        <v>#N/A</v>
      </c>
      <c r="MN33" s="13" t="e">
        <f t="shared" si="106"/>
        <v>#N/A</v>
      </c>
      <c r="MO33" s="14" t="e">
        <f t="shared" si="49"/>
        <v>#N/A</v>
      </c>
      <c r="MP33" s="59" t="e">
        <f t="shared" si="50"/>
        <v>#N/A</v>
      </c>
      <c r="MQ33" s="20" t="e">
        <f ca="1">AVERAGE(OFFSET($MP$3,0,0,'Données projet'!$E$25+1,1))-AVERAGE(OFFSET($H$3,0,0,'Données projet'!$E$25+1,1))</f>
        <v>#N/A</v>
      </c>
      <c r="MR33" s="59" t="e">
        <f t="shared" si="107"/>
        <v>#N/A</v>
      </c>
      <c r="MS33" s="15">
        <f>IF(ISNA(VLOOKUP($A33,'Données projet'!$A$460:$I$480,3,0)),0,VLOOKUP($A33,'Données projet'!$A$460:$I$480,3,0))</f>
        <v>0</v>
      </c>
      <c r="MT33" s="15">
        <f>IF(ISNA(VLOOKUP($A33,'Données projet'!$A$460:$I$480,4,0)),0,VLOOKUP($A33,'Données projet'!$A$460:$I$480,4,0))</f>
        <v>0</v>
      </c>
      <c r="MU33" s="16">
        <f>IF(ISNA(VLOOKUP($A33,'Données projet'!$A$460:$I$480,5,0)),0%,VLOOKUP($A33,'Données projet'!$A$460:$I$480,5,0)*VLOOKUP('Données projet'!$B$25,Paramètres!$A$1:$I$89,7,0))</f>
        <v>0</v>
      </c>
      <c r="MV33" s="16">
        <f>IF(ISNA(VLOOKUP($A33,'Données projet'!$A$460:$I$480,6,0)),0%,VLOOKUP($A33,'Données projet'!$A$460:$I$480,6,0)*VLOOKUP('Données projet'!$B$25,Paramètres!$A$1:$I$89,7,0))</f>
        <v>0</v>
      </c>
      <c r="MW33" s="16">
        <f>IF(ISNA(VLOOKUP($A33,'Données projet'!$A$460:$I$480,7,0)),0%,VLOOKUP($A33,'Données projet'!$A$460:$I$480,7,0))</f>
        <v>0</v>
      </c>
      <c r="MX33" s="21" t="e">
        <f>EXP(-LN(2)/35)*MX32+(1-EXP(-LN(2)/35))/(LN(2)/35)*MT33*MU33*VLOOKUP('Données projet'!$B$25,Paramètres!$A$1:$I$89,3,0)*0.475*44/12</f>
        <v>#N/A</v>
      </c>
      <c r="MY33" s="21" t="e">
        <f>EXP(-LN(2)/25)*MY32+(1-EXP(-LN(2)/25))/(LN(2)/25)*Calculateur!MT33*Calculateur!MV33*VLOOKUP('Données projet'!$B$25,Paramètres!$A$1:$I$89,3,0)*0.475*44/12</f>
        <v>#N/A</v>
      </c>
      <c r="MZ33" s="21" t="e">
        <f>EXP(-LN(2)/2)*MZ32+(1-EXP(-LN(2)/2))/(LN(2)/2)*MT33*MW33*VLOOKUP('Données projet'!$B$25,Paramètres!$A$1:$I$89,3,0)*0.475*44/12</f>
        <v>#N/A</v>
      </c>
      <c r="NA33" s="22" t="e">
        <f t="shared" si="108"/>
        <v>#N/A</v>
      </c>
      <c r="NB33" s="74">
        <f>('Scénario référence'!$F$8+'Scénario référence'!$F$9+'Scénario référence'!$B$17+'Scénario référence'!$B$9+'Scénario référence'!$B$10)*70+IF((45+25*(1-EXP(-0.0175*$A33)))&lt;70,'Scénario référence'!$B$16*(45+25*(1-EXP(-0.0175*$A33))),70*'Scénario référence'!$B$16)+IF((32+38*(1-EXP(-0.0175*$A33)))&lt;70,'Scénario référence'!$B$18*(32+38*(1-EXP(-0.0175*$A33))),70*'Scénario référence'!$B$18)</f>
        <v>70</v>
      </c>
      <c r="NC33" s="12">
        <f>IF($A33&gt;30,10,('Scénario référence'!$B$16+'Scénario référence'!$B$17+'Scénario référence'!$B$18+'Scénario référence'!$B$9+'Scénario référence'!$B$10)*$A33*10/30+('Scénario référence'!$F$8+'Scénario référence'!$F$9)*10)</f>
        <v>10</v>
      </c>
      <c r="ND33" s="12" t="e">
        <f>VLOOKUP($A33,'Données projet'!$A$486:$I$506,2,0)</f>
        <v>#N/A</v>
      </c>
      <c r="NE33" s="12" t="e">
        <f>VLOOKUP($A33,'Données projet'!$A$486:$I$506,9,0)</f>
        <v>#N/A</v>
      </c>
      <c r="NF33" s="12">
        <f t="array" ref="NF33">INDEX(NE:NE,MIN(IF(ISNUMBER(NE33:NE229),ROW(NE33:NE229),"")))</f>
        <v>0</v>
      </c>
      <c r="NG33" s="12">
        <f>IF('Données projet'!$A$486&gt;35,NG32+NF33-NO32,IF($A33&lt;'Données projet'!$A$486,$CQ$205^$A33,IF($A33='Données projet'!$A$486,'Données projet'!$B$486,NG32+NF33-NO32)))</f>
        <v>0</v>
      </c>
      <c r="NH33" s="17" t="e">
        <f>NG33*VLOOKUP('Données projet'!$B$26,Paramètres!$A$1:$I$89,3,0)*VLOOKUP('Données projet'!$B$26,Paramètres!$A$1:$I$89,5,0)</f>
        <v>#N/A</v>
      </c>
      <c r="NI33" s="13" t="e">
        <f t="shared" si="109"/>
        <v>#N/A</v>
      </c>
      <c r="NJ33" s="14" t="e">
        <f t="shared" si="52"/>
        <v>#N/A</v>
      </c>
      <c r="NK33" s="59" t="e">
        <f t="shared" si="53"/>
        <v>#N/A</v>
      </c>
      <c r="NL33" s="20" t="e">
        <f ca="1">AVERAGE(OFFSET($NK$3,0,0,'Données projet'!$E$26+1,1))-AVERAGE(OFFSET($H$3,0,0,'Données projet'!$E$26+1,1))</f>
        <v>#N/A</v>
      </c>
      <c r="NM33" s="59" t="e">
        <f t="shared" si="110"/>
        <v>#N/A</v>
      </c>
      <c r="NN33" s="15">
        <f>IF(ISNA(VLOOKUP($A33,'Données projet'!$A$486:$I$506,3,0)),0,VLOOKUP($A33,'Données projet'!$A$486:$I$506,3,0))</f>
        <v>0</v>
      </c>
      <c r="NO33" s="15">
        <f>IF(ISNA(VLOOKUP($A33,'Données projet'!$A$486:$I$506,4,0)),0,VLOOKUP($A33,'Données projet'!$A$486:$I$506,4,0))</f>
        <v>0</v>
      </c>
      <c r="NP33" s="16">
        <f>IF(ISNA(VLOOKUP($A33,'Données projet'!$A$486:$I$506,5,0)),0%,VLOOKUP($A33,'Données projet'!$A$486:$I$506,5,0)*VLOOKUP('Données projet'!$B$26,Paramètres!$A$1:$I$89,7,0))</f>
        <v>0</v>
      </c>
      <c r="NQ33" s="16">
        <f>IF(ISNA(VLOOKUP($A33,'Données projet'!$A$486:$I$506,6,0)),0%,VLOOKUP($A33,'Données projet'!$A$486:$I$506,6,0)*VLOOKUP('Données projet'!$B$26,Paramètres!$A$1:$I$89,7,0))</f>
        <v>0</v>
      </c>
      <c r="NR33" s="16">
        <f>IF(ISNA(VLOOKUP($A33,'Données projet'!$A$486:$I$506,7,0)),0%,VLOOKUP($A33,'Données projet'!$A$486:$I$506,7,0))</f>
        <v>0</v>
      </c>
      <c r="NS33" s="21" t="e">
        <f>EXP(-LN(2)/35)*NS32+(1-EXP(-LN(2)/35))/(LN(2)/35)*NO33*NP33*VLOOKUP('Données projet'!$B$26,Paramètres!$A$1:$I$89,3,0)*0.475*44/12</f>
        <v>#N/A</v>
      </c>
      <c r="NT33" s="21" t="e">
        <f>EXP(-LN(2)/25)*NT32+(1-EXP(-LN(2)/25))/(LN(2)/25)*Calculateur!NO33*Calculateur!NQ33*VLOOKUP('Données projet'!$B$26,Paramètres!$A$1:$I$89,3,0)*0.475*44/12</f>
        <v>#N/A</v>
      </c>
      <c r="NU33" s="21" t="e">
        <f>EXP(-LN(2)/2)*NU32+(1-EXP(-LN(2)/2))/(LN(2)/2)*NO33*NR33*VLOOKUP('Données projet'!$B$26,Paramètres!$A$1:$I$89,3,0)*0.475*44/12</f>
        <v>#N/A</v>
      </c>
      <c r="NV33" s="22" t="e">
        <f t="shared" si="111"/>
        <v>#N/A</v>
      </c>
      <c r="NW33" s="74">
        <f>('Scénario référence'!$F$8+'Scénario référence'!$F$9+'Scénario référence'!$B$17+'Scénario référence'!$B$9+'Scénario référence'!$B$10)*70+IF((45+25*(1-EXP(-0.0175*$A33)))&lt;70,'Scénario référence'!$B$16*(45+25*(1-EXP(-0.0175*$A33))),70*'Scénario référence'!$B$16)+IF((32+38*(1-EXP(-0.0175*$A33)))&lt;70,'Scénario référence'!$B$18*(32+38*(1-EXP(-0.0175*$A33))),70*'Scénario référence'!$B$18)</f>
        <v>70</v>
      </c>
      <c r="NX33" s="12">
        <f>IF($A33&gt;30,10,('Scénario référence'!$B$16+'Scénario référence'!$B$17+'Scénario référence'!$B$18+'Scénario référence'!$B$9+'Scénario référence'!$B$10)*$A33*10/30+('Scénario référence'!$F$8+'Scénario référence'!$F$9)*10)</f>
        <v>10</v>
      </c>
      <c r="NY33" s="12" t="e">
        <f>VLOOKUP($A33,'Données projet'!$A$512:$I$532,2,0)</f>
        <v>#N/A</v>
      </c>
      <c r="NZ33" s="12" t="e">
        <f>VLOOKUP($A33,'Données projet'!$A$512:$I$532,9,0)</f>
        <v>#N/A</v>
      </c>
      <c r="OA33" s="12">
        <f t="array" ref="OA33">INDEX(NZ:NZ,MIN(IF(ISNUMBER(NZ33:NZ229),ROW(NZ33:NZ229),"")))</f>
        <v>0</v>
      </c>
      <c r="OB33" s="12">
        <f>IF('Données projet'!$A$512&gt;35,OB32+OA33-OJ32,IF($A33&lt;'Données projet'!$A$512,$CQ$205^$A33,IF($A33='Données projet'!$A$512,'Données projet'!$B$512,OB32+OA33-OJ32)))</f>
        <v>0</v>
      </c>
      <c r="OC33" s="17" t="e">
        <f>OB33*VLOOKUP('Données projet'!$B$27,Paramètres!$A$1:$I$89,3,0)*VLOOKUP('Données projet'!$B$27,Paramètres!$A$1:$I$89,5,0)</f>
        <v>#N/A</v>
      </c>
      <c r="OD33" s="13" t="e">
        <f t="shared" si="112"/>
        <v>#N/A</v>
      </c>
      <c r="OE33" s="14" t="e">
        <f t="shared" si="55"/>
        <v>#N/A</v>
      </c>
      <c r="OF33" s="59" t="e">
        <f t="shared" si="56"/>
        <v>#N/A</v>
      </c>
      <c r="OG33" s="20" t="e">
        <f ca="1">AVERAGE(OFFSET($OF$3,0,0,'Données projet'!$E$27+1,1))-AVERAGE(OFFSET($H$3,0,0,'Données projet'!$E$27+1,1))</f>
        <v>#N/A</v>
      </c>
      <c r="OH33" s="59" t="e">
        <f t="shared" si="113"/>
        <v>#N/A</v>
      </c>
      <c r="OI33" s="15">
        <f>IF(ISNA(VLOOKUP($A33,'Données projet'!$A$512:$I$532,3,0)),0,VLOOKUP($A33,'Données projet'!$A$512:$I$532,3,0))</f>
        <v>0</v>
      </c>
      <c r="OJ33" s="15">
        <f>IF(ISNA(VLOOKUP($A33,'Données projet'!$A$512:$I$532,4,0)),0,VLOOKUP($A33,'Données projet'!$A$512:$I$532,4,0))</f>
        <v>0</v>
      </c>
      <c r="OK33" s="16">
        <f>IF(ISNA(VLOOKUP($A33,'Données projet'!$A$512:$I$532,5,0)),0%,VLOOKUP($A33,'Données projet'!$A$512:$I$532,5,0)*VLOOKUP('Données projet'!$B$27,Paramètres!$A$1:$I$89,7,0))</f>
        <v>0</v>
      </c>
      <c r="OL33" s="16">
        <f>IF(ISNA(VLOOKUP($A33,'Données projet'!$A$512:$I$532,6,0)),0%,VLOOKUP($A33,'Données projet'!$A$512:$I$532,6,0)*VLOOKUP('Données projet'!$B$27,Paramètres!$A$1:$I$89,7,0))</f>
        <v>0</v>
      </c>
      <c r="OM33" s="16">
        <f>IF(ISNA(VLOOKUP($A33,'Données projet'!$A$512:$I$532,7,0)),0%,VLOOKUP($A33,'Données projet'!$A$512:$I$532,7,0))</f>
        <v>0</v>
      </c>
      <c r="ON33" s="21" t="e">
        <f>EXP(-LN(2)/35)*ON32+(1-EXP(-LN(2)/35))/(LN(2)/35)*OJ33*OK33*VLOOKUP('Données projet'!$B$27,Paramètres!$A$1:$I$89,3,0)*0.475*44/12</f>
        <v>#N/A</v>
      </c>
      <c r="OO33" s="21" t="e">
        <f>EXP(-LN(2)/25)*OO32+(1-EXP(-LN(2)/25))/(LN(2)/25)*Calculateur!OJ33*Calculateur!OL33*VLOOKUP('Données projet'!$B$27,Paramètres!$A$1:$I$89,3,0)*0.475*44/12</f>
        <v>#N/A</v>
      </c>
      <c r="OP33" s="21" t="e">
        <f>EXP(-LN(2)/2)*OP32+(1-EXP(-LN(2)/2))/(LN(2)/2)*OJ33*OM33*VLOOKUP('Données projet'!$B$27,Paramètres!$A$1:$I$89,3,0)*0.475*44/12</f>
        <v>#N/A</v>
      </c>
      <c r="OQ33" s="22" t="e">
        <f t="shared" si="114"/>
        <v>#N/A</v>
      </c>
      <c r="OR33" s="74">
        <f>('Scénario référence'!$F$8+'Scénario référence'!$F$9+'Scénario référence'!$B$17+'Scénario référence'!$B$9+'Scénario référence'!$B$10)*70+IF((45+25*(1-EXP(-0.0175*$A33)))&lt;70,'Scénario référence'!$B$16*(45+25*(1-EXP(-0.0175*$A33))),70*'Scénario référence'!$B$16)+IF((32+38*(1-EXP(-0.0175*$A33)))&lt;70,'Scénario référence'!$B$18*(32+38*(1-EXP(-0.0175*$A33))),70*'Scénario référence'!$B$18)</f>
        <v>70</v>
      </c>
      <c r="OS33" s="12">
        <f>IF($A33&gt;30,10,('Scénario référence'!$B$16+'Scénario référence'!$B$17+'Scénario référence'!$B$18+'Scénario référence'!$B$9+'Scénario référence'!$B$10)*$A33*10/30+('Scénario référence'!$F$8+'Scénario référence'!$F$9)*10)</f>
        <v>10</v>
      </c>
      <c r="OT33" s="12" t="e">
        <f>VLOOKUP($A33,'Données projet'!$A$538:$I$558,2,0)</f>
        <v>#N/A</v>
      </c>
      <c r="OU33" s="12" t="e">
        <f>VLOOKUP($A33,'Données projet'!$A$538:$I$558,9,0)</f>
        <v>#N/A</v>
      </c>
      <c r="OV33" s="12">
        <f t="array" ref="OV33">INDEX(OU:OU,MIN(IF(ISNUMBER(OU33:OU229),ROW(OU33:OU229),"")))</f>
        <v>0</v>
      </c>
      <c r="OW33" s="12">
        <f>IF('Données projet'!$A$538&gt;35,OW32+OV33-PE32,IF($A33&lt;'Données projet'!$A$538,$CQ$205^$A33,IF($A33='Données projet'!$A$538,'Données projet'!$B$538,OW32+OV33-PE32)))</f>
        <v>0</v>
      </c>
      <c r="OX33" s="17" t="e">
        <f>OW33*VLOOKUP('Données projet'!$B$28,Paramètres!$A$1:$I$89,3,0)*VLOOKUP('Données projet'!$B$28,Paramètres!$A$1:$I$89,5,0)</f>
        <v>#N/A</v>
      </c>
      <c r="OY33" s="13" t="e">
        <f t="shared" si="115"/>
        <v>#N/A</v>
      </c>
      <c r="OZ33" s="14" t="e">
        <f t="shared" si="58"/>
        <v>#N/A</v>
      </c>
      <c r="PA33" s="59" t="e">
        <f t="shared" si="59"/>
        <v>#N/A</v>
      </c>
      <c r="PB33" s="20" t="e">
        <f ca="1">AVERAGE(OFFSET($PA$3,0,0,'Données projet'!$E$28+1,1))-AVERAGE(OFFSET($H$3,0,0,'Données projet'!$E$28+1,1))</f>
        <v>#N/A</v>
      </c>
      <c r="PC33" s="59" t="e">
        <f t="shared" si="116"/>
        <v>#N/A</v>
      </c>
      <c r="PD33" s="15">
        <f>IF(ISNA(VLOOKUP($A33,'Données projet'!$A$538:$I$558,3,0)),0,VLOOKUP($A33,'Données projet'!$A$538:$I$558,3,0))</f>
        <v>0</v>
      </c>
      <c r="PE33" s="15">
        <f>IF(ISNA(VLOOKUP($A33,'Données projet'!$A$538:$I$558,4,0)),0,VLOOKUP($A33,'Données projet'!$A$538:$I$558,4,0))</f>
        <v>0</v>
      </c>
      <c r="PF33" s="16">
        <f>IF(ISNA(VLOOKUP($A33,'Données projet'!$A$538:$I$558,5,0)),0%,VLOOKUP($A33,'Données projet'!$A$538:$I$558,5,0)*VLOOKUP('Données projet'!$B$28,Paramètres!$A$1:$I$89,7,0))</f>
        <v>0</v>
      </c>
      <c r="PG33" s="16">
        <f>IF(ISNA(VLOOKUP($A33,'Données projet'!$A$538:$I$558,6,0)),0%,VLOOKUP($A33,'Données projet'!$A$538:$I$558,6,0)*VLOOKUP('Données projet'!$B$28,Paramètres!$A$1:$I$89,7,0))</f>
        <v>0</v>
      </c>
      <c r="PH33" s="16">
        <f>IF(ISNA(VLOOKUP($A33,'Données projet'!$A$538:$I$558,7,0)),0%,VLOOKUP($A33,'Données projet'!$A$538:$I$558,7,0))</f>
        <v>0</v>
      </c>
      <c r="PI33" s="21" t="e">
        <f>EXP(-LN(2)/35)*PI32+(1-EXP(-LN(2)/35))/(LN(2)/35)*PE33*PF33*VLOOKUP('Données projet'!$B$28,Paramètres!$A$1:$I$89,3,0)*0.475*44/12</f>
        <v>#N/A</v>
      </c>
      <c r="PJ33" s="21" t="e">
        <f>EXP(-LN(2)/25)*PJ32+(1-EXP(-LN(2)/25))/(LN(2)/25)*Calculateur!PE33*Calculateur!PG33*VLOOKUP('Données projet'!$B$28,Paramètres!$A$1:$I$89,3,0)*0.475*44/12</f>
        <v>#N/A</v>
      </c>
      <c r="PK33" s="21" t="e">
        <f>EXP(-LN(2)/2)*PK32+(1-EXP(-LN(2)/2))/(LN(2)/2)*PE33*PH33*VLOOKUP('Données projet'!$B$28,Paramètres!$A$1:$I$89,3,0)*0.475*44/12</f>
        <v>#N/A</v>
      </c>
      <c r="PL33" s="22" t="e">
        <f t="shared" si="117"/>
        <v>#N/A</v>
      </c>
    </row>
    <row r="34" spans="1:428" x14ac:dyDescent="0.35">
      <c r="A34" s="10">
        <f t="shared" si="6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6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projet'!$A$45:$I$65,2,0)</f>
        <v>#N/A</v>
      </c>
      <c r="L34" s="12" t="e">
        <f>VLOOKUP(A34,'Données projet'!$A$45:$I$65,9,0)</f>
        <v>#N/A</v>
      </c>
      <c r="M34" s="12">
        <f t="array" ref="M34">INDEX(L:L,MIN(IF(ISNUMBER(L34:L230),ROW(L34:L230),"")))</f>
        <v>22.884615384615397</v>
      </c>
      <c r="N34" s="13">
        <f>IF('Données projet'!$A$46&gt;35,N33+M34-V33,IF(A34&lt;'Données projet'!$A$46,$K$205^A34,IF(A34='Données projet'!$A$46,'Données projet'!$B$46,N33+M34-V33)))</f>
        <v>289.08461538461529</v>
      </c>
      <c r="O34" s="13">
        <f>N34*VLOOKUP('Données projet'!$B$9,Paramètres!$A$1:$I$89,3,0)*VLOOKUP('Données projet'!$B$9,Paramètres!$A$1:$I$89,5,0)</f>
        <v>161.59829999999994</v>
      </c>
      <c r="P34" s="13">
        <f t="shared" si="63"/>
        <v>41.202807619439731</v>
      </c>
      <c r="Q34" s="20">
        <f t="shared" si="2"/>
        <v>353.21192910385736</v>
      </c>
      <c r="R34" s="59">
        <f t="shared" si="0"/>
        <v>646.54526243719067</v>
      </c>
      <c r="S34" s="59">
        <f ca="1">AVERAGE(OFFSET($R$3,0,0,'Données projet'!$E$9+1,1))-AVERAGE(OFFSET($H$3,0,0,'Données projet'!$E$9+1,1))</f>
        <v>274.57619581652199</v>
      </c>
      <c r="T34" s="59">
        <f t="shared" si="64"/>
        <v>366.15117322598775</v>
      </c>
      <c r="U34" s="15">
        <f>IF(ISNA(VLOOKUP(A34,'Données projet'!$A$45:$I$65,3,0)),0,VLOOKUP(A34,'Données projet'!$A$45:$I$65,3,0))</f>
        <v>0</v>
      </c>
      <c r="V34" s="15">
        <f>IF(ISNA(VLOOKUP(A34,'Données projet'!$A$45:$I$65,4,0)),0,VLOOKUP(A34,'Données projet'!$A$45:$I$65,4,0))</f>
        <v>0</v>
      </c>
      <c r="W34" s="16">
        <f>IF(ISNA(VLOOKUP(A34,'Données projet'!$A$45:$I$65,5,0)),0%,VLOOKUP(A34,'Données projet'!$A$45:$I$65,5,0)*VLOOKUP('Données projet'!$B$9,Paramètres!$A$1:$I$89,7,0))</f>
        <v>0</v>
      </c>
      <c r="X34" s="16">
        <f>IF(ISNA(VLOOKUP(A34,'Données projet'!$A$45:$I$65,6,0)),0%,VLOOKUP(A34,'Données projet'!$A$45:$I$65,6,0)*VLOOKUP('Données projet'!$B$9,Paramètres!$A$1:$I$89,7,0))</f>
        <v>0</v>
      </c>
      <c r="Y34" s="16">
        <f>IF(ISNA(VLOOKUP(A34,'Données projet'!$A$45:$I$65,7,0)),0%,VLOOKUP(A34,'Données projet'!$A$45:$I$65,7,0))</f>
        <v>0</v>
      </c>
      <c r="Z34" s="21">
        <f>EXP(-LN(2)/35)*Z33+(1-EXP(-LN(2)/35))/(LN(2)/35)*V34*W34*VLOOKUP('Données projet'!$B$9,Paramètres!$A$1:$I$89,3,0)*0.475*44/12</f>
        <v>28.983761183885679</v>
      </c>
      <c r="AA34" s="21">
        <f>EXP(-LN(2)/25)*AA33+(1-EXP(-LN(2)/25))/(LN(2)/25)*Calculateur!V34*Calculateur!X34*VLOOKUP('Données projet'!$B$9,Paramètres!$A$1:$I$89,3,0)*0.475*44/12</f>
        <v>17.749365982960363</v>
      </c>
      <c r="AB34" s="21">
        <f>EXP(-LN(2)/2)*AB33+(1-EXP(-LN(2)/2))/(LN(2)/2)*V34*Y34*VLOOKUP('Données projet'!$B$9,Paramètres!$A$1:$I$89,3,0)*0.475*44/12</f>
        <v>4.4076409795891482</v>
      </c>
      <c r="AC34" s="22">
        <f t="shared" si="3"/>
        <v>51.140768146435192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projet'!$A$71:$I$91,2,0)</f>
        <v>#N/A</v>
      </c>
      <c r="AG34" s="12" t="e">
        <f>VLOOKUP(A34,'Données projet'!$A$71:$I$91,9,0)</f>
        <v>#N/A</v>
      </c>
      <c r="AH34" s="12">
        <f t="array" ref="AH34">INDEX(AG:AG,MIN(IF(ISNUMBER(AG34:AG230),ROW(AG34:AG230),"")))</f>
        <v>8.0564102564102633</v>
      </c>
      <c r="AI34" s="13">
        <f>IF('Données projet'!$A$72&gt;35,AI33+AH34-AQ33,IF(A34&lt;'Données projet'!$A$72,$AF$205^A34,IF(A34='Données projet'!$A$72,'Données projet'!$B$72,AI33+AH34-AQ33)))</f>
        <v>129.94102564102565</v>
      </c>
      <c r="AJ34" s="13">
        <f>AI34*VLOOKUP('Données projet'!$B$10,Paramètres!$A$1:$I$89,3,0)*VLOOKUP('Données projet'!$B$10,Paramètres!$A$1:$I$89,5,0)</f>
        <v>117.57064000000001</v>
      </c>
      <c r="AK34" s="13">
        <f t="shared" si="65"/>
        <v>31.107718284302781</v>
      </c>
      <c r="AL34" s="20">
        <f t="shared" si="4"/>
        <v>258.94814067849398</v>
      </c>
      <c r="AM34" s="59">
        <f t="shared" si="5"/>
        <v>552.2814740118273</v>
      </c>
      <c r="AN34" s="59">
        <f ca="1">AVERAGE(OFFSET($AM$3,0,0,'Données projet'!$E$10+1,1))-AVERAGE(OFFSET($H$3,0,0,'Données projet'!$E$10+1,1))</f>
        <v>270.87836509222456</v>
      </c>
      <c r="AO34" s="59">
        <f t="shared" si="66"/>
        <v>205.24998237949734</v>
      </c>
      <c r="AP34" s="15">
        <f>IF(ISNA(VLOOKUP(A34,'Données projet'!$A$71:$I$91,3,0)),0,VLOOKUP(A34,'Données projet'!$A$71:$I$91,3,0))</f>
        <v>0</v>
      </c>
      <c r="AQ34" s="15">
        <f>IF(ISNA(VLOOKUP(A34,'Données projet'!$A$71:$I$91,4,0)),0,VLOOKUP(A34,'Données projet'!$A$71:$I$91,4,0))</f>
        <v>0</v>
      </c>
      <c r="AR34" s="16">
        <f>IF(ISNA(VLOOKUP(A34,'Données projet'!$A$71:$I$91,5,0)),0%,VLOOKUP(A34,'Données projet'!$A$71:$I$91,5,0)*VLOOKUP('Données projet'!$B$10,Paramètres!$A$1:$I$89,7,0))</f>
        <v>0</v>
      </c>
      <c r="AS34" s="16">
        <f>IF(ISNA(VLOOKUP(A34,'Données projet'!$A$71:$I$91,6,0)),0%,VLOOKUP(A34,'Données projet'!$A$71:$I$91,6,0)*VLOOKUP('Données projet'!$B$10,Paramètres!$A$1:$I$89,7,0))</f>
        <v>0</v>
      </c>
      <c r="AT34" s="16">
        <f>IF(ISNA(VLOOKUP(A34,'Données projet'!$A$71:$I$91,7,0)),0%,VLOOKUP(A34,'Données projet'!$A$71:$I$91,7,0))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projet'!$A$97:$I$117,2,0)</f>
        <v>#N/A</v>
      </c>
      <c r="BB34" s="12" t="e">
        <f>VLOOKUP(A34,'Données projet'!$A$97:$I$117,9,0)</f>
        <v>#N/A</v>
      </c>
      <c r="BC34" s="12">
        <f t="array" ref="BC34">INDEX(BB:BB,MIN(IF(ISNUMBER(BB34:BB230),ROW(BB34:BB230),"")))</f>
        <v>22.884615384615397</v>
      </c>
      <c r="BD34" s="12">
        <f>IF('Données projet'!$A$98&gt;35,BD33+BC34-BL33,IF(A34&lt;'Données projet'!$A$98,$BA$205^A34,IF(A34='Données projet'!$A$98,'Données projet'!$B$98,BD33+BC34-BL33)))</f>
        <v>289.08461538461529</v>
      </c>
      <c r="BE34" s="13">
        <f>BD34*VLOOKUP('Données projet'!$B$11,Paramètres!$A$1:$I$89,3,0)*VLOOKUP('Données projet'!$B$11,Paramètres!$A$1:$I$89,5,0)</f>
        <v>127.77539999999998</v>
      </c>
      <c r="BF34" s="13">
        <f t="shared" si="67"/>
        <v>33.481804347398452</v>
      </c>
      <c r="BG34" s="20">
        <f t="shared" si="7"/>
        <v>280.85629757171893</v>
      </c>
      <c r="BH34" s="59">
        <f t="shared" si="8"/>
        <v>574.18963090505224</v>
      </c>
      <c r="BI34" s="59">
        <f ca="1">AVERAGE(OFFSET($BH$3,0,0,'Données projet'!$E$11+1,1))-AVERAGE(OFFSET($H$3,0,0,'Données projet'!$E$11+1,1))</f>
        <v>211.31057120485542</v>
      </c>
      <c r="BJ34" s="59">
        <f t="shared" si="68"/>
        <v>283.33292006714777</v>
      </c>
      <c r="BK34" s="15">
        <f>IF(ISNA(VLOOKUP(A34,'Données projet'!$A$97:$I$117,3,0)),0,VLOOKUP(A34,'Données projet'!$A$97:$I$117,3,0))</f>
        <v>0</v>
      </c>
      <c r="BL34" s="15">
        <f>IF(ISNA(VLOOKUP(A34,'Données projet'!$A$97:$I$117,4,0)),0,VLOOKUP(A34,'Données projet'!$A$97:$I$117,4,0))</f>
        <v>0</v>
      </c>
      <c r="BM34" s="16">
        <f>IF(ISNA(VLOOKUP(A34,'Données projet'!$A$97:$I$117,5,0)),0%,VLOOKUP(A34,'Données projet'!$A$97:$I$117,5,0)*VLOOKUP('Données projet'!$B$11,Paramètres!$A$1:$I$89,7,0))</f>
        <v>0</v>
      </c>
      <c r="BN34" s="16">
        <f>IF(ISNA(VLOOKUP(A34,'Données projet'!$A$97:$I$117,6,0)),0%,VLOOKUP(A34,'Données projet'!$A$97:$I$117,6,0)*VLOOKUP('Données projet'!$B$11,Paramètres!$A$1:$I$89,7,0))</f>
        <v>0</v>
      </c>
      <c r="BO34" s="16">
        <f>IF(ISNA(VLOOKUP(A34,'Données projet'!$A$97:$I$117,7,0)),0%,VLOOKUP(A34,'Données projet'!$A$97:$I$117,7,0))</f>
        <v>0</v>
      </c>
      <c r="BP34" s="21">
        <f>EXP(-LN(2)/35)*BP33+(1-EXP(-LN(2)/35))/(LN(2)/35)*BL34*BM34*VLOOKUP('Données projet'!$B$11,Paramètres!$A$1:$I$89,3,0)*0.475*44/12</f>
        <v>22.917392564002629</v>
      </c>
      <c r="BQ34" s="21">
        <f>EXP(-LN(2)/25)*BQ33+(1-EXP(-LN(2)/25))/(LN(2)/25)*Calculateur!BL34*Calculateur!BN34*VLOOKUP('Données projet'!$B$11,Paramètres!$A$1:$I$89,3,0)*0.475*44/12</f>
        <v>14.034382405131449</v>
      </c>
      <c r="BR34" s="21">
        <f>EXP(-LN(2)/2)*BR33+(1-EXP(-LN(2)/2))/(LN(2)/2)*BL34*BO34*VLOOKUP('Données projet'!$B$11,Paramètres!$A$1:$I$89,3,0)*0.475*44/12</f>
        <v>3.4851114722332808</v>
      </c>
      <c r="BS34" s="22">
        <f t="shared" si="9"/>
        <v>40.436886441367356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projet'!$A$123:$I$143,2,0)</f>
        <v>#N/A</v>
      </c>
      <c r="BW34" s="12" t="e">
        <f>VLOOKUP(A34,'Données projet'!$A$123:$I$143,9,0)</f>
        <v>#N/A</v>
      </c>
      <c r="BX34" s="12">
        <f t="array" ref="BX34">INDEX(BW:BW,MIN(IF(ISNUMBER(BW34:BW230),ROW(BW34:BW230),"")))</f>
        <v>9.1999999999999993</v>
      </c>
      <c r="BY34" s="12">
        <f>IF('Données projet'!$A$124&gt;35,BY33+BX34-CG33,IF(A34&lt;'Données projet'!$A$124,$BV$205^A34,IF(A34='Données projet'!$A$124,'Données projet'!$B$124,BY33+BX34-CG33)))</f>
        <v>131.20000000000002</v>
      </c>
      <c r="BZ34" s="13">
        <f>BY34*VLOOKUP('Données projet'!$B$12,Paramètres!$A$1:$I$89,3,0)*VLOOKUP('Données projet'!$B$12,Paramètres!$A$1:$I$89,5,0)</f>
        <v>137.13024000000001</v>
      </c>
      <c r="CA34" s="13">
        <f t="shared" si="69"/>
        <v>35.638793424767798</v>
      </c>
      <c r="CB34" s="20">
        <f t="shared" si="10"/>
        <v>300.90606654813729</v>
      </c>
      <c r="CC34" s="59">
        <f t="shared" si="11"/>
        <v>594.2393998814706</v>
      </c>
      <c r="CD34" s="59">
        <f ca="1">AVERAGE(OFFSET($CC$3,0,0,'Données projet'!$E$12+1,1))-AVERAGE(OFFSET($H$3,0,0,'Données projet'!$E$12+1,1))</f>
        <v>322.93502595881938</v>
      </c>
      <c r="CE34" s="59">
        <f t="shared" si="70"/>
        <v>302.67072119588164</v>
      </c>
      <c r="CF34" s="15">
        <f>IF(ISNA(VLOOKUP(A34,'Données projet'!$A$123:$I$143,3,0)),0,VLOOKUP(A34,'Données projet'!$A$123:$I$143,3,0))</f>
        <v>0</v>
      </c>
      <c r="CG34" s="15">
        <f>IF(ISNA(VLOOKUP(A34,'Données projet'!$A$123:$I$143,4,0)),0,VLOOKUP(A34,'Données projet'!$A$123:$I$143,4,0))</f>
        <v>0</v>
      </c>
      <c r="CH34" s="16">
        <f>IF(ISNA(VLOOKUP(A34,'Données projet'!$A$123:$I$143,5,0)),0%,VLOOKUP(A34,'Données projet'!$A$123:$I$143,5,0)*VLOOKUP('Données projet'!$B$12,Paramètres!$A$1:$I$89,7,0))</f>
        <v>0</v>
      </c>
      <c r="CI34" s="16">
        <f>IF(ISNA(VLOOKUP(A34,'Données projet'!$A$123:$I$143,6,0)),0%,VLOOKUP(A34,'Données projet'!$A$123:$I$143,6,0)*VLOOKUP('Données projet'!$B$12,Paramètres!$A$1:$I$89,7,0))</f>
        <v>0</v>
      </c>
      <c r="CJ34" s="16">
        <f>IF(ISNA(VLOOKUP(A34,'Données projet'!$A$123:$I$143,7,0)),0%,VLOOKUP(A34,'Données projet'!$A$123:$I$143,7,0))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projet'!$A$149:$I$169,2,0)</f>
        <v>#N/A</v>
      </c>
      <c r="CR34" s="12" t="e">
        <f>VLOOKUP(A34,'Données projet'!$A$149:$I$169,9,0)</f>
        <v>#N/A</v>
      </c>
      <c r="CS34" s="12">
        <f t="array" ref="CS34">INDEX(CR:CR,MIN(IF(ISNUMBER(CR34:CR230),ROW(CR34:CR230),"")))</f>
        <v>5.3369963369963358</v>
      </c>
      <c r="CT34" s="12">
        <f>IF('Données projet'!$A$150&gt;35,CT33+CS34-DB33,IF(A34&lt;'Données projet'!$A$150,$CQ$205^A34,IF(A34='Données projet'!$A$150,'Données projet'!$B$150,CT33+CS34-DB33)))</f>
        <v>93.04212454212454</v>
      </c>
      <c r="CU34" s="17">
        <f>CT34*VLOOKUP('Données projet'!$B$13,Paramètres!$A$1:$I$89,3,0)*VLOOKUP('Données projet'!$B$13,Paramètres!$A$1:$I$89,5,0)</f>
        <v>94.344714285714289</v>
      </c>
      <c r="CV34" s="13">
        <f t="shared" si="71"/>
        <v>25.610173041635999</v>
      </c>
      <c r="CW34" s="20">
        <f t="shared" si="13"/>
        <v>208.92142876180176</v>
      </c>
      <c r="CX34" s="59">
        <f t="shared" si="14"/>
        <v>502.25476209513511</v>
      </c>
      <c r="CY34" s="59">
        <f ca="1">AVERAGE(OFFSET($CX$3,0,0,'Données projet'!$E$13+1,1))-AVERAGE(OFFSET($H$3,0,0,'Données projet'!$E$13+1,1))</f>
        <v>250.31277422753283</v>
      </c>
      <c r="CZ34" s="59">
        <f t="shared" si="72"/>
        <v>159.20429420478047</v>
      </c>
      <c r="DA34" s="15">
        <f>IF(ISNA(VLOOKUP(A34,'Données projet'!$A$149:$I$169,3,0)),0,VLOOKUP(A34,'Données projet'!$A$149:$I$169,3,0))</f>
        <v>0</v>
      </c>
      <c r="DB34" s="15">
        <f>IF(ISNA(VLOOKUP(A34,'Données projet'!$A$149:$I$169,4,0)),0,VLOOKUP(A34,'Données projet'!$A$149:$I$169,4,0))</f>
        <v>0</v>
      </c>
      <c r="DC34" s="16">
        <f>IF(ISNA(VLOOKUP(A34,'Données projet'!$A$149:$I$169,5,0)),0%,VLOOKUP(A34,'Données projet'!$A$149:$I$169,5,0)*VLOOKUP('Données projet'!$B$13,Paramètres!$A$1:$I$89,7,0))</f>
        <v>0</v>
      </c>
      <c r="DD34" s="16">
        <f>IF(ISNA(VLOOKUP(A34,'Données projet'!$A$149:$I$169,6,0)),0%,VLOOKUP(A34,'Données projet'!$A$149:$I$169,6,0)*VLOOKUP('Données projet'!$B$13,Paramètres!$A$1:$I$89,7,0))</f>
        <v>0</v>
      </c>
      <c r="DE34" s="16">
        <f>IF(ISNA(VLOOKUP(A34,'Données projet'!$A$149:$I$169,7,0)),0%,VLOOKUP(A34,'Données projet'!$A$149:$I$169,7,0))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projet'!$A$175:$I$195,2,0)</f>
        <v>#N/A</v>
      </c>
      <c r="DM34" s="12" t="e">
        <f>VLOOKUP(A34,'Données projet'!$A$175:$I$195,9,0)</f>
        <v>#N/A</v>
      </c>
      <c r="DN34" s="12">
        <f t="array" ref="DN34">INDEX(DM:DM,MIN(IF(ISNUMBER(DM34:DM230),ROW(DM34:DM230),"")))</f>
        <v>15.2</v>
      </c>
      <c r="DO34" s="12">
        <f>IF('Données projet'!$A$176&gt;35,DO33+DN34-DW33,IF(A34&lt;'Données projet'!$A$176,$DL$205^A34,IF(A34='Données projet'!$A$176,'Données projet'!$B$176,DO33+DN34-DW33)))</f>
        <v>178.20000000000005</v>
      </c>
      <c r="DP34" s="17">
        <f>DO34*VLOOKUP('Données projet'!$B$14,Paramètres!$A$1:$I$89,3,0)*VLOOKUP('Données projet'!$B$14,Paramètres!$A$1:$I$89,5,0)</f>
        <v>130.65624000000003</v>
      </c>
      <c r="DQ34" s="13">
        <f t="shared" si="73"/>
        <v>34.147952661921146</v>
      </c>
      <c r="DR34" s="20">
        <f t="shared" si="16"/>
        <v>287.03396888617937</v>
      </c>
      <c r="DS34" s="59">
        <f t="shared" si="17"/>
        <v>580.36730221951268</v>
      </c>
      <c r="DT34" s="59">
        <f ca="1">AVERAGE(OFFSET($DS$3,0,0,'Données projet'!$E$14+1,1))-AVERAGE(OFFSET($H$3,0,0,'Données projet'!$E$14+1,1))</f>
        <v>296.91321813251051</v>
      </c>
      <c r="DU34" s="59">
        <f t="shared" si="74"/>
        <v>291.0718079639509</v>
      </c>
      <c r="DV34" s="15">
        <f>IF(ISNA(VLOOKUP(A34,'Données projet'!$A$175:$I$195,3,0)),0,VLOOKUP(A34,'Données projet'!$A$175:$I$195,3,0))</f>
        <v>0</v>
      </c>
      <c r="DW34" s="15">
        <f>IF(ISNA(VLOOKUP(A34,'Données projet'!$A$175:$I$195,4,0)),0,VLOOKUP(A34,'Données projet'!$A$175:$I$195,4,0))</f>
        <v>0</v>
      </c>
      <c r="DX34" s="16">
        <f>IF(ISNA(VLOOKUP(A34,'Données projet'!$A$175:$I$195,5,0)),0%,VLOOKUP(A34,'Données projet'!$A$175:$I$195,5,0)*VLOOKUP('Données projet'!$B$14,Paramètres!$A$1:$I$89,7,0))</f>
        <v>0</v>
      </c>
      <c r="DY34" s="16">
        <f>IF(ISNA(VLOOKUP(A34,'Données projet'!$A$175:$I$195,6,0)),0%,VLOOKUP(A34,'Données projet'!$A$175:$I$195,6,0)*VLOOKUP('Données projet'!$B$14,Paramètres!$A$1:$I$89,7,0))</f>
        <v>0</v>
      </c>
      <c r="DZ34" s="16">
        <f>IF(ISNA(VLOOKUP(A34,'Données projet'!$A$175:$I$195,7,0)),0%,VLOOKUP(A34,'Données projet'!$A$175:$I$195,7,0))</f>
        <v>0</v>
      </c>
      <c r="EA34" s="21">
        <f>EXP(-LN(2)/35)*EA33+(1-EXP(-LN(2)/35))/(LN(2)/35)*DW34*DX34*VLOOKUP('Données projet'!$B$14,Paramètres!$A$1:$I$89,3,0)*0.475*44/12</f>
        <v>9.2823373597708176</v>
      </c>
      <c r="EB34" s="21">
        <f>EXP(-LN(2)/25)*EB33+(1-EXP(-LN(2)/25))/(LN(2)/25)*Calculateur!DW34*Calculateur!DY34*VLOOKUP('Données projet'!$B$14,Paramètres!$A$1:$I$89,3,0)*0.475*44/12</f>
        <v>10.994897562692135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20.277234922462952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projet'!$A$201:$I$221,2,0)</f>
        <v>#N/A</v>
      </c>
      <c r="EH34" s="12" t="e">
        <f>VLOOKUP(A34,'Données projet'!$A$201:$I$221,9,0)</f>
        <v>#N/A</v>
      </c>
      <c r="EI34" s="12">
        <f t="array" ref="EI34">INDEX(EH:EH,MIN(IF(ISNUMBER(EH34:EH230),ROW(EH34:EH230),"")))</f>
        <v>10.407692307692306</v>
      </c>
      <c r="EJ34" s="12">
        <f>IF('Données projet'!$A$202&gt;35,EJ33+EI34-ER33,IF(A34&lt;'Données projet'!$A$202,$EG$205^A34,IF(A34='Données projet'!$A$202,'Données projet'!$B$202,EJ33+EI34-ER33)))</f>
        <v>113.68461538461537</v>
      </c>
      <c r="EK34" s="17">
        <f>EJ34*VLOOKUP('Données projet'!$B$15,Paramètres!$A$1:$I$89,3,0)*VLOOKUP('Données projet'!$B$15,Paramètres!$A$1:$I$89,5,0)</f>
        <v>53.204399999999993</v>
      </c>
      <c r="EL34" s="13">
        <f t="shared" si="75"/>
        <v>15.43829445428918</v>
      </c>
      <c r="EM34" s="20">
        <f t="shared" si="19"/>
        <v>119.55269284122029</v>
      </c>
      <c r="EN34" s="59">
        <f t="shared" si="20"/>
        <v>412.88602617455359</v>
      </c>
      <c r="EO34" s="59">
        <f ca="1">AVERAGE(OFFSET($EN$3,0,0,'Données projet'!$E$15+1,1))-AVERAGE(OFFSET($H$3,0,0,'Données projet'!$E$15+1,1))</f>
        <v>147.64256291235483</v>
      </c>
      <c r="EP34" s="59">
        <f t="shared" si="76"/>
        <v>70.859031694091868</v>
      </c>
      <c r="EQ34" s="15">
        <f>IF(ISNA(VLOOKUP(A34,'Données projet'!$A$201:$I$221,3,0)),0,VLOOKUP(A34,'Données projet'!$A$201:$I$221,3,0))</f>
        <v>0</v>
      </c>
      <c r="ER34" s="15">
        <f>IF(ISNA(VLOOKUP(A34,'Données projet'!$A$201:$I$221,4,0)),0,VLOOKUP(A34,'Données projet'!$A$201:$I$221,4,0))</f>
        <v>0</v>
      </c>
      <c r="ES34" s="16">
        <f>IF(ISNA(VLOOKUP(A34,'Données projet'!$A$201:$I$221,5,0)),0%,VLOOKUP(A34,'Données projet'!$A$201:$I$221,5,0)*VLOOKUP('Données projet'!$B$15,Paramètres!$A$1:$I$89,7,0))</f>
        <v>0</v>
      </c>
      <c r="ET34" s="16">
        <f>IF(ISNA(VLOOKUP(A34,'Données projet'!$A$201:$I$221,6,0)),0%,VLOOKUP(A34,'Données projet'!$A$201:$I$221,6,0)*VLOOKUP('Données projet'!$B$15,Paramètres!$A$1:$I$89,7,0))</f>
        <v>0</v>
      </c>
      <c r="EU34" s="16">
        <f>IF(ISNA(VLOOKUP(A34,'Données projet'!$A$201:$I$221,7,0)),0%,VLOOKUP(A34,'Données projet'!$A$201:$I$221,7,0))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projet'!$A$227:$I$247,2,0)</f>
        <v>#N/A</v>
      </c>
      <c r="FC34" s="12" t="e">
        <f>VLOOKUP(A34,'Données projet'!$A$227:$I$247,9,0)</f>
        <v>#N/A</v>
      </c>
      <c r="FD34" s="12">
        <f t="array" ref="FD34">INDEX(FC:FC,MIN(IF(ISNUMBER(FC34:FC230),ROW(FC34:FC230),"")))</f>
        <v>7.2</v>
      </c>
      <c r="FE34" s="12">
        <f>IF('Données projet'!$A$228&gt;35,FE33+FD34-FM33,IF(A34&lt;'Données projet'!$A$228,$FB$205^A34,IF(A34='Données projet'!$A$228,'Données projet'!$B$228,FE33+FD34-FM33)))</f>
        <v>106.2</v>
      </c>
      <c r="FF34" s="17">
        <f>FE34*VLOOKUP('Données projet'!$B$16,Paramètres!$A$1:$I$89,3,0)*VLOOKUP('Données projet'!$B$16,Paramètres!$A$1:$I$89,5,0)</f>
        <v>111.00024000000002</v>
      </c>
      <c r="FG34" s="13">
        <f t="shared" si="77"/>
        <v>29.566524620361303</v>
      </c>
      <c r="FH34" s="20">
        <f t="shared" si="22"/>
        <v>244.82044838046261</v>
      </c>
      <c r="FI34" s="59">
        <f t="shared" si="23"/>
        <v>538.15378171379598</v>
      </c>
      <c r="FJ34" s="59">
        <f ca="1">AVERAGE(OFFSET($FI$3,0,0,'Données projet'!$E$16+1,1))-AVERAGE(OFFSET($H$3,0,0,'Données projet'!$E$16+1,1))</f>
        <v>259.03906550253788</v>
      </c>
      <c r="FK34" s="59">
        <f t="shared" si="78"/>
        <v>235.54542903570831</v>
      </c>
      <c r="FL34" s="15">
        <f>IF(ISNA(VLOOKUP(A34,'Données projet'!$A$227:$I$247,3,0)),0,VLOOKUP(A34,'Données projet'!$A$227:$I$247,3,0))</f>
        <v>0</v>
      </c>
      <c r="FM34" s="15">
        <f>IF(ISNA(VLOOKUP(A34,'Données projet'!$A$227:$I$247,4,0)),0,VLOOKUP(A34,'Données projet'!$A$227:$I$247,4,0))</f>
        <v>0</v>
      </c>
      <c r="FN34" s="16">
        <f>IF(ISNA(VLOOKUP(A34,'Données projet'!$A$227:$I$247,5,0)),0%,VLOOKUP(A34,'Données projet'!$A$227:$I$247,5,0)*VLOOKUP('Données projet'!$B$16,Paramètres!$A$1:$I$89,7,0))</f>
        <v>0</v>
      </c>
      <c r="FO34" s="16">
        <f>IF(ISNA(VLOOKUP(A34,'Données projet'!$A$227:$I$247,6,0)),0%,VLOOKUP(A34,'Données projet'!$A$227:$I$247,6,0)*VLOOKUP('Données projet'!$B$16,Paramètres!$A$1:$I$89,7,0))</f>
        <v>0</v>
      </c>
      <c r="FP34" s="16">
        <f>IF(ISNA(VLOOKUP(A34,'Données projet'!$A$227:$I$247,7,0)),0%,VLOOKUP(A34,'Données projet'!$A$227:$I$247,7,0))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projet'!$A$253:$I$273,2,0)</f>
        <v>#N/A</v>
      </c>
      <c r="FX34" s="12" t="e">
        <f>VLOOKUP(A34,'Données projet'!$A$253:$I$273,9,0)</f>
        <v>#N/A</v>
      </c>
      <c r="FY34" s="12">
        <f t="array" ref="FY34">INDEX(FX:FX,MIN(IF(ISNUMBER(FX34:FX230),ROW(FX34:FX230),"")))</f>
        <v>10.8</v>
      </c>
      <c r="FZ34" s="12">
        <f>IF('Données projet'!$A$254&gt;35,FZ33+FY34-GH33,IF(A34&lt;'Données projet'!$A$254,$FW$205^A34,IF(A34='Données projet'!$A$254,'Données projet'!$B$254,FZ33+FY34-GH33)))</f>
        <v>128.79999999999998</v>
      </c>
      <c r="GA34" s="17">
        <f>FZ34*VLOOKUP('Données projet'!$B$17,Paramètres!$A$1:$I$89,3,0)*VLOOKUP('Données projet'!$B$17,Paramètres!$A$1:$I$89,5,0)</f>
        <v>112.51968000000001</v>
      </c>
      <c r="GB34" s="13">
        <f t="shared" si="79"/>
        <v>29.923856072189899</v>
      </c>
      <c r="GC34" s="20">
        <f t="shared" si="25"/>
        <v>248.08915865906408</v>
      </c>
      <c r="GD34" s="59">
        <f t="shared" si="26"/>
        <v>541.42249199239745</v>
      </c>
      <c r="GE34" s="59">
        <f ca="1">AVERAGE(OFFSET($GD$3,0,0,'Données projet'!$E$17+1,1))-AVERAGE(OFFSET($H$3,0,0,'Données projet'!$E$17+1,1))</f>
        <v>245.1983232777614</v>
      </c>
      <c r="GF34" s="59">
        <f t="shared" si="80"/>
        <v>242.34010522344573</v>
      </c>
      <c r="GG34" s="15">
        <f>IF(ISNA(VLOOKUP(A34,'Données projet'!$A$253:$I$273,3,0)),0,VLOOKUP(A34,'Données projet'!$A$253:$I$273,3,0))</f>
        <v>0</v>
      </c>
      <c r="GH34" s="15">
        <f>IF(ISNA(VLOOKUP(A34,'Données projet'!$A$253:$I$273,4,0)),0,VLOOKUP(A34,'Données projet'!$A$253:$I$273,4,0))</f>
        <v>0</v>
      </c>
      <c r="GI34" s="16">
        <f>IF(ISNA(VLOOKUP(A34,'Données projet'!$A$253:$I$273,5,0)),0%,VLOOKUP(A34,'Données projet'!$A$253:$I$273,5,0)*VLOOKUP('Données projet'!$B$17,Paramètres!$A$1:$I$89,7,0))</f>
        <v>0</v>
      </c>
      <c r="GJ34" s="16">
        <f>IF(ISNA(VLOOKUP(A34,'Données projet'!$A$253:$I$273,6,0)),0%,VLOOKUP(A34,'Données projet'!$A$253:$I$273,6,0)*VLOOKUP('Données projet'!$B$17,Paramètres!$A$1:$I$89,7,0))</f>
        <v>0</v>
      </c>
      <c r="GK34" s="16">
        <f>IF(ISNA(VLOOKUP(A34,'Données projet'!$A$253:$I$273,7,0)),0%,VLOOKUP(A34,'Données projet'!$A$253:$I$273,7,0))</f>
        <v>0</v>
      </c>
      <c r="GL34" s="21">
        <f>EXP(-LN(2)/35)*GL33+(1-EXP(-LN(2)/35))/(LN(2)/35)*GH34*GI34*VLOOKUP('Données projet'!$B$17,Paramètres!$A$1:$I$89,3,0)*0.475*44/12</f>
        <v>0.45597954090524451</v>
      </c>
      <c r="GM34" s="21">
        <f>EXP(-LN(2)/25)*GM33+(1-EXP(-LN(2)/25))/(LN(2)/25)*Calculateur!GH34*Calculateur!GJ34*VLOOKUP('Données projet'!$B$17,Paramètres!$A$1:$I$89,3,0)*0.475*44/12</f>
        <v>3.9533269126742141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4.4093064535794584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projet'!$A$279:$I$299,2,0)</f>
        <v>#N/A</v>
      </c>
      <c r="GS34" s="12" t="e">
        <f>VLOOKUP(A34,'Données projet'!$A$279:$I$299,9,0)</f>
        <v>#N/A</v>
      </c>
      <c r="GT34" s="12">
        <f t="array" ref="GT34">INDEX(GS:GS,MIN(IF(ISNUMBER(GS34:GS230),ROW(GS34:GS230),"")))</f>
        <v>22</v>
      </c>
      <c r="GU34" s="12">
        <f>IF('Données projet'!$A$280&gt;35,GU33+GT34-HC33,IF(A34&lt;'Données projet'!$A$280,$GR$205^A34,IF(A34='Données projet'!$A$280,'Données projet'!$B$280,GU33+GT34-HC33)))</f>
        <v>330.00000000000011</v>
      </c>
      <c r="GV34" s="17">
        <f>GU34*VLOOKUP('Données projet'!$B$18,Paramètres!$A$1:$I$89,3,0)*VLOOKUP('Données projet'!$B$18,Paramètres!$A$1:$I$89,5,0)</f>
        <v>132.99000000000007</v>
      </c>
      <c r="GW34" s="13">
        <f t="shared" si="81"/>
        <v>34.686343524228057</v>
      </c>
      <c r="GX34" s="20">
        <f t="shared" si="28"/>
        <v>292.03629830469731</v>
      </c>
      <c r="GY34" s="59">
        <f t="shared" si="29"/>
        <v>585.36963163803057</v>
      </c>
      <c r="GZ34" s="59">
        <f ca="1">AVERAGE(OFFSET($GY$3,0,0,'Données projet'!$E$18+1,1))-AVERAGE(OFFSET($H$3,0,0,'Données projet'!$E$18+1,1))</f>
        <v>324.36162935850876</v>
      </c>
      <c r="HA34" s="59">
        <f t="shared" si="82"/>
        <v>265.23571072429735</v>
      </c>
      <c r="HB34" s="15">
        <f>IF(ISNA(VLOOKUP(A34,'Données projet'!$A$279:$I$299,3,0)),0,VLOOKUP(A34,'Données projet'!$A$279:$I$299,3,0))</f>
        <v>0</v>
      </c>
      <c r="HC34" s="15">
        <f>IF(ISNA(VLOOKUP(A34,'Données projet'!$A$279:$I$299,4,0)),0,VLOOKUP(A34,'Données projet'!$A$279:$I$299,4,0))</f>
        <v>0</v>
      </c>
      <c r="HD34" s="16">
        <f>IF(ISNA(VLOOKUP(A34,'Données projet'!$A$279:$I$299,5,0)),0%,VLOOKUP(A34,'Données projet'!$A$279:$I$299,5,0)*VLOOKUP('Données projet'!$B$18,Paramètres!$A$1:$I$89,7,0))</f>
        <v>0</v>
      </c>
      <c r="HE34" s="16">
        <f>IF(ISNA(VLOOKUP(A34,'Données projet'!$A$279:$I$299,6,0)),0%,VLOOKUP(A34,'Données projet'!$A$279:$I$299,6,0)*VLOOKUP('Données projet'!$B$18,Paramètres!$A$1:$I$89,7,0))</f>
        <v>0</v>
      </c>
      <c r="HF34" s="16">
        <f>IF(ISNA(VLOOKUP($A34,'Données projet'!$A$279:$I$299,7,0)),0%,VLOOKUP($A34,'Données projet'!$A$279:$I$299,7,0))</f>
        <v>0</v>
      </c>
      <c r="HG34" s="21">
        <f>EXP(-LN(2)/35)*HG33+(1-EXP(-LN(2)/35))/(LN(2)/35)*HC34*HD34*VLOOKUP('Données projet'!$B$18,Paramètres!$A$1:$I$89,3,0)*0.475*44/12</f>
        <v>0</v>
      </c>
      <c r="HH34" s="21">
        <f>EXP(-LN(2)/25)*HH33+(1-EXP(-LN(2)/25))/(LN(2)/25)*Calculateur!HC34*Calculateur!HE34*VLOOKUP('Données projet'!$B$18,Paramètres!$A$1:$I$89,3,0)*0.475*44/12</f>
        <v>2.452452197283622</v>
      </c>
      <c r="HI34" s="21">
        <f>EXP(-LN(2)/2)*HI33+(1-EXP(-LN(2)/2))/(LN(2)/2)*HC34*HF34*VLOOKUP('Données projet'!$B$18,Paramètres!$A$1:$I$89,3,0)*0.475*44/12</f>
        <v>5.8409771557530323</v>
      </c>
      <c r="HJ34" s="22">
        <f t="shared" si="30"/>
        <v>8.2934293530366539</v>
      </c>
      <c r="HK34" s="74">
        <f>('Scénario référence'!$F$8+'Scénario référence'!$F$9+'Scénario référence'!$B$17+'Scénario référence'!$B$9+'Scénario référence'!$B$10)*70+IF((45+25*(1-EXP(-0.0175*$A34)))&lt;70,'Scénario référence'!$B$16*(45+25*(1-EXP(-0.0175*$A34))),70*'Scénario référence'!$B$16)+IF((32+38*(1-EXP(-0.0175*$A34)))&lt;70,'Scénario référence'!$B$18*(32+38*(1-EXP(-0.0175*$A34))),70*'Scénario référence'!$B$18)</f>
        <v>70</v>
      </c>
      <c r="HL34" s="12">
        <f>IF($A34&gt;30,10,('Scénario référence'!$B$16+'Scénario référence'!$B$17+'Scénario référence'!$B$18+'Scénario référence'!$B$9+'Scénario référence'!$B$10)*$A34*10/30+('Scénario référence'!$F$8+'Scénario référence'!$F$9)*10)</f>
        <v>10</v>
      </c>
      <c r="HM34" s="12" t="e">
        <f>VLOOKUP($A34,'Données projet'!$A$304:$I$324,2,0)</f>
        <v>#N/A</v>
      </c>
      <c r="HN34" s="12" t="e">
        <f>VLOOKUP($A34,'Données projet'!$A$304:$I$324,9,0)</f>
        <v>#N/A</v>
      </c>
      <c r="HO34" s="12">
        <f t="array" ref="HO34">INDEX(HN:HN,MIN(IF(ISNUMBER(HN34:HN230),ROW(HN34:HN230),"")))</f>
        <v>0</v>
      </c>
      <c r="HP34" s="12">
        <f>IF('Données projet'!$A$304&gt;35,HP33+HO34-HX33,IF($A34&lt;'Données projet'!$A$304,$CQ$205^$A34,IF($A34='Données projet'!$A$304,'Données projet'!$B$304,HP33+HO34-HX33)))</f>
        <v>0</v>
      </c>
      <c r="HQ34" s="17">
        <f>HP34*VLOOKUP('Données projet'!$B$19,Paramètres!$A$1:$I$89,3,0)*VLOOKUP('Données projet'!$B$19,Paramètres!$A$1:$I$89,5,0)</f>
        <v>0</v>
      </c>
      <c r="HR34" s="13" t="e">
        <f t="shared" si="83"/>
        <v>#NUM!</v>
      </c>
      <c r="HS34" s="14" t="e">
        <f t="shared" si="31"/>
        <v>#NUM!</v>
      </c>
      <c r="HT34" s="59" t="e">
        <f t="shared" si="32"/>
        <v>#NUM!</v>
      </c>
      <c r="HU34" s="59">
        <f ca="1">AVERAGE(OFFSET(HT$3,0,0,'Données projet'!$E$19+1,1))-AVERAGE(OFFSET($H$3,0,0,'Données projet'!$E$19+1,1))</f>
        <v>91.60721429656013</v>
      </c>
      <c r="HV34" s="59">
        <f t="shared" si="84"/>
        <v>258.94957804210856</v>
      </c>
      <c r="HW34" s="15">
        <f>IF(ISNA(VLOOKUP($A34,'Données projet'!$A$304:$I$324,3,0)),0,VLOOKUP($A34,'Données projet'!$A$304:$I$324,3,0))</f>
        <v>0</v>
      </c>
      <c r="HX34" s="15">
        <f>IF(ISNA(VLOOKUP($A34,'Données projet'!$A$304:$I$324,4,0)),0,VLOOKUP($A34,'Données projet'!$A$304:$I$324,4,0))</f>
        <v>0</v>
      </c>
      <c r="HY34" s="16">
        <f>IF(ISNA(VLOOKUP($A34,'Données projet'!$A$304:$I$324,5,0)),0%,VLOOKUP($A34,'Données projet'!$A$304:$I$324,5,0)*VLOOKUP('Données projet'!$B$19,Paramètres!$A$1:$I$89,7,0))</f>
        <v>0</v>
      </c>
      <c r="HZ34" s="16">
        <f>IF(ISNA(VLOOKUP($A34,'Données projet'!$A$304:$I$324,6,0)),0%,VLOOKUP($A34,'Données projet'!$A$304:$I$324,6,0)*VLOOKUP('Données projet'!$B$19,Paramètres!$A$1:$I$89,7,0))</f>
        <v>0</v>
      </c>
      <c r="IA34" s="16">
        <f>IF(ISNA(VLOOKUP($A34,'Données projet'!$A$304:$I$324,7,0)),0%,VLOOKUP($A34,'Données projet'!$A$304:$I$324,7,0))</f>
        <v>0</v>
      </c>
      <c r="IB34" s="21">
        <f>EXP(-LN(2)/35)*IB33+(1-EXP(-LN(2)/35))/(LN(2)/35)*HX34*HY34*VLOOKUP('Données projet'!$B$19,Paramètres!$A$1:$I$89,3,0)*0.475*44/12</f>
        <v>48.365320463985078</v>
      </c>
      <c r="IC34" s="21">
        <f>EXP(-LN(2)/25)*IC33+(1-EXP(-LN(2)/25))/(LN(2)/25)*Calculateur!HX34*Calculateur!HZ34*VLOOKUP('Données projet'!$B$19,Paramètres!$A$1:$I$89,3,0)*0.475*44/12</f>
        <v>9.4617214786219286</v>
      </c>
      <c r="ID34" s="21">
        <f>EXP(-LN(2)/2)*ID33+(1-EXP(-LN(2)/2))/(LN(2)/2)*HX34*IA34*VLOOKUP('Données projet'!$B$19,Paramètres!$A$1:$I$89,3,0)*0.475*44/12</f>
        <v>0.40506775425255664</v>
      </c>
      <c r="IE34" s="22">
        <f t="shared" si="33"/>
        <v>58.232109696859567</v>
      </c>
      <c r="IF34" s="74">
        <f>('Scénario référence'!$F$8+'Scénario référence'!$F$9+'Scénario référence'!$B$17+'Scénario référence'!$B$9+'Scénario référence'!$B$10)*70+IF((45+25*(1-EXP(-0.0175*$A34)))&lt;70,'Scénario référence'!$B$16*(45+25*(1-EXP(-0.0175*$A34))),70*'Scénario référence'!$B$16)+IF((32+38*(1-EXP(-0.0175*$A34)))&lt;70,'Scénario référence'!$B$18*(32+38*(1-EXP(-0.0175*$A34))),70*'Scénario référence'!$B$18)</f>
        <v>70</v>
      </c>
      <c r="IG34" s="12">
        <f>IF($A34&gt;30,10,('Scénario référence'!$B$16+'Scénario référence'!$B$17+'Scénario référence'!$B$18+'Scénario référence'!$B$9+'Scénario référence'!$B$10)*$A34*10/30+('Scénario référence'!$F$8+'Scénario référence'!$F$9)*10)</f>
        <v>10</v>
      </c>
      <c r="IH34" s="12" t="e">
        <f>VLOOKUP($A34,'Données projet'!$A$330:$I$350,2,0)</f>
        <v>#N/A</v>
      </c>
      <c r="II34" s="12" t="e">
        <f>VLOOKUP($A34,'Données projet'!$A$330:$I$350,9,0)</f>
        <v>#N/A</v>
      </c>
      <c r="IJ34" s="12">
        <f t="array" ref="IJ34">INDEX(II:II,MIN(IF(ISNUMBER(II34:II230),ROW(II34:II230),"")))</f>
        <v>0</v>
      </c>
      <c r="IK34" s="12">
        <f>IF('Données projet'!$A$330&gt;35,IK33+IJ34-IS33,IF($A34&lt;'Données projet'!$A$330,$CQ$205^$A34,IF($A34='Données projet'!$A$330,'Données projet'!$B$330,IK33+IJ34-IS33)))</f>
        <v>0</v>
      </c>
      <c r="IL34" s="17">
        <f>IK34*VLOOKUP('Données projet'!$B$20,Paramètres!$A$1:$I$89,3,0)*VLOOKUP('Données projet'!$B$20,Paramètres!$A$1:$I$89,5,0)</f>
        <v>0</v>
      </c>
      <c r="IM34" s="13" t="e">
        <f t="shared" si="85"/>
        <v>#NUM!</v>
      </c>
      <c r="IN34" s="20" t="e">
        <f t="shared" si="86"/>
        <v>#NUM!</v>
      </c>
      <c r="IO34" s="59" t="e">
        <f t="shared" si="87"/>
        <v>#NUM!</v>
      </c>
      <c r="IP34" s="59">
        <f ca="1">AVERAGE(OFFSET(IO$3,0,0,'Données projet'!$E$20+1,1))-AVERAGE(OFFSET($H$3,0,0,'Données projet'!$E$20+1,1))</f>
        <v>91.60721429656013</v>
      </c>
      <c r="IQ34" s="59">
        <f t="shared" si="88"/>
        <v>258.94957804210856</v>
      </c>
      <c r="IR34" s="15">
        <f>IF(ISNA(VLOOKUP($A34,'Données projet'!$A$330:$I$350,3,0)),0,VLOOKUP($A34,'Données projet'!$A$330:$I$350,3,0))</f>
        <v>0</v>
      </c>
      <c r="IS34" s="15">
        <f>IF(ISNA(VLOOKUP($A34,'Données projet'!$A$330:$I$350,4,0)),0,VLOOKUP($A34,'Données projet'!$A$330:$I$350,4,0))</f>
        <v>0</v>
      </c>
      <c r="IT34" s="16">
        <f>IF(ISNA(VLOOKUP($A34,'Données projet'!$A$330:$I$350,5,0)),0%,VLOOKUP($A34,'Données projet'!$A$330:$I$350,5,0)*VLOOKUP('Données projet'!$B$20,Paramètres!$A$1:$I$89,7,0))</f>
        <v>0</v>
      </c>
      <c r="IU34" s="16">
        <f>IF(ISNA(VLOOKUP($A34,'Données projet'!$A$330:$I$350,6,0)),0%,VLOOKUP($A34,'Données projet'!$A$330:$I$350,6,0)*VLOOKUP('Données projet'!$B$20,Paramètres!$A$1:$I$89,7,0))</f>
        <v>0</v>
      </c>
      <c r="IV34" s="16">
        <f>IF(ISNA(VLOOKUP($A34,'Données projet'!$A$330:$I$350,7,0)),0%,VLOOKUP($A34,'Données projet'!$A$330:$I$350,7,0))</f>
        <v>0</v>
      </c>
      <c r="IW34" s="21">
        <f>EXP(-LN(2)/35)*IW33+(1-EXP(-LN(2)/35))/(LN(2)/35)*IS34*IT34*VLOOKUP('Données projet'!$B$20,Paramètres!$A$1:$I$89,3,0)*0.475*44/12</f>
        <v>48.365320463985078</v>
      </c>
      <c r="IX34" s="21">
        <f>EXP(-LN(2)/25)*IX33+(1-EXP(-LN(2)/25))/(LN(2)/25)*Calculateur!IS34*Calculateur!IU34*VLOOKUP('Données projet'!$B$20,Paramètres!$A$1:$I$89,3,0)*0.475*44/12</f>
        <v>9.4617214786219286</v>
      </c>
      <c r="IY34" s="21">
        <f>EXP(-LN(2)/2)*IY33+(1-EXP(-LN(2)/2))/(LN(2)/2)*IS34*IV34*VLOOKUP('Données projet'!$B$20,Paramètres!$A$1:$I$89,3,0)*0.475*44/12</f>
        <v>0.40506775425255664</v>
      </c>
      <c r="IZ34" s="22">
        <f t="shared" si="89"/>
        <v>58.232109696859567</v>
      </c>
      <c r="JA34" s="74">
        <f>('Scénario référence'!$F$8+'Scénario référence'!$F$9+'Scénario référence'!$B$17+'Scénario référence'!$B$9+'Scénario référence'!$B$10)*70+IF((45+25*(1-EXP(-0.0175*$A34)))&lt;70,'Scénario référence'!$B$16*(45+25*(1-EXP(-0.0175*$A34))),70*'Scénario référence'!$B$16)+IF((32+38*(1-EXP(-0.0175*$A34)))&lt;70,'Scénario référence'!$B$18*(32+38*(1-EXP(-0.0175*$A34))),70*'Scénario référence'!$B$18)</f>
        <v>70</v>
      </c>
      <c r="JB34" s="12">
        <f>IF($A34&gt;30,10,('Scénario référence'!$B$16+'Scénario référence'!$B$17+'Scénario référence'!$B$18+'Scénario référence'!$B$9+'Scénario référence'!$B$10)*$A34*10/30+('Scénario référence'!$F$8+'Scénario référence'!$F$9)*10)</f>
        <v>10</v>
      </c>
      <c r="JC34" s="12" t="e">
        <f>VLOOKUP($A34,'Données projet'!$A$356:$I$376,2,0)</f>
        <v>#N/A</v>
      </c>
      <c r="JD34" s="12" t="e">
        <f>VLOOKUP($A34,'Données projet'!$A$356:$I$376,9,0)</f>
        <v>#N/A</v>
      </c>
      <c r="JE34" s="12">
        <f t="array" ref="JE34">INDEX(JD:JD,MIN(IF(ISNUMBER(JD34:JD230),ROW(JD34:JD230),"")))</f>
        <v>-9.8000000000000007</v>
      </c>
      <c r="JF34" s="12">
        <f>IF('Données projet'!$A$356&gt;35,JF33+JE34-JN33,IF($A34&lt;'Données projet'!$A$356,$CQ$205^$A34,IF($A34='Données projet'!$A$356,'Données projet'!$B$356,JF33+JE34-JN33)))</f>
        <v>78.200000000000045</v>
      </c>
      <c r="JG34" s="17">
        <f>JF34*VLOOKUP('Données projet'!$B$21,Paramètres!$A$1:$I$89,3,0)*VLOOKUP('Données projet'!$B$21,Paramètres!$A$1:$I$89,5,0)</f>
        <v>63.435840000000034</v>
      </c>
      <c r="JH34" s="13">
        <f t="shared" si="90"/>
        <v>18.034121920435361</v>
      </c>
      <c r="JI34" s="20">
        <f t="shared" si="91"/>
        <v>141.89351701142496</v>
      </c>
      <c r="JJ34" s="59">
        <f t="shared" si="92"/>
        <v>435.2268503447583</v>
      </c>
      <c r="JK34" s="59">
        <f ca="1">AVERAGE(OFFSET($JJ$3,0,0,'Données projet'!$E$22+1,1))-AVERAGE(OFFSET($H$3,0,0,'Données projet'!$E$22+1,1))</f>
        <v>353.35574633294613</v>
      </c>
      <c r="JL34" s="59">
        <f t="shared" si="93"/>
        <v>170.36796666474726</v>
      </c>
      <c r="JM34" s="15">
        <f>IF(ISNA(VLOOKUP($A34,'Données projet'!$A$356:$I$376,3,0)),0,VLOOKUP($A34,'Données projet'!$A$356:$I$376,3,0))</f>
        <v>0</v>
      </c>
      <c r="JN34" s="15">
        <f>IF(ISNA(VLOOKUP($A34,'Données projet'!$A$356:$I$376,4,0)),0,VLOOKUP($A34,'Données projet'!$A$356:$I$376,4,0))</f>
        <v>0</v>
      </c>
      <c r="JO34" s="16">
        <f>IF(ISNA(VLOOKUP($A34,'Données projet'!$A$356:$I$376,5,0)),0%,VLOOKUP($A34,'Données projet'!$A$356:$I$376,5,0)*VLOOKUP('Données projet'!$B$21,Paramètres!$A$1:$I$89,7,0))</f>
        <v>0</v>
      </c>
      <c r="JP34" s="16">
        <f>IF(ISNA(VLOOKUP($A34,'Données projet'!$A$356:$I$376,6,0)),0%,VLOOKUP($A34,'Données projet'!$A$356:$I$376,6,0)*VLOOKUP('Données projet'!$B$21,Paramètres!$A$1:$I$89,7,0))</f>
        <v>0</v>
      </c>
      <c r="JQ34" s="16">
        <f>IF(ISNA(VLOOKUP($A34,'Données projet'!$A$356:$I$376,7,0)),0%,VLOOKUP($A34,'Données projet'!$A$356:$I$376,7,0))</f>
        <v>0</v>
      </c>
      <c r="JR34" s="21">
        <f>EXP(-LN(2)/35)*JR33+(1-EXP(-LN(2)/35))/(LN(2)/35)*JN34*JO34*VLOOKUP('Données projet'!$B$21,Paramètres!$A$1:$I$89,3,0)*0.475*44/12</f>
        <v>0</v>
      </c>
      <c r="JS34" s="21">
        <f>EXP(-LN(2)/25)*JS33+(1-EXP(-LN(2)/25))/(LN(2)/25)*Calculateur!JN34*Calculateur!JP34*VLOOKUP('Données projet'!$B$21,Paramètres!$A$1:$I$89,3,0)*0.475*44/12</f>
        <v>0</v>
      </c>
      <c r="JT34" s="21">
        <f>EXP(-LN(2)/2)*JT33+(1-EXP(-LN(2)/2))/(LN(2)/2)*JN34*JQ34*VLOOKUP('Données projet'!$B$21,Paramètres!$A$1:$I$89,3,0)*0.475*44/12</f>
        <v>4.5461789147925931</v>
      </c>
      <c r="JU34" s="18">
        <f t="shared" si="39"/>
        <v>4.5461789147925931</v>
      </c>
      <c r="JV34" s="74">
        <f>('Scénario référence'!$F$8+'Scénario référence'!$F$9+'Scénario référence'!$B$17+'Scénario référence'!$B$9+'Scénario référence'!$B$10)*70+IF((45+25*(1-EXP(-0.0175*$A34)))&lt;70,'Scénario référence'!$B$16*(45+25*(1-EXP(-0.0175*$A34))),70*'Scénario référence'!$B$16)+IF((32+38*(1-EXP(-0.0175*$A34)))&lt;70,'Scénario référence'!$B$18*(32+38*(1-EXP(-0.0175*$A34))),70*'Scénario référence'!$B$18)</f>
        <v>70</v>
      </c>
      <c r="JW34" s="12">
        <f>IF($A34&gt;30,10,('Scénario référence'!$B$16+'Scénario référence'!$B$17+'Scénario référence'!$B$18+'Scénario référence'!$B$9+'Scénario référence'!$B$10)*$A34*10/30+('Scénario référence'!$F$8+'Scénario référence'!$F$9)*10)</f>
        <v>10</v>
      </c>
      <c r="JX34" s="12" t="e">
        <f>VLOOKUP($A34,'Données projet'!$A$382:$I$402,2,0)</f>
        <v>#N/A</v>
      </c>
      <c r="JY34" s="12" t="e">
        <f>VLOOKUP($A34,'Données projet'!$A$382:$I$402,9,0)</f>
        <v>#N/A</v>
      </c>
      <c r="JZ34" s="12">
        <f t="array" ref="JZ34">INDEX(JY:JY,MIN(IF(ISNUMBER(JY34:JY230),ROW(JY34:JY230),"")))</f>
        <v>8.0564102564102633</v>
      </c>
      <c r="KA34" s="12">
        <f>IF('Données projet'!$A$382&gt;35,KA33+JZ34-KI33,IF($A34&lt;'Données projet'!$A$382,$CQ$205^$A34,IF($A34='Données projet'!$A$382,'Données projet'!$B$382,KA33+JZ34-KI33)))</f>
        <v>129.94102564102559</v>
      </c>
      <c r="KB34" s="17">
        <f>KA34*VLOOKUP('Données projet'!$B$22,Paramètres!$A$1:$I$89,3,0)*VLOOKUP('Données projet'!$B$22,Paramètres!$A$1:$I$89,5,0)</f>
        <v>87.164439999999971</v>
      </c>
      <c r="KC34" s="13">
        <f t="shared" si="94"/>
        <v>23.880087265375693</v>
      </c>
      <c r="KD34" s="20">
        <f t="shared" si="95"/>
        <v>193.40255165386262</v>
      </c>
      <c r="KE34" s="59">
        <f t="shared" si="96"/>
        <v>486.73588498719596</v>
      </c>
      <c r="KF34" s="59">
        <f ca="1">AVERAGE(OFFSET($KE$3,0,0,'Données projet'!$E$22+1,1))-AVERAGE(OFFSET($H$3,0,0,'Données projet'!$E$22+1,1))</f>
        <v>193.91714772848269</v>
      </c>
      <c r="KG34" s="59">
        <f t="shared" si="97"/>
        <v>159.20429420478047</v>
      </c>
      <c r="KH34" s="15">
        <f>IF(ISNA(VLOOKUP($A34,'Données projet'!$A$382:$I$402,3,0)),0,VLOOKUP($A34,'Données projet'!$A$382:$I$402,3,0))</f>
        <v>0</v>
      </c>
      <c r="KI34" s="15">
        <f>IF(ISNA(VLOOKUP($A34,'Données projet'!$A$382:$I$402,4,0)),0,VLOOKUP($A34,'Données projet'!$A$382:$I$402,4,0))</f>
        <v>0</v>
      </c>
      <c r="KJ34" s="16">
        <f>IF(ISNA(VLOOKUP($A34,'Données projet'!$A$382:$I$402,5,0)),0%,VLOOKUP($A34,'Données projet'!$A$382:$I$402,5,0)*VLOOKUP('Données projet'!$B$22,Paramètres!$A$1:$I$89,7,0))</f>
        <v>0</v>
      </c>
      <c r="KK34" s="16">
        <f>IF(ISNA(VLOOKUP($A34,'Données projet'!$A$382:$I$402,6,0)),0%,VLOOKUP($A34,'Données projet'!$A$382:$I$402,6,0)*VLOOKUP('Données projet'!$B$22,Paramètres!$A$1:$I$89,7,0))</f>
        <v>0</v>
      </c>
      <c r="KL34" s="16">
        <f>IF(ISNA(VLOOKUP($A34,'Données projet'!$A$382:$I$402,7,0)),0%,VLOOKUP($A34,'Données projet'!$A$382:$I$402,7,0))</f>
        <v>0</v>
      </c>
      <c r="KM34" s="21">
        <f>EXP(-LN(2)/35)*KM33+(1-EXP(-LN(2)/35))/(LN(2)/35)*KI34*KJ34*VLOOKUP('Données projet'!$B$22,Paramètres!$A$1:$I$89,3,0)*0.475*44/12</f>
        <v>0</v>
      </c>
      <c r="KN34" s="21">
        <f>EXP(-LN(2)/25)*KN33+(1-EXP(-LN(2)/25))/(LN(2)/25)*Calculateur!KI34*Calculateur!KK34*VLOOKUP('Données projet'!$B$22,Paramètres!$A$1:$I$89,3,0)*0.475*44/12</f>
        <v>0</v>
      </c>
      <c r="KO34" s="21">
        <f>EXP(-LN(2)/2)*KO33+(1-EXP(-LN(2)/2))/(LN(2)/2)*KI34*KL34*VLOOKUP('Données projet'!$B$22,Paramètres!$A$1:$I$89,3,0)*0.475*44/12</f>
        <v>0</v>
      </c>
      <c r="KP34" s="22">
        <f t="shared" si="98"/>
        <v>0</v>
      </c>
      <c r="KQ34" s="74">
        <f>('Scénario référence'!$F$8+'Scénario référence'!$F$9+'Scénario référence'!$B$17+'Scénario référence'!$B$9+'Scénario référence'!$B$10)*70+IF((45+25*(1-EXP(-0.0175*$A34)))&lt;70,'Scénario référence'!$B$16*(45+25*(1-EXP(-0.0175*$A34))),70*'Scénario référence'!$B$16)+IF((32+38*(1-EXP(-0.0175*$A34)))&lt;70,'Scénario référence'!$B$18*(32+38*(1-EXP(-0.0175*$A34))),70*'Scénario référence'!$B$18)</f>
        <v>70</v>
      </c>
      <c r="KR34" s="12">
        <f>IF($A34&gt;30,10,('Scénario référence'!$B$16+'Scénario référence'!$B$17+'Scénario référence'!$B$18+'Scénario référence'!$B$9+'Scénario référence'!$B$10)*$A34*10/30+('Scénario référence'!$F$8+'Scénario référence'!$F$9)*10)</f>
        <v>10</v>
      </c>
      <c r="KS34" s="12" t="e">
        <f>VLOOKUP($A34,'Données projet'!$A$408:$I$428,2,0)</f>
        <v>#N/A</v>
      </c>
      <c r="KT34" s="12" t="e">
        <f>VLOOKUP($A34,'Données projet'!$A$408:$I$428,9,0)</f>
        <v>#N/A</v>
      </c>
      <c r="KU34" s="12">
        <f t="array" ref="KU34">INDEX(KT:KT,MIN(IF(ISNUMBER(KT34:KT230),ROW(KT34:KT230),"")))</f>
        <v>10.8</v>
      </c>
      <c r="KV34" s="12">
        <f>IF('Données projet'!$A$408&gt;35,KV33+KU34-LD33,IF($A34&lt;'Données projet'!$A$408,$CQ$205^$A34,IF($A34='Données projet'!$A$408,'Données projet'!$B$408,KV33+KU34-LD33)))</f>
        <v>128.80000000000001</v>
      </c>
      <c r="KW34" s="17">
        <f>KV34*VLOOKUP('Données projet'!$B$23,Paramètres!$A$1:$I$89,3,0)*VLOOKUP('Données projet'!$B$23,Paramètres!$A$1:$I$89,5,0)</f>
        <v>112.51968000000002</v>
      </c>
      <c r="KX34" s="13">
        <f t="shared" si="99"/>
        <v>29.923856072189899</v>
      </c>
      <c r="KY34" s="14">
        <f t="shared" si="43"/>
        <v>248.08915865906408</v>
      </c>
      <c r="KZ34" s="59">
        <f t="shared" si="44"/>
        <v>541.42249199239745</v>
      </c>
      <c r="LA34" s="59">
        <f ca="1">AVERAGE(OFFSET($KZ$3,0,0,'Données projet'!$E$23+1,1))-AVERAGE(OFFSET($H$3,0,0,'Données projet'!$E$23+1,1))</f>
        <v>248.33596943633819</v>
      </c>
      <c r="LB34" s="59">
        <f t="shared" si="100"/>
        <v>242.34010522344573</v>
      </c>
      <c r="LC34" s="15">
        <f>IF(ISNA(VLOOKUP($A34,'Données projet'!$A$408:$I$428,3,0)),0,VLOOKUP($A34,'Données projet'!$A$408:$I$428,3,0))</f>
        <v>0</v>
      </c>
      <c r="LD34" s="15">
        <f>IF(ISNA(VLOOKUP($A34,'Données projet'!$A$408:$I$428,4,0)),0,VLOOKUP($A34,'Données projet'!$A$408:$I$428,4,0))</f>
        <v>0</v>
      </c>
      <c r="LE34" s="16">
        <f>IF(ISNA(VLOOKUP($A34,'Données projet'!$A$408:$I$428,5,0)),0%,VLOOKUP($A34,'Données projet'!$A$408:$I$428,5,0)*VLOOKUP('Données projet'!$B$23,Paramètres!$A$1:$I$89,7,0))</f>
        <v>0</v>
      </c>
      <c r="LF34" s="16">
        <f>IF(ISNA(VLOOKUP($A34,'Données projet'!$A$408:$I$428,6,0)),0%,VLOOKUP($A34,'Données projet'!$A$408:$I$428,6,0)*VLOOKUP('Données projet'!$B$23,Paramètres!$A$1:$I$89,7,0))</f>
        <v>0</v>
      </c>
      <c r="LG34" s="16">
        <f>IF(ISNA(VLOOKUP($A34,'Données projet'!$A$408:$I$428,7,0)),0%,VLOOKUP($A34,'Données projet'!$A$408:$I$428,7,0))</f>
        <v>0</v>
      </c>
      <c r="LH34" s="21">
        <f>EXP(-LN(2)/35)*LH33+(1-EXP(-LN(2)/35))/(LN(2)/35)*LD34*LE34*VLOOKUP('Données projet'!$B$23,Paramètres!$A$1:$I$89,3,0)*0.475*44/12</f>
        <v>0.45597954090524451</v>
      </c>
      <c r="LI34" s="21">
        <f>EXP(-LN(2)/25)*LI33+(1-EXP(-LN(2)/25))/(LN(2)/25)*Calculateur!LD34*Calculateur!LF34*VLOOKUP('Données projet'!$B$23,Paramètres!$A$1:$I$89,3,0)*0.475*44/12</f>
        <v>3.9533269126742141</v>
      </c>
      <c r="LJ34" s="21">
        <f>EXP(-LN(2)/2)*LJ33+(1-EXP(-LN(2)/2))/(LN(2)/2)*LD34*LG34*VLOOKUP('Données projet'!$B$23,Paramètres!$A$1:$I$89,3,0)*0.475*44/12</f>
        <v>0</v>
      </c>
      <c r="LK34" s="22">
        <f t="shared" si="101"/>
        <v>4.4093064535794584</v>
      </c>
      <c r="LL34" s="74">
        <f>('Scénario référence'!$F$8+'Scénario référence'!$F$9+'Scénario référence'!$B$17+'Scénario référence'!$B$9+'Scénario référence'!$B$10)*70+IF((45+25*(1-EXP(-0.0175*$A34)))&lt;70,'Scénario référence'!$B$16*(45+25*(1-EXP(-0.0175*$A34))),70*'Scénario référence'!$B$16)+IF((32+38*(1-EXP(-0.0175*$A34)))&lt;70,'Scénario référence'!$B$18*(32+38*(1-EXP(-0.0175*$A34))),70*'Scénario référence'!$B$18)</f>
        <v>70</v>
      </c>
      <c r="LM34" s="12">
        <f>IF($A34&gt;30,10,('Scénario référence'!$B$16+'Scénario référence'!$B$17+'Scénario référence'!$B$18+'Scénario référence'!$B$9+'Scénario référence'!$B$10)*$A34*10/30+('Scénario référence'!$F$8+'Scénario référence'!$F$9)*10)</f>
        <v>10</v>
      </c>
      <c r="LN34" s="12" t="e">
        <f>VLOOKUP($A34,'Données projet'!$A$434:$I$454,2,0)</f>
        <v>#N/A</v>
      </c>
      <c r="LO34" s="12" t="e">
        <f>VLOOKUP($A34,'Données projet'!$A$434:$I$454,9,0)</f>
        <v>#N/A</v>
      </c>
      <c r="LP34" s="12">
        <f t="array" ref="LP34">INDEX(LO:LO,MIN(IF(ISNUMBER(LO34:LO230),ROW(LO34:LO230),"")))</f>
        <v>5.3369963369963358</v>
      </c>
      <c r="LQ34" s="12">
        <f>IF('Données projet'!$A$434&gt;35,LQ33+LP34-LY33,IF($A34&lt;'Données projet'!$A$434,$CQ$205^$A34,IF($A34='Données projet'!$A$434,'Données projet'!$B$434,LQ33+LP34-LY33)))</f>
        <v>93.042124542124554</v>
      </c>
      <c r="LR34" s="17">
        <f>LQ34*VLOOKUP('Données projet'!$B$24,Paramètres!$A$1:$I$89,3,0)*VLOOKUP('Données projet'!$B$24,Paramètres!$A$1:$I$89,5,0)</f>
        <v>94.344714285714304</v>
      </c>
      <c r="LS34" s="13">
        <f t="shared" si="102"/>
        <v>25.610173041635999</v>
      </c>
      <c r="LT34" s="14">
        <f t="shared" si="46"/>
        <v>208.92142876180176</v>
      </c>
      <c r="LU34" s="59">
        <f t="shared" si="103"/>
        <v>502.25476209513511</v>
      </c>
      <c r="LV34" s="59">
        <f ca="1">AVERAGE(OFFSET($LU$3,0,0,'Données projet'!$E$24+1,1))-AVERAGE(OFFSET($H$3,0,0,'Données projet'!$E$24+1,1))</f>
        <v>260.52627655062872</v>
      </c>
      <c r="LW34" s="59">
        <f t="shared" si="104"/>
        <v>159.20429420478047</v>
      </c>
      <c r="LX34" s="15">
        <f>IF(ISNA(VLOOKUP($A34,'Données projet'!$A$434:$I$454,3,0)),0,VLOOKUP($A34,'Données projet'!$A$434:$I$454,3,0))</f>
        <v>0</v>
      </c>
      <c r="LY34" s="15">
        <f>IF(ISNA(VLOOKUP($A34,'Données projet'!$A$434:$I$454,4,0)),0,VLOOKUP($A34,'Données projet'!$A$434:$I$454,4,0))</f>
        <v>0</v>
      </c>
      <c r="LZ34" s="16">
        <f>IF(ISNA(VLOOKUP($A34,'Données projet'!$A$434:$I$454,5,0)),0%,VLOOKUP($A34,'Données projet'!$A$434:$I$454,5,0)*VLOOKUP('Données projet'!$B$24,Paramètres!$A$1:$I$89,7,0))</f>
        <v>0</v>
      </c>
      <c r="MA34" s="16">
        <f>IF(ISNA(VLOOKUP($A34,'Données projet'!$A$434:$I$454,6,0)),0%,VLOOKUP($A34,'Données projet'!$A$434:$I$454,6,0)*VLOOKUP('Données projet'!$B$24,Paramètres!$A$1:$I$89,7,0))</f>
        <v>0</v>
      </c>
      <c r="MB34" s="16">
        <f>IF(ISNA(VLOOKUP($A34,'Données projet'!$A$434:$I$454,7,0)),0%,VLOOKUP($A34,'Données projet'!$A$434:$I$454,7,0))</f>
        <v>0</v>
      </c>
      <c r="MC34" s="21">
        <f>EXP(-LN(2)/35)*MC33+(1-EXP(-LN(2)/35))/(LN(2)/35)*LY34*LZ34*VLOOKUP('Données projet'!$B$24,Paramètres!$A$1:$I$89,3,0)*0.475*44/12</f>
        <v>0</v>
      </c>
      <c r="MD34" s="21">
        <f>EXP(-LN(2)/25)*MD33+(1-EXP(-LN(2)/25))/(LN(2)/25)*Calculateur!LY34*Calculateur!MA34*VLOOKUP('Données projet'!$B$24,Paramètres!$A$1:$I$89,3,0)*0.475*44/12</f>
        <v>0</v>
      </c>
      <c r="ME34" s="21">
        <f>EXP(-LN(2)/2)*ME33+(1-EXP(-LN(2)/2))/(LN(2)/2)*LY34*MB34*VLOOKUP('Données projet'!$B$24,Paramètres!$A$1:$I$89,3,0)*0.475*44/12</f>
        <v>0</v>
      </c>
      <c r="MF34" s="22">
        <f t="shared" si="105"/>
        <v>0</v>
      </c>
      <c r="MG34" s="74">
        <f>('Scénario référence'!$F$8+'Scénario référence'!$F$9+'Scénario référence'!$B$17+'Scénario référence'!$B$9+'Scénario référence'!$B$10)*70+IF((45+25*(1-EXP(-0.0175*$A34)))&lt;70,'Scénario référence'!$B$16*(45+25*(1-EXP(-0.0175*$A34))),70*'Scénario référence'!$B$16)+IF((32+38*(1-EXP(-0.0175*$A34)))&lt;70,'Scénario référence'!$B$18*(32+38*(1-EXP(-0.0175*$A34))),70*'Scénario référence'!$B$18)</f>
        <v>70</v>
      </c>
      <c r="MH34" s="12">
        <f>IF($A34&gt;30,10,('Scénario référence'!$B$16+'Scénario référence'!$B$17+'Scénario référence'!$B$18+'Scénario référence'!$B$9+'Scénario référence'!$B$10)*$A34*10/30+('Scénario référence'!$F$8+'Scénario référence'!$F$9)*10)</f>
        <v>10</v>
      </c>
      <c r="MI34" s="12" t="e">
        <f>VLOOKUP($A34,'Données projet'!$A$460:$I$480,2,0)</f>
        <v>#N/A</v>
      </c>
      <c r="MJ34" s="12" t="e">
        <f>VLOOKUP($A34,'Données projet'!$A$460:$I$480,9,0)</f>
        <v>#N/A</v>
      </c>
      <c r="MK34" s="12">
        <f t="array" ref="MK34">INDEX(MJ:MJ,MIN(IF(ISNUMBER(MJ34:MJ230),ROW(MJ34:MJ230),"")))</f>
        <v>0</v>
      </c>
      <c r="ML34" s="12">
        <f>IF('Données projet'!$A$460&gt;35,ML33+MK34-MT33,IF($A34&lt;'Données projet'!$A$460,$CQ$205^$A34,IF($A34='Données projet'!$A$460,'Données projet'!$B$460,ML33+MK34-MT33)))</f>
        <v>0</v>
      </c>
      <c r="MM34" s="17" t="e">
        <f>ML34*VLOOKUP('Données projet'!$B$25,Paramètres!$A$1:$I$89,3,0)*VLOOKUP('Données projet'!$B$25,Paramètres!$A$1:$I$89,5,0)</f>
        <v>#N/A</v>
      </c>
      <c r="MN34" s="13" t="e">
        <f t="shared" si="106"/>
        <v>#N/A</v>
      </c>
      <c r="MO34" s="14" t="e">
        <f t="shared" si="49"/>
        <v>#N/A</v>
      </c>
      <c r="MP34" s="59" t="e">
        <f t="shared" si="50"/>
        <v>#N/A</v>
      </c>
      <c r="MQ34" s="20" t="e">
        <f ca="1">AVERAGE(OFFSET($MP$3,0,0,'Données projet'!$E$25+1,1))-AVERAGE(OFFSET($H$3,0,0,'Données projet'!$E$25+1,1))</f>
        <v>#N/A</v>
      </c>
      <c r="MR34" s="59" t="e">
        <f t="shared" si="107"/>
        <v>#N/A</v>
      </c>
      <c r="MS34" s="15">
        <f>IF(ISNA(VLOOKUP($A34,'Données projet'!$A$460:$I$480,3,0)),0,VLOOKUP($A34,'Données projet'!$A$460:$I$480,3,0))</f>
        <v>0</v>
      </c>
      <c r="MT34" s="15">
        <f>IF(ISNA(VLOOKUP($A34,'Données projet'!$A$460:$I$480,4,0)),0,VLOOKUP($A34,'Données projet'!$A$460:$I$480,4,0))</f>
        <v>0</v>
      </c>
      <c r="MU34" s="16">
        <f>IF(ISNA(VLOOKUP($A34,'Données projet'!$A$460:$I$480,5,0)),0%,VLOOKUP($A34,'Données projet'!$A$460:$I$480,5,0)*VLOOKUP('Données projet'!$B$25,Paramètres!$A$1:$I$89,7,0))</f>
        <v>0</v>
      </c>
      <c r="MV34" s="16">
        <f>IF(ISNA(VLOOKUP($A34,'Données projet'!$A$460:$I$480,6,0)),0%,VLOOKUP($A34,'Données projet'!$A$460:$I$480,6,0)*VLOOKUP('Données projet'!$B$25,Paramètres!$A$1:$I$89,7,0))</f>
        <v>0</v>
      </c>
      <c r="MW34" s="16">
        <f>IF(ISNA(VLOOKUP($A34,'Données projet'!$A$460:$I$480,7,0)),0%,VLOOKUP($A34,'Données projet'!$A$460:$I$480,7,0))</f>
        <v>0</v>
      </c>
      <c r="MX34" s="21" t="e">
        <f>EXP(-LN(2)/35)*MX33+(1-EXP(-LN(2)/35))/(LN(2)/35)*MT34*MU34*VLOOKUP('Données projet'!$B$25,Paramètres!$A$1:$I$89,3,0)*0.475*44/12</f>
        <v>#N/A</v>
      </c>
      <c r="MY34" s="21" t="e">
        <f>EXP(-LN(2)/25)*MY33+(1-EXP(-LN(2)/25))/(LN(2)/25)*Calculateur!MT34*Calculateur!MV34*VLOOKUP('Données projet'!$B$25,Paramètres!$A$1:$I$89,3,0)*0.475*44/12</f>
        <v>#N/A</v>
      </c>
      <c r="MZ34" s="21" t="e">
        <f>EXP(-LN(2)/2)*MZ33+(1-EXP(-LN(2)/2))/(LN(2)/2)*MT34*MW34*VLOOKUP('Données projet'!$B$25,Paramètres!$A$1:$I$89,3,0)*0.475*44/12</f>
        <v>#N/A</v>
      </c>
      <c r="NA34" s="22" t="e">
        <f t="shared" si="108"/>
        <v>#N/A</v>
      </c>
      <c r="NB34" s="74">
        <f>('Scénario référence'!$F$8+'Scénario référence'!$F$9+'Scénario référence'!$B$17+'Scénario référence'!$B$9+'Scénario référence'!$B$10)*70+IF((45+25*(1-EXP(-0.0175*$A34)))&lt;70,'Scénario référence'!$B$16*(45+25*(1-EXP(-0.0175*$A34))),70*'Scénario référence'!$B$16)+IF((32+38*(1-EXP(-0.0175*$A34)))&lt;70,'Scénario référence'!$B$18*(32+38*(1-EXP(-0.0175*$A34))),70*'Scénario référence'!$B$18)</f>
        <v>70</v>
      </c>
      <c r="NC34" s="12">
        <f>IF($A34&gt;30,10,('Scénario référence'!$B$16+'Scénario référence'!$B$17+'Scénario référence'!$B$18+'Scénario référence'!$B$9+'Scénario référence'!$B$10)*$A34*10/30+('Scénario référence'!$F$8+'Scénario référence'!$F$9)*10)</f>
        <v>10</v>
      </c>
      <c r="ND34" s="12" t="e">
        <f>VLOOKUP($A34,'Données projet'!$A$486:$I$506,2,0)</f>
        <v>#N/A</v>
      </c>
      <c r="NE34" s="12" t="e">
        <f>VLOOKUP($A34,'Données projet'!$A$486:$I$506,9,0)</f>
        <v>#N/A</v>
      </c>
      <c r="NF34" s="12">
        <f t="array" ref="NF34">INDEX(NE:NE,MIN(IF(ISNUMBER(NE34:NE230),ROW(NE34:NE230),"")))</f>
        <v>0</v>
      </c>
      <c r="NG34" s="12">
        <f>IF('Données projet'!$A$486&gt;35,NG33+NF34-NO33,IF($A34&lt;'Données projet'!$A$486,$CQ$205^$A34,IF($A34='Données projet'!$A$486,'Données projet'!$B$486,NG33+NF34-NO33)))</f>
        <v>0</v>
      </c>
      <c r="NH34" s="17" t="e">
        <f>NG34*VLOOKUP('Données projet'!$B$26,Paramètres!$A$1:$I$89,3,0)*VLOOKUP('Données projet'!$B$26,Paramètres!$A$1:$I$89,5,0)</f>
        <v>#N/A</v>
      </c>
      <c r="NI34" s="13" t="e">
        <f t="shared" si="109"/>
        <v>#N/A</v>
      </c>
      <c r="NJ34" s="14" t="e">
        <f t="shared" si="52"/>
        <v>#N/A</v>
      </c>
      <c r="NK34" s="59" t="e">
        <f t="shared" si="53"/>
        <v>#N/A</v>
      </c>
      <c r="NL34" s="20" t="e">
        <f ca="1">AVERAGE(OFFSET($NK$3,0,0,'Données projet'!$E$26+1,1))-AVERAGE(OFFSET($H$3,0,0,'Données projet'!$E$26+1,1))</f>
        <v>#N/A</v>
      </c>
      <c r="NM34" s="59" t="e">
        <f t="shared" si="110"/>
        <v>#N/A</v>
      </c>
      <c r="NN34" s="15">
        <f>IF(ISNA(VLOOKUP($A34,'Données projet'!$A$486:$I$506,3,0)),0,VLOOKUP($A34,'Données projet'!$A$486:$I$506,3,0))</f>
        <v>0</v>
      </c>
      <c r="NO34" s="15">
        <f>IF(ISNA(VLOOKUP($A34,'Données projet'!$A$486:$I$506,4,0)),0,VLOOKUP($A34,'Données projet'!$A$486:$I$506,4,0))</f>
        <v>0</v>
      </c>
      <c r="NP34" s="16">
        <f>IF(ISNA(VLOOKUP($A34,'Données projet'!$A$486:$I$506,5,0)),0%,VLOOKUP($A34,'Données projet'!$A$486:$I$506,5,0)*VLOOKUP('Données projet'!$B$26,Paramètres!$A$1:$I$89,7,0))</f>
        <v>0</v>
      </c>
      <c r="NQ34" s="16">
        <f>IF(ISNA(VLOOKUP($A34,'Données projet'!$A$486:$I$506,6,0)),0%,VLOOKUP($A34,'Données projet'!$A$486:$I$506,6,0)*VLOOKUP('Données projet'!$B$26,Paramètres!$A$1:$I$89,7,0))</f>
        <v>0</v>
      </c>
      <c r="NR34" s="16">
        <f>IF(ISNA(VLOOKUP($A34,'Données projet'!$A$486:$I$506,7,0)),0%,VLOOKUP($A34,'Données projet'!$A$486:$I$506,7,0))</f>
        <v>0</v>
      </c>
      <c r="NS34" s="21" t="e">
        <f>EXP(-LN(2)/35)*NS33+(1-EXP(-LN(2)/35))/(LN(2)/35)*NO34*NP34*VLOOKUP('Données projet'!$B$26,Paramètres!$A$1:$I$89,3,0)*0.475*44/12</f>
        <v>#N/A</v>
      </c>
      <c r="NT34" s="21" t="e">
        <f>EXP(-LN(2)/25)*NT33+(1-EXP(-LN(2)/25))/(LN(2)/25)*Calculateur!NO34*Calculateur!NQ34*VLOOKUP('Données projet'!$B$26,Paramètres!$A$1:$I$89,3,0)*0.475*44/12</f>
        <v>#N/A</v>
      </c>
      <c r="NU34" s="21" t="e">
        <f>EXP(-LN(2)/2)*NU33+(1-EXP(-LN(2)/2))/(LN(2)/2)*NO34*NR34*VLOOKUP('Données projet'!$B$26,Paramètres!$A$1:$I$89,3,0)*0.475*44/12</f>
        <v>#N/A</v>
      </c>
      <c r="NV34" s="22" t="e">
        <f t="shared" si="111"/>
        <v>#N/A</v>
      </c>
      <c r="NW34" s="74">
        <f>('Scénario référence'!$F$8+'Scénario référence'!$F$9+'Scénario référence'!$B$17+'Scénario référence'!$B$9+'Scénario référence'!$B$10)*70+IF((45+25*(1-EXP(-0.0175*$A34)))&lt;70,'Scénario référence'!$B$16*(45+25*(1-EXP(-0.0175*$A34))),70*'Scénario référence'!$B$16)+IF((32+38*(1-EXP(-0.0175*$A34)))&lt;70,'Scénario référence'!$B$18*(32+38*(1-EXP(-0.0175*$A34))),70*'Scénario référence'!$B$18)</f>
        <v>70</v>
      </c>
      <c r="NX34" s="12">
        <f>IF($A34&gt;30,10,('Scénario référence'!$B$16+'Scénario référence'!$B$17+'Scénario référence'!$B$18+'Scénario référence'!$B$9+'Scénario référence'!$B$10)*$A34*10/30+('Scénario référence'!$F$8+'Scénario référence'!$F$9)*10)</f>
        <v>10</v>
      </c>
      <c r="NY34" s="12" t="e">
        <f>VLOOKUP($A34,'Données projet'!$A$512:$I$532,2,0)</f>
        <v>#N/A</v>
      </c>
      <c r="NZ34" s="12" t="e">
        <f>VLOOKUP($A34,'Données projet'!$A$512:$I$532,9,0)</f>
        <v>#N/A</v>
      </c>
      <c r="OA34" s="12">
        <f t="array" ref="OA34">INDEX(NZ:NZ,MIN(IF(ISNUMBER(NZ34:NZ230),ROW(NZ34:NZ230),"")))</f>
        <v>0</v>
      </c>
      <c r="OB34" s="12">
        <f>IF('Données projet'!$A$512&gt;35,OB33+OA34-OJ33,IF($A34&lt;'Données projet'!$A$512,$CQ$205^$A34,IF($A34='Données projet'!$A$512,'Données projet'!$B$512,OB33+OA34-OJ33)))</f>
        <v>0</v>
      </c>
      <c r="OC34" s="17" t="e">
        <f>OB34*VLOOKUP('Données projet'!$B$27,Paramètres!$A$1:$I$89,3,0)*VLOOKUP('Données projet'!$B$27,Paramètres!$A$1:$I$89,5,0)</f>
        <v>#N/A</v>
      </c>
      <c r="OD34" s="13" t="e">
        <f t="shared" si="112"/>
        <v>#N/A</v>
      </c>
      <c r="OE34" s="14" t="e">
        <f t="shared" si="55"/>
        <v>#N/A</v>
      </c>
      <c r="OF34" s="59" t="e">
        <f t="shared" si="56"/>
        <v>#N/A</v>
      </c>
      <c r="OG34" s="20" t="e">
        <f ca="1">AVERAGE(OFFSET($OF$3,0,0,'Données projet'!$E$27+1,1))-AVERAGE(OFFSET($H$3,0,0,'Données projet'!$E$27+1,1))</f>
        <v>#N/A</v>
      </c>
      <c r="OH34" s="59" t="e">
        <f t="shared" si="113"/>
        <v>#N/A</v>
      </c>
      <c r="OI34" s="15">
        <f>IF(ISNA(VLOOKUP($A34,'Données projet'!$A$512:$I$532,3,0)),0,VLOOKUP($A34,'Données projet'!$A$512:$I$532,3,0))</f>
        <v>0</v>
      </c>
      <c r="OJ34" s="15">
        <f>IF(ISNA(VLOOKUP($A34,'Données projet'!$A$512:$I$532,4,0)),0,VLOOKUP($A34,'Données projet'!$A$512:$I$532,4,0))</f>
        <v>0</v>
      </c>
      <c r="OK34" s="16">
        <f>IF(ISNA(VLOOKUP($A34,'Données projet'!$A$512:$I$532,5,0)),0%,VLOOKUP($A34,'Données projet'!$A$512:$I$532,5,0)*VLOOKUP('Données projet'!$B$27,Paramètres!$A$1:$I$89,7,0))</f>
        <v>0</v>
      </c>
      <c r="OL34" s="16">
        <f>IF(ISNA(VLOOKUP($A34,'Données projet'!$A$512:$I$532,6,0)),0%,VLOOKUP($A34,'Données projet'!$A$512:$I$532,6,0)*VLOOKUP('Données projet'!$B$27,Paramètres!$A$1:$I$89,7,0))</f>
        <v>0</v>
      </c>
      <c r="OM34" s="16">
        <f>IF(ISNA(VLOOKUP($A34,'Données projet'!$A$512:$I$532,7,0)),0%,VLOOKUP($A34,'Données projet'!$A$512:$I$532,7,0))</f>
        <v>0</v>
      </c>
      <c r="ON34" s="21" t="e">
        <f>EXP(-LN(2)/35)*ON33+(1-EXP(-LN(2)/35))/(LN(2)/35)*OJ34*OK34*VLOOKUP('Données projet'!$B$27,Paramètres!$A$1:$I$89,3,0)*0.475*44/12</f>
        <v>#N/A</v>
      </c>
      <c r="OO34" s="21" t="e">
        <f>EXP(-LN(2)/25)*OO33+(1-EXP(-LN(2)/25))/(LN(2)/25)*Calculateur!OJ34*Calculateur!OL34*VLOOKUP('Données projet'!$B$27,Paramètres!$A$1:$I$89,3,0)*0.475*44/12</f>
        <v>#N/A</v>
      </c>
      <c r="OP34" s="21" t="e">
        <f>EXP(-LN(2)/2)*OP33+(1-EXP(-LN(2)/2))/(LN(2)/2)*OJ34*OM34*VLOOKUP('Données projet'!$B$27,Paramètres!$A$1:$I$89,3,0)*0.475*44/12</f>
        <v>#N/A</v>
      </c>
      <c r="OQ34" s="22" t="e">
        <f t="shared" si="114"/>
        <v>#N/A</v>
      </c>
      <c r="OR34" s="74">
        <f>('Scénario référence'!$F$8+'Scénario référence'!$F$9+'Scénario référence'!$B$17+'Scénario référence'!$B$9+'Scénario référence'!$B$10)*70+IF((45+25*(1-EXP(-0.0175*$A34)))&lt;70,'Scénario référence'!$B$16*(45+25*(1-EXP(-0.0175*$A34))),70*'Scénario référence'!$B$16)+IF((32+38*(1-EXP(-0.0175*$A34)))&lt;70,'Scénario référence'!$B$18*(32+38*(1-EXP(-0.0175*$A34))),70*'Scénario référence'!$B$18)</f>
        <v>70</v>
      </c>
      <c r="OS34" s="12">
        <f>IF($A34&gt;30,10,('Scénario référence'!$B$16+'Scénario référence'!$B$17+'Scénario référence'!$B$18+'Scénario référence'!$B$9+'Scénario référence'!$B$10)*$A34*10/30+('Scénario référence'!$F$8+'Scénario référence'!$F$9)*10)</f>
        <v>10</v>
      </c>
      <c r="OT34" s="12" t="e">
        <f>VLOOKUP($A34,'Données projet'!$A$538:$I$558,2,0)</f>
        <v>#N/A</v>
      </c>
      <c r="OU34" s="12" t="e">
        <f>VLOOKUP($A34,'Données projet'!$A$538:$I$558,9,0)</f>
        <v>#N/A</v>
      </c>
      <c r="OV34" s="12">
        <f t="array" ref="OV34">INDEX(OU:OU,MIN(IF(ISNUMBER(OU34:OU230),ROW(OU34:OU230),"")))</f>
        <v>0</v>
      </c>
      <c r="OW34" s="12">
        <f>IF('Données projet'!$A$538&gt;35,OW33+OV34-PE33,IF($A34&lt;'Données projet'!$A$538,$CQ$205^$A34,IF($A34='Données projet'!$A$538,'Données projet'!$B$538,OW33+OV34-PE33)))</f>
        <v>0</v>
      </c>
      <c r="OX34" s="17" t="e">
        <f>OW34*VLOOKUP('Données projet'!$B$28,Paramètres!$A$1:$I$89,3,0)*VLOOKUP('Données projet'!$B$28,Paramètres!$A$1:$I$89,5,0)</f>
        <v>#N/A</v>
      </c>
      <c r="OY34" s="13" t="e">
        <f t="shared" si="115"/>
        <v>#N/A</v>
      </c>
      <c r="OZ34" s="14" t="e">
        <f t="shared" si="58"/>
        <v>#N/A</v>
      </c>
      <c r="PA34" s="59" t="e">
        <f t="shared" si="59"/>
        <v>#N/A</v>
      </c>
      <c r="PB34" s="20" t="e">
        <f ca="1">AVERAGE(OFFSET($PA$3,0,0,'Données projet'!$E$28+1,1))-AVERAGE(OFFSET($H$3,0,0,'Données projet'!$E$28+1,1))</f>
        <v>#N/A</v>
      </c>
      <c r="PC34" s="59" t="e">
        <f t="shared" si="116"/>
        <v>#N/A</v>
      </c>
      <c r="PD34" s="15">
        <f>IF(ISNA(VLOOKUP($A34,'Données projet'!$A$538:$I$558,3,0)),0,VLOOKUP($A34,'Données projet'!$A$538:$I$558,3,0))</f>
        <v>0</v>
      </c>
      <c r="PE34" s="15">
        <f>IF(ISNA(VLOOKUP($A34,'Données projet'!$A$538:$I$558,4,0)),0,VLOOKUP($A34,'Données projet'!$A$538:$I$558,4,0))</f>
        <v>0</v>
      </c>
      <c r="PF34" s="16">
        <f>IF(ISNA(VLOOKUP($A34,'Données projet'!$A$538:$I$558,5,0)),0%,VLOOKUP($A34,'Données projet'!$A$538:$I$558,5,0)*VLOOKUP('Données projet'!$B$28,Paramètres!$A$1:$I$89,7,0))</f>
        <v>0</v>
      </c>
      <c r="PG34" s="16">
        <f>IF(ISNA(VLOOKUP($A34,'Données projet'!$A$538:$I$558,6,0)),0%,VLOOKUP($A34,'Données projet'!$A$538:$I$558,6,0)*VLOOKUP('Données projet'!$B$28,Paramètres!$A$1:$I$89,7,0))</f>
        <v>0</v>
      </c>
      <c r="PH34" s="16">
        <f>IF(ISNA(VLOOKUP($A34,'Données projet'!$A$538:$I$558,7,0)),0%,VLOOKUP($A34,'Données projet'!$A$538:$I$558,7,0))</f>
        <v>0</v>
      </c>
      <c r="PI34" s="21" t="e">
        <f>EXP(-LN(2)/35)*PI33+(1-EXP(-LN(2)/35))/(LN(2)/35)*PE34*PF34*VLOOKUP('Données projet'!$B$28,Paramètres!$A$1:$I$89,3,0)*0.475*44/12</f>
        <v>#N/A</v>
      </c>
      <c r="PJ34" s="21" t="e">
        <f>EXP(-LN(2)/25)*PJ33+(1-EXP(-LN(2)/25))/(LN(2)/25)*Calculateur!PE34*Calculateur!PG34*VLOOKUP('Données projet'!$B$28,Paramètres!$A$1:$I$89,3,0)*0.475*44/12</f>
        <v>#N/A</v>
      </c>
      <c r="PK34" s="21" t="e">
        <f>EXP(-LN(2)/2)*PK33+(1-EXP(-LN(2)/2))/(LN(2)/2)*PE34*PH34*VLOOKUP('Données projet'!$B$28,Paramètres!$A$1:$I$89,3,0)*0.475*44/12</f>
        <v>#N/A</v>
      </c>
      <c r="PL34" s="22" t="e">
        <f t="shared" si="117"/>
        <v>#N/A</v>
      </c>
    </row>
    <row r="35" spans="1:428" x14ac:dyDescent="0.35">
      <c r="A35" s="10">
        <f t="shared" si="6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6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projet'!$A$45:$I$65,2,0)</f>
        <v>#N/A</v>
      </c>
      <c r="L35" s="12" t="e">
        <f>VLOOKUP(A35,'Données projet'!$A$45:$I$65,9,0)</f>
        <v>#N/A</v>
      </c>
      <c r="M35" s="12">
        <f t="array" ref="M35">INDEX(L:L,MIN(IF(ISNUMBER(L35:L231),ROW(L35:L231),"")))</f>
        <v>22.884615384615397</v>
      </c>
      <c r="N35" s="13">
        <f>IF('Données projet'!$A$46&gt;35,N34+M35-V34,IF(A35&lt;'Données projet'!$A$46,$K$205^A35,IF(A35='Données projet'!$A$46,'Données projet'!$B$46,N34+M35-V34)))</f>
        <v>311.96923076923071</v>
      </c>
      <c r="O35" s="13">
        <f>N35*VLOOKUP('Données projet'!$B$9,Paramètres!$A$1:$I$89,3,0)*VLOOKUP('Données projet'!$B$9,Paramètres!$A$1:$I$89,5,0)</f>
        <v>174.39079999999996</v>
      </c>
      <c r="P35" s="13">
        <f t="shared" si="63"/>
        <v>44.071952499783528</v>
      </c>
      <c r="Q35" s="20">
        <f t="shared" ref="Q35:Q66" si="118">(O35+P35)*0.475*44/12</f>
        <v>380.48929393712291</v>
      </c>
      <c r="R35" s="59">
        <f t="shared" si="0"/>
        <v>673.82262727045622</v>
      </c>
      <c r="S35" s="59">
        <f ca="1">AVERAGE(OFFSET($R$3,0,0,'Données projet'!$E$9+1,1))-AVERAGE(OFFSET($H$3,0,0,'Données projet'!$E$9+1,1))</f>
        <v>274.57619581652199</v>
      </c>
      <c r="T35" s="59">
        <f t="shared" si="64"/>
        <v>366.15117322598775</v>
      </c>
      <c r="U35" s="15">
        <f>IF(ISNA(VLOOKUP(A35,'Données projet'!$A$45:$I$65,3,0)),0,VLOOKUP(A35,'Données projet'!$A$45:$I$65,3,0))</f>
        <v>0</v>
      </c>
      <c r="V35" s="15">
        <f>IF(ISNA(VLOOKUP(A35,'Données projet'!$A$45:$I$65,4,0)),0,VLOOKUP(A35,'Données projet'!$A$45:$I$65,4,0))</f>
        <v>0</v>
      </c>
      <c r="W35" s="16">
        <f>IF(ISNA(VLOOKUP(A35,'Données projet'!$A$45:$I$65,5,0)),0%,VLOOKUP(A35,'Données projet'!$A$45:$I$65,5,0)*VLOOKUP('Données projet'!$B$9,Paramètres!$A$1:$I$89,7,0))</f>
        <v>0</v>
      </c>
      <c r="X35" s="16">
        <f>IF(ISNA(VLOOKUP(A35,'Données projet'!$A$45:$I$65,6,0)),0%,VLOOKUP(A35,'Données projet'!$A$45:$I$65,6,0)*VLOOKUP('Données projet'!$B$9,Paramètres!$A$1:$I$89,7,0))</f>
        <v>0</v>
      </c>
      <c r="Y35" s="16">
        <f>IF(ISNA(VLOOKUP(A35,'Données projet'!$A$45:$I$65,7,0)),0%,VLOOKUP(A35,'Données projet'!$A$45:$I$65,7,0))</f>
        <v>0</v>
      </c>
      <c r="Z35" s="21">
        <f>EXP(-LN(2)/35)*Z34+(1-EXP(-LN(2)/35))/(LN(2)/35)*V35*W35*VLOOKUP('Données projet'!$B$9,Paramètres!$A$1:$I$89,3,0)*0.475*44/12</f>
        <v>28.415407305418412</v>
      </c>
      <c r="AA35" s="21">
        <f>EXP(-LN(2)/25)*AA34+(1-EXP(-LN(2)/25))/(LN(2)/25)*Calculateur!V35*Calculateur!X35*VLOOKUP('Données projet'!$B$9,Paramètres!$A$1:$I$89,3,0)*0.475*44/12</f>
        <v>17.264008636757723</v>
      </c>
      <c r="AB35" s="21">
        <f>EXP(-LN(2)/2)*AB34+(1-EXP(-LN(2)/2))/(LN(2)/2)*V35*Y35*VLOOKUP('Données projet'!$B$9,Paramètres!$A$1:$I$89,3,0)*0.475*44/12</f>
        <v>3.1166728257032039</v>
      </c>
      <c r="AC35" s="22">
        <f t="shared" si="3"/>
        <v>48.79608876787934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projet'!$A$71:$I$91,2,0)</f>
        <v>#N/A</v>
      </c>
      <c r="AG35" s="12" t="e">
        <f>VLOOKUP(A35,'Données projet'!$A$71:$I$91,9,0)</f>
        <v>#N/A</v>
      </c>
      <c r="AH35" s="12">
        <f t="array" ref="AH35">INDEX(AG:AG,MIN(IF(ISNUMBER(AG35:AG231),ROW(AG35:AG231),"")))</f>
        <v>8.0564102564102633</v>
      </c>
      <c r="AI35" s="13">
        <f>IF('Données projet'!$A$72&gt;35,AI34+AH35-AQ34,IF(A35&lt;'Données projet'!$A$72,$AF$205^A35,IF(A35='Données projet'!$A$72,'Données projet'!$B$72,AI34+AH35-AQ34)))</f>
        <v>137.99743589743591</v>
      </c>
      <c r="AJ35" s="13">
        <f>AI35*VLOOKUP('Données projet'!$B$10,Paramètres!$A$1:$I$89,3,0)*VLOOKUP('Données projet'!$B$10,Paramètres!$A$1:$I$89,5,0)</f>
        <v>124.86008000000001</v>
      </c>
      <c r="AK35" s="13">
        <f t="shared" si="65"/>
        <v>32.805900674075268</v>
      </c>
      <c r="AL35" s="20">
        <f t="shared" si="4"/>
        <v>274.60158300734776</v>
      </c>
      <c r="AM35" s="59">
        <f t="shared" si="5"/>
        <v>567.93491634068107</v>
      </c>
      <c r="AN35" s="59">
        <f ca="1">AVERAGE(OFFSET($AM$3,0,0,'Données projet'!$E$10+1,1))-AVERAGE(OFFSET($H$3,0,0,'Données projet'!$E$10+1,1))</f>
        <v>270.87836509222456</v>
      </c>
      <c r="AO35" s="59">
        <f t="shared" si="66"/>
        <v>205.24998237949734</v>
      </c>
      <c r="AP35" s="15">
        <f>IF(ISNA(VLOOKUP(A35,'Données projet'!$A$71:$I$91,3,0)),0,VLOOKUP(A35,'Données projet'!$A$71:$I$91,3,0))</f>
        <v>0</v>
      </c>
      <c r="AQ35" s="15">
        <f>IF(ISNA(VLOOKUP(A35,'Données projet'!$A$71:$I$91,4,0)),0,VLOOKUP(A35,'Données projet'!$A$71:$I$91,4,0))</f>
        <v>0</v>
      </c>
      <c r="AR35" s="16">
        <f>IF(ISNA(VLOOKUP(A35,'Données projet'!$A$71:$I$91,5,0)),0%,VLOOKUP(A35,'Données projet'!$A$71:$I$91,5,0)*VLOOKUP('Données projet'!$B$10,Paramètres!$A$1:$I$89,7,0))</f>
        <v>0</v>
      </c>
      <c r="AS35" s="16">
        <f>IF(ISNA(VLOOKUP(A35,'Données projet'!$A$71:$I$91,6,0)),0%,VLOOKUP(A35,'Données projet'!$A$71:$I$91,6,0)*VLOOKUP('Données projet'!$B$10,Paramètres!$A$1:$I$89,7,0))</f>
        <v>0</v>
      </c>
      <c r="AT35" s="16">
        <f>IF(ISNA(VLOOKUP(A35,'Données projet'!$A$71:$I$91,7,0)),0%,VLOOKUP(A35,'Données projet'!$A$71:$I$91,7,0))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projet'!$A$97:$I$117,2,0)</f>
        <v>#N/A</v>
      </c>
      <c r="BB35" s="12" t="e">
        <f>VLOOKUP(A35,'Données projet'!$A$97:$I$117,9,0)</f>
        <v>#N/A</v>
      </c>
      <c r="BC35" s="12">
        <f t="array" ref="BC35">INDEX(BB:BB,MIN(IF(ISNUMBER(BB35:BB231),ROW(BB35:BB231),"")))</f>
        <v>22.884615384615397</v>
      </c>
      <c r="BD35" s="12">
        <f>IF('Données projet'!$A$98&gt;35,BD34+BC35-BL34,IF(A35&lt;'Données projet'!$A$98,$BA$205^A35,IF(A35='Données projet'!$A$98,'Données projet'!$B$98,BD34+BC35-BL34)))</f>
        <v>311.96923076923071</v>
      </c>
      <c r="BE35" s="13">
        <f>BD35*VLOOKUP('Données projet'!$B$11,Paramètres!$A$1:$I$89,3,0)*VLOOKUP('Données projet'!$B$11,Paramètres!$A$1:$I$89,5,0)</f>
        <v>137.89039999999997</v>
      </c>
      <c r="BF35" s="13">
        <f t="shared" si="67"/>
        <v>35.813299531301617</v>
      </c>
      <c r="BG35" s="20">
        <f t="shared" si="7"/>
        <v>302.53394335035023</v>
      </c>
      <c r="BH35" s="59">
        <f t="shared" si="8"/>
        <v>595.86727668368349</v>
      </c>
      <c r="BI35" s="59">
        <f ca="1">AVERAGE(OFFSET($BH$3,0,0,'Données projet'!$E$11+1,1))-AVERAGE(OFFSET($H$3,0,0,'Données projet'!$E$11+1,1))</f>
        <v>211.31057120485542</v>
      </c>
      <c r="BJ35" s="59">
        <f t="shared" si="68"/>
        <v>283.33292006714777</v>
      </c>
      <c r="BK35" s="15">
        <f>IF(ISNA(VLOOKUP(A35,'Données projet'!$A$97:$I$117,3,0)),0,VLOOKUP(A35,'Données projet'!$A$97:$I$117,3,0))</f>
        <v>0</v>
      </c>
      <c r="BL35" s="15">
        <f>IF(ISNA(VLOOKUP(A35,'Données projet'!$A$97:$I$117,4,0)),0,VLOOKUP(A35,'Données projet'!$A$97:$I$117,4,0))</f>
        <v>0</v>
      </c>
      <c r="BM35" s="16">
        <f>IF(ISNA(VLOOKUP(A35,'Données projet'!$A$97:$I$117,5,0)),0%,VLOOKUP(A35,'Données projet'!$A$97:$I$117,5,0)*VLOOKUP('Données projet'!$B$11,Paramètres!$A$1:$I$89,7,0))</f>
        <v>0</v>
      </c>
      <c r="BN35" s="16">
        <f>IF(ISNA(VLOOKUP(A35,'Données projet'!$A$97:$I$117,6,0)),0%,VLOOKUP(A35,'Données projet'!$A$97:$I$117,6,0)*VLOOKUP('Données projet'!$B$11,Paramètres!$A$1:$I$89,7,0))</f>
        <v>0</v>
      </c>
      <c r="BO35" s="16">
        <f>IF(ISNA(VLOOKUP(A35,'Données projet'!$A$97:$I$117,7,0)),0%,VLOOKUP(A35,'Données projet'!$A$97:$I$117,7,0))</f>
        <v>0</v>
      </c>
      <c r="BP35" s="21">
        <f>EXP(-LN(2)/35)*BP34+(1-EXP(-LN(2)/35))/(LN(2)/35)*BL35*BM35*VLOOKUP('Données projet'!$B$11,Paramètres!$A$1:$I$89,3,0)*0.475*44/12</f>
        <v>22.467996474051766</v>
      </c>
      <c r="BQ35" s="21">
        <f>EXP(-LN(2)/25)*BQ34+(1-EXP(-LN(2)/25))/(LN(2)/25)*Calculateur!BL35*Calculateur!BN35*VLOOKUP('Données projet'!$B$11,Paramètres!$A$1:$I$89,3,0)*0.475*44/12</f>
        <v>13.650611480227035</v>
      </c>
      <c r="BR35" s="21">
        <f>EXP(-LN(2)/2)*BR34+(1-EXP(-LN(2)/2))/(LN(2)/2)*BL35*BO35*VLOOKUP('Données projet'!$B$11,Paramètres!$A$1:$I$89,3,0)*0.475*44/12</f>
        <v>2.4643459552071851</v>
      </c>
      <c r="BS35" s="22">
        <f t="shared" si="9"/>
        <v>38.582953909485987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projet'!$A$123:$I$143,2,0)</f>
        <v>#N/A</v>
      </c>
      <c r="BW35" s="12" t="e">
        <f>VLOOKUP(A35,'Données projet'!$A$123:$I$143,9,0)</f>
        <v>#N/A</v>
      </c>
      <c r="BX35" s="12">
        <f t="array" ref="BX35">INDEX(BW:BW,MIN(IF(ISNUMBER(BW35:BW231),ROW(BW35:BW231),"")))</f>
        <v>9.1999999999999993</v>
      </c>
      <c r="BY35" s="12">
        <f>IF('Données projet'!$A$124&gt;35,BY34+BX35-CG34,IF(A35&lt;'Données projet'!$A$124,$BV$205^A35,IF(A35='Données projet'!$A$124,'Données projet'!$B$124,BY34+BX35-CG34)))</f>
        <v>140.4</v>
      </c>
      <c r="BZ35" s="13">
        <f>BY35*VLOOKUP('Données projet'!$B$12,Paramètres!$A$1:$I$89,3,0)*VLOOKUP('Données projet'!$B$12,Paramètres!$A$1:$I$89,5,0)</f>
        <v>146.74608000000003</v>
      </c>
      <c r="CA35" s="13">
        <f t="shared" si="69"/>
        <v>37.83817941034674</v>
      </c>
      <c r="CB35" s="20">
        <f t="shared" si="10"/>
        <v>321.48425180635394</v>
      </c>
      <c r="CC35" s="59">
        <f t="shared" si="11"/>
        <v>614.81758513968725</v>
      </c>
      <c r="CD35" s="59">
        <f ca="1">AVERAGE(OFFSET($CC$3,0,0,'Données projet'!$E$12+1,1))-AVERAGE(OFFSET($H$3,0,0,'Données projet'!$E$12+1,1))</f>
        <v>322.93502595881938</v>
      </c>
      <c r="CE35" s="59">
        <f t="shared" si="70"/>
        <v>302.67072119588164</v>
      </c>
      <c r="CF35" s="15">
        <f>IF(ISNA(VLOOKUP(A35,'Données projet'!$A$123:$I$143,3,0)),0,VLOOKUP(A35,'Données projet'!$A$123:$I$143,3,0))</f>
        <v>0</v>
      </c>
      <c r="CG35" s="15">
        <f>IF(ISNA(VLOOKUP(A35,'Données projet'!$A$123:$I$143,4,0)),0,VLOOKUP(A35,'Données projet'!$A$123:$I$143,4,0))</f>
        <v>0</v>
      </c>
      <c r="CH35" s="16">
        <f>IF(ISNA(VLOOKUP(A35,'Données projet'!$A$123:$I$143,5,0)),0%,VLOOKUP(A35,'Données projet'!$A$123:$I$143,5,0)*VLOOKUP('Données projet'!$B$12,Paramètres!$A$1:$I$89,7,0))</f>
        <v>0</v>
      </c>
      <c r="CI35" s="16">
        <f>IF(ISNA(VLOOKUP(A35,'Données projet'!$A$123:$I$143,6,0)),0%,VLOOKUP(A35,'Données projet'!$A$123:$I$143,6,0)*VLOOKUP('Données projet'!$B$12,Paramètres!$A$1:$I$89,7,0))</f>
        <v>0</v>
      </c>
      <c r="CJ35" s="16">
        <f>IF(ISNA(VLOOKUP(A35,'Données projet'!$A$123:$I$143,7,0)),0%,VLOOKUP(A35,'Données projet'!$A$123:$I$143,7,0))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projet'!$A$149:$I$169,2,0)</f>
        <v>#N/A</v>
      </c>
      <c r="CR35" s="12" t="e">
        <f>VLOOKUP(A35,'Données projet'!$A$149:$I$169,9,0)</f>
        <v>#N/A</v>
      </c>
      <c r="CS35" s="12">
        <f t="array" ref="CS35">INDEX(CR:CR,MIN(IF(ISNUMBER(CR35:CR231),ROW(CR35:CR231),"")))</f>
        <v>5.3369963369963358</v>
      </c>
      <c r="CT35" s="12">
        <f>IF('Données projet'!$A$150&gt;35,CT34+CS35-DB34,IF(A35&lt;'Données projet'!$A$150,$CQ$205^A35,IF(A35='Données projet'!$A$150,'Données projet'!$B$150,CT34+CS35-DB34)))</f>
        <v>98.379120879120876</v>
      </c>
      <c r="CU35" s="17">
        <f>CT35*VLOOKUP('Données projet'!$B$13,Paramètres!$A$1:$I$89,3,0)*VLOOKUP('Données projet'!$B$13,Paramètres!$A$1:$I$89,5,0)</f>
        <v>99.756428571428572</v>
      </c>
      <c r="CV35" s="13">
        <f t="shared" si="71"/>
        <v>26.903961780895703</v>
      </c>
      <c r="CW35" s="20">
        <f t="shared" si="13"/>
        <v>220.60017986363141</v>
      </c>
      <c r="CX35" s="59">
        <f t="shared" si="14"/>
        <v>513.93351319696467</v>
      </c>
      <c r="CY35" s="59">
        <f ca="1">AVERAGE(OFFSET($CX$3,0,0,'Données projet'!$E$13+1,1))-AVERAGE(OFFSET($H$3,0,0,'Données projet'!$E$13+1,1))</f>
        <v>250.31277422753283</v>
      </c>
      <c r="CZ35" s="59">
        <f t="shared" si="72"/>
        <v>159.20429420478047</v>
      </c>
      <c r="DA35" s="15">
        <f>IF(ISNA(VLOOKUP(A35,'Données projet'!$A$149:$I$169,3,0)),0,VLOOKUP(A35,'Données projet'!$A$149:$I$169,3,0))</f>
        <v>0</v>
      </c>
      <c r="DB35" s="15">
        <f>IF(ISNA(VLOOKUP(A35,'Données projet'!$A$149:$I$169,4,0)),0,VLOOKUP(A35,'Données projet'!$A$149:$I$169,4,0))</f>
        <v>0</v>
      </c>
      <c r="DC35" s="16">
        <f>IF(ISNA(VLOOKUP(A35,'Données projet'!$A$149:$I$169,5,0)),0%,VLOOKUP(A35,'Données projet'!$A$149:$I$169,5,0)*VLOOKUP('Données projet'!$B$13,Paramètres!$A$1:$I$89,7,0))</f>
        <v>0</v>
      </c>
      <c r="DD35" s="16">
        <f>IF(ISNA(VLOOKUP(A35,'Données projet'!$A$149:$I$169,6,0)),0%,VLOOKUP(A35,'Données projet'!$A$149:$I$169,6,0)*VLOOKUP('Données projet'!$B$13,Paramètres!$A$1:$I$89,7,0))</f>
        <v>0</v>
      </c>
      <c r="DE35" s="16">
        <f>IF(ISNA(VLOOKUP(A35,'Données projet'!$A$149:$I$169,7,0)),0%,VLOOKUP(A35,'Données projet'!$A$149:$I$169,7,0))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projet'!$A$175:$I$195,2,0)</f>
        <v>#N/A</v>
      </c>
      <c r="DM35" s="12" t="e">
        <f>VLOOKUP(A35,'Données projet'!$A$175:$I$195,9,0)</f>
        <v>#N/A</v>
      </c>
      <c r="DN35" s="12">
        <f t="array" ref="DN35">INDEX(DM:DM,MIN(IF(ISNUMBER(DM35:DM231),ROW(DM35:DM231),"")))</f>
        <v>15.2</v>
      </c>
      <c r="DO35" s="12">
        <f>IF('Données projet'!$A$176&gt;35,DO34+DN35-DW34,IF(A35&lt;'Données projet'!$A$176,$DL$205^A35,IF(A35='Données projet'!$A$176,'Données projet'!$B$176,DO34+DN35-DW34)))</f>
        <v>193.40000000000003</v>
      </c>
      <c r="DP35" s="17">
        <f>DO35*VLOOKUP('Données projet'!$B$14,Paramètres!$A$1:$I$89,3,0)*VLOOKUP('Données projet'!$B$14,Paramètres!$A$1:$I$89,5,0)</f>
        <v>141.80088000000003</v>
      </c>
      <c r="DQ35" s="13">
        <f t="shared" si="73"/>
        <v>36.709254421801973</v>
      </c>
      <c r="DR35" s="20">
        <f t="shared" si="16"/>
        <v>310.90515078463847</v>
      </c>
      <c r="DS35" s="59">
        <f t="shared" si="17"/>
        <v>604.23848411797178</v>
      </c>
      <c r="DT35" s="59">
        <f ca="1">AVERAGE(OFFSET($DS$3,0,0,'Données projet'!$E$14+1,1))-AVERAGE(OFFSET($H$3,0,0,'Données projet'!$E$14+1,1))</f>
        <v>296.91321813251051</v>
      </c>
      <c r="DU35" s="59">
        <f t="shared" si="74"/>
        <v>291.0718079639509</v>
      </c>
      <c r="DV35" s="15">
        <f>IF(ISNA(VLOOKUP(A35,'Données projet'!$A$175:$I$195,3,0)),0,VLOOKUP(A35,'Données projet'!$A$175:$I$195,3,0))</f>
        <v>0</v>
      </c>
      <c r="DW35" s="15">
        <f>IF(ISNA(VLOOKUP(A35,'Données projet'!$A$175:$I$195,4,0)),0,VLOOKUP(A35,'Données projet'!$A$175:$I$195,4,0))</f>
        <v>0</v>
      </c>
      <c r="DX35" s="16">
        <f>IF(ISNA(VLOOKUP(A35,'Données projet'!$A$175:$I$195,5,0)),0%,VLOOKUP(A35,'Données projet'!$A$175:$I$195,5,0)*VLOOKUP('Données projet'!$B$14,Paramètres!$A$1:$I$89,7,0))</f>
        <v>0</v>
      </c>
      <c r="DY35" s="16">
        <f>IF(ISNA(VLOOKUP(A35,'Données projet'!$A$175:$I$195,6,0)),0%,VLOOKUP(A35,'Données projet'!$A$175:$I$195,6,0)*VLOOKUP('Données projet'!$B$14,Paramètres!$A$1:$I$89,7,0))</f>
        <v>0</v>
      </c>
      <c r="DZ35" s="16">
        <f>IF(ISNA(VLOOKUP(A35,'Données projet'!$A$175:$I$195,7,0)),0%,VLOOKUP(A35,'Données projet'!$A$175:$I$195,7,0))</f>
        <v>0</v>
      </c>
      <c r="EA35" s="21">
        <f>EXP(-LN(2)/35)*EA34+(1-EXP(-LN(2)/35))/(LN(2)/35)*DW35*DX35*VLOOKUP('Données projet'!$B$14,Paramètres!$A$1:$I$89,3,0)*0.475*44/12</f>
        <v>9.1003163858124587</v>
      </c>
      <c r="EB35" s="21">
        <f>EXP(-LN(2)/25)*EB34+(1-EXP(-LN(2)/25))/(LN(2)/25)*Calculateur!DW35*Calculateur!DY35*VLOOKUP('Données projet'!$B$14,Paramètres!$A$1:$I$89,3,0)*0.475*44/12</f>
        <v>10.694241510643785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19.794557896456244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projet'!$A$201:$I$221,2,0)</f>
        <v>#N/A</v>
      </c>
      <c r="EH35" s="12" t="e">
        <f>VLOOKUP(A35,'Données projet'!$A$201:$I$221,9,0)</f>
        <v>#N/A</v>
      </c>
      <c r="EI35" s="12">
        <f t="array" ref="EI35">INDEX(EH:EH,MIN(IF(ISNUMBER(EH35:EH231),ROW(EH35:EH231),"")))</f>
        <v>10.407692307692306</v>
      </c>
      <c r="EJ35" s="12">
        <f>IF('Données projet'!$A$202&gt;35,EJ34+EI35-ER34,IF(A35&lt;'Données projet'!$A$202,$EG$205^A35,IF(A35='Données projet'!$A$202,'Données projet'!$B$202,EJ34+EI35-ER34)))</f>
        <v>124.09230769230767</v>
      </c>
      <c r="EK35" s="17">
        <f>EJ35*VLOOKUP('Données projet'!$B$15,Paramètres!$A$1:$I$89,3,0)*VLOOKUP('Données projet'!$B$15,Paramètres!$A$1:$I$89,5,0)</f>
        <v>58.075199999999995</v>
      </c>
      <c r="EL35" s="13">
        <f t="shared" si="75"/>
        <v>16.680699544623803</v>
      </c>
      <c r="EM35" s="20">
        <f t="shared" si="19"/>
        <v>130.19985837355313</v>
      </c>
      <c r="EN35" s="59">
        <f t="shared" si="20"/>
        <v>423.53319170688644</v>
      </c>
      <c r="EO35" s="59">
        <f ca="1">AVERAGE(OFFSET($EN$3,0,0,'Données projet'!$E$15+1,1))-AVERAGE(OFFSET($H$3,0,0,'Données projet'!$E$15+1,1))</f>
        <v>147.64256291235483</v>
      </c>
      <c r="EP35" s="59">
        <f t="shared" si="76"/>
        <v>70.859031694091868</v>
      </c>
      <c r="EQ35" s="15">
        <f>IF(ISNA(VLOOKUP(A35,'Données projet'!$A$201:$I$221,3,0)),0,VLOOKUP(A35,'Données projet'!$A$201:$I$221,3,0))</f>
        <v>0</v>
      </c>
      <c r="ER35" s="15">
        <f>IF(ISNA(VLOOKUP(A35,'Données projet'!$A$201:$I$221,4,0)),0,VLOOKUP(A35,'Données projet'!$A$201:$I$221,4,0))</f>
        <v>0</v>
      </c>
      <c r="ES35" s="16">
        <f>IF(ISNA(VLOOKUP(A35,'Données projet'!$A$201:$I$221,5,0)),0%,VLOOKUP(A35,'Données projet'!$A$201:$I$221,5,0)*VLOOKUP('Données projet'!$B$15,Paramètres!$A$1:$I$89,7,0))</f>
        <v>0</v>
      </c>
      <c r="ET35" s="16">
        <f>IF(ISNA(VLOOKUP(A35,'Données projet'!$A$201:$I$221,6,0)),0%,VLOOKUP(A35,'Données projet'!$A$201:$I$221,6,0)*VLOOKUP('Données projet'!$B$15,Paramètres!$A$1:$I$89,7,0))</f>
        <v>0</v>
      </c>
      <c r="EU35" s="16">
        <f>IF(ISNA(VLOOKUP(A35,'Données projet'!$A$201:$I$221,7,0)),0%,VLOOKUP(A35,'Données projet'!$A$201:$I$221,7,0))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projet'!$A$227:$I$247,2,0)</f>
        <v>#N/A</v>
      </c>
      <c r="FC35" s="12" t="e">
        <f>VLOOKUP(A35,'Données projet'!$A$227:$I$247,9,0)</f>
        <v>#N/A</v>
      </c>
      <c r="FD35" s="12">
        <f t="array" ref="FD35">INDEX(FC:FC,MIN(IF(ISNUMBER(FC35:FC231),ROW(FC35:FC231),"")))</f>
        <v>7.2</v>
      </c>
      <c r="FE35" s="12">
        <f>IF('Données projet'!$A$228&gt;35,FE34+FD35-FM34,IF(A35&lt;'Données projet'!$A$228,$FB$205^A35,IF(A35='Données projet'!$A$228,'Données projet'!$B$228,FE34+FD35-FM34)))</f>
        <v>113.4</v>
      </c>
      <c r="FF35" s="17">
        <f>FE35*VLOOKUP('Données projet'!$B$16,Paramètres!$A$1:$I$89,3,0)*VLOOKUP('Données projet'!$B$16,Paramètres!$A$1:$I$89,5,0)</f>
        <v>118.52568000000002</v>
      </c>
      <c r="FG35" s="13">
        <f t="shared" si="77"/>
        <v>31.33089135758231</v>
      </c>
      <c r="FH35" s="20">
        <f t="shared" si="22"/>
        <v>261.00019511445589</v>
      </c>
      <c r="FI35" s="59">
        <f t="shared" si="23"/>
        <v>554.33352844778915</v>
      </c>
      <c r="FJ35" s="59">
        <f ca="1">AVERAGE(OFFSET($FI$3,0,0,'Données projet'!$E$16+1,1))-AVERAGE(OFFSET($H$3,0,0,'Données projet'!$E$16+1,1))</f>
        <v>259.03906550253788</v>
      </c>
      <c r="FK35" s="59">
        <f t="shared" si="78"/>
        <v>235.54542903570831</v>
      </c>
      <c r="FL35" s="15">
        <f>IF(ISNA(VLOOKUP(A35,'Données projet'!$A$227:$I$247,3,0)),0,VLOOKUP(A35,'Données projet'!$A$227:$I$247,3,0))</f>
        <v>0</v>
      </c>
      <c r="FM35" s="15">
        <f>IF(ISNA(VLOOKUP(A35,'Données projet'!$A$227:$I$247,4,0)),0,VLOOKUP(A35,'Données projet'!$A$227:$I$247,4,0))</f>
        <v>0</v>
      </c>
      <c r="FN35" s="16">
        <f>IF(ISNA(VLOOKUP(A35,'Données projet'!$A$227:$I$247,5,0)),0%,VLOOKUP(A35,'Données projet'!$A$227:$I$247,5,0)*VLOOKUP('Données projet'!$B$16,Paramètres!$A$1:$I$89,7,0))</f>
        <v>0</v>
      </c>
      <c r="FO35" s="16">
        <f>IF(ISNA(VLOOKUP(A35,'Données projet'!$A$227:$I$247,6,0)),0%,VLOOKUP(A35,'Données projet'!$A$227:$I$247,6,0)*VLOOKUP('Données projet'!$B$16,Paramètres!$A$1:$I$89,7,0))</f>
        <v>0</v>
      </c>
      <c r="FP35" s="16">
        <f>IF(ISNA(VLOOKUP(A35,'Données projet'!$A$227:$I$247,7,0)),0%,VLOOKUP(A35,'Données projet'!$A$227:$I$247,7,0))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projet'!$A$253:$I$273,2,0)</f>
        <v>#N/A</v>
      </c>
      <c r="FX35" s="12" t="e">
        <f>VLOOKUP(A35,'Données projet'!$A$253:$I$273,9,0)</f>
        <v>#N/A</v>
      </c>
      <c r="FY35" s="12">
        <f t="array" ref="FY35">INDEX(FX:FX,MIN(IF(ISNUMBER(FX35:FX231),ROW(FX35:FX231),"")))</f>
        <v>10.8</v>
      </c>
      <c r="FZ35" s="12">
        <f>IF('Données projet'!$A$254&gt;35,FZ34+FY35-GH34,IF(A35&lt;'Données projet'!$A$254,$FW$205^A35,IF(A35='Données projet'!$A$254,'Données projet'!$B$254,FZ34+FY35-GH34)))</f>
        <v>139.6</v>
      </c>
      <c r="GA35" s="17">
        <f>FZ35*VLOOKUP('Données projet'!$B$17,Paramètres!$A$1:$I$89,3,0)*VLOOKUP('Données projet'!$B$17,Paramètres!$A$1:$I$89,5,0)</f>
        <v>121.95456</v>
      </c>
      <c r="GB35" s="13">
        <f t="shared" si="79"/>
        <v>32.130438767300902</v>
      </c>
      <c r="GC35" s="20">
        <f t="shared" si="25"/>
        <v>268.36470618638242</v>
      </c>
      <c r="GD35" s="59">
        <f t="shared" si="26"/>
        <v>561.69803951971573</v>
      </c>
      <c r="GE35" s="59">
        <f ca="1">AVERAGE(OFFSET($GD$3,0,0,'Données projet'!$E$17+1,1))-AVERAGE(OFFSET($H$3,0,0,'Données projet'!$E$17+1,1))</f>
        <v>245.1983232777614</v>
      </c>
      <c r="GF35" s="59">
        <f t="shared" si="80"/>
        <v>242.34010522344573</v>
      </c>
      <c r="GG35" s="15">
        <f>IF(ISNA(VLOOKUP(A35,'Données projet'!$A$253:$I$273,3,0)),0,VLOOKUP(A35,'Données projet'!$A$253:$I$273,3,0))</f>
        <v>0</v>
      </c>
      <c r="GH35" s="15">
        <f>IF(ISNA(VLOOKUP(A35,'Données projet'!$A$253:$I$273,4,0)),0,VLOOKUP(A35,'Données projet'!$A$253:$I$273,4,0))</f>
        <v>0</v>
      </c>
      <c r="GI35" s="16">
        <f>IF(ISNA(VLOOKUP(A35,'Données projet'!$A$253:$I$273,5,0)),0%,VLOOKUP(A35,'Données projet'!$A$253:$I$273,5,0)*VLOOKUP('Données projet'!$B$17,Paramètres!$A$1:$I$89,7,0))</f>
        <v>0</v>
      </c>
      <c r="GJ35" s="16">
        <f>IF(ISNA(VLOOKUP(A35,'Données projet'!$A$253:$I$273,6,0)),0%,VLOOKUP(A35,'Données projet'!$A$253:$I$273,6,0)*VLOOKUP('Données projet'!$B$17,Paramètres!$A$1:$I$89,7,0))</f>
        <v>0</v>
      </c>
      <c r="GK35" s="16">
        <f>IF(ISNA(VLOOKUP(A35,'Données projet'!$A$253:$I$273,7,0)),0%,VLOOKUP(A35,'Données projet'!$A$253:$I$273,7,0))</f>
        <v>0</v>
      </c>
      <c r="GL35" s="21">
        <f>EXP(-LN(2)/35)*GL34+(1-EXP(-LN(2)/35))/(LN(2)/35)*GH35*GI35*VLOOKUP('Données projet'!$B$17,Paramètres!$A$1:$I$89,3,0)*0.475*44/12</f>
        <v>0.44703806022815051</v>
      </c>
      <c r="GM35" s="21">
        <f>EXP(-LN(2)/25)*GM34+(1-EXP(-LN(2)/25))/(LN(2)/25)*Calculateur!GH35*Calculateur!GJ35*VLOOKUP('Données projet'!$B$17,Paramètres!$A$1:$I$89,3,0)*0.475*44/12</f>
        <v>3.845222980350711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4.292261040578861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projet'!$A$279:$I$299,2,0)</f>
        <v>#N/A</v>
      </c>
      <c r="GS35" s="12" t="e">
        <f>VLOOKUP(A35,'Données projet'!$A$279:$I$299,9,0)</f>
        <v>#N/A</v>
      </c>
      <c r="GT35" s="12">
        <f t="array" ref="GT35">INDEX(GS:GS,MIN(IF(ISNUMBER(GS35:GS231),ROW(GS35:GS231),"")))</f>
        <v>22</v>
      </c>
      <c r="GU35" s="12">
        <f>IF('Données projet'!$A$280&gt;35,GU34+GT35-HC34,IF(A35&lt;'Données projet'!$A$280,$GR$205^A35,IF(A35='Données projet'!$A$280,'Données projet'!$B$280,GU34+GT35-HC34)))</f>
        <v>352.00000000000011</v>
      </c>
      <c r="GV35" s="17">
        <f>GU35*VLOOKUP('Données projet'!$B$18,Paramètres!$A$1:$I$89,3,0)*VLOOKUP('Données projet'!$B$18,Paramètres!$A$1:$I$89,5,0)</f>
        <v>141.85600000000005</v>
      </c>
      <c r="GW35" s="13">
        <f t="shared" si="81"/>
        <v>36.72186258234521</v>
      </c>
      <c r="GX35" s="20">
        <f t="shared" si="28"/>
        <v>311.02311066425131</v>
      </c>
      <c r="GY35" s="59">
        <f t="shared" si="29"/>
        <v>604.35644399758462</v>
      </c>
      <c r="GZ35" s="59">
        <f ca="1">AVERAGE(OFFSET($GY$3,0,0,'Données projet'!$E$18+1,1))-AVERAGE(OFFSET($H$3,0,0,'Données projet'!$E$18+1,1))</f>
        <v>324.36162935850876</v>
      </c>
      <c r="HA35" s="59">
        <f t="shared" si="82"/>
        <v>265.23571072429735</v>
      </c>
      <c r="HB35" s="15">
        <f>IF(ISNA(VLOOKUP(A35,'Données projet'!$A$279:$I$299,3,0)),0,VLOOKUP(A35,'Données projet'!$A$279:$I$299,3,0))</f>
        <v>0</v>
      </c>
      <c r="HC35" s="15">
        <f>IF(ISNA(VLOOKUP(A35,'Données projet'!$A$279:$I$299,4,0)),0,VLOOKUP(A35,'Données projet'!$A$279:$I$299,4,0))</f>
        <v>0</v>
      </c>
      <c r="HD35" s="16">
        <f>IF(ISNA(VLOOKUP(A35,'Données projet'!$A$279:$I$299,5,0)),0%,VLOOKUP(A35,'Données projet'!$A$279:$I$299,5,0)*VLOOKUP('Données projet'!$B$18,Paramètres!$A$1:$I$89,7,0))</f>
        <v>0</v>
      </c>
      <c r="HE35" s="16">
        <f>IF(ISNA(VLOOKUP(A35,'Données projet'!$A$279:$I$299,6,0)),0%,VLOOKUP(A35,'Données projet'!$A$279:$I$299,6,0)*VLOOKUP('Données projet'!$B$18,Paramètres!$A$1:$I$89,7,0))</f>
        <v>0</v>
      </c>
      <c r="HF35" s="16">
        <f>IF(ISNA(VLOOKUP($A35,'Données projet'!$A$279:$I$299,7,0)),0%,VLOOKUP($A35,'Données projet'!$A$279:$I$299,7,0))</f>
        <v>0</v>
      </c>
      <c r="HG35" s="21">
        <f>EXP(-LN(2)/35)*HG34+(1-EXP(-LN(2)/35))/(LN(2)/35)*HC35*HD35*VLOOKUP('Données projet'!$B$18,Paramètres!$A$1:$I$89,3,0)*0.475*44/12</f>
        <v>0</v>
      </c>
      <c r="HH35" s="21">
        <f>EXP(-LN(2)/25)*HH34+(1-EXP(-LN(2)/25))/(LN(2)/25)*Calculateur!HC35*Calculateur!HE35*VLOOKUP('Données projet'!$B$18,Paramètres!$A$1:$I$89,3,0)*0.475*44/12</f>
        <v>2.3853897629800453</v>
      </c>
      <c r="HI35" s="21">
        <f>EXP(-LN(2)/2)*HI34+(1-EXP(-LN(2)/2))/(LN(2)/2)*HC35*HF35*VLOOKUP('Données projet'!$B$18,Paramètres!$A$1:$I$89,3,0)*0.475*44/12</f>
        <v>4.1301945555886821</v>
      </c>
      <c r="HJ35" s="22">
        <f t="shared" si="30"/>
        <v>6.5155843185687274</v>
      </c>
      <c r="HK35" s="74">
        <f>('Scénario référence'!$F$8+'Scénario référence'!$F$9+'Scénario référence'!$B$17+'Scénario référence'!$B$9+'Scénario référence'!$B$10)*70+IF((45+25*(1-EXP(-0.0175*$A35)))&lt;70,'Scénario référence'!$B$16*(45+25*(1-EXP(-0.0175*$A35))),70*'Scénario référence'!$B$16)+IF((32+38*(1-EXP(-0.0175*$A35)))&lt;70,'Scénario référence'!$B$18*(32+38*(1-EXP(-0.0175*$A35))),70*'Scénario référence'!$B$18)</f>
        <v>70</v>
      </c>
      <c r="HL35" s="12">
        <f>IF($A35&gt;30,10,('Scénario référence'!$B$16+'Scénario référence'!$B$17+'Scénario référence'!$B$18+'Scénario référence'!$B$9+'Scénario référence'!$B$10)*$A35*10/30+('Scénario référence'!$F$8+'Scénario référence'!$F$9)*10)</f>
        <v>10</v>
      </c>
      <c r="HM35" s="12" t="e">
        <f>VLOOKUP($A35,'Données projet'!$A$304:$I$324,2,0)</f>
        <v>#N/A</v>
      </c>
      <c r="HN35" s="12" t="e">
        <f>VLOOKUP($A35,'Données projet'!$A$304:$I$324,9,0)</f>
        <v>#N/A</v>
      </c>
      <c r="HO35" s="12">
        <f t="array" ref="HO35">INDEX(HN:HN,MIN(IF(ISNUMBER(HN35:HN231),ROW(HN35:HN231),"")))</f>
        <v>0</v>
      </c>
      <c r="HP35" s="12">
        <f>IF('Données projet'!$A$304&gt;35,HP34+HO35-HX34,IF($A35&lt;'Données projet'!$A$304,$CQ$205^$A35,IF($A35='Données projet'!$A$304,'Données projet'!$B$304,HP34+HO35-HX34)))</f>
        <v>0</v>
      </c>
      <c r="HQ35" s="17">
        <f>HP35*VLOOKUP('Données projet'!$B$19,Paramètres!$A$1:$I$89,3,0)*VLOOKUP('Données projet'!$B$19,Paramètres!$A$1:$I$89,5,0)</f>
        <v>0</v>
      </c>
      <c r="HR35" s="13" t="e">
        <f t="shared" si="83"/>
        <v>#NUM!</v>
      </c>
      <c r="HS35" s="14" t="e">
        <f t="shared" si="31"/>
        <v>#NUM!</v>
      </c>
      <c r="HT35" s="59" t="e">
        <f t="shared" si="32"/>
        <v>#NUM!</v>
      </c>
      <c r="HU35" s="59">
        <f ca="1">AVERAGE(OFFSET(HT$3,0,0,'Données projet'!$E$19+1,1))-AVERAGE(OFFSET($H$3,0,0,'Données projet'!$E$19+1,1))</f>
        <v>91.60721429656013</v>
      </c>
      <c r="HV35" s="59">
        <f t="shared" si="84"/>
        <v>258.94957804210856</v>
      </c>
      <c r="HW35" s="15">
        <f>IF(ISNA(VLOOKUP($A35,'Données projet'!$A$304:$I$324,3,0)),0,VLOOKUP($A35,'Données projet'!$A$304:$I$324,3,0))</f>
        <v>0</v>
      </c>
      <c r="HX35" s="15">
        <f>IF(ISNA(VLOOKUP($A35,'Données projet'!$A$304:$I$324,4,0)),0,VLOOKUP($A35,'Données projet'!$A$304:$I$324,4,0))</f>
        <v>0</v>
      </c>
      <c r="HY35" s="16">
        <f>IF(ISNA(VLOOKUP($A35,'Données projet'!$A$304:$I$324,5,0)),0%,VLOOKUP($A35,'Données projet'!$A$304:$I$324,5,0)*VLOOKUP('Données projet'!$B$19,Paramètres!$A$1:$I$89,7,0))</f>
        <v>0</v>
      </c>
      <c r="HZ35" s="16">
        <f>IF(ISNA(VLOOKUP($A35,'Données projet'!$A$304:$I$324,6,0)),0%,VLOOKUP($A35,'Données projet'!$A$304:$I$324,6,0)*VLOOKUP('Données projet'!$B$19,Paramètres!$A$1:$I$89,7,0))</f>
        <v>0</v>
      </c>
      <c r="IA35" s="16">
        <f>IF(ISNA(VLOOKUP($A35,'Données projet'!$A$304:$I$324,7,0)),0%,VLOOKUP($A35,'Données projet'!$A$304:$I$324,7,0))</f>
        <v>0</v>
      </c>
      <c r="IB35" s="21">
        <f>EXP(-LN(2)/35)*IB34+(1-EXP(-LN(2)/35))/(LN(2)/35)*HX35*HY35*VLOOKUP('Données projet'!$B$19,Paramètres!$A$1:$I$89,3,0)*0.475*44/12</f>
        <v>47.416906029618936</v>
      </c>
      <c r="IC35" s="21">
        <f>EXP(-LN(2)/25)*IC34+(1-EXP(-LN(2)/25))/(LN(2)/25)*Calculateur!HX35*Calculateur!HZ35*VLOOKUP('Données projet'!$B$19,Paramètres!$A$1:$I$89,3,0)*0.475*44/12</f>
        <v>9.2029902072187042</v>
      </c>
      <c r="ID35" s="21">
        <f>EXP(-LN(2)/2)*ID34+(1-EXP(-LN(2)/2))/(LN(2)/2)*HX35*IA35*VLOOKUP('Données projet'!$B$19,Paramètres!$A$1:$I$89,3,0)*0.475*44/12</f>
        <v>0.28642615587198877</v>
      </c>
      <c r="IE35" s="22">
        <f t="shared" si="33"/>
        <v>56.906322392709626</v>
      </c>
      <c r="IF35" s="74">
        <f>('Scénario référence'!$F$8+'Scénario référence'!$F$9+'Scénario référence'!$B$17+'Scénario référence'!$B$9+'Scénario référence'!$B$10)*70+IF((45+25*(1-EXP(-0.0175*$A35)))&lt;70,'Scénario référence'!$B$16*(45+25*(1-EXP(-0.0175*$A35))),70*'Scénario référence'!$B$16)+IF((32+38*(1-EXP(-0.0175*$A35)))&lt;70,'Scénario référence'!$B$18*(32+38*(1-EXP(-0.0175*$A35))),70*'Scénario référence'!$B$18)</f>
        <v>70</v>
      </c>
      <c r="IG35" s="12">
        <f>IF($A35&gt;30,10,('Scénario référence'!$B$16+'Scénario référence'!$B$17+'Scénario référence'!$B$18+'Scénario référence'!$B$9+'Scénario référence'!$B$10)*$A35*10/30+('Scénario référence'!$F$8+'Scénario référence'!$F$9)*10)</f>
        <v>10</v>
      </c>
      <c r="IH35" s="12" t="e">
        <f>VLOOKUP($A35,'Données projet'!$A$330:$I$350,2,0)</f>
        <v>#N/A</v>
      </c>
      <c r="II35" s="12" t="e">
        <f>VLOOKUP($A35,'Données projet'!$A$330:$I$350,9,0)</f>
        <v>#N/A</v>
      </c>
      <c r="IJ35" s="12">
        <f t="array" ref="IJ35">INDEX(II:II,MIN(IF(ISNUMBER(II35:II231),ROW(II35:II231),"")))</f>
        <v>0</v>
      </c>
      <c r="IK35" s="12">
        <f>IF('Données projet'!$A$330&gt;35,IK34+IJ35-IS34,IF($A35&lt;'Données projet'!$A$330,$CQ$205^$A35,IF($A35='Données projet'!$A$330,'Données projet'!$B$330,IK34+IJ35-IS34)))</f>
        <v>0</v>
      </c>
      <c r="IL35" s="17">
        <f>IK35*VLOOKUP('Données projet'!$B$20,Paramètres!$A$1:$I$89,3,0)*VLOOKUP('Données projet'!$B$20,Paramètres!$A$1:$I$89,5,0)</f>
        <v>0</v>
      </c>
      <c r="IM35" s="13" t="e">
        <f t="shared" si="85"/>
        <v>#NUM!</v>
      </c>
      <c r="IN35" s="20" t="e">
        <f t="shared" si="86"/>
        <v>#NUM!</v>
      </c>
      <c r="IO35" s="59" t="e">
        <f t="shared" si="87"/>
        <v>#NUM!</v>
      </c>
      <c r="IP35" s="59">
        <f ca="1">AVERAGE(OFFSET(IO$3,0,0,'Données projet'!$E$20+1,1))-AVERAGE(OFFSET($H$3,0,0,'Données projet'!$E$20+1,1))</f>
        <v>91.60721429656013</v>
      </c>
      <c r="IQ35" s="59">
        <f t="shared" si="88"/>
        <v>258.94957804210856</v>
      </c>
      <c r="IR35" s="15">
        <f>IF(ISNA(VLOOKUP($A35,'Données projet'!$A$330:$I$350,3,0)),0,VLOOKUP($A35,'Données projet'!$A$330:$I$350,3,0))</f>
        <v>0</v>
      </c>
      <c r="IS35" s="15">
        <f>IF(ISNA(VLOOKUP($A35,'Données projet'!$A$330:$I$350,4,0)),0,VLOOKUP($A35,'Données projet'!$A$330:$I$350,4,0))</f>
        <v>0</v>
      </c>
      <c r="IT35" s="16">
        <f>IF(ISNA(VLOOKUP($A35,'Données projet'!$A$330:$I$350,5,0)),0%,VLOOKUP($A35,'Données projet'!$A$330:$I$350,5,0)*VLOOKUP('Données projet'!$B$20,Paramètres!$A$1:$I$89,7,0))</f>
        <v>0</v>
      </c>
      <c r="IU35" s="16">
        <f>IF(ISNA(VLOOKUP($A35,'Données projet'!$A$330:$I$350,6,0)),0%,VLOOKUP($A35,'Données projet'!$A$330:$I$350,6,0)*VLOOKUP('Données projet'!$B$20,Paramètres!$A$1:$I$89,7,0))</f>
        <v>0</v>
      </c>
      <c r="IV35" s="16">
        <f>IF(ISNA(VLOOKUP($A35,'Données projet'!$A$330:$I$350,7,0)),0%,VLOOKUP($A35,'Données projet'!$A$330:$I$350,7,0))</f>
        <v>0</v>
      </c>
      <c r="IW35" s="21">
        <f>EXP(-LN(2)/35)*IW34+(1-EXP(-LN(2)/35))/(LN(2)/35)*IS35*IT35*VLOOKUP('Données projet'!$B$20,Paramètres!$A$1:$I$89,3,0)*0.475*44/12</f>
        <v>47.416906029618936</v>
      </c>
      <c r="IX35" s="21">
        <f>EXP(-LN(2)/25)*IX34+(1-EXP(-LN(2)/25))/(LN(2)/25)*Calculateur!IS35*Calculateur!IU35*VLOOKUP('Données projet'!$B$20,Paramètres!$A$1:$I$89,3,0)*0.475*44/12</f>
        <v>9.2029902072187042</v>
      </c>
      <c r="IY35" s="21">
        <f>EXP(-LN(2)/2)*IY34+(1-EXP(-LN(2)/2))/(LN(2)/2)*IS35*IV35*VLOOKUP('Données projet'!$B$20,Paramètres!$A$1:$I$89,3,0)*0.475*44/12</f>
        <v>0.28642615587198877</v>
      </c>
      <c r="IZ35" s="22">
        <f t="shared" si="89"/>
        <v>56.906322392709626</v>
      </c>
      <c r="JA35" s="74">
        <f>('Scénario référence'!$F$8+'Scénario référence'!$F$9+'Scénario référence'!$B$17+'Scénario référence'!$B$9+'Scénario référence'!$B$10)*70+IF((45+25*(1-EXP(-0.0175*$A35)))&lt;70,'Scénario référence'!$B$16*(45+25*(1-EXP(-0.0175*$A35))),70*'Scénario référence'!$B$16)+IF((32+38*(1-EXP(-0.0175*$A35)))&lt;70,'Scénario référence'!$B$18*(32+38*(1-EXP(-0.0175*$A35))),70*'Scénario référence'!$B$18)</f>
        <v>70</v>
      </c>
      <c r="JB35" s="12">
        <f>IF($A35&gt;30,10,('Scénario référence'!$B$16+'Scénario référence'!$B$17+'Scénario référence'!$B$18+'Scénario référence'!$B$9+'Scénario référence'!$B$10)*$A35*10/30+('Scénario référence'!$F$8+'Scénario référence'!$F$9)*10)</f>
        <v>10</v>
      </c>
      <c r="JC35" s="12" t="e">
        <f>VLOOKUP($A35,'Données projet'!$A$356:$I$376,2,0)</f>
        <v>#N/A</v>
      </c>
      <c r="JD35" s="12" t="e">
        <f>VLOOKUP($A35,'Données projet'!$A$356:$I$376,9,0)</f>
        <v>#N/A</v>
      </c>
      <c r="JE35" s="12">
        <f t="array" ref="JE35">INDEX(JD:JD,MIN(IF(ISNUMBER(JD35:JD231),ROW(JD35:JD231),"")))</f>
        <v>-9.8000000000000007</v>
      </c>
      <c r="JF35" s="12">
        <f>IF('Données projet'!$A$356&gt;35,JF34+JE35-JN34,IF($A35&lt;'Données projet'!$A$356,$CQ$205^$A35,IF($A35='Données projet'!$A$356,'Données projet'!$B$356,JF34+JE35-JN34)))</f>
        <v>68.400000000000048</v>
      </c>
      <c r="JG35" s="17">
        <f>JF35*VLOOKUP('Données projet'!$B$21,Paramètres!$A$1:$I$89,3,0)*VLOOKUP('Données projet'!$B$21,Paramètres!$A$1:$I$89,5,0)</f>
        <v>55.486080000000044</v>
      </c>
      <c r="JH35" s="13">
        <f t="shared" si="90"/>
        <v>16.021865657934274</v>
      </c>
      <c r="JI35" s="20">
        <f t="shared" si="91"/>
        <v>124.5430053542356</v>
      </c>
      <c r="JJ35" s="59">
        <f t="shared" si="92"/>
        <v>417.87633868756893</v>
      </c>
      <c r="JK35" s="59">
        <f ca="1">AVERAGE(OFFSET($JJ$3,0,0,'Données projet'!$E$22+1,1))-AVERAGE(OFFSET($H$3,0,0,'Données projet'!$E$22+1,1))</f>
        <v>353.35574633294613</v>
      </c>
      <c r="JL35" s="59">
        <f t="shared" si="93"/>
        <v>170.36796666474726</v>
      </c>
      <c r="JM35" s="15">
        <f>IF(ISNA(VLOOKUP($A35,'Données projet'!$A$356:$I$376,3,0)),0,VLOOKUP($A35,'Données projet'!$A$356:$I$376,3,0))</f>
        <v>0</v>
      </c>
      <c r="JN35" s="15">
        <f>IF(ISNA(VLOOKUP($A35,'Données projet'!$A$356:$I$376,4,0)),0,VLOOKUP($A35,'Données projet'!$A$356:$I$376,4,0))</f>
        <v>0</v>
      </c>
      <c r="JO35" s="16">
        <f>IF(ISNA(VLOOKUP($A35,'Données projet'!$A$356:$I$376,5,0)),0%,VLOOKUP($A35,'Données projet'!$A$356:$I$376,5,0)*VLOOKUP('Données projet'!$B$21,Paramètres!$A$1:$I$89,7,0))</f>
        <v>0</v>
      </c>
      <c r="JP35" s="16">
        <f>IF(ISNA(VLOOKUP($A35,'Données projet'!$A$356:$I$376,6,0)),0%,VLOOKUP($A35,'Données projet'!$A$356:$I$376,6,0)*VLOOKUP('Données projet'!$B$21,Paramètres!$A$1:$I$89,7,0))</f>
        <v>0</v>
      </c>
      <c r="JQ35" s="16">
        <f>IF(ISNA(VLOOKUP($A35,'Données projet'!$A$356:$I$376,7,0)),0%,VLOOKUP($A35,'Données projet'!$A$356:$I$376,7,0))</f>
        <v>0</v>
      </c>
      <c r="JR35" s="21">
        <f>EXP(-LN(2)/35)*JR34+(1-EXP(-LN(2)/35))/(LN(2)/35)*JN35*JO35*VLOOKUP('Données projet'!$B$21,Paramètres!$A$1:$I$89,3,0)*0.475*44/12</f>
        <v>0</v>
      </c>
      <c r="JS35" s="21">
        <f>EXP(-LN(2)/25)*JS34+(1-EXP(-LN(2)/25))/(LN(2)/25)*Calculateur!JN35*Calculateur!JP35*VLOOKUP('Données projet'!$B$21,Paramètres!$A$1:$I$89,3,0)*0.475*44/12</f>
        <v>0</v>
      </c>
      <c r="JT35" s="21">
        <f>EXP(-LN(2)/2)*JT34+(1-EXP(-LN(2)/2))/(LN(2)/2)*JN35*JQ35*VLOOKUP('Données projet'!$B$21,Paramètres!$A$1:$I$89,3,0)*0.475*44/12</f>
        <v>3.2146339391371423</v>
      </c>
      <c r="JU35" s="18">
        <f t="shared" si="39"/>
        <v>3.2146339391371423</v>
      </c>
      <c r="JV35" s="74">
        <f>('Scénario référence'!$F$8+'Scénario référence'!$F$9+'Scénario référence'!$B$17+'Scénario référence'!$B$9+'Scénario référence'!$B$10)*70+IF((45+25*(1-EXP(-0.0175*$A35)))&lt;70,'Scénario référence'!$B$16*(45+25*(1-EXP(-0.0175*$A35))),70*'Scénario référence'!$B$16)+IF((32+38*(1-EXP(-0.0175*$A35)))&lt;70,'Scénario référence'!$B$18*(32+38*(1-EXP(-0.0175*$A35))),70*'Scénario référence'!$B$18)</f>
        <v>70</v>
      </c>
      <c r="JW35" s="12">
        <f>IF($A35&gt;30,10,('Scénario référence'!$B$16+'Scénario référence'!$B$17+'Scénario référence'!$B$18+'Scénario référence'!$B$9+'Scénario référence'!$B$10)*$A35*10/30+('Scénario référence'!$F$8+'Scénario référence'!$F$9)*10)</f>
        <v>10</v>
      </c>
      <c r="JX35" s="12" t="e">
        <f>VLOOKUP($A35,'Données projet'!$A$382:$I$402,2,0)</f>
        <v>#N/A</v>
      </c>
      <c r="JY35" s="12" t="e">
        <f>VLOOKUP($A35,'Données projet'!$A$382:$I$402,9,0)</f>
        <v>#N/A</v>
      </c>
      <c r="JZ35" s="12">
        <f t="array" ref="JZ35">INDEX(JY:JY,MIN(IF(ISNUMBER(JY35:JY231),ROW(JY35:JY231),"")))</f>
        <v>8.0564102564102633</v>
      </c>
      <c r="KA35" s="12">
        <f>IF('Données projet'!$A$382&gt;35,KA34+JZ35-KI34,IF($A35&lt;'Données projet'!$A$382,$CQ$205^$A35,IF($A35='Données projet'!$A$382,'Données projet'!$B$382,KA34+JZ35-KI34)))</f>
        <v>137.99743589743585</v>
      </c>
      <c r="KB35" s="17">
        <f>KA35*VLOOKUP('Données projet'!$B$22,Paramètres!$A$1:$I$89,3,0)*VLOOKUP('Données projet'!$B$22,Paramètres!$A$1:$I$89,5,0)</f>
        <v>92.568679999999972</v>
      </c>
      <c r="KC35" s="13">
        <f t="shared" si="94"/>
        <v>25.183710478421006</v>
      </c>
      <c r="KD35" s="20">
        <f t="shared" si="95"/>
        <v>205.08541341658318</v>
      </c>
      <c r="KE35" s="59">
        <f t="shared" si="96"/>
        <v>498.41874674991652</v>
      </c>
      <c r="KF35" s="59">
        <f ca="1">AVERAGE(OFFSET($KE$3,0,0,'Données projet'!$E$22+1,1))-AVERAGE(OFFSET($H$3,0,0,'Données projet'!$E$22+1,1))</f>
        <v>193.91714772848269</v>
      </c>
      <c r="KG35" s="59">
        <f t="shared" si="97"/>
        <v>159.20429420478047</v>
      </c>
      <c r="KH35" s="15">
        <f>IF(ISNA(VLOOKUP($A35,'Données projet'!$A$382:$I$402,3,0)),0,VLOOKUP($A35,'Données projet'!$A$382:$I$402,3,0))</f>
        <v>0</v>
      </c>
      <c r="KI35" s="15">
        <f>IF(ISNA(VLOOKUP($A35,'Données projet'!$A$382:$I$402,4,0)),0,VLOOKUP($A35,'Données projet'!$A$382:$I$402,4,0))</f>
        <v>0</v>
      </c>
      <c r="KJ35" s="16">
        <f>IF(ISNA(VLOOKUP($A35,'Données projet'!$A$382:$I$402,5,0)),0%,VLOOKUP($A35,'Données projet'!$A$382:$I$402,5,0)*VLOOKUP('Données projet'!$B$22,Paramètres!$A$1:$I$89,7,0))</f>
        <v>0</v>
      </c>
      <c r="KK35" s="16">
        <f>IF(ISNA(VLOOKUP($A35,'Données projet'!$A$382:$I$402,6,0)),0%,VLOOKUP($A35,'Données projet'!$A$382:$I$402,6,0)*VLOOKUP('Données projet'!$B$22,Paramètres!$A$1:$I$89,7,0))</f>
        <v>0</v>
      </c>
      <c r="KL35" s="16">
        <f>IF(ISNA(VLOOKUP($A35,'Données projet'!$A$382:$I$402,7,0)),0%,VLOOKUP($A35,'Données projet'!$A$382:$I$402,7,0))</f>
        <v>0</v>
      </c>
      <c r="KM35" s="21">
        <f>EXP(-LN(2)/35)*KM34+(1-EXP(-LN(2)/35))/(LN(2)/35)*KI35*KJ35*VLOOKUP('Données projet'!$B$22,Paramètres!$A$1:$I$89,3,0)*0.475*44/12</f>
        <v>0</v>
      </c>
      <c r="KN35" s="21">
        <f>EXP(-LN(2)/25)*KN34+(1-EXP(-LN(2)/25))/(LN(2)/25)*Calculateur!KI35*Calculateur!KK35*VLOOKUP('Données projet'!$B$22,Paramètres!$A$1:$I$89,3,0)*0.475*44/12</f>
        <v>0</v>
      </c>
      <c r="KO35" s="21">
        <f>EXP(-LN(2)/2)*KO34+(1-EXP(-LN(2)/2))/(LN(2)/2)*KI35*KL35*VLOOKUP('Données projet'!$B$22,Paramètres!$A$1:$I$89,3,0)*0.475*44/12</f>
        <v>0</v>
      </c>
      <c r="KP35" s="22">
        <f t="shared" si="98"/>
        <v>0</v>
      </c>
      <c r="KQ35" s="74">
        <f>('Scénario référence'!$F$8+'Scénario référence'!$F$9+'Scénario référence'!$B$17+'Scénario référence'!$B$9+'Scénario référence'!$B$10)*70+IF((45+25*(1-EXP(-0.0175*$A35)))&lt;70,'Scénario référence'!$B$16*(45+25*(1-EXP(-0.0175*$A35))),70*'Scénario référence'!$B$16)+IF((32+38*(1-EXP(-0.0175*$A35)))&lt;70,'Scénario référence'!$B$18*(32+38*(1-EXP(-0.0175*$A35))),70*'Scénario référence'!$B$18)</f>
        <v>70</v>
      </c>
      <c r="KR35" s="12">
        <f>IF($A35&gt;30,10,('Scénario référence'!$B$16+'Scénario référence'!$B$17+'Scénario référence'!$B$18+'Scénario référence'!$B$9+'Scénario référence'!$B$10)*$A35*10/30+('Scénario référence'!$F$8+'Scénario référence'!$F$9)*10)</f>
        <v>10</v>
      </c>
      <c r="KS35" s="12" t="e">
        <f>VLOOKUP($A35,'Données projet'!$A$408:$I$428,2,0)</f>
        <v>#N/A</v>
      </c>
      <c r="KT35" s="12" t="e">
        <f>VLOOKUP($A35,'Données projet'!$A$408:$I$428,9,0)</f>
        <v>#N/A</v>
      </c>
      <c r="KU35" s="12">
        <f t="array" ref="KU35">INDEX(KT:KT,MIN(IF(ISNUMBER(KT35:KT231),ROW(KT35:KT231),"")))</f>
        <v>10.8</v>
      </c>
      <c r="KV35" s="12">
        <f>IF('Données projet'!$A$408&gt;35,KV34+KU35-LD34,IF($A35&lt;'Données projet'!$A$408,$CQ$205^$A35,IF($A35='Données projet'!$A$408,'Données projet'!$B$408,KV34+KU35-LD34)))</f>
        <v>139.60000000000002</v>
      </c>
      <c r="KW35" s="17">
        <f>KV35*VLOOKUP('Données projet'!$B$23,Paramètres!$A$1:$I$89,3,0)*VLOOKUP('Données projet'!$B$23,Paramètres!$A$1:$I$89,5,0)</f>
        <v>121.95456000000003</v>
      </c>
      <c r="KX35" s="13">
        <f t="shared" si="99"/>
        <v>32.130438767300902</v>
      </c>
      <c r="KY35" s="14">
        <f t="shared" si="43"/>
        <v>268.36470618638242</v>
      </c>
      <c r="KZ35" s="59">
        <f t="shared" si="44"/>
        <v>561.69803951971573</v>
      </c>
      <c r="LA35" s="59">
        <f ca="1">AVERAGE(OFFSET($KZ$3,0,0,'Données projet'!$E$23+1,1))-AVERAGE(OFFSET($H$3,0,0,'Données projet'!$E$23+1,1))</f>
        <v>248.33596943633819</v>
      </c>
      <c r="LB35" s="59">
        <f t="shared" si="100"/>
        <v>242.34010522344573</v>
      </c>
      <c r="LC35" s="15">
        <f>IF(ISNA(VLOOKUP($A35,'Données projet'!$A$408:$I$428,3,0)),0,VLOOKUP($A35,'Données projet'!$A$408:$I$428,3,0))</f>
        <v>0</v>
      </c>
      <c r="LD35" s="15">
        <f>IF(ISNA(VLOOKUP($A35,'Données projet'!$A$408:$I$428,4,0)),0,VLOOKUP($A35,'Données projet'!$A$408:$I$428,4,0))</f>
        <v>0</v>
      </c>
      <c r="LE35" s="16">
        <f>IF(ISNA(VLOOKUP($A35,'Données projet'!$A$408:$I$428,5,0)),0%,VLOOKUP($A35,'Données projet'!$A$408:$I$428,5,0)*VLOOKUP('Données projet'!$B$23,Paramètres!$A$1:$I$89,7,0))</f>
        <v>0</v>
      </c>
      <c r="LF35" s="16">
        <f>IF(ISNA(VLOOKUP($A35,'Données projet'!$A$408:$I$428,6,0)),0%,VLOOKUP($A35,'Données projet'!$A$408:$I$428,6,0)*VLOOKUP('Données projet'!$B$23,Paramètres!$A$1:$I$89,7,0))</f>
        <v>0</v>
      </c>
      <c r="LG35" s="16">
        <f>IF(ISNA(VLOOKUP($A35,'Données projet'!$A$408:$I$428,7,0)),0%,VLOOKUP($A35,'Données projet'!$A$408:$I$428,7,0))</f>
        <v>0</v>
      </c>
      <c r="LH35" s="21">
        <f>EXP(-LN(2)/35)*LH34+(1-EXP(-LN(2)/35))/(LN(2)/35)*LD35*LE35*VLOOKUP('Données projet'!$B$23,Paramètres!$A$1:$I$89,3,0)*0.475*44/12</f>
        <v>0.44703806022815051</v>
      </c>
      <c r="LI35" s="21">
        <f>EXP(-LN(2)/25)*LI34+(1-EXP(-LN(2)/25))/(LN(2)/25)*Calculateur!LD35*Calculateur!LF35*VLOOKUP('Données projet'!$B$23,Paramètres!$A$1:$I$89,3,0)*0.475*44/12</f>
        <v>3.845222980350711</v>
      </c>
      <c r="LJ35" s="21">
        <f>EXP(-LN(2)/2)*LJ34+(1-EXP(-LN(2)/2))/(LN(2)/2)*LD35*LG35*VLOOKUP('Données projet'!$B$23,Paramètres!$A$1:$I$89,3,0)*0.475*44/12</f>
        <v>0</v>
      </c>
      <c r="LK35" s="22">
        <f t="shared" si="101"/>
        <v>4.292261040578861</v>
      </c>
      <c r="LL35" s="74">
        <f>('Scénario référence'!$F$8+'Scénario référence'!$F$9+'Scénario référence'!$B$17+'Scénario référence'!$B$9+'Scénario référence'!$B$10)*70+IF((45+25*(1-EXP(-0.0175*$A35)))&lt;70,'Scénario référence'!$B$16*(45+25*(1-EXP(-0.0175*$A35))),70*'Scénario référence'!$B$16)+IF((32+38*(1-EXP(-0.0175*$A35)))&lt;70,'Scénario référence'!$B$18*(32+38*(1-EXP(-0.0175*$A35))),70*'Scénario référence'!$B$18)</f>
        <v>70</v>
      </c>
      <c r="LM35" s="12">
        <f>IF($A35&gt;30,10,('Scénario référence'!$B$16+'Scénario référence'!$B$17+'Scénario référence'!$B$18+'Scénario référence'!$B$9+'Scénario référence'!$B$10)*$A35*10/30+('Scénario référence'!$F$8+'Scénario référence'!$F$9)*10)</f>
        <v>10</v>
      </c>
      <c r="LN35" s="12" t="e">
        <f>VLOOKUP($A35,'Données projet'!$A$434:$I$454,2,0)</f>
        <v>#N/A</v>
      </c>
      <c r="LO35" s="12" t="e">
        <f>VLOOKUP($A35,'Données projet'!$A$434:$I$454,9,0)</f>
        <v>#N/A</v>
      </c>
      <c r="LP35" s="12">
        <f t="array" ref="LP35">INDEX(LO:LO,MIN(IF(ISNUMBER(LO35:LO231),ROW(LO35:LO231),"")))</f>
        <v>5.3369963369963358</v>
      </c>
      <c r="LQ35" s="12">
        <f>IF('Données projet'!$A$434&gt;35,LQ34+LP35-LY34,IF($A35&lt;'Données projet'!$A$434,$CQ$205^$A35,IF($A35='Données projet'!$A$434,'Données projet'!$B$434,LQ34+LP35-LY34)))</f>
        <v>98.37912087912089</v>
      </c>
      <c r="LR35" s="17">
        <f>LQ35*VLOOKUP('Données projet'!$B$24,Paramètres!$A$1:$I$89,3,0)*VLOOKUP('Données projet'!$B$24,Paramètres!$A$1:$I$89,5,0)</f>
        <v>99.7564285714286</v>
      </c>
      <c r="LS35" s="13">
        <f t="shared" si="102"/>
        <v>26.903961780895703</v>
      </c>
      <c r="LT35" s="14">
        <f t="shared" si="46"/>
        <v>220.6001798636315</v>
      </c>
      <c r="LU35" s="59">
        <f t="shared" si="103"/>
        <v>513.93351319696478</v>
      </c>
      <c r="LV35" s="59">
        <f ca="1">AVERAGE(OFFSET($LU$3,0,0,'Données projet'!$E$24+1,1))-AVERAGE(OFFSET($H$3,0,0,'Données projet'!$E$24+1,1))</f>
        <v>260.52627655062872</v>
      </c>
      <c r="LW35" s="59">
        <f t="shared" si="104"/>
        <v>159.20429420478047</v>
      </c>
      <c r="LX35" s="15">
        <f>IF(ISNA(VLOOKUP($A35,'Données projet'!$A$434:$I$454,3,0)),0,VLOOKUP($A35,'Données projet'!$A$434:$I$454,3,0))</f>
        <v>0</v>
      </c>
      <c r="LY35" s="15">
        <f>IF(ISNA(VLOOKUP($A35,'Données projet'!$A$434:$I$454,4,0)),0,VLOOKUP($A35,'Données projet'!$A$434:$I$454,4,0))</f>
        <v>0</v>
      </c>
      <c r="LZ35" s="16">
        <f>IF(ISNA(VLOOKUP($A35,'Données projet'!$A$434:$I$454,5,0)),0%,VLOOKUP($A35,'Données projet'!$A$434:$I$454,5,0)*VLOOKUP('Données projet'!$B$24,Paramètres!$A$1:$I$89,7,0))</f>
        <v>0</v>
      </c>
      <c r="MA35" s="16">
        <f>IF(ISNA(VLOOKUP($A35,'Données projet'!$A$434:$I$454,6,0)),0%,VLOOKUP($A35,'Données projet'!$A$434:$I$454,6,0)*VLOOKUP('Données projet'!$B$24,Paramètres!$A$1:$I$89,7,0))</f>
        <v>0</v>
      </c>
      <c r="MB35" s="16">
        <f>IF(ISNA(VLOOKUP($A35,'Données projet'!$A$434:$I$454,7,0)),0%,VLOOKUP($A35,'Données projet'!$A$434:$I$454,7,0))</f>
        <v>0</v>
      </c>
      <c r="MC35" s="21">
        <f>EXP(-LN(2)/35)*MC34+(1-EXP(-LN(2)/35))/(LN(2)/35)*LY35*LZ35*VLOOKUP('Données projet'!$B$24,Paramètres!$A$1:$I$89,3,0)*0.475*44/12</f>
        <v>0</v>
      </c>
      <c r="MD35" s="21">
        <f>EXP(-LN(2)/25)*MD34+(1-EXP(-LN(2)/25))/(LN(2)/25)*Calculateur!LY35*Calculateur!MA35*VLOOKUP('Données projet'!$B$24,Paramètres!$A$1:$I$89,3,0)*0.475*44/12</f>
        <v>0</v>
      </c>
      <c r="ME35" s="21">
        <f>EXP(-LN(2)/2)*ME34+(1-EXP(-LN(2)/2))/(LN(2)/2)*LY35*MB35*VLOOKUP('Données projet'!$B$24,Paramètres!$A$1:$I$89,3,0)*0.475*44/12</f>
        <v>0</v>
      </c>
      <c r="MF35" s="22">
        <f t="shared" si="105"/>
        <v>0</v>
      </c>
      <c r="MG35" s="74">
        <f>('Scénario référence'!$F$8+'Scénario référence'!$F$9+'Scénario référence'!$B$17+'Scénario référence'!$B$9+'Scénario référence'!$B$10)*70+IF((45+25*(1-EXP(-0.0175*$A35)))&lt;70,'Scénario référence'!$B$16*(45+25*(1-EXP(-0.0175*$A35))),70*'Scénario référence'!$B$16)+IF((32+38*(1-EXP(-0.0175*$A35)))&lt;70,'Scénario référence'!$B$18*(32+38*(1-EXP(-0.0175*$A35))),70*'Scénario référence'!$B$18)</f>
        <v>70</v>
      </c>
      <c r="MH35" s="12">
        <f>IF($A35&gt;30,10,('Scénario référence'!$B$16+'Scénario référence'!$B$17+'Scénario référence'!$B$18+'Scénario référence'!$B$9+'Scénario référence'!$B$10)*$A35*10/30+('Scénario référence'!$F$8+'Scénario référence'!$F$9)*10)</f>
        <v>10</v>
      </c>
      <c r="MI35" s="12" t="e">
        <f>VLOOKUP($A35,'Données projet'!$A$460:$I$480,2,0)</f>
        <v>#N/A</v>
      </c>
      <c r="MJ35" s="12" t="e">
        <f>VLOOKUP($A35,'Données projet'!$A$460:$I$480,9,0)</f>
        <v>#N/A</v>
      </c>
      <c r="MK35" s="12">
        <f t="array" ref="MK35">INDEX(MJ:MJ,MIN(IF(ISNUMBER(MJ35:MJ231),ROW(MJ35:MJ231),"")))</f>
        <v>0</v>
      </c>
      <c r="ML35" s="12">
        <f>IF('Données projet'!$A$460&gt;35,ML34+MK35-MT34,IF($A35&lt;'Données projet'!$A$460,$CQ$205^$A35,IF($A35='Données projet'!$A$460,'Données projet'!$B$460,ML34+MK35-MT34)))</f>
        <v>0</v>
      </c>
      <c r="MM35" s="17" t="e">
        <f>ML35*VLOOKUP('Données projet'!$B$25,Paramètres!$A$1:$I$89,3,0)*VLOOKUP('Données projet'!$B$25,Paramètres!$A$1:$I$89,5,0)</f>
        <v>#N/A</v>
      </c>
      <c r="MN35" s="13" t="e">
        <f t="shared" si="106"/>
        <v>#N/A</v>
      </c>
      <c r="MO35" s="14" t="e">
        <f t="shared" si="49"/>
        <v>#N/A</v>
      </c>
      <c r="MP35" s="59" t="e">
        <f t="shared" si="50"/>
        <v>#N/A</v>
      </c>
      <c r="MQ35" s="20" t="e">
        <f ca="1">AVERAGE(OFFSET($MP$3,0,0,'Données projet'!$E$25+1,1))-AVERAGE(OFFSET($H$3,0,0,'Données projet'!$E$25+1,1))</f>
        <v>#N/A</v>
      </c>
      <c r="MR35" s="59" t="e">
        <f t="shared" si="107"/>
        <v>#N/A</v>
      </c>
      <c r="MS35" s="15">
        <f>IF(ISNA(VLOOKUP($A35,'Données projet'!$A$460:$I$480,3,0)),0,VLOOKUP($A35,'Données projet'!$A$460:$I$480,3,0))</f>
        <v>0</v>
      </c>
      <c r="MT35" s="15">
        <f>IF(ISNA(VLOOKUP($A35,'Données projet'!$A$460:$I$480,4,0)),0,VLOOKUP($A35,'Données projet'!$A$460:$I$480,4,0))</f>
        <v>0</v>
      </c>
      <c r="MU35" s="16">
        <f>IF(ISNA(VLOOKUP($A35,'Données projet'!$A$460:$I$480,5,0)),0%,VLOOKUP($A35,'Données projet'!$A$460:$I$480,5,0)*VLOOKUP('Données projet'!$B$25,Paramètres!$A$1:$I$89,7,0))</f>
        <v>0</v>
      </c>
      <c r="MV35" s="16">
        <f>IF(ISNA(VLOOKUP($A35,'Données projet'!$A$460:$I$480,6,0)),0%,VLOOKUP($A35,'Données projet'!$A$460:$I$480,6,0)*VLOOKUP('Données projet'!$B$25,Paramètres!$A$1:$I$89,7,0))</f>
        <v>0</v>
      </c>
      <c r="MW35" s="16">
        <f>IF(ISNA(VLOOKUP($A35,'Données projet'!$A$460:$I$480,7,0)),0%,VLOOKUP($A35,'Données projet'!$A$460:$I$480,7,0))</f>
        <v>0</v>
      </c>
      <c r="MX35" s="21" t="e">
        <f>EXP(-LN(2)/35)*MX34+(1-EXP(-LN(2)/35))/(LN(2)/35)*MT35*MU35*VLOOKUP('Données projet'!$B$25,Paramètres!$A$1:$I$89,3,0)*0.475*44/12</f>
        <v>#N/A</v>
      </c>
      <c r="MY35" s="21" t="e">
        <f>EXP(-LN(2)/25)*MY34+(1-EXP(-LN(2)/25))/(LN(2)/25)*Calculateur!MT35*Calculateur!MV35*VLOOKUP('Données projet'!$B$25,Paramètres!$A$1:$I$89,3,0)*0.475*44/12</f>
        <v>#N/A</v>
      </c>
      <c r="MZ35" s="21" t="e">
        <f>EXP(-LN(2)/2)*MZ34+(1-EXP(-LN(2)/2))/(LN(2)/2)*MT35*MW35*VLOOKUP('Données projet'!$B$25,Paramètres!$A$1:$I$89,3,0)*0.475*44/12</f>
        <v>#N/A</v>
      </c>
      <c r="NA35" s="22" t="e">
        <f t="shared" si="108"/>
        <v>#N/A</v>
      </c>
      <c r="NB35" s="74">
        <f>('Scénario référence'!$F$8+'Scénario référence'!$F$9+'Scénario référence'!$B$17+'Scénario référence'!$B$9+'Scénario référence'!$B$10)*70+IF((45+25*(1-EXP(-0.0175*$A35)))&lt;70,'Scénario référence'!$B$16*(45+25*(1-EXP(-0.0175*$A35))),70*'Scénario référence'!$B$16)+IF((32+38*(1-EXP(-0.0175*$A35)))&lt;70,'Scénario référence'!$B$18*(32+38*(1-EXP(-0.0175*$A35))),70*'Scénario référence'!$B$18)</f>
        <v>70</v>
      </c>
      <c r="NC35" s="12">
        <f>IF($A35&gt;30,10,('Scénario référence'!$B$16+'Scénario référence'!$B$17+'Scénario référence'!$B$18+'Scénario référence'!$B$9+'Scénario référence'!$B$10)*$A35*10/30+('Scénario référence'!$F$8+'Scénario référence'!$F$9)*10)</f>
        <v>10</v>
      </c>
      <c r="ND35" s="12" t="e">
        <f>VLOOKUP($A35,'Données projet'!$A$486:$I$506,2,0)</f>
        <v>#N/A</v>
      </c>
      <c r="NE35" s="12" t="e">
        <f>VLOOKUP($A35,'Données projet'!$A$486:$I$506,9,0)</f>
        <v>#N/A</v>
      </c>
      <c r="NF35" s="12">
        <f t="array" ref="NF35">INDEX(NE:NE,MIN(IF(ISNUMBER(NE35:NE231),ROW(NE35:NE231),"")))</f>
        <v>0</v>
      </c>
      <c r="NG35" s="12">
        <f>IF('Données projet'!$A$486&gt;35,NG34+NF35-NO34,IF($A35&lt;'Données projet'!$A$486,$CQ$205^$A35,IF($A35='Données projet'!$A$486,'Données projet'!$B$486,NG34+NF35-NO34)))</f>
        <v>0</v>
      </c>
      <c r="NH35" s="17" t="e">
        <f>NG35*VLOOKUP('Données projet'!$B$26,Paramètres!$A$1:$I$89,3,0)*VLOOKUP('Données projet'!$B$26,Paramètres!$A$1:$I$89,5,0)</f>
        <v>#N/A</v>
      </c>
      <c r="NI35" s="13" t="e">
        <f t="shared" si="109"/>
        <v>#N/A</v>
      </c>
      <c r="NJ35" s="14" t="e">
        <f t="shared" si="52"/>
        <v>#N/A</v>
      </c>
      <c r="NK35" s="59" t="e">
        <f t="shared" si="53"/>
        <v>#N/A</v>
      </c>
      <c r="NL35" s="20" t="e">
        <f ca="1">AVERAGE(OFFSET($NK$3,0,0,'Données projet'!$E$26+1,1))-AVERAGE(OFFSET($H$3,0,0,'Données projet'!$E$26+1,1))</f>
        <v>#N/A</v>
      </c>
      <c r="NM35" s="59" t="e">
        <f t="shared" si="110"/>
        <v>#N/A</v>
      </c>
      <c r="NN35" s="15">
        <f>IF(ISNA(VLOOKUP($A35,'Données projet'!$A$486:$I$506,3,0)),0,VLOOKUP($A35,'Données projet'!$A$486:$I$506,3,0))</f>
        <v>0</v>
      </c>
      <c r="NO35" s="15">
        <f>IF(ISNA(VLOOKUP($A35,'Données projet'!$A$486:$I$506,4,0)),0,VLOOKUP($A35,'Données projet'!$A$486:$I$506,4,0))</f>
        <v>0</v>
      </c>
      <c r="NP35" s="16">
        <f>IF(ISNA(VLOOKUP($A35,'Données projet'!$A$486:$I$506,5,0)),0%,VLOOKUP($A35,'Données projet'!$A$486:$I$506,5,0)*VLOOKUP('Données projet'!$B$26,Paramètres!$A$1:$I$89,7,0))</f>
        <v>0</v>
      </c>
      <c r="NQ35" s="16">
        <f>IF(ISNA(VLOOKUP($A35,'Données projet'!$A$486:$I$506,6,0)),0%,VLOOKUP($A35,'Données projet'!$A$486:$I$506,6,0)*VLOOKUP('Données projet'!$B$26,Paramètres!$A$1:$I$89,7,0))</f>
        <v>0</v>
      </c>
      <c r="NR35" s="16">
        <f>IF(ISNA(VLOOKUP($A35,'Données projet'!$A$486:$I$506,7,0)),0%,VLOOKUP($A35,'Données projet'!$A$486:$I$506,7,0))</f>
        <v>0</v>
      </c>
      <c r="NS35" s="21" t="e">
        <f>EXP(-LN(2)/35)*NS34+(1-EXP(-LN(2)/35))/(LN(2)/35)*NO35*NP35*VLOOKUP('Données projet'!$B$26,Paramètres!$A$1:$I$89,3,0)*0.475*44/12</f>
        <v>#N/A</v>
      </c>
      <c r="NT35" s="21" t="e">
        <f>EXP(-LN(2)/25)*NT34+(1-EXP(-LN(2)/25))/(LN(2)/25)*Calculateur!NO35*Calculateur!NQ35*VLOOKUP('Données projet'!$B$26,Paramètres!$A$1:$I$89,3,0)*0.475*44/12</f>
        <v>#N/A</v>
      </c>
      <c r="NU35" s="21" t="e">
        <f>EXP(-LN(2)/2)*NU34+(1-EXP(-LN(2)/2))/(LN(2)/2)*NO35*NR35*VLOOKUP('Données projet'!$B$26,Paramètres!$A$1:$I$89,3,0)*0.475*44/12</f>
        <v>#N/A</v>
      </c>
      <c r="NV35" s="22" t="e">
        <f t="shared" si="111"/>
        <v>#N/A</v>
      </c>
      <c r="NW35" s="74">
        <f>('Scénario référence'!$F$8+'Scénario référence'!$F$9+'Scénario référence'!$B$17+'Scénario référence'!$B$9+'Scénario référence'!$B$10)*70+IF((45+25*(1-EXP(-0.0175*$A35)))&lt;70,'Scénario référence'!$B$16*(45+25*(1-EXP(-0.0175*$A35))),70*'Scénario référence'!$B$16)+IF((32+38*(1-EXP(-0.0175*$A35)))&lt;70,'Scénario référence'!$B$18*(32+38*(1-EXP(-0.0175*$A35))),70*'Scénario référence'!$B$18)</f>
        <v>70</v>
      </c>
      <c r="NX35" s="12">
        <f>IF($A35&gt;30,10,('Scénario référence'!$B$16+'Scénario référence'!$B$17+'Scénario référence'!$B$18+'Scénario référence'!$B$9+'Scénario référence'!$B$10)*$A35*10/30+('Scénario référence'!$F$8+'Scénario référence'!$F$9)*10)</f>
        <v>10</v>
      </c>
      <c r="NY35" s="12" t="e">
        <f>VLOOKUP($A35,'Données projet'!$A$512:$I$532,2,0)</f>
        <v>#N/A</v>
      </c>
      <c r="NZ35" s="12" t="e">
        <f>VLOOKUP($A35,'Données projet'!$A$512:$I$532,9,0)</f>
        <v>#N/A</v>
      </c>
      <c r="OA35" s="12">
        <f t="array" ref="OA35">INDEX(NZ:NZ,MIN(IF(ISNUMBER(NZ35:NZ231),ROW(NZ35:NZ231),"")))</f>
        <v>0</v>
      </c>
      <c r="OB35" s="12">
        <f>IF('Données projet'!$A$512&gt;35,OB34+OA35-OJ34,IF($A35&lt;'Données projet'!$A$512,$CQ$205^$A35,IF($A35='Données projet'!$A$512,'Données projet'!$B$512,OB34+OA35-OJ34)))</f>
        <v>0</v>
      </c>
      <c r="OC35" s="17" t="e">
        <f>OB35*VLOOKUP('Données projet'!$B$27,Paramètres!$A$1:$I$89,3,0)*VLOOKUP('Données projet'!$B$27,Paramètres!$A$1:$I$89,5,0)</f>
        <v>#N/A</v>
      </c>
      <c r="OD35" s="13" t="e">
        <f t="shared" si="112"/>
        <v>#N/A</v>
      </c>
      <c r="OE35" s="14" t="e">
        <f t="shared" si="55"/>
        <v>#N/A</v>
      </c>
      <c r="OF35" s="59" t="e">
        <f t="shared" si="56"/>
        <v>#N/A</v>
      </c>
      <c r="OG35" s="20" t="e">
        <f ca="1">AVERAGE(OFFSET($OF$3,0,0,'Données projet'!$E$27+1,1))-AVERAGE(OFFSET($H$3,0,0,'Données projet'!$E$27+1,1))</f>
        <v>#N/A</v>
      </c>
      <c r="OH35" s="59" t="e">
        <f t="shared" si="113"/>
        <v>#N/A</v>
      </c>
      <c r="OI35" s="15">
        <f>IF(ISNA(VLOOKUP($A35,'Données projet'!$A$512:$I$532,3,0)),0,VLOOKUP($A35,'Données projet'!$A$512:$I$532,3,0))</f>
        <v>0</v>
      </c>
      <c r="OJ35" s="15">
        <f>IF(ISNA(VLOOKUP($A35,'Données projet'!$A$512:$I$532,4,0)),0,VLOOKUP($A35,'Données projet'!$A$512:$I$532,4,0))</f>
        <v>0</v>
      </c>
      <c r="OK35" s="16">
        <f>IF(ISNA(VLOOKUP($A35,'Données projet'!$A$512:$I$532,5,0)),0%,VLOOKUP($A35,'Données projet'!$A$512:$I$532,5,0)*VLOOKUP('Données projet'!$B$27,Paramètres!$A$1:$I$89,7,0))</f>
        <v>0</v>
      </c>
      <c r="OL35" s="16">
        <f>IF(ISNA(VLOOKUP($A35,'Données projet'!$A$512:$I$532,6,0)),0%,VLOOKUP($A35,'Données projet'!$A$512:$I$532,6,0)*VLOOKUP('Données projet'!$B$27,Paramètres!$A$1:$I$89,7,0))</f>
        <v>0</v>
      </c>
      <c r="OM35" s="16">
        <f>IF(ISNA(VLOOKUP($A35,'Données projet'!$A$512:$I$532,7,0)),0%,VLOOKUP($A35,'Données projet'!$A$512:$I$532,7,0))</f>
        <v>0</v>
      </c>
      <c r="ON35" s="21" t="e">
        <f>EXP(-LN(2)/35)*ON34+(1-EXP(-LN(2)/35))/(LN(2)/35)*OJ35*OK35*VLOOKUP('Données projet'!$B$27,Paramètres!$A$1:$I$89,3,0)*0.475*44/12</f>
        <v>#N/A</v>
      </c>
      <c r="OO35" s="21" t="e">
        <f>EXP(-LN(2)/25)*OO34+(1-EXP(-LN(2)/25))/(LN(2)/25)*Calculateur!OJ35*Calculateur!OL35*VLOOKUP('Données projet'!$B$27,Paramètres!$A$1:$I$89,3,0)*0.475*44/12</f>
        <v>#N/A</v>
      </c>
      <c r="OP35" s="21" t="e">
        <f>EXP(-LN(2)/2)*OP34+(1-EXP(-LN(2)/2))/(LN(2)/2)*OJ35*OM35*VLOOKUP('Données projet'!$B$27,Paramètres!$A$1:$I$89,3,0)*0.475*44/12</f>
        <v>#N/A</v>
      </c>
      <c r="OQ35" s="22" t="e">
        <f t="shared" si="114"/>
        <v>#N/A</v>
      </c>
      <c r="OR35" s="74">
        <f>('Scénario référence'!$F$8+'Scénario référence'!$F$9+'Scénario référence'!$B$17+'Scénario référence'!$B$9+'Scénario référence'!$B$10)*70+IF((45+25*(1-EXP(-0.0175*$A35)))&lt;70,'Scénario référence'!$B$16*(45+25*(1-EXP(-0.0175*$A35))),70*'Scénario référence'!$B$16)+IF((32+38*(1-EXP(-0.0175*$A35)))&lt;70,'Scénario référence'!$B$18*(32+38*(1-EXP(-0.0175*$A35))),70*'Scénario référence'!$B$18)</f>
        <v>70</v>
      </c>
      <c r="OS35" s="12">
        <f>IF($A35&gt;30,10,('Scénario référence'!$B$16+'Scénario référence'!$B$17+'Scénario référence'!$B$18+'Scénario référence'!$B$9+'Scénario référence'!$B$10)*$A35*10/30+('Scénario référence'!$F$8+'Scénario référence'!$F$9)*10)</f>
        <v>10</v>
      </c>
      <c r="OT35" s="12" t="e">
        <f>VLOOKUP($A35,'Données projet'!$A$538:$I$558,2,0)</f>
        <v>#N/A</v>
      </c>
      <c r="OU35" s="12" t="e">
        <f>VLOOKUP($A35,'Données projet'!$A$538:$I$558,9,0)</f>
        <v>#N/A</v>
      </c>
      <c r="OV35" s="12">
        <f t="array" ref="OV35">INDEX(OU:OU,MIN(IF(ISNUMBER(OU35:OU231),ROW(OU35:OU231),"")))</f>
        <v>0</v>
      </c>
      <c r="OW35" s="12">
        <f>IF('Données projet'!$A$538&gt;35,OW34+OV35-PE34,IF($A35&lt;'Données projet'!$A$538,$CQ$205^$A35,IF($A35='Données projet'!$A$538,'Données projet'!$B$538,OW34+OV35-PE34)))</f>
        <v>0</v>
      </c>
      <c r="OX35" s="17" t="e">
        <f>OW35*VLOOKUP('Données projet'!$B$28,Paramètres!$A$1:$I$89,3,0)*VLOOKUP('Données projet'!$B$28,Paramètres!$A$1:$I$89,5,0)</f>
        <v>#N/A</v>
      </c>
      <c r="OY35" s="13" t="e">
        <f t="shared" si="115"/>
        <v>#N/A</v>
      </c>
      <c r="OZ35" s="14" t="e">
        <f t="shared" si="58"/>
        <v>#N/A</v>
      </c>
      <c r="PA35" s="59" t="e">
        <f t="shared" si="59"/>
        <v>#N/A</v>
      </c>
      <c r="PB35" s="20" t="e">
        <f ca="1">AVERAGE(OFFSET($PA$3,0,0,'Données projet'!$E$28+1,1))-AVERAGE(OFFSET($H$3,0,0,'Données projet'!$E$28+1,1))</f>
        <v>#N/A</v>
      </c>
      <c r="PC35" s="59" t="e">
        <f t="shared" si="116"/>
        <v>#N/A</v>
      </c>
      <c r="PD35" s="15">
        <f>IF(ISNA(VLOOKUP($A35,'Données projet'!$A$538:$I$558,3,0)),0,VLOOKUP($A35,'Données projet'!$A$538:$I$558,3,0))</f>
        <v>0</v>
      </c>
      <c r="PE35" s="15">
        <f>IF(ISNA(VLOOKUP($A35,'Données projet'!$A$538:$I$558,4,0)),0,VLOOKUP($A35,'Données projet'!$A$538:$I$558,4,0))</f>
        <v>0</v>
      </c>
      <c r="PF35" s="16">
        <f>IF(ISNA(VLOOKUP($A35,'Données projet'!$A$538:$I$558,5,0)),0%,VLOOKUP($A35,'Données projet'!$A$538:$I$558,5,0)*VLOOKUP('Données projet'!$B$28,Paramètres!$A$1:$I$89,7,0))</f>
        <v>0</v>
      </c>
      <c r="PG35" s="16">
        <f>IF(ISNA(VLOOKUP($A35,'Données projet'!$A$538:$I$558,6,0)),0%,VLOOKUP($A35,'Données projet'!$A$538:$I$558,6,0)*VLOOKUP('Données projet'!$B$28,Paramètres!$A$1:$I$89,7,0))</f>
        <v>0</v>
      </c>
      <c r="PH35" s="16">
        <f>IF(ISNA(VLOOKUP($A35,'Données projet'!$A$538:$I$558,7,0)),0%,VLOOKUP($A35,'Données projet'!$A$538:$I$558,7,0))</f>
        <v>0</v>
      </c>
      <c r="PI35" s="21" t="e">
        <f>EXP(-LN(2)/35)*PI34+(1-EXP(-LN(2)/35))/(LN(2)/35)*PE35*PF35*VLOOKUP('Données projet'!$B$28,Paramètres!$A$1:$I$89,3,0)*0.475*44/12</f>
        <v>#N/A</v>
      </c>
      <c r="PJ35" s="21" t="e">
        <f>EXP(-LN(2)/25)*PJ34+(1-EXP(-LN(2)/25))/(LN(2)/25)*Calculateur!PE35*Calculateur!PG35*VLOOKUP('Données projet'!$B$28,Paramètres!$A$1:$I$89,3,0)*0.475*44/12</f>
        <v>#N/A</v>
      </c>
      <c r="PK35" s="21" t="e">
        <f>EXP(-LN(2)/2)*PK34+(1-EXP(-LN(2)/2))/(LN(2)/2)*PE35*PH35*VLOOKUP('Données projet'!$B$28,Paramètres!$A$1:$I$89,3,0)*0.475*44/12</f>
        <v>#N/A</v>
      </c>
      <c r="PL35" s="22" t="e">
        <f t="shared" si="117"/>
        <v>#N/A</v>
      </c>
    </row>
    <row r="36" spans="1:428" x14ac:dyDescent="0.35">
      <c r="A36" s="10">
        <f t="shared" si="6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6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projet'!$A$45:$I$65,2,0)</f>
        <v>#N/A</v>
      </c>
      <c r="L36" s="12" t="e">
        <f>VLOOKUP(A36,'Données projet'!$A$45:$I$65,9,0)</f>
        <v>#N/A</v>
      </c>
      <c r="M36" s="12">
        <f t="array" ref="M36">INDEX(L:L,MIN(IF(ISNUMBER(L36:L232),ROW(L36:L232),"")))</f>
        <v>22.884615384615397</v>
      </c>
      <c r="N36" s="13">
        <f>IF('Données projet'!$A$46&gt;35,N35+M36-V35,IF(A36&lt;'Données projet'!$A$46,$K$205^A36,IF(A36='Données projet'!$A$46,'Données projet'!$B$46,N35+M36-V35)))</f>
        <v>334.85384615384612</v>
      </c>
      <c r="O36" s="13">
        <f>N36*VLOOKUP('Données projet'!$B$9,Paramètres!$A$1:$I$89,3,0)*VLOOKUP('Données projet'!$B$9,Paramètres!$A$1:$I$89,5,0)</f>
        <v>187.18329999999997</v>
      </c>
      <c r="P36" s="13">
        <f t="shared" si="63"/>
        <v>46.91668019244311</v>
      </c>
      <c r="Q36" s="20">
        <f t="shared" si="118"/>
        <v>407.72413216850504</v>
      </c>
      <c r="R36" s="59">
        <f t="shared" si="0"/>
        <v>701.05746550183835</v>
      </c>
      <c r="S36" s="59">
        <f ca="1">AVERAGE(OFFSET($R$3,0,0,'Données projet'!$E$9+1,1))-AVERAGE(OFFSET($H$3,0,0,'Données projet'!$E$9+1,1))</f>
        <v>274.57619581652199</v>
      </c>
      <c r="T36" s="59">
        <f t="shared" si="64"/>
        <v>366.15117322598775</v>
      </c>
      <c r="U36" s="15">
        <f>IF(ISNA(VLOOKUP(A36,'Données projet'!$A$45:$I$65,3,0)),0,VLOOKUP(A36,'Données projet'!$A$45:$I$65,3,0))</f>
        <v>0</v>
      </c>
      <c r="V36" s="15">
        <f>IF(ISNA(VLOOKUP(A36,'Données projet'!$A$45:$I$65,4,0)),0,VLOOKUP(A36,'Données projet'!$A$45:$I$65,4,0))</f>
        <v>0</v>
      </c>
      <c r="W36" s="16">
        <f>IF(ISNA(VLOOKUP(A36,'Données projet'!$A$45:$I$65,5,0)),0%,VLOOKUP(A36,'Données projet'!$A$45:$I$65,5,0)*VLOOKUP('Données projet'!$B$9,Paramètres!$A$1:$I$89,7,0))</f>
        <v>0</v>
      </c>
      <c r="X36" s="16">
        <f>IF(ISNA(VLOOKUP(A36,'Données projet'!$A$45:$I$65,6,0)),0%,VLOOKUP(A36,'Données projet'!$A$45:$I$65,6,0)*VLOOKUP('Données projet'!$B$9,Paramètres!$A$1:$I$89,7,0))</f>
        <v>0</v>
      </c>
      <c r="Y36" s="16">
        <f>IF(ISNA(VLOOKUP(A36,'Données projet'!$A$45:$I$65,7,0)),0%,VLOOKUP(A36,'Données projet'!$A$45:$I$65,7,0))</f>
        <v>0</v>
      </c>
      <c r="Z36" s="21">
        <f>EXP(-LN(2)/35)*Z35+(1-EXP(-LN(2)/35))/(LN(2)/35)*V36*W36*VLOOKUP('Données projet'!$B$9,Paramètres!$A$1:$I$89,3,0)*0.475*44/12</f>
        <v>27.858198499846253</v>
      </c>
      <c r="AA36" s="21">
        <f>EXP(-LN(2)/25)*AA35+(1-EXP(-LN(2)/25))/(LN(2)/25)*Calculateur!V36*Calculateur!X36*VLOOKUP('Données projet'!$B$9,Paramètres!$A$1:$I$89,3,0)*0.475*44/12</f>
        <v>16.791923412710826</v>
      </c>
      <c r="AB36" s="21">
        <f>EXP(-LN(2)/2)*AB35+(1-EXP(-LN(2)/2))/(LN(2)/2)*V36*Y36*VLOOKUP('Données projet'!$B$9,Paramètres!$A$1:$I$89,3,0)*0.475*44/12</f>
        <v>2.2038204897945741</v>
      </c>
      <c r="AC36" s="22">
        <f t="shared" si="3"/>
        <v>46.853942402351656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projet'!$A$71:$I$91,2,0)</f>
        <v>#N/A</v>
      </c>
      <c r="AG36" s="12" t="e">
        <f>VLOOKUP(A36,'Données projet'!$A$71:$I$91,9,0)</f>
        <v>#N/A</v>
      </c>
      <c r="AH36" s="12">
        <f t="array" ref="AH36">INDEX(AG:AG,MIN(IF(ISNUMBER(AG36:AG232),ROW(AG36:AG232),"")))</f>
        <v>8.0564102564102633</v>
      </c>
      <c r="AI36" s="13">
        <f>IF('Données projet'!$A$72&gt;35,AI35+AH36-AQ35,IF(A36&lt;'Données projet'!$A$72,$AF$205^A36,IF(A36='Données projet'!$A$72,'Données projet'!$B$72,AI35+AH36-AQ35)))</f>
        <v>146.05384615384617</v>
      </c>
      <c r="AJ36" s="13">
        <f>AI36*VLOOKUP('Données projet'!$B$10,Paramètres!$A$1:$I$89,3,0)*VLOOKUP('Données projet'!$B$10,Paramètres!$A$1:$I$89,5,0)</f>
        <v>132.14952</v>
      </c>
      <c r="AK36" s="13">
        <f t="shared" si="65"/>
        <v>34.49257523106499</v>
      </c>
      <c r="AL36" s="20">
        <f t="shared" si="4"/>
        <v>290.23498252743815</v>
      </c>
      <c r="AM36" s="59">
        <f t="shared" si="5"/>
        <v>583.56831586077146</v>
      </c>
      <c r="AN36" s="59">
        <f ca="1">AVERAGE(OFFSET($AM$3,0,0,'Données projet'!$E$10+1,1))-AVERAGE(OFFSET($H$3,0,0,'Données projet'!$E$10+1,1))</f>
        <v>270.87836509222456</v>
      </c>
      <c r="AO36" s="59">
        <f t="shared" si="66"/>
        <v>205.24998237949734</v>
      </c>
      <c r="AP36" s="15">
        <f>IF(ISNA(VLOOKUP(A36,'Données projet'!$A$71:$I$91,3,0)),0,VLOOKUP(A36,'Données projet'!$A$71:$I$91,3,0))</f>
        <v>0</v>
      </c>
      <c r="AQ36" s="15">
        <f>IF(ISNA(VLOOKUP(A36,'Données projet'!$A$71:$I$91,4,0)),0,VLOOKUP(A36,'Données projet'!$A$71:$I$91,4,0))</f>
        <v>0</v>
      </c>
      <c r="AR36" s="16">
        <f>IF(ISNA(VLOOKUP(A36,'Données projet'!$A$71:$I$91,5,0)),0%,VLOOKUP(A36,'Données projet'!$A$71:$I$91,5,0)*VLOOKUP('Données projet'!$B$10,Paramètres!$A$1:$I$89,7,0))</f>
        <v>0</v>
      </c>
      <c r="AS36" s="16">
        <f>IF(ISNA(VLOOKUP(A36,'Données projet'!$A$71:$I$91,6,0)),0%,VLOOKUP(A36,'Données projet'!$A$71:$I$91,6,0)*VLOOKUP('Données projet'!$B$10,Paramètres!$A$1:$I$89,7,0))</f>
        <v>0</v>
      </c>
      <c r="AT36" s="16">
        <f>IF(ISNA(VLOOKUP(A36,'Données projet'!$A$71:$I$91,7,0)),0%,VLOOKUP(A36,'Données projet'!$A$71:$I$91,7,0))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projet'!$A$97:$I$117,2,0)</f>
        <v>#N/A</v>
      </c>
      <c r="BB36" s="12" t="e">
        <f>VLOOKUP(A36,'Données projet'!$A$97:$I$117,9,0)</f>
        <v>#N/A</v>
      </c>
      <c r="BC36" s="12">
        <f t="array" ref="BC36">INDEX(BB:BB,MIN(IF(ISNUMBER(BB36:BB232),ROW(BB36:BB232),"")))</f>
        <v>22.884615384615397</v>
      </c>
      <c r="BD36" s="12">
        <f>IF('Données projet'!$A$98&gt;35,BD35+BC36-BL35,IF(A36&lt;'Données projet'!$A$98,$BA$205^A36,IF(A36='Données projet'!$A$98,'Données projet'!$B$98,BD35+BC36-BL35)))</f>
        <v>334.85384615384612</v>
      </c>
      <c r="BE36" s="13">
        <f>BD36*VLOOKUP('Données projet'!$B$11,Paramètres!$A$1:$I$89,3,0)*VLOOKUP('Données projet'!$B$11,Paramètres!$A$1:$I$89,5,0)</f>
        <v>148.00540000000001</v>
      </c>
      <c r="BF36" s="13">
        <f t="shared" si="67"/>
        <v>38.124953069744386</v>
      </c>
      <c r="BG36" s="20">
        <f t="shared" si="7"/>
        <v>324.17703159647147</v>
      </c>
      <c r="BH36" s="59">
        <f t="shared" si="8"/>
        <v>617.51036492980484</v>
      </c>
      <c r="BI36" s="59">
        <f ca="1">AVERAGE(OFFSET($BH$3,0,0,'Données projet'!$E$11+1,1))-AVERAGE(OFFSET($H$3,0,0,'Données projet'!$E$11+1,1))</f>
        <v>211.31057120485542</v>
      </c>
      <c r="BJ36" s="59">
        <f t="shared" si="68"/>
        <v>283.33292006714777</v>
      </c>
      <c r="BK36" s="15">
        <f>IF(ISNA(VLOOKUP(A36,'Données projet'!$A$97:$I$117,3,0)),0,VLOOKUP(A36,'Données projet'!$A$97:$I$117,3,0))</f>
        <v>0</v>
      </c>
      <c r="BL36" s="15">
        <f>IF(ISNA(VLOOKUP(A36,'Données projet'!$A$97:$I$117,4,0)),0,VLOOKUP(A36,'Données projet'!$A$97:$I$117,4,0))</f>
        <v>0</v>
      </c>
      <c r="BM36" s="16">
        <f>IF(ISNA(VLOOKUP(A36,'Données projet'!$A$97:$I$117,5,0)),0%,VLOOKUP(A36,'Données projet'!$A$97:$I$117,5,0)*VLOOKUP('Données projet'!$B$11,Paramètres!$A$1:$I$89,7,0))</f>
        <v>0</v>
      </c>
      <c r="BN36" s="16">
        <f>IF(ISNA(VLOOKUP(A36,'Données projet'!$A$97:$I$117,6,0)),0%,VLOOKUP(A36,'Données projet'!$A$97:$I$117,6,0)*VLOOKUP('Données projet'!$B$11,Paramètres!$A$1:$I$89,7,0))</f>
        <v>0</v>
      </c>
      <c r="BO36" s="16">
        <f>IF(ISNA(VLOOKUP(A36,'Données projet'!$A$97:$I$117,7,0)),0%,VLOOKUP(A36,'Données projet'!$A$97:$I$117,7,0))</f>
        <v>0</v>
      </c>
      <c r="BP36" s="21">
        <f>EXP(-LN(2)/35)*BP35+(1-EXP(-LN(2)/35))/(LN(2)/35)*BL36*BM36*VLOOKUP('Données projet'!$B$11,Paramètres!$A$1:$I$89,3,0)*0.475*44/12</f>
        <v>22.027412767320289</v>
      </c>
      <c r="BQ36" s="21">
        <f>EXP(-LN(2)/25)*BQ35+(1-EXP(-LN(2)/25))/(LN(2)/25)*Calculateur!BL36*Calculateur!BN36*VLOOKUP('Données projet'!$B$11,Paramètres!$A$1:$I$89,3,0)*0.475*44/12</f>
        <v>13.277334791445767</v>
      </c>
      <c r="BR36" s="21">
        <f>EXP(-LN(2)/2)*BR35+(1-EXP(-LN(2)/2))/(LN(2)/2)*BL36*BO36*VLOOKUP('Données projet'!$B$11,Paramètres!$A$1:$I$89,3,0)*0.475*44/12</f>
        <v>1.7425557361166406</v>
      </c>
      <c r="BS36" s="22">
        <f t="shared" si="9"/>
        <v>37.047303294882695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projet'!$A$123:$I$143,2,0)</f>
        <v>#N/A</v>
      </c>
      <c r="BW36" s="12" t="e">
        <f>VLOOKUP(A36,'Données projet'!$A$123:$I$143,9,0)</f>
        <v>#N/A</v>
      </c>
      <c r="BX36" s="12">
        <f t="array" ref="BX36">INDEX(BW:BW,MIN(IF(ISNUMBER(BW36:BW232),ROW(BW36:BW232),"")))</f>
        <v>9.1999999999999993</v>
      </c>
      <c r="BY36" s="12">
        <f>IF('Données projet'!$A$124&gt;35,BY35+BX36-CG35,IF(A36&lt;'Données projet'!$A$124,$BV$205^A36,IF(A36='Données projet'!$A$124,'Données projet'!$B$124,BY35+BX36-CG35)))</f>
        <v>149.6</v>
      </c>
      <c r="BZ36" s="13">
        <f>BY36*VLOOKUP('Données projet'!$B$12,Paramètres!$A$1:$I$89,3,0)*VLOOKUP('Données projet'!$B$12,Paramètres!$A$1:$I$89,5,0)</f>
        <v>156.36192</v>
      </c>
      <c r="CA36" s="13">
        <f t="shared" si="69"/>
        <v>40.020841092261293</v>
      </c>
      <c r="CB36" s="20">
        <f t="shared" si="10"/>
        <v>342.03330890235503</v>
      </c>
      <c r="CC36" s="59">
        <f t="shared" si="11"/>
        <v>635.36664223568835</v>
      </c>
      <c r="CD36" s="59">
        <f ca="1">AVERAGE(OFFSET($CC$3,0,0,'Données projet'!$E$12+1,1))-AVERAGE(OFFSET($H$3,0,0,'Données projet'!$E$12+1,1))</f>
        <v>322.93502595881938</v>
      </c>
      <c r="CE36" s="59">
        <f t="shared" si="70"/>
        <v>302.67072119588164</v>
      </c>
      <c r="CF36" s="15">
        <f>IF(ISNA(VLOOKUP(A36,'Données projet'!$A$123:$I$143,3,0)),0,VLOOKUP(A36,'Données projet'!$A$123:$I$143,3,0))</f>
        <v>0</v>
      </c>
      <c r="CG36" s="15">
        <f>IF(ISNA(VLOOKUP(A36,'Données projet'!$A$123:$I$143,4,0)),0,VLOOKUP(A36,'Données projet'!$A$123:$I$143,4,0))</f>
        <v>0</v>
      </c>
      <c r="CH36" s="16">
        <f>IF(ISNA(VLOOKUP(A36,'Données projet'!$A$123:$I$143,5,0)),0%,VLOOKUP(A36,'Données projet'!$A$123:$I$143,5,0)*VLOOKUP('Données projet'!$B$12,Paramètres!$A$1:$I$89,7,0))</f>
        <v>0</v>
      </c>
      <c r="CI36" s="16">
        <f>IF(ISNA(VLOOKUP(A36,'Données projet'!$A$123:$I$143,6,0)),0%,VLOOKUP(A36,'Données projet'!$A$123:$I$143,6,0)*VLOOKUP('Données projet'!$B$12,Paramètres!$A$1:$I$89,7,0))</f>
        <v>0</v>
      </c>
      <c r="CJ36" s="16">
        <f>IF(ISNA(VLOOKUP(A36,'Données projet'!$A$123:$I$143,7,0)),0%,VLOOKUP(A36,'Données projet'!$A$123:$I$143,7,0))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projet'!$A$149:$I$169,2,0)</f>
        <v>#N/A</v>
      </c>
      <c r="CR36" s="12" t="e">
        <f>VLOOKUP(A36,'Données projet'!$A$149:$I$169,9,0)</f>
        <v>#N/A</v>
      </c>
      <c r="CS36" s="12">
        <f t="array" ref="CS36">INDEX(CR:CR,MIN(IF(ISNUMBER(CR36:CR232),ROW(CR36:CR232),"")))</f>
        <v>5.3369963369963358</v>
      </c>
      <c r="CT36" s="12">
        <f>IF('Données projet'!$A$150&gt;35,CT35+CS36-DB35,IF(A36&lt;'Données projet'!$A$150,$CQ$205^A36,IF(A36='Données projet'!$A$150,'Données projet'!$B$150,CT35+CS36-DB35)))</f>
        <v>103.71611721611721</v>
      </c>
      <c r="CU36" s="17">
        <f>CT36*VLOOKUP('Données projet'!$B$13,Paramètres!$A$1:$I$89,3,0)*VLOOKUP('Données projet'!$B$13,Paramètres!$A$1:$I$89,5,0)</f>
        <v>105.16814285714285</v>
      </c>
      <c r="CV36" s="13">
        <f t="shared" si="71"/>
        <v>28.189602262365472</v>
      </c>
      <c r="CW36" s="20">
        <f t="shared" si="13"/>
        <v>232.264739416477</v>
      </c>
      <c r="CX36" s="59">
        <f t="shared" si="14"/>
        <v>525.59807274981029</v>
      </c>
      <c r="CY36" s="59">
        <f ca="1">AVERAGE(OFFSET($CX$3,0,0,'Données projet'!$E$13+1,1))-AVERAGE(OFFSET($H$3,0,0,'Données projet'!$E$13+1,1))</f>
        <v>250.31277422753283</v>
      </c>
      <c r="CZ36" s="59">
        <f t="shared" si="72"/>
        <v>159.20429420478047</v>
      </c>
      <c r="DA36" s="15">
        <f>IF(ISNA(VLOOKUP(A36,'Données projet'!$A$149:$I$169,3,0)),0,VLOOKUP(A36,'Données projet'!$A$149:$I$169,3,0))</f>
        <v>0</v>
      </c>
      <c r="DB36" s="15">
        <f>IF(ISNA(VLOOKUP(A36,'Données projet'!$A$149:$I$169,4,0)),0,VLOOKUP(A36,'Données projet'!$A$149:$I$169,4,0))</f>
        <v>0</v>
      </c>
      <c r="DC36" s="16">
        <f>IF(ISNA(VLOOKUP(A36,'Données projet'!$A$149:$I$169,5,0)),0%,VLOOKUP(A36,'Données projet'!$A$149:$I$169,5,0)*VLOOKUP('Données projet'!$B$13,Paramètres!$A$1:$I$89,7,0))</f>
        <v>0</v>
      </c>
      <c r="DD36" s="16">
        <f>IF(ISNA(VLOOKUP(A36,'Données projet'!$A$149:$I$169,6,0)),0%,VLOOKUP(A36,'Données projet'!$A$149:$I$169,6,0)*VLOOKUP('Données projet'!$B$13,Paramètres!$A$1:$I$89,7,0))</f>
        <v>0</v>
      </c>
      <c r="DE36" s="16">
        <f>IF(ISNA(VLOOKUP(A36,'Données projet'!$A$149:$I$169,7,0)),0%,VLOOKUP(A36,'Données projet'!$A$149:$I$169,7,0))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projet'!$A$175:$I$195,2,0)</f>
        <v>#N/A</v>
      </c>
      <c r="DM36" s="12" t="e">
        <f>VLOOKUP(A36,'Données projet'!$A$175:$I$195,9,0)</f>
        <v>#N/A</v>
      </c>
      <c r="DN36" s="12">
        <f t="array" ref="DN36">INDEX(DM:DM,MIN(IF(ISNUMBER(DM36:DM232),ROW(DM36:DM232),"")))</f>
        <v>15.2</v>
      </c>
      <c r="DO36" s="12">
        <f>IF('Données projet'!$A$176&gt;35,DO35+DN36-DW35,IF(A36&lt;'Données projet'!$A$176,$DL$205^A36,IF(A36='Données projet'!$A$176,'Données projet'!$B$176,DO35+DN36-DW35)))</f>
        <v>208.60000000000002</v>
      </c>
      <c r="DP36" s="17">
        <f>DO36*VLOOKUP('Données projet'!$B$14,Paramètres!$A$1:$I$89,3,0)*VLOOKUP('Données projet'!$B$14,Paramètres!$A$1:$I$89,5,0)</f>
        <v>152.94552000000002</v>
      </c>
      <c r="DQ36" s="13">
        <f t="shared" si="73"/>
        <v>39.247206134585156</v>
      </c>
      <c r="DR36" s="20">
        <f t="shared" si="16"/>
        <v>334.73566468440248</v>
      </c>
      <c r="DS36" s="59">
        <f t="shared" si="17"/>
        <v>628.06899801773579</v>
      </c>
      <c r="DT36" s="59">
        <f ca="1">AVERAGE(OFFSET($DS$3,0,0,'Données projet'!$E$14+1,1))-AVERAGE(OFFSET($H$3,0,0,'Données projet'!$E$14+1,1))</f>
        <v>296.91321813251051</v>
      </c>
      <c r="DU36" s="59">
        <f t="shared" si="74"/>
        <v>291.0718079639509</v>
      </c>
      <c r="DV36" s="15">
        <f>IF(ISNA(VLOOKUP(A36,'Données projet'!$A$175:$I$195,3,0)),0,VLOOKUP(A36,'Données projet'!$A$175:$I$195,3,0))</f>
        <v>0</v>
      </c>
      <c r="DW36" s="15">
        <f>IF(ISNA(VLOOKUP(A36,'Données projet'!$A$175:$I$195,4,0)),0,VLOOKUP(A36,'Données projet'!$A$175:$I$195,4,0))</f>
        <v>0</v>
      </c>
      <c r="DX36" s="16">
        <f>IF(ISNA(VLOOKUP(A36,'Données projet'!$A$175:$I$195,5,0)),0%,VLOOKUP(A36,'Données projet'!$A$175:$I$195,5,0)*VLOOKUP('Données projet'!$B$14,Paramètres!$A$1:$I$89,7,0))</f>
        <v>0</v>
      </c>
      <c r="DY36" s="16">
        <f>IF(ISNA(VLOOKUP(A36,'Données projet'!$A$175:$I$195,6,0)),0%,VLOOKUP(A36,'Données projet'!$A$175:$I$195,6,0)*VLOOKUP('Données projet'!$B$14,Paramètres!$A$1:$I$89,7,0))</f>
        <v>0</v>
      </c>
      <c r="DZ36" s="16">
        <f>IF(ISNA(VLOOKUP(A36,'Données projet'!$A$175:$I$195,7,0)),0%,VLOOKUP(A36,'Données projet'!$A$175:$I$195,7,0))</f>
        <v>0</v>
      </c>
      <c r="EA36" s="21">
        <f>EXP(-LN(2)/35)*EA35+(1-EXP(-LN(2)/35))/(LN(2)/35)*DW36*DX36*VLOOKUP('Données projet'!$B$14,Paramètres!$A$1:$I$89,3,0)*0.475*44/12</f>
        <v>8.9218647321315903</v>
      </c>
      <c r="EB36" s="21">
        <f>EXP(-LN(2)/25)*EB35+(1-EXP(-LN(2)/25))/(LN(2)/25)*Calculateur!DW36*Calculateur!DY36*VLOOKUP('Données projet'!$B$14,Paramètres!$A$1:$I$89,3,0)*0.475*44/12</f>
        <v>10.401806914149512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19.323671646281102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projet'!$A$201:$I$221,2,0)</f>
        <v>#N/A</v>
      </c>
      <c r="EH36" s="12" t="e">
        <f>VLOOKUP(A36,'Données projet'!$A$201:$I$221,9,0)</f>
        <v>#N/A</v>
      </c>
      <c r="EI36" s="12">
        <f t="array" ref="EI36">INDEX(EH:EH,MIN(IF(ISNUMBER(EH36:EH232),ROW(EH36:EH232),"")))</f>
        <v>10.407692307692306</v>
      </c>
      <c r="EJ36" s="12">
        <f>IF('Données projet'!$A$202&gt;35,EJ35+EI36-ER35,IF(A36&lt;'Données projet'!$A$202,$EG$205^A36,IF(A36='Données projet'!$A$202,'Données projet'!$B$202,EJ35+EI36-ER35)))</f>
        <v>134.49999999999997</v>
      </c>
      <c r="EK36" s="17">
        <f>EJ36*VLOOKUP('Données projet'!$B$15,Paramètres!$A$1:$I$89,3,0)*VLOOKUP('Données projet'!$B$15,Paramètres!$A$1:$I$89,5,0)</f>
        <v>62.945999999999984</v>
      </c>
      <c r="EL36" s="13">
        <f t="shared" si="75"/>
        <v>17.911019680519317</v>
      </c>
      <c r="EM36" s="20">
        <f t="shared" si="19"/>
        <v>140.82597594357108</v>
      </c>
      <c r="EN36" s="59">
        <f t="shared" si="20"/>
        <v>434.15930927690442</v>
      </c>
      <c r="EO36" s="59">
        <f ca="1">AVERAGE(OFFSET($EN$3,0,0,'Données projet'!$E$15+1,1))-AVERAGE(OFFSET($H$3,0,0,'Données projet'!$E$15+1,1))</f>
        <v>147.64256291235483</v>
      </c>
      <c r="EP36" s="59">
        <f t="shared" si="76"/>
        <v>70.859031694091868</v>
      </c>
      <c r="EQ36" s="15">
        <f>IF(ISNA(VLOOKUP(A36,'Données projet'!$A$201:$I$221,3,0)),0,VLOOKUP(A36,'Données projet'!$A$201:$I$221,3,0))</f>
        <v>0</v>
      </c>
      <c r="ER36" s="15">
        <f>IF(ISNA(VLOOKUP(A36,'Données projet'!$A$201:$I$221,4,0)),0,VLOOKUP(A36,'Données projet'!$A$201:$I$221,4,0))</f>
        <v>0</v>
      </c>
      <c r="ES36" s="16">
        <f>IF(ISNA(VLOOKUP(A36,'Données projet'!$A$201:$I$221,5,0)),0%,VLOOKUP(A36,'Données projet'!$A$201:$I$221,5,0)*VLOOKUP('Données projet'!$B$15,Paramètres!$A$1:$I$89,7,0))</f>
        <v>0</v>
      </c>
      <c r="ET36" s="16">
        <f>IF(ISNA(VLOOKUP(A36,'Données projet'!$A$201:$I$221,6,0)),0%,VLOOKUP(A36,'Données projet'!$A$201:$I$221,6,0)*VLOOKUP('Données projet'!$B$15,Paramètres!$A$1:$I$89,7,0))</f>
        <v>0</v>
      </c>
      <c r="EU36" s="16">
        <f>IF(ISNA(VLOOKUP(A36,'Données projet'!$A$201:$I$221,7,0)),0%,VLOOKUP(A36,'Données projet'!$A$201:$I$221,7,0))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projet'!$A$227:$I$247,2,0)</f>
        <v>#N/A</v>
      </c>
      <c r="FC36" s="12" t="e">
        <f>VLOOKUP(A36,'Données projet'!$A$227:$I$247,9,0)</f>
        <v>#N/A</v>
      </c>
      <c r="FD36" s="12">
        <f t="array" ref="FD36">INDEX(FC:FC,MIN(IF(ISNUMBER(FC36:FC232),ROW(FC36:FC232),"")))</f>
        <v>7.2</v>
      </c>
      <c r="FE36" s="12">
        <f>IF('Données projet'!$A$228&gt;35,FE35+FD36-FM35,IF(A36&lt;'Données projet'!$A$228,$FB$205^A36,IF(A36='Données projet'!$A$228,'Données projet'!$B$228,FE35+FD36-FM35)))</f>
        <v>120.60000000000001</v>
      </c>
      <c r="FF36" s="17">
        <f>FE36*VLOOKUP('Données projet'!$B$16,Paramètres!$A$1:$I$89,3,0)*VLOOKUP('Données projet'!$B$16,Paramètres!$A$1:$I$89,5,0)</f>
        <v>126.05112000000001</v>
      </c>
      <c r="FG36" s="13">
        <f t="shared" si="77"/>
        <v>33.082257431983265</v>
      </c>
      <c r="FH36" s="20">
        <f t="shared" si="22"/>
        <v>277.15729902737081</v>
      </c>
      <c r="FI36" s="59">
        <f t="shared" si="23"/>
        <v>570.49063236070413</v>
      </c>
      <c r="FJ36" s="59">
        <f ca="1">AVERAGE(OFFSET($FI$3,0,0,'Données projet'!$E$16+1,1))-AVERAGE(OFFSET($H$3,0,0,'Données projet'!$E$16+1,1))</f>
        <v>259.03906550253788</v>
      </c>
      <c r="FK36" s="59">
        <f t="shared" si="78"/>
        <v>235.54542903570831</v>
      </c>
      <c r="FL36" s="15">
        <f>IF(ISNA(VLOOKUP(A36,'Données projet'!$A$227:$I$247,3,0)),0,VLOOKUP(A36,'Données projet'!$A$227:$I$247,3,0))</f>
        <v>0</v>
      </c>
      <c r="FM36" s="15">
        <f>IF(ISNA(VLOOKUP(A36,'Données projet'!$A$227:$I$247,4,0)),0,VLOOKUP(A36,'Données projet'!$A$227:$I$247,4,0))</f>
        <v>0</v>
      </c>
      <c r="FN36" s="16">
        <f>IF(ISNA(VLOOKUP(A36,'Données projet'!$A$227:$I$247,5,0)),0%,VLOOKUP(A36,'Données projet'!$A$227:$I$247,5,0)*VLOOKUP('Données projet'!$B$16,Paramètres!$A$1:$I$89,7,0))</f>
        <v>0</v>
      </c>
      <c r="FO36" s="16">
        <f>IF(ISNA(VLOOKUP(A36,'Données projet'!$A$227:$I$247,6,0)),0%,VLOOKUP(A36,'Données projet'!$A$227:$I$247,6,0)*VLOOKUP('Données projet'!$B$16,Paramètres!$A$1:$I$89,7,0))</f>
        <v>0</v>
      </c>
      <c r="FP36" s="16">
        <f>IF(ISNA(VLOOKUP(A36,'Données projet'!$A$227:$I$247,7,0)),0%,VLOOKUP(A36,'Données projet'!$A$227:$I$247,7,0))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projet'!$A$253:$I$273,2,0)</f>
        <v>#N/A</v>
      </c>
      <c r="FX36" s="12" t="e">
        <f>VLOOKUP(A36,'Données projet'!$A$253:$I$273,9,0)</f>
        <v>#N/A</v>
      </c>
      <c r="FY36" s="12">
        <f t="array" ref="FY36">INDEX(FX:FX,MIN(IF(ISNUMBER(FX36:FX232),ROW(FX36:FX232),"")))</f>
        <v>10.8</v>
      </c>
      <c r="FZ36" s="12">
        <f>IF('Données projet'!$A$254&gt;35,FZ35+FY36-GH35,IF(A36&lt;'Données projet'!$A$254,$FW$205^A36,IF(A36='Données projet'!$A$254,'Données projet'!$B$254,FZ35+FY36-GH35)))</f>
        <v>150.4</v>
      </c>
      <c r="GA36" s="17">
        <f>FZ36*VLOOKUP('Données projet'!$B$17,Paramètres!$A$1:$I$89,3,0)*VLOOKUP('Données projet'!$B$17,Paramètres!$A$1:$I$89,5,0)</f>
        <v>131.38944000000004</v>
      </c>
      <c r="GB36" s="13">
        <f t="shared" si="79"/>
        <v>34.317219199328761</v>
      </c>
      <c r="GC36" s="20">
        <f t="shared" si="25"/>
        <v>288.60576477216426</v>
      </c>
      <c r="GD36" s="59">
        <f t="shared" si="26"/>
        <v>581.93909810549758</v>
      </c>
      <c r="GE36" s="59">
        <f ca="1">AVERAGE(OFFSET($GD$3,0,0,'Données projet'!$E$17+1,1))-AVERAGE(OFFSET($H$3,0,0,'Données projet'!$E$17+1,1))</f>
        <v>245.1983232777614</v>
      </c>
      <c r="GF36" s="59">
        <f t="shared" si="80"/>
        <v>242.34010522344573</v>
      </c>
      <c r="GG36" s="15">
        <f>IF(ISNA(VLOOKUP(A36,'Données projet'!$A$253:$I$273,3,0)),0,VLOOKUP(A36,'Données projet'!$A$253:$I$273,3,0))</f>
        <v>0</v>
      </c>
      <c r="GH36" s="15">
        <f>IF(ISNA(VLOOKUP(A36,'Données projet'!$A$253:$I$273,4,0)),0,VLOOKUP(A36,'Données projet'!$A$253:$I$273,4,0))</f>
        <v>0</v>
      </c>
      <c r="GI36" s="16">
        <f>IF(ISNA(VLOOKUP(A36,'Données projet'!$A$253:$I$273,5,0)),0%,VLOOKUP(A36,'Données projet'!$A$253:$I$273,5,0)*VLOOKUP('Données projet'!$B$17,Paramètres!$A$1:$I$89,7,0))</f>
        <v>0</v>
      </c>
      <c r="GJ36" s="16">
        <f>IF(ISNA(VLOOKUP(A36,'Données projet'!$A$253:$I$273,6,0)),0%,VLOOKUP(A36,'Données projet'!$A$253:$I$273,6,0)*VLOOKUP('Données projet'!$B$17,Paramètres!$A$1:$I$89,7,0))</f>
        <v>0</v>
      </c>
      <c r="GK36" s="16">
        <f>IF(ISNA(VLOOKUP(A36,'Données projet'!$A$253:$I$273,7,0)),0%,VLOOKUP(A36,'Données projet'!$A$253:$I$273,7,0))</f>
        <v>0</v>
      </c>
      <c r="GL36" s="21">
        <f>EXP(-LN(2)/35)*GL35+(1-EXP(-LN(2)/35))/(LN(2)/35)*GH36*GI36*VLOOKUP('Données projet'!$B$17,Paramètres!$A$1:$I$89,3,0)*0.475*44/12</f>
        <v>0.43827191653336967</v>
      </c>
      <c r="GM36" s="21">
        <f>EXP(-LN(2)/25)*GM35+(1-EXP(-LN(2)/25))/(LN(2)/25)*Calculateur!GH36*Calculateur!GJ36*VLOOKUP('Données projet'!$B$17,Paramètres!$A$1:$I$89,3,0)*0.475*44/12</f>
        <v>3.7400751557415326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4.1783470722749021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projet'!$A$279:$I$299,2,0)</f>
        <v>#N/A</v>
      </c>
      <c r="GS36" s="12" t="e">
        <f>VLOOKUP(A36,'Données projet'!$A$279:$I$299,9,0)</f>
        <v>#N/A</v>
      </c>
      <c r="GT36" s="12">
        <f t="array" ref="GT36">INDEX(GS:GS,MIN(IF(ISNUMBER(GS36:GS232),ROW(GS36:GS232),"")))</f>
        <v>22</v>
      </c>
      <c r="GU36" s="12">
        <f>IF('Données projet'!$A$280&gt;35,GU35+GT36-HC35,IF(A36&lt;'Données projet'!$A$280,$GR$205^A36,IF(A36='Données projet'!$A$280,'Données projet'!$B$280,GU35+GT36-HC35)))</f>
        <v>374.00000000000011</v>
      </c>
      <c r="GV36" s="17">
        <f>GU36*VLOOKUP('Données projet'!$B$18,Paramètres!$A$1:$I$89,3,0)*VLOOKUP('Données projet'!$B$18,Paramètres!$A$1:$I$89,5,0)</f>
        <v>150.72200000000007</v>
      </c>
      <c r="GW36" s="13">
        <f t="shared" si="81"/>
        <v>38.742616829874109</v>
      </c>
      <c r="GX36" s="20">
        <f t="shared" si="28"/>
        <v>329.98420764536417</v>
      </c>
      <c r="GY36" s="59">
        <f t="shared" si="29"/>
        <v>623.31754097869748</v>
      </c>
      <c r="GZ36" s="59">
        <f ca="1">AVERAGE(OFFSET($GY$3,0,0,'Données projet'!$E$18+1,1))-AVERAGE(OFFSET($H$3,0,0,'Données projet'!$E$18+1,1))</f>
        <v>324.36162935850876</v>
      </c>
      <c r="HA36" s="59">
        <f t="shared" si="82"/>
        <v>265.23571072429735</v>
      </c>
      <c r="HB36" s="15">
        <f>IF(ISNA(VLOOKUP(A36,'Données projet'!$A$279:$I$299,3,0)),0,VLOOKUP(A36,'Données projet'!$A$279:$I$299,3,0))</f>
        <v>0</v>
      </c>
      <c r="HC36" s="15">
        <f>IF(ISNA(VLOOKUP(A36,'Données projet'!$A$279:$I$299,4,0)),0,VLOOKUP(A36,'Données projet'!$A$279:$I$299,4,0))</f>
        <v>0</v>
      </c>
      <c r="HD36" s="16">
        <f>IF(ISNA(VLOOKUP(A36,'Données projet'!$A$279:$I$299,5,0)),0%,VLOOKUP(A36,'Données projet'!$A$279:$I$299,5,0)*VLOOKUP('Données projet'!$B$18,Paramètres!$A$1:$I$89,7,0))</f>
        <v>0</v>
      </c>
      <c r="HE36" s="16">
        <f>IF(ISNA(VLOOKUP(A36,'Données projet'!$A$279:$I$299,6,0)),0%,VLOOKUP(A36,'Données projet'!$A$279:$I$299,6,0)*VLOOKUP('Données projet'!$B$18,Paramètres!$A$1:$I$89,7,0))</f>
        <v>0</v>
      </c>
      <c r="HF36" s="16">
        <f>IF(ISNA(VLOOKUP($A36,'Données projet'!$A$279:$I$299,7,0)),0%,VLOOKUP($A36,'Données projet'!$A$279:$I$299,7,0))</f>
        <v>0</v>
      </c>
      <c r="HG36" s="21">
        <f>EXP(-LN(2)/35)*HG35+(1-EXP(-LN(2)/35))/(LN(2)/35)*HC36*HD36*VLOOKUP('Données projet'!$B$18,Paramètres!$A$1:$I$89,3,0)*0.475*44/12</f>
        <v>0</v>
      </c>
      <c r="HH36" s="21">
        <f>EXP(-LN(2)/25)*HH35+(1-EXP(-LN(2)/25))/(LN(2)/25)*Calculateur!HC36*Calculateur!HE36*VLOOKUP('Données projet'!$B$18,Paramètres!$A$1:$I$89,3,0)*0.475*44/12</f>
        <v>2.3201611544691603</v>
      </c>
      <c r="HI36" s="21">
        <f>EXP(-LN(2)/2)*HI35+(1-EXP(-LN(2)/2))/(LN(2)/2)*HC36*HF36*VLOOKUP('Données projet'!$B$18,Paramètres!$A$1:$I$89,3,0)*0.475*44/12</f>
        <v>2.9204885778765162</v>
      </c>
      <c r="HJ36" s="22">
        <f t="shared" si="30"/>
        <v>5.2406497323456769</v>
      </c>
      <c r="HK36" s="74">
        <f>('Scénario référence'!$F$8+'Scénario référence'!$F$9+'Scénario référence'!$B$17+'Scénario référence'!$B$9+'Scénario référence'!$B$10)*70+IF((45+25*(1-EXP(-0.0175*$A36)))&lt;70,'Scénario référence'!$B$16*(45+25*(1-EXP(-0.0175*$A36))),70*'Scénario référence'!$B$16)+IF((32+38*(1-EXP(-0.0175*$A36)))&lt;70,'Scénario référence'!$B$18*(32+38*(1-EXP(-0.0175*$A36))),70*'Scénario référence'!$B$18)</f>
        <v>70</v>
      </c>
      <c r="HL36" s="12">
        <f>IF($A36&gt;30,10,('Scénario référence'!$B$16+'Scénario référence'!$B$17+'Scénario référence'!$B$18+'Scénario référence'!$B$9+'Scénario référence'!$B$10)*$A36*10/30+('Scénario référence'!$F$8+'Scénario référence'!$F$9)*10)</f>
        <v>10</v>
      </c>
      <c r="HM36" s="12" t="e">
        <f>VLOOKUP($A36,'Données projet'!$A$304:$I$324,2,0)</f>
        <v>#N/A</v>
      </c>
      <c r="HN36" s="12" t="e">
        <f>VLOOKUP($A36,'Données projet'!$A$304:$I$324,9,0)</f>
        <v>#N/A</v>
      </c>
      <c r="HO36" s="12">
        <f t="array" ref="HO36">INDEX(HN:HN,MIN(IF(ISNUMBER(HN36:HN232),ROW(HN36:HN232),"")))</f>
        <v>0</v>
      </c>
      <c r="HP36" s="12">
        <f>IF('Données projet'!$A$304&gt;35,HP35+HO36-HX35,IF($A36&lt;'Données projet'!$A$304,$CQ$205^$A36,IF($A36='Données projet'!$A$304,'Données projet'!$B$304,HP35+HO36-HX35)))</f>
        <v>0</v>
      </c>
      <c r="HQ36" s="17">
        <f>HP36*VLOOKUP('Données projet'!$B$19,Paramètres!$A$1:$I$89,3,0)*VLOOKUP('Données projet'!$B$19,Paramètres!$A$1:$I$89,5,0)</f>
        <v>0</v>
      </c>
      <c r="HR36" s="13" t="e">
        <f t="shared" si="83"/>
        <v>#NUM!</v>
      </c>
      <c r="HS36" s="14" t="e">
        <f t="shared" si="31"/>
        <v>#NUM!</v>
      </c>
      <c r="HT36" s="59" t="e">
        <f t="shared" si="32"/>
        <v>#NUM!</v>
      </c>
      <c r="HU36" s="59">
        <f ca="1">AVERAGE(OFFSET(HT$3,0,0,'Données projet'!$E$19+1,1))-AVERAGE(OFFSET($H$3,0,0,'Données projet'!$E$19+1,1))</f>
        <v>91.60721429656013</v>
      </c>
      <c r="HV36" s="59">
        <f t="shared" si="84"/>
        <v>258.94957804210856</v>
      </c>
      <c r="HW36" s="15">
        <f>IF(ISNA(VLOOKUP($A36,'Données projet'!$A$304:$I$324,3,0)),0,VLOOKUP($A36,'Données projet'!$A$304:$I$324,3,0))</f>
        <v>0</v>
      </c>
      <c r="HX36" s="15">
        <f>IF(ISNA(VLOOKUP($A36,'Données projet'!$A$304:$I$324,4,0)),0,VLOOKUP($A36,'Données projet'!$A$304:$I$324,4,0))</f>
        <v>0</v>
      </c>
      <c r="HY36" s="16">
        <f>IF(ISNA(VLOOKUP($A36,'Données projet'!$A$304:$I$324,5,0)),0%,VLOOKUP($A36,'Données projet'!$A$304:$I$324,5,0)*VLOOKUP('Données projet'!$B$19,Paramètres!$A$1:$I$89,7,0))</f>
        <v>0</v>
      </c>
      <c r="HZ36" s="16">
        <f>IF(ISNA(VLOOKUP($A36,'Données projet'!$A$304:$I$324,6,0)),0%,VLOOKUP($A36,'Données projet'!$A$304:$I$324,6,0)*VLOOKUP('Données projet'!$B$19,Paramètres!$A$1:$I$89,7,0))</f>
        <v>0</v>
      </c>
      <c r="IA36" s="16">
        <f>IF(ISNA(VLOOKUP($A36,'Données projet'!$A$304:$I$324,7,0)),0%,VLOOKUP($A36,'Données projet'!$A$304:$I$324,7,0))</f>
        <v>0</v>
      </c>
      <c r="IB36" s="21">
        <f>EXP(-LN(2)/35)*IB35+(1-EXP(-LN(2)/35))/(LN(2)/35)*HX36*HY36*VLOOKUP('Données projet'!$B$19,Paramètres!$A$1:$I$89,3,0)*0.475*44/12</f>
        <v>46.48708942383503</v>
      </c>
      <c r="IC36" s="21">
        <f>EXP(-LN(2)/25)*IC35+(1-EXP(-LN(2)/25))/(LN(2)/25)*Calculateur!HX36*Calculateur!HZ36*VLOOKUP('Données projet'!$B$19,Paramètres!$A$1:$I$89,3,0)*0.475*44/12</f>
        <v>8.9513339560380878</v>
      </c>
      <c r="ID36" s="21">
        <f>EXP(-LN(2)/2)*ID35+(1-EXP(-LN(2)/2))/(LN(2)/2)*HX36*IA36*VLOOKUP('Données projet'!$B$19,Paramètres!$A$1:$I$89,3,0)*0.475*44/12</f>
        <v>0.20253387712627832</v>
      </c>
      <c r="IE36" s="22">
        <f t="shared" si="33"/>
        <v>55.640957256999393</v>
      </c>
      <c r="IF36" s="74">
        <f>('Scénario référence'!$F$8+'Scénario référence'!$F$9+'Scénario référence'!$B$17+'Scénario référence'!$B$9+'Scénario référence'!$B$10)*70+IF((45+25*(1-EXP(-0.0175*$A36)))&lt;70,'Scénario référence'!$B$16*(45+25*(1-EXP(-0.0175*$A36))),70*'Scénario référence'!$B$16)+IF((32+38*(1-EXP(-0.0175*$A36)))&lt;70,'Scénario référence'!$B$18*(32+38*(1-EXP(-0.0175*$A36))),70*'Scénario référence'!$B$18)</f>
        <v>70</v>
      </c>
      <c r="IG36" s="12">
        <f>IF($A36&gt;30,10,('Scénario référence'!$B$16+'Scénario référence'!$B$17+'Scénario référence'!$B$18+'Scénario référence'!$B$9+'Scénario référence'!$B$10)*$A36*10/30+('Scénario référence'!$F$8+'Scénario référence'!$F$9)*10)</f>
        <v>10</v>
      </c>
      <c r="IH36" s="12" t="e">
        <f>VLOOKUP($A36,'Données projet'!$A$330:$I$350,2,0)</f>
        <v>#N/A</v>
      </c>
      <c r="II36" s="12" t="e">
        <f>VLOOKUP($A36,'Données projet'!$A$330:$I$350,9,0)</f>
        <v>#N/A</v>
      </c>
      <c r="IJ36" s="12">
        <f t="array" ref="IJ36">INDEX(II:II,MIN(IF(ISNUMBER(II36:II232),ROW(II36:II232),"")))</f>
        <v>0</v>
      </c>
      <c r="IK36" s="12">
        <f>IF('Données projet'!$A$330&gt;35,IK35+IJ36-IS35,IF($A36&lt;'Données projet'!$A$330,$CQ$205^$A36,IF($A36='Données projet'!$A$330,'Données projet'!$B$330,IK35+IJ36-IS35)))</f>
        <v>0</v>
      </c>
      <c r="IL36" s="17">
        <f>IK36*VLOOKUP('Données projet'!$B$20,Paramètres!$A$1:$I$89,3,0)*VLOOKUP('Données projet'!$B$20,Paramètres!$A$1:$I$89,5,0)</f>
        <v>0</v>
      </c>
      <c r="IM36" s="13" t="e">
        <f t="shared" si="85"/>
        <v>#NUM!</v>
      </c>
      <c r="IN36" s="20" t="e">
        <f t="shared" si="86"/>
        <v>#NUM!</v>
      </c>
      <c r="IO36" s="59" t="e">
        <f t="shared" si="87"/>
        <v>#NUM!</v>
      </c>
      <c r="IP36" s="59">
        <f ca="1">AVERAGE(OFFSET(IO$3,0,0,'Données projet'!$E$20+1,1))-AVERAGE(OFFSET($H$3,0,0,'Données projet'!$E$20+1,1))</f>
        <v>91.60721429656013</v>
      </c>
      <c r="IQ36" s="59">
        <f t="shared" si="88"/>
        <v>258.94957804210856</v>
      </c>
      <c r="IR36" s="15">
        <f>IF(ISNA(VLOOKUP($A36,'Données projet'!$A$330:$I$350,3,0)),0,VLOOKUP($A36,'Données projet'!$A$330:$I$350,3,0))</f>
        <v>0</v>
      </c>
      <c r="IS36" s="15">
        <f>IF(ISNA(VLOOKUP($A36,'Données projet'!$A$330:$I$350,4,0)),0,VLOOKUP($A36,'Données projet'!$A$330:$I$350,4,0))</f>
        <v>0</v>
      </c>
      <c r="IT36" s="16">
        <f>IF(ISNA(VLOOKUP($A36,'Données projet'!$A$330:$I$350,5,0)),0%,VLOOKUP($A36,'Données projet'!$A$330:$I$350,5,0)*VLOOKUP('Données projet'!$B$20,Paramètres!$A$1:$I$89,7,0))</f>
        <v>0</v>
      </c>
      <c r="IU36" s="16">
        <f>IF(ISNA(VLOOKUP($A36,'Données projet'!$A$330:$I$350,6,0)),0%,VLOOKUP($A36,'Données projet'!$A$330:$I$350,6,0)*VLOOKUP('Données projet'!$B$20,Paramètres!$A$1:$I$89,7,0))</f>
        <v>0</v>
      </c>
      <c r="IV36" s="16">
        <f>IF(ISNA(VLOOKUP($A36,'Données projet'!$A$330:$I$350,7,0)),0%,VLOOKUP($A36,'Données projet'!$A$330:$I$350,7,0))</f>
        <v>0</v>
      </c>
      <c r="IW36" s="21">
        <f>EXP(-LN(2)/35)*IW35+(1-EXP(-LN(2)/35))/(LN(2)/35)*IS36*IT36*VLOOKUP('Données projet'!$B$20,Paramètres!$A$1:$I$89,3,0)*0.475*44/12</f>
        <v>46.48708942383503</v>
      </c>
      <c r="IX36" s="21">
        <f>EXP(-LN(2)/25)*IX35+(1-EXP(-LN(2)/25))/(LN(2)/25)*Calculateur!IS36*Calculateur!IU36*VLOOKUP('Données projet'!$B$20,Paramètres!$A$1:$I$89,3,0)*0.475*44/12</f>
        <v>8.9513339560380878</v>
      </c>
      <c r="IY36" s="21">
        <f>EXP(-LN(2)/2)*IY35+(1-EXP(-LN(2)/2))/(LN(2)/2)*IS36*IV36*VLOOKUP('Données projet'!$B$20,Paramètres!$A$1:$I$89,3,0)*0.475*44/12</f>
        <v>0.20253387712627832</v>
      </c>
      <c r="IZ36" s="22">
        <f t="shared" si="89"/>
        <v>55.640957256999393</v>
      </c>
      <c r="JA36" s="74">
        <f>('Scénario référence'!$F$8+'Scénario référence'!$F$9+'Scénario référence'!$B$17+'Scénario référence'!$B$9+'Scénario référence'!$B$10)*70+IF((45+25*(1-EXP(-0.0175*$A36)))&lt;70,'Scénario référence'!$B$16*(45+25*(1-EXP(-0.0175*$A36))),70*'Scénario référence'!$B$16)+IF((32+38*(1-EXP(-0.0175*$A36)))&lt;70,'Scénario référence'!$B$18*(32+38*(1-EXP(-0.0175*$A36))),70*'Scénario référence'!$B$18)</f>
        <v>70</v>
      </c>
      <c r="JB36" s="12">
        <f>IF($A36&gt;30,10,('Scénario référence'!$B$16+'Scénario référence'!$B$17+'Scénario référence'!$B$18+'Scénario référence'!$B$9+'Scénario référence'!$B$10)*$A36*10/30+('Scénario référence'!$F$8+'Scénario référence'!$F$9)*10)</f>
        <v>10</v>
      </c>
      <c r="JC36" s="12" t="e">
        <f>VLOOKUP($A36,'Données projet'!$A$356:$I$376,2,0)</f>
        <v>#N/A</v>
      </c>
      <c r="JD36" s="12" t="e">
        <f>VLOOKUP($A36,'Données projet'!$A$356:$I$376,9,0)</f>
        <v>#N/A</v>
      </c>
      <c r="JE36" s="12">
        <f t="array" ref="JE36">INDEX(JD:JD,MIN(IF(ISNUMBER(JD36:JD232),ROW(JD36:JD232),"")))</f>
        <v>-9.8000000000000007</v>
      </c>
      <c r="JF36" s="12">
        <f>IF('Données projet'!$A$356&gt;35,JF35+JE36-JN35,IF($A36&lt;'Données projet'!$A$356,$CQ$205^$A36,IF($A36='Données projet'!$A$356,'Données projet'!$B$356,JF35+JE36-JN35)))</f>
        <v>58.600000000000051</v>
      </c>
      <c r="JG36" s="17">
        <f>JF36*VLOOKUP('Données projet'!$B$21,Paramètres!$A$1:$I$89,3,0)*VLOOKUP('Données projet'!$B$21,Paramètres!$A$1:$I$89,5,0)</f>
        <v>47.536320000000039</v>
      </c>
      <c r="JH36" s="13">
        <f t="shared" si="90"/>
        <v>13.975644596726267</v>
      </c>
      <c r="JI36" s="20">
        <f t="shared" si="91"/>
        <v>107.13333833929831</v>
      </c>
      <c r="JJ36" s="59">
        <f t="shared" si="92"/>
        <v>400.46667167263161</v>
      </c>
      <c r="JK36" s="59">
        <f ca="1">AVERAGE(OFFSET($JJ$3,0,0,'Données projet'!$E$22+1,1))-AVERAGE(OFFSET($H$3,0,0,'Données projet'!$E$22+1,1))</f>
        <v>353.35574633294613</v>
      </c>
      <c r="JL36" s="59">
        <f t="shared" si="93"/>
        <v>170.36796666474726</v>
      </c>
      <c r="JM36" s="15">
        <f>IF(ISNA(VLOOKUP($A36,'Données projet'!$A$356:$I$376,3,0)),0,VLOOKUP($A36,'Données projet'!$A$356:$I$376,3,0))</f>
        <v>0</v>
      </c>
      <c r="JN36" s="15">
        <f>IF(ISNA(VLOOKUP($A36,'Données projet'!$A$356:$I$376,4,0)),0,VLOOKUP($A36,'Données projet'!$A$356:$I$376,4,0))</f>
        <v>0</v>
      </c>
      <c r="JO36" s="16">
        <f>IF(ISNA(VLOOKUP($A36,'Données projet'!$A$356:$I$376,5,0)),0%,VLOOKUP($A36,'Données projet'!$A$356:$I$376,5,0)*VLOOKUP('Données projet'!$B$21,Paramètres!$A$1:$I$89,7,0))</f>
        <v>0</v>
      </c>
      <c r="JP36" s="16">
        <f>IF(ISNA(VLOOKUP($A36,'Données projet'!$A$356:$I$376,6,0)),0%,VLOOKUP($A36,'Données projet'!$A$356:$I$376,6,0)*VLOOKUP('Données projet'!$B$21,Paramètres!$A$1:$I$89,7,0))</f>
        <v>0</v>
      </c>
      <c r="JQ36" s="16">
        <f>IF(ISNA(VLOOKUP($A36,'Données projet'!$A$356:$I$376,7,0)),0%,VLOOKUP($A36,'Données projet'!$A$356:$I$376,7,0))</f>
        <v>0</v>
      </c>
      <c r="JR36" s="21">
        <f>EXP(-LN(2)/35)*JR35+(1-EXP(-LN(2)/35))/(LN(2)/35)*JN36*JO36*VLOOKUP('Données projet'!$B$21,Paramètres!$A$1:$I$89,3,0)*0.475*44/12</f>
        <v>0</v>
      </c>
      <c r="JS36" s="21">
        <f>EXP(-LN(2)/25)*JS35+(1-EXP(-LN(2)/25))/(LN(2)/25)*Calculateur!JN36*Calculateur!JP36*VLOOKUP('Données projet'!$B$21,Paramètres!$A$1:$I$89,3,0)*0.475*44/12</f>
        <v>0</v>
      </c>
      <c r="JT36" s="21">
        <f>EXP(-LN(2)/2)*JT35+(1-EXP(-LN(2)/2))/(LN(2)/2)*JN36*JQ36*VLOOKUP('Données projet'!$B$21,Paramètres!$A$1:$I$89,3,0)*0.475*44/12</f>
        <v>2.273089457396297</v>
      </c>
      <c r="JU36" s="18">
        <f t="shared" si="39"/>
        <v>2.273089457396297</v>
      </c>
      <c r="JV36" s="74">
        <f>('Scénario référence'!$F$8+'Scénario référence'!$F$9+'Scénario référence'!$B$17+'Scénario référence'!$B$9+'Scénario référence'!$B$10)*70+IF((45+25*(1-EXP(-0.0175*$A36)))&lt;70,'Scénario référence'!$B$16*(45+25*(1-EXP(-0.0175*$A36))),70*'Scénario référence'!$B$16)+IF((32+38*(1-EXP(-0.0175*$A36)))&lt;70,'Scénario référence'!$B$18*(32+38*(1-EXP(-0.0175*$A36))),70*'Scénario référence'!$B$18)</f>
        <v>70</v>
      </c>
      <c r="JW36" s="12">
        <f>IF($A36&gt;30,10,('Scénario référence'!$B$16+'Scénario référence'!$B$17+'Scénario référence'!$B$18+'Scénario référence'!$B$9+'Scénario référence'!$B$10)*$A36*10/30+('Scénario référence'!$F$8+'Scénario référence'!$F$9)*10)</f>
        <v>10</v>
      </c>
      <c r="JX36" s="12" t="e">
        <f>VLOOKUP($A36,'Données projet'!$A$382:$I$402,2,0)</f>
        <v>#N/A</v>
      </c>
      <c r="JY36" s="12" t="e">
        <f>VLOOKUP($A36,'Données projet'!$A$382:$I$402,9,0)</f>
        <v>#N/A</v>
      </c>
      <c r="JZ36" s="12">
        <f t="array" ref="JZ36">INDEX(JY:JY,MIN(IF(ISNUMBER(JY36:JY232),ROW(JY36:JY232),"")))</f>
        <v>8.0564102564102633</v>
      </c>
      <c r="KA36" s="12">
        <f>IF('Données projet'!$A$382&gt;35,KA35+JZ36-KI35,IF($A36&lt;'Données projet'!$A$382,$CQ$205^$A36,IF($A36='Données projet'!$A$382,'Données projet'!$B$382,KA35+JZ36-KI35)))</f>
        <v>146.05384615384611</v>
      </c>
      <c r="KB36" s="17">
        <f>KA36*VLOOKUP('Données projet'!$B$22,Paramètres!$A$1:$I$89,3,0)*VLOOKUP('Données projet'!$B$22,Paramètres!$A$1:$I$89,5,0)</f>
        <v>97.972919999999974</v>
      </c>
      <c r="KC36" s="13">
        <f t="shared" si="94"/>
        <v>26.478499612136673</v>
      </c>
      <c r="KD36" s="20">
        <f t="shared" si="95"/>
        <v>216.75288915780467</v>
      </c>
      <c r="KE36" s="59">
        <f t="shared" si="96"/>
        <v>510.08622249113796</v>
      </c>
      <c r="KF36" s="59">
        <f ca="1">AVERAGE(OFFSET($KE$3,0,0,'Données projet'!$E$22+1,1))-AVERAGE(OFFSET($H$3,0,0,'Données projet'!$E$22+1,1))</f>
        <v>193.91714772848269</v>
      </c>
      <c r="KG36" s="59">
        <f t="shared" si="97"/>
        <v>159.20429420478047</v>
      </c>
      <c r="KH36" s="15">
        <f>IF(ISNA(VLOOKUP($A36,'Données projet'!$A$382:$I$402,3,0)),0,VLOOKUP($A36,'Données projet'!$A$382:$I$402,3,0))</f>
        <v>0</v>
      </c>
      <c r="KI36" s="15">
        <f>IF(ISNA(VLOOKUP($A36,'Données projet'!$A$382:$I$402,4,0)),0,VLOOKUP($A36,'Données projet'!$A$382:$I$402,4,0))</f>
        <v>0</v>
      </c>
      <c r="KJ36" s="16">
        <f>IF(ISNA(VLOOKUP($A36,'Données projet'!$A$382:$I$402,5,0)),0%,VLOOKUP($A36,'Données projet'!$A$382:$I$402,5,0)*VLOOKUP('Données projet'!$B$22,Paramètres!$A$1:$I$89,7,0))</f>
        <v>0</v>
      </c>
      <c r="KK36" s="16">
        <f>IF(ISNA(VLOOKUP($A36,'Données projet'!$A$382:$I$402,6,0)),0%,VLOOKUP($A36,'Données projet'!$A$382:$I$402,6,0)*VLOOKUP('Données projet'!$B$22,Paramètres!$A$1:$I$89,7,0))</f>
        <v>0</v>
      </c>
      <c r="KL36" s="16">
        <f>IF(ISNA(VLOOKUP($A36,'Données projet'!$A$382:$I$402,7,0)),0%,VLOOKUP($A36,'Données projet'!$A$382:$I$402,7,0))</f>
        <v>0</v>
      </c>
      <c r="KM36" s="21">
        <f>EXP(-LN(2)/35)*KM35+(1-EXP(-LN(2)/35))/(LN(2)/35)*KI36*KJ36*VLOOKUP('Données projet'!$B$22,Paramètres!$A$1:$I$89,3,0)*0.475*44/12</f>
        <v>0</v>
      </c>
      <c r="KN36" s="21">
        <f>EXP(-LN(2)/25)*KN35+(1-EXP(-LN(2)/25))/(LN(2)/25)*Calculateur!KI36*Calculateur!KK36*VLOOKUP('Données projet'!$B$22,Paramètres!$A$1:$I$89,3,0)*0.475*44/12</f>
        <v>0</v>
      </c>
      <c r="KO36" s="21">
        <f>EXP(-LN(2)/2)*KO35+(1-EXP(-LN(2)/2))/(LN(2)/2)*KI36*KL36*VLOOKUP('Données projet'!$B$22,Paramètres!$A$1:$I$89,3,0)*0.475*44/12</f>
        <v>0</v>
      </c>
      <c r="KP36" s="22">
        <f t="shared" si="98"/>
        <v>0</v>
      </c>
      <c r="KQ36" s="74">
        <f>('Scénario référence'!$F$8+'Scénario référence'!$F$9+'Scénario référence'!$B$17+'Scénario référence'!$B$9+'Scénario référence'!$B$10)*70+IF((45+25*(1-EXP(-0.0175*$A36)))&lt;70,'Scénario référence'!$B$16*(45+25*(1-EXP(-0.0175*$A36))),70*'Scénario référence'!$B$16)+IF((32+38*(1-EXP(-0.0175*$A36)))&lt;70,'Scénario référence'!$B$18*(32+38*(1-EXP(-0.0175*$A36))),70*'Scénario référence'!$B$18)</f>
        <v>70</v>
      </c>
      <c r="KR36" s="12">
        <f>IF($A36&gt;30,10,('Scénario référence'!$B$16+'Scénario référence'!$B$17+'Scénario référence'!$B$18+'Scénario référence'!$B$9+'Scénario référence'!$B$10)*$A36*10/30+('Scénario référence'!$F$8+'Scénario référence'!$F$9)*10)</f>
        <v>10</v>
      </c>
      <c r="KS36" s="12" t="e">
        <f>VLOOKUP($A36,'Données projet'!$A$408:$I$428,2,0)</f>
        <v>#N/A</v>
      </c>
      <c r="KT36" s="12" t="e">
        <f>VLOOKUP($A36,'Données projet'!$A$408:$I$428,9,0)</f>
        <v>#N/A</v>
      </c>
      <c r="KU36" s="12">
        <f t="array" ref="KU36">INDEX(KT:KT,MIN(IF(ISNUMBER(KT36:KT232),ROW(KT36:KT232),"")))</f>
        <v>10.8</v>
      </c>
      <c r="KV36" s="12">
        <f>IF('Données projet'!$A$408&gt;35,KV35+KU36-LD35,IF($A36&lt;'Données projet'!$A$408,$CQ$205^$A36,IF($A36='Données projet'!$A$408,'Données projet'!$B$408,KV35+KU36-LD35)))</f>
        <v>150.40000000000003</v>
      </c>
      <c r="KW36" s="17">
        <f>KV36*VLOOKUP('Données projet'!$B$23,Paramètres!$A$1:$I$89,3,0)*VLOOKUP('Données projet'!$B$23,Paramètres!$A$1:$I$89,5,0)</f>
        <v>131.38944000000006</v>
      </c>
      <c r="KX36" s="13">
        <f t="shared" si="99"/>
        <v>34.317219199328761</v>
      </c>
      <c r="KY36" s="14">
        <f t="shared" si="43"/>
        <v>288.60576477216438</v>
      </c>
      <c r="KZ36" s="59">
        <f t="shared" si="44"/>
        <v>581.93909810549769</v>
      </c>
      <c r="LA36" s="59">
        <f ca="1">AVERAGE(OFFSET($KZ$3,0,0,'Données projet'!$E$23+1,1))-AVERAGE(OFFSET($H$3,0,0,'Données projet'!$E$23+1,1))</f>
        <v>248.33596943633819</v>
      </c>
      <c r="LB36" s="59">
        <f t="shared" si="100"/>
        <v>242.34010522344573</v>
      </c>
      <c r="LC36" s="15">
        <f>IF(ISNA(VLOOKUP($A36,'Données projet'!$A$408:$I$428,3,0)),0,VLOOKUP($A36,'Données projet'!$A$408:$I$428,3,0))</f>
        <v>0</v>
      </c>
      <c r="LD36" s="15">
        <f>IF(ISNA(VLOOKUP($A36,'Données projet'!$A$408:$I$428,4,0)),0,VLOOKUP($A36,'Données projet'!$A$408:$I$428,4,0))</f>
        <v>0</v>
      </c>
      <c r="LE36" s="16">
        <f>IF(ISNA(VLOOKUP($A36,'Données projet'!$A$408:$I$428,5,0)),0%,VLOOKUP($A36,'Données projet'!$A$408:$I$428,5,0)*VLOOKUP('Données projet'!$B$23,Paramètres!$A$1:$I$89,7,0))</f>
        <v>0</v>
      </c>
      <c r="LF36" s="16">
        <f>IF(ISNA(VLOOKUP($A36,'Données projet'!$A$408:$I$428,6,0)),0%,VLOOKUP($A36,'Données projet'!$A$408:$I$428,6,0)*VLOOKUP('Données projet'!$B$23,Paramètres!$A$1:$I$89,7,0))</f>
        <v>0</v>
      </c>
      <c r="LG36" s="16">
        <f>IF(ISNA(VLOOKUP($A36,'Données projet'!$A$408:$I$428,7,0)),0%,VLOOKUP($A36,'Données projet'!$A$408:$I$428,7,0))</f>
        <v>0</v>
      </c>
      <c r="LH36" s="21">
        <f>EXP(-LN(2)/35)*LH35+(1-EXP(-LN(2)/35))/(LN(2)/35)*LD36*LE36*VLOOKUP('Données projet'!$B$23,Paramètres!$A$1:$I$89,3,0)*0.475*44/12</f>
        <v>0.43827191653336967</v>
      </c>
      <c r="LI36" s="21">
        <f>EXP(-LN(2)/25)*LI35+(1-EXP(-LN(2)/25))/(LN(2)/25)*Calculateur!LD36*Calculateur!LF36*VLOOKUP('Données projet'!$B$23,Paramètres!$A$1:$I$89,3,0)*0.475*44/12</f>
        <v>3.7400751557415326</v>
      </c>
      <c r="LJ36" s="21">
        <f>EXP(-LN(2)/2)*LJ35+(1-EXP(-LN(2)/2))/(LN(2)/2)*LD36*LG36*VLOOKUP('Données projet'!$B$23,Paramètres!$A$1:$I$89,3,0)*0.475*44/12</f>
        <v>0</v>
      </c>
      <c r="LK36" s="22">
        <f t="shared" si="101"/>
        <v>4.1783470722749021</v>
      </c>
      <c r="LL36" s="74">
        <f>('Scénario référence'!$F$8+'Scénario référence'!$F$9+'Scénario référence'!$B$17+'Scénario référence'!$B$9+'Scénario référence'!$B$10)*70+IF((45+25*(1-EXP(-0.0175*$A36)))&lt;70,'Scénario référence'!$B$16*(45+25*(1-EXP(-0.0175*$A36))),70*'Scénario référence'!$B$16)+IF((32+38*(1-EXP(-0.0175*$A36)))&lt;70,'Scénario référence'!$B$18*(32+38*(1-EXP(-0.0175*$A36))),70*'Scénario référence'!$B$18)</f>
        <v>70</v>
      </c>
      <c r="LM36" s="12">
        <f>IF($A36&gt;30,10,('Scénario référence'!$B$16+'Scénario référence'!$B$17+'Scénario référence'!$B$18+'Scénario référence'!$B$9+'Scénario référence'!$B$10)*$A36*10/30+('Scénario référence'!$F$8+'Scénario référence'!$F$9)*10)</f>
        <v>10</v>
      </c>
      <c r="LN36" s="12" t="e">
        <f>VLOOKUP($A36,'Données projet'!$A$434:$I$454,2,0)</f>
        <v>#N/A</v>
      </c>
      <c r="LO36" s="12" t="e">
        <f>VLOOKUP($A36,'Données projet'!$A$434:$I$454,9,0)</f>
        <v>#N/A</v>
      </c>
      <c r="LP36" s="12">
        <f t="array" ref="LP36">INDEX(LO:LO,MIN(IF(ISNUMBER(LO36:LO232),ROW(LO36:LO232),"")))</f>
        <v>5.3369963369963358</v>
      </c>
      <c r="LQ36" s="12">
        <f>IF('Données projet'!$A$434&gt;35,LQ35+LP36-LY35,IF($A36&lt;'Données projet'!$A$434,$CQ$205^$A36,IF($A36='Données projet'!$A$434,'Données projet'!$B$434,LQ35+LP36-LY35)))</f>
        <v>103.71611721611723</v>
      </c>
      <c r="LR36" s="17">
        <f>LQ36*VLOOKUP('Données projet'!$B$24,Paramètres!$A$1:$I$89,3,0)*VLOOKUP('Données projet'!$B$24,Paramètres!$A$1:$I$89,5,0)</f>
        <v>105.16814285714287</v>
      </c>
      <c r="LS36" s="13">
        <f t="shared" si="102"/>
        <v>28.189602262365472</v>
      </c>
      <c r="LT36" s="14">
        <f t="shared" si="46"/>
        <v>232.264739416477</v>
      </c>
      <c r="LU36" s="59">
        <f t="shared" si="103"/>
        <v>525.59807274981029</v>
      </c>
      <c r="LV36" s="59">
        <f ca="1">AVERAGE(OFFSET($LU$3,0,0,'Données projet'!$E$24+1,1))-AVERAGE(OFFSET($H$3,0,0,'Données projet'!$E$24+1,1))</f>
        <v>260.52627655062872</v>
      </c>
      <c r="LW36" s="59">
        <f t="shared" si="104"/>
        <v>159.20429420478047</v>
      </c>
      <c r="LX36" s="15">
        <f>IF(ISNA(VLOOKUP($A36,'Données projet'!$A$434:$I$454,3,0)),0,VLOOKUP($A36,'Données projet'!$A$434:$I$454,3,0))</f>
        <v>0</v>
      </c>
      <c r="LY36" s="15">
        <f>IF(ISNA(VLOOKUP($A36,'Données projet'!$A$434:$I$454,4,0)),0,VLOOKUP($A36,'Données projet'!$A$434:$I$454,4,0))</f>
        <v>0</v>
      </c>
      <c r="LZ36" s="16">
        <f>IF(ISNA(VLOOKUP($A36,'Données projet'!$A$434:$I$454,5,0)),0%,VLOOKUP($A36,'Données projet'!$A$434:$I$454,5,0)*VLOOKUP('Données projet'!$B$24,Paramètres!$A$1:$I$89,7,0))</f>
        <v>0</v>
      </c>
      <c r="MA36" s="16">
        <f>IF(ISNA(VLOOKUP($A36,'Données projet'!$A$434:$I$454,6,0)),0%,VLOOKUP($A36,'Données projet'!$A$434:$I$454,6,0)*VLOOKUP('Données projet'!$B$24,Paramètres!$A$1:$I$89,7,0))</f>
        <v>0</v>
      </c>
      <c r="MB36" s="16">
        <f>IF(ISNA(VLOOKUP($A36,'Données projet'!$A$434:$I$454,7,0)),0%,VLOOKUP($A36,'Données projet'!$A$434:$I$454,7,0))</f>
        <v>0</v>
      </c>
      <c r="MC36" s="21">
        <f>EXP(-LN(2)/35)*MC35+(1-EXP(-LN(2)/35))/(LN(2)/35)*LY36*LZ36*VLOOKUP('Données projet'!$B$24,Paramètres!$A$1:$I$89,3,0)*0.475*44/12</f>
        <v>0</v>
      </c>
      <c r="MD36" s="21">
        <f>EXP(-LN(2)/25)*MD35+(1-EXP(-LN(2)/25))/(LN(2)/25)*Calculateur!LY36*Calculateur!MA36*VLOOKUP('Données projet'!$B$24,Paramètres!$A$1:$I$89,3,0)*0.475*44/12</f>
        <v>0</v>
      </c>
      <c r="ME36" s="21">
        <f>EXP(-LN(2)/2)*ME35+(1-EXP(-LN(2)/2))/(LN(2)/2)*LY36*MB36*VLOOKUP('Données projet'!$B$24,Paramètres!$A$1:$I$89,3,0)*0.475*44/12</f>
        <v>0</v>
      </c>
      <c r="MF36" s="22">
        <f t="shared" si="105"/>
        <v>0</v>
      </c>
      <c r="MG36" s="74">
        <f>('Scénario référence'!$F$8+'Scénario référence'!$F$9+'Scénario référence'!$B$17+'Scénario référence'!$B$9+'Scénario référence'!$B$10)*70+IF((45+25*(1-EXP(-0.0175*$A36)))&lt;70,'Scénario référence'!$B$16*(45+25*(1-EXP(-0.0175*$A36))),70*'Scénario référence'!$B$16)+IF((32+38*(1-EXP(-0.0175*$A36)))&lt;70,'Scénario référence'!$B$18*(32+38*(1-EXP(-0.0175*$A36))),70*'Scénario référence'!$B$18)</f>
        <v>70</v>
      </c>
      <c r="MH36" s="12">
        <f>IF($A36&gt;30,10,('Scénario référence'!$B$16+'Scénario référence'!$B$17+'Scénario référence'!$B$18+'Scénario référence'!$B$9+'Scénario référence'!$B$10)*$A36*10/30+('Scénario référence'!$F$8+'Scénario référence'!$F$9)*10)</f>
        <v>10</v>
      </c>
      <c r="MI36" s="12" t="e">
        <f>VLOOKUP($A36,'Données projet'!$A$460:$I$480,2,0)</f>
        <v>#N/A</v>
      </c>
      <c r="MJ36" s="12" t="e">
        <f>VLOOKUP($A36,'Données projet'!$A$460:$I$480,9,0)</f>
        <v>#N/A</v>
      </c>
      <c r="MK36" s="12">
        <f t="array" ref="MK36">INDEX(MJ:MJ,MIN(IF(ISNUMBER(MJ36:MJ232),ROW(MJ36:MJ232),"")))</f>
        <v>0</v>
      </c>
      <c r="ML36" s="12">
        <f>IF('Données projet'!$A$460&gt;35,ML35+MK36-MT35,IF($A36&lt;'Données projet'!$A$460,$CQ$205^$A36,IF($A36='Données projet'!$A$460,'Données projet'!$B$460,ML35+MK36-MT35)))</f>
        <v>0</v>
      </c>
      <c r="MM36" s="17" t="e">
        <f>ML36*VLOOKUP('Données projet'!$B$25,Paramètres!$A$1:$I$89,3,0)*VLOOKUP('Données projet'!$B$25,Paramètres!$A$1:$I$89,5,0)</f>
        <v>#N/A</v>
      </c>
      <c r="MN36" s="13" t="e">
        <f t="shared" si="106"/>
        <v>#N/A</v>
      </c>
      <c r="MO36" s="14" t="e">
        <f t="shared" si="49"/>
        <v>#N/A</v>
      </c>
      <c r="MP36" s="59" t="e">
        <f t="shared" si="50"/>
        <v>#N/A</v>
      </c>
      <c r="MQ36" s="20" t="e">
        <f ca="1">AVERAGE(OFFSET($MP$3,0,0,'Données projet'!$E$25+1,1))-AVERAGE(OFFSET($H$3,0,0,'Données projet'!$E$25+1,1))</f>
        <v>#N/A</v>
      </c>
      <c r="MR36" s="59" t="e">
        <f t="shared" si="107"/>
        <v>#N/A</v>
      </c>
      <c r="MS36" s="15">
        <f>IF(ISNA(VLOOKUP($A36,'Données projet'!$A$460:$I$480,3,0)),0,VLOOKUP($A36,'Données projet'!$A$460:$I$480,3,0))</f>
        <v>0</v>
      </c>
      <c r="MT36" s="15">
        <f>IF(ISNA(VLOOKUP($A36,'Données projet'!$A$460:$I$480,4,0)),0,VLOOKUP($A36,'Données projet'!$A$460:$I$480,4,0))</f>
        <v>0</v>
      </c>
      <c r="MU36" s="16">
        <f>IF(ISNA(VLOOKUP($A36,'Données projet'!$A$460:$I$480,5,0)),0%,VLOOKUP($A36,'Données projet'!$A$460:$I$480,5,0)*VLOOKUP('Données projet'!$B$25,Paramètres!$A$1:$I$89,7,0))</f>
        <v>0</v>
      </c>
      <c r="MV36" s="16">
        <f>IF(ISNA(VLOOKUP($A36,'Données projet'!$A$460:$I$480,6,0)),0%,VLOOKUP($A36,'Données projet'!$A$460:$I$480,6,0)*VLOOKUP('Données projet'!$B$25,Paramètres!$A$1:$I$89,7,0))</f>
        <v>0</v>
      </c>
      <c r="MW36" s="16">
        <f>IF(ISNA(VLOOKUP($A36,'Données projet'!$A$460:$I$480,7,0)),0%,VLOOKUP($A36,'Données projet'!$A$460:$I$480,7,0))</f>
        <v>0</v>
      </c>
      <c r="MX36" s="21" t="e">
        <f>EXP(-LN(2)/35)*MX35+(1-EXP(-LN(2)/35))/(LN(2)/35)*MT36*MU36*VLOOKUP('Données projet'!$B$25,Paramètres!$A$1:$I$89,3,0)*0.475*44/12</f>
        <v>#N/A</v>
      </c>
      <c r="MY36" s="21" t="e">
        <f>EXP(-LN(2)/25)*MY35+(1-EXP(-LN(2)/25))/(LN(2)/25)*Calculateur!MT36*Calculateur!MV36*VLOOKUP('Données projet'!$B$25,Paramètres!$A$1:$I$89,3,0)*0.475*44/12</f>
        <v>#N/A</v>
      </c>
      <c r="MZ36" s="21" t="e">
        <f>EXP(-LN(2)/2)*MZ35+(1-EXP(-LN(2)/2))/(LN(2)/2)*MT36*MW36*VLOOKUP('Données projet'!$B$25,Paramètres!$A$1:$I$89,3,0)*0.475*44/12</f>
        <v>#N/A</v>
      </c>
      <c r="NA36" s="22" t="e">
        <f t="shared" si="108"/>
        <v>#N/A</v>
      </c>
      <c r="NB36" s="74">
        <f>('Scénario référence'!$F$8+'Scénario référence'!$F$9+'Scénario référence'!$B$17+'Scénario référence'!$B$9+'Scénario référence'!$B$10)*70+IF((45+25*(1-EXP(-0.0175*$A36)))&lt;70,'Scénario référence'!$B$16*(45+25*(1-EXP(-0.0175*$A36))),70*'Scénario référence'!$B$16)+IF((32+38*(1-EXP(-0.0175*$A36)))&lt;70,'Scénario référence'!$B$18*(32+38*(1-EXP(-0.0175*$A36))),70*'Scénario référence'!$B$18)</f>
        <v>70</v>
      </c>
      <c r="NC36" s="12">
        <f>IF($A36&gt;30,10,('Scénario référence'!$B$16+'Scénario référence'!$B$17+'Scénario référence'!$B$18+'Scénario référence'!$B$9+'Scénario référence'!$B$10)*$A36*10/30+('Scénario référence'!$F$8+'Scénario référence'!$F$9)*10)</f>
        <v>10</v>
      </c>
      <c r="ND36" s="12" t="e">
        <f>VLOOKUP($A36,'Données projet'!$A$486:$I$506,2,0)</f>
        <v>#N/A</v>
      </c>
      <c r="NE36" s="12" t="e">
        <f>VLOOKUP($A36,'Données projet'!$A$486:$I$506,9,0)</f>
        <v>#N/A</v>
      </c>
      <c r="NF36" s="12">
        <f t="array" ref="NF36">INDEX(NE:NE,MIN(IF(ISNUMBER(NE36:NE232),ROW(NE36:NE232),"")))</f>
        <v>0</v>
      </c>
      <c r="NG36" s="12">
        <f>IF('Données projet'!$A$486&gt;35,NG35+NF36-NO35,IF($A36&lt;'Données projet'!$A$486,$CQ$205^$A36,IF($A36='Données projet'!$A$486,'Données projet'!$B$486,NG35+NF36-NO35)))</f>
        <v>0</v>
      </c>
      <c r="NH36" s="17" t="e">
        <f>NG36*VLOOKUP('Données projet'!$B$26,Paramètres!$A$1:$I$89,3,0)*VLOOKUP('Données projet'!$B$26,Paramètres!$A$1:$I$89,5,0)</f>
        <v>#N/A</v>
      </c>
      <c r="NI36" s="13" t="e">
        <f t="shared" si="109"/>
        <v>#N/A</v>
      </c>
      <c r="NJ36" s="14" t="e">
        <f t="shared" si="52"/>
        <v>#N/A</v>
      </c>
      <c r="NK36" s="59" t="e">
        <f t="shared" si="53"/>
        <v>#N/A</v>
      </c>
      <c r="NL36" s="20" t="e">
        <f ca="1">AVERAGE(OFFSET($NK$3,0,0,'Données projet'!$E$26+1,1))-AVERAGE(OFFSET($H$3,0,0,'Données projet'!$E$26+1,1))</f>
        <v>#N/A</v>
      </c>
      <c r="NM36" s="59" t="e">
        <f t="shared" si="110"/>
        <v>#N/A</v>
      </c>
      <c r="NN36" s="15">
        <f>IF(ISNA(VLOOKUP($A36,'Données projet'!$A$486:$I$506,3,0)),0,VLOOKUP($A36,'Données projet'!$A$486:$I$506,3,0))</f>
        <v>0</v>
      </c>
      <c r="NO36" s="15">
        <f>IF(ISNA(VLOOKUP($A36,'Données projet'!$A$486:$I$506,4,0)),0,VLOOKUP($A36,'Données projet'!$A$486:$I$506,4,0))</f>
        <v>0</v>
      </c>
      <c r="NP36" s="16">
        <f>IF(ISNA(VLOOKUP($A36,'Données projet'!$A$486:$I$506,5,0)),0%,VLOOKUP($A36,'Données projet'!$A$486:$I$506,5,0)*VLOOKUP('Données projet'!$B$26,Paramètres!$A$1:$I$89,7,0))</f>
        <v>0</v>
      </c>
      <c r="NQ36" s="16">
        <f>IF(ISNA(VLOOKUP($A36,'Données projet'!$A$486:$I$506,6,0)),0%,VLOOKUP($A36,'Données projet'!$A$486:$I$506,6,0)*VLOOKUP('Données projet'!$B$26,Paramètres!$A$1:$I$89,7,0))</f>
        <v>0</v>
      </c>
      <c r="NR36" s="16">
        <f>IF(ISNA(VLOOKUP($A36,'Données projet'!$A$486:$I$506,7,0)),0%,VLOOKUP($A36,'Données projet'!$A$486:$I$506,7,0))</f>
        <v>0</v>
      </c>
      <c r="NS36" s="21" t="e">
        <f>EXP(-LN(2)/35)*NS35+(1-EXP(-LN(2)/35))/(LN(2)/35)*NO36*NP36*VLOOKUP('Données projet'!$B$26,Paramètres!$A$1:$I$89,3,0)*0.475*44/12</f>
        <v>#N/A</v>
      </c>
      <c r="NT36" s="21" t="e">
        <f>EXP(-LN(2)/25)*NT35+(1-EXP(-LN(2)/25))/(LN(2)/25)*Calculateur!NO36*Calculateur!NQ36*VLOOKUP('Données projet'!$B$26,Paramètres!$A$1:$I$89,3,0)*0.475*44/12</f>
        <v>#N/A</v>
      </c>
      <c r="NU36" s="21" t="e">
        <f>EXP(-LN(2)/2)*NU35+(1-EXP(-LN(2)/2))/(LN(2)/2)*NO36*NR36*VLOOKUP('Données projet'!$B$26,Paramètres!$A$1:$I$89,3,0)*0.475*44/12</f>
        <v>#N/A</v>
      </c>
      <c r="NV36" s="22" t="e">
        <f t="shared" si="111"/>
        <v>#N/A</v>
      </c>
      <c r="NW36" s="74">
        <f>('Scénario référence'!$F$8+'Scénario référence'!$F$9+'Scénario référence'!$B$17+'Scénario référence'!$B$9+'Scénario référence'!$B$10)*70+IF((45+25*(1-EXP(-0.0175*$A36)))&lt;70,'Scénario référence'!$B$16*(45+25*(1-EXP(-0.0175*$A36))),70*'Scénario référence'!$B$16)+IF((32+38*(1-EXP(-0.0175*$A36)))&lt;70,'Scénario référence'!$B$18*(32+38*(1-EXP(-0.0175*$A36))),70*'Scénario référence'!$B$18)</f>
        <v>70</v>
      </c>
      <c r="NX36" s="12">
        <f>IF($A36&gt;30,10,('Scénario référence'!$B$16+'Scénario référence'!$B$17+'Scénario référence'!$B$18+'Scénario référence'!$B$9+'Scénario référence'!$B$10)*$A36*10/30+('Scénario référence'!$F$8+'Scénario référence'!$F$9)*10)</f>
        <v>10</v>
      </c>
      <c r="NY36" s="12" t="e">
        <f>VLOOKUP($A36,'Données projet'!$A$512:$I$532,2,0)</f>
        <v>#N/A</v>
      </c>
      <c r="NZ36" s="12" t="e">
        <f>VLOOKUP($A36,'Données projet'!$A$512:$I$532,9,0)</f>
        <v>#N/A</v>
      </c>
      <c r="OA36" s="12">
        <f t="array" ref="OA36">INDEX(NZ:NZ,MIN(IF(ISNUMBER(NZ36:NZ232),ROW(NZ36:NZ232),"")))</f>
        <v>0</v>
      </c>
      <c r="OB36" s="12">
        <f>IF('Données projet'!$A$512&gt;35,OB35+OA36-OJ35,IF($A36&lt;'Données projet'!$A$512,$CQ$205^$A36,IF($A36='Données projet'!$A$512,'Données projet'!$B$512,OB35+OA36-OJ35)))</f>
        <v>0</v>
      </c>
      <c r="OC36" s="17" t="e">
        <f>OB36*VLOOKUP('Données projet'!$B$27,Paramètres!$A$1:$I$89,3,0)*VLOOKUP('Données projet'!$B$27,Paramètres!$A$1:$I$89,5,0)</f>
        <v>#N/A</v>
      </c>
      <c r="OD36" s="13" t="e">
        <f t="shared" si="112"/>
        <v>#N/A</v>
      </c>
      <c r="OE36" s="14" t="e">
        <f t="shared" si="55"/>
        <v>#N/A</v>
      </c>
      <c r="OF36" s="59" t="e">
        <f t="shared" si="56"/>
        <v>#N/A</v>
      </c>
      <c r="OG36" s="20" t="e">
        <f ca="1">AVERAGE(OFFSET($OF$3,0,0,'Données projet'!$E$27+1,1))-AVERAGE(OFFSET($H$3,0,0,'Données projet'!$E$27+1,1))</f>
        <v>#N/A</v>
      </c>
      <c r="OH36" s="59" t="e">
        <f t="shared" si="113"/>
        <v>#N/A</v>
      </c>
      <c r="OI36" s="15">
        <f>IF(ISNA(VLOOKUP($A36,'Données projet'!$A$512:$I$532,3,0)),0,VLOOKUP($A36,'Données projet'!$A$512:$I$532,3,0))</f>
        <v>0</v>
      </c>
      <c r="OJ36" s="15">
        <f>IF(ISNA(VLOOKUP($A36,'Données projet'!$A$512:$I$532,4,0)),0,VLOOKUP($A36,'Données projet'!$A$512:$I$532,4,0))</f>
        <v>0</v>
      </c>
      <c r="OK36" s="16">
        <f>IF(ISNA(VLOOKUP($A36,'Données projet'!$A$512:$I$532,5,0)),0%,VLOOKUP($A36,'Données projet'!$A$512:$I$532,5,0)*VLOOKUP('Données projet'!$B$27,Paramètres!$A$1:$I$89,7,0))</f>
        <v>0</v>
      </c>
      <c r="OL36" s="16">
        <f>IF(ISNA(VLOOKUP($A36,'Données projet'!$A$512:$I$532,6,0)),0%,VLOOKUP($A36,'Données projet'!$A$512:$I$532,6,0)*VLOOKUP('Données projet'!$B$27,Paramètres!$A$1:$I$89,7,0))</f>
        <v>0</v>
      </c>
      <c r="OM36" s="16">
        <f>IF(ISNA(VLOOKUP($A36,'Données projet'!$A$512:$I$532,7,0)),0%,VLOOKUP($A36,'Données projet'!$A$512:$I$532,7,0))</f>
        <v>0</v>
      </c>
      <c r="ON36" s="21" t="e">
        <f>EXP(-LN(2)/35)*ON35+(1-EXP(-LN(2)/35))/(LN(2)/35)*OJ36*OK36*VLOOKUP('Données projet'!$B$27,Paramètres!$A$1:$I$89,3,0)*0.475*44/12</f>
        <v>#N/A</v>
      </c>
      <c r="OO36" s="21" t="e">
        <f>EXP(-LN(2)/25)*OO35+(1-EXP(-LN(2)/25))/(LN(2)/25)*Calculateur!OJ36*Calculateur!OL36*VLOOKUP('Données projet'!$B$27,Paramètres!$A$1:$I$89,3,0)*0.475*44/12</f>
        <v>#N/A</v>
      </c>
      <c r="OP36" s="21" t="e">
        <f>EXP(-LN(2)/2)*OP35+(1-EXP(-LN(2)/2))/(LN(2)/2)*OJ36*OM36*VLOOKUP('Données projet'!$B$27,Paramètres!$A$1:$I$89,3,0)*0.475*44/12</f>
        <v>#N/A</v>
      </c>
      <c r="OQ36" s="22" t="e">
        <f t="shared" si="114"/>
        <v>#N/A</v>
      </c>
      <c r="OR36" s="74">
        <f>('Scénario référence'!$F$8+'Scénario référence'!$F$9+'Scénario référence'!$B$17+'Scénario référence'!$B$9+'Scénario référence'!$B$10)*70+IF((45+25*(1-EXP(-0.0175*$A36)))&lt;70,'Scénario référence'!$B$16*(45+25*(1-EXP(-0.0175*$A36))),70*'Scénario référence'!$B$16)+IF((32+38*(1-EXP(-0.0175*$A36)))&lt;70,'Scénario référence'!$B$18*(32+38*(1-EXP(-0.0175*$A36))),70*'Scénario référence'!$B$18)</f>
        <v>70</v>
      </c>
      <c r="OS36" s="12">
        <f>IF($A36&gt;30,10,('Scénario référence'!$B$16+'Scénario référence'!$B$17+'Scénario référence'!$B$18+'Scénario référence'!$B$9+'Scénario référence'!$B$10)*$A36*10/30+('Scénario référence'!$F$8+'Scénario référence'!$F$9)*10)</f>
        <v>10</v>
      </c>
      <c r="OT36" s="12" t="e">
        <f>VLOOKUP($A36,'Données projet'!$A$538:$I$558,2,0)</f>
        <v>#N/A</v>
      </c>
      <c r="OU36" s="12" t="e">
        <f>VLOOKUP($A36,'Données projet'!$A$538:$I$558,9,0)</f>
        <v>#N/A</v>
      </c>
      <c r="OV36" s="12">
        <f t="array" ref="OV36">INDEX(OU:OU,MIN(IF(ISNUMBER(OU36:OU232),ROW(OU36:OU232),"")))</f>
        <v>0</v>
      </c>
      <c r="OW36" s="12">
        <f>IF('Données projet'!$A$538&gt;35,OW35+OV36-PE35,IF($A36&lt;'Données projet'!$A$538,$CQ$205^$A36,IF($A36='Données projet'!$A$538,'Données projet'!$B$538,OW35+OV36-PE35)))</f>
        <v>0</v>
      </c>
      <c r="OX36" s="17" t="e">
        <f>OW36*VLOOKUP('Données projet'!$B$28,Paramètres!$A$1:$I$89,3,0)*VLOOKUP('Données projet'!$B$28,Paramètres!$A$1:$I$89,5,0)</f>
        <v>#N/A</v>
      </c>
      <c r="OY36" s="13" t="e">
        <f t="shared" si="115"/>
        <v>#N/A</v>
      </c>
      <c r="OZ36" s="14" t="e">
        <f t="shared" si="58"/>
        <v>#N/A</v>
      </c>
      <c r="PA36" s="59" t="e">
        <f t="shared" si="59"/>
        <v>#N/A</v>
      </c>
      <c r="PB36" s="20" t="e">
        <f ca="1">AVERAGE(OFFSET($PA$3,0,0,'Données projet'!$E$28+1,1))-AVERAGE(OFFSET($H$3,0,0,'Données projet'!$E$28+1,1))</f>
        <v>#N/A</v>
      </c>
      <c r="PC36" s="59" t="e">
        <f t="shared" si="116"/>
        <v>#N/A</v>
      </c>
      <c r="PD36" s="15">
        <f>IF(ISNA(VLOOKUP($A36,'Données projet'!$A$538:$I$558,3,0)),0,VLOOKUP($A36,'Données projet'!$A$538:$I$558,3,0))</f>
        <v>0</v>
      </c>
      <c r="PE36" s="15">
        <f>IF(ISNA(VLOOKUP($A36,'Données projet'!$A$538:$I$558,4,0)),0,VLOOKUP($A36,'Données projet'!$A$538:$I$558,4,0))</f>
        <v>0</v>
      </c>
      <c r="PF36" s="16">
        <f>IF(ISNA(VLOOKUP($A36,'Données projet'!$A$538:$I$558,5,0)),0%,VLOOKUP($A36,'Données projet'!$A$538:$I$558,5,0)*VLOOKUP('Données projet'!$B$28,Paramètres!$A$1:$I$89,7,0))</f>
        <v>0</v>
      </c>
      <c r="PG36" s="16">
        <f>IF(ISNA(VLOOKUP($A36,'Données projet'!$A$538:$I$558,6,0)),0%,VLOOKUP($A36,'Données projet'!$A$538:$I$558,6,0)*VLOOKUP('Données projet'!$B$28,Paramètres!$A$1:$I$89,7,0))</f>
        <v>0</v>
      </c>
      <c r="PH36" s="16">
        <f>IF(ISNA(VLOOKUP($A36,'Données projet'!$A$538:$I$558,7,0)),0%,VLOOKUP($A36,'Données projet'!$A$538:$I$558,7,0))</f>
        <v>0</v>
      </c>
      <c r="PI36" s="21" t="e">
        <f>EXP(-LN(2)/35)*PI35+(1-EXP(-LN(2)/35))/(LN(2)/35)*PE36*PF36*VLOOKUP('Données projet'!$B$28,Paramètres!$A$1:$I$89,3,0)*0.475*44/12</f>
        <v>#N/A</v>
      </c>
      <c r="PJ36" s="21" t="e">
        <f>EXP(-LN(2)/25)*PJ35+(1-EXP(-LN(2)/25))/(LN(2)/25)*Calculateur!PE36*Calculateur!PG36*VLOOKUP('Données projet'!$B$28,Paramètres!$A$1:$I$89,3,0)*0.475*44/12</f>
        <v>#N/A</v>
      </c>
      <c r="PK36" s="21" t="e">
        <f>EXP(-LN(2)/2)*PK35+(1-EXP(-LN(2)/2))/(LN(2)/2)*PE36*PH36*VLOOKUP('Données projet'!$B$28,Paramètres!$A$1:$I$89,3,0)*0.475*44/12</f>
        <v>#N/A</v>
      </c>
      <c r="PL36" s="22" t="e">
        <f t="shared" si="117"/>
        <v>#N/A</v>
      </c>
    </row>
    <row r="37" spans="1:428" x14ac:dyDescent="0.35">
      <c r="A37" s="10">
        <f t="shared" si="6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6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projet'!$A$45:$I$65,2,0)</f>
        <v>#N/A</v>
      </c>
      <c r="L37" s="12" t="e">
        <f>VLOOKUP(A37,'Données projet'!$A$45:$I$65,9,0)</f>
        <v>#N/A</v>
      </c>
      <c r="M37" s="12">
        <f t="array" ref="M37">INDEX(L:L,MIN(IF(ISNUMBER(L37:L233),ROW(L37:L233),"")))</f>
        <v>22.884615384615397</v>
      </c>
      <c r="N37" s="13">
        <f>IF('Données projet'!$A$46&gt;35,N36+M37-V36,IF(A37&lt;'Données projet'!$A$46,$K$205^A37,IF(A37='Données projet'!$A$46,'Données projet'!$B$46,N36+M37-V36)))</f>
        <v>357.73846153846154</v>
      </c>
      <c r="O37" s="13">
        <f>N37*VLOOKUP('Données projet'!$B$9,Paramètres!$A$1:$I$89,3,0)*VLOOKUP('Données projet'!$B$9,Paramètres!$A$1:$I$89,5,0)</f>
        <v>199.97580000000002</v>
      </c>
      <c r="P37" s="13">
        <f t="shared" si="63"/>
        <v>49.738849260389202</v>
      </c>
      <c r="Q37" s="20">
        <f t="shared" si="118"/>
        <v>434.91968079517784</v>
      </c>
      <c r="R37" s="59">
        <f t="shared" si="0"/>
        <v>728.25301412851115</v>
      </c>
      <c r="S37" s="59">
        <f ca="1">AVERAGE(OFFSET($R$3,0,0,'Données projet'!$E$9+1,1))-AVERAGE(OFFSET($H$3,0,0,'Données projet'!$E$9+1,1))</f>
        <v>274.57619581652199</v>
      </c>
      <c r="T37" s="59">
        <f t="shared" si="64"/>
        <v>366.15117322598775</v>
      </c>
      <c r="U37" s="15">
        <f>IF(ISNA(VLOOKUP(A37,'Données projet'!$A$45:$I$65,3,0)),0,VLOOKUP(A37,'Données projet'!$A$45:$I$65,3,0))</f>
        <v>0</v>
      </c>
      <c r="V37" s="15">
        <f>IF(ISNA(VLOOKUP(A37,'Données projet'!$A$45:$I$65,4,0)),0,VLOOKUP(A37,'Données projet'!$A$45:$I$65,4,0))</f>
        <v>0</v>
      </c>
      <c r="W37" s="16">
        <f>IF(ISNA(VLOOKUP(A37,'Données projet'!$A$45:$I$65,5,0)),0%,VLOOKUP(A37,'Données projet'!$A$45:$I$65,5,0)*VLOOKUP('Données projet'!$B$9,Paramètres!$A$1:$I$89,7,0))</f>
        <v>0</v>
      </c>
      <c r="X37" s="16">
        <f>IF(ISNA(VLOOKUP(A37,'Données projet'!$A$45:$I$65,6,0)),0%,VLOOKUP(A37,'Données projet'!$A$45:$I$65,6,0)*VLOOKUP('Données projet'!$B$9,Paramètres!$A$1:$I$89,7,0))</f>
        <v>0</v>
      </c>
      <c r="Y37" s="16">
        <f>IF(ISNA(VLOOKUP(A37,'Données projet'!$A$45:$I$65,7,0)),0%,VLOOKUP(A37,'Données projet'!$A$45:$I$65,7,0))</f>
        <v>0</v>
      </c>
      <c r="Z37" s="21">
        <f>EXP(-LN(2)/35)*Z36+(1-EXP(-LN(2)/35))/(LN(2)/35)*V37*W37*VLOOKUP('Données projet'!$B$9,Paramètres!$A$1:$I$89,3,0)*0.475*44/12</f>
        <v>27.31191621908755</v>
      </c>
      <c r="AA37" s="21">
        <f>EXP(-LN(2)/25)*AA36+(1-EXP(-LN(2)/25))/(LN(2)/25)*Calculateur!V37*Calculateur!X37*VLOOKUP('Données projet'!$B$9,Paramètres!$A$1:$I$89,3,0)*0.475*44/12</f>
        <v>16.332747383941374</v>
      </c>
      <c r="AB37" s="21">
        <f>EXP(-LN(2)/2)*AB36+(1-EXP(-LN(2)/2))/(LN(2)/2)*V37*Y37*VLOOKUP('Données projet'!$B$9,Paramètres!$A$1:$I$89,3,0)*0.475*44/12</f>
        <v>1.558336412851602</v>
      </c>
      <c r="AC37" s="22">
        <f t="shared" si="3"/>
        <v>45.203000015880527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projet'!$A$71:$I$91,2,0)</f>
        <v>#N/A</v>
      </c>
      <c r="AG37" s="12" t="e">
        <f>VLOOKUP(A37,'Données projet'!$A$71:$I$91,9,0)</f>
        <v>#N/A</v>
      </c>
      <c r="AH37" s="12">
        <f t="array" ref="AH37">INDEX(AG:AG,MIN(IF(ISNUMBER(AG37:AG233),ROW(AG37:AG233),"")))</f>
        <v>8.0564102564102633</v>
      </c>
      <c r="AI37" s="13">
        <f>IF('Données projet'!$A$72&gt;35,AI36+AH37-AQ36,IF(A37&lt;'Données projet'!$A$72,$AF$205^A37,IF(A37='Données projet'!$A$72,'Données projet'!$B$72,AI36+AH37-AQ36)))</f>
        <v>154.11025641025643</v>
      </c>
      <c r="AJ37" s="13">
        <f>AI37*VLOOKUP('Données projet'!$B$10,Paramètres!$A$1:$I$89,3,0)*VLOOKUP('Données projet'!$B$10,Paramètres!$A$1:$I$89,5,0)</f>
        <v>139.43896000000001</v>
      </c>
      <c r="AK37" s="13">
        <f t="shared" si="65"/>
        <v>36.168449088081644</v>
      </c>
      <c r="AL37" s="20">
        <f t="shared" si="4"/>
        <v>305.8495708284089</v>
      </c>
      <c r="AM37" s="59">
        <f t="shared" si="5"/>
        <v>599.18290416174227</v>
      </c>
      <c r="AN37" s="59">
        <f ca="1">AVERAGE(OFFSET($AM$3,0,0,'Données projet'!$E$10+1,1))-AVERAGE(OFFSET($H$3,0,0,'Données projet'!$E$10+1,1))</f>
        <v>270.87836509222456</v>
      </c>
      <c r="AO37" s="59">
        <f t="shared" si="66"/>
        <v>205.24998237949734</v>
      </c>
      <c r="AP37" s="15">
        <f>IF(ISNA(VLOOKUP(A37,'Données projet'!$A$71:$I$91,3,0)),0,VLOOKUP(A37,'Données projet'!$A$71:$I$91,3,0))</f>
        <v>0</v>
      </c>
      <c r="AQ37" s="15">
        <f>IF(ISNA(VLOOKUP(A37,'Données projet'!$A$71:$I$91,4,0)),0,VLOOKUP(A37,'Données projet'!$A$71:$I$91,4,0))</f>
        <v>0</v>
      </c>
      <c r="AR37" s="16">
        <f>IF(ISNA(VLOOKUP(A37,'Données projet'!$A$71:$I$91,5,0)),0%,VLOOKUP(A37,'Données projet'!$A$71:$I$91,5,0)*VLOOKUP('Données projet'!$B$10,Paramètres!$A$1:$I$89,7,0))</f>
        <v>0</v>
      </c>
      <c r="AS37" s="16">
        <f>IF(ISNA(VLOOKUP(A37,'Données projet'!$A$71:$I$91,6,0)),0%,VLOOKUP(A37,'Données projet'!$A$71:$I$91,6,0)*VLOOKUP('Données projet'!$B$10,Paramètres!$A$1:$I$89,7,0))</f>
        <v>0</v>
      </c>
      <c r="AT37" s="16">
        <f>IF(ISNA(VLOOKUP(A37,'Données projet'!$A$71:$I$91,7,0)),0%,VLOOKUP(A37,'Données projet'!$A$71:$I$91,7,0))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projet'!$A$97:$I$117,2,0)</f>
        <v>#N/A</v>
      </c>
      <c r="BB37" s="12" t="e">
        <f>VLOOKUP(A37,'Données projet'!$A$97:$I$117,9,0)</f>
        <v>#N/A</v>
      </c>
      <c r="BC37" s="12">
        <f t="array" ref="BC37">INDEX(BB:BB,MIN(IF(ISNUMBER(BB37:BB233),ROW(BB37:BB233),"")))</f>
        <v>22.884615384615397</v>
      </c>
      <c r="BD37" s="12">
        <f>IF('Données projet'!$A$98&gt;35,BD36+BC37-BL36,IF(A37&lt;'Données projet'!$A$98,$BA$205^A37,IF(A37='Données projet'!$A$98,'Données projet'!$B$98,BD36+BC37-BL36)))</f>
        <v>357.73846153846154</v>
      </c>
      <c r="BE37" s="13">
        <f>BD37*VLOOKUP('Données projet'!$B$11,Paramètres!$A$1:$I$89,3,0)*VLOOKUP('Données projet'!$B$11,Paramètres!$A$1:$I$89,5,0)</f>
        <v>158.12040000000002</v>
      </c>
      <c r="BF37" s="13">
        <f t="shared" si="67"/>
        <v>40.418275249169589</v>
      </c>
      <c r="BG37" s="20">
        <f t="shared" si="7"/>
        <v>345.78819272563709</v>
      </c>
      <c r="BH37" s="59">
        <f t="shared" si="8"/>
        <v>639.1215260589704</v>
      </c>
      <c r="BI37" s="59">
        <f ca="1">AVERAGE(OFFSET($BH$3,0,0,'Données projet'!$E$11+1,1))-AVERAGE(OFFSET($H$3,0,0,'Données projet'!$E$11+1,1))</f>
        <v>211.31057120485542</v>
      </c>
      <c r="BJ37" s="59">
        <f t="shared" si="68"/>
        <v>283.33292006714777</v>
      </c>
      <c r="BK37" s="15">
        <f>IF(ISNA(VLOOKUP(A37,'Données projet'!$A$97:$I$117,3,0)),0,VLOOKUP(A37,'Données projet'!$A$97:$I$117,3,0))</f>
        <v>0</v>
      </c>
      <c r="BL37" s="15">
        <f>IF(ISNA(VLOOKUP(A37,'Données projet'!$A$97:$I$117,4,0)),0,VLOOKUP(A37,'Données projet'!$A$97:$I$117,4,0))</f>
        <v>0</v>
      </c>
      <c r="BM37" s="16">
        <f>IF(ISNA(VLOOKUP(A37,'Données projet'!$A$97:$I$117,5,0)),0%,VLOOKUP(A37,'Données projet'!$A$97:$I$117,5,0)*VLOOKUP('Données projet'!$B$11,Paramètres!$A$1:$I$89,7,0))</f>
        <v>0</v>
      </c>
      <c r="BN37" s="16">
        <f>IF(ISNA(VLOOKUP(A37,'Données projet'!$A$97:$I$117,6,0)),0%,VLOOKUP(A37,'Données projet'!$A$97:$I$117,6,0)*VLOOKUP('Données projet'!$B$11,Paramètres!$A$1:$I$89,7,0))</f>
        <v>0</v>
      </c>
      <c r="BO37" s="16">
        <f>IF(ISNA(VLOOKUP(A37,'Données projet'!$A$97:$I$117,7,0)),0%,VLOOKUP(A37,'Données projet'!$A$97:$I$117,7,0))</f>
        <v>0</v>
      </c>
      <c r="BP37" s="21">
        <f>EXP(-LN(2)/35)*BP36+(1-EXP(-LN(2)/35))/(LN(2)/35)*BL37*BM37*VLOOKUP('Données projet'!$B$11,Paramètres!$A$1:$I$89,3,0)*0.475*44/12</f>
        <v>21.59546863834829</v>
      </c>
      <c r="BQ37" s="21">
        <f>EXP(-LN(2)/25)*BQ36+(1-EXP(-LN(2)/25))/(LN(2)/25)*Calculateur!BL37*Calculateur!BN37*VLOOKUP('Données projet'!$B$11,Paramètres!$A$1:$I$89,3,0)*0.475*44/12</f>
        <v>12.914265373348991</v>
      </c>
      <c r="BR37" s="21">
        <f>EXP(-LN(2)/2)*BR36+(1-EXP(-LN(2)/2))/(LN(2)/2)*BL37*BO37*VLOOKUP('Données projet'!$B$11,Paramètres!$A$1:$I$89,3,0)*0.475*44/12</f>
        <v>1.2321729776035928</v>
      </c>
      <c r="BS37" s="22">
        <f t="shared" si="9"/>
        <v>35.741906989300873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projet'!$A$123:$I$143,2,0)</f>
        <v>#N/A</v>
      </c>
      <c r="BW37" s="12" t="e">
        <f>VLOOKUP(A37,'Données projet'!$A$123:$I$143,9,0)</f>
        <v>#N/A</v>
      </c>
      <c r="BX37" s="12">
        <f t="array" ref="BX37">INDEX(BW:BW,MIN(IF(ISNUMBER(BW37:BW233),ROW(BW37:BW233),"")))</f>
        <v>9.1999999999999993</v>
      </c>
      <c r="BY37" s="12">
        <f>IF('Données projet'!$A$124&gt;35,BY36+BX37-CG36,IF(A37&lt;'Données projet'!$A$124,$BV$205^A37,IF(A37='Données projet'!$A$124,'Données projet'!$B$124,BY36+BX37-CG36)))</f>
        <v>158.79999999999998</v>
      </c>
      <c r="BZ37" s="13">
        <f>BY37*VLOOKUP('Données projet'!$B$12,Paramètres!$A$1:$I$89,3,0)*VLOOKUP('Données projet'!$B$12,Paramètres!$A$1:$I$89,5,0)</f>
        <v>165.97776000000002</v>
      </c>
      <c r="CA37" s="13">
        <f t="shared" si="69"/>
        <v>42.18792407593731</v>
      </c>
      <c r="CB37" s="20">
        <f t="shared" si="10"/>
        <v>362.55523309892413</v>
      </c>
      <c r="CC37" s="59">
        <f t="shared" si="11"/>
        <v>655.88856643225745</v>
      </c>
      <c r="CD37" s="59">
        <f ca="1">AVERAGE(OFFSET($CC$3,0,0,'Données projet'!$E$12+1,1))-AVERAGE(OFFSET($H$3,0,0,'Données projet'!$E$12+1,1))</f>
        <v>322.93502595881938</v>
      </c>
      <c r="CE37" s="59">
        <f t="shared" si="70"/>
        <v>302.67072119588164</v>
      </c>
      <c r="CF37" s="15">
        <f>IF(ISNA(VLOOKUP(A37,'Données projet'!$A$123:$I$143,3,0)),0,VLOOKUP(A37,'Données projet'!$A$123:$I$143,3,0))</f>
        <v>0</v>
      </c>
      <c r="CG37" s="15">
        <f>IF(ISNA(VLOOKUP(A37,'Données projet'!$A$123:$I$143,4,0)),0,VLOOKUP(A37,'Données projet'!$A$123:$I$143,4,0))</f>
        <v>0</v>
      </c>
      <c r="CH37" s="16">
        <f>IF(ISNA(VLOOKUP(A37,'Données projet'!$A$123:$I$143,5,0)),0%,VLOOKUP(A37,'Données projet'!$A$123:$I$143,5,0)*VLOOKUP('Données projet'!$B$12,Paramètres!$A$1:$I$89,7,0))</f>
        <v>0</v>
      </c>
      <c r="CI37" s="16">
        <f>IF(ISNA(VLOOKUP(A37,'Données projet'!$A$123:$I$143,6,0)),0%,VLOOKUP(A37,'Données projet'!$A$123:$I$143,6,0)*VLOOKUP('Données projet'!$B$12,Paramètres!$A$1:$I$89,7,0))</f>
        <v>0</v>
      </c>
      <c r="CJ37" s="16">
        <f>IF(ISNA(VLOOKUP(A37,'Données projet'!$A$123:$I$143,7,0)),0%,VLOOKUP(A37,'Données projet'!$A$123:$I$143,7,0))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projet'!$A$149:$I$169,2,0)</f>
        <v>#N/A</v>
      </c>
      <c r="CR37" s="12" t="e">
        <f>VLOOKUP(A37,'Données projet'!$A$149:$I$169,9,0)</f>
        <v>#N/A</v>
      </c>
      <c r="CS37" s="12">
        <f t="array" ref="CS37">INDEX(CR:CR,MIN(IF(ISNUMBER(CR37:CR233),ROW(CR37:CR233),"")))</f>
        <v>5.3369963369963358</v>
      </c>
      <c r="CT37" s="12">
        <f>IF('Données projet'!$A$150&gt;35,CT36+CS37-DB36,IF(A37&lt;'Données projet'!$A$150,$CQ$205^A37,IF(A37='Données projet'!$A$150,'Données projet'!$B$150,CT36+CS37-DB36)))</f>
        <v>109.05311355311355</v>
      </c>
      <c r="CU37" s="17">
        <f>CT37*VLOOKUP('Données projet'!$B$13,Paramètres!$A$1:$I$89,3,0)*VLOOKUP('Données projet'!$B$13,Paramètres!$A$1:$I$89,5,0)</f>
        <v>110.57985714285715</v>
      </c>
      <c r="CV37" s="13">
        <f t="shared" si="71"/>
        <v>29.467561605850825</v>
      </c>
      <c r="CW37" s="20">
        <f t="shared" si="13"/>
        <v>243.91592098733301</v>
      </c>
      <c r="CX37" s="59">
        <f t="shared" si="14"/>
        <v>537.2492543206663</v>
      </c>
      <c r="CY37" s="59">
        <f ca="1">AVERAGE(OFFSET($CX$3,0,0,'Données projet'!$E$13+1,1))-AVERAGE(OFFSET($H$3,0,0,'Données projet'!$E$13+1,1))</f>
        <v>250.31277422753283</v>
      </c>
      <c r="CZ37" s="59">
        <f t="shared" si="72"/>
        <v>159.20429420478047</v>
      </c>
      <c r="DA37" s="15">
        <f>IF(ISNA(VLOOKUP(A37,'Données projet'!$A$149:$I$169,3,0)),0,VLOOKUP(A37,'Données projet'!$A$149:$I$169,3,0))</f>
        <v>0</v>
      </c>
      <c r="DB37" s="15">
        <f>IF(ISNA(VLOOKUP(A37,'Données projet'!$A$149:$I$169,4,0)),0,VLOOKUP(A37,'Données projet'!$A$149:$I$169,4,0))</f>
        <v>0</v>
      </c>
      <c r="DC37" s="16">
        <f>IF(ISNA(VLOOKUP(A37,'Données projet'!$A$149:$I$169,5,0)),0%,VLOOKUP(A37,'Données projet'!$A$149:$I$169,5,0)*VLOOKUP('Données projet'!$B$13,Paramètres!$A$1:$I$89,7,0))</f>
        <v>0</v>
      </c>
      <c r="DD37" s="16">
        <f>IF(ISNA(VLOOKUP(A37,'Données projet'!$A$149:$I$169,6,0)),0%,VLOOKUP(A37,'Données projet'!$A$149:$I$169,6,0)*VLOOKUP('Données projet'!$B$13,Paramètres!$A$1:$I$89,7,0))</f>
        <v>0</v>
      </c>
      <c r="DE37" s="16">
        <f>IF(ISNA(VLOOKUP(A37,'Données projet'!$A$149:$I$169,7,0)),0%,VLOOKUP(A37,'Données projet'!$A$149:$I$169,7,0))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projet'!$A$175:$I$195,2,0)</f>
        <v>#N/A</v>
      </c>
      <c r="DM37" s="12" t="e">
        <f>VLOOKUP(A37,'Données projet'!$A$175:$I$195,9,0)</f>
        <v>#N/A</v>
      </c>
      <c r="DN37" s="12">
        <f t="array" ref="DN37">INDEX(DM:DM,MIN(IF(ISNUMBER(DM37:DM233),ROW(DM37:DM233),"")))</f>
        <v>15.2</v>
      </c>
      <c r="DO37" s="12">
        <f>IF('Données projet'!$A$176&gt;35,DO36+DN37-DW36,IF(A37&lt;'Données projet'!$A$176,$DL$205^A37,IF(A37='Données projet'!$A$176,'Données projet'!$B$176,DO36+DN37-DW36)))</f>
        <v>223.8</v>
      </c>
      <c r="DP37" s="17">
        <f>DO37*VLOOKUP('Données projet'!$B$14,Paramètres!$A$1:$I$89,3,0)*VLOOKUP('Données projet'!$B$14,Paramètres!$A$1:$I$89,5,0)</f>
        <v>164.09016</v>
      </c>
      <c r="DQ37" s="13">
        <f t="shared" si="73"/>
        <v>41.763702733606458</v>
      </c>
      <c r="DR37" s="20">
        <f t="shared" si="16"/>
        <v>358.52881092769786</v>
      </c>
      <c r="DS37" s="59">
        <f t="shared" si="17"/>
        <v>651.86214426103118</v>
      </c>
      <c r="DT37" s="59">
        <f ca="1">AVERAGE(OFFSET($DS$3,0,0,'Données projet'!$E$14+1,1))-AVERAGE(OFFSET($H$3,0,0,'Données projet'!$E$14+1,1))</f>
        <v>296.91321813251051</v>
      </c>
      <c r="DU37" s="59">
        <f t="shared" si="74"/>
        <v>291.0718079639509</v>
      </c>
      <c r="DV37" s="15">
        <f>IF(ISNA(VLOOKUP(A37,'Données projet'!$A$175:$I$195,3,0)),0,VLOOKUP(A37,'Données projet'!$A$175:$I$195,3,0))</f>
        <v>0</v>
      </c>
      <c r="DW37" s="15">
        <f>IF(ISNA(VLOOKUP(A37,'Données projet'!$A$175:$I$195,4,0)),0,VLOOKUP(A37,'Données projet'!$A$175:$I$195,4,0))</f>
        <v>0</v>
      </c>
      <c r="DX37" s="16">
        <f>IF(ISNA(VLOOKUP(A37,'Données projet'!$A$175:$I$195,5,0)),0%,VLOOKUP(A37,'Données projet'!$A$175:$I$195,5,0)*VLOOKUP('Données projet'!$B$14,Paramètres!$A$1:$I$89,7,0))</f>
        <v>0</v>
      </c>
      <c r="DY37" s="16">
        <f>IF(ISNA(VLOOKUP(A37,'Données projet'!$A$175:$I$195,6,0)),0%,VLOOKUP(A37,'Données projet'!$A$175:$I$195,6,0)*VLOOKUP('Données projet'!$B$14,Paramètres!$A$1:$I$89,7,0))</f>
        <v>0</v>
      </c>
      <c r="DZ37" s="16">
        <f>IF(ISNA(VLOOKUP(A37,'Données projet'!$A$175:$I$195,7,0)),0%,VLOOKUP(A37,'Données projet'!$A$175:$I$195,7,0))</f>
        <v>0</v>
      </c>
      <c r="EA37" s="21">
        <f>EXP(-LN(2)/35)*EA36+(1-EXP(-LN(2)/35))/(LN(2)/35)*DW37*DX37*VLOOKUP('Données projet'!$B$14,Paramètres!$A$1:$I$89,3,0)*0.475*44/12</f>
        <v>8.7469124065346424</v>
      </c>
      <c r="EB37" s="21">
        <f>EXP(-LN(2)/25)*EB36+(1-EXP(-LN(2)/25))/(LN(2)/25)*Calculateur!DW37*Calculateur!DY37*VLOOKUP('Données projet'!$B$14,Paramètres!$A$1:$I$89,3,0)*0.475*44/12</f>
        <v>10.117368957074842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18.864281363609486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projet'!$A$201:$I$221,2,0)</f>
        <v>#N/A</v>
      </c>
      <c r="EH37" s="12" t="e">
        <f>VLOOKUP(A37,'Données projet'!$A$201:$I$221,9,0)</f>
        <v>#N/A</v>
      </c>
      <c r="EI37" s="12">
        <f t="array" ref="EI37">INDEX(EH:EH,MIN(IF(ISNUMBER(EH37:EH233),ROW(EH37:EH233),"")))</f>
        <v>10.407692307692306</v>
      </c>
      <c r="EJ37" s="12">
        <f>IF('Données projet'!$A$202&gt;35,EJ36+EI37-ER36,IF(A37&lt;'Données projet'!$A$202,$EG$205^A37,IF(A37='Données projet'!$A$202,'Données projet'!$B$202,EJ36+EI37-ER36)))</f>
        <v>144.90769230769229</v>
      </c>
      <c r="EK37" s="17">
        <f>EJ37*VLOOKUP('Données projet'!$B$15,Paramètres!$A$1:$I$89,3,0)*VLOOKUP('Données projet'!$B$15,Paramètres!$A$1:$I$89,5,0)</f>
        <v>67.816799999999986</v>
      </c>
      <c r="EL37" s="13">
        <f t="shared" si="75"/>
        <v>19.130296326257337</v>
      </c>
      <c r="EM37" s="20">
        <f t="shared" si="19"/>
        <v>151.43285943489818</v>
      </c>
      <c r="EN37" s="59">
        <f t="shared" si="20"/>
        <v>444.76619276823146</v>
      </c>
      <c r="EO37" s="59">
        <f ca="1">AVERAGE(OFFSET($EN$3,0,0,'Données projet'!$E$15+1,1))-AVERAGE(OFFSET($H$3,0,0,'Données projet'!$E$15+1,1))</f>
        <v>147.64256291235483</v>
      </c>
      <c r="EP37" s="59">
        <f t="shared" si="76"/>
        <v>70.859031694091868</v>
      </c>
      <c r="EQ37" s="15">
        <f>IF(ISNA(VLOOKUP(A37,'Données projet'!$A$201:$I$221,3,0)),0,VLOOKUP(A37,'Données projet'!$A$201:$I$221,3,0))</f>
        <v>0</v>
      </c>
      <c r="ER37" s="15">
        <f>IF(ISNA(VLOOKUP(A37,'Données projet'!$A$201:$I$221,4,0)),0,VLOOKUP(A37,'Données projet'!$A$201:$I$221,4,0))</f>
        <v>0</v>
      </c>
      <c r="ES37" s="16">
        <f>IF(ISNA(VLOOKUP(A37,'Données projet'!$A$201:$I$221,5,0)),0%,VLOOKUP(A37,'Données projet'!$A$201:$I$221,5,0)*VLOOKUP('Données projet'!$B$15,Paramètres!$A$1:$I$89,7,0))</f>
        <v>0</v>
      </c>
      <c r="ET37" s="16">
        <f>IF(ISNA(VLOOKUP(A37,'Données projet'!$A$201:$I$221,6,0)),0%,VLOOKUP(A37,'Données projet'!$A$201:$I$221,6,0)*VLOOKUP('Données projet'!$B$15,Paramètres!$A$1:$I$89,7,0))</f>
        <v>0</v>
      </c>
      <c r="EU37" s="16">
        <f>IF(ISNA(VLOOKUP(A37,'Données projet'!$A$201:$I$221,7,0)),0%,VLOOKUP(A37,'Données projet'!$A$201:$I$221,7,0))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projet'!$A$227:$I$247,2,0)</f>
        <v>#N/A</v>
      </c>
      <c r="FC37" s="12" t="e">
        <f>VLOOKUP(A37,'Données projet'!$A$227:$I$247,9,0)</f>
        <v>#N/A</v>
      </c>
      <c r="FD37" s="12">
        <f t="array" ref="FD37">INDEX(FC:FC,MIN(IF(ISNUMBER(FC37:FC233),ROW(FC37:FC233),"")))</f>
        <v>7.2</v>
      </c>
      <c r="FE37" s="12">
        <f>IF('Données projet'!$A$228&gt;35,FE36+FD37-FM36,IF(A37&lt;'Données projet'!$A$228,$FB$205^A37,IF(A37='Données projet'!$A$228,'Données projet'!$B$228,FE36+FD37-FM36)))</f>
        <v>127.80000000000001</v>
      </c>
      <c r="FF37" s="17">
        <f>FE37*VLOOKUP('Données projet'!$B$16,Paramètres!$A$1:$I$89,3,0)*VLOOKUP('Données projet'!$B$16,Paramètres!$A$1:$I$89,5,0)</f>
        <v>133.57656000000003</v>
      </c>
      <c r="FG37" s="13">
        <f t="shared" si="77"/>
        <v>34.821487400887904</v>
      </c>
      <c r="FH37" s="20">
        <f t="shared" si="22"/>
        <v>293.29326588987982</v>
      </c>
      <c r="FI37" s="59">
        <f t="shared" si="23"/>
        <v>586.62659922321313</v>
      </c>
      <c r="FJ37" s="59">
        <f ca="1">AVERAGE(OFFSET($FI$3,0,0,'Données projet'!$E$16+1,1))-AVERAGE(OFFSET($H$3,0,0,'Données projet'!$E$16+1,1))</f>
        <v>259.03906550253788</v>
      </c>
      <c r="FK37" s="59">
        <f t="shared" si="78"/>
        <v>235.54542903570831</v>
      </c>
      <c r="FL37" s="15">
        <f>IF(ISNA(VLOOKUP(A37,'Données projet'!$A$227:$I$247,3,0)),0,VLOOKUP(A37,'Données projet'!$A$227:$I$247,3,0))</f>
        <v>0</v>
      </c>
      <c r="FM37" s="15">
        <f>IF(ISNA(VLOOKUP(A37,'Données projet'!$A$227:$I$247,4,0)),0,VLOOKUP(A37,'Données projet'!$A$227:$I$247,4,0))</f>
        <v>0</v>
      </c>
      <c r="FN37" s="16">
        <f>IF(ISNA(VLOOKUP(A37,'Données projet'!$A$227:$I$247,5,0)),0%,VLOOKUP(A37,'Données projet'!$A$227:$I$247,5,0)*VLOOKUP('Données projet'!$B$16,Paramètres!$A$1:$I$89,7,0))</f>
        <v>0</v>
      </c>
      <c r="FO37" s="16">
        <f>IF(ISNA(VLOOKUP(A37,'Données projet'!$A$227:$I$247,6,0)),0%,VLOOKUP(A37,'Données projet'!$A$227:$I$247,6,0)*VLOOKUP('Données projet'!$B$16,Paramètres!$A$1:$I$89,7,0))</f>
        <v>0</v>
      </c>
      <c r="FP37" s="16">
        <f>IF(ISNA(VLOOKUP(A37,'Données projet'!$A$227:$I$247,7,0)),0%,VLOOKUP(A37,'Données projet'!$A$227:$I$247,7,0))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projet'!$A$253:$I$273,2,0)</f>
        <v>#N/A</v>
      </c>
      <c r="FX37" s="12" t="e">
        <f>VLOOKUP(A37,'Données projet'!$A$253:$I$273,9,0)</f>
        <v>#N/A</v>
      </c>
      <c r="FY37" s="12">
        <f t="array" ref="FY37">INDEX(FX:FX,MIN(IF(ISNUMBER(FX37:FX233),ROW(FX37:FX233),"")))</f>
        <v>10.8</v>
      </c>
      <c r="FZ37" s="12">
        <f>IF('Données projet'!$A$254&gt;35,FZ36+FY37-GH36,IF(A37&lt;'Données projet'!$A$254,$FW$205^A37,IF(A37='Données projet'!$A$254,'Données projet'!$B$254,FZ36+FY37-GH36)))</f>
        <v>161.20000000000002</v>
      </c>
      <c r="GA37" s="17">
        <f>FZ37*VLOOKUP('Données projet'!$B$17,Paramètres!$A$1:$I$89,3,0)*VLOOKUP('Données projet'!$B$17,Paramètres!$A$1:$I$89,5,0)</f>
        <v>140.82432000000003</v>
      </c>
      <c r="GB37" s="13">
        <f t="shared" si="79"/>
        <v>36.485781060837802</v>
      </c>
      <c r="GC37" s="20">
        <f t="shared" si="25"/>
        <v>308.81509268095925</v>
      </c>
      <c r="GD37" s="59">
        <f t="shared" si="26"/>
        <v>602.14842601429257</v>
      </c>
      <c r="GE37" s="59">
        <f ca="1">AVERAGE(OFFSET($GD$3,0,0,'Données projet'!$E$17+1,1))-AVERAGE(OFFSET($H$3,0,0,'Données projet'!$E$17+1,1))</f>
        <v>245.1983232777614</v>
      </c>
      <c r="GF37" s="59">
        <f t="shared" si="80"/>
        <v>242.34010522344573</v>
      </c>
      <c r="GG37" s="15">
        <f>IF(ISNA(VLOOKUP(A37,'Données projet'!$A$253:$I$273,3,0)),0,VLOOKUP(A37,'Données projet'!$A$253:$I$273,3,0))</f>
        <v>0</v>
      </c>
      <c r="GH37" s="15">
        <f>IF(ISNA(VLOOKUP(A37,'Données projet'!$A$253:$I$273,4,0)),0,VLOOKUP(A37,'Données projet'!$A$253:$I$273,4,0))</f>
        <v>0</v>
      </c>
      <c r="GI37" s="16">
        <f>IF(ISNA(VLOOKUP(A37,'Données projet'!$A$253:$I$273,5,0)),0%,VLOOKUP(A37,'Données projet'!$A$253:$I$273,5,0)*VLOOKUP('Données projet'!$B$17,Paramètres!$A$1:$I$89,7,0))</f>
        <v>0</v>
      </c>
      <c r="GJ37" s="16">
        <f>IF(ISNA(VLOOKUP(A37,'Données projet'!$A$253:$I$273,6,0)),0%,VLOOKUP(A37,'Données projet'!$A$253:$I$273,6,0)*VLOOKUP('Données projet'!$B$17,Paramètres!$A$1:$I$89,7,0))</f>
        <v>0</v>
      </c>
      <c r="GK37" s="16">
        <f>IF(ISNA(VLOOKUP(A37,'Données projet'!$A$253:$I$273,7,0)),0%,VLOOKUP(A37,'Données projet'!$A$253:$I$273,7,0))</f>
        <v>0</v>
      </c>
      <c r="GL37" s="21">
        <f>EXP(-LN(2)/35)*GL36+(1-EXP(-LN(2)/35))/(LN(2)/35)*GH37*GI37*VLOOKUP('Données projet'!$B$17,Paramètres!$A$1:$I$89,3,0)*0.475*44/12</f>
        <v>0.42967767156962378</v>
      </c>
      <c r="GM37" s="21">
        <f>EXP(-LN(2)/25)*GM36+(1-EXP(-LN(2)/25))/(LN(2)/25)*Calculateur!GH37*Calculateur!GJ37*VLOOKUP('Données projet'!$B$17,Paramètres!$A$1:$I$89,3,0)*0.475*44/12</f>
        <v>3.6378026039257758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4.0674802754953996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projet'!$A$279:$I$299,2,0)</f>
        <v>#N/A</v>
      </c>
      <c r="GS37" s="12" t="e">
        <f>VLOOKUP(A37,'Données projet'!$A$279:$I$299,9,0)</f>
        <v>#N/A</v>
      </c>
      <c r="GT37" s="12">
        <f t="array" ref="GT37">INDEX(GS:GS,MIN(IF(ISNUMBER(GS37:GS233),ROW(GS37:GS233),"")))</f>
        <v>22</v>
      </c>
      <c r="GU37" s="12">
        <f>IF('Données projet'!$A$280&gt;35,GU36+GT37-HC36,IF(A37&lt;'Données projet'!$A$280,$GR$205^A37,IF(A37='Données projet'!$A$280,'Données projet'!$B$280,GU36+GT37-HC36)))</f>
        <v>396.00000000000011</v>
      </c>
      <c r="GV37" s="17">
        <f>GU37*VLOOKUP('Données projet'!$B$18,Paramètres!$A$1:$I$89,3,0)*VLOOKUP('Données projet'!$B$18,Paramètres!$A$1:$I$89,5,0)</f>
        <v>159.58800000000005</v>
      </c>
      <c r="GW37" s="13">
        <f t="shared" si="81"/>
        <v>40.749573716685916</v>
      </c>
      <c r="GX37" s="20">
        <f t="shared" si="28"/>
        <v>348.92127422322801</v>
      </c>
      <c r="GY37" s="59">
        <f t="shared" si="29"/>
        <v>642.25460755656127</v>
      </c>
      <c r="GZ37" s="59">
        <f ca="1">AVERAGE(OFFSET($GY$3,0,0,'Données projet'!$E$18+1,1))-AVERAGE(OFFSET($H$3,0,0,'Données projet'!$E$18+1,1))</f>
        <v>324.36162935850876</v>
      </c>
      <c r="HA37" s="59">
        <f t="shared" si="82"/>
        <v>265.23571072429735</v>
      </c>
      <c r="HB37" s="15">
        <f>IF(ISNA(VLOOKUP(A37,'Données projet'!$A$279:$I$299,3,0)),0,VLOOKUP(A37,'Données projet'!$A$279:$I$299,3,0))</f>
        <v>0</v>
      </c>
      <c r="HC37" s="15">
        <f>IF(ISNA(VLOOKUP(A37,'Données projet'!$A$279:$I$299,4,0)),0,VLOOKUP(A37,'Données projet'!$A$279:$I$299,4,0))</f>
        <v>0</v>
      </c>
      <c r="HD37" s="16">
        <f>IF(ISNA(VLOOKUP(A37,'Données projet'!$A$279:$I$299,5,0)),0%,VLOOKUP(A37,'Données projet'!$A$279:$I$299,5,0)*VLOOKUP('Données projet'!$B$18,Paramètres!$A$1:$I$89,7,0))</f>
        <v>0</v>
      </c>
      <c r="HE37" s="16">
        <f>IF(ISNA(VLOOKUP(A37,'Données projet'!$A$279:$I$299,6,0)),0%,VLOOKUP(A37,'Données projet'!$A$279:$I$299,6,0)*VLOOKUP('Données projet'!$B$18,Paramètres!$A$1:$I$89,7,0))</f>
        <v>0</v>
      </c>
      <c r="HF37" s="16">
        <f>IF(ISNA(VLOOKUP($A37,'Données projet'!$A$279:$I$299,7,0)),0%,VLOOKUP($A37,'Données projet'!$A$279:$I$299,7,0))</f>
        <v>0</v>
      </c>
      <c r="HG37" s="21">
        <f>EXP(-LN(2)/35)*HG36+(1-EXP(-LN(2)/35))/(LN(2)/35)*HC37*HD37*VLOOKUP('Données projet'!$B$18,Paramètres!$A$1:$I$89,3,0)*0.475*44/12</f>
        <v>0</v>
      </c>
      <c r="HH37" s="21">
        <f>EXP(-LN(2)/25)*HH36+(1-EXP(-LN(2)/25))/(LN(2)/25)*Calculateur!HC37*Calculateur!HE37*VLOOKUP('Données projet'!$B$18,Paramètres!$A$1:$I$89,3,0)*0.475*44/12</f>
        <v>2.2567162256882289</v>
      </c>
      <c r="HI37" s="21">
        <f>EXP(-LN(2)/2)*HI36+(1-EXP(-LN(2)/2))/(LN(2)/2)*HC37*HF37*VLOOKUP('Données projet'!$B$18,Paramètres!$A$1:$I$89,3,0)*0.475*44/12</f>
        <v>2.065097277794341</v>
      </c>
      <c r="HJ37" s="22">
        <f t="shared" si="30"/>
        <v>4.32181350348257</v>
      </c>
      <c r="HK37" s="74">
        <f>('Scénario référence'!$F$8+'Scénario référence'!$F$9+'Scénario référence'!$B$17+'Scénario référence'!$B$9+'Scénario référence'!$B$10)*70+IF((45+25*(1-EXP(-0.0175*$A37)))&lt;70,'Scénario référence'!$B$16*(45+25*(1-EXP(-0.0175*$A37))),70*'Scénario référence'!$B$16)+IF((32+38*(1-EXP(-0.0175*$A37)))&lt;70,'Scénario référence'!$B$18*(32+38*(1-EXP(-0.0175*$A37))),70*'Scénario référence'!$B$18)</f>
        <v>70</v>
      </c>
      <c r="HL37" s="12">
        <f>IF($A37&gt;30,10,('Scénario référence'!$B$16+'Scénario référence'!$B$17+'Scénario référence'!$B$18+'Scénario référence'!$B$9+'Scénario référence'!$B$10)*$A37*10/30+('Scénario référence'!$F$8+'Scénario référence'!$F$9)*10)</f>
        <v>10</v>
      </c>
      <c r="HM37" s="12" t="e">
        <f>VLOOKUP($A37,'Données projet'!$A$304:$I$324,2,0)</f>
        <v>#N/A</v>
      </c>
      <c r="HN37" s="12" t="e">
        <f>VLOOKUP($A37,'Données projet'!$A$304:$I$324,9,0)</f>
        <v>#N/A</v>
      </c>
      <c r="HO37" s="12">
        <f t="array" ref="HO37">INDEX(HN:HN,MIN(IF(ISNUMBER(HN37:HN233),ROW(HN37:HN233),"")))</f>
        <v>0</v>
      </c>
      <c r="HP37" s="12">
        <f>IF('Données projet'!$A$304&gt;35,HP36+HO37-HX36,IF($A37&lt;'Données projet'!$A$304,$CQ$205^$A37,IF($A37='Données projet'!$A$304,'Données projet'!$B$304,HP36+HO37-HX36)))</f>
        <v>0</v>
      </c>
      <c r="HQ37" s="17">
        <f>HP37*VLOOKUP('Données projet'!$B$19,Paramètres!$A$1:$I$89,3,0)*VLOOKUP('Données projet'!$B$19,Paramètres!$A$1:$I$89,5,0)</f>
        <v>0</v>
      </c>
      <c r="HR37" s="13" t="e">
        <f t="shared" si="83"/>
        <v>#NUM!</v>
      </c>
      <c r="HS37" s="14" t="e">
        <f t="shared" si="31"/>
        <v>#NUM!</v>
      </c>
      <c r="HT37" s="59" t="e">
        <f t="shared" si="32"/>
        <v>#NUM!</v>
      </c>
      <c r="HU37" s="59">
        <f ca="1">AVERAGE(OFFSET(HT$3,0,0,'Données projet'!$E$19+1,1))-AVERAGE(OFFSET($H$3,0,0,'Données projet'!$E$19+1,1))</f>
        <v>91.60721429656013</v>
      </c>
      <c r="HV37" s="59">
        <f t="shared" si="84"/>
        <v>258.94957804210856</v>
      </c>
      <c r="HW37" s="15">
        <f>IF(ISNA(VLOOKUP($A37,'Données projet'!$A$304:$I$324,3,0)),0,VLOOKUP($A37,'Données projet'!$A$304:$I$324,3,0))</f>
        <v>0</v>
      </c>
      <c r="HX37" s="15">
        <f>IF(ISNA(VLOOKUP($A37,'Données projet'!$A$304:$I$324,4,0)),0,VLOOKUP($A37,'Données projet'!$A$304:$I$324,4,0))</f>
        <v>0</v>
      </c>
      <c r="HY37" s="16">
        <f>IF(ISNA(VLOOKUP($A37,'Données projet'!$A$304:$I$324,5,0)),0%,VLOOKUP($A37,'Données projet'!$A$304:$I$324,5,0)*VLOOKUP('Données projet'!$B$19,Paramètres!$A$1:$I$89,7,0))</f>
        <v>0</v>
      </c>
      <c r="HZ37" s="16">
        <f>IF(ISNA(VLOOKUP($A37,'Données projet'!$A$304:$I$324,6,0)),0%,VLOOKUP($A37,'Données projet'!$A$304:$I$324,6,0)*VLOOKUP('Données projet'!$B$19,Paramètres!$A$1:$I$89,7,0))</f>
        <v>0</v>
      </c>
      <c r="IA37" s="16">
        <f>IF(ISNA(VLOOKUP($A37,'Données projet'!$A$304:$I$324,7,0)),0%,VLOOKUP($A37,'Données projet'!$A$304:$I$324,7,0))</f>
        <v>0</v>
      </c>
      <c r="IB37" s="21">
        <f>EXP(-LN(2)/35)*IB36+(1-EXP(-LN(2)/35))/(LN(2)/35)*HX37*HY37*VLOOKUP('Données projet'!$B$19,Paramètres!$A$1:$I$89,3,0)*0.475*44/12</f>
        <v>45.575505954558416</v>
      </c>
      <c r="IC37" s="21">
        <f>EXP(-LN(2)/25)*IC36+(1-EXP(-LN(2)/25))/(LN(2)/25)*Calculateur!HX37*Calculateur!HZ37*VLOOKUP('Données projet'!$B$19,Paramètres!$A$1:$I$89,3,0)*0.475*44/12</f>
        <v>8.7065592582800324</v>
      </c>
      <c r="ID37" s="21">
        <f>EXP(-LN(2)/2)*ID36+(1-EXP(-LN(2)/2))/(LN(2)/2)*HX37*IA37*VLOOKUP('Données projet'!$B$19,Paramètres!$A$1:$I$89,3,0)*0.475*44/12</f>
        <v>0.14321307793599439</v>
      </c>
      <c r="IE37" s="22">
        <f t="shared" si="33"/>
        <v>54.425278290774443</v>
      </c>
      <c r="IF37" s="74">
        <f>('Scénario référence'!$F$8+'Scénario référence'!$F$9+'Scénario référence'!$B$17+'Scénario référence'!$B$9+'Scénario référence'!$B$10)*70+IF((45+25*(1-EXP(-0.0175*$A37)))&lt;70,'Scénario référence'!$B$16*(45+25*(1-EXP(-0.0175*$A37))),70*'Scénario référence'!$B$16)+IF((32+38*(1-EXP(-0.0175*$A37)))&lt;70,'Scénario référence'!$B$18*(32+38*(1-EXP(-0.0175*$A37))),70*'Scénario référence'!$B$18)</f>
        <v>70</v>
      </c>
      <c r="IG37" s="12">
        <f>IF($A37&gt;30,10,('Scénario référence'!$B$16+'Scénario référence'!$B$17+'Scénario référence'!$B$18+'Scénario référence'!$B$9+'Scénario référence'!$B$10)*$A37*10/30+('Scénario référence'!$F$8+'Scénario référence'!$F$9)*10)</f>
        <v>10</v>
      </c>
      <c r="IH37" s="12" t="e">
        <f>VLOOKUP($A37,'Données projet'!$A$330:$I$350,2,0)</f>
        <v>#N/A</v>
      </c>
      <c r="II37" s="12" t="e">
        <f>VLOOKUP($A37,'Données projet'!$A$330:$I$350,9,0)</f>
        <v>#N/A</v>
      </c>
      <c r="IJ37" s="12">
        <f t="array" ref="IJ37">INDEX(II:II,MIN(IF(ISNUMBER(II37:II233),ROW(II37:II233),"")))</f>
        <v>0</v>
      </c>
      <c r="IK37" s="12">
        <f>IF('Données projet'!$A$330&gt;35,IK36+IJ37-IS36,IF($A37&lt;'Données projet'!$A$330,$CQ$205^$A37,IF($A37='Données projet'!$A$330,'Données projet'!$B$330,IK36+IJ37-IS36)))</f>
        <v>0</v>
      </c>
      <c r="IL37" s="17">
        <f>IK37*VLOOKUP('Données projet'!$B$20,Paramètres!$A$1:$I$89,3,0)*VLOOKUP('Données projet'!$B$20,Paramètres!$A$1:$I$89,5,0)</f>
        <v>0</v>
      </c>
      <c r="IM37" s="13" t="e">
        <f t="shared" si="85"/>
        <v>#NUM!</v>
      </c>
      <c r="IN37" s="20" t="e">
        <f t="shared" si="86"/>
        <v>#NUM!</v>
      </c>
      <c r="IO37" s="59" t="e">
        <f t="shared" si="87"/>
        <v>#NUM!</v>
      </c>
      <c r="IP37" s="59">
        <f ca="1">AVERAGE(OFFSET(IO$3,0,0,'Données projet'!$E$20+1,1))-AVERAGE(OFFSET($H$3,0,0,'Données projet'!$E$20+1,1))</f>
        <v>91.60721429656013</v>
      </c>
      <c r="IQ37" s="59">
        <f t="shared" si="88"/>
        <v>258.94957804210856</v>
      </c>
      <c r="IR37" s="15">
        <f>IF(ISNA(VLOOKUP($A37,'Données projet'!$A$330:$I$350,3,0)),0,VLOOKUP($A37,'Données projet'!$A$330:$I$350,3,0))</f>
        <v>0</v>
      </c>
      <c r="IS37" s="15">
        <f>IF(ISNA(VLOOKUP($A37,'Données projet'!$A$330:$I$350,4,0)),0,VLOOKUP($A37,'Données projet'!$A$330:$I$350,4,0))</f>
        <v>0</v>
      </c>
      <c r="IT37" s="16">
        <f>IF(ISNA(VLOOKUP($A37,'Données projet'!$A$330:$I$350,5,0)),0%,VLOOKUP($A37,'Données projet'!$A$330:$I$350,5,0)*VLOOKUP('Données projet'!$B$20,Paramètres!$A$1:$I$89,7,0))</f>
        <v>0</v>
      </c>
      <c r="IU37" s="16">
        <f>IF(ISNA(VLOOKUP($A37,'Données projet'!$A$330:$I$350,6,0)),0%,VLOOKUP($A37,'Données projet'!$A$330:$I$350,6,0)*VLOOKUP('Données projet'!$B$20,Paramètres!$A$1:$I$89,7,0))</f>
        <v>0</v>
      </c>
      <c r="IV37" s="16">
        <f>IF(ISNA(VLOOKUP($A37,'Données projet'!$A$330:$I$350,7,0)),0%,VLOOKUP($A37,'Données projet'!$A$330:$I$350,7,0))</f>
        <v>0</v>
      </c>
      <c r="IW37" s="21">
        <f>EXP(-LN(2)/35)*IW36+(1-EXP(-LN(2)/35))/(LN(2)/35)*IS37*IT37*VLOOKUP('Données projet'!$B$20,Paramètres!$A$1:$I$89,3,0)*0.475*44/12</f>
        <v>45.575505954558416</v>
      </c>
      <c r="IX37" s="21">
        <f>EXP(-LN(2)/25)*IX36+(1-EXP(-LN(2)/25))/(LN(2)/25)*Calculateur!IS37*Calculateur!IU37*VLOOKUP('Données projet'!$B$20,Paramètres!$A$1:$I$89,3,0)*0.475*44/12</f>
        <v>8.7065592582800324</v>
      </c>
      <c r="IY37" s="21">
        <f>EXP(-LN(2)/2)*IY36+(1-EXP(-LN(2)/2))/(LN(2)/2)*IS37*IV37*VLOOKUP('Données projet'!$B$20,Paramètres!$A$1:$I$89,3,0)*0.475*44/12</f>
        <v>0.14321307793599439</v>
      </c>
      <c r="IZ37" s="22">
        <f t="shared" si="89"/>
        <v>54.425278290774443</v>
      </c>
      <c r="JA37" s="74">
        <f>('Scénario référence'!$F$8+'Scénario référence'!$F$9+'Scénario référence'!$B$17+'Scénario référence'!$B$9+'Scénario référence'!$B$10)*70+IF((45+25*(1-EXP(-0.0175*$A37)))&lt;70,'Scénario référence'!$B$16*(45+25*(1-EXP(-0.0175*$A37))),70*'Scénario référence'!$B$16)+IF((32+38*(1-EXP(-0.0175*$A37)))&lt;70,'Scénario référence'!$B$18*(32+38*(1-EXP(-0.0175*$A37))),70*'Scénario référence'!$B$18)</f>
        <v>70</v>
      </c>
      <c r="JB37" s="12">
        <f>IF($A37&gt;30,10,('Scénario référence'!$B$16+'Scénario référence'!$B$17+'Scénario référence'!$B$18+'Scénario référence'!$B$9+'Scénario référence'!$B$10)*$A37*10/30+('Scénario référence'!$F$8+'Scénario référence'!$F$9)*10)</f>
        <v>10</v>
      </c>
      <c r="JC37" s="12" t="e">
        <f>VLOOKUP($A37,'Données projet'!$A$356:$I$376,2,0)</f>
        <v>#N/A</v>
      </c>
      <c r="JD37" s="12" t="e">
        <f>VLOOKUP($A37,'Données projet'!$A$356:$I$376,9,0)</f>
        <v>#N/A</v>
      </c>
      <c r="JE37" s="12">
        <f t="array" ref="JE37">INDEX(JD:JD,MIN(IF(ISNUMBER(JD37:JD233),ROW(JD37:JD233),"")))</f>
        <v>-9.8000000000000007</v>
      </c>
      <c r="JF37" s="12">
        <f>IF('Données projet'!$A$356&gt;35,JF36+JE37-JN36,IF($A37&lt;'Données projet'!$A$356,$CQ$205^$A37,IF($A37='Données projet'!$A$356,'Données projet'!$B$356,JF36+JE37-JN36)))</f>
        <v>48.800000000000054</v>
      </c>
      <c r="JG37" s="17">
        <f>JF37*VLOOKUP('Données projet'!$B$21,Paramètres!$A$1:$I$89,3,0)*VLOOKUP('Données projet'!$B$21,Paramètres!$A$1:$I$89,5,0)</f>
        <v>39.586560000000048</v>
      </c>
      <c r="JH37" s="13">
        <f t="shared" si="90"/>
        <v>11.888998414387723</v>
      </c>
      <c r="JI37" s="20">
        <f t="shared" si="91"/>
        <v>89.653264238392026</v>
      </c>
      <c r="JJ37" s="59">
        <f t="shared" si="92"/>
        <v>382.98659757172533</v>
      </c>
      <c r="JK37" s="59">
        <f ca="1">AVERAGE(OFFSET($JJ$3,0,0,'Données projet'!$E$22+1,1))-AVERAGE(OFFSET($H$3,0,0,'Données projet'!$E$22+1,1))</f>
        <v>353.35574633294613</v>
      </c>
      <c r="JL37" s="59">
        <f t="shared" si="93"/>
        <v>170.36796666474726</v>
      </c>
      <c r="JM37" s="15">
        <f>IF(ISNA(VLOOKUP($A37,'Données projet'!$A$356:$I$376,3,0)),0,VLOOKUP($A37,'Données projet'!$A$356:$I$376,3,0))</f>
        <v>0</v>
      </c>
      <c r="JN37" s="15">
        <f>IF(ISNA(VLOOKUP($A37,'Données projet'!$A$356:$I$376,4,0)),0,VLOOKUP($A37,'Données projet'!$A$356:$I$376,4,0))</f>
        <v>0</v>
      </c>
      <c r="JO37" s="16">
        <f>IF(ISNA(VLOOKUP($A37,'Données projet'!$A$356:$I$376,5,0)),0%,VLOOKUP($A37,'Données projet'!$A$356:$I$376,5,0)*VLOOKUP('Données projet'!$B$21,Paramètres!$A$1:$I$89,7,0))</f>
        <v>0</v>
      </c>
      <c r="JP37" s="16">
        <f>IF(ISNA(VLOOKUP($A37,'Données projet'!$A$356:$I$376,6,0)),0%,VLOOKUP($A37,'Données projet'!$A$356:$I$376,6,0)*VLOOKUP('Données projet'!$B$21,Paramètres!$A$1:$I$89,7,0))</f>
        <v>0</v>
      </c>
      <c r="JQ37" s="16">
        <f>IF(ISNA(VLOOKUP($A37,'Données projet'!$A$356:$I$376,7,0)),0%,VLOOKUP($A37,'Données projet'!$A$356:$I$376,7,0))</f>
        <v>0</v>
      </c>
      <c r="JR37" s="21">
        <f>EXP(-LN(2)/35)*JR36+(1-EXP(-LN(2)/35))/(LN(2)/35)*JN37*JO37*VLOOKUP('Données projet'!$B$21,Paramètres!$A$1:$I$89,3,0)*0.475*44/12</f>
        <v>0</v>
      </c>
      <c r="JS37" s="21">
        <f>EXP(-LN(2)/25)*JS36+(1-EXP(-LN(2)/25))/(LN(2)/25)*Calculateur!JN37*Calculateur!JP37*VLOOKUP('Données projet'!$B$21,Paramètres!$A$1:$I$89,3,0)*0.475*44/12</f>
        <v>0</v>
      </c>
      <c r="JT37" s="21">
        <f>EXP(-LN(2)/2)*JT36+(1-EXP(-LN(2)/2))/(LN(2)/2)*JN37*JQ37*VLOOKUP('Données projet'!$B$21,Paramètres!$A$1:$I$89,3,0)*0.475*44/12</f>
        <v>1.6073169695685716</v>
      </c>
      <c r="JU37" s="18">
        <f t="shared" si="39"/>
        <v>1.6073169695685716</v>
      </c>
      <c r="JV37" s="74">
        <f>('Scénario référence'!$F$8+'Scénario référence'!$F$9+'Scénario référence'!$B$17+'Scénario référence'!$B$9+'Scénario référence'!$B$10)*70+IF((45+25*(1-EXP(-0.0175*$A37)))&lt;70,'Scénario référence'!$B$16*(45+25*(1-EXP(-0.0175*$A37))),70*'Scénario référence'!$B$16)+IF((32+38*(1-EXP(-0.0175*$A37)))&lt;70,'Scénario référence'!$B$18*(32+38*(1-EXP(-0.0175*$A37))),70*'Scénario référence'!$B$18)</f>
        <v>70</v>
      </c>
      <c r="JW37" s="12">
        <f>IF($A37&gt;30,10,('Scénario référence'!$B$16+'Scénario référence'!$B$17+'Scénario référence'!$B$18+'Scénario référence'!$B$9+'Scénario référence'!$B$10)*$A37*10/30+('Scénario référence'!$F$8+'Scénario référence'!$F$9)*10)</f>
        <v>10</v>
      </c>
      <c r="JX37" s="12" t="e">
        <f>VLOOKUP($A37,'Données projet'!$A$382:$I$402,2,0)</f>
        <v>#N/A</v>
      </c>
      <c r="JY37" s="12" t="e">
        <f>VLOOKUP($A37,'Données projet'!$A$382:$I$402,9,0)</f>
        <v>#N/A</v>
      </c>
      <c r="JZ37" s="12">
        <f t="array" ref="JZ37">INDEX(JY:JY,MIN(IF(ISNUMBER(JY37:JY233),ROW(JY37:JY233),"")))</f>
        <v>8.0564102564102633</v>
      </c>
      <c r="KA37" s="12">
        <f>IF('Données projet'!$A$382&gt;35,KA36+JZ37-KI36,IF($A37&lt;'Données projet'!$A$382,$CQ$205^$A37,IF($A37='Données projet'!$A$382,'Données projet'!$B$382,KA36+JZ37-KI36)))</f>
        <v>154.11025641025637</v>
      </c>
      <c r="KB37" s="17">
        <f>KA37*VLOOKUP('Données projet'!$B$22,Paramètres!$A$1:$I$89,3,0)*VLOOKUP('Données projet'!$B$22,Paramètres!$A$1:$I$89,5,0)</f>
        <v>103.37715999999999</v>
      </c>
      <c r="KC37" s="13">
        <f t="shared" si="94"/>
        <v>27.764997502646178</v>
      </c>
      <c r="KD37" s="20">
        <f t="shared" si="95"/>
        <v>228.40592431710874</v>
      </c>
      <c r="KE37" s="59">
        <f t="shared" si="96"/>
        <v>521.73925765044203</v>
      </c>
      <c r="KF37" s="59">
        <f ca="1">AVERAGE(OFFSET($KE$3,0,0,'Données projet'!$E$22+1,1))-AVERAGE(OFFSET($H$3,0,0,'Données projet'!$E$22+1,1))</f>
        <v>193.91714772848269</v>
      </c>
      <c r="KG37" s="59">
        <f t="shared" si="97"/>
        <v>159.20429420478047</v>
      </c>
      <c r="KH37" s="15">
        <f>IF(ISNA(VLOOKUP($A37,'Données projet'!$A$382:$I$402,3,0)),0,VLOOKUP($A37,'Données projet'!$A$382:$I$402,3,0))</f>
        <v>0</v>
      </c>
      <c r="KI37" s="15">
        <f>IF(ISNA(VLOOKUP($A37,'Données projet'!$A$382:$I$402,4,0)),0,VLOOKUP($A37,'Données projet'!$A$382:$I$402,4,0))</f>
        <v>0</v>
      </c>
      <c r="KJ37" s="16">
        <f>IF(ISNA(VLOOKUP($A37,'Données projet'!$A$382:$I$402,5,0)),0%,VLOOKUP($A37,'Données projet'!$A$382:$I$402,5,0)*VLOOKUP('Données projet'!$B$22,Paramètres!$A$1:$I$89,7,0))</f>
        <v>0</v>
      </c>
      <c r="KK37" s="16">
        <f>IF(ISNA(VLOOKUP($A37,'Données projet'!$A$382:$I$402,6,0)),0%,VLOOKUP($A37,'Données projet'!$A$382:$I$402,6,0)*VLOOKUP('Données projet'!$B$22,Paramètres!$A$1:$I$89,7,0))</f>
        <v>0</v>
      </c>
      <c r="KL37" s="16">
        <f>IF(ISNA(VLOOKUP($A37,'Données projet'!$A$382:$I$402,7,0)),0%,VLOOKUP($A37,'Données projet'!$A$382:$I$402,7,0))</f>
        <v>0</v>
      </c>
      <c r="KM37" s="21">
        <f>EXP(-LN(2)/35)*KM36+(1-EXP(-LN(2)/35))/(LN(2)/35)*KI37*KJ37*VLOOKUP('Données projet'!$B$22,Paramètres!$A$1:$I$89,3,0)*0.475*44/12</f>
        <v>0</v>
      </c>
      <c r="KN37" s="21">
        <f>EXP(-LN(2)/25)*KN36+(1-EXP(-LN(2)/25))/(LN(2)/25)*Calculateur!KI37*Calculateur!KK37*VLOOKUP('Données projet'!$B$22,Paramètres!$A$1:$I$89,3,0)*0.475*44/12</f>
        <v>0</v>
      </c>
      <c r="KO37" s="21">
        <f>EXP(-LN(2)/2)*KO36+(1-EXP(-LN(2)/2))/(LN(2)/2)*KI37*KL37*VLOOKUP('Données projet'!$B$22,Paramètres!$A$1:$I$89,3,0)*0.475*44/12</f>
        <v>0</v>
      </c>
      <c r="KP37" s="22">
        <f t="shared" si="98"/>
        <v>0</v>
      </c>
      <c r="KQ37" s="74">
        <f>('Scénario référence'!$F$8+'Scénario référence'!$F$9+'Scénario référence'!$B$17+'Scénario référence'!$B$9+'Scénario référence'!$B$10)*70+IF((45+25*(1-EXP(-0.0175*$A37)))&lt;70,'Scénario référence'!$B$16*(45+25*(1-EXP(-0.0175*$A37))),70*'Scénario référence'!$B$16)+IF((32+38*(1-EXP(-0.0175*$A37)))&lt;70,'Scénario référence'!$B$18*(32+38*(1-EXP(-0.0175*$A37))),70*'Scénario référence'!$B$18)</f>
        <v>70</v>
      </c>
      <c r="KR37" s="12">
        <f>IF($A37&gt;30,10,('Scénario référence'!$B$16+'Scénario référence'!$B$17+'Scénario référence'!$B$18+'Scénario référence'!$B$9+'Scénario référence'!$B$10)*$A37*10/30+('Scénario référence'!$F$8+'Scénario référence'!$F$9)*10)</f>
        <v>10</v>
      </c>
      <c r="KS37" s="12" t="e">
        <f>VLOOKUP($A37,'Données projet'!$A$408:$I$428,2,0)</f>
        <v>#N/A</v>
      </c>
      <c r="KT37" s="12" t="e">
        <f>VLOOKUP($A37,'Données projet'!$A$408:$I$428,9,0)</f>
        <v>#N/A</v>
      </c>
      <c r="KU37" s="12">
        <f t="array" ref="KU37">INDEX(KT:KT,MIN(IF(ISNUMBER(KT37:KT233),ROW(KT37:KT233),"")))</f>
        <v>10.8</v>
      </c>
      <c r="KV37" s="12">
        <f>IF('Données projet'!$A$408&gt;35,KV36+KU37-LD36,IF($A37&lt;'Données projet'!$A$408,$CQ$205^$A37,IF($A37='Données projet'!$A$408,'Données projet'!$B$408,KV36+KU37-LD36)))</f>
        <v>161.20000000000005</v>
      </c>
      <c r="KW37" s="17">
        <f>KV37*VLOOKUP('Données projet'!$B$23,Paramètres!$A$1:$I$89,3,0)*VLOOKUP('Données projet'!$B$23,Paramètres!$A$1:$I$89,5,0)</f>
        <v>140.82432000000006</v>
      </c>
      <c r="KX37" s="13">
        <f t="shared" si="99"/>
        <v>36.485781060837802</v>
      </c>
      <c r="KY37" s="14">
        <f t="shared" si="43"/>
        <v>308.81509268095925</v>
      </c>
      <c r="KZ37" s="59">
        <f t="shared" si="44"/>
        <v>602.14842601429257</v>
      </c>
      <c r="LA37" s="59">
        <f ca="1">AVERAGE(OFFSET($KZ$3,0,0,'Données projet'!$E$23+1,1))-AVERAGE(OFFSET($H$3,0,0,'Données projet'!$E$23+1,1))</f>
        <v>248.33596943633819</v>
      </c>
      <c r="LB37" s="59">
        <f t="shared" si="100"/>
        <v>242.34010522344573</v>
      </c>
      <c r="LC37" s="15">
        <f>IF(ISNA(VLOOKUP($A37,'Données projet'!$A$408:$I$428,3,0)),0,VLOOKUP($A37,'Données projet'!$A$408:$I$428,3,0))</f>
        <v>0</v>
      </c>
      <c r="LD37" s="15">
        <f>IF(ISNA(VLOOKUP($A37,'Données projet'!$A$408:$I$428,4,0)),0,VLOOKUP($A37,'Données projet'!$A$408:$I$428,4,0))</f>
        <v>0</v>
      </c>
      <c r="LE37" s="16">
        <f>IF(ISNA(VLOOKUP($A37,'Données projet'!$A$408:$I$428,5,0)),0%,VLOOKUP($A37,'Données projet'!$A$408:$I$428,5,0)*VLOOKUP('Données projet'!$B$23,Paramètres!$A$1:$I$89,7,0))</f>
        <v>0</v>
      </c>
      <c r="LF37" s="16">
        <f>IF(ISNA(VLOOKUP($A37,'Données projet'!$A$408:$I$428,6,0)),0%,VLOOKUP($A37,'Données projet'!$A$408:$I$428,6,0)*VLOOKUP('Données projet'!$B$23,Paramètres!$A$1:$I$89,7,0))</f>
        <v>0</v>
      </c>
      <c r="LG37" s="16">
        <f>IF(ISNA(VLOOKUP($A37,'Données projet'!$A$408:$I$428,7,0)),0%,VLOOKUP($A37,'Données projet'!$A$408:$I$428,7,0))</f>
        <v>0</v>
      </c>
      <c r="LH37" s="21">
        <f>EXP(-LN(2)/35)*LH36+(1-EXP(-LN(2)/35))/(LN(2)/35)*LD37*LE37*VLOOKUP('Données projet'!$B$23,Paramètres!$A$1:$I$89,3,0)*0.475*44/12</f>
        <v>0.42967767156962378</v>
      </c>
      <c r="LI37" s="21">
        <f>EXP(-LN(2)/25)*LI36+(1-EXP(-LN(2)/25))/(LN(2)/25)*Calculateur!LD37*Calculateur!LF37*VLOOKUP('Données projet'!$B$23,Paramètres!$A$1:$I$89,3,0)*0.475*44/12</f>
        <v>3.6378026039257758</v>
      </c>
      <c r="LJ37" s="21">
        <f>EXP(-LN(2)/2)*LJ36+(1-EXP(-LN(2)/2))/(LN(2)/2)*LD37*LG37*VLOOKUP('Données projet'!$B$23,Paramètres!$A$1:$I$89,3,0)*0.475*44/12</f>
        <v>0</v>
      </c>
      <c r="LK37" s="22">
        <f t="shared" si="101"/>
        <v>4.0674802754953996</v>
      </c>
      <c r="LL37" s="74">
        <f>('Scénario référence'!$F$8+'Scénario référence'!$F$9+'Scénario référence'!$B$17+'Scénario référence'!$B$9+'Scénario référence'!$B$10)*70+IF((45+25*(1-EXP(-0.0175*$A37)))&lt;70,'Scénario référence'!$B$16*(45+25*(1-EXP(-0.0175*$A37))),70*'Scénario référence'!$B$16)+IF((32+38*(1-EXP(-0.0175*$A37)))&lt;70,'Scénario référence'!$B$18*(32+38*(1-EXP(-0.0175*$A37))),70*'Scénario référence'!$B$18)</f>
        <v>70</v>
      </c>
      <c r="LM37" s="12">
        <f>IF($A37&gt;30,10,('Scénario référence'!$B$16+'Scénario référence'!$B$17+'Scénario référence'!$B$18+'Scénario référence'!$B$9+'Scénario référence'!$B$10)*$A37*10/30+('Scénario référence'!$F$8+'Scénario référence'!$F$9)*10)</f>
        <v>10</v>
      </c>
      <c r="LN37" s="12" t="e">
        <f>VLOOKUP($A37,'Données projet'!$A$434:$I$454,2,0)</f>
        <v>#N/A</v>
      </c>
      <c r="LO37" s="12" t="e">
        <f>VLOOKUP($A37,'Données projet'!$A$434:$I$454,9,0)</f>
        <v>#N/A</v>
      </c>
      <c r="LP37" s="12">
        <f t="array" ref="LP37">INDEX(LO:LO,MIN(IF(ISNUMBER(LO37:LO233),ROW(LO37:LO233),"")))</f>
        <v>5.3369963369963358</v>
      </c>
      <c r="LQ37" s="12">
        <f>IF('Données projet'!$A$434&gt;35,LQ36+LP37-LY36,IF($A37&lt;'Données projet'!$A$434,$CQ$205^$A37,IF($A37='Données projet'!$A$434,'Données projet'!$B$434,LQ36+LP37-LY36)))</f>
        <v>109.05311355311356</v>
      </c>
      <c r="LR37" s="17">
        <f>LQ37*VLOOKUP('Données projet'!$B$24,Paramètres!$A$1:$I$89,3,0)*VLOOKUP('Données projet'!$B$24,Paramètres!$A$1:$I$89,5,0)</f>
        <v>110.57985714285715</v>
      </c>
      <c r="LS37" s="13">
        <f t="shared" si="102"/>
        <v>29.467561605850825</v>
      </c>
      <c r="LT37" s="14">
        <f t="shared" si="46"/>
        <v>243.91592098733301</v>
      </c>
      <c r="LU37" s="59">
        <f t="shared" si="103"/>
        <v>537.2492543206663</v>
      </c>
      <c r="LV37" s="59">
        <f ca="1">AVERAGE(OFFSET($LU$3,0,0,'Données projet'!$E$24+1,1))-AVERAGE(OFFSET($H$3,0,0,'Données projet'!$E$24+1,1))</f>
        <v>260.52627655062872</v>
      </c>
      <c r="LW37" s="59">
        <f t="shared" si="104"/>
        <v>159.20429420478047</v>
      </c>
      <c r="LX37" s="15">
        <f>IF(ISNA(VLOOKUP($A37,'Données projet'!$A$434:$I$454,3,0)),0,VLOOKUP($A37,'Données projet'!$A$434:$I$454,3,0))</f>
        <v>0</v>
      </c>
      <c r="LY37" s="15">
        <f>IF(ISNA(VLOOKUP($A37,'Données projet'!$A$434:$I$454,4,0)),0,VLOOKUP($A37,'Données projet'!$A$434:$I$454,4,0))</f>
        <v>0</v>
      </c>
      <c r="LZ37" s="16">
        <f>IF(ISNA(VLOOKUP($A37,'Données projet'!$A$434:$I$454,5,0)),0%,VLOOKUP($A37,'Données projet'!$A$434:$I$454,5,0)*VLOOKUP('Données projet'!$B$24,Paramètres!$A$1:$I$89,7,0))</f>
        <v>0</v>
      </c>
      <c r="MA37" s="16">
        <f>IF(ISNA(VLOOKUP($A37,'Données projet'!$A$434:$I$454,6,0)),0%,VLOOKUP($A37,'Données projet'!$A$434:$I$454,6,0)*VLOOKUP('Données projet'!$B$24,Paramètres!$A$1:$I$89,7,0))</f>
        <v>0</v>
      </c>
      <c r="MB37" s="16">
        <f>IF(ISNA(VLOOKUP($A37,'Données projet'!$A$434:$I$454,7,0)),0%,VLOOKUP($A37,'Données projet'!$A$434:$I$454,7,0))</f>
        <v>0</v>
      </c>
      <c r="MC37" s="21">
        <f>EXP(-LN(2)/35)*MC36+(1-EXP(-LN(2)/35))/(LN(2)/35)*LY37*LZ37*VLOOKUP('Données projet'!$B$24,Paramètres!$A$1:$I$89,3,0)*0.475*44/12</f>
        <v>0</v>
      </c>
      <c r="MD37" s="21">
        <f>EXP(-LN(2)/25)*MD36+(1-EXP(-LN(2)/25))/(LN(2)/25)*Calculateur!LY37*Calculateur!MA37*VLOOKUP('Données projet'!$B$24,Paramètres!$A$1:$I$89,3,0)*0.475*44/12</f>
        <v>0</v>
      </c>
      <c r="ME37" s="21">
        <f>EXP(-LN(2)/2)*ME36+(1-EXP(-LN(2)/2))/(LN(2)/2)*LY37*MB37*VLOOKUP('Données projet'!$B$24,Paramètres!$A$1:$I$89,3,0)*0.475*44/12</f>
        <v>0</v>
      </c>
      <c r="MF37" s="22">
        <f t="shared" si="105"/>
        <v>0</v>
      </c>
      <c r="MG37" s="74">
        <f>('Scénario référence'!$F$8+'Scénario référence'!$F$9+'Scénario référence'!$B$17+'Scénario référence'!$B$9+'Scénario référence'!$B$10)*70+IF((45+25*(1-EXP(-0.0175*$A37)))&lt;70,'Scénario référence'!$B$16*(45+25*(1-EXP(-0.0175*$A37))),70*'Scénario référence'!$B$16)+IF((32+38*(1-EXP(-0.0175*$A37)))&lt;70,'Scénario référence'!$B$18*(32+38*(1-EXP(-0.0175*$A37))),70*'Scénario référence'!$B$18)</f>
        <v>70</v>
      </c>
      <c r="MH37" s="12">
        <f>IF($A37&gt;30,10,('Scénario référence'!$B$16+'Scénario référence'!$B$17+'Scénario référence'!$B$18+'Scénario référence'!$B$9+'Scénario référence'!$B$10)*$A37*10/30+('Scénario référence'!$F$8+'Scénario référence'!$F$9)*10)</f>
        <v>10</v>
      </c>
      <c r="MI37" s="12" t="e">
        <f>VLOOKUP($A37,'Données projet'!$A$460:$I$480,2,0)</f>
        <v>#N/A</v>
      </c>
      <c r="MJ37" s="12" t="e">
        <f>VLOOKUP($A37,'Données projet'!$A$460:$I$480,9,0)</f>
        <v>#N/A</v>
      </c>
      <c r="MK37" s="12">
        <f t="array" ref="MK37">INDEX(MJ:MJ,MIN(IF(ISNUMBER(MJ37:MJ233),ROW(MJ37:MJ233),"")))</f>
        <v>0</v>
      </c>
      <c r="ML37" s="12">
        <f>IF('Données projet'!$A$460&gt;35,ML36+MK37-MT36,IF($A37&lt;'Données projet'!$A$460,$CQ$205^$A37,IF($A37='Données projet'!$A$460,'Données projet'!$B$460,ML36+MK37-MT36)))</f>
        <v>0</v>
      </c>
      <c r="MM37" s="17" t="e">
        <f>ML37*VLOOKUP('Données projet'!$B$25,Paramètres!$A$1:$I$89,3,0)*VLOOKUP('Données projet'!$B$25,Paramètres!$A$1:$I$89,5,0)</f>
        <v>#N/A</v>
      </c>
      <c r="MN37" s="13" t="e">
        <f t="shared" si="106"/>
        <v>#N/A</v>
      </c>
      <c r="MO37" s="14" t="e">
        <f t="shared" si="49"/>
        <v>#N/A</v>
      </c>
      <c r="MP37" s="59" t="e">
        <f t="shared" si="50"/>
        <v>#N/A</v>
      </c>
      <c r="MQ37" s="20" t="e">
        <f ca="1">AVERAGE(OFFSET($MP$3,0,0,'Données projet'!$E$25+1,1))-AVERAGE(OFFSET($H$3,0,0,'Données projet'!$E$25+1,1))</f>
        <v>#N/A</v>
      </c>
      <c r="MR37" s="59" t="e">
        <f t="shared" si="107"/>
        <v>#N/A</v>
      </c>
      <c r="MS37" s="15">
        <f>IF(ISNA(VLOOKUP($A37,'Données projet'!$A$460:$I$480,3,0)),0,VLOOKUP($A37,'Données projet'!$A$460:$I$480,3,0))</f>
        <v>0</v>
      </c>
      <c r="MT37" s="15">
        <f>IF(ISNA(VLOOKUP($A37,'Données projet'!$A$460:$I$480,4,0)),0,VLOOKUP($A37,'Données projet'!$A$460:$I$480,4,0))</f>
        <v>0</v>
      </c>
      <c r="MU37" s="16">
        <f>IF(ISNA(VLOOKUP($A37,'Données projet'!$A$460:$I$480,5,0)),0%,VLOOKUP($A37,'Données projet'!$A$460:$I$480,5,0)*VLOOKUP('Données projet'!$B$25,Paramètres!$A$1:$I$89,7,0))</f>
        <v>0</v>
      </c>
      <c r="MV37" s="16">
        <f>IF(ISNA(VLOOKUP($A37,'Données projet'!$A$460:$I$480,6,0)),0%,VLOOKUP($A37,'Données projet'!$A$460:$I$480,6,0)*VLOOKUP('Données projet'!$B$25,Paramètres!$A$1:$I$89,7,0))</f>
        <v>0</v>
      </c>
      <c r="MW37" s="16">
        <f>IF(ISNA(VLOOKUP($A37,'Données projet'!$A$460:$I$480,7,0)),0%,VLOOKUP($A37,'Données projet'!$A$460:$I$480,7,0))</f>
        <v>0</v>
      </c>
      <c r="MX37" s="21" t="e">
        <f>EXP(-LN(2)/35)*MX36+(1-EXP(-LN(2)/35))/(LN(2)/35)*MT37*MU37*VLOOKUP('Données projet'!$B$25,Paramètres!$A$1:$I$89,3,0)*0.475*44/12</f>
        <v>#N/A</v>
      </c>
      <c r="MY37" s="21" t="e">
        <f>EXP(-LN(2)/25)*MY36+(1-EXP(-LN(2)/25))/(LN(2)/25)*Calculateur!MT37*Calculateur!MV37*VLOOKUP('Données projet'!$B$25,Paramètres!$A$1:$I$89,3,0)*0.475*44/12</f>
        <v>#N/A</v>
      </c>
      <c r="MZ37" s="21" t="e">
        <f>EXP(-LN(2)/2)*MZ36+(1-EXP(-LN(2)/2))/(LN(2)/2)*MT37*MW37*VLOOKUP('Données projet'!$B$25,Paramètres!$A$1:$I$89,3,0)*0.475*44/12</f>
        <v>#N/A</v>
      </c>
      <c r="NA37" s="22" t="e">
        <f t="shared" si="108"/>
        <v>#N/A</v>
      </c>
      <c r="NB37" s="74">
        <f>('Scénario référence'!$F$8+'Scénario référence'!$F$9+'Scénario référence'!$B$17+'Scénario référence'!$B$9+'Scénario référence'!$B$10)*70+IF((45+25*(1-EXP(-0.0175*$A37)))&lt;70,'Scénario référence'!$B$16*(45+25*(1-EXP(-0.0175*$A37))),70*'Scénario référence'!$B$16)+IF((32+38*(1-EXP(-0.0175*$A37)))&lt;70,'Scénario référence'!$B$18*(32+38*(1-EXP(-0.0175*$A37))),70*'Scénario référence'!$B$18)</f>
        <v>70</v>
      </c>
      <c r="NC37" s="12">
        <f>IF($A37&gt;30,10,('Scénario référence'!$B$16+'Scénario référence'!$B$17+'Scénario référence'!$B$18+'Scénario référence'!$B$9+'Scénario référence'!$B$10)*$A37*10/30+('Scénario référence'!$F$8+'Scénario référence'!$F$9)*10)</f>
        <v>10</v>
      </c>
      <c r="ND37" s="12" t="e">
        <f>VLOOKUP($A37,'Données projet'!$A$486:$I$506,2,0)</f>
        <v>#N/A</v>
      </c>
      <c r="NE37" s="12" t="e">
        <f>VLOOKUP($A37,'Données projet'!$A$486:$I$506,9,0)</f>
        <v>#N/A</v>
      </c>
      <c r="NF37" s="12">
        <f t="array" ref="NF37">INDEX(NE:NE,MIN(IF(ISNUMBER(NE37:NE233),ROW(NE37:NE233),"")))</f>
        <v>0</v>
      </c>
      <c r="NG37" s="12">
        <f>IF('Données projet'!$A$486&gt;35,NG36+NF37-NO36,IF($A37&lt;'Données projet'!$A$486,$CQ$205^$A37,IF($A37='Données projet'!$A$486,'Données projet'!$B$486,NG36+NF37-NO36)))</f>
        <v>0</v>
      </c>
      <c r="NH37" s="17" t="e">
        <f>NG37*VLOOKUP('Données projet'!$B$26,Paramètres!$A$1:$I$89,3,0)*VLOOKUP('Données projet'!$B$26,Paramètres!$A$1:$I$89,5,0)</f>
        <v>#N/A</v>
      </c>
      <c r="NI37" s="13" t="e">
        <f t="shared" si="109"/>
        <v>#N/A</v>
      </c>
      <c r="NJ37" s="14" t="e">
        <f t="shared" si="52"/>
        <v>#N/A</v>
      </c>
      <c r="NK37" s="59" t="e">
        <f t="shared" si="53"/>
        <v>#N/A</v>
      </c>
      <c r="NL37" s="20" t="e">
        <f ca="1">AVERAGE(OFFSET($NK$3,0,0,'Données projet'!$E$26+1,1))-AVERAGE(OFFSET($H$3,0,0,'Données projet'!$E$26+1,1))</f>
        <v>#N/A</v>
      </c>
      <c r="NM37" s="59" t="e">
        <f t="shared" si="110"/>
        <v>#N/A</v>
      </c>
      <c r="NN37" s="15">
        <f>IF(ISNA(VLOOKUP($A37,'Données projet'!$A$486:$I$506,3,0)),0,VLOOKUP($A37,'Données projet'!$A$486:$I$506,3,0))</f>
        <v>0</v>
      </c>
      <c r="NO37" s="15">
        <f>IF(ISNA(VLOOKUP($A37,'Données projet'!$A$486:$I$506,4,0)),0,VLOOKUP($A37,'Données projet'!$A$486:$I$506,4,0))</f>
        <v>0</v>
      </c>
      <c r="NP37" s="16">
        <f>IF(ISNA(VLOOKUP($A37,'Données projet'!$A$486:$I$506,5,0)),0%,VLOOKUP($A37,'Données projet'!$A$486:$I$506,5,0)*VLOOKUP('Données projet'!$B$26,Paramètres!$A$1:$I$89,7,0))</f>
        <v>0</v>
      </c>
      <c r="NQ37" s="16">
        <f>IF(ISNA(VLOOKUP($A37,'Données projet'!$A$486:$I$506,6,0)),0%,VLOOKUP($A37,'Données projet'!$A$486:$I$506,6,0)*VLOOKUP('Données projet'!$B$26,Paramètres!$A$1:$I$89,7,0))</f>
        <v>0</v>
      </c>
      <c r="NR37" s="16">
        <f>IF(ISNA(VLOOKUP($A37,'Données projet'!$A$486:$I$506,7,0)),0%,VLOOKUP($A37,'Données projet'!$A$486:$I$506,7,0))</f>
        <v>0</v>
      </c>
      <c r="NS37" s="21" t="e">
        <f>EXP(-LN(2)/35)*NS36+(1-EXP(-LN(2)/35))/(LN(2)/35)*NO37*NP37*VLOOKUP('Données projet'!$B$26,Paramètres!$A$1:$I$89,3,0)*0.475*44/12</f>
        <v>#N/A</v>
      </c>
      <c r="NT37" s="21" t="e">
        <f>EXP(-LN(2)/25)*NT36+(1-EXP(-LN(2)/25))/(LN(2)/25)*Calculateur!NO37*Calculateur!NQ37*VLOOKUP('Données projet'!$B$26,Paramètres!$A$1:$I$89,3,0)*0.475*44/12</f>
        <v>#N/A</v>
      </c>
      <c r="NU37" s="21" t="e">
        <f>EXP(-LN(2)/2)*NU36+(1-EXP(-LN(2)/2))/(LN(2)/2)*NO37*NR37*VLOOKUP('Données projet'!$B$26,Paramètres!$A$1:$I$89,3,0)*0.475*44/12</f>
        <v>#N/A</v>
      </c>
      <c r="NV37" s="22" t="e">
        <f t="shared" si="111"/>
        <v>#N/A</v>
      </c>
      <c r="NW37" s="74">
        <f>('Scénario référence'!$F$8+'Scénario référence'!$F$9+'Scénario référence'!$B$17+'Scénario référence'!$B$9+'Scénario référence'!$B$10)*70+IF((45+25*(1-EXP(-0.0175*$A37)))&lt;70,'Scénario référence'!$B$16*(45+25*(1-EXP(-0.0175*$A37))),70*'Scénario référence'!$B$16)+IF((32+38*(1-EXP(-0.0175*$A37)))&lt;70,'Scénario référence'!$B$18*(32+38*(1-EXP(-0.0175*$A37))),70*'Scénario référence'!$B$18)</f>
        <v>70</v>
      </c>
      <c r="NX37" s="12">
        <f>IF($A37&gt;30,10,('Scénario référence'!$B$16+'Scénario référence'!$B$17+'Scénario référence'!$B$18+'Scénario référence'!$B$9+'Scénario référence'!$B$10)*$A37*10/30+('Scénario référence'!$F$8+'Scénario référence'!$F$9)*10)</f>
        <v>10</v>
      </c>
      <c r="NY37" s="12" t="e">
        <f>VLOOKUP($A37,'Données projet'!$A$512:$I$532,2,0)</f>
        <v>#N/A</v>
      </c>
      <c r="NZ37" s="12" t="e">
        <f>VLOOKUP($A37,'Données projet'!$A$512:$I$532,9,0)</f>
        <v>#N/A</v>
      </c>
      <c r="OA37" s="12">
        <f t="array" ref="OA37">INDEX(NZ:NZ,MIN(IF(ISNUMBER(NZ37:NZ233),ROW(NZ37:NZ233),"")))</f>
        <v>0</v>
      </c>
      <c r="OB37" s="12">
        <f>IF('Données projet'!$A$512&gt;35,OB36+OA37-OJ36,IF($A37&lt;'Données projet'!$A$512,$CQ$205^$A37,IF($A37='Données projet'!$A$512,'Données projet'!$B$512,OB36+OA37-OJ36)))</f>
        <v>0</v>
      </c>
      <c r="OC37" s="17" t="e">
        <f>OB37*VLOOKUP('Données projet'!$B$27,Paramètres!$A$1:$I$89,3,0)*VLOOKUP('Données projet'!$B$27,Paramètres!$A$1:$I$89,5,0)</f>
        <v>#N/A</v>
      </c>
      <c r="OD37" s="13" t="e">
        <f t="shared" si="112"/>
        <v>#N/A</v>
      </c>
      <c r="OE37" s="14" t="e">
        <f t="shared" si="55"/>
        <v>#N/A</v>
      </c>
      <c r="OF37" s="59" t="e">
        <f t="shared" si="56"/>
        <v>#N/A</v>
      </c>
      <c r="OG37" s="20" t="e">
        <f ca="1">AVERAGE(OFFSET($OF$3,0,0,'Données projet'!$E$27+1,1))-AVERAGE(OFFSET($H$3,0,0,'Données projet'!$E$27+1,1))</f>
        <v>#N/A</v>
      </c>
      <c r="OH37" s="59" t="e">
        <f t="shared" si="113"/>
        <v>#N/A</v>
      </c>
      <c r="OI37" s="15">
        <f>IF(ISNA(VLOOKUP($A37,'Données projet'!$A$512:$I$532,3,0)),0,VLOOKUP($A37,'Données projet'!$A$512:$I$532,3,0))</f>
        <v>0</v>
      </c>
      <c r="OJ37" s="15">
        <f>IF(ISNA(VLOOKUP($A37,'Données projet'!$A$512:$I$532,4,0)),0,VLOOKUP($A37,'Données projet'!$A$512:$I$532,4,0))</f>
        <v>0</v>
      </c>
      <c r="OK37" s="16">
        <f>IF(ISNA(VLOOKUP($A37,'Données projet'!$A$512:$I$532,5,0)),0%,VLOOKUP($A37,'Données projet'!$A$512:$I$532,5,0)*VLOOKUP('Données projet'!$B$27,Paramètres!$A$1:$I$89,7,0))</f>
        <v>0</v>
      </c>
      <c r="OL37" s="16">
        <f>IF(ISNA(VLOOKUP($A37,'Données projet'!$A$512:$I$532,6,0)),0%,VLOOKUP($A37,'Données projet'!$A$512:$I$532,6,0)*VLOOKUP('Données projet'!$B$27,Paramètres!$A$1:$I$89,7,0))</f>
        <v>0</v>
      </c>
      <c r="OM37" s="16">
        <f>IF(ISNA(VLOOKUP($A37,'Données projet'!$A$512:$I$532,7,0)),0%,VLOOKUP($A37,'Données projet'!$A$512:$I$532,7,0))</f>
        <v>0</v>
      </c>
      <c r="ON37" s="21" t="e">
        <f>EXP(-LN(2)/35)*ON36+(1-EXP(-LN(2)/35))/(LN(2)/35)*OJ37*OK37*VLOOKUP('Données projet'!$B$27,Paramètres!$A$1:$I$89,3,0)*0.475*44/12</f>
        <v>#N/A</v>
      </c>
      <c r="OO37" s="21" t="e">
        <f>EXP(-LN(2)/25)*OO36+(1-EXP(-LN(2)/25))/(LN(2)/25)*Calculateur!OJ37*Calculateur!OL37*VLOOKUP('Données projet'!$B$27,Paramètres!$A$1:$I$89,3,0)*0.475*44/12</f>
        <v>#N/A</v>
      </c>
      <c r="OP37" s="21" t="e">
        <f>EXP(-LN(2)/2)*OP36+(1-EXP(-LN(2)/2))/(LN(2)/2)*OJ37*OM37*VLOOKUP('Données projet'!$B$27,Paramètres!$A$1:$I$89,3,0)*0.475*44/12</f>
        <v>#N/A</v>
      </c>
      <c r="OQ37" s="22" t="e">
        <f t="shared" si="114"/>
        <v>#N/A</v>
      </c>
      <c r="OR37" s="74">
        <f>('Scénario référence'!$F$8+'Scénario référence'!$F$9+'Scénario référence'!$B$17+'Scénario référence'!$B$9+'Scénario référence'!$B$10)*70+IF((45+25*(1-EXP(-0.0175*$A37)))&lt;70,'Scénario référence'!$B$16*(45+25*(1-EXP(-0.0175*$A37))),70*'Scénario référence'!$B$16)+IF((32+38*(1-EXP(-0.0175*$A37)))&lt;70,'Scénario référence'!$B$18*(32+38*(1-EXP(-0.0175*$A37))),70*'Scénario référence'!$B$18)</f>
        <v>70</v>
      </c>
      <c r="OS37" s="12">
        <f>IF($A37&gt;30,10,('Scénario référence'!$B$16+'Scénario référence'!$B$17+'Scénario référence'!$B$18+'Scénario référence'!$B$9+'Scénario référence'!$B$10)*$A37*10/30+('Scénario référence'!$F$8+'Scénario référence'!$F$9)*10)</f>
        <v>10</v>
      </c>
      <c r="OT37" s="12" t="e">
        <f>VLOOKUP($A37,'Données projet'!$A$538:$I$558,2,0)</f>
        <v>#N/A</v>
      </c>
      <c r="OU37" s="12" t="e">
        <f>VLOOKUP($A37,'Données projet'!$A$538:$I$558,9,0)</f>
        <v>#N/A</v>
      </c>
      <c r="OV37" s="12">
        <f t="array" ref="OV37">INDEX(OU:OU,MIN(IF(ISNUMBER(OU37:OU233),ROW(OU37:OU233),"")))</f>
        <v>0</v>
      </c>
      <c r="OW37" s="12">
        <f>IF('Données projet'!$A$538&gt;35,OW36+OV37-PE36,IF($A37&lt;'Données projet'!$A$538,$CQ$205^$A37,IF($A37='Données projet'!$A$538,'Données projet'!$B$538,OW36+OV37-PE36)))</f>
        <v>0</v>
      </c>
      <c r="OX37" s="17" t="e">
        <f>OW37*VLOOKUP('Données projet'!$B$28,Paramètres!$A$1:$I$89,3,0)*VLOOKUP('Données projet'!$B$28,Paramètres!$A$1:$I$89,5,0)</f>
        <v>#N/A</v>
      </c>
      <c r="OY37" s="13" t="e">
        <f t="shared" si="115"/>
        <v>#N/A</v>
      </c>
      <c r="OZ37" s="14" t="e">
        <f t="shared" si="58"/>
        <v>#N/A</v>
      </c>
      <c r="PA37" s="59" t="e">
        <f t="shared" si="59"/>
        <v>#N/A</v>
      </c>
      <c r="PB37" s="20" t="e">
        <f ca="1">AVERAGE(OFFSET($PA$3,0,0,'Données projet'!$E$28+1,1))-AVERAGE(OFFSET($H$3,0,0,'Données projet'!$E$28+1,1))</f>
        <v>#N/A</v>
      </c>
      <c r="PC37" s="59" t="e">
        <f t="shared" si="116"/>
        <v>#N/A</v>
      </c>
      <c r="PD37" s="15">
        <f>IF(ISNA(VLOOKUP($A37,'Données projet'!$A$538:$I$558,3,0)),0,VLOOKUP($A37,'Données projet'!$A$538:$I$558,3,0))</f>
        <v>0</v>
      </c>
      <c r="PE37" s="15">
        <f>IF(ISNA(VLOOKUP($A37,'Données projet'!$A$538:$I$558,4,0)),0,VLOOKUP($A37,'Données projet'!$A$538:$I$558,4,0))</f>
        <v>0</v>
      </c>
      <c r="PF37" s="16">
        <f>IF(ISNA(VLOOKUP($A37,'Données projet'!$A$538:$I$558,5,0)),0%,VLOOKUP($A37,'Données projet'!$A$538:$I$558,5,0)*VLOOKUP('Données projet'!$B$28,Paramètres!$A$1:$I$89,7,0))</f>
        <v>0</v>
      </c>
      <c r="PG37" s="16">
        <f>IF(ISNA(VLOOKUP($A37,'Données projet'!$A$538:$I$558,6,0)),0%,VLOOKUP($A37,'Données projet'!$A$538:$I$558,6,0)*VLOOKUP('Données projet'!$B$28,Paramètres!$A$1:$I$89,7,0))</f>
        <v>0</v>
      </c>
      <c r="PH37" s="16">
        <f>IF(ISNA(VLOOKUP($A37,'Données projet'!$A$538:$I$558,7,0)),0%,VLOOKUP($A37,'Données projet'!$A$538:$I$558,7,0))</f>
        <v>0</v>
      </c>
      <c r="PI37" s="21" t="e">
        <f>EXP(-LN(2)/35)*PI36+(1-EXP(-LN(2)/35))/(LN(2)/35)*PE37*PF37*VLOOKUP('Données projet'!$B$28,Paramètres!$A$1:$I$89,3,0)*0.475*44/12</f>
        <v>#N/A</v>
      </c>
      <c r="PJ37" s="21" t="e">
        <f>EXP(-LN(2)/25)*PJ36+(1-EXP(-LN(2)/25))/(LN(2)/25)*Calculateur!PE37*Calculateur!PG37*VLOOKUP('Données projet'!$B$28,Paramètres!$A$1:$I$89,3,0)*0.475*44/12</f>
        <v>#N/A</v>
      </c>
      <c r="PK37" s="21" t="e">
        <f>EXP(-LN(2)/2)*PK36+(1-EXP(-LN(2)/2))/(LN(2)/2)*PE37*PH37*VLOOKUP('Données projet'!$B$28,Paramètres!$A$1:$I$89,3,0)*0.475*44/12</f>
        <v>#N/A</v>
      </c>
      <c r="PL37" s="22" t="e">
        <f t="shared" si="117"/>
        <v>#N/A</v>
      </c>
    </row>
    <row r="38" spans="1:428" x14ac:dyDescent="0.35">
      <c r="A38" s="10">
        <f t="shared" si="6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6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projet'!$A$45:$I$65,2,0)</f>
        <v>#N/A</v>
      </c>
      <c r="L38" s="12" t="e">
        <f>VLOOKUP(A38,'Données projet'!$A$45:$I$65,9,0)</f>
        <v>#N/A</v>
      </c>
      <c r="M38" s="12">
        <f t="array" ref="M38">INDEX(L:L,MIN(IF(ISNUMBER(L38:L234),ROW(L38:L234),"")))</f>
        <v>22.884615384615397</v>
      </c>
      <c r="N38" s="13">
        <f>IF('Données projet'!$A$46&gt;35,N37+M38-V37,IF(A38&lt;'Données projet'!$A$46,$K$205^A38,IF(A38='Données projet'!$A$46,'Données projet'!$B$46,N37+M38-V37)))</f>
        <v>380.62307692307695</v>
      </c>
      <c r="O38" s="13">
        <f>N38*VLOOKUP('Données projet'!$B$9,Paramètres!$A$1:$I$89,3,0)*VLOOKUP('Données projet'!$B$9,Paramètres!$A$1:$I$89,5,0)</f>
        <v>212.76830000000001</v>
      </c>
      <c r="P38" s="13">
        <f t="shared" si="63"/>
        <v>52.540067037520508</v>
      </c>
      <c r="Q38" s="20">
        <f t="shared" si="118"/>
        <v>462.07873925701483</v>
      </c>
      <c r="R38" s="59">
        <f t="shared" si="0"/>
        <v>755.41207259034809</v>
      </c>
      <c r="S38" s="59">
        <f ca="1">AVERAGE(OFFSET($R$3,0,0,'Données projet'!$E$9+1,1))-AVERAGE(OFFSET($H$3,0,0,'Données projet'!$E$9+1,1))</f>
        <v>274.57619581652199</v>
      </c>
      <c r="T38" s="59">
        <f t="shared" si="64"/>
        <v>366.15117322598775</v>
      </c>
      <c r="U38" s="15">
        <f>IF(ISNA(VLOOKUP(A38,'Données projet'!$A$45:$I$65,3,0)),0,VLOOKUP(A38,'Données projet'!$A$45:$I$65,3,0))</f>
        <v>0</v>
      </c>
      <c r="V38" s="15">
        <f>IF(ISNA(VLOOKUP(A38,'Données projet'!$A$45:$I$65,4,0)),0,VLOOKUP(A38,'Données projet'!$A$45:$I$65,4,0))</f>
        <v>0</v>
      </c>
      <c r="W38" s="16">
        <f>IF(ISNA(VLOOKUP(A38,'Données projet'!$A$45:$I$65,5,0)),0%,VLOOKUP(A38,'Données projet'!$A$45:$I$65,5,0)*VLOOKUP('Données projet'!$B$9,Paramètres!$A$1:$I$89,7,0))</f>
        <v>0</v>
      </c>
      <c r="X38" s="16">
        <f>IF(ISNA(VLOOKUP(A38,'Données projet'!$A$45:$I$65,6,0)),0%,VLOOKUP(A38,'Données projet'!$A$45:$I$65,6,0)*VLOOKUP('Données projet'!$B$9,Paramètres!$A$1:$I$89,7,0))</f>
        <v>0</v>
      </c>
      <c r="Y38" s="16">
        <f>IF(ISNA(VLOOKUP(A38,'Données projet'!$A$45:$I$65,7,0)),0%,VLOOKUP(A38,'Données projet'!$A$45:$I$65,7,0))</f>
        <v>0</v>
      </c>
      <c r="Z38" s="21">
        <f>EXP(-LN(2)/35)*Z37+(1-EXP(-LN(2)/35))/(LN(2)/35)*V38*W38*VLOOKUP('Données projet'!$B$9,Paramètres!$A$1:$I$89,3,0)*0.475*44/12</f>
        <v>26.776346200655233</v>
      </c>
      <c r="AA38" s="21">
        <f>EXP(-LN(2)/25)*AA37+(1-EXP(-LN(2)/25))/(LN(2)/25)*Calculateur!V38*Calculateur!X38*VLOOKUP('Données projet'!$B$9,Paramètres!$A$1:$I$89,3,0)*0.475*44/12</f>
        <v>15.886127547825641</v>
      </c>
      <c r="AB38" s="21">
        <f>EXP(-LN(2)/2)*AB37+(1-EXP(-LN(2)/2))/(LN(2)/2)*V38*Y38*VLOOKUP('Données projet'!$B$9,Paramètres!$A$1:$I$89,3,0)*0.475*44/12</f>
        <v>1.1019102448972871</v>
      </c>
      <c r="AC38" s="22">
        <f t="shared" si="3"/>
        <v>43.764383993378168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projet'!$A$71:$I$91,2,0)</f>
        <v>162.16666666666669</v>
      </c>
      <c r="AG38" s="12">
        <f>VLOOKUP(A38,'Données projet'!$A$71:$I$91,9,0)</f>
        <v>8.0564102564102633</v>
      </c>
      <c r="AH38" s="12">
        <f t="array" ref="AH38">INDEX(AG:AG,MIN(IF(ISNUMBER(AG38:AG234),ROW(AG38:AG234),"")))</f>
        <v>8.0564102564102633</v>
      </c>
      <c r="AI38" s="13">
        <f>IF('Données projet'!$A$72&gt;35,AI37+AH38-AQ37,IF(A38&lt;'Données projet'!$A$72,$AF$205^A38,IF(A38='Données projet'!$A$72,'Données projet'!$B$72,AI37+AH38-AQ37)))</f>
        <v>162.16666666666669</v>
      </c>
      <c r="AJ38" s="13">
        <f>AI38*VLOOKUP('Données projet'!$B$10,Paramètres!$A$1:$I$89,3,0)*VLOOKUP('Données projet'!$B$10,Paramètres!$A$1:$I$89,5,0)</f>
        <v>146.72840000000002</v>
      </c>
      <c r="AK38" s="13">
        <f t="shared" si="65"/>
        <v>37.834151268675086</v>
      </c>
      <c r="AL38" s="20">
        <f t="shared" si="4"/>
        <v>321.44644345960916</v>
      </c>
      <c r="AM38" s="59">
        <f t="shared" si="5"/>
        <v>614.77977679294247</v>
      </c>
      <c r="AN38" s="59">
        <f ca="1">AVERAGE(OFFSET($AM$3,0,0,'Données projet'!$E$10+1,1))-AVERAGE(OFFSET($H$3,0,0,'Données projet'!$E$10+1,1))</f>
        <v>270.87836509222456</v>
      </c>
      <c r="AO38" s="59">
        <f t="shared" si="66"/>
        <v>205.24998237949734</v>
      </c>
      <c r="AP38" s="15">
        <f>IF(ISNA(VLOOKUP(A38,'Données projet'!$A$71:$I$91,3,0)),0,VLOOKUP(A38,'Données projet'!$A$71:$I$91,3,0))</f>
        <v>1</v>
      </c>
      <c r="AQ38" s="15">
        <f>IF(ISNA(VLOOKUP(A38,'Données projet'!$A$71:$I$91,4,0)),0,VLOOKUP(A38,'Données projet'!$A$71:$I$91,4,0))</f>
        <v>60.602564102564102</v>
      </c>
      <c r="AR38" s="16">
        <f>IF(ISNA(VLOOKUP(A38,'Données projet'!$A$71:$I$91,5,0)),0%,VLOOKUP(A38,'Données projet'!$A$71:$I$91,5,0)*VLOOKUP('Données projet'!$B$10,Paramètres!$A$1:$I$89,7,0))</f>
        <v>0</v>
      </c>
      <c r="AS38" s="16">
        <f>IF(ISNA(VLOOKUP(A38,'Données projet'!$A$71:$I$91,6,0)),0%,VLOOKUP(A38,'Données projet'!$A$71:$I$91,6,0)*VLOOKUP('Données projet'!$B$10,Paramètres!$A$1:$I$89,7,0))</f>
        <v>0</v>
      </c>
      <c r="AT38" s="16">
        <f>IF(ISNA(VLOOKUP(A38,'Données projet'!$A$71:$I$91,7,0)),0%,VLOOKUP(A38,'Données projet'!$A$71:$I$91,7,0))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projet'!$A$97:$I$117,2,0)</f>
        <v>#N/A</v>
      </c>
      <c r="BB38" s="12" t="e">
        <f>VLOOKUP(A38,'Données projet'!$A$97:$I$117,9,0)</f>
        <v>#N/A</v>
      </c>
      <c r="BC38" s="12">
        <f t="array" ref="BC38">INDEX(BB:BB,MIN(IF(ISNUMBER(BB38:BB234),ROW(BB38:BB234),"")))</f>
        <v>22.884615384615397</v>
      </c>
      <c r="BD38" s="12">
        <f>IF('Données projet'!$A$98&gt;35,BD37+BC38-BL37,IF(A38&lt;'Données projet'!$A$98,$BA$205^A38,IF(A38='Données projet'!$A$98,'Données projet'!$B$98,BD37+BC38-BL37)))</f>
        <v>380.62307692307695</v>
      </c>
      <c r="BE38" s="13">
        <f>BD38*VLOOKUP('Données projet'!$B$11,Paramètres!$A$1:$I$89,3,0)*VLOOKUP('Données projet'!$B$11,Paramètres!$A$1:$I$89,5,0)</f>
        <v>168.23540000000003</v>
      </c>
      <c r="BF38" s="13">
        <f t="shared" si="67"/>
        <v>42.694572204819622</v>
      </c>
      <c r="BG38" s="20">
        <f t="shared" si="7"/>
        <v>367.36970159006086</v>
      </c>
      <c r="BH38" s="59">
        <f t="shared" si="8"/>
        <v>660.70303492339417</v>
      </c>
      <c r="BI38" s="59">
        <f ca="1">AVERAGE(OFFSET($BH$3,0,0,'Données projet'!$E$11+1,1))-AVERAGE(OFFSET($H$3,0,0,'Données projet'!$E$11+1,1))</f>
        <v>211.31057120485542</v>
      </c>
      <c r="BJ38" s="59">
        <f t="shared" si="68"/>
        <v>283.33292006714777</v>
      </c>
      <c r="BK38" s="15">
        <f>IF(ISNA(VLOOKUP(A38,'Données projet'!$A$97:$I$117,3,0)),0,VLOOKUP(A38,'Données projet'!$A$97:$I$117,3,0))</f>
        <v>0</v>
      </c>
      <c r="BL38" s="15">
        <f>IF(ISNA(VLOOKUP(A38,'Données projet'!$A$97:$I$117,4,0)),0,VLOOKUP(A38,'Données projet'!$A$97:$I$117,4,0))</f>
        <v>0</v>
      </c>
      <c r="BM38" s="16">
        <f>IF(ISNA(VLOOKUP(A38,'Données projet'!$A$97:$I$117,5,0)),0%,VLOOKUP(A38,'Données projet'!$A$97:$I$117,5,0)*VLOOKUP('Données projet'!$B$11,Paramètres!$A$1:$I$89,7,0))</f>
        <v>0</v>
      </c>
      <c r="BN38" s="16">
        <f>IF(ISNA(VLOOKUP(A38,'Données projet'!$A$97:$I$117,6,0)),0%,VLOOKUP(A38,'Données projet'!$A$97:$I$117,6,0)*VLOOKUP('Données projet'!$B$11,Paramètres!$A$1:$I$89,7,0))</f>
        <v>0</v>
      </c>
      <c r="BO38" s="16">
        <f>IF(ISNA(VLOOKUP(A38,'Données projet'!$A$97:$I$117,7,0)),0%,VLOOKUP(A38,'Données projet'!$A$97:$I$117,7,0))</f>
        <v>0</v>
      </c>
      <c r="BP38" s="21">
        <f>EXP(-LN(2)/35)*BP37+(1-EXP(-LN(2)/35))/(LN(2)/35)*BL38*BM38*VLOOKUP('Données projet'!$B$11,Paramètres!$A$1:$I$89,3,0)*0.475*44/12</f>
        <v>21.171994670285528</v>
      </c>
      <c r="BQ38" s="21">
        <f>EXP(-LN(2)/25)*BQ37+(1-EXP(-LN(2)/25))/(LN(2)/25)*Calculateur!BL38*Calculateur!BN38*VLOOKUP('Données projet'!$B$11,Paramètres!$A$1:$I$89,3,0)*0.475*44/12</f>
        <v>12.561124107583064</v>
      </c>
      <c r="BR38" s="21">
        <f>EXP(-LN(2)/2)*BR37+(1-EXP(-LN(2)/2))/(LN(2)/2)*BL38*BO38*VLOOKUP('Données projet'!$B$11,Paramètres!$A$1:$I$89,3,0)*0.475*44/12</f>
        <v>0.87127786805832041</v>
      </c>
      <c r="BS38" s="22">
        <f t="shared" si="9"/>
        <v>34.604396645926911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projet'!$A$123:$I$143,2,0)</f>
        <v>168</v>
      </c>
      <c r="BW38" s="12">
        <f>VLOOKUP(A38,'Données projet'!$A$123:$I$143,9,0)</f>
        <v>9.1999999999999993</v>
      </c>
      <c r="BX38" s="12">
        <f t="array" ref="BX38">INDEX(BW:BW,MIN(IF(ISNUMBER(BW38:BW234),ROW(BW38:BW234),"")))</f>
        <v>9.1999999999999993</v>
      </c>
      <c r="BY38" s="12">
        <f>IF('Données projet'!$A$124&gt;35,BY37+BX38-CG37,IF(A38&lt;'Données projet'!$A$124,$BV$205^A38,IF(A38='Données projet'!$A$124,'Données projet'!$B$124,BY37+BX38-CG37)))</f>
        <v>167.99999999999997</v>
      </c>
      <c r="BZ38" s="13">
        <f>BY38*VLOOKUP('Données projet'!$B$12,Paramètres!$A$1:$I$89,3,0)*VLOOKUP('Données projet'!$B$12,Paramètres!$A$1:$I$89,5,0)</f>
        <v>175.59359999999998</v>
      </c>
      <c r="CA38" s="13">
        <f t="shared" si="69"/>
        <v>44.340433728638573</v>
      </c>
      <c r="CB38" s="20">
        <f t="shared" si="10"/>
        <v>383.05177541071208</v>
      </c>
      <c r="CC38" s="59">
        <f t="shared" si="11"/>
        <v>676.3851087440454</v>
      </c>
      <c r="CD38" s="59">
        <f ca="1">AVERAGE(OFFSET($CC$3,0,0,'Données projet'!$E$12+1,1))-AVERAGE(OFFSET($H$3,0,0,'Données projet'!$E$12+1,1))</f>
        <v>322.93502595881938</v>
      </c>
      <c r="CE38" s="59">
        <f t="shared" si="70"/>
        <v>302.67072119588164</v>
      </c>
      <c r="CF38" s="15">
        <f>IF(ISNA(VLOOKUP(A38,'Données projet'!$A$123:$I$143,3,0)),0,VLOOKUP(A38,'Données projet'!$A$123:$I$143,3,0))</f>
        <v>4</v>
      </c>
      <c r="CG38" s="15" t="str">
        <f>IF(ISNA(VLOOKUP(A38,'Données projet'!$A$123:$I$143,4,0)),0,VLOOKUP(A38,'Données projet'!$A$123:$I$143,4,0))</f>
        <v>27</v>
      </c>
      <c r="CH38" s="16">
        <f>IF(ISNA(VLOOKUP(A38,'Données projet'!$A$123:$I$143,5,0)),0%,VLOOKUP(A38,'Données projet'!$A$123:$I$143,5,0)*VLOOKUP('Données projet'!$B$12,Paramètres!$A$1:$I$89,7,0))</f>
        <v>0</v>
      </c>
      <c r="CI38" s="16">
        <f>IF(ISNA(VLOOKUP(A38,'Données projet'!$A$123:$I$143,6,0)),0%,VLOOKUP(A38,'Données projet'!$A$123:$I$143,6,0)*VLOOKUP('Données projet'!$B$12,Paramètres!$A$1:$I$89,7,0))</f>
        <v>0.215</v>
      </c>
      <c r="CJ38" s="16">
        <f>IF(ISNA(VLOOKUP(A38,'Données projet'!$A$123:$I$143,7,0)),0%,VLOOKUP(A38,'Données projet'!$A$123:$I$143,7,0))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6.6809062473653311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6.6809062473653311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projet'!$A$149:$I$169,2,0)</f>
        <v>#N/A</v>
      </c>
      <c r="CR38" s="12" t="e">
        <f>VLOOKUP(A38,'Données projet'!$A$149:$I$169,9,0)</f>
        <v>#N/A</v>
      </c>
      <c r="CS38" s="12">
        <f t="array" ref="CS38">INDEX(CR:CR,MIN(IF(ISNUMBER(CR38:CR234),ROW(CR38:CR234),"")))</f>
        <v>5.3369963369963358</v>
      </c>
      <c r="CT38" s="12">
        <f>IF('Données projet'!$A$150&gt;35,CT37+CS38-DB37,IF(A38&lt;'Données projet'!$A$150,$CQ$205^A38,IF(A38='Données projet'!$A$150,'Données projet'!$B$150,CT37+CS38-DB37)))</f>
        <v>114.39010989010988</v>
      </c>
      <c r="CU38" s="17">
        <f>CT38*VLOOKUP('Données projet'!$B$13,Paramètres!$A$1:$I$89,3,0)*VLOOKUP('Données projet'!$B$13,Paramètres!$A$1:$I$89,5,0)</f>
        <v>115.99157142857143</v>
      </c>
      <c r="CV38" s="13">
        <f t="shared" si="71"/>
        <v>30.738258626956586</v>
      </c>
      <c r="CW38" s="20">
        <f t="shared" si="13"/>
        <v>255.55445401337798</v>
      </c>
      <c r="CX38" s="59">
        <f t="shared" si="14"/>
        <v>548.88778734671132</v>
      </c>
      <c r="CY38" s="59">
        <f ca="1">AVERAGE(OFFSET($CX$3,0,0,'Données projet'!$E$13+1,1))-AVERAGE(OFFSET($H$3,0,0,'Données projet'!$E$13+1,1))</f>
        <v>250.31277422753283</v>
      </c>
      <c r="CZ38" s="59">
        <f t="shared" si="72"/>
        <v>159.20429420478047</v>
      </c>
      <c r="DA38" s="15">
        <f>IF(ISNA(VLOOKUP(A38,'Données projet'!$A$149:$I$169,3,0)),0,VLOOKUP(A38,'Données projet'!$A$149:$I$169,3,0))</f>
        <v>0</v>
      </c>
      <c r="DB38" s="15">
        <f>IF(ISNA(VLOOKUP(A38,'Données projet'!$A$149:$I$169,4,0)),0,VLOOKUP(A38,'Données projet'!$A$149:$I$169,4,0))</f>
        <v>0</v>
      </c>
      <c r="DC38" s="16">
        <f>IF(ISNA(VLOOKUP(A38,'Données projet'!$A$149:$I$169,5,0)),0%,VLOOKUP(A38,'Données projet'!$A$149:$I$169,5,0)*VLOOKUP('Données projet'!$B$13,Paramètres!$A$1:$I$89,7,0))</f>
        <v>0</v>
      </c>
      <c r="DD38" s="16">
        <f>IF(ISNA(VLOOKUP(A38,'Données projet'!$A$149:$I$169,6,0)),0%,VLOOKUP(A38,'Données projet'!$A$149:$I$169,6,0)*VLOOKUP('Données projet'!$B$13,Paramètres!$A$1:$I$89,7,0))</f>
        <v>0</v>
      </c>
      <c r="DE38" s="16">
        <f>IF(ISNA(VLOOKUP(A38,'Données projet'!$A$149:$I$169,7,0)),0%,VLOOKUP(A38,'Données projet'!$A$149:$I$169,7,0))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projet'!$A$175:$I$195,2,0)</f>
        <v>239</v>
      </c>
      <c r="DM38" s="12">
        <f>VLOOKUP(A38,'Données projet'!$A$175:$I$195,9,0)</f>
        <v>15.2</v>
      </c>
      <c r="DN38" s="12">
        <f t="array" ref="DN38">INDEX(DM:DM,MIN(IF(ISNUMBER(DM38:DM234),ROW(DM38:DM234),"")))</f>
        <v>15.2</v>
      </c>
      <c r="DO38" s="12">
        <f>IF('Données projet'!$A$176&gt;35,DO37+DN38-DW37,IF(A38&lt;'Données projet'!$A$176,$DL$205^A38,IF(A38='Données projet'!$A$176,'Données projet'!$B$176,DO37+DN38-DW37)))</f>
        <v>239</v>
      </c>
      <c r="DP38" s="17">
        <f>DO38*VLOOKUP('Données projet'!$B$14,Paramètres!$A$1:$I$89,3,0)*VLOOKUP('Données projet'!$B$14,Paramètres!$A$1:$I$89,5,0)</f>
        <v>175.23480000000001</v>
      </c>
      <c r="DQ38" s="13">
        <f t="shared" si="73"/>
        <v>44.260367185241513</v>
      </c>
      <c r="DR38" s="20">
        <f t="shared" si="16"/>
        <v>382.28741618096228</v>
      </c>
      <c r="DS38" s="59">
        <f t="shared" si="17"/>
        <v>675.62074951429554</v>
      </c>
      <c r="DT38" s="59">
        <f ca="1">AVERAGE(OFFSET($DS$3,0,0,'Données projet'!$E$14+1,1))-AVERAGE(OFFSET($H$3,0,0,'Données projet'!$E$14+1,1))</f>
        <v>296.91321813251051</v>
      </c>
      <c r="DU38" s="59">
        <f t="shared" si="74"/>
        <v>291.0718079639509</v>
      </c>
      <c r="DV38" s="15">
        <f>IF(ISNA(VLOOKUP(A38,'Données projet'!$A$175:$I$195,3,0)),0,VLOOKUP(A38,'Données projet'!$A$175:$I$195,3,0))</f>
        <v>6</v>
      </c>
      <c r="DW38" s="15">
        <f>IF(ISNA(VLOOKUP(A38,'Données projet'!$A$175:$I$195,4,0)),0,VLOOKUP(A38,'Données projet'!$A$175:$I$195,4,0))</f>
        <v>42</v>
      </c>
      <c r="DX38" s="16">
        <f>IF(ISNA(VLOOKUP(A38,'Données projet'!$A$175:$I$195,5,0)),0%,VLOOKUP(A38,'Données projet'!$A$175:$I$195,5,0)*VLOOKUP('Données projet'!$B$14,Paramètres!$A$1:$I$89,7,0))</f>
        <v>0.31819999999999998</v>
      </c>
      <c r="DY38" s="16">
        <f>IF(ISNA(VLOOKUP(A38,'Données projet'!$A$175:$I$195,6,0)),0%,VLOOKUP(A38,'Données projet'!$A$175:$I$195,6,0)*VLOOKUP('Données projet'!$B$14,Paramètres!$A$1:$I$89,7,0))</f>
        <v>8.1699999999999995E-2</v>
      </c>
      <c r="DZ38" s="16">
        <f>IF(ISNA(VLOOKUP(A38,'Données projet'!$A$175:$I$195,7,0)),0%,VLOOKUP(A38,'Données projet'!$A$175:$I$195,7,0))</f>
        <v>0</v>
      </c>
      <c r="EA38" s="21">
        <f>EXP(-LN(2)/35)*EA37+(1-EXP(-LN(2)/35))/(LN(2)/35)*DW38*DX38*VLOOKUP('Données projet'!$B$14,Paramètres!$A$1:$I$89,3,0)*0.475*44/12</f>
        <v>19.40764971238902</v>
      </c>
      <c r="EB38" s="21">
        <f>EXP(-LN(2)/25)*EB37+(1-EXP(-LN(2)/25))/(LN(2)/25)*Calculateur!DW38*Calculateur!DY38*VLOOKUP('Données projet'!$B$14,Paramètres!$A$1:$I$89,3,0)*0.475*44/12</f>
        <v>12.611013777015758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32.01866348940478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projet'!$A$201:$I$221,2,0)</f>
        <v>#N/A</v>
      </c>
      <c r="EH38" s="12" t="e">
        <f>VLOOKUP(A38,'Données projet'!$A$201:$I$221,9,0)</f>
        <v>#N/A</v>
      </c>
      <c r="EI38" s="12">
        <f t="array" ref="EI38">INDEX(EH:EH,MIN(IF(ISNUMBER(EH38:EH234),ROW(EH38:EH234),"")))</f>
        <v>10.407692307692306</v>
      </c>
      <c r="EJ38" s="12">
        <f>IF('Données projet'!$A$202&gt;35,EJ37+EI38-ER37,IF(A38&lt;'Données projet'!$A$202,$EG$205^A38,IF(A38='Données projet'!$A$202,'Données projet'!$B$202,EJ37+EI38-ER37)))</f>
        <v>155.3153846153846</v>
      </c>
      <c r="EK38" s="17">
        <f>EJ38*VLOOKUP('Données projet'!$B$15,Paramètres!$A$1:$I$89,3,0)*VLOOKUP('Données projet'!$B$15,Paramètres!$A$1:$I$89,5,0)</f>
        <v>72.687600000000003</v>
      </c>
      <c r="EL38" s="13">
        <f t="shared" si="75"/>
        <v>20.339412865653394</v>
      </c>
      <c r="EM38" s="20">
        <f t="shared" si="19"/>
        <v>162.02204740767968</v>
      </c>
      <c r="EN38" s="59">
        <f t="shared" si="20"/>
        <v>455.35538074101299</v>
      </c>
      <c r="EO38" s="59">
        <f ca="1">AVERAGE(OFFSET($EN$3,0,0,'Données projet'!$E$15+1,1))-AVERAGE(OFFSET($H$3,0,0,'Données projet'!$E$15+1,1))</f>
        <v>147.64256291235483</v>
      </c>
      <c r="EP38" s="59">
        <f t="shared" si="76"/>
        <v>70.859031694091868</v>
      </c>
      <c r="EQ38" s="15">
        <f>IF(ISNA(VLOOKUP(A38,'Données projet'!$A$201:$I$221,3,0)),0,VLOOKUP(A38,'Données projet'!$A$201:$I$221,3,0))</f>
        <v>0</v>
      </c>
      <c r="ER38" s="15">
        <f>IF(ISNA(VLOOKUP(A38,'Données projet'!$A$201:$I$221,4,0)),0,VLOOKUP(A38,'Données projet'!$A$201:$I$221,4,0))</f>
        <v>0</v>
      </c>
      <c r="ES38" s="16">
        <f>IF(ISNA(VLOOKUP(A38,'Données projet'!$A$201:$I$221,5,0)),0%,VLOOKUP(A38,'Données projet'!$A$201:$I$221,5,0)*VLOOKUP('Données projet'!$B$15,Paramètres!$A$1:$I$89,7,0))</f>
        <v>0</v>
      </c>
      <c r="ET38" s="16">
        <f>IF(ISNA(VLOOKUP(A38,'Données projet'!$A$201:$I$221,6,0)),0%,VLOOKUP(A38,'Données projet'!$A$201:$I$221,6,0)*VLOOKUP('Données projet'!$B$15,Paramètres!$A$1:$I$89,7,0))</f>
        <v>0</v>
      </c>
      <c r="EU38" s="16">
        <f>IF(ISNA(VLOOKUP(A38,'Données projet'!$A$201:$I$221,7,0)),0%,VLOOKUP(A38,'Données projet'!$A$201:$I$221,7,0))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projet'!$A$227:$I$247,2,0)</f>
        <v>135</v>
      </c>
      <c r="FC38" s="12">
        <f>VLOOKUP(A38,'Données projet'!$A$227:$I$247,9,0)</f>
        <v>7.2</v>
      </c>
      <c r="FD38" s="12">
        <f t="array" ref="FD38">INDEX(FC:FC,MIN(IF(ISNUMBER(FC38:FC234),ROW(FC38:FC234),"")))</f>
        <v>7.2</v>
      </c>
      <c r="FE38" s="12">
        <f>IF('Données projet'!$A$228&gt;35,FE37+FD38-FM37,IF(A38&lt;'Données projet'!$A$228,$FB$205^A38,IF(A38='Données projet'!$A$228,'Données projet'!$B$228,FE37+FD38-FM37)))</f>
        <v>135</v>
      </c>
      <c r="FF38" s="17">
        <f>FE38*VLOOKUP('Données projet'!$B$16,Paramètres!$A$1:$I$89,3,0)*VLOOKUP('Données projet'!$B$16,Paramètres!$A$1:$I$89,5,0)</f>
        <v>141.102</v>
      </c>
      <c r="FG38" s="13">
        <f t="shared" si="77"/>
        <v>36.549342904663185</v>
      </c>
      <c r="FH38" s="20">
        <f t="shared" si="22"/>
        <v>309.40942222562171</v>
      </c>
      <c r="FI38" s="59">
        <f t="shared" si="23"/>
        <v>602.74275555895497</v>
      </c>
      <c r="FJ38" s="59">
        <f ca="1">AVERAGE(OFFSET($FI$3,0,0,'Données projet'!$E$16+1,1))-AVERAGE(OFFSET($H$3,0,0,'Données projet'!$E$16+1,1))</f>
        <v>259.03906550253788</v>
      </c>
      <c r="FK38" s="59">
        <f t="shared" si="78"/>
        <v>235.54542903570831</v>
      </c>
      <c r="FL38" s="15">
        <f>IF(ISNA(VLOOKUP(A38,'Données projet'!$A$227:$I$247,3,0)),0,VLOOKUP(A38,'Données projet'!$A$227:$I$247,3,0))</f>
        <v>4</v>
      </c>
      <c r="FM38" s="15" t="str">
        <f>IF(ISNA(VLOOKUP(A38,'Données projet'!$A$227:$I$247,4,0)),0,VLOOKUP(A38,'Données projet'!$A$227:$I$247,4,0))</f>
        <v>20</v>
      </c>
      <c r="FN38" s="16">
        <f>IF(ISNA(VLOOKUP(A38,'Données projet'!$A$227:$I$247,5,0)),0%,VLOOKUP(A38,'Données projet'!$A$227:$I$247,5,0)*VLOOKUP('Données projet'!$B$16,Paramètres!$A$1:$I$89,7,0))</f>
        <v>0</v>
      </c>
      <c r="FO38" s="16">
        <f>IF(ISNA(VLOOKUP(A38,'Données projet'!$A$227:$I$247,6,0)),0%,VLOOKUP(A38,'Données projet'!$A$227:$I$247,6,0)*VLOOKUP('Données projet'!$B$16,Paramètres!$A$1:$I$89,7,0))</f>
        <v>0</v>
      </c>
      <c r="FP38" s="16">
        <f>IF(ISNA(VLOOKUP(A38,'Données projet'!$A$227:$I$247,7,0)),0%,VLOOKUP(A38,'Données projet'!$A$227:$I$247,7,0))</f>
        <v>0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0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>
        <f>VLOOKUP(A38,'Données projet'!$A$253:$I$273,2,0)</f>
        <v>172</v>
      </c>
      <c r="FX38" s="12">
        <f>VLOOKUP(A38,'Données projet'!$A$253:$I$273,9,0)</f>
        <v>10.8</v>
      </c>
      <c r="FY38" s="12">
        <f t="array" ref="FY38">INDEX(FX:FX,MIN(IF(ISNUMBER(FX38:FX234),ROW(FX38:FX234),"")))</f>
        <v>10.8</v>
      </c>
      <c r="FZ38" s="12">
        <f>IF('Données projet'!$A$254&gt;35,FZ37+FY38-GH37,IF(A38&lt;'Données projet'!$A$254,$FW$205^A38,IF(A38='Données projet'!$A$254,'Données projet'!$B$254,FZ37+FY38-GH37)))</f>
        <v>172.00000000000003</v>
      </c>
      <c r="GA38" s="17">
        <f>FZ38*VLOOKUP('Données projet'!$B$17,Paramètres!$A$1:$I$89,3,0)*VLOOKUP('Données projet'!$B$17,Paramètres!$A$1:$I$89,5,0)</f>
        <v>150.25920000000005</v>
      </c>
      <c r="GB38" s="13">
        <f t="shared" si="79"/>
        <v>38.637483830798729</v>
      </c>
      <c r="GC38" s="20">
        <f t="shared" si="25"/>
        <v>328.99505767197456</v>
      </c>
      <c r="GD38" s="59">
        <f t="shared" si="26"/>
        <v>622.32839100530782</v>
      </c>
      <c r="GE38" s="59">
        <f ca="1">AVERAGE(OFFSET($GD$3,0,0,'Données projet'!$E$17+1,1))-AVERAGE(OFFSET($H$3,0,0,'Données projet'!$E$17+1,1))</f>
        <v>245.1983232777614</v>
      </c>
      <c r="GF38" s="59">
        <f t="shared" si="80"/>
        <v>242.34010522344573</v>
      </c>
      <c r="GG38" s="15">
        <f>IF(ISNA(VLOOKUP(A38,'Données projet'!$A$253:$I$273,3,0)),0,VLOOKUP(A38,'Données projet'!$A$253:$I$273,3,0))</f>
        <v>5</v>
      </c>
      <c r="GH38" s="15">
        <f>IF(ISNA(VLOOKUP(A38,'Données projet'!$A$253:$I$273,4,0)),0,VLOOKUP(A38,'Données projet'!$A$253:$I$273,4,0))</f>
        <v>28</v>
      </c>
      <c r="GI38" s="16">
        <f>IF(ISNA(VLOOKUP(A38,'Données projet'!$A$253:$I$273,5,0)),0%,VLOOKUP(A38,'Données projet'!$A$253:$I$273,5,0)*VLOOKUP('Données projet'!$B$17,Paramètres!$A$1:$I$89,7,0))</f>
        <v>7.7399999999999997E-2</v>
      </c>
      <c r="GJ38" s="16">
        <f>IF(ISNA(VLOOKUP(A38,'Données projet'!$A$253:$I$273,6,0)),0%,VLOOKUP(A38,'Données projet'!$A$253:$I$273,6,0)*VLOOKUP('Données projet'!$B$17,Paramètres!$A$1:$I$89,7,0))</f>
        <v>0.18489999999999998</v>
      </c>
      <c r="GK38" s="16">
        <f>IF(ISNA(VLOOKUP(A38,'Données projet'!$A$253:$I$273,7,0)),0%,VLOOKUP(A38,'Données projet'!$A$253:$I$273,7,0))</f>
        <v>0</v>
      </c>
      <c r="GL38" s="21">
        <f>EXP(-LN(2)/35)*GL37+(1-EXP(-LN(2)/35))/(LN(2)/35)*GH38*GI38*VLOOKUP('Données projet'!$B$17,Paramètres!$A$1:$I$89,3,0)*0.475*44/12</f>
        <v>2.5142013496468452</v>
      </c>
      <c r="GM38" s="21">
        <f>EXP(-LN(2)/25)*GM37+(1-EXP(-LN(2)/25))/(LN(2)/25)*Calculateur!GH38*Calculateur!GJ38*VLOOKUP('Données projet'!$B$17,Paramètres!$A$1:$I$89,3,0)*0.475*44/12</f>
        <v>8.5184640450540758</v>
      </c>
      <c r="GN38" s="21">
        <f>EXP(-LN(2)/2)*GN37+(1-EXP(-LN(2)/2))/(LN(2)/2)*GH38*GK38*VLOOKUP('Données projet'!$B$17,Paramètres!$A$1:$I$89,3,0)*0.475*44/12</f>
        <v>0</v>
      </c>
      <c r="GO38" s="21">
        <f t="shared" si="27"/>
        <v>11.032665394700921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>
        <f>VLOOKUP(A38,'Données projet'!$A$279:$I$299,2,0)</f>
        <v>418</v>
      </c>
      <c r="GS38" s="12">
        <f>VLOOKUP(A38,'Données projet'!$A$279:$I$299,9,0)</f>
        <v>22</v>
      </c>
      <c r="GT38" s="12">
        <f t="array" ref="GT38">INDEX(GS:GS,MIN(IF(ISNUMBER(GS38:GS234),ROW(GS38:GS234),"")))</f>
        <v>22</v>
      </c>
      <c r="GU38" s="12">
        <f>IF('Données projet'!$A$280&gt;35,GU37+GT38-HC37,IF(A38&lt;'Données projet'!$A$280,$GR$205^A38,IF(A38='Données projet'!$A$280,'Données projet'!$B$280,GU37+GT38-HC37)))</f>
        <v>418.00000000000011</v>
      </c>
      <c r="GV38" s="17">
        <f>GU38*VLOOKUP('Données projet'!$B$18,Paramètres!$A$1:$I$89,3,0)*VLOOKUP('Données projet'!$B$18,Paramètres!$A$1:$I$89,5,0)</f>
        <v>168.45400000000006</v>
      </c>
      <c r="GW38" s="13">
        <f t="shared" si="81"/>
        <v>42.743587127049565</v>
      </c>
      <c r="GX38" s="20">
        <f t="shared" si="28"/>
        <v>367.83579757961144</v>
      </c>
      <c r="GY38" s="59">
        <f t="shared" si="29"/>
        <v>661.16913091294475</v>
      </c>
      <c r="GZ38" s="59">
        <f ca="1">AVERAGE(OFFSET($GY$3,0,0,'Données projet'!$E$18+1,1))-AVERAGE(OFFSET($H$3,0,0,'Données projet'!$E$18+1,1))</f>
        <v>324.36162935850876</v>
      </c>
      <c r="HA38" s="59">
        <f t="shared" si="82"/>
        <v>265.23571072429735</v>
      </c>
      <c r="HB38" s="15">
        <f>IF(ISNA(VLOOKUP(A38,'Données projet'!$A$279:$I$299,3,0)),0,VLOOKUP(A38,'Données projet'!$A$279:$I$299,3,0))</f>
        <v>4</v>
      </c>
      <c r="HC38" s="15">
        <f>IF(ISNA(VLOOKUP(A38,'Données projet'!$A$279:$I$299,4,0)),0,VLOOKUP(A38,'Données projet'!$A$279:$I$299,4,0))</f>
        <v>35</v>
      </c>
      <c r="HD38" s="16">
        <f>IF(ISNA(VLOOKUP(A38,'Données projet'!$A$279:$I$299,5,0)),0%,VLOOKUP(A38,'Données projet'!$A$279:$I$299,5,0)*VLOOKUP('Données projet'!$B$18,Paramètres!$A$1:$I$89,7,0))</f>
        <v>2.3571428571428573E-2</v>
      </c>
      <c r="HE38" s="16">
        <f>IF(ISNA(VLOOKUP(A38,'Données projet'!$A$279:$I$299,6,0)),0%,VLOOKUP(A38,'Données projet'!$A$279:$I$299,6,0)*VLOOKUP('Données projet'!$B$18,Paramètres!$A$1:$I$89,7,0))</f>
        <v>0.16500000000000001</v>
      </c>
      <c r="HF38" s="16">
        <f>IF(ISNA(VLOOKUP($A38,'Données projet'!$A$279:$I$299,7,0)),0%,VLOOKUP($A38,'Données projet'!$A$279:$I$299,7,0))</f>
        <v>0.32857142857142857</v>
      </c>
      <c r="HG38" s="21">
        <f>EXP(-LN(2)/35)*HG37+(1-EXP(-LN(2)/35))/(LN(2)/35)*HC38*HD38*VLOOKUP('Données projet'!$B$18,Paramètres!$A$1:$I$89,3,0)*0.475*44/12</f>
        <v>0.44104951732226122</v>
      </c>
      <c r="HH38" s="21">
        <f>EXP(-LN(2)/25)*HH37+(1-EXP(-LN(2)/25))/(LN(2)/25)*Calculateur!HC38*Calculateur!HE38*VLOOKUP('Données projet'!$B$18,Paramètres!$A$1:$I$89,3,0)*0.475*44/12</f>
        <v>5.270196763057891</v>
      </c>
      <c r="HI38" s="21">
        <f>EXP(-LN(2)/2)*HI37+(1-EXP(-LN(2)/2))/(LN(2)/2)*HC38*HF38*VLOOKUP('Données projet'!$B$18,Paramètres!$A$1:$I$89,3,0)*0.475*44/12</f>
        <v>6.7075748718246633</v>
      </c>
      <c r="HJ38" s="22">
        <f t="shared" si="30"/>
        <v>12.418821152204815</v>
      </c>
      <c r="HK38" s="74">
        <f>('Scénario référence'!$F$8+'Scénario référence'!$F$9+'Scénario référence'!$B$17+'Scénario référence'!$B$9+'Scénario référence'!$B$10)*70+IF((45+25*(1-EXP(-0.0175*$A38)))&lt;70,'Scénario référence'!$B$16*(45+25*(1-EXP(-0.0175*$A38))),70*'Scénario référence'!$B$16)+IF((32+38*(1-EXP(-0.0175*$A38)))&lt;70,'Scénario référence'!$B$18*(32+38*(1-EXP(-0.0175*$A38))),70*'Scénario référence'!$B$18)</f>
        <v>70</v>
      </c>
      <c r="HL38" s="12">
        <f>IF($A38&gt;30,10,('Scénario référence'!$B$16+'Scénario référence'!$B$17+'Scénario référence'!$B$18+'Scénario référence'!$B$9+'Scénario référence'!$B$10)*$A38*10/30+('Scénario référence'!$F$8+'Scénario référence'!$F$9)*10)</f>
        <v>10</v>
      </c>
      <c r="HM38" s="12" t="e">
        <f>VLOOKUP($A38,'Données projet'!$A$304:$I$324,2,0)</f>
        <v>#N/A</v>
      </c>
      <c r="HN38" s="12" t="e">
        <f>VLOOKUP($A38,'Données projet'!$A$304:$I$324,9,0)</f>
        <v>#N/A</v>
      </c>
      <c r="HO38" s="12">
        <f t="array" ref="HO38">INDEX(HN:HN,MIN(IF(ISNUMBER(HN38:HN234),ROW(HN38:HN234),"")))</f>
        <v>0</v>
      </c>
      <c r="HP38" s="12">
        <f>IF('Données projet'!$A$304&gt;35,HP37+HO38-HX37,IF($A38&lt;'Données projet'!$A$304,$CQ$205^$A38,IF($A38='Données projet'!$A$304,'Données projet'!$B$304,HP37+HO38-HX37)))</f>
        <v>0</v>
      </c>
      <c r="HQ38" s="17">
        <f>HP38*VLOOKUP('Données projet'!$B$19,Paramètres!$A$1:$I$89,3,0)*VLOOKUP('Données projet'!$B$19,Paramètres!$A$1:$I$89,5,0)</f>
        <v>0</v>
      </c>
      <c r="HR38" s="13" t="e">
        <f t="shared" si="83"/>
        <v>#NUM!</v>
      </c>
      <c r="HS38" s="14" t="e">
        <f t="shared" si="31"/>
        <v>#NUM!</v>
      </c>
      <c r="HT38" s="59" t="e">
        <f t="shared" si="32"/>
        <v>#NUM!</v>
      </c>
      <c r="HU38" s="59">
        <f ca="1">AVERAGE(OFFSET(HT$3,0,0,'Données projet'!$E$19+1,1))-AVERAGE(OFFSET($H$3,0,0,'Données projet'!$E$19+1,1))</f>
        <v>91.60721429656013</v>
      </c>
      <c r="HV38" s="59">
        <f t="shared" si="84"/>
        <v>258.94957804210856</v>
      </c>
      <c r="HW38" s="15">
        <f>IF(ISNA(VLOOKUP($A38,'Données projet'!$A$304:$I$324,3,0)),0,VLOOKUP($A38,'Données projet'!$A$304:$I$324,3,0))</f>
        <v>0</v>
      </c>
      <c r="HX38" s="15">
        <f>IF(ISNA(VLOOKUP($A38,'Données projet'!$A$304:$I$324,4,0)),0,VLOOKUP($A38,'Données projet'!$A$304:$I$324,4,0))</f>
        <v>0</v>
      </c>
      <c r="HY38" s="16">
        <f>IF(ISNA(VLOOKUP($A38,'Données projet'!$A$304:$I$324,5,0)),0%,VLOOKUP($A38,'Données projet'!$A$304:$I$324,5,0)*VLOOKUP('Données projet'!$B$19,Paramètres!$A$1:$I$89,7,0))</f>
        <v>0</v>
      </c>
      <c r="HZ38" s="16">
        <f>IF(ISNA(VLOOKUP($A38,'Données projet'!$A$304:$I$324,6,0)),0%,VLOOKUP($A38,'Données projet'!$A$304:$I$324,6,0)*VLOOKUP('Données projet'!$B$19,Paramètres!$A$1:$I$89,7,0))</f>
        <v>0</v>
      </c>
      <c r="IA38" s="16">
        <f>IF(ISNA(VLOOKUP($A38,'Données projet'!$A$304:$I$324,7,0)),0%,VLOOKUP($A38,'Données projet'!$A$304:$I$324,7,0))</f>
        <v>0</v>
      </c>
      <c r="IB38" s="21">
        <f>EXP(-LN(2)/35)*IB37+(1-EXP(-LN(2)/35))/(LN(2)/35)*HX38*HY38*VLOOKUP('Données projet'!$B$19,Paramètres!$A$1:$I$89,3,0)*0.475*44/12</f>
        <v>44.681798081103302</v>
      </c>
      <c r="IC38" s="21">
        <f>EXP(-LN(2)/25)*IC37+(1-EXP(-LN(2)/25))/(LN(2)/25)*Calculateur!HX38*Calculateur!HZ38*VLOOKUP('Données projet'!$B$19,Paramètres!$A$1:$I$89,3,0)*0.475*44/12</f>
        <v>8.4684779375043124</v>
      </c>
      <c r="ID38" s="21">
        <f>EXP(-LN(2)/2)*ID37+(1-EXP(-LN(2)/2))/(LN(2)/2)*HX38*IA38*VLOOKUP('Données projet'!$B$19,Paramètres!$A$1:$I$89,3,0)*0.475*44/12</f>
        <v>0.10126693856313916</v>
      </c>
      <c r="IE38" s="22">
        <f t="shared" si="33"/>
        <v>53.251542957170756</v>
      </c>
      <c r="IF38" s="74">
        <f>('Scénario référence'!$F$8+'Scénario référence'!$F$9+'Scénario référence'!$B$17+'Scénario référence'!$B$9+'Scénario référence'!$B$10)*70+IF((45+25*(1-EXP(-0.0175*$A38)))&lt;70,'Scénario référence'!$B$16*(45+25*(1-EXP(-0.0175*$A38))),70*'Scénario référence'!$B$16)+IF((32+38*(1-EXP(-0.0175*$A38)))&lt;70,'Scénario référence'!$B$18*(32+38*(1-EXP(-0.0175*$A38))),70*'Scénario référence'!$B$18)</f>
        <v>70</v>
      </c>
      <c r="IG38" s="12">
        <f>IF($A38&gt;30,10,('Scénario référence'!$B$16+'Scénario référence'!$B$17+'Scénario référence'!$B$18+'Scénario référence'!$B$9+'Scénario référence'!$B$10)*$A38*10/30+('Scénario référence'!$F$8+'Scénario référence'!$F$9)*10)</f>
        <v>10</v>
      </c>
      <c r="IH38" s="12" t="e">
        <f>VLOOKUP($A38,'Données projet'!$A$330:$I$350,2,0)</f>
        <v>#N/A</v>
      </c>
      <c r="II38" s="12" t="e">
        <f>VLOOKUP($A38,'Données projet'!$A$330:$I$350,9,0)</f>
        <v>#N/A</v>
      </c>
      <c r="IJ38" s="12">
        <f t="array" ref="IJ38">INDEX(II:II,MIN(IF(ISNUMBER(II38:II234),ROW(II38:II234),"")))</f>
        <v>0</v>
      </c>
      <c r="IK38" s="12">
        <f>IF('Données projet'!$A$330&gt;35,IK37+IJ38-IS37,IF($A38&lt;'Données projet'!$A$330,$CQ$205^$A38,IF($A38='Données projet'!$A$330,'Données projet'!$B$330,IK37+IJ38-IS37)))</f>
        <v>0</v>
      </c>
      <c r="IL38" s="17">
        <f>IK38*VLOOKUP('Données projet'!$B$20,Paramètres!$A$1:$I$89,3,0)*VLOOKUP('Données projet'!$B$20,Paramètres!$A$1:$I$89,5,0)</f>
        <v>0</v>
      </c>
      <c r="IM38" s="13" t="e">
        <f t="shared" si="85"/>
        <v>#NUM!</v>
      </c>
      <c r="IN38" s="20" t="e">
        <f t="shared" si="86"/>
        <v>#NUM!</v>
      </c>
      <c r="IO38" s="59" t="e">
        <f t="shared" si="87"/>
        <v>#NUM!</v>
      </c>
      <c r="IP38" s="59">
        <f ca="1">AVERAGE(OFFSET(IO$3,0,0,'Données projet'!$E$20+1,1))-AVERAGE(OFFSET($H$3,0,0,'Données projet'!$E$20+1,1))</f>
        <v>91.60721429656013</v>
      </c>
      <c r="IQ38" s="59">
        <f t="shared" si="88"/>
        <v>258.94957804210856</v>
      </c>
      <c r="IR38" s="15">
        <f>IF(ISNA(VLOOKUP($A38,'Données projet'!$A$330:$I$350,3,0)),0,VLOOKUP($A38,'Données projet'!$A$330:$I$350,3,0))</f>
        <v>0</v>
      </c>
      <c r="IS38" s="15">
        <f>IF(ISNA(VLOOKUP($A38,'Données projet'!$A$330:$I$350,4,0)),0,VLOOKUP($A38,'Données projet'!$A$330:$I$350,4,0))</f>
        <v>0</v>
      </c>
      <c r="IT38" s="16">
        <f>IF(ISNA(VLOOKUP($A38,'Données projet'!$A$330:$I$350,5,0)),0%,VLOOKUP($A38,'Données projet'!$A$330:$I$350,5,0)*VLOOKUP('Données projet'!$B$20,Paramètres!$A$1:$I$89,7,0))</f>
        <v>0</v>
      </c>
      <c r="IU38" s="16">
        <f>IF(ISNA(VLOOKUP($A38,'Données projet'!$A$330:$I$350,6,0)),0%,VLOOKUP($A38,'Données projet'!$A$330:$I$350,6,0)*VLOOKUP('Données projet'!$B$20,Paramètres!$A$1:$I$89,7,0))</f>
        <v>0</v>
      </c>
      <c r="IV38" s="16">
        <f>IF(ISNA(VLOOKUP($A38,'Données projet'!$A$330:$I$350,7,0)),0%,VLOOKUP($A38,'Données projet'!$A$330:$I$350,7,0))</f>
        <v>0</v>
      </c>
      <c r="IW38" s="21">
        <f>EXP(-LN(2)/35)*IW37+(1-EXP(-LN(2)/35))/(LN(2)/35)*IS38*IT38*VLOOKUP('Données projet'!$B$20,Paramètres!$A$1:$I$89,3,0)*0.475*44/12</f>
        <v>44.681798081103302</v>
      </c>
      <c r="IX38" s="21">
        <f>EXP(-LN(2)/25)*IX37+(1-EXP(-LN(2)/25))/(LN(2)/25)*Calculateur!IS38*Calculateur!IU38*VLOOKUP('Données projet'!$B$20,Paramètres!$A$1:$I$89,3,0)*0.475*44/12</f>
        <v>8.4684779375043124</v>
      </c>
      <c r="IY38" s="21">
        <f>EXP(-LN(2)/2)*IY37+(1-EXP(-LN(2)/2))/(LN(2)/2)*IS38*IV38*VLOOKUP('Données projet'!$B$20,Paramètres!$A$1:$I$89,3,0)*0.475*44/12</f>
        <v>0.10126693856313916</v>
      </c>
      <c r="IZ38" s="22">
        <f t="shared" si="89"/>
        <v>53.251542957170756</v>
      </c>
      <c r="JA38" s="74">
        <f>('Scénario référence'!$F$8+'Scénario référence'!$F$9+'Scénario référence'!$B$17+'Scénario référence'!$B$9+'Scénario référence'!$B$10)*70+IF((45+25*(1-EXP(-0.0175*$A38)))&lt;70,'Scénario référence'!$B$16*(45+25*(1-EXP(-0.0175*$A38))),70*'Scénario référence'!$B$16)+IF((32+38*(1-EXP(-0.0175*$A38)))&lt;70,'Scénario référence'!$B$18*(32+38*(1-EXP(-0.0175*$A38))),70*'Scénario référence'!$B$18)</f>
        <v>70</v>
      </c>
      <c r="JB38" s="12">
        <f>IF($A38&gt;30,10,('Scénario référence'!$B$16+'Scénario référence'!$B$17+'Scénario référence'!$B$18+'Scénario référence'!$B$9+'Scénario référence'!$B$10)*$A38*10/30+('Scénario référence'!$F$8+'Scénario référence'!$F$9)*10)</f>
        <v>10</v>
      </c>
      <c r="JC38" s="12">
        <f>VLOOKUP($A38,'Données projet'!$A$356:$I$376,2,0)</f>
        <v>39</v>
      </c>
      <c r="JD38" s="12">
        <f>VLOOKUP($A38,'Données projet'!$A$356:$I$376,9,0)</f>
        <v>-9.8000000000000007</v>
      </c>
      <c r="JE38" s="12">
        <f t="array" ref="JE38">INDEX(JD:JD,MIN(IF(ISNUMBER(JD38:JD234),ROW(JD38:JD234),"")))</f>
        <v>-9.8000000000000007</v>
      </c>
      <c r="JF38" s="12">
        <f>IF('Données projet'!$A$356&gt;35,JF37+JE38-JN37,IF($A38&lt;'Données projet'!$A$356,$CQ$205^$A38,IF($A38='Données projet'!$A$356,'Données projet'!$B$356,JF37+JE38-JN37)))</f>
        <v>39.000000000000057</v>
      </c>
      <c r="JG38" s="17">
        <f>JF38*VLOOKUP('Données projet'!$B$21,Paramètres!$A$1:$I$89,3,0)*VLOOKUP('Données projet'!$B$21,Paramètres!$A$1:$I$89,5,0)</f>
        <v>31.636800000000047</v>
      </c>
      <c r="JH38" s="13">
        <f t="shared" si="90"/>
        <v>9.7526401755191312</v>
      </c>
      <c r="JI38" s="20">
        <f t="shared" si="91"/>
        <v>72.08660830569589</v>
      </c>
      <c r="JJ38" s="59">
        <f t="shared" si="92"/>
        <v>365.41994163902922</v>
      </c>
      <c r="JK38" s="59">
        <f ca="1">AVERAGE(OFFSET($JJ$3,0,0,'Données projet'!$E$22+1,1))-AVERAGE(OFFSET($H$3,0,0,'Données projet'!$E$22+1,1))</f>
        <v>353.35574633294613</v>
      </c>
      <c r="JL38" s="59">
        <f t="shared" si="93"/>
        <v>170.36796666474726</v>
      </c>
      <c r="JM38" s="15">
        <f>IF(ISNA(VLOOKUP($A38,'Données projet'!$A$356:$I$376,3,0)),0,VLOOKUP($A38,'Données projet'!$A$356:$I$376,3,0))</f>
        <v>3</v>
      </c>
      <c r="JN38" s="15">
        <f>IF(ISNA(VLOOKUP($A38,'Données projet'!$A$356:$I$376,4,0)),0,VLOOKUP($A38,'Données projet'!$A$356:$I$376,4,0))</f>
        <v>28</v>
      </c>
      <c r="JO38" s="16">
        <f>IF(ISNA(VLOOKUP($A38,'Données projet'!$A$356:$I$376,5,0)),0%,VLOOKUP($A38,'Données projet'!$A$356:$I$376,5,0)*VLOOKUP('Données projet'!$B$21,Paramètres!$A$1:$I$89,7,0))</f>
        <v>0</v>
      </c>
      <c r="JP38" s="16">
        <f>IF(ISNA(VLOOKUP($A38,'Données projet'!$A$356:$I$376,6,0)),0%,VLOOKUP($A38,'Données projet'!$A$356:$I$376,6,0)*VLOOKUP('Données projet'!$B$21,Paramètres!$A$1:$I$89,7,0))</f>
        <v>4.3000000000000003E-2</v>
      </c>
      <c r="JQ38" s="16">
        <f>IF(ISNA(VLOOKUP($A38,'Données projet'!$A$356:$I$376,7,0)),0%,VLOOKUP($A38,'Données projet'!$A$356:$I$376,7,0))</f>
        <v>0.3</v>
      </c>
      <c r="JR38" s="21">
        <f>EXP(-LN(2)/35)*JR37+(1-EXP(-LN(2)/35))/(LN(2)/35)*JN38*JO38*VLOOKUP('Données projet'!$B$21,Paramètres!$A$1:$I$89,3,0)*0.475*44/12</f>
        <v>0</v>
      </c>
      <c r="JS38" s="21">
        <f>EXP(-LN(2)/25)*JS37+(1-EXP(-LN(2)/25))/(LN(2)/25)*Calculateur!JN38*Calculateur!JP38*VLOOKUP('Données projet'!$B$21,Paramètres!$A$1:$I$89,3,0)*0.475*44/12</f>
        <v>1.075444941532772</v>
      </c>
      <c r="JT38" s="21">
        <f>EXP(-LN(2)/2)*JT37+(1-EXP(-LN(2)/2))/(LN(2)/2)*JN38*JQ38*VLOOKUP('Données projet'!$B$21,Paramètres!$A$1:$I$89,3,0)*0.475*44/12</f>
        <v>7.5658126069724325</v>
      </c>
      <c r="JU38" s="18">
        <f t="shared" si="39"/>
        <v>8.6412575485052052</v>
      </c>
      <c r="JV38" s="74">
        <f>('Scénario référence'!$F$8+'Scénario référence'!$F$9+'Scénario référence'!$B$17+'Scénario référence'!$B$9+'Scénario référence'!$B$10)*70+IF((45+25*(1-EXP(-0.0175*$A38)))&lt;70,'Scénario référence'!$B$16*(45+25*(1-EXP(-0.0175*$A38))),70*'Scénario référence'!$B$16)+IF((32+38*(1-EXP(-0.0175*$A38)))&lt;70,'Scénario référence'!$B$18*(32+38*(1-EXP(-0.0175*$A38))),70*'Scénario référence'!$B$18)</f>
        <v>70</v>
      </c>
      <c r="JW38" s="12">
        <f>IF($A38&gt;30,10,('Scénario référence'!$B$16+'Scénario référence'!$B$17+'Scénario référence'!$B$18+'Scénario référence'!$B$9+'Scénario référence'!$B$10)*$A38*10/30+('Scénario référence'!$F$8+'Scénario référence'!$F$9)*10)</f>
        <v>10</v>
      </c>
      <c r="JX38" s="12">
        <f>VLOOKUP($A38,'Données projet'!$A$382:$I$402,2,0)</f>
        <v>162.16666666666669</v>
      </c>
      <c r="JY38" s="12">
        <f>VLOOKUP($A38,'Données projet'!$A$382:$I$402,9,0)</f>
        <v>8.0564102564102633</v>
      </c>
      <c r="JZ38" s="12">
        <f t="array" ref="JZ38">INDEX(JY:JY,MIN(IF(ISNUMBER(JY38:JY234),ROW(JY38:JY234),"")))</f>
        <v>8.0564102564102633</v>
      </c>
      <c r="KA38" s="12">
        <f>IF('Données projet'!$A$382&gt;35,KA37+JZ38-KI37,IF($A38&lt;'Données projet'!$A$382,$CQ$205^$A38,IF($A38='Données projet'!$A$382,'Données projet'!$B$382,KA37+JZ38-KI37)))</f>
        <v>162.16666666666663</v>
      </c>
      <c r="KB38" s="17">
        <f>KA38*VLOOKUP('Données projet'!$B$22,Paramètres!$A$1:$I$89,3,0)*VLOOKUP('Données projet'!$B$22,Paramètres!$A$1:$I$89,5,0)</f>
        <v>108.78139999999999</v>
      </c>
      <c r="KC38" s="13">
        <f t="shared" si="94"/>
        <v>29.043687024878693</v>
      </c>
      <c r="KD38" s="20">
        <f t="shared" si="95"/>
        <v>240.04535990166372</v>
      </c>
      <c r="KE38" s="59">
        <f t="shared" si="96"/>
        <v>533.37869323499706</v>
      </c>
      <c r="KF38" s="59">
        <f ca="1">AVERAGE(OFFSET($KE$3,0,0,'Données projet'!$E$22+1,1))-AVERAGE(OFFSET($H$3,0,0,'Données projet'!$E$22+1,1))</f>
        <v>193.91714772848269</v>
      </c>
      <c r="KG38" s="59">
        <f t="shared" si="97"/>
        <v>159.20429420478047</v>
      </c>
      <c r="KH38" s="15">
        <f>IF(ISNA(VLOOKUP($A38,'Données projet'!$A$382:$I$402,3,0)),0,VLOOKUP($A38,'Données projet'!$A$382:$I$402,3,0))</f>
        <v>1</v>
      </c>
      <c r="KI38" s="15">
        <f>IF(ISNA(VLOOKUP($A38,'Données projet'!$A$382:$I$402,4,0)),0,VLOOKUP($A38,'Données projet'!$A$382:$I$402,4,0))</f>
        <v>60.602564102564102</v>
      </c>
      <c r="KJ38" s="16">
        <f>IF(ISNA(VLOOKUP($A38,'Données projet'!$A$382:$I$402,5,0)),0%,VLOOKUP($A38,'Données projet'!$A$382:$I$402,5,0)*VLOOKUP('Données projet'!$B$22,Paramètres!$A$1:$I$89,7,0))</f>
        <v>0</v>
      </c>
      <c r="KK38" s="16">
        <f>IF(ISNA(VLOOKUP($A38,'Données projet'!$A$382:$I$402,6,0)),0%,VLOOKUP($A38,'Données projet'!$A$382:$I$402,6,0)*VLOOKUP('Données projet'!$B$22,Paramètres!$A$1:$I$89,7,0))</f>
        <v>0</v>
      </c>
      <c r="KL38" s="16">
        <f>IF(ISNA(VLOOKUP($A38,'Données projet'!$A$382:$I$402,7,0)),0%,VLOOKUP($A38,'Données projet'!$A$382:$I$402,7,0))</f>
        <v>0</v>
      </c>
      <c r="KM38" s="21">
        <f>EXP(-LN(2)/35)*KM37+(1-EXP(-LN(2)/35))/(LN(2)/35)*KI38*KJ38*VLOOKUP('Données projet'!$B$22,Paramètres!$A$1:$I$89,3,0)*0.475*44/12</f>
        <v>0</v>
      </c>
      <c r="KN38" s="21">
        <f>EXP(-LN(2)/25)*KN37+(1-EXP(-LN(2)/25))/(LN(2)/25)*Calculateur!KI38*Calculateur!KK38*VLOOKUP('Données projet'!$B$22,Paramètres!$A$1:$I$89,3,0)*0.475*44/12</f>
        <v>0</v>
      </c>
      <c r="KO38" s="21">
        <f>EXP(-LN(2)/2)*KO37+(1-EXP(-LN(2)/2))/(LN(2)/2)*KI38*KL38*VLOOKUP('Données projet'!$B$22,Paramètres!$A$1:$I$89,3,0)*0.475*44/12</f>
        <v>0</v>
      </c>
      <c r="KP38" s="22">
        <f t="shared" si="98"/>
        <v>0</v>
      </c>
      <c r="KQ38" s="74">
        <f>('Scénario référence'!$F$8+'Scénario référence'!$F$9+'Scénario référence'!$B$17+'Scénario référence'!$B$9+'Scénario référence'!$B$10)*70+IF((45+25*(1-EXP(-0.0175*$A38)))&lt;70,'Scénario référence'!$B$16*(45+25*(1-EXP(-0.0175*$A38))),70*'Scénario référence'!$B$16)+IF((32+38*(1-EXP(-0.0175*$A38)))&lt;70,'Scénario référence'!$B$18*(32+38*(1-EXP(-0.0175*$A38))),70*'Scénario référence'!$B$18)</f>
        <v>70</v>
      </c>
      <c r="KR38" s="12">
        <f>IF($A38&gt;30,10,('Scénario référence'!$B$16+'Scénario référence'!$B$17+'Scénario référence'!$B$18+'Scénario référence'!$B$9+'Scénario référence'!$B$10)*$A38*10/30+('Scénario référence'!$F$8+'Scénario référence'!$F$9)*10)</f>
        <v>10</v>
      </c>
      <c r="KS38" s="12">
        <f>VLOOKUP($A38,'Données projet'!$A$408:$I$428,2,0)</f>
        <v>172</v>
      </c>
      <c r="KT38" s="12">
        <f>VLOOKUP($A38,'Données projet'!$A$408:$I$428,9,0)</f>
        <v>10.8</v>
      </c>
      <c r="KU38" s="12">
        <f t="array" ref="KU38">INDEX(KT:KT,MIN(IF(ISNUMBER(KT38:KT234),ROW(KT38:KT234),"")))</f>
        <v>10.8</v>
      </c>
      <c r="KV38" s="12">
        <f>IF('Données projet'!$A$408&gt;35,KV37+KU38-LD37,IF($A38&lt;'Données projet'!$A$408,$CQ$205^$A38,IF($A38='Données projet'!$A$408,'Données projet'!$B$408,KV37+KU38-LD37)))</f>
        <v>172.00000000000006</v>
      </c>
      <c r="KW38" s="17">
        <f>KV38*VLOOKUP('Données projet'!$B$23,Paramètres!$A$1:$I$89,3,0)*VLOOKUP('Données projet'!$B$23,Paramètres!$A$1:$I$89,5,0)</f>
        <v>150.25920000000005</v>
      </c>
      <c r="KX38" s="13">
        <f t="shared" si="99"/>
        <v>38.637483830798729</v>
      </c>
      <c r="KY38" s="14">
        <f t="shared" si="43"/>
        <v>328.99505767197456</v>
      </c>
      <c r="KZ38" s="59">
        <f t="shared" si="44"/>
        <v>622.32839100530782</v>
      </c>
      <c r="LA38" s="59">
        <f ca="1">AVERAGE(OFFSET($KZ$3,0,0,'Données projet'!$E$23+1,1))-AVERAGE(OFFSET($H$3,0,0,'Données projet'!$E$23+1,1))</f>
        <v>248.33596943633819</v>
      </c>
      <c r="LB38" s="59">
        <f t="shared" si="100"/>
        <v>242.34010522344573</v>
      </c>
      <c r="LC38" s="15">
        <f>IF(ISNA(VLOOKUP($A38,'Données projet'!$A$408:$I$428,3,0)),0,VLOOKUP($A38,'Données projet'!$A$408:$I$428,3,0))</f>
        <v>5</v>
      </c>
      <c r="LD38" s="15">
        <f>IF(ISNA(VLOOKUP($A38,'Données projet'!$A$408:$I$428,4,0)),0,VLOOKUP($A38,'Données projet'!$A$408:$I$428,4,0))</f>
        <v>28</v>
      </c>
      <c r="LE38" s="16">
        <f>IF(ISNA(VLOOKUP($A38,'Données projet'!$A$408:$I$428,5,0)),0%,VLOOKUP($A38,'Données projet'!$A$408:$I$428,5,0)*VLOOKUP('Données projet'!$B$23,Paramètres!$A$1:$I$89,7,0))</f>
        <v>7.7399999999999997E-2</v>
      </c>
      <c r="LF38" s="16">
        <f>IF(ISNA(VLOOKUP($A38,'Données projet'!$A$408:$I$428,6,0)),0%,VLOOKUP($A38,'Données projet'!$A$408:$I$428,6,0)*VLOOKUP('Données projet'!$B$23,Paramètres!$A$1:$I$89,7,0))</f>
        <v>0.18489999999999998</v>
      </c>
      <c r="LG38" s="16">
        <f>IF(ISNA(VLOOKUP($A38,'Données projet'!$A$408:$I$428,7,0)),0%,VLOOKUP($A38,'Données projet'!$A$408:$I$428,7,0))</f>
        <v>0</v>
      </c>
      <c r="LH38" s="21">
        <f>EXP(-LN(2)/35)*LH37+(1-EXP(-LN(2)/35))/(LN(2)/35)*LD38*LE38*VLOOKUP('Données projet'!$B$23,Paramètres!$A$1:$I$89,3,0)*0.475*44/12</f>
        <v>2.5142013496468452</v>
      </c>
      <c r="LI38" s="21">
        <f>EXP(-LN(2)/25)*LI37+(1-EXP(-LN(2)/25))/(LN(2)/25)*Calculateur!LD38*Calculateur!LF38*VLOOKUP('Données projet'!$B$23,Paramètres!$A$1:$I$89,3,0)*0.475*44/12</f>
        <v>8.5184640450540758</v>
      </c>
      <c r="LJ38" s="21">
        <f>EXP(-LN(2)/2)*LJ37+(1-EXP(-LN(2)/2))/(LN(2)/2)*LD38*LG38*VLOOKUP('Données projet'!$B$23,Paramètres!$A$1:$I$89,3,0)*0.475*44/12</f>
        <v>0</v>
      </c>
      <c r="LK38" s="22">
        <f t="shared" si="101"/>
        <v>11.032665394700921</v>
      </c>
      <c r="LL38" s="74">
        <f>('Scénario référence'!$F$8+'Scénario référence'!$F$9+'Scénario référence'!$B$17+'Scénario référence'!$B$9+'Scénario référence'!$B$10)*70+IF((45+25*(1-EXP(-0.0175*$A38)))&lt;70,'Scénario référence'!$B$16*(45+25*(1-EXP(-0.0175*$A38))),70*'Scénario référence'!$B$16)+IF((32+38*(1-EXP(-0.0175*$A38)))&lt;70,'Scénario référence'!$B$18*(32+38*(1-EXP(-0.0175*$A38))),70*'Scénario référence'!$B$18)</f>
        <v>70</v>
      </c>
      <c r="LM38" s="12">
        <f>IF($A38&gt;30,10,('Scénario référence'!$B$16+'Scénario référence'!$B$17+'Scénario référence'!$B$18+'Scénario référence'!$B$9+'Scénario référence'!$B$10)*$A38*10/30+('Scénario référence'!$F$8+'Scénario référence'!$F$9)*10)</f>
        <v>10</v>
      </c>
      <c r="LN38" s="12" t="e">
        <f>VLOOKUP($A38,'Données projet'!$A$434:$I$454,2,0)</f>
        <v>#N/A</v>
      </c>
      <c r="LO38" s="12" t="e">
        <f>VLOOKUP($A38,'Données projet'!$A$434:$I$454,9,0)</f>
        <v>#N/A</v>
      </c>
      <c r="LP38" s="12">
        <f t="array" ref="LP38">INDEX(LO:LO,MIN(IF(ISNUMBER(LO38:LO234),ROW(LO38:LO234),"")))</f>
        <v>5.3369963369963358</v>
      </c>
      <c r="LQ38" s="12">
        <f>IF('Données projet'!$A$434&gt;35,LQ37+LP38-LY37,IF($A38&lt;'Données projet'!$A$434,$CQ$205^$A38,IF($A38='Données projet'!$A$434,'Données projet'!$B$434,LQ37+LP38-LY37)))</f>
        <v>114.3901098901099</v>
      </c>
      <c r="LR38" s="17">
        <f>LQ38*VLOOKUP('Données projet'!$B$24,Paramètres!$A$1:$I$89,3,0)*VLOOKUP('Données projet'!$B$24,Paramètres!$A$1:$I$89,5,0)</f>
        <v>115.99157142857145</v>
      </c>
      <c r="LS38" s="13">
        <f t="shared" si="102"/>
        <v>30.738258626956586</v>
      </c>
      <c r="LT38" s="14">
        <f t="shared" si="46"/>
        <v>255.55445401337798</v>
      </c>
      <c r="LU38" s="59">
        <f t="shared" si="103"/>
        <v>548.88778734671132</v>
      </c>
      <c r="LV38" s="59">
        <f ca="1">AVERAGE(OFFSET($LU$3,0,0,'Données projet'!$E$24+1,1))-AVERAGE(OFFSET($H$3,0,0,'Données projet'!$E$24+1,1))</f>
        <v>260.52627655062872</v>
      </c>
      <c r="LW38" s="59">
        <f t="shared" si="104"/>
        <v>159.20429420478047</v>
      </c>
      <c r="LX38" s="15">
        <f>IF(ISNA(VLOOKUP($A38,'Données projet'!$A$434:$I$454,3,0)),0,VLOOKUP($A38,'Données projet'!$A$434:$I$454,3,0))</f>
        <v>0</v>
      </c>
      <c r="LY38" s="15">
        <f>IF(ISNA(VLOOKUP($A38,'Données projet'!$A$434:$I$454,4,0)),0,VLOOKUP($A38,'Données projet'!$A$434:$I$454,4,0))</f>
        <v>0</v>
      </c>
      <c r="LZ38" s="16">
        <f>IF(ISNA(VLOOKUP($A38,'Données projet'!$A$434:$I$454,5,0)),0%,VLOOKUP($A38,'Données projet'!$A$434:$I$454,5,0)*VLOOKUP('Données projet'!$B$24,Paramètres!$A$1:$I$89,7,0))</f>
        <v>0</v>
      </c>
      <c r="MA38" s="16">
        <f>IF(ISNA(VLOOKUP($A38,'Données projet'!$A$434:$I$454,6,0)),0%,VLOOKUP($A38,'Données projet'!$A$434:$I$454,6,0)*VLOOKUP('Données projet'!$B$24,Paramètres!$A$1:$I$89,7,0))</f>
        <v>0</v>
      </c>
      <c r="MB38" s="16">
        <f>IF(ISNA(VLOOKUP($A38,'Données projet'!$A$434:$I$454,7,0)),0%,VLOOKUP($A38,'Données projet'!$A$434:$I$454,7,0))</f>
        <v>0</v>
      </c>
      <c r="MC38" s="21">
        <f>EXP(-LN(2)/35)*MC37+(1-EXP(-LN(2)/35))/(LN(2)/35)*LY38*LZ38*VLOOKUP('Données projet'!$B$24,Paramètres!$A$1:$I$89,3,0)*0.475*44/12</f>
        <v>0</v>
      </c>
      <c r="MD38" s="21">
        <f>EXP(-LN(2)/25)*MD37+(1-EXP(-LN(2)/25))/(LN(2)/25)*Calculateur!LY38*Calculateur!MA38*VLOOKUP('Données projet'!$B$24,Paramètres!$A$1:$I$89,3,0)*0.475*44/12</f>
        <v>0</v>
      </c>
      <c r="ME38" s="21">
        <f>EXP(-LN(2)/2)*ME37+(1-EXP(-LN(2)/2))/(LN(2)/2)*LY38*MB38*VLOOKUP('Données projet'!$B$24,Paramètres!$A$1:$I$89,3,0)*0.475*44/12</f>
        <v>0</v>
      </c>
      <c r="MF38" s="22">
        <f t="shared" si="105"/>
        <v>0</v>
      </c>
      <c r="MG38" s="74">
        <f>('Scénario référence'!$F$8+'Scénario référence'!$F$9+'Scénario référence'!$B$17+'Scénario référence'!$B$9+'Scénario référence'!$B$10)*70+IF((45+25*(1-EXP(-0.0175*$A38)))&lt;70,'Scénario référence'!$B$16*(45+25*(1-EXP(-0.0175*$A38))),70*'Scénario référence'!$B$16)+IF((32+38*(1-EXP(-0.0175*$A38)))&lt;70,'Scénario référence'!$B$18*(32+38*(1-EXP(-0.0175*$A38))),70*'Scénario référence'!$B$18)</f>
        <v>70</v>
      </c>
      <c r="MH38" s="12">
        <f>IF($A38&gt;30,10,('Scénario référence'!$B$16+'Scénario référence'!$B$17+'Scénario référence'!$B$18+'Scénario référence'!$B$9+'Scénario référence'!$B$10)*$A38*10/30+('Scénario référence'!$F$8+'Scénario référence'!$F$9)*10)</f>
        <v>10</v>
      </c>
      <c r="MI38" s="12" t="e">
        <f>VLOOKUP($A38,'Données projet'!$A$460:$I$480,2,0)</f>
        <v>#N/A</v>
      </c>
      <c r="MJ38" s="12" t="e">
        <f>VLOOKUP($A38,'Données projet'!$A$460:$I$480,9,0)</f>
        <v>#N/A</v>
      </c>
      <c r="MK38" s="12">
        <f t="array" ref="MK38">INDEX(MJ:MJ,MIN(IF(ISNUMBER(MJ38:MJ234),ROW(MJ38:MJ234),"")))</f>
        <v>0</v>
      </c>
      <c r="ML38" s="12">
        <f>IF('Données projet'!$A$460&gt;35,ML37+MK38-MT37,IF($A38&lt;'Données projet'!$A$460,$CQ$205^$A38,IF($A38='Données projet'!$A$460,'Données projet'!$B$460,ML37+MK38-MT37)))</f>
        <v>0</v>
      </c>
      <c r="MM38" s="17" t="e">
        <f>ML38*VLOOKUP('Données projet'!$B$25,Paramètres!$A$1:$I$89,3,0)*VLOOKUP('Données projet'!$B$25,Paramètres!$A$1:$I$89,5,0)</f>
        <v>#N/A</v>
      </c>
      <c r="MN38" s="13" t="e">
        <f t="shared" si="106"/>
        <v>#N/A</v>
      </c>
      <c r="MO38" s="14" t="e">
        <f t="shared" si="49"/>
        <v>#N/A</v>
      </c>
      <c r="MP38" s="59" t="e">
        <f t="shared" si="50"/>
        <v>#N/A</v>
      </c>
      <c r="MQ38" s="20" t="e">
        <f ca="1">AVERAGE(OFFSET($MP$3,0,0,'Données projet'!$E$25+1,1))-AVERAGE(OFFSET($H$3,0,0,'Données projet'!$E$25+1,1))</f>
        <v>#N/A</v>
      </c>
      <c r="MR38" s="59" t="e">
        <f t="shared" si="107"/>
        <v>#N/A</v>
      </c>
      <c r="MS38" s="15">
        <f>IF(ISNA(VLOOKUP($A38,'Données projet'!$A$460:$I$480,3,0)),0,VLOOKUP($A38,'Données projet'!$A$460:$I$480,3,0))</f>
        <v>0</v>
      </c>
      <c r="MT38" s="15">
        <f>IF(ISNA(VLOOKUP($A38,'Données projet'!$A$460:$I$480,4,0)),0,VLOOKUP($A38,'Données projet'!$A$460:$I$480,4,0))</f>
        <v>0</v>
      </c>
      <c r="MU38" s="16">
        <f>IF(ISNA(VLOOKUP($A38,'Données projet'!$A$460:$I$480,5,0)),0%,VLOOKUP($A38,'Données projet'!$A$460:$I$480,5,0)*VLOOKUP('Données projet'!$B$25,Paramètres!$A$1:$I$89,7,0))</f>
        <v>0</v>
      </c>
      <c r="MV38" s="16">
        <f>IF(ISNA(VLOOKUP($A38,'Données projet'!$A$460:$I$480,6,0)),0%,VLOOKUP($A38,'Données projet'!$A$460:$I$480,6,0)*VLOOKUP('Données projet'!$B$25,Paramètres!$A$1:$I$89,7,0))</f>
        <v>0</v>
      </c>
      <c r="MW38" s="16">
        <f>IF(ISNA(VLOOKUP($A38,'Données projet'!$A$460:$I$480,7,0)),0%,VLOOKUP($A38,'Données projet'!$A$460:$I$480,7,0))</f>
        <v>0</v>
      </c>
      <c r="MX38" s="21" t="e">
        <f>EXP(-LN(2)/35)*MX37+(1-EXP(-LN(2)/35))/(LN(2)/35)*MT38*MU38*VLOOKUP('Données projet'!$B$25,Paramètres!$A$1:$I$89,3,0)*0.475*44/12</f>
        <v>#N/A</v>
      </c>
      <c r="MY38" s="21" t="e">
        <f>EXP(-LN(2)/25)*MY37+(1-EXP(-LN(2)/25))/(LN(2)/25)*Calculateur!MT38*Calculateur!MV38*VLOOKUP('Données projet'!$B$25,Paramètres!$A$1:$I$89,3,0)*0.475*44/12</f>
        <v>#N/A</v>
      </c>
      <c r="MZ38" s="21" t="e">
        <f>EXP(-LN(2)/2)*MZ37+(1-EXP(-LN(2)/2))/(LN(2)/2)*MT38*MW38*VLOOKUP('Données projet'!$B$25,Paramètres!$A$1:$I$89,3,0)*0.475*44/12</f>
        <v>#N/A</v>
      </c>
      <c r="NA38" s="22" t="e">
        <f t="shared" si="108"/>
        <v>#N/A</v>
      </c>
      <c r="NB38" s="74">
        <f>('Scénario référence'!$F$8+'Scénario référence'!$F$9+'Scénario référence'!$B$17+'Scénario référence'!$B$9+'Scénario référence'!$B$10)*70+IF((45+25*(1-EXP(-0.0175*$A38)))&lt;70,'Scénario référence'!$B$16*(45+25*(1-EXP(-0.0175*$A38))),70*'Scénario référence'!$B$16)+IF((32+38*(1-EXP(-0.0175*$A38)))&lt;70,'Scénario référence'!$B$18*(32+38*(1-EXP(-0.0175*$A38))),70*'Scénario référence'!$B$18)</f>
        <v>70</v>
      </c>
      <c r="NC38" s="12">
        <f>IF($A38&gt;30,10,('Scénario référence'!$B$16+'Scénario référence'!$B$17+'Scénario référence'!$B$18+'Scénario référence'!$B$9+'Scénario référence'!$B$10)*$A38*10/30+('Scénario référence'!$F$8+'Scénario référence'!$F$9)*10)</f>
        <v>10</v>
      </c>
      <c r="ND38" s="12" t="e">
        <f>VLOOKUP($A38,'Données projet'!$A$486:$I$506,2,0)</f>
        <v>#N/A</v>
      </c>
      <c r="NE38" s="12" t="e">
        <f>VLOOKUP($A38,'Données projet'!$A$486:$I$506,9,0)</f>
        <v>#N/A</v>
      </c>
      <c r="NF38" s="12">
        <f t="array" ref="NF38">INDEX(NE:NE,MIN(IF(ISNUMBER(NE38:NE234),ROW(NE38:NE234),"")))</f>
        <v>0</v>
      </c>
      <c r="NG38" s="12">
        <f>IF('Données projet'!$A$486&gt;35,NG37+NF38-NO37,IF($A38&lt;'Données projet'!$A$486,$CQ$205^$A38,IF($A38='Données projet'!$A$486,'Données projet'!$B$486,NG37+NF38-NO37)))</f>
        <v>0</v>
      </c>
      <c r="NH38" s="17" t="e">
        <f>NG38*VLOOKUP('Données projet'!$B$26,Paramètres!$A$1:$I$89,3,0)*VLOOKUP('Données projet'!$B$26,Paramètres!$A$1:$I$89,5,0)</f>
        <v>#N/A</v>
      </c>
      <c r="NI38" s="13" t="e">
        <f t="shared" si="109"/>
        <v>#N/A</v>
      </c>
      <c r="NJ38" s="14" t="e">
        <f t="shared" si="52"/>
        <v>#N/A</v>
      </c>
      <c r="NK38" s="59" t="e">
        <f t="shared" si="53"/>
        <v>#N/A</v>
      </c>
      <c r="NL38" s="20" t="e">
        <f ca="1">AVERAGE(OFFSET($NK$3,0,0,'Données projet'!$E$26+1,1))-AVERAGE(OFFSET($H$3,0,0,'Données projet'!$E$26+1,1))</f>
        <v>#N/A</v>
      </c>
      <c r="NM38" s="59" t="e">
        <f t="shared" si="110"/>
        <v>#N/A</v>
      </c>
      <c r="NN38" s="15">
        <f>IF(ISNA(VLOOKUP($A38,'Données projet'!$A$486:$I$506,3,0)),0,VLOOKUP($A38,'Données projet'!$A$486:$I$506,3,0))</f>
        <v>0</v>
      </c>
      <c r="NO38" s="15">
        <f>IF(ISNA(VLOOKUP($A38,'Données projet'!$A$486:$I$506,4,0)),0,VLOOKUP($A38,'Données projet'!$A$486:$I$506,4,0))</f>
        <v>0</v>
      </c>
      <c r="NP38" s="16">
        <f>IF(ISNA(VLOOKUP($A38,'Données projet'!$A$486:$I$506,5,0)),0%,VLOOKUP($A38,'Données projet'!$A$486:$I$506,5,0)*VLOOKUP('Données projet'!$B$26,Paramètres!$A$1:$I$89,7,0))</f>
        <v>0</v>
      </c>
      <c r="NQ38" s="16">
        <f>IF(ISNA(VLOOKUP($A38,'Données projet'!$A$486:$I$506,6,0)),0%,VLOOKUP($A38,'Données projet'!$A$486:$I$506,6,0)*VLOOKUP('Données projet'!$B$26,Paramètres!$A$1:$I$89,7,0))</f>
        <v>0</v>
      </c>
      <c r="NR38" s="16">
        <f>IF(ISNA(VLOOKUP($A38,'Données projet'!$A$486:$I$506,7,0)),0%,VLOOKUP($A38,'Données projet'!$A$486:$I$506,7,0))</f>
        <v>0</v>
      </c>
      <c r="NS38" s="21" t="e">
        <f>EXP(-LN(2)/35)*NS37+(1-EXP(-LN(2)/35))/(LN(2)/35)*NO38*NP38*VLOOKUP('Données projet'!$B$26,Paramètres!$A$1:$I$89,3,0)*0.475*44/12</f>
        <v>#N/A</v>
      </c>
      <c r="NT38" s="21" t="e">
        <f>EXP(-LN(2)/25)*NT37+(1-EXP(-LN(2)/25))/(LN(2)/25)*Calculateur!NO38*Calculateur!NQ38*VLOOKUP('Données projet'!$B$26,Paramètres!$A$1:$I$89,3,0)*0.475*44/12</f>
        <v>#N/A</v>
      </c>
      <c r="NU38" s="21" t="e">
        <f>EXP(-LN(2)/2)*NU37+(1-EXP(-LN(2)/2))/(LN(2)/2)*NO38*NR38*VLOOKUP('Données projet'!$B$26,Paramètres!$A$1:$I$89,3,0)*0.475*44/12</f>
        <v>#N/A</v>
      </c>
      <c r="NV38" s="22" t="e">
        <f t="shared" si="111"/>
        <v>#N/A</v>
      </c>
      <c r="NW38" s="74">
        <f>('Scénario référence'!$F$8+'Scénario référence'!$F$9+'Scénario référence'!$B$17+'Scénario référence'!$B$9+'Scénario référence'!$B$10)*70+IF((45+25*(1-EXP(-0.0175*$A38)))&lt;70,'Scénario référence'!$B$16*(45+25*(1-EXP(-0.0175*$A38))),70*'Scénario référence'!$B$16)+IF((32+38*(1-EXP(-0.0175*$A38)))&lt;70,'Scénario référence'!$B$18*(32+38*(1-EXP(-0.0175*$A38))),70*'Scénario référence'!$B$18)</f>
        <v>70</v>
      </c>
      <c r="NX38" s="12">
        <f>IF($A38&gt;30,10,('Scénario référence'!$B$16+'Scénario référence'!$B$17+'Scénario référence'!$B$18+'Scénario référence'!$B$9+'Scénario référence'!$B$10)*$A38*10/30+('Scénario référence'!$F$8+'Scénario référence'!$F$9)*10)</f>
        <v>10</v>
      </c>
      <c r="NY38" s="12" t="e">
        <f>VLOOKUP($A38,'Données projet'!$A$512:$I$532,2,0)</f>
        <v>#N/A</v>
      </c>
      <c r="NZ38" s="12" t="e">
        <f>VLOOKUP($A38,'Données projet'!$A$512:$I$532,9,0)</f>
        <v>#N/A</v>
      </c>
      <c r="OA38" s="12">
        <f t="array" ref="OA38">INDEX(NZ:NZ,MIN(IF(ISNUMBER(NZ38:NZ234),ROW(NZ38:NZ234),"")))</f>
        <v>0</v>
      </c>
      <c r="OB38" s="12">
        <f>IF('Données projet'!$A$512&gt;35,OB37+OA38-OJ37,IF($A38&lt;'Données projet'!$A$512,$CQ$205^$A38,IF($A38='Données projet'!$A$512,'Données projet'!$B$512,OB37+OA38-OJ37)))</f>
        <v>0</v>
      </c>
      <c r="OC38" s="17" t="e">
        <f>OB38*VLOOKUP('Données projet'!$B$27,Paramètres!$A$1:$I$89,3,0)*VLOOKUP('Données projet'!$B$27,Paramètres!$A$1:$I$89,5,0)</f>
        <v>#N/A</v>
      </c>
      <c r="OD38" s="13" t="e">
        <f t="shared" si="112"/>
        <v>#N/A</v>
      </c>
      <c r="OE38" s="14" t="e">
        <f t="shared" si="55"/>
        <v>#N/A</v>
      </c>
      <c r="OF38" s="59" t="e">
        <f t="shared" si="56"/>
        <v>#N/A</v>
      </c>
      <c r="OG38" s="20" t="e">
        <f ca="1">AVERAGE(OFFSET($OF$3,0,0,'Données projet'!$E$27+1,1))-AVERAGE(OFFSET($H$3,0,0,'Données projet'!$E$27+1,1))</f>
        <v>#N/A</v>
      </c>
      <c r="OH38" s="59" t="e">
        <f t="shared" si="113"/>
        <v>#N/A</v>
      </c>
      <c r="OI38" s="15">
        <f>IF(ISNA(VLOOKUP($A38,'Données projet'!$A$512:$I$532,3,0)),0,VLOOKUP($A38,'Données projet'!$A$512:$I$532,3,0))</f>
        <v>0</v>
      </c>
      <c r="OJ38" s="15">
        <f>IF(ISNA(VLOOKUP($A38,'Données projet'!$A$512:$I$532,4,0)),0,VLOOKUP($A38,'Données projet'!$A$512:$I$532,4,0))</f>
        <v>0</v>
      </c>
      <c r="OK38" s="16">
        <f>IF(ISNA(VLOOKUP($A38,'Données projet'!$A$512:$I$532,5,0)),0%,VLOOKUP($A38,'Données projet'!$A$512:$I$532,5,0)*VLOOKUP('Données projet'!$B$27,Paramètres!$A$1:$I$89,7,0))</f>
        <v>0</v>
      </c>
      <c r="OL38" s="16">
        <f>IF(ISNA(VLOOKUP($A38,'Données projet'!$A$512:$I$532,6,0)),0%,VLOOKUP($A38,'Données projet'!$A$512:$I$532,6,0)*VLOOKUP('Données projet'!$B$27,Paramètres!$A$1:$I$89,7,0))</f>
        <v>0</v>
      </c>
      <c r="OM38" s="16">
        <f>IF(ISNA(VLOOKUP($A38,'Données projet'!$A$512:$I$532,7,0)),0%,VLOOKUP($A38,'Données projet'!$A$512:$I$532,7,0))</f>
        <v>0</v>
      </c>
      <c r="ON38" s="21" t="e">
        <f>EXP(-LN(2)/35)*ON37+(1-EXP(-LN(2)/35))/(LN(2)/35)*OJ38*OK38*VLOOKUP('Données projet'!$B$27,Paramètres!$A$1:$I$89,3,0)*0.475*44/12</f>
        <v>#N/A</v>
      </c>
      <c r="OO38" s="21" t="e">
        <f>EXP(-LN(2)/25)*OO37+(1-EXP(-LN(2)/25))/(LN(2)/25)*Calculateur!OJ38*Calculateur!OL38*VLOOKUP('Données projet'!$B$27,Paramètres!$A$1:$I$89,3,0)*0.475*44/12</f>
        <v>#N/A</v>
      </c>
      <c r="OP38" s="21" t="e">
        <f>EXP(-LN(2)/2)*OP37+(1-EXP(-LN(2)/2))/(LN(2)/2)*OJ38*OM38*VLOOKUP('Données projet'!$B$27,Paramètres!$A$1:$I$89,3,0)*0.475*44/12</f>
        <v>#N/A</v>
      </c>
      <c r="OQ38" s="22" t="e">
        <f t="shared" si="114"/>
        <v>#N/A</v>
      </c>
      <c r="OR38" s="74">
        <f>('Scénario référence'!$F$8+'Scénario référence'!$F$9+'Scénario référence'!$B$17+'Scénario référence'!$B$9+'Scénario référence'!$B$10)*70+IF((45+25*(1-EXP(-0.0175*$A38)))&lt;70,'Scénario référence'!$B$16*(45+25*(1-EXP(-0.0175*$A38))),70*'Scénario référence'!$B$16)+IF((32+38*(1-EXP(-0.0175*$A38)))&lt;70,'Scénario référence'!$B$18*(32+38*(1-EXP(-0.0175*$A38))),70*'Scénario référence'!$B$18)</f>
        <v>70</v>
      </c>
      <c r="OS38" s="12">
        <f>IF($A38&gt;30,10,('Scénario référence'!$B$16+'Scénario référence'!$B$17+'Scénario référence'!$B$18+'Scénario référence'!$B$9+'Scénario référence'!$B$10)*$A38*10/30+('Scénario référence'!$F$8+'Scénario référence'!$F$9)*10)</f>
        <v>10</v>
      </c>
      <c r="OT38" s="12" t="e">
        <f>VLOOKUP($A38,'Données projet'!$A$538:$I$558,2,0)</f>
        <v>#N/A</v>
      </c>
      <c r="OU38" s="12" t="e">
        <f>VLOOKUP($A38,'Données projet'!$A$538:$I$558,9,0)</f>
        <v>#N/A</v>
      </c>
      <c r="OV38" s="12">
        <f t="array" ref="OV38">INDEX(OU:OU,MIN(IF(ISNUMBER(OU38:OU234),ROW(OU38:OU234),"")))</f>
        <v>0</v>
      </c>
      <c r="OW38" s="12">
        <f>IF('Données projet'!$A$538&gt;35,OW37+OV38-PE37,IF($A38&lt;'Données projet'!$A$538,$CQ$205^$A38,IF($A38='Données projet'!$A$538,'Données projet'!$B$538,OW37+OV38-PE37)))</f>
        <v>0</v>
      </c>
      <c r="OX38" s="17" t="e">
        <f>OW38*VLOOKUP('Données projet'!$B$28,Paramètres!$A$1:$I$89,3,0)*VLOOKUP('Données projet'!$B$28,Paramètres!$A$1:$I$89,5,0)</f>
        <v>#N/A</v>
      </c>
      <c r="OY38" s="13" t="e">
        <f t="shared" si="115"/>
        <v>#N/A</v>
      </c>
      <c r="OZ38" s="14" t="e">
        <f t="shared" si="58"/>
        <v>#N/A</v>
      </c>
      <c r="PA38" s="59" t="e">
        <f t="shared" si="59"/>
        <v>#N/A</v>
      </c>
      <c r="PB38" s="20" t="e">
        <f ca="1">AVERAGE(OFFSET($PA$3,0,0,'Données projet'!$E$28+1,1))-AVERAGE(OFFSET($H$3,0,0,'Données projet'!$E$28+1,1))</f>
        <v>#N/A</v>
      </c>
      <c r="PC38" s="59" t="e">
        <f t="shared" si="116"/>
        <v>#N/A</v>
      </c>
      <c r="PD38" s="15">
        <f>IF(ISNA(VLOOKUP($A38,'Données projet'!$A$538:$I$558,3,0)),0,VLOOKUP($A38,'Données projet'!$A$538:$I$558,3,0))</f>
        <v>0</v>
      </c>
      <c r="PE38" s="15">
        <f>IF(ISNA(VLOOKUP($A38,'Données projet'!$A$538:$I$558,4,0)),0,VLOOKUP($A38,'Données projet'!$A$538:$I$558,4,0))</f>
        <v>0</v>
      </c>
      <c r="PF38" s="16">
        <f>IF(ISNA(VLOOKUP($A38,'Données projet'!$A$538:$I$558,5,0)),0%,VLOOKUP($A38,'Données projet'!$A$538:$I$558,5,0)*VLOOKUP('Données projet'!$B$28,Paramètres!$A$1:$I$89,7,0))</f>
        <v>0</v>
      </c>
      <c r="PG38" s="16">
        <f>IF(ISNA(VLOOKUP($A38,'Données projet'!$A$538:$I$558,6,0)),0%,VLOOKUP($A38,'Données projet'!$A$538:$I$558,6,0)*VLOOKUP('Données projet'!$B$28,Paramètres!$A$1:$I$89,7,0))</f>
        <v>0</v>
      </c>
      <c r="PH38" s="16">
        <f>IF(ISNA(VLOOKUP($A38,'Données projet'!$A$538:$I$558,7,0)),0%,VLOOKUP($A38,'Données projet'!$A$538:$I$558,7,0))</f>
        <v>0</v>
      </c>
      <c r="PI38" s="21" t="e">
        <f>EXP(-LN(2)/35)*PI37+(1-EXP(-LN(2)/35))/(LN(2)/35)*PE38*PF38*VLOOKUP('Données projet'!$B$28,Paramètres!$A$1:$I$89,3,0)*0.475*44/12</f>
        <v>#N/A</v>
      </c>
      <c r="PJ38" s="21" t="e">
        <f>EXP(-LN(2)/25)*PJ37+(1-EXP(-LN(2)/25))/(LN(2)/25)*Calculateur!PE38*Calculateur!PG38*VLOOKUP('Données projet'!$B$28,Paramètres!$A$1:$I$89,3,0)*0.475*44/12</f>
        <v>#N/A</v>
      </c>
      <c r="PK38" s="21" t="e">
        <f>EXP(-LN(2)/2)*PK37+(1-EXP(-LN(2)/2))/(LN(2)/2)*PE38*PH38*VLOOKUP('Données projet'!$B$28,Paramètres!$A$1:$I$89,3,0)*0.475*44/12</f>
        <v>#N/A</v>
      </c>
      <c r="PL38" s="22" t="e">
        <f t="shared" si="117"/>
        <v>#N/A</v>
      </c>
    </row>
    <row r="39" spans="1:428" x14ac:dyDescent="0.35">
      <c r="A39" s="10">
        <f t="shared" si="6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6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projet'!$A$45:$I$65,2,0)</f>
        <v>403.50769230769237</v>
      </c>
      <c r="L39" s="12">
        <f>VLOOKUP(A39,'Données projet'!$A$45:$I$65,9,0)</f>
        <v>22.884615384615397</v>
      </c>
      <c r="M39" s="12">
        <f t="array" ref="M39">INDEX(L:L,MIN(IF(ISNUMBER(L39:L235),ROW(L39:L235),"")))</f>
        <v>22.884615384615397</v>
      </c>
      <c r="N39" s="13">
        <f>IF('Données projet'!$A$46&gt;35,N38+M39-V38,IF(A39&lt;'Données projet'!$A$46,$K$205^A39,IF(A39='Données projet'!$A$46,'Données projet'!$B$46,N38+M39-V38)))</f>
        <v>403.50769230769237</v>
      </c>
      <c r="O39" s="13">
        <f>N39*VLOOKUP('Données projet'!$B$9,Paramètres!$A$1:$I$89,3,0)*VLOOKUP('Données projet'!$B$9,Paramètres!$A$1:$I$89,5,0)</f>
        <v>225.56080000000003</v>
      </c>
      <c r="P39" s="13">
        <f t="shared" si="63"/>
        <v>55.321736658663667</v>
      </c>
      <c r="Q39" s="20">
        <f t="shared" si="118"/>
        <v>489.20375134717256</v>
      </c>
      <c r="R39" s="59">
        <f t="shared" si="0"/>
        <v>782.53708468050581</v>
      </c>
      <c r="S39" s="59">
        <f ca="1">AVERAGE(OFFSET($R$3,0,0,'Données projet'!$E$9+1,1))-AVERAGE(OFFSET($H$3,0,0,'Données projet'!$E$9+1,1))</f>
        <v>274.57619581652199</v>
      </c>
      <c r="T39" s="59">
        <f t="shared" si="64"/>
        <v>366.15117322598775</v>
      </c>
      <c r="U39" s="15">
        <f>IF(ISNA(VLOOKUP(A39,'Données projet'!$A$45:$I$65,3,0)),0,VLOOKUP(A39,'Données projet'!$A$45:$I$65,3,0))</f>
        <v>4</v>
      </c>
      <c r="V39" s="15">
        <f>IF(ISNA(VLOOKUP(A39,'Données projet'!$A$45:$I$65,4,0)),0,VLOOKUP(A39,'Données projet'!$A$45:$I$65,4,0))</f>
        <v>69.3</v>
      </c>
      <c r="W39" s="16">
        <f>IF(ISNA(VLOOKUP(A39,'Données projet'!$A$45:$I$65,5,0)),0%,VLOOKUP(A39,'Données projet'!$A$45:$I$65,5,0)*VLOOKUP('Données projet'!$B$9,Paramètres!$A$1:$I$89,7,0))</f>
        <v>0.38500000000000001</v>
      </c>
      <c r="X39" s="16">
        <f>IF(ISNA(VLOOKUP(A39,'Données projet'!$A$45:$I$65,6,0)),0%,VLOOKUP(A39,'Données projet'!$A$45:$I$65,6,0)*VLOOKUP('Données projet'!$B$9,Paramètres!$A$1:$I$89,7,0))</f>
        <v>9.240000000000001E-2</v>
      </c>
      <c r="Y39" s="16">
        <f>IF(ISNA(VLOOKUP(A39,'Données projet'!$A$45:$I$65,7,0)),0%,VLOOKUP(A39,'Données projet'!$A$45:$I$65,7,0))</f>
        <v>0.13200000000000001</v>
      </c>
      <c r="Z39" s="21">
        <f>EXP(-LN(2)/35)*Z38+(1-EXP(-LN(2)/35))/(LN(2)/35)*V39*W39*VLOOKUP('Données projet'!$B$9,Paramètres!$A$1:$I$89,3,0)*0.475*44/12</f>
        <v>46.036190634544177</v>
      </c>
      <c r="AA39" s="21">
        <f>EXP(-LN(2)/25)*AA38+(1-EXP(-LN(2)/25))/(LN(2)/25)*Calculateur!V39*Calculateur!X39*VLOOKUP('Données projet'!$B$9,Paramètres!$A$1:$I$89,3,0)*0.475*44/12</f>
        <v>20.181403317675393</v>
      </c>
      <c r="AB39" s="21">
        <f>EXP(-LN(2)/2)*AB38+(1-EXP(-LN(2)/2))/(LN(2)/2)*V39*Y39*VLOOKUP('Données projet'!$B$9,Paramètres!$A$1:$I$89,3,0)*0.475*44/12</f>
        <v>6.5688475705786837</v>
      </c>
      <c r="AC39" s="22">
        <f t="shared" si="3"/>
        <v>72.786441522798256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projet'!$A$71:$I$91,2,0)</f>
        <v>#N/A</v>
      </c>
      <c r="AG39" s="12" t="e">
        <f>VLOOKUP(A39,'Données projet'!$A$71:$I$91,9,0)</f>
        <v>#N/A</v>
      </c>
      <c r="AH39" s="12">
        <f t="array" ref="AH39">INDEX(AG:AG,MIN(IF(ISNUMBER(AG39:AG235),ROW(AG39:AG235),"")))</f>
        <v>9.3141025641025621</v>
      </c>
      <c r="AI39" s="13">
        <f>IF('Données projet'!$A$72&gt;35,AI38+AH39-AQ38,IF(A39&lt;'Données projet'!$A$72,$AF$205^A39,IF(A39='Données projet'!$A$72,'Données projet'!$B$72,AI38+AH39-AQ38)))</f>
        <v>110.87820512820515</v>
      </c>
      <c r="AJ39" s="13">
        <f>AI39*VLOOKUP('Données projet'!$B$10,Paramètres!$A$1:$I$89,3,0)*VLOOKUP('Données projet'!$B$10,Paramètres!$A$1:$I$89,5,0)</f>
        <v>100.32260000000002</v>
      </c>
      <c r="AK39" s="13">
        <f t="shared" si="65"/>
        <v>27.038838137326771</v>
      </c>
      <c r="AL39" s="20">
        <f t="shared" si="4"/>
        <v>221.82117142251082</v>
      </c>
      <c r="AM39" s="59">
        <f t="shared" si="5"/>
        <v>515.15450475584407</v>
      </c>
      <c r="AN39" s="59">
        <f ca="1">AVERAGE(OFFSET($AM$3,0,0,'Données projet'!$E$10+1,1))-AVERAGE(OFFSET($H$3,0,0,'Données projet'!$E$10+1,1))</f>
        <v>270.87836509222456</v>
      </c>
      <c r="AO39" s="59">
        <f t="shared" si="66"/>
        <v>205.24998237949734</v>
      </c>
      <c r="AP39" s="15">
        <f>IF(ISNA(VLOOKUP(A39,'Données projet'!$A$71:$I$91,3,0)),0,VLOOKUP(A39,'Données projet'!$A$71:$I$91,3,0))</f>
        <v>0</v>
      </c>
      <c r="AQ39" s="15">
        <f>IF(ISNA(VLOOKUP(A39,'Données projet'!$A$71:$I$91,4,0)),0,VLOOKUP(A39,'Données projet'!$A$71:$I$91,4,0))</f>
        <v>0</v>
      </c>
      <c r="AR39" s="16">
        <f>IF(ISNA(VLOOKUP(A39,'Données projet'!$A$71:$I$91,5,0)),0%,VLOOKUP(A39,'Données projet'!$A$71:$I$91,5,0)*VLOOKUP('Données projet'!$B$10,Paramètres!$A$1:$I$89,7,0))</f>
        <v>0</v>
      </c>
      <c r="AS39" s="16">
        <f>IF(ISNA(VLOOKUP(A39,'Données projet'!$A$71:$I$91,6,0)),0%,VLOOKUP(A39,'Données projet'!$A$71:$I$91,6,0)*VLOOKUP('Données projet'!$B$10,Paramètres!$A$1:$I$89,7,0))</f>
        <v>0</v>
      </c>
      <c r="AT39" s="16">
        <f>IF(ISNA(VLOOKUP(A39,'Données projet'!$A$71:$I$91,7,0)),0%,VLOOKUP(A39,'Données projet'!$A$71:$I$91,7,0))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>
        <f>VLOOKUP(A39,'Données projet'!$A$97:$I$117,2,0)</f>
        <v>403.50769230769237</v>
      </c>
      <c r="BB39" s="12">
        <f>VLOOKUP(A39,'Données projet'!$A$97:$I$117,9,0)</f>
        <v>22.884615384615397</v>
      </c>
      <c r="BC39" s="12">
        <f t="array" ref="BC39">INDEX(BB:BB,MIN(IF(ISNUMBER(BB39:BB235),ROW(BB39:BB235),"")))</f>
        <v>22.884615384615397</v>
      </c>
      <c r="BD39" s="12">
        <f>IF('Données projet'!$A$98&gt;35,BD38+BC39-BL38,IF(A39&lt;'Données projet'!$A$98,$BA$205^A39,IF(A39='Données projet'!$A$98,'Données projet'!$B$98,BD38+BC39-BL38)))</f>
        <v>403.50769230769237</v>
      </c>
      <c r="BE39" s="13">
        <f>BD39*VLOOKUP('Données projet'!$B$11,Paramètres!$A$1:$I$89,3,0)*VLOOKUP('Données projet'!$B$11,Paramètres!$A$1:$I$89,5,0)</f>
        <v>178.35040000000004</v>
      </c>
      <c r="BF39" s="13">
        <f t="shared" si="67"/>
        <v>44.954984137774296</v>
      </c>
      <c r="BG39" s="20">
        <f t="shared" si="7"/>
        <v>388.92354403995688</v>
      </c>
      <c r="BH39" s="59">
        <f t="shared" si="8"/>
        <v>682.25687737329019</v>
      </c>
      <c r="BI39" s="59">
        <f ca="1">AVERAGE(OFFSET($BH$3,0,0,'Données projet'!$E$11+1,1))-AVERAGE(OFFSET($H$3,0,0,'Données projet'!$E$11+1,1))</f>
        <v>211.31057120485542</v>
      </c>
      <c r="BJ39" s="59">
        <f t="shared" si="68"/>
        <v>283.33292006714777</v>
      </c>
      <c r="BK39" s="15">
        <f>IF(ISNA(VLOOKUP(A39,'Données projet'!$A$97:$I$117,3,0)),0,VLOOKUP(A39,'Données projet'!$A$97:$I$117,3,0))</f>
        <v>4</v>
      </c>
      <c r="BL39" s="15">
        <f>IF(ISNA(VLOOKUP(A39,'Données projet'!$A$97:$I$117,4,0)),0,VLOOKUP(A39,'Données projet'!$A$97:$I$117,4,0))</f>
        <v>69.3</v>
      </c>
      <c r="BM39" s="16">
        <f>IF(ISNA(VLOOKUP(A39,'Données projet'!$A$97:$I$117,5,0)),0%,VLOOKUP(A39,'Données projet'!$A$97:$I$117,5,0)*VLOOKUP('Données projet'!$B$11,Paramètres!$A$1:$I$89,7,0))</f>
        <v>0.38500000000000001</v>
      </c>
      <c r="BN39" s="16">
        <f>IF(ISNA(VLOOKUP(A39,'Données projet'!$A$97:$I$117,6,0)),0%,VLOOKUP(A39,'Données projet'!$A$97:$I$117,6,0)*VLOOKUP('Données projet'!$B$11,Paramètres!$A$1:$I$89,7,0))</f>
        <v>9.240000000000001E-2</v>
      </c>
      <c r="BO39" s="16">
        <f>IF(ISNA(VLOOKUP(A39,'Données projet'!$A$97:$I$117,7,0)),0%,VLOOKUP(A39,'Données projet'!$A$97:$I$117,7,0))</f>
        <v>0.13200000000000001</v>
      </c>
      <c r="BP39" s="21">
        <f>EXP(-LN(2)/35)*BP38+(1-EXP(-LN(2)/35))/(LN(2)/35)*BL39*BM39*VLOOKUP('Données projet'!$B$11,Paramètres!$A$1:$I$89,3,0)*0.475*44/12</f>
        <v>36.400708873825621</v>
      </c>
      <c r="BQ39" s="21">
        <f>EXP(-LN(2)/25)*BQ38+(1-EXP(-LN(2)/25))/(LN(2)/25)*Calculateur!BL39*Calculateur!BN39*VLOOKUP('Données projet'!$B$11,Paramètres!$A$1:$I$89,3,0)*0.475*44/12</f>
        <v>15.957388669789847</v>
      </c>
      <c r="BR39" s="21">
        <f>EXP(-LN(2)/2)*BR38+(1-EXP(-LN(2)/2))/(LN(2)/2)*BL39*BO39*VLOOKUP('Données projet'!$B$11,Paramètres!$A$1:$I$89,3,0)*0.475*44/12</f>
        <v>5.1939724976668664</v>
      </c>
      <c r="BS39" s="22">
        <f t="shared" si="9"/>
        <v>57.552070041282335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projet'!$A$123:$I$143,2,0)</f>
        <v>#N/A</v>
      </c>
      <c r="BW39" s="12" t="e">
        <f>VLOOKUP(A39,'Données projet'!$A$123:$I$143,9,0)</f>
        <v>#N/A</v>
      </c>
      <c r="BX39" s="12">
        <f t="array" ref="BX39">INDEX(BW:BW,MIN(IF(ISNUMBER(BW39:BW235),ROW(BW39:BW235),"")))</f>
        <v>8.8000000000000007</v>
      </c>
      <c r="BY39" s="12">
        <f>IF('Données projet'!$A$124&gt;35,BY38+BX39-CG38,IF(A39&lt;'Données projet'!$A$124,$BV$205^A39,IF(A39='Données projet'!$A$124,'Données projet'!$B$124,BY38+BX39-CG38)))</f>
        <v>149.79999999999998</v>
      </c>
      <c r="BZ39" s="13">
        <f>BY39*VLOOKUP('Données projet'!$B$12,Paramètres!$A$1:$I$89,3,0)*VLOOKUP('Données projet'!$B$12,Paramètres!$A$1:$I$89,5,0)</f>
        <v>156.57096000000001</v>
      </c>
      <c r="CA39" s="13">
        <f t="shared" si="69"/>
        <v>40.0681133718019</v>
      </c>
      <c r="CB39" s="20">
        <f t="shared" si="10"/>
        <v>342.4797194558883</v>
      </c>
      <c r="CC39" s="59">
        <f t="shared" si="11"/>
        <v>635.81305278922162</v>
      </c>
      <c r="CD39" s="59">
        <f ca="1">AVERAGE(OFFSET($CC$3,0,0,'Données projet'!$E$12+1,1))-AVERAGE(OFFSET($H$3,0,0,'Données projet'!$E$12+1,1))</f>
        <v>322.93502595881938</v>
      </c>
      <c r="CE39" s="59">
        <f t="shared" si="70"/>
        <v>302.67072119588164</v>
      </c>
      <c r="CF39" s="15">
        <f>IF(ISNA(VLOOKUP(A39,'Données projet'!$A$123:$I$143,3,0)),0,VLOOKUP(A39,'Données projet'!$A$123:$I$143,3,0))</f>
        <v>0</v>
      </c>
      <c r="CG39" s="15">
        <f>IF(ISNA(VLOOKUP(A39,'Données projet'!$A$123:$I$143,4,0)),0,VLOOKUP(A39,'Données projet'!$A$123:$I$143,4,0))</f>
        <v>0</v>
      </c>
      <c r="CH39" s="16">
        <f>IF(ISNA(VLOOKUP(A39,'Données projet'!$A$123:$I$143,5,0)),0%,VLOOKUP(A39,'Données projet'!$A$123:$I$143,5,0)*VLOOKUP('Données projet'!$B$12,Paramètres!$A$1:$I$89,7,0))</f>
        <v>0</v>
      </c>
      <c r="CI39" s="16">
        <f>IF(ISNA(VLOOKUP(A39,'Données projet'!$A$123:$I$143,6,0)),0%,VLOOKUP(A39,'Données projet'!$A$123:$I$143,6,0)*VLOOKUP('Données projet'!$B$12,Paramètres!$A$1:$I$89,7,0))</f>
        <v>0</v>
      </c>
      <c r="CJ39" s="16">
        <f>IF(ISNA(VLOOKUP(A39,'Données projet'!$A$123:$I$143,7,0)),0%,VLOOKUP(A39,'Données projet'!$A$123:$I$143,7,0))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6.4982165146975364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6.4982165146975364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projet'!$A$149:$I$169,2,0)</f>
        <v>#N/A</v>
      </c>
      <c r="CR39" s="12" t="e">
        <f>VLOOKUP(A39,'Données projet'!$A$149:$I$169,9,0)</f>
        <v>#N/A</v>
      </c>
      <c r="CS39" s="12">
        <f t="array" ref="CS39">INDEX(CR:CR,MIN(IF(ISNUMBER(CR39:CR235),ROW(CR39:CR235),"")))</f>
        <v>5.3369963369963358</v>
      </c>
      <c r="CT39" s="12">
        <f>IF('Données projet'!$A$150&gt;35,CT38+CS39-DB38,IF(A39&lt;'Données projet'!$A$150,$CQ$205^A39,IF(A39='Données projet'!$A$150,'Données projet'!$B$150,CT38+CS39-DB38)))</f>
        <v>119.72710622710622</v>
      </c>
      <c r="CU39" s="17">
        <f>CT39*VLOOKUP('Données projet'!$B$13,Paramètres!$A$1:$I$89,3,0)*VLOOKUP('Données projet'!$B$13,Paramètres!$A$1:$I$89,5,0)</f>
        <v>121.40328571428572</v>
      </c>
      <c r="CV39" s="13">
        <f t="shared" si="71"/>
        <v>32.002070852076919</v>
      </c>
      <c r="CW39" s="20">
        <f t="shared" si="13"/>
        <v>267.18099601974819</v>
      </c>
      <c r="CX39" s="59">
        <f t="shared" si="14"/>
        <v>560.51432935308151</v>
      </c>
      <c r="CY39" s="59">
        <f ca="1">AVERAGE(OFFSET($CX$3,0,0,'Données projet'!$E$13+1,1))-AVERAGE(OFFSET($H$3,0,0,'Données projet'!$E$13+1,1))</f>
        <v>250.31277422753283</v>
      </c>
      <c r="CZ39" s="59">
        <f t="shared" si="72"/>
        <v>159.20429420478047</v>
      </c>
      <c r="DA39" s="15">
        <f>IF(ISNA(VLOOKUP(A39,'Données projet'!$A$149:$I$169,3,0)),0,VLOOKUP(A39,'Données projet'!$A$149:$I$169,3,0))</f>
        <v>0</v>
      </c>
      <c r="DB39" s="15">
        <f>IF(ISNA(VLOOKUP(A39,'Données projet'!$A$149:$I$169,4,0)),0,VLOOKUP(A39,'Données projet'!$A$149:$I$169,4,0))</f>
        <v>0</v>
      </c>
      <c r="DC39" s="16">
        <f>IF(ISNA(VLOOKUP(A39,'Données projet'!$A$149:$I$169,5,0)),0%,VLOOKUP(A39,'Données projet'!$A$149:$I$169,5,0)*VLOOKUP('Données projet'!$B$13,Paramètres!$A$1:$I$89,7,0))</f>
        <v>0</v>
      </c>
      <c r="DD39" s="16">
        <f>IF(ISNA(VLOOKUP(A39,'Données projet'!$A$149:$I$169,6,0)),0%,VLOOKUP(A39,'Données projet'!$A$149:$I$169,6,0)*VLOOKUP('Données projet'!$B$13,Paramètres!$A$1:$I$89,7,0))</f>
        <v>0</v>
      </c>
      <c r="DE39" s="16">
        <f>IF(ISNA(VLOOKUP(A39,'Données projet'!$A$149:$I$169,7,0)),0%,VLOOKUP(A39,'Données projet'!$A$149:$I$169,7,0))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projet'!$A$175:$I$195,2,0)</f>
        <v>#N/A</v>
      </c>
      <c r="DM39" s="12" t="e">
        <f>VLOOKUP(A39,'Données projet'!$A$175:$I$195,9,0)</f>
        <v>#N/A</v>
      </c>
      <c r="DN39" s="12">
        <f t="array" ref="DN39">INDEX(DM:DM,MIN(IF(ISNUMBER(DM39:DM235),ROW(DM39:DM235),"")))</f>
        <v>13.2</v>
      </c>
      <c r="DO39" s="12">
        <f>IF('Données projet'!$A$176&gt;35,DO38+DN39-DW38,IF(A39&lt;'Données projet'!$A$176,$DL$205^A39,IF(A39='Données projet'!$A$176,'Données projet'!$B$176,DO38+DN39-DW38)))</f>
        <v>210.2</v>
      </c>
      <c r="DP39" s="17">
        <f>DO39*VLOOKUP('Données projet'!$B$14,Paramètres!$A$1:$I$89,3,0)*VLOOKUP('Données projet'!$B$14,Paramètres!$A$1:$I$89,5,0)</f>
        <v>154.11863999999997</v>
      </c>
      <c r="DQ39" s="13">
        <f t="shared" si="73"/>
        <v>39.513080685376593</v>
      </c>
      <c r="DR39" s="20">
        <f t="shared" si="16"/>
        <v>337.24191352703082</v>
      </c>
      <c r="DS39" s="59">
        <f t="shared" si="17"/>
        <v>630.57524686036413</v>
      </c>
      <c r="DT39" s="59">
        <f ca="1">AVERAGE(OFFSET($DS$3,0,0,'Données projet'!$E$14+1,1))-AVERAGE(OFFSET($H$3,0,0,'Données projet'!$E$14+1,1))</f>
        <v>296.91321813251051</v>
      </c>
      <c r="DU39" s="59">
        <f t="shared" si="74"/>
        <v>291.0718079639509</v>
      </c>
      <c r="DV39" s="15">
        <f>IF(ISNA(VLOOKUP(A39,'Données projet'!$A$175:$I$195,3,0)),0,VLOOKUP(A39,'Données projet'!$A$175:$I$195,3,0))</f>
        <v>0</v>
      </c>
      <c r="DW39" s="15">
        <f>IF(ISNA(VLOOKUP(A39,'Données projet'!$A$175:$I$195,4,0)),0,VLOOKUP(A39,'Données projet'!$A$175:$I$195,4,0))</f>
        <v>0</v>
      </c>
      <c r="DX39" s="16">
        <f>IF(ISNA(VLOOKUP(A39,'Données projet'!$A$175:$I$195,5,0)),0%,VLOOKUP(A39,'Données projet'!$A$175:$I$195,5,0)*VLOOKUP('Données projet'!$B$14,Paramètres!$A$1:$I$89,7,0))</f>
        <v>0</v>
      </c>
      <c r="DY39" s="16">
        <f>IF(ISNA(VLOOKUP(A39,'Données projet'!$A$175:$I$195,6,0)),0%,VLOOKUP(A39,'Données projet'!$A$175:$I$195,6,0)*VLOOKUP('Données projet'!$B$14,Paramètres!$A$1:$I$89,7,0))</f>
        <v>0</v>
      </c>
      <c r="DZ39" s="16">
        <f>IF(ISNA(VLOOKUP(A39,'Données projet'!$A$175:$I$195,7,0)),0%,VLOOKUP(A39,'Données projet'!$A$175:$I$195,7,0))</f>
        <v>0</v>
      </c>
      <c r="EA39" s="21">
        <f>EXP(-LN(2)/35)*EA38+(1-EXP(-LN(2)/35))/(LN(2)/35)*DW39*DX39*VLOOKUP('Données projet'!$B$14,Paramètres!$A$1:$I$89,3,0)*0.475*44/12</f>
        <v>19.027077539026539</v>
      </c>
      <c r="EB39" s="21">
        <f>EXP(-LN(2)/25)*EB38+(1-EXP(-LN(2)/25))/(LN(2)/25)*Calculateur!DW39*Calculateur!DY39*VLOOKUP('Données projet'!$B$14,Paramètres!$A$1:$I$89,3,0)*0.475*44/12</f>
        <v>12.26616494209887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31.293242481125411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projet'!$A$201:$I$221,2,0)</f>
        <v>#N/A</v>
      </c>
      <c r="EH39" s="12" t="e">
        <f>VLOOKUP(A39,'Données projet'!$A$201:$I$221,9,0)</f>
        <v>#N/A</v>
      </c>
      <c r="EI39" s="12">
        <f t="array" ref="EI39">INDEX(EH:EH,MIN(IF(ISNUMBER(EH39:EH235),ROW(EH39:EH235),"")))</f>
        <v>10.407692307692306</v>
      </c>
      <c r="EJ39" s="12">
        <f>IF('Données projet'!$A$202&gt;35,EJ38+EI39-ER38,IF(A39&lt;'Données projet'!$A$202,$EG$205^A39,IF(A39='Données projet'!$A$202,'Données projet'!$B$202,EJ38+EI39-ER38)))</f>
        <v>165.72307692307692</v>
      </c>
      <c r="EK39" s="17">
        <f>EJ39*VLOOKUP('Données projet'!$B$15,Paramètres!$A$1:$I$89,3,0)*VLOOKUP('Données projet'!$B$15,Paramètres!$A$1:$I$89,5,0)</f>
        <v>77.558400000000006</v>
      </c>
      <c r="EL39" s="13">
        <f t="shared" si="75"/>
        <v>21.539127592741618</v>
      </c>
      <c r="EM39" s="20">
        <f t="shared" si="19"/>
        <v>172.59486055735832</v>
      </c>
      <c r="EN39" s="59">
        <f t="shared" si="20"/>
        <v>465.92819389069166</v>
      </c>
      <c r="EO39" s="59">
        <f ca="1">AVERAGE(OFFSET($EN$3,0,0,'Données projet'!$E$15+1,1))-AVERAGE(OFFSET($H$3,0,0,'Données projet'!$E$15+1,1))</f>
        <v>147.64256291235483</v>
      </c>
      <c r="EP39" s="59">
        <f t="shared" si="76"/>
        <v>70.859031694091868</v>
      </c>
      <c r="EQ39" s="15">
        <f>IF(ISNA(VLOOKUP(A39,'Données projet'!$A$201:$I$221,3,0)),0,VLOOKUP(A39,'Données projet'!$A$201:$I$221,3,0))</f>
        <v>0</v>
      </c>
      <c r="ER39" s="15">
        <f>IF(ISNA(VLOOKUP(A39,'Données projet'!$A$201:$I$221,4,0)),0,VLOOKUP(A39,'Données projet'!$A$201:$I$221,4,0))</f>
        <v>0</v>
      </c>
      <c r="ES39" s="16">
        <f>IF(ISNA(VLOOKUP(A39,'Données projet'!$A$201:$I$221,5,0)),0%,VLOOKUP(A39,'Données projet'!$A$201:$I$221,5,0)*VLOOKUP('Données projet'!$B$15,Paramètres!$A$1:$I$89,7,0))</f>
        <v>0</v>
      </c>
      <c r="ET39" s="16">
        <f>IF(ISNA(VLOOKUP(A39,'Données projet'!$A$201:$I$221,6,0)),0%,VLOOKUP(A39,'Données projet'!$A$201:$I$221,6,0)*VLOOKUP('Données projet'!$B$15,Paramètres!$A$1:$I$89,7,0))</f>
        <v>0</v>
      </c>
      <c r="EU39" s="16">
        <f>IF(ISNA(VLOOKUP(A39,'Données projet'!$A$201:$I$221,7,0)),0%,VLOOKUP(A39,'Données projet'!$A$201:$I$221,7,0))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projet'!$A$227:$I$247,2,0)</f>
        <v>#N/A</v>
      </c>
      <c r="FC39" s="12" t="e">
        <f>VLOOKUP(A39,'Données projet'!$A$227:$I$247,9,0)</f>
        <v>#N/A</v>
      </c>
      <c r="FD39" s="12">
        <f t="array" ref="FD39">INDEX(FC:FC,MIN(IF(ISNUMBER(FC39:FC235),ROW(FC39:FC235),"")))</f>
        <v>7</v>
      </c>
      <c r="FE39" s="12">
        <f>IF('Données projet'!$A$228&gt;35,FE38+FD39-FM38,IF(A39&lt;'Données projet'!$A$228,$FB$205^A39,IF(A39='Données projet'!$A$228,'Données projet'!$B$228,FE38+FD39-FM38)))</f>
        <v>122</v>
      </c>
      <c r="FF39" s="17">
        <f>FE39*VLOOKUP('Données projet'!$B$16,Paramètres!$A$1:$I$89,3,0)*VLOOKUP('Données projet'!$B$16,Paramètres!$A$1:$I$89,5,0)</f>
        <v>127.51440000000002</v>
      </c>
      <c r="FG39" s="13">
        <f t="shared" si="77"/>
        <v>33.421366430716283</v>
      </c>
      <c r="FH39" s="20">
        <f t="shared" si="22"/>
        <v>280.2964598668309</v>
      </c>
      <c r="FI39" s="59">
        <f t="shared" si="23"/>
        <v>573.62979320016416</v>
      </c>
      <c r="FJ39" s="59">
        <f ca="1">AVERAGE(OFFSET($FI$3,0,0,'Données projet'!$E$16+1,1))-AVERAGE(OFFSET($H$3,0,0,'Données projet'!$E$16+1,1))</f>
        <v>259.03906550253788</v>
      </c>
      <c r="FK39" s="59">
        <f t="shared" si="78"/>
        <v>235.54542903570831</v>
      </c>
      <c r="FL39" s="15">
        <f>IF(ISNA(VLOOKUP(A39,'Données projet'!$A$227:$I$247,3,0)),0,VLOOKUP(A39,'Données projet'!$A$227:$I$247,3,0))</f>
        <v>0</v>
      </c>
      <c r="FM39" s="15">
        <f>IF(ISNA(VLOOKUP(A39,'Données projet'!$A$227:$I$247,4,0)),0,VLOOKUP(A39,'Données projet'!$A$227:$I$247,4,0))</f>
        <v>0</v>
      </c>
      <c r="FN39" s="16">
        <f>IF(ISNA(VLOOKUP(A39,'Données projet'!$A$227:$I$247,5,0)),0%,VLOOKUP(A39,'Données projet'!$A$227:$I$247,5,0)*VLOOKUP('Données projet'!$B$16,Paramètres!$A$1:$I$89,7,0))</f>
        <v>0</v>
      </c>
      <c r="FO39" s="16">
        <f>IF(ISNA(VLOOKUP(A39,'Données projet'!$A$227:$I$247,6,0)),0%,VLOOKUP(A39,'Données projet'!$A$227:$I$247,6,0)*VLOOKUP('Données projet'!$B$16,Paramètres!$A$1:$I$89,7,0))</f>
        <v>0</v>
      </c>
      <c r="FP39" s="16">
        <f>IF(ISNA(VLOOKUP(A39,'Données projet'!$A$227:$I$247,7,0)),0%,VLOOKUP(A39,'Données projet'!$A$227:$I$247,7,0))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0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projet'!$A$253:$I$273,2,0)</f>
        <v>#N/A</v>
      </c>
      <c r="FX39" s="12" t="e">
        <f>VLOOKUP(A39,'Données projet'!$A$253:$I$273,9,0)</f>
        <v>#N/A</v>
      </c>
      <c r="FY39" s="12">
        <f t="array" ref="FY39">INDEX(FX:FX,MIN(IF(ISNUMBER(FX39:FX235),ROW(FX39:FX235),"")))</f>
        <v>9.6</v>
      </c>
      <c r="FZ39" s="12">
        <f>IF('Données projet'!$A$254&gt;35,FZ38+FY39-GH38,IF(A39&lt;'Données projet'!$A$254,$FW$205^A39,IF(A39='Données projet'!$A$254,'Données projet'!$B$254,FZ38+FY39-GH38)))</f>
        <v>153.60000000000002</v>
      </c>
      <c r="GA39" s="17">
        <f>FZ39*VLOOKUP('Données projet'!$B$17,Paramètres!$A$1:$I$89,3,0)*VLOOKUP('Données projet'!$B$17,Paramètres!$A$1:$I$89,5,0)</f>
        <v>134.18496000000005</v>
      </c>
      <c r="GB39" s="13">
        <f t="shared" si="79"/>
        <v>34.961590270648216</v>
      </c>
      <c r="GC39" s="20">
        <f t="shared" si="25"/>
        <v>294.59690838804573</v>
      </c>
      <c r="GD39" s="59">
        <f t="shared" si="26"/>
        <v>587.93024172137905</v>
      </c>
      <c r="GE39" s="59">
        <f ca="1">AVERAGE(OFFSET($GD$3,0,0,'Données projet'!$E$17+1,1))-AVERAGE(OFFSET($H$3,0,0,'Données projet'!$E$17+1,1))</f>
        <v>245.1983232777614</v>
      </c>
      <c r="GF39" s="59">
        <f t="shared" si="80"/>
        <v>242.34010522344573</v>
      </c>
      <c r="GG39" s="15">
        <f>IF(ISNA(VLOOKUP(A39,'Données projet'!$A$253:$I$273,3,0)),0,VLOOKUP(A39,'Données projet'!$A$253:$I$273,3,0))</f>
        <v>0</v>
      </c>
      <c r="GH39" s="15">
        <f>IF(ISNA(VLOOKUP(A39,'Données projet'!$A$253:$I$273,4,0)),0,VLOOKUP(A39,'Données projet'!$A$253:$I$273,4,0))</f>
        <v>0</v>
      </c>
      <c r="GI39" s="16">
        <f>IF(ISNA(VLOOKUP(A39,'Données projet'!$A$253:$I$273,5,0)),0%,VLOOKUP(A39,'Données projet'!$A$253:$I$273,5,0)*VLOOKUP('Données projet'!$B$17,Paramètres!$A$1:$I$89,7,0))</f>
        <v>0</v>
      </c>
      <c r="GJ39" s="16">
        <f>IF(ISNA(VLOOKUP(A39,'Données projet'!$A$253:$I$273,6,0)),0%,VLOOKUP(A39,'Données projet'!$A$253:$I$273,6,0)*VLOOKUP('Données projet'!$B$17,Paramètres!$A$1:$I$89,7,0))</f>
        <v>0</v>
      </c>
      <c r="GK39" s="16">
        <f>IF(ISNA(VLOOKUP(A39,'Données projet'!$A$253:$I$273,7,0)),0%,VLOOKUP(A39,'Données projet'!$A$253:$I$273,7,0))</f>
        <v>0</v>
      </c>
      <c r="GL39" s="21">
        <f>EXP(-LN(2)/35)*GL38+(1-EXP(-LN(2)/35))/(LN(2)/35)*GH39*GI39*VLOOKUP('Données projet'!$B$17,Paramètres!$A$1:$I$89,3,0)*0.475*44/12</f>
        <v>2.4648993946916722</v>
      </c>
      <c r="GM39" s="21">
        <f>EXP(-LN(2)/25)*GM38+(1-EXP(-LN(2)/25))/(LN(2)/25)*Calculateur!GH39*Calculateur!GJ39*VLOOKUP('Données projet'!$B$17,Paramètres!$A$1:$I$89,3,0)*0.475*44/12</f>
        <v>8.2855261977755177</v>
      </c>
      <c r="GN39" s="21">
        <f>EXP(-LN(2)/2)*GN38+(1-EXP(-LN(2)/2))/(LN(2)/2)*GH39*GK39*VLOOKUP('Données projet'!$B$17,Paramètres!$A$1:$I$89,3,0)*0.475*44/12</f>
        <v>0</v>
      </c>
      <c r="GO39" s="21">
        <f t="shared" si="27"/>
        <v>10.75042559246719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projet'!$A$279:$I$299,2,0)</f>
        <v>#N/A</v>
      </c>
      <c r="GS39" s="12" t="e">
        <f>VLOOKUP(A39,'Données projet'!$A$279:$I$299,9,0)</f>
        <v>#N/A</v>
      </c>
      <c r="GT39" s="12">
        <f t="array" ref="GT39">INDEX(GS:GS,MIN(IF(ISNUMBER(GS39:GS235),ROW(GS39:GS235),"")))</f>
        <v>20.8</v>
      </c>
      <c r="GU39" s="12">
        <f>IF('Données projet'!$A$280&gt;35,GU38+GT39-HC38,IF(A39&lt;'Données projet'!$A$280,$GR$205^A39,IF(A39='Données projet'!$A$280,'Données projet'!$B$280,GU38+GT39-HC38)))</f>
        <v>403.80000000000013</v>
      </c>
      <c r="GV39" s="17">
        <f>GU39*VLOOKUP('Données projet'!$B$18,Paramètres!$A$1:$I$89,3,0)*VLOOKUP('Données projet'!$B$18,Paramètres!$A$1:$I$89,5,0)</f>
        <v>162.73140000000006</v>
      </c>
      <c r="GW39" s="13">
        <f t="shared" si="81"/>
        <v>41.457982055514108</v>
      </c>
      <c r="GX39" s="20">
        <f t="shared" si="28"/>
        <v>355.6298404133538</v>
      </c>
      <c r="GY39" s="59">
        <f t="shared" si="29"/>
        <v>648.96317374668706</v>
      </c>
      <c r="GZ39" s="59">
        <f ca="1">AVERAGE(OFFSET($GY$3,0,0,'Données projet'!$E$18+1,1))-AVERAGE(OFFSET($H$3,0,0,'Données projet'!$E$18+1,1))</f>
        <v>324.36162935850876</v>
      </c>
      <c r="HA39" s="59">
        <f t="shared" si="82"/>
        <v>265.23571072429735</v>
      </c>
      <c r="HB39" s="15">
        <f>IF(ISNA(VLOOKUP(A39,'Données projet'!$A$279:$I$299,3,0)),0,VLOOKUP(A39,'Données projet'!$A$279:$I$299,3,0))</f>
        <v>0</v>
      </c>
      <c r="HC39" s="15">
        <f>IF(ISNA(VLOOKUP(A39,'Données projet'!$A$279:$I$299,4,0)),0,VLOOKUP(A39,'Données projet'!$A$279:$I$299,4,0))</f>
        <v>0</v>
      </c>
      <c r="HD39" s="16">
        <f>IF(ISNA(VLOOKUP(A39,'Données projet'!$A$279:$I$299,5,0)),0%,VLOOKUP(A39,'Données projet'!$A$279:$I$299,5,0)*VLOOKUP('Données projet'!$B$18,Paramètres!$A$1:$I$89,7,0))</f>
        <v>0</v>
      </c>
      <c r="HE39" s="16">
        <f>IF(ISNA(VLOOKUP(A39,'Données projet'!$A$279:$I$299,6,0)),0%,VLOOKUP(A39,'Données projet'!$A$279:$I$299,6,0)*VLOOKUP('Données projet'!$B$18,Paramètres!$A$1:$I$89,7,0))</f>
        <v>0</v>
      </c>
      <c r="HF39" s="16">
        <f>IF(ISNA(VLOOKUP($A39,'Données projet'!$A$279:$I$299,7,0)),0%,VLOOKUP($A39,'Données projet'!$A$279:$I$299,7,0))</f>
        <v>0</v>
      </c>
      <c r="HG39" s="21">
        <f>EXP(-LN(2)/35)*HG38+(1-EXP(-LN(2)/35))/(LN(2)/35)*HC39*HD39*VLOOKUP('Données projet'!$B$18,Paramètres!$A$1:$I$89,3,0)*0.475*44/12</f>
        <v>0.43240080530121433</v>
      </c>
      <c r="HH39" s="21">
        <f>EXP(-LN(2)/25)*HH38+(1-EXP(-LN(2)/25))/(LN(2)/25)*Calculateur!HC39*Calculateur!HE39*VLOOKUP('Données projet'!$B$18,Paramètres!$A$1:$I$89,3,0)*0.475*44/12</f>
        <v>5.1260829554244705</v>
      </c>
      <c r="HI39" s="21">
        <f>EXP(-LN(2)/2)*HI38+(1-EXP(-LN(2)/2))/(LN(2)/2)*HC39*HF39*VLOOKUP('Données projet'!$B$18,Paramètres!$A$1:$I$89,3,0)*0.475*44/12</f>
        <v>4.7429716771837072</v>
      </c>
      <c r="HJ39" s="22">
        <f t="shared" si="30"/>
        <v>10.301455437909393</v>
      </c>
      <c r="HK39" s="74">
        <f>('Scénario référence'!$F$8+'Scénario référence'!$F$9+'Scénario référence'!$B$17+'Scénario référence'!$B$9+'Scénario référence'!$B$10)*70+IF((45+25*(1-EXP(-0.0175*$A39)))&lt;70,'Scénario référence'!$B$16*(45+25*(1-EXP(-0.0175*$A39))),70*'Scénario référence'!$B$16)+IF((32+38*(1-EXP(-0.0175*$A39)))&lt;70,'Scénario référence'!$B$18*(32+38*(1-EXP(-0.0175*$A39))),70*'Scénario référence'!$B$18)</f>
        <v>70</v>
      </c>
      <c r="HL39" s="12">
        <f>IF($A39&gt;30,10,('Scénario référence'!$B$16+'Scénario référence'!$B$17+'Scénario référence'!$B$18+'Scénario référence'!$B$9+'Scénario référence'!$B$10)*$A39*10/30+('Scénario référence'!$F$8+'Scénario référence'!$F$9)*10)</f>
        <v>10</v>
      </c>
      <c r="HM39" s="12" t="e">
        <f>VLOOKUP($A39,'Données projet'!$A$304:$I$324,2,0)</f>
        <v>#N/A</v>
      </c>
      <c r="HN39" s="12" t="e">
        <f>VLOOKUP($A39,'Données projet'!$A$304:$I$324,9,0)</f>
        <v>#N/A</v>
      </c>
      <c r="HO39" s="12">
        <f t="array" ref="HO39">INDEX(HN:HN,MIN(IF(ISNUMBER(HN39:HN235),ROW(HN39:HN235),"")))</f>
        <v>0</v>
      </c>
      <c r="HP39" s="12">
        <f>IF('Données projet'!$A$304&gt;35,HP38+HO39-HX38,IF($A39&lt;'Données projet'!$A$304,$CQ$205^$A39,IF($A39='Données projet'!$A$304,'Données projet'!$B$304,HP38+HO39-HX38)))</f>
        <v>0</v>
      </c>
      <c r="HQ39" s="17">
        <f>HP39*VLOOKUP('Données projet'!$B$19,Paramètres!$A$1:$I$89,3,0)*VLOOKUP('Données projet'!$B$19,Paramètres!$A$1:$I$89,5,0)</f>
        <v>0</v>
      </c>
      <c r="HR39" s="13" t="e">
        <f t="shared" si="83"/>
        <v>#NUM!</v>
      </c>
      <c r="HS39" s="14" t="e">
        <f t="shared" si="31"/>
        <v>#NUM!</v>
      </c>
      <c r="HT39" s="59" t="e">
        <f t="shared" si="32"/>
        <v>#NUM!</v>
      </c>
      <c r="HU39" s="59">
        <f ca="1">AVERAGE(OFFSET(HT$3,0,0,'Données projet'!$E$19+1,1))-AVERAGE(OFFSET($H$3,0,0,'Données projet'!$E$19+1,1))</f>
        <v>91.60721429656013</v>
      </c>
      <c r="HV39" s="59">
        <f t="shared" si="84"/>
        <v>258.94957804210856</v>
      </c>
      <c r="HW39" s="15">
        <f>IF(ISNA(VLOOKUP($A39,'Données projet'!$A$304:$I$324,3,0)),0,VLOOKUP($A39,'Données projet'!$A$304:$I$324,3,0))</f>
        <v>0</v>
      </c>
      <c r="HX39" s="15">
        <f>IF(ISNA(VLOOKUP($A39,'Données projet'!$A$304:$I$324,4,0)),0,VLOOKUP($A39,'Données projet'!$A$304:$I$324,4,0))</f>
        <v>0</v>
      </c>
      <c r="HY39" s="16">
        <f>IF(ISNA(VLOOKUP($A39,'Données projet'!$A$304:$I$324,5,0)),0%,VLOOKUP($A39,'Données projet'!$A$304:$I$324,5,0)*VLOOKUP('Données projet'!$B$19,Paramètres!$A$1:$I$89,7,0))</f>
        <v>0</v>
      </c>
      <c r="HZ39" s="16">
        <f>IF(ISNA(VLOOKUP($A39,'Données projet'!$A$304:$I$324,6,0)),0%,VLOOKUP($A39,'Données projet'!$A$304:$I$324,6,0)*VLOOKUP('Données projet'!$B$19,Paramètres!$A$1:$I$89,7,0))</f>
        <v>0</v>
      </c>
      <c r="IA39" s="16">
        <f>IF(ISNA(VLOOKUP($A39,'Données projet'!$A$304:$I$324,7,0)),0%,VLOOKUP($A39,'Données projet'!$A$304:$I$324,7,0))</f>
        <v>0</v>
      </c>
      <c r="IB39" s="21">
        <f>EXP(-LN(2)/35)*IB38+(1-EXP(-LN(2)/35))/(LN(2)/35)*HX39*HY39*VLOOKUP('Données projet'!$B$19,Paramètres!$A$1:$I$89,3,0)*0.475*44/12</f>
        <v>43.805615273938663</v>
      </c>
      <c r="IC39" s="21">
        <f>EXP(-LN(2)/25)*IC38+(1-EXP(-LN(2)/25))/(LN(2)/25)*Calculateur!HX39*Calculateur!HZ39*VLOOKUP('Données projet'!$B$19,Paramètres!$A$1:$I$89,3,0)*0.475*44/12</f>
        <v>8.2369069629653566</v>
      </c>
      <c r="ID39" s="21">
        <f>EXP(-LN(2)/2)*ID38+(1-EXP(-LN(2)/2))/(LN(2)/2)*HX39*IA39*VLOOKUP('Données projet'!$B$19,Paramètres!$A$1:$I$89,3,0)*0.475*44/12</f>
        <v>7.1606538967997194E-2</v>
      </c>
      <c r="IE39" s="22">
        <f t="shared" si="33"/>
        <v>52.114128775872018</v>
      </c>
      <c r="IF39" s="74">
        <f>('Scénario référence'!$F$8+'Scénario référence'!$F$9+'Scénario référence'!$B$17+'Scénario référence'!$B$9+'Scénario référence'!$B$10)*70+IF((45+25*(1-EXP(-0.0175*$A39)))&lt;70,'Scénario référence'!$B$16*(45+25*(1-EXP(-0.0175*$A39))),70*'Scénario référence'!$B$16)+IF((32+38*(1-EXP(-0.0175*$A39)))&lt;70,'Scénario référence'!$B$18*(32+38*(1-EXP(-0.0175*$A39))),70*'Scénario référence'!$B$18)</f>
        <v>70</v>
      </c>
      <c r="IG39" s="12">
        <f>IF($A39&gt;30,10,('Scénario référence'!$B$16+'Scénario référence'!$B$17+'Scénario référence'!$B$18+'Scénario référence'!$B$9+'Scénario référence'!$B$10)*$A39*10/30+('Scénario référence'!$F$8+'Scénario référence'!$F$9)*10)</f>
        <v>10</v>
      </c>
      <c r="IH39" s="12" t="e">
        <f>VLOOKUP($A39,'Données projet'!$A$330:$I$350,2,0)</f>
        <v>#N/A</v>
      </c>
      <c r="II39" s="12" t="e">
        <f>VLOOKUP($A39,'Données projet'!$A$330:$I$350,9,0)</f>
        <v>#N/A</v>
      </c>
      <c r="IJ39" s="12">
        <f t="array" ref="IJ39">INDEX(II:II,MIN(IF(ISNUMBER(II39:II235),ROW(II39:II235),"")))</f>
        <v>0</v>
      </c>
      <c r="IK39" s="12">
        <f>IF('Données projet'!$A$330&gt;35,IK38+IJ39-IS38,IF($A39&lt;'Données projet'!$A$330,$CQ$205^$A39,IF($A39='Données projet'!$A$330,'Données projet'!$B$330,IK38+IJ39-IS38)))</f>
        <v>0</v>
      </c>
      <c r="IL39" s="17">
        <f>IK39*VLOOKUP('Données projet'!$B$20,Paramètres!$A$1:$I$89,3,0)*VLOOKUP('Données projet'!$B$20,Paramètres!$A$1:$I$89,5,0)</f>
        <v>0</v>
      </c>
      <c r="IM39" s="13" t="e">
        <f t="shared" si="85"/>
        <v>#NUM!</v>
      </c>
      <c r="IN39" s="20" t="e">
        <f t="shared" si="86"/>
        <v>#NUM!</v>
      </c>
      <c r="IO39" s="59" t="e">
        <f t="shared" si="87"/>
        <v>#NUM!</v>
      </c>
      <c r="IP39" s="59">
        <f ca="1">AVERAGE(OFFSET(IO$3,0,0,'Données projet'!$E$20+1,1))-AVERAGE(OFFSET($H$3,0,0,'Données projet'!$E$20+1,1))</f>
        <v>91.60721429656013</v>
      </c>
      <c r="IQ39" s="59">
        <f t="shared" si="88"/>
        <v>258.94957804210856</v>
      </c>
      <c r="IR39" s="15">
        <f>IF(ISNA(VLOOKUP($A39,'Données projet'!$A$330:$I$350,3,0)),0,VLOOKUP($A39,'Données projet'!$A$330:$I$350,3,0))</f>
        <v>0</v>
      </c>
      <c r="IS39" s="15">
        <f>IF(ISNA(VLOOKUP($A39,'Données projet'!$A$330:$I$350,4,0)),0,VLOOKUP($A39,'Données projet'!$A$330:$I$350,4,0))</f>
        <v>0</v>
      </c>
      <c r="IT39" s="16">
        <f>IF(ISNA(VLOOKUP($A39,'Données projet'!$A$330:$I$350,5,0)),0%,VLOOKUP($A39,'Données projet'!$A$330:$I$350,5,0)*VLOOKUP('Données projet'!$B$20,Paramètres!$A$1:$I$89,7,0))</f>
        <v>0</v>
      </c>
      <c r="IU39" s="16">
        <f>IF(ISNA(VLOOKUP($A39,'Données projet'!$A$330:$I$350,6,0)),0%,VLOOKUP($A39,'Données projet'!$A$330:$I$350,6,0)*VLOOKUP('Données projet'!$B$20,Paramètres!$A$1:$I$89,7,0))</f>
        <v>0</v>
      </c>
      <c r="IV39" s="16">
        <f>IF(ISNA(VLOOKUP($A39,'Données projet'!$A$330:$I$350,7,0)),0%,VLOOKUP($A39,'Données projet'!$A$330:$I$350,7,0))</f>
        <v>0</v>
      </c>
      <c r="IW39" s="21">
        <f>EXP(-LN(2)/35)*IW38+(1-EXP(-LN(2)/35))/(LN(2)/35)*IS39*IT39*VLOOKUP('Données projet'!$B$20,Paramètres!$A$1:$I$89,3,0)*0.475*44/12</f>
        <v>43.805615273938663</v>
      </c>
      <c r="IX39" s="21">
        <f>EXP(-LN(2)/25)*IX38+(1-EXP(-LN(2)/25))/(LN(2)/25)*Calculateur!IS39*Calculateur!IU39*VLOOKUP('Données projet'!$B$20,Paramètres!$A$1:$I$89,3,0)*0.475*44/12</f>
        <v>8.2369069629653566</v>
      </c>
      <c r="IY39" s="21">
        <f>EXP(-LN(2)/2)*IY38+(1-EXP(-LN(2)/2))/(LN(2)/2)*IS39*IV39*VLOOKUP('Données projet'!$B$20,Paramètres!$A$1:$I$89,3,0)*0.475*44/12</f>
        <v>7.1606538967997194E-2</v>
      </c>
      <c r="IZ39" s="22">
        <f t="shared" si="89"/>
        <v>52.114128775872018</v>
      </c>
      <c r="JA39" s="74">
        <f>('Scénario référence'!$F$8+'Scénario référence'!$F$9+'Scénario référence'!$B$17+'Scénario référence'!$B$9+'Scénario référence'!$B$10)*70+IF((45+25*(1-EXP(-0.0175*$A39)))&lt;70,'Scénario référence'!$B$16*(45+25*(1-EXP(-0.0175*$A39))),70*'Scénario référence'!$B$16)+IF((32+38*(1-EXP(-0.0175*$A39)))&lt;70,'Scénario référence'!$B$18*(32+38*(1-EXP(-0.0175*$A39))),70*'Scénario référence'!$B$18)</f>
        <v>70</v>
      </c>
      <c r="JB39" s="12">
        <f>IF($A39&gt;30,10,('Scénario référence'!$B$16+'Scénario référence'!$B$17+'Scénario référence'!$B$18+'Scénario référence'!$B$9+'Scénario référence'!$B$10)*$A39*10/30+('Scénario référence'!$F$8+'Scénario référence'!$F$9)*10)</f>
        <v>10</v>
      </c>
      <c r="JC39" s="12" t="e">
        <f>VLOOKUP($A39,'Données projet'!$A$356:$I$376,2,0)</f>
        <v>#N/A</v>
      </c>
      <c r="JD39" s="12" t="e">
        <f>VLOOKUP($A39,'Données projet'!$A$356:$I$376,9,0)</f>
        <v>#N/A</v>
      </c>
      <c r="JE39" s="12">
        <f t="array" ref="JE39">INDEX(JD:JD,MIN(IF(ISNUMBER(JD39:JD235),ROW(JD39:JD235),"")))</f>
        <v>30.4</v>
      </c>
      <c r="JF39" s="12">
        <f>IF('Données projet'!$A$356&gt;35,JF38+JE39-JN38,IF($A39&lt;'Données projet'!$A$356,$CQ$205^$A39,IF($A39='Données projet'!$A$356,'Données projet'!$B$356,JF38+JE39-JN38)))</f>
        <v>41.400000000000063</v>
      </c>
      <c r="JG39" s="17">
        <f>JF39*VLOOKUP('Données projet'!$B$21,Paramètres!$A$1:$I$89,3,0)*VLOOKUP('Données projet'!$B$21,Paramètres!$A$1:$I$89,5,0)</f>
        <v>33.583680000000058</v>
      </c>
      <c r="JH39" s="13">
        <f t="shared" si="90"/>
        <v>10.28108656441062</v>
      </c>
      <c r="JI39" s="20">
        <f t="shared" si="91"/>
        <v>76.397801766348593</v>
      </c>
      <c r="JJ39" s="59">
        <f t="shared" si="92"/>
        <v>369.73113509968192</v>
      </c>
      <c r="JK39" s="59">
        <f ca="1">AVERAGE(OFFSET($JJ$3,0,0,'Données projet'!$E$22+1,1))-AVERAGE(OFFSET($H$3,0,0,'Données projet'!$E$22+1,1))</f>
        <v>353.35574633294613</v>
      </c>
      <c r="JL39" s="59">
        <f t="shared" si="93"/>
        <v>170.36796666474726</v>
      </c>
      <c r="JM39" s="15">
        <f>IF(ISNA(VLOOKUP($A39,'Données projet'!$A$356:$I$376,3,0)),0,VLOOKUP($A39,'Données projet'!$A$356:$I$376,3,0))</f>
        <v>0</v>
      </c>
      <c r="JN39" s="15">
        <f>IF(ISNA(VLOOKUP($A39,'Données projet'!$A$356:$I$376,4,0)),0,VLOOKUP($A39,'Données projet'!$A$356:$I$376,4,0))</f>
        <v>0</v>
      </c>
      <c r="JO39" s="16">
        <f>IF(ISNA(VLOOKUP($A39,'Données projet'!$A$356:$I$376,5,0)),0%,VLOOKUP($A39,'Données projet'!$A$356:$I$376,5,0)*VLOOKUP('Données projet'!$B$21,Paramètres!$A$1:$I$89,7,0))</f>
        <v>0</v>
      </c>
      <c r="JP39" s="16">
        <f>IF(ISNA(VLOOKUP($A39,'Données projet'!$A$356:$I$376,6,0)),0%,VLOOKUP($A39,'Données projet'!$A$356:$I$376,6,0)*VLOOKUP('Données projet'!$B$21,Paramètres!$A$1:$I$89,7,0))</f>
        <v>0</v>
      </c>
      <c r="JQ39" s="16">
        <f>IF(ISNA(VLOOKUP($A39,'Données projet'!$A$356:$I$376,7,0)),0%,VLOOKUP($A39,'Données projet'!$A$356:$I$376,7,0))</f>
        <v>0</v>
      </c>
      <c r="JR39" s="21">
        <f>EXP(-LN(2)/35)*JR38+(1-EXP(-LN(2)/35))/(LN(2)/35)*JN39*JO39*VLOOKUP('Données projet'!$B$21,Paramètres!$A$1:$I$89,3,0)*0.475*44/12</f>
        <v>0</v>
      </c>
      <c r="JS39" s="21">
        <f>EXP(-LN(2)/25)*JS38+(1-EXP(-LN(2)/25))/(LN(2)/25)*Calculateur!JN39*Calculateur!JP39*VLOOKUP('Données projet'!$B$21,Paramètres!$A$1:$I$89,3,0)*0.475*44/12</f>
        <v>1.0460368430513669</v>
      </c>
      <c r="JT39" s="21">
        <f>EXP(-LN(2)/2)*JT38+(1-EXP(-LN(2)/2))/(LN(2)/2)*JN39*JQ39*VLOOKUP('Données projet'!$B$21,Paramètres!$A$1:$I$89,3,0)*0.475*44/12</f>
        <v>5.3498373995768791</v>
      </c>
      <c r="JU39" s="18">
        <f t="shared" si="39"/>
        <v>6.3958742426282456</v>
      </c>
      <c r="JV39" s="74">
        <f>('Scénario référence'!$F$8+'Scénario référence'!$F$9+'Scénario référence'!$B$17+'Scénario référence'!$B$9+'Scénario référence'!$B$10)*70+IF((45+25*(1-EXP(-0.0175*$A39)))&lt;70,'Scénario référence'!$B$16*(45+25*(1-EXP(-0.0175*$A39))),70*'Scénario référence'!$B$16)+IF((32+38*(1-EXP(-0.0175*$A39)))&lt;70,'Scénario référence'!$B$18*(32+38*(1-EXP(-0.0175*$A39))),70*'Scénario référence'!$B$18)</f>
        <v>70</v>
      </c>
      <c r="JW39" s="12">
        <f>IF($A39&gt;30,10,('Scénario référence'!$B$16+'Scénario référence'!$B$17+'Scénario référence'!$B$18+'Scénario référence'!$B$9+'Scénario référence'!$B$10)*$A39*10/30+('Scénario référence'!$F$8+'Scénario référence'!$F$9)*10)</f>
        <v>10</v>
      </c>
      <c r="JX39" s="12" t="e">
        <f>VLOOKUP($A39,'Données projet'!$A$382:$I$402,2,0)</f>
        <v>#N/A</v>
      </c>
      <c r="JY39" s="12" t="e">
        <f>VLOOKUP($A39,'Données projet'!$A$382:$I$402,9,0)</f>
        <v>#N/A</v>
      </c>
      <c r="JZ39" s="12">
        <f t="array" ref="JZ39">INDEX(JY:JY,MIN(IF(ISNUMBER(JY39:JY235),ROW(JY39:JY235),"")))</f>
        <v>9.3141025641025621</v>
      </c>
      <c r="KA39" s="12">
        <f>IF('Données projet'!$A$382&gt;35,KA38+JZ39-KI38,IF($A39&lt;'Données projet'!$A$382,$CQ$205^$A39,IF($A39='Données projet'!$A$382,'Données projet'!$B$382,KA38+JZ39-KI38)))</f>
        <v>110.8782051282051</v>
      </c>
      <c r="KB39" s="17">
        <f>KA39*VLOOKUP('Données projet'!$B$22,Paramètres!$A$1:$I$89,3,0)*VLOOKUP('Données projet'!$B$22,Paramètres!$A$1:$I$89,5,0)</f>
        <v>74.377099999999984</v>
      </c>
      <c r="KC39" s="13">
        <f t="shared" si="94"/>
        <v>20.756579070588817</v>
      </c>
      <c r="KD39" s="20">
        <f t="shared" si="95"/>
        <v>165.69115771460881</v>
      </c>
      <c r="KE39" s="59">
        <f t="shared" si="96"/>
        <v>459.02449104794209</v>
      </c>
      <c r="KF39" s="59">
        <f ca="1">AVERAGE(OFFSET($KE$3,0,0,'Données projet'!$E$22+1,1))-AVERAGE(OFFSET($H$3,0,0,'Données projet'!$E$22+1,1))</f>
        <v>193.91714772848269</v>
      </c>
      <c r="KG39" s="59">
        <f t="shared" si="97"/>
        <v>159.20429420478047</v>
      </c>
      <c r="KH39" s="15">
        <f>IF(ISNA(VLOOKUP($A39,'Données projet'!$A$382:$I$402,3,0)),0,VLOOKUP($A39,'Données projet'!$A$382:$I$402,3,0))</f>
        <v>0</v>
      </c>
      <c r="KI39" s="15">
        <f>IF(ISNA(VLOOKUP($A39,'Données projet'!$A$382:$I$402,4,0)),0,VLOOKUP($A39,'Données projet'!$A$382:$I$402,4,0))</f>
        <v>0</v>
      </c>
      <c r="KJ39" s="16">
        <f>IF(ISNA(VLOOKUP($A39,'Données projet'!$A$382:$I$402,5,0)),0%,VLOOKUP($A39,'Données projet'!$A$382:$I$402,5,0)*VLOOKUP('Données projet'!$B$22,Paramètres!$A$1:$I$89,7,0))</f>
        <v>0</v>
      </c>
      <c r="KK39" s="16">
        <f>IF(ISNA(VLOOKUP($A39,'Données projet'!$A$382:$I$402,6,0)),0%,VLOOKUP($A39,'Données projet'!$A$382:$I$402,6,0)*VLOOKUP('Données projet'!$B$22,Paramètres!$A$1:$I$89,7,0))</f>
        <v>0</v>
      </c>
      <c r="KL39" s="16">
        <f>IF(ISNA(VLOOKUP($A39,'Données projet'!$A$382:$I$402,7,0)),0%,VLOOKUP($A39,'Données projet'!$A$382:$I$402,7,0))</f>
        <v>0</v>
      </c>
      <c r="KM39" s="21">
        <f>EXP(-LN(2)/35)*KM38+(1-EXP(-LN(2)/35))/(LN(2)/35)*KI39*KJ39*VLOOKUP('Données projet'!$B$22,Paramètres!$A$1:$I$89,3,0)*0.475*44/12</f>
        <v>0</v>
      </c>
      <c r="KN39" s="21">
        <f>EXP(-LN(2)/25)*KN38+(1-EXP(-LN(2)/25))/(LN(2)/25)*Calculateur!KI39*Calculateur!KK39*VLOOKUP('Données projet'!$B$22,Paramètres!$A$1:$I$89,3,0)*0.475*44/12</f>
        <v>0</v>
      </c>
      <c r="KO39" s="21">
        <f>EXP(-LN(2)/2)*KO38+(1-EXP(-LN(2)/2))/(LN(2)/2)*KI39*KL39*VLOOKUP('Données projet'!$B$22,Paramètres!$A$1:$I$89,3,0)*0.475*44/12</f>
        <v>0</v>
      </c>
      <c r="KP39" s="22">
        <f t="shared" si="98"/>
        <v>0</v>
      </c>
      <c r="KQ39" s="74">
        <f>('Scénario référence'!$F$8+'Scénario référence'!$F$9+'Scénario référence'!$B$17+'Scénario référence'!$B$9+'Scénario référence'!$B$10)*70+IF((45+25*(1-EXP(-0.0175*$A39)))&lt;70,'Scénario référence'!$B$16*(45+25*(1-EXP(-0.0175*$A39))),70*'Scénario référence'!$B$16)+IF((32+38*(1-EXP(-0.0175*$A39)))&lt;70,'Scénario référence'!$B$18*(32+38*(1-EXP(-0.0175*$A39))),70*'Scénario référence'!$B$18)</f>
        <v>70</v>
      </c>
      <c r="KR39" s="12">
        <f>IF($A39&gt;30,10,('Scénario référence'!$B$16+'Scénario référence'!$B$17+'Scénario référence'!$B$18+'Scénario référence'!$B$9+'Scénario référence'!$B$10)*$A39*10/30+('Scénario référence'!$F$8+'Scénario référence'!$F$9)*10)</f>
        <v>10</v>
      </c>
      <c r="KS39" s="12" t="e">
        <f>VLOOKUP($A39,'Données projet'!$A$408:$I$428,2,0)</f>
        <v>#N/A</v>
      </c>
      <c r="KT39" s="12" t="e">
        <f>VLOOKUP($A39,'Données projet'!$A$408:$I$428,9,0)</f>
        <v>#N/A</v>
      </c>
      <c r="KU39" s="12">
        <f t="array" ref="KU39">INDEX(KT:KT,MIN(IF(ISNUMBER(KT39:KT235),ROW(KT39:KT235),"")))</f>
        <v>9.6</v>
      </c>
      <c r="KV39" s="12">
        <f>IF('Données projet'!$A$408&gt;35,KV38+KU39-LD38,IF($A39&lt;'Données projet'!$A$408,$CQ$205^$A39,IF($A39='Données projet'!$A$408,'Données projet'!$B$408,KV38+KU39-LD38)))</f>
        <v>153.60000000000005</v>
      </c>
      <c r="KW39" s="17">
        <f>KV39*VLOOKUP('Données projet'!$B$23,Paramètres!$A$1:$I$89,3,0)*VLOOKUP('Données projet'!$B$23,Paramètres!$A$1:$I$89,5,0)</f>
        <v>134.18496000000005</v>
      </c>
      <c r="KX39" s="13">
        <f t="shared" si="99"/>
        <v>34.961590270648216</v>
      </c>
      <c r="KY39" s="14">
        <f t="shared" si="43"/>
        <v>294.59690838804573</v>
      </c>
      <c r="KZ39" s="59">
        <f t="shared" si="44"/>
        <v>587.93024172137905</v>
      </c>
      <c r="LA39" s="59">
        <f ca="1">AVERAGE(OFFSET($KZ$3,0,0,'Données projet'!$E$23+1,1))-AVERAGE(OFFSET($H$3,0,0,'Données projet'!$E$23+1,1))</f>
        <v>248.33596943633819</v>
      </c>
      <c r="LB39" s="59">
        <f t="shared" si="100"/>
        <v>242.34010522344573</v>
      </c>
      <c r="LC39" s="15">
        <f>IF(ISNA(VLOOKUP($A39,'Données projet'!$A$408:$I$428,3,0)),0,VLOOKUP($A39,'Données projet'!$A$408:$I$428,3,0))</f>
        <v>0</v>
      </c>
      <c r="LD39" s="15">
        <f>IF(ISNA(VLOOKUP($A39,'Données projet'!$A$408:$I$428,4,0)),0,VLOOKUP($A39,'Données projet'!$A$408:$I$428,4,0))</f>
        <v>0</v>
      </c>
      <c r="LE39" s="16">
        <f>IF(ISNA(VLOOKUP($A39,'Données projet'!$A$408:$I$428,5,0)),0%,VLOOKUP($A39,'Données projet'!$A$408:$I$428,5,0)*VLOOKUP('Données projet'!$B$23,Paramètres!$A$1:$I$89,7,0))</f>
        <v>0</v>
      </c>
      <c r="LF39" s="16">
        <f>IF(ISNA(VLOOKUP($A39,'Données projet'!$A$408:$I$428,6,0)),0%,VLOOKUP($A39,'Données projet'!$A$408:$I$428,6,0)*VLOOKUP('Données projet'!$B$23,Paramètres!$A$1:$I$89,7,0))</f>
        <v>0</v>
      </c>
      <c r="LG39" s="16">
        <f>IF(ISNA(VLOOKUP($A39,'Données projet'!$A$408:$I$428,7,0)),0%,VLOOKUP($A39,'Données projet'!$A$408:$I$428,7,0))</f>
        <v>0</v>
      </c>
      <c r="LH39" s="21">
        <f>EXP(-LN(2)/35)*LH38+(1-EXP(-LN(2)/35))/(LN(2)/35)*LD39*LE39*VLOOKUP('Données projet'!$B$23,Paramètres!$A$1:$I$89,3,0)*0.475*44/12</f>
        <v>2.4648993946916722</v>
      </c>
      <c r="LI39" s="21">
        <f>EXP(-LN(2)/25)*LI38+(1-EXP(-LN(2)/25))/(LN(2)/25)*Calculateur!LD39*Calculateur!LF39*VLOOKUP('Données projet'!$B$23,Paramètres!$A$1:$I$89,3,0)*0.475*44/12</f>
        <v>8.2855261977755177</v>
      </c>
      <c r="LJ39" s="21">
        <f>EXP(-LN(2)/2)*LJ38+(1-EXP(-LN(2)/2))/(LN(2)/2)*LD39*LG39*VLOOKUP('Données projet'!$B$23,Paramètres!$A$1:$I$89,3,0)*0.475*44/12</f>
        <v>0</v>
      </c>
      <c r="LK39" s="22">
        <f t="shared" si="101"/>
        <v>10.75042559246719</v>
      </c>
      <c r="LL39" s="74">
        <f>('Scénario référence'!$F$8+'Scénario référence'!$F$9+'Scénario référence'!$B$17+'Scénario référence'!$B$9+'Scénario référence'!$B$10)*70+IF((45+25*(1-EXP(-0.0175*$A39)))&lt;70,'Scénario référence'!$B$16*(45+25*(1-EXP(-0.0175*$A39))),70*'Scénario référence'!$B$16)+IF((32+38*(1-EXP(-0.0175*$A39)))&lt;70,'Scénario référence'!$B$18*(32+38*(1-EXP(-0.0175*$A39))),70*'Scénario référence'!$B$18)</f>
        <v>70</v>
      </c>
      <c r="LM39" s="12">
        <f>IF($A39&gt;30,10,('Scénario référence'!$B$16+'Scénario référence'!$B$17+'Scénario référence'!$B$18+'Scénario référence'!$B$9+'Scénario référence'!$B$10)*$A39*10/30+('Scénario référence'!$F$8+'Scénario référence'!$F$9)*10)</f>
        <v>10</v>
      </c>
      <c r="LN39" s="12" t="e">
        <f>VLOOKUP($A39,'Données projet'!$A$434:$I$454,2,0)</f>
        <v>#N/A</v>
      </c>
      <c r="LO39" s="12" t="e">
        <f>VLOOKUP($A39,'Données projet'!$A$434:$I$454,9,0)</f>
        <v>#N/A</v>
      </c>
      <c r="LP39" s="12">
        <f t="array" ref="LP39">INDEX(LO:LO,MIN(IF(ISNUMBER(LO39:LO235),ROW(LO39:LO235),"")))</f>
        <v>5.3369963369963358</v>
      </c>
      <c r="LQ39" s="12">
        <f>IF('Données projet'!$A$434&gt;35,LQ38+LP39-LY38,IF($A39&lt;'Données projet'!$A$434,$CQ$205^$A39,IF($A39='Données projet'!$A$434,'Données projet'!$B$434,LQ38+LP39-LY38)))</f>
        <v>119.72710622710623</v>
      </c>
      <c r="LR39" s="17">
        <f>LQ39*VLOOKUP('Données projet'!$B$24,Paramètres!$A$1:$I$89,3,0)*VLOOKUP('Données projet'!$B$24,Paramètres!$A$1:$I$89,5,0)</f>
        <v>121.40328571428573</v>
      </c>
      <c r="LS39" s="13">
        <f t="shared" si="102"/>
        <v>32.002070852076919</v>
      </c>
      <c r="LT39" s="14">
        <f t="shared" si="46"/>
        <v>267.18099601974831</v>
      </c>
      <c r="LU39" s="59">
        <f t="shared" si="103"/>
        <v>560.51432935308162</v>
      </c>
      <c r="LV39" s="59">
        <f ca="1">AVERAGE(OFFSET($LU$3,0,0,'Données projet'!$E$24+1,1))-AVERAGE(OFFSET($H$3,0,0,'Données projet'!$E$24+1,1))</f>
        <v>260.52627655062872</v>
      </c>
      <c r="LW39" s="59">
        <f t="shared" si="104"/>
        <v>159.20429420478047</v>
      </c>
      <c r="LX39" s="15">
        <f>IF(ISNA(VLOOKUP($A39,'Données projet'!$A$434:$I$454,3,0)),0,VLOOKUP($A39,'Données projet'!$A$434:$I$454,3,0))</f>
        <v>0</v>
      </c>
      <c r="LY39" s="15">
        <f>IF(ISNA(VLOOKUP($A39,'Données projet'!$A$434:$I$454,4,0)),0,VLOOKUP($A39,'Données projet'!$A$434:$I$454,4,0))</f>
        <v>0</v>
      </c>
      <c r="LZ39" s="16">
        <f>IF(ISNA(VLOOKUP($A39,'Données projet'!$A$434:$I$454,5,0)),0%,VLOOKUP($A39,'Données projet'!$A$434:$I$454,5,0)*VLOOKUP('Données projet'!$B$24,Paramètres!$A$1:$I$89,7,0))</f>
        <v>0</v>
      </c>
      <c r="MA39" s="16">
        <f>IF(ISNA(VLOOKUP($A39,'Données projet'!$A$434:$I$454,6,0)),0%,VLOOKUP($A39,'Données projet'!$A$434:$I$454,6,0)*VLOOKUP('Données projet'!$B$24,Paramètres!$A$1:$I$89,7,0))</f>
        <v>0</v>
      </c>
      <c r="MB39" s="16">
        <f>IF(ISNA(VLOOKUP($A39,'Données projet'!$A$434:$I$454,7,0)),0%,VLOOKUP($A39,'Données projet'!$A$434:$I$454,7,0))</f>
        <v>0</v>
      </c>
      <c r="MC39" s="21">
        <f>EXP(-LN(2)/35)*MC38+(1-EXP(-LN(2)/35))/(LN(2)/35)*LY39*LZ39*VLOOKUP('Données projet'!$B$24,Paramètres!$A$1:$I$89,3,0)*0.475*44/12</f>
        <v>0</v>
      </c>
      <c r="MD39" s="21">
        <f>EXP(-LN(2)/25)*MD38+(1-EXP(-LN(2)/25))/(LN(2)/25)*Calculateur!LY39*Calculateur!MA39*VLOOKUP('Données projet'!$B$24,Paramètres!$A$1:$I$89,3,0)*0.475*44/12</f>
        <v>0</v>
      </c>
      <c r="ME39" s="21">
        <f>EXP(-LN(2)/2)*ME38+(1-EXP(-LN(2)/2))/(LN(2)/2)*LY39*MB39*VLOOKUP('Données projet'!$B$24,Paramètres!$A$1:$I$89,3,0)*0.475*44/12</f>
        <v>0</v>
      </c>
      <c r="MF39" s="22">
        <f t="shared" si="105"/>
        <v>0</v>
      </c>
      <c r="MG39" s="74">
        <f>('Scénario référence'!$F$8+'Scénario référence'!$F$9+'Scénario référence'!$B$17+'Scénario référence'!$B$9+'Scénario référence'!$B$10)*70+IF((45+25*(1-EXP(-0.0175*$A39)))&lt;70,'Scénario référence'!$B$16*(45+25*(1-EXP(-0.0175*$A39))),70*'Scénario référence'!$B$16)+IF((32+38*(1-EXP(-0.0175*$A39)))&lt;70,'Scénario référence'!$B$18*(32+38*(1-EXP(-0.0175*$A39))),70*'Scénario référence'!$B$18)</f>
        <v>70</v>
      </c>
      <c r="MH39" s="12">
        <f>IF($A39&gt;30,10,('Scénario référence'!$B$16+'Scénario référence'!$B$17+'Scénario référence'!$B$18+'Scénario référence'!$B$9+'Scénario référence'!$B$10)*$A39*10/30+('Scénario référence'!$F$8+'Scénario référence'!$F$9)*10)</f>
        <v>10</v>
      </c>
      <c r="MI39" s="12" t="e">
        <f>VLOOKUP($A39,'Données projet'!$A$460:$I$480,2,0)</f>
        <v>#N/A</v>
      </c>
      <c r="MJ39" s="12" t="e">
        <f>VLOOKUP($A39,'Données projet'!$A$460:$I$480,9,0)</f>
        <v>#N/A</v>
      </c>
      <c r="MK39" s="12">
        <f t="array" ref="MK39">INDEX(MJ:MJ,MIN(IF(ISNUMBER(MJ39:MJ235),ROW(MJ39:MJ235),"")))</f>
        <v>0</v>
      </c>
      <c r="ML39" s="12">
        <f>IF('Données projet'!$A$460&gt;35,ML38+MK39-MT38,IF($A39&lt;'Données projet'!$A$460,$CQ$205^$A39,IF($A39='Données projet'!$A$460,'Données projet'!$B$460,ML38+MK39-MT38)))</f>
        <v>0</v>
      </c>
      <c r="MM39" s="17" t="e">
        <f>ML39*VLOOKUP('Données projet'!$B$25,Paramètres!$A$1:$I$89,3,0)*VLOOKUP('Données projet'!$B$25,Paramètres!$A$1:$I$89,5,0)</f>
        <v>#N/A</v>
      </c>
      <c r="MN39" s="13" t="e">
        <f t="shared" si="106"/>
        <v>#N/A</v>
      </c>
      <c r="MO39" s="14" t="e">
        <f t="shared" si="49"/>
        <v>#N/A</v>
      </c>
      <c r="MP39" s="59" t="e">
        <f t="shared" si="50"/>
        <v>#N/A</v>
      </c>
      <c r="MQ39" s="20" t="e">
        <f ca="1">AVERAGE(OFFSET($MP$3,0,0,'Données projet'!$E$25+1,1))-AVERAGE(OFFSET($H$3,0,0,'Données projet'!$E$25+1,1))</f>
        <v>#N/A</v>
      </c>
      <c r="MR39" s="59" t="e">
        <f t="shared" si="107"/>
        <v>#N/A</v>
      </c>
      <c r="MS39" s="15">
        <f>IF(ISNA(VLOOKUP($A39,'Données projet'!$A$460:$I$480,3,0)),0,VLOOKUP($A39,'Données projet'!$A$460:$I$480,3,0))</f>
        <v>0</v>
      </c>
      <c r="MT39" s="15">
        <f>IF(ISNA(VLOOKUP($A39,'Données projet'!$A$460:$I$480,4,0)),0,VLOOKUP($A39,'Données projet'!$A$460:$I$480,4,0))</f>
        <v>0</v>
      </c>
      <c r="MU39" s="16">
        <f>IF(ISNA(VLOOKUP($A39,'Données projet'!$A$460:$I$480,5,0)),0%,VLOOKUP($A39,'Données projet'!$A$460:$I$480,5,0)*VLOOKUP('Données projet'!$B$25,Paramètres!$A$1:$I$89,7,0))</f>
        <v>0</v>
      </c>
      <c r="MV39" s="16">
        <f>IF(ISNA(VLOOKUP($A39,'Données projet'!$A$460:$I$480,6,0)),0%,VLOOKUP($A39,'Données projet'!$A$460:$I$480,6,0)*VLOOKUP('Données projet'!$B$25,Paramètres!$A$1:$I$89,7,0))</f>
        <v>0</v>
      </c>
      <c r="MW39" s="16">
        <f>IF(ISNA(VLOOKUP($A39,'Données projet'!$A$460:$I$480,7,0)),0%,VLOOKUP($A39,'Données projet'!$A$460:$I$480,7,0))</f>
        <v>0</v>
      </c>
      <c r="MX39" s="21" t="e">
        <f>EXP(-LN(2)/35)*MX38+(1-EXP(-LN(2)/35))/(LN(2)/35)*MT39*MU39*VLOOKUP('Données projet'!$B$25,Paramètres!$A$1:$I$89,3,0)*0.475*44/12</f>
        <v>#N/A</v>
      </c>
      <c r="MY39" s="21" t="e">
        <f>EXP(-LN(2)/25)*MY38+(1-EXP(-LN(2)/25))/(LN(2)/25)*Calculateur!MT39*Calculateur!MV39*VLOOKUP('Données projet'!$B$25,Paramètres!$A$1:$I$89,3,0)*0.475*44/12</f>
        <v>#N/A</v>
      </c>
      <c r="MZ39" s="21" t="e">
        <f>EXP(-LN(2)/2)*MZ38+(1-EXP(-LN(2)/2))/(LN(2)/2)*MT39*MW39*VLOOKUP('Données projet'!$B$25,Paramètres!$A$1:$I$89,3,0)*0.475*44/12</f>
        <v>#N/A</v>
      </c>
      <c r="NA39" s="22" t="e">
        <f t="shared" si="108"/>
        <v>#N/A</v>
      </c>
      <c r="NB39" s="74">
        <f>('Scénario référence'!$F$8+'Scénario référence'!$F$9+'Scénario référence'!$B$17+'Scénario référence'!$B$9+'Scénario référence'!$B$10)*70+IF((45+25*(1-EXP(-0.0175*$A39)))&lt;70,'Scénario référence'!$B$16*(45+25*(1-EXP(-0.0175*$A39))),70*'Scénario référence'!$B$16)+IF((32+38*(1-EXP(-0.0175*$A39)))&lt;70,'Scénario référence'!$B$18*(32+38*(1-EXP(-0.0175*$A39))),70*'Scénario référence'!$B$18)</f>
        <v>70</v>
      </c>
      <c r="NC39" s="12">
        <f>IF($A39&gt;30,10,('Scénario référence'!$B$16+'Scénario référence'!$B$17+'Scénario référence'!$B$18+'Scénario référence'!$B$9+'Scénario référence'!$B$10)*$A39*10/30+('Scénario référence'!$F$8+'Scénario référence'!$F$9)*10)</f>
        <v>10</v>
      </c>
      <c r="ND39" s="12" t="e">
        <f>VLOOKUP($A39,'Données projet'!$A$486:$I$506,2,0)</f>
        <v>#N/A</v>
      </c>
      <c r="NE39" s="12" t="e">
        <f>VLOOKUP($A39,'Données projet'!$A$486:$I$506,9,0)</f>
        <v>#N/A</v>
      </c>
      <c r="NF39" s="12">
        <f t="array" ref="NF39">INDEX(NE:NE,MIN(IF(ISNUMBER(NE39:NE235),ROW(NE39:NE235),"")))</f>
        <v>0</v>
      </c>
      <c r="NG39" s="12">
        <f>IF('Données projet'!$A$486&gt;35,NG38+NF39-NO38,IF($A39&lt;'Données projet'!$A$486,$CQ$205^$A39,IF($A39='Données projet'!$A$486,'Données projet'!$B$486,NG38+NF39-NO38)))</f>
        <v>0</v>
      </c>
      <c r="NH39" s="17" t="e">
        <f>NG39*VLOOKUP('Données projet'!$B$26,Paramètres!$A$1:$I$89,3,0)*VLOOKUP('Données projet'!$B$26,Paramètres!$A$1:$I$89,5,0)</f>
        <v>#N/A</v>
      </c>
      <c r="NI39" s="13" t="e">
        <f t="shared" si="109"/>
        <v>#N/A</v>
      </c>
      <c r="NJ39" s="14" t="e">
        <f t="shared" si="52"/>
        <v>#N/A</v>
      </c>
      <c r="NK39" s="59" t="e">
        <f t="shared" si="53"/>
        <v>#N/A</v>
      </c>
      <c r="NL39" s="20" t="e">
        <f ca="1">AVERAGE(OFFSET($NK$3,0,0,'Données projet'!$E$26+1,1))-AVERAGE(OFFSET($H$3,0,0,'Données projet'!$E$26+1,1))</f>
        <v>#N/A</v>
      </c>
      <c r="NM39" s="59" t="e">
        <f t="shared" si="110"/>
        <v>#N/A</v>
      </c>
      <c r="NN39" s="15">
        <f>IF(ISNA(VLOOKUP($A39,'Données projet'!$A$486:$I$506,3,0)),0,VLOOKUP($A39,'Données projet'!$A$486:$I$506,3,0))</f>
        <v>0</v>
      </c>
      <c r="NO39" s="15">
        <f>IF(ISNA(VLOOKUP($A39,'Données projet'!$A$486:$I$506,4,0)),0,VLOOKUP($A39,'Données projet'!$A$486:$I$506,4,0))</f>
        <v>0</v>
      </c>
      <c r="NP39" s="16">
        <f>IF(ISNA(VLOOKUP($A39,'Données projet'!$A$486:$I$506,5,0)),0%,VLOOKUP($A39,'Données projet'!$A$486:$I$506,5,0)*VLOOKUP('Données projet'!$B$26,Paramètres!$A$1:$I$89,7,0))</f>
        <v>0</v>
      </c>
      <c r="NQ39" s="16">
        <f>IF(ISNA(VLOOKUP($A39,'Données projet'!$A$486:$I$506,6,0)),0%,VLOOKUP($A39,'Données projet'!$A$486:$I$506,6,0)*VLOOKUP('Données projet'!$B$26,Paramètres!$A$1:$I$89,7,0))</f>
        <v>0</v>
      </c>
      <c r="NR39" s="16">
        <f>IF(ISNA(VLOOKUP($A39,'Données projet'!$A$486:$I$506,7,0)),0%,VLOOKUP($A39,'Données projet'!$A$486:$I$506,7,0))</f>
        <v>0</v>
      </c>
      <c r="NS39" s="21" t="e">
        <f>EXP(-LN(2)/35)*NS38+(1-EXP(-LN(2)/35))/(LN(2)/35)*NO39*NP39*VLOOKUP('Données projet'!$B$26,Paramètres!$A$1:$I$89,3,0)*0.475*44/12</f>
        <v>#N/A</v>
      </c>
      <c r="NT39" s="21" t="e">
        <f>EXP(-LN(2)/25)*NT38+(1-EXP(-LN(2)/25))/(LN(2)/25)*Calculateur!NO39*Calculateur!NQ39*VLOOKUP('Données projet'!$B$26,Paramètres!$A$1:$I$89,3,0)*0.475*44/12</f>
        <v>#N/A</v>
      </c>
      <c r="NU39" s="21" t="e">
        <f>EXP(-LN(2)/2)*NU38+(1-EXP(-LN(2)/2))/(LN(2)/2)*NO39*NR39*VLOOKUP('Données projet'!$B$26,Paramètres!$A$1:$I$89,3,0)*0.475*44/12</f>
        <v>#N/A</v>
      </c>
      <c r="NV39" s="22" t="e">
        <f t="shared" si="111"/>
        <v>#N/A</v>
      </c>
      <c r="NW39" s="74">
        <f>('Scénario référence'!$F$8+'Scénario référence'!$F$9+'Scénario référence'!$B$17+'Scénario référence'!$B$9+'Scénario référence'!$B$10)*70+IF((45+25*(1-EXP(-0.0175*$A39)))&lt;70,'Scénario référence'!$B$16*(45+25*(1-EXP(-0.0175*$A39))),70*'Scénario référence'!$B$16)+IF((32+38*(1-EXP(-0.0175*$A39)))&lt;70,'Scénario référence'!$B$18*(32+38*(1-EXP(-0.0175*$A39))),70*'Scénario référence'!$B$18)</f>
        <v>70</v>
      </c>
      <c r="NX39" s="12">
        <f>IF($A39&gt;30,10,('Scénario référence'!$B$16+'Scénario référence'!$B$17+'Scénario référence'!$B$18+'Scénario référence'!$B$9+'Scénario référence'!$B$10)*$A39*10/30+('Scénario référence'!$F$8+'Scénario référence'!$F$9)*10)</f>
        <v>10</v>
      </c>
      <c r="NY39" s="12" t="e">
        <f>VLOOKUP($A39,'Données projet'!$A$512:$I$532,2,0)</f>
        <v>#N/A</v>
      </c>
      <c r="NZ39" s="12" t="e">
        <f>VLOOKUP($A39,'Données projet'!$A$512:$I$532,9,0)</f>
        <v>#N/A</v>
      </c>
      <c r="OA39" s="12">
        <f t="array" ref="OA39">INDEX(NZ:NZ,MIN(IF(ISNUMBER(NZ39:NZ235),ROW(NZ39:NZ235),"")))</f>
        <v>0</v>
      </c>
      <c r="OB39" s="12">
        <f>IF('Données projet'!$A$512&gt;35,OB38+OA39-OJ38,IF($A39&lt;'Données projet'!$A$512,$CQ$205^$A39,IF($A39='Données projet'!$A$512,'Données projet'!$B$512,OB38+OA39-OJ38)))</f>
        <v>0</v>
      </c>
      <c r="OC39" s="17" t="e">
        <f>OB39*VLOOKUP('Données projet'!$B$27,Paramètres!$A$1:$I$89,3,0)*VLOOKUP('Données projet'!$B$27,Paramètres!$A$1:$I$89,5,0)</f>
        <v>#N/A</v>
      </c>
      <c r="OD39" s="13" t="e">
        <f t="shared" si="112"/>
        <v>#N/A</v>
      </c>
      <c r="OE39" s="14" t="e">
        <f t="shared" si="55"/>
        <v>#N/A</v>
      </c>
      <c r="OF39" s="59" t="e">
        <f t="shared" si="56"/>
        <v>#N/A</v>
      </c>
      <c r="OG39" s="20" t="e">
        <f ca="1">AVERAGE(OFFSET($OF$3,0,0,'Données projet'!$E$27+1,1))-AVERAGE(OFFSET($H$3,0,0,'Données projet'!$E$27+1,1))</f>
        <v>#N/A</v>
      </c>
      <c r="OH39" s="59" t="e">
        <f t="shared" si="113"/>
        <v>#N/A</v>
      </c>
      <c r="OI39" s="15">
        <f>IF(ISNA(VLOOKUP($A39,'Données projet'!$A$512:$I$532,3,0)),0,VLOOKUP($A39,'Données projet'!$A$512:$I$532,3,0))</f>
        <v>0</v>
      </c>
      <c r="OJ39" s="15">
        <f>IF(ISNA(VLOOKUP($A39,'Données projet'!$A$512:$I$532,4,0)),0,VLOOKUP($A39,'Données projet'!$A$512:$I$532,4,0))</f>
        <v>0</v>
      </c>
      <c r="OK39" s="16">
        <f>IF(ISNA(VLOOKUP($A39,'Données projet'!$A$512:$I$532,5,0)),0%,VLOOKUP($A39,'Données projet'!$A$512:$I$532,5,0)*VLOOKUP('Données projet'!$B$27,Paramètres!$A$1:$I$89,7,0))</f>
        <v>0</v>
      </c>
      <c r="OL39" s="16">
        <f>IF(ISNA(VLOOKUP($A39,'Données projet'!$A$512:$I$532,6,0)),0%,VLOOKUP($A39,'Données projet'!$A$512:$I$532,6,0)*VLOOKUP('Données projet'!$B$27,Paramètres!$A$1:$I$89,7,0))</f>
        <v>0</v>
      </c>
      <c r="OM39" s="16">
        <f>IF(ISNA(VLOOKUP($A39,'Données projet'!$A$512:$I$532,7,0)),0%,VLOOKUP($A39,'Données projet'!$A$512:$I$532,7,0))</f>
        <v>0</v>
      </c>
      <c r="ON39" s="21" t="e">
        <f>EXP(-LN(2)/35)*ON38+(1-EXP(-LN(2)/35))/(LN(2)/35)*OJ39*OK39*VLOOKUP('Données projet'!$B$27,Paramètres!$A$1:$I$89,3,0)*0.475*44/12</f>
        <v>#N/A</v>
      </c>
      <c r="OO39" s="21" t="e">
        <f>EXP(-LN(2)/25)*OO38+(1-EXP(-LN(2)/25))/(LN(2)/25)*Calculateur!OJ39*Calculateur!OL39*VLOOKUP('Données projet'!$B$27,Paramètres!$A$1:$I$89,3,0)*0.475*44/12</f>
        <v>#N/A</v>
      </c>
      <c r="OP39" s="21" t="e">
        <f>EXP(-LN(2)/2)*OP38+(1-EXP(-LN(2)/2))/(LN(2)/2)*OJ39*OM39*VLOOKUP('Données projet'!$B$27,Paramètres!$A$1:$I$89,3,0)*0.475*44/12</f>
        <v>#N/A</v>
      </c>
      <c r="OQ39" s="22" t="e">
        <f t="shared" si="114"/>
        <v>#N/A</v>
      </c>
      <c r="OR39" s="74">
        <f>('Scénario référence'!$F$8+'Scénario référence'!$F$9+'Scénario référence'!$B$17+'Scénario référence'!$B$9+'Scénario référence'!$B$10)*70+IF((45+25*(1-EXP(-0.0175*$A39)))&lt;70,'Scénario référence'!$B$16*(45+25*(1-EXP(-0.0175*$A39))),70*'Scénario référence'!$B$16)+IF((32+38*(1-EXP(-0.0175*$A39)))&lt;70,'Scénario référence'!$B$18*(32+38*(1-EXP(-0.0175*$A39))),70*'Scénario référence'!$B$18)</f>
        <v>70</v>
      </c>
      <c r="OS39" s="12">
        <f>IF($A39&gt;30,10,('Scénario référence'!$B$16+'Scénario référence'!$B$17+'Scénario référence'!$B$18+'Scénario référence'!$B$9+'Scénario référence'!$B$10)*$A39*10/30+('Scénario référence'!$F$8+'Scénario référence'!$F$9)*10)</f>
        <v>10</v>
      </c>
      <c r="OT39" s="12" t="e">
        <f>VLOOKUP($A39,'Données projet'!$A$538:$I$558,2,0)</f>
        <v>#N/A</v>
      </c>
      <c r="OU39" s="12" t="e">
        <f>VLOOKUP($A39,'Données projet'!$A$538:$I$558,9,0)</f>
        <v>#N/A</v>
      </c>
      <c r="OV39" s="12">
        <f t="array" ref="OV39">INDEX(OU:OU,MIN(IF(ISNUMBER(OU39:OU235),ROW(OU39:OU235),"")))</f>
        <v>0</v>
      </c>
      <c r="OW39" s="12">
        <f>IF('Données projet'!$A$538&gt;35,OW38+OV39-PE38,IF($A39&lt;'Données projet'!$A$538,$CQ$205^$A39,IF($A39='Données projet'!$A$538,'Données projet'!$B$538,OW38+OV39-PE38)))</f>
        <v>0</v>
      </c>
      <c r="OX39" s="17" t="e">
        <f>OW39*VLOOKUP('Données projet'!$B$28,Paramètres!$A$1:$I$89,3,0)*VLOOKUP('Données projet'!$B$28,Paramètres!$A$1:$I$89,5,0)</f>
        <v>#N/A</v>
      </c>
      <c r="OY39" s="13" t="e">
        <f t="shared" si="115"/>
        <v>#N/A</v>
      </c>
      <c r="OZ39" s="14" t="e">
        <f t="shared" si="58"/>
        <v>#N/A</v>
      </c>
      <c r="PA39" s="59" t="e">
        <f t="shared" si="59"/>
        <v>#N/A</v>
      </c>
      <c r="PB39" s="20" t="e">
        <f ca="1">AVERAGE(OFFSET($PA$3,0,0,'Données projet'!$E$28+1,1))-AVERAGE(OFFSET($H$3,0,0,'Données projet'!$E$28+1,1))</f>
        <v>#N/A</v>
      </c>
      <c r="PC39" s="59" t="e">
        <f t="shared" si="116"/>
        <v>#N/A</v>
      </c>
      <c r="PD39" s="15">
        <f>IF(ISNA(VLOOKUP($A39,'Données projet'!$A$538:$I$558,3,0)),0,VLOOKUP($A39,'Données projet'!$A$538:$I$558,3,0))</f>
        <v>0</v>
      </c>
      <c r="PE39" s="15">
        <f>IF(ISNA(VLOOKUP($A39,'Données projet'!$A$538:$I$558,4,0)),0,VLOOKUP($A39,'Données projet'!$A$538:$I$558,4,0))</f>
        <v>0</v>
      </c>
      <c r="PF39" s="16">
        <f>IF(ISNA(VLOOKUP($A39,'Données projet'!$A$538:$I$558,5,0)),0%,VLOOKUP($A39,'Données projet'!$A$538:$I$558,5,0)*VLOOKUP('Données projet'!$B$28,Paramètres!$A$1:$I$89,7,0))</f>
        <v>0</v>
      </c>
      <c r="PG39" s="16">
        <f>IF(ISNA(VLOOKUP($A39,'Données projet'!$A$538:$I$558,6,0)),0%,VLOOKUP($A39,'Données projet'!$A$538:$I$558,6,0)*VLOOKUP('Données projet'!$B$28,Paramètres!$A$1:$I$89,7,0))</f>
        <v>0</v>
      </c>
      <c r="PH39" s="16">
        <f>IF(ISNA(VLOOKUP($A39,'Données projet'!$A$538:$I$558,7,0)),0%,VLOOKUP($A39,'Données projet'!$A$538:$I$558,7,0))</f>
        <v>0</v>
      </c>
      <c r="PI39" s="21" t="e">
        <f>EXP(-LN(2)/35)*PI38+(1-EXP(-LN(2)/35))/(LN(2)/35)*PE39*PF39*VLOOKUP('Données projet'!$B$28,Paramètres!$A$1:$I$89,3,0)*0.475*44/12</f>
        <v>#N/A</v>
      </c>
      <c r="PJ39" s="21" t="e">
        <f>EXP(-LN(2)/25)*PJ38+(1-EXP(-LN(2)/25))/(LN(2)/25)*Calculateur!PE39*Calculateur!PG39*VLOOKUP('Données projet'!$B$28,Paramètres!$A$1:$I$89,3,0)*0.475*44/12</f>
        <v>#N/A</v>
      </c>
      <c r="PK39" s="21" t="e">
        <f>EXP(-LN(2)/2)*PK38+(1-EXP(-LN(2)/2))/(LN(2)/2)*PE39*PH39*VLOOKUP('Données projet'!$B$28,Paramètres!$A$1:$I$89,3,0)*0.475*44/12</f>
        <v>#N/A</v>
      </c>
      <c r="PL39" s="22" t="e">
        <f t="shared" si="117"/>
        <v>#N/A</v>
      </c>
    </row>
    <row r="40" spans="1:428" x14ac:dyDescent="0.35">
      <c r="A40" s="10">
        <f t="shared" si="6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6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projet'!$A$45:$I$65,2,0)</f>
        <v>#N/A</v>
      </c>
      <c r="L40" s="12" t="e">
        <f>VLOOKUP(A40,'Données projet'!$A$45:$I$65,9,0)</f>
        <v>#N/A</v>
      </c>
      <c r="M40" s="12">
        <f t="array" ref="M40">INDEX(L:L,MIN(IF(ISNUMBER(L40:L236),ROW(L40:L236),"")))</f>
        <v>22.419230769230751</v>
      </c>
      <c r="N40" s="13">
        <f>IF('Données projet'!$A$46&gt;35,N39+M40-V39,IF(A40&lt;'Données projet'!$A$46,$K$205^A40,IF(A40='Données projet'!$A$46,'Données projet'!$B$46,N39+M40-V39)))</f>
        <v>356.62692307692311</v>
      </c>
      <c r="O40" s="13">
        <f>N40*VLOOKUP('Données projet'!$B$9,Paramètres!$A$1:$I$89,3,0)*VLOOKUP('Données projet'!$B$9,Paramètres!$A$1:$I$89,5,0)</f>
        <v>199.35445000000001</v>
      </c>
      <c r="P40" s="13">
        <f t="shared" si="63"/>
        <v>49.60226869073324</v>
      </c>
      <c r="Q40" s="20">
        <f t="shared" si="118"/>
        <v>433.59961838636042</v>
      </c>
      <c r="R40" s="59">
        <f t="shared" si="0"/>
        <v>726.93295171969373</v>
      </c>
      <c r="S40" s="59">
        <f ca="1">AVERAGE(OFFSET($R$3,0,0,'Données projet'!$E$9+1,1))-AVERAGE(OFFSET($H$3,0,0,'Données projet'!$E$9+1,1))</f>
        <v>274.57619581652199</v>
      </c>
      <c r="T40" s="59">
        <f t="shared" si="64"/>
        <v>366.15117322598775</v>
      </c>
      <c r="U40" s="15">
        <f>IF(ISNA(VLOOKUP(A40,'Données projet'!$A$45:$I$65,3,0)),0,VLOOKUP(A40,'Données projet'!$A$45:$I$65,3,0))</f>
        <v>0</v>
      </c>
      <c r="V40" s="15">
        <f>IF(ISNA(VLOOKUP(A40,'Données projet'!$A$45:$I$65,4,0)),0,VLOOKUP(A40,'Données projet'!$A$45:$I$65,4,0))</f>
        <v>0</v>
      </c>
      <c r="W40" s="16">
        <f>IF(ISNA(VLOOKUP(A40,'Données projet'!$A$45:$I$65,5,0)),0%,VLOOKUP(A40,'Données projet'!$A$45:$I$65,5,0)*VLOOKUP('Données projet'!$B$9,Paramètres!$A$1:$I$89,7,0))</f>
        <v>0</v>
      </c>
      <c r="X40" s="16">
        <f>IF(ISNA(VLOOKUP(A40,'Données projet'!$A$45:$I$65,6,0)),0%,VLOOKUP(A40,'Données projet'!$A$45:$I$65,6,0)*VLOOKUP('Données projet'!$B$9,Paramètres!$A$1:$I$89,7,0))</f>
        <v>0</v>
      </c>
      <c r="Y40" s="16">
        <f>IF(ISNA(VLOOKUP(A40,'Données projet'!$A$45:$I$65,7,0)),0%,VLOOKUP(A40,'Données projet'!$A$45:$I$65,7,0))</f>
        <v>0</v>
      </c>
      <c r="Z40" s="21">
        <f>EXP(-LN(2)/35)*Z39+(1-EXP(-LN(2)/35))/(LN(2)/35)*V40*W40*VLOOKUP('Données projet'!$B$9,Paramètres!$A$1:$I$89,3,0)*0.475*44/12</f>
        <v>45.133449015504453</v>
      </c>
      <c r="AA40" s="21">
        <f>EXP(-LN(2)/25)*AA39+(1-EXP(-LN(2)/25))/(LN(2)/25)*Calculateur!V40*Calculateur!X40*VLOOKUP('Données projet'!$B$9,Paramètres!$A$1:$I$89,3,0)*0.475*44/12</f>
        <v>19.629541782659683</v>
      </c>
      <c r="AB40" s="21">
        <f>EXP(-LN(2)/2)*AB39+(1-EXP(-LN(2)/2))/(LN(2)/2)*V40*Y40*VLOOKUP('Données projet'!$B$9,Paramètres!$A$1:$I$89,3,0)*0.475*44/12</f>
        <v>4.6448766617369657</v>
      </c>
      <c r="AC40" s="22">
        <f t="shared" si="3"/>
        <v>69.407867459901098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projet'!$A$71:$I$91,2,0)</f>
        <v>#N/A</v>
      </c>
      <c r="AG40" s="12" t="e">
        <f>VLOOKUP(A40,'Données projet'!$A$71:$I$91,9,0)</f>
        <v>#N/A</v>
      </c>
      <c r="AH40" s="12">
        <f t="array" ref="AH40">INDEX(AG:AG,MIN(IF(ISNUMBER(AG40:AG236),ROW(AG40:AG236),"")))</f>
        <v>9.3141025641025621</v>
      </c>
      <c r="AI40" s="13">
        <f>IF('Données projet'!$A$72&gt;35,AI39+AH40-AQ39,IF(A40&lt;'Données projet'!$A$72,$AF$205^A40,IF(A40='Données projet'!$A$72,'Données projet'!$B$72,AI39+AH40-AQ39)))</f>
        <v>120.19230769230771</v>
      </c>
      <c r="AJ40" s="13">
        <f>AI40*VLOOKUP('Données projet'!$B$10,Paramètres!$A$1:$I$89,3,0)*VLOOKUP('Données projet'!$B$10,Paramètres!$A$1:$I$89,5,0)</f>
        <v>108.75000000000001</v>
      </c>
      <c r="AK40" s="13">
        <f t="shared" si="65"/>
        <v>29.036279216217448</v>
      </c>
      <c r="AL40" s="20">
        <f t="shared" si="4"/>
        <v>239.97776963491205</v>
      </c>
      <c r="AM40" s="59">
        <f t="shared" si="5"/>
        <v>533.31110296824534</v>
      </c>
      <c r="AN40" s="59">
        <f ca="1">AVERAGE(OFFSET($AM$3,0,0,'Données projet'!$E$10+1,1))-AVERAGE(OFFSET($H$3,0,0,'Données projet'!$E$10+1,1))</f>
        <v>270.87836509222456</v>
      </c>
      <c r="AO40" s="59">
        <f t="shared" si="66"/>
        <v>205.24998237949734</v>
      </c>
      <c r="AP40" s="15">
        <f>IF(ISNA(VLOOKUP(A40,'Données projet'!$A$71:$I$91,3,0)),0,VLOOKUP(A40,'Données projet'!$A$71:$I$91,3,0))</f>
        <v>0</v>
      </c>
      <c r="AQ40" s="15">
        <f>IF(ISNA(VLOOKUP(A40,'Données projet'!$A$71:$I$91,4,0)),0,VLOOKUP(A40,'Données projet'!$A$71:$I$91,4,0))</f>
        <v>0</v>
      </c>
      <c r="AR40" s="16">
        <f>IF(ISNA(VLOOKUP(A40,'Données projet'!$A$71:$I$91,5,0)),0%,VLOOKUP(A40,'Données projet'!$A$71:$I$91,5,0)*VLOOKUP('Données projet'!$B$10,Paramètres!$A$1:$I$89,7,0))</f>
        <v>0</v>
      </c>
      <c r="AS40" s="16">
        <f>IF(ISNA(VLOOKUP(A40,'Données projet'!$A$71:$I$91,6,0)),0%,VLOOKUP(A40,'Données projet'!$A$71:$I$91,6,0)*VLOOKUP('Données projet'!$B$10,Paramètres!$A$1:$I$89,7,0))</f>
        <v>0</v>
      </c>
      <c r="AT40" s="16">
        <f>IF(ISNA(VLOOKUP(A40,'Données projet'!$A$71:$I$91,7,0)),0%,VLOOKUP(A40,'Données projet'!$A$71:$I$91,7,0))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projet'!$A$97:$I$117,2,0)</f>
        <v>#N/A</v>
      </c>
      <c r="BB40" s="12" t="e">
        <f>VLOOKUP(A40,'Données projet'!$A$97:$I$117,9,0)</f>
        <v>#N/A</v>
      </c>
      <c r="BC40" s="12">
        <f t="array" ref="BC40">INDEX(BB:BB,MIN(IF(ISNUMBER(BB40:BB236),ROW(BB40:BB236),"")))</f>
        <v>22.419230769230751</v>
      </c>
      <c r="BD40" s="12">
        <f>IF('Données projet'!$A$98&gt;35,BD39+BC40-BL39,IF(A40&lt;'Données projet'!$A$98,$BA$205^A40,IF(A40='Données projet'!$A$98,'Données projet'!$B$98,BD39+BC40-BL39)))</f>
        <v>356.62692307692311</v>
      </c>
      <c r="BE40" s="13">
        <f>BD40*VLOOKUP('Données projet'!$B$11,Paramètres!$A$1:$I$89,3,0)*VLOOKUP('Données projet'!$B$11,Paramètres!$A$1:$I$89,5,0)</f>
        <v>157.62910000000002</v>
      </c>
      <c r="BF40" s="13">
        <f t="shared" si="67"/>
        <v>40.307288542799583</v>
      </c>
      <c r="BG40" s="20">
        <f t="shared" si="7"/>
        <v>344.73921004537596</v>
      </c>
      <c r="BH40" s="59">
        <f t="shared" si="8"/>
        <v>638.07254337870927</v>
      </c>
      <c r="BI40" s="59">
        <f ca="1">AVERAGE(OFFSET($BH$3,0,0,'Données projet'!$E$11+1,1))-AVERAGE(OFFSET($H$3,0,0,'Données projet'!$E$11+1,1))</f>
        <v>211.31057120485542</v>
      </c>
      <c r="BJ40" s="59">
        <f t="shared" si="68"/>
        <v>283.33292006714777</v>
      </c>
      <c r="BK40" s="15">
        <f>IF(ISNA(VLOOKUP(A40,'Données projet'!$A$97:$I$117,3,0)),0,VLOOKUP(A40,'Données projet'!$A$97:$I$117,3,0))</f>
        <v>0</v>
      </c>
      <c r="BL40" s="15">
        <f>IF(ISNA(VLOOKUP(A40,'Données projet'!$A$97:$I$117,4,0)),0,VLOOKUP(A40,'Données projet'!$A$97:$I$117,4,0))</f>
        <v>0</v>
      </c>
      <c r="BM40" s="16">
        <f>IF(ISNA(VLOOKUP(A40,'Données projet'!$A$97:$I$117,5,0)),0%,VLOOKUP(A40,'Données projet'!$A$97:$I$117,5,0)*VLOOKUP('Données projet'!$B$11,Paramètres!$A$1:$I$89,7,0))</f>
        <v>0</v>
      </c>
      <c r="BN40" s="16">
        <f>IF(ISNA(VLOOKUP(A40,'Données projet'!$A$97:$I$117,6,0)),0%,VLOOKUP(A40,'Données projet'!$A$97:$I$117,6,0)*VLOOKUP('Données projet'!$B$11,Paramètres!$A$1:$I$89,7,0))</f>
        <v>0</v>
      </c>
      <c r="BO40" s="16">
        <f>IF(ISNA(VLOOKUP(A40,'Données projet'!$A$97:$I$117,7,0)),0%,VLOOKUP(A40,'Données projet'!$A$97:$I$117,7,0))</f>
        <v>0</v>
      </c>
      <c r="BP40" s="21">
        <f>EXP(-LN(2)/35)*BP39+(1-EXP(-LN(2)/35))/(LN(2)/35)*BL40*BM40*VLOOKUP('Données projet'!$B$11,Paramètres!$A$1:$I$89,3,0)*0.475*44/12</f>
        <v>35.686913175050023</v>
      </c>
      <c r="BQ40" s="21">
        <f>EXP(-LN(2)/25)*BQ39+(1-EXP(-LN(2)/25))/(LN(2)/25)*Calculateur!BL40*Calculateur!BN40*VLOOKUP('Données projet'!$B$11,Paramètres!$A$1:$I$89,3,0)*0.475*44/12</f>
        <v>15.521033037451843</v>
      </c>
      <c r="BR40" s="21">
        <f>EXP(-LN(2)/2)*BR39+(1-EXP(-LN(2)/2))/(LN(2)/2)*BL40*BO40*VLOOKUP('Données projet'!$B$11,Paramètres!$A$1:$I$89,3,0)*0.475*44/12</f>
        <v>3.6726931743966711</v>
      </c>
      <c r="BS40" s="22">
        <f t="shared" si="9"/>
        <v>54.880639386898537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projet'!$A$123:$I$143,2,0)</f>
        <v>#N/A</v>
      </c>
      <c r="BW40" s="12" t="e">
        <f>VLOOKUP(A40,'Données projet'!$A$123:$I$143,9,0)</f>
        <v>#N/A</v>
      </c>
      <c r="BX40" s="12">
        <f t="array" ref="BX40">INDEX(BW:BW,MIN(IF(ISNUMBER(BW40:BW236),ROW(BW40:BW236),"")))</f>
        <v>8.8000000000000007</v>
      </c>
      <c r="BY40" s="12">
        <f>IF('Données projet'!$A$124&gt;35,BY39+BX40-CG39,IF(A40&lt;'Données projet'!$A$124,$BV$205^A40,IF(A40='Données projet'!$A$124,'Données projet'!$B$124,BY39+BX40-CG39)))</f>
        <v>158.6</v>
      </c>
      <c r="BZ40" s="13">
        <f>BY40*VLOOKUP('Données projet'!$B$12,Paramètres!$A$1:$I$89,3,0)*VLOOKUP('Données projet'!$B$12,Paramètres!$A$1:$I$89,5,0)</f>
        <v>165.76872</v>
      </c>
      <c r="CA40" s="13">
        <f t="shared" si="69"/>
        <v>42.140971955776095</v>
      </c>
      <c r="CB40" s="20">
        <f t="shared" si="10"/>
        <v>362.10938015631001</v>
      </c>
      <c r="CC40" s="59">
        <f t="shared" si="11"/>
        <v>655.44271348964332</v>
      </c>
      <c r="CD40" s="59">
        <f ca="1">AVERAGE(OFFSET($CC$3,0,0,'Données projet'!$E$12+1,1))-AVERAGE(OFFSET($H$3,0,0,'Données projet'!$E$12+1,1))</f>
        <v>322.93502595881938</v>
      </c>
      <c r="CE40" s="59">
        <f t="shared" si="70"/>
        <v>302.67072119588164</v>
      </c>
      <c r="CF40" s="15">
        <f>IF(ISNA(VLOOKUP(A40,'Données projet'!$A$123:$I$143,3,0)),0,VLOOKUP(A40,'Données projet'!$A$123:$I$143,3,0))</f>
        <v>0</v>
      </c>
      <c r="CG40" s="15">
        <f>IF(ISNA(VLOOKUP(A40,'Données projet'!$A$123:$I$143,4,0)),0,VLOOKUP(A40,'Données projet'!$A$123:$I$143,4,0))</f>
        <v>0</v>
      </c>
      <c r="CH40" s="16">
        <f>IF(ISNA(VLOOKUP(A40,'Données projet'!$A$123:$I$143,5,0)),0%,VLOOKUP(A40,'Données projet'!$A$123:$I$143,5,0)*VLOOKUP('Données projet'!$B$12,Paramètres!$A$1:$I$89,7,0))</f>
        <v>0</v>
      </c>
      <c r="CI40" s="16">
        <f>IF(ISNA(VLOOKUP(A40,'Données projet'!$A$123:$I$143,6,0)),0%,VLOOKUP(A40,'Données projet'!$A$123:$I$143,6,0)*VLOOKUP('Données projet'!$B$12,Paramètres!$A$1:$I$89,7,0))</f>
        <v>0</v>
      </c>
      <c r="CJ40" s="16">
        <f>IF(ISNA(VLOOKUP(A40,'Données projet'!$A$123:$I$143,7,0)),0%,VLOOKUP(A40,'Données projet'!$A$123:$I$143,7,0))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6.3205224423767774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6.3205224423767774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projet'!$A$149:$I$169,2,0)</f>
        <v>#N/A</v>
      </c>
      <c r="CR40" s="12" t="e">
        <f>VLOOKUP(A40,'Données projet'!$A$149:$I$169,9,0)</f>
        <v>#N/A</v>
      </c>
      <c r="CS40" s="12">
        <f t="array" ref="CS40">INDEX(CR:CR,MIN(IF(ISNUMBER(CR40:CR236),ROW(CR40:CR236),"")))</f>
        <v>5.3369963369963358</v>
      </c>
      <c r="CT40" s="12">
        <f>IF('Données projet'!$A$150&gt;35,CT39+CS40-DB39,IF(A40&lt;'Données projet'!$A$150,$CQ$205^A40,IF(A40='Données projet'!$A$150,'Données projet'!$B$150,CT39+CS40-DB39)))</f>
        <v>125.06410256410255</v>
      </c>
      <c r="CU40" s="17">
        <f>CT40*VLOOKUP('Données projet'!$B$13,Paramètres!$A$1:$I$89,3,0)*VLOOKUP('Données projet'!$B$13,Paramètres!$A$1:$I$89,5,0)</f>
        <v>126.81499999999998</v>
      </c>
      <c r="CV40" s="13">
        <f t="shared" si="71"/>
        <v>33.259340247246584</v>
      </c>
      <c r="CW40" s="20">
        <f t="shared" si="13"/>
        <v>278.79614259728777</v>
      </c>
      <c r="CX40" s="59">
        <f t="shared" si="14"/>
        <v>572.12947593062108</v>
      </c>
      <c r="CY40" s="59">
        <f ca="1">AVERAGE(OFFSET($CX$3,0,0,'Données projet'!$E$13+1,1))-AVERAGE(OFFSET($H$3,0,0,'Données projet'!$E$13+1,1))</f>
        <v>250.31277422753283</v>
      </c>
      <c r="CZ40" s="59">
        <f t="shared" si="72"/>
        <v>159.20429420478047</v>
      </c>
      <c r="DA40" s="15">
        <f>IF(ISNA(VLOOKUP(A40,'Données projet'!$A$149:$I$169,3,0)),0,VLOOKUP(A40,'Données projet'!$A$149:$I$169,3,0))</f>
        <v>0</v>
      </c>
      <c r="DB40" s="15">
        <f>IF(ISNA(VLOOKUP(A40,'Données projet'!$A$149:$I$169,4,0)),0,VLOOKUP(A40,'Données projet'!$A$149:$I$169,4,0))</f>
        <v>0</v>
      </c>
      <c r="DC40" s="16">
        <f>IF(ISNA(VLOOKUP(A40,'Données projet'!$A$149:$I$169,5,0)),0%,VLOOKUP(A40,'Données projet'!$A$149:$I$169,5,0)*VLOOKUP('Données projet'!$B$13,Paramètres!$A$1:$I$89,7,0))</f>
        <v>0</v>
      </c>
      <c r="DD40" s="16">
        <f>IF(ISNA(VLOOKUP(A40,'Données projet'!$A$149:$I$169,6,0)),0%,VLOOKUP(A40,'Données projet'!$A$149:$I$169,6,0)*VLOOKUP('Données projet'!$B$13,Paramètres!$A$1:$I$89,7,0))</f>
        <v>0</v>
      </c>
      <c r="DE40" s="16">
        <f>IF(ISNA(VLOOKUP(A40,'Données projet'!$A$149:$I$169,7,0)),0%,VLOOKUP(A40,'Données projet'!$A$149:$I$169,7,0))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projet'!$A$175:$I$195,2,0)</f>
        <v>#N/A</v>
      </c>
      <c r="DM40" s="12" t="e">
        <f>VLOOKUP(A40,'Données projet'!$A$175:$I$195,9,0)</f>
        <v>#N/A</v>
      </c>
      <c r="DN40" s="12">
        <f t="array" ref="DN40">INDEX(DM:DM,MIN(IF(ISNUMBER(DM40:DM236),ROW(DM40:DM236),"")))</f>
        <v>13.2</v>
      </c>
      <c r="DO40" s="12">
        <f>IF('Données projet'!$A$176&gt;35,DO39+DN40-DW39,IF(A40&lt;'Données projet'!$A$176,$DL$205^A40,IF(A40='Données projet'!$A$176,'Données projet'!$B$176,DO39+DN40-DW39)))</f>
        <v>223.39999999999998</v>
      </c>
      <c r="DP40" s="17">
        <f>DO40*VLOOKUP('Données projet'!$B$14,Paramètres!$A$1:$I$89,3,0)*VLOOKUP('Données projet'!$B$14,Paramètres!$A$1:$I$89,5,0)</f>
        <v>163.79687999999999</v>
      </c>
      <c r="DQ40" s="13">
        <f t="shared" si="73"/>
        <v>41.697739822198329</v>
      </c>
      <c r="DR40" s="20">
        <f t="shared" si="16"/>
        <v>357.90312952366207</v>
      </c>
      <c r="DS40" s="59">
        <f t="shared" si="17"/>
        <v>651.23646285699533</v>
      </c>
      <c r="DT40" s="59">
        <f ca="1">AVERAGE(OFFSET($DS$3,0,0,'Données projet'!$E$14+1,1))-AVERAGE(OFFSET($H$3,0,0,'Données projet'!$E$14+1,1))</f>
        <v>296.91321813251051</v>
      </c>
      <c r="DU40" s="59">
        <f t="shared" si="74"/>
        <v>291.0718079639509</v>
      </c>
      <c r="DV40" s="15">
        <f>IF(ISNA(VLOOKUP(A40,'Données projet'!$A$175:$I$195,3,0)),0,VLOOKUP(A40,'Données projet'!$A$175:$I$195,3,0))</f>
        <v>0</v>
      </c>
      <c r="DW40" s="15">
        <f>IF(ISNA(VLOOKUP(A40,'Données projet'!$A$175:$I$195,4,0)),0,VLOOKUP(A40,'Données projet'!$A$175:$I$195,4,0))</f>
        <v>0</v>
      </c>
      <c r="DX40" s="16">
        <f>IF(ISNA(VLOOKUP(A40,'Données projet'!$A$175:$I$195,5,0)),0%,VLOOKUP(A40,'Données projet'!$A$175:$I$195,5,0)*VLOOKUP('Données projet'!$B$14,Paramètres!$A$1:$I$89,7,0))</f>
        <v>0</v>
      </c>
      <c r="DY40" s="16">
        <f>IF(ISNA(VLOOKUP(A40,'Données projet'!$A$175:$I$195,6,0)),0%,VLOOKUP(A40,'Données projet'!$A$175:$I$195,6,0)*VLOOKUP('Données projet'!$B$14,Paramètres!$A$1:$I$89,7,0))</f>
        <v>0</v>
      </c>
      <c r="DZ40" s="16">
        <f>IF(ISNA(VLOOKUP(A40,'Données projet'!$A$175:$I$195,7,0)),0%,VLOOKUP(A40,'Données projet'!$A$175:$I$195,7,0))</f>
        <v>0</v>
      </c>
      <c r="EA40" s="21">
        <f>EXP(-LN(2)/35)*EA39+(1-EXP(-LN(2)/35))/(LN(2)/35)*DW40*DX40*VLOOKUP('Données projet'!$B$14,Paramètres!$A$1:$I$89,3,0)*0.475*44/12</f>
        <v>18.653968153857594</v>
      </c>
      <c r="EB40" s="21">
        <f>EXP(-LN(2)/25)*EB39+(1-EXP(-LN(2)/25))/(LN(2)/25)*Calculateur!DW40*Calculateur!DY40*VLOOKUP('Données projet'!$B$14,Paramètres!$A$1:$I$89,3,0)*0.475*44/12</f>
        <v>11.930746016707596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30.584714170565192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projet'!$A$201:$I$221,2,0)</f>
        <v>#N/A</v>
      </c>
      <c r="EH40" s="12" t="e">
        <f>VLOOKUP(A40,'Données projet'!$A$201:$I$221,9,0)</f>
        <v>#N/A</v>
      </c>
      <c r="EI40" s="12">
        <f t="array" ref="EI40">INDEX(EH:EH,MIN(IF(ISNUMBER(EH40:EH236),ROW(EH40:EH236),"")))</f>
        <v>10.407692307692306</v>
      </c>
      <c r="EJ40" s="12">
        <f>IF('Données projet'!$A$202&gt;35,EJ39+EI40-ER39,IF(A40&lt;'Données projet'!$A$202,$EG$205^A40,IF(A40='Données projet'!$A$202,'Données projet'!$B$202,EJ39+EI40-ER39)))</f>
        <v>176.13076923076923</v>
      </c>
      <c r="EK40" s="17">
        <f>EJ40*VLOOKUP('Données projet'!$B$15,Paramètres!$A$1:$I$89,3,0)*VLOOKUP('Données projet'!$B$15,Paramètres!$A$1:$I$89,5,0)</f>
        <v>82.429199999999994</v>
      </c>
      <c r="EL40" s="13">
        <f t="shared" si="75"/>
        <v>22.730098173705116</v>
      </c>
      <c r="EM40" s="20">
        <f t="shared" si="19"/>
        <v>183.15244431920306</v>
      </c>
      <c r="EN40" s="59">
        <f t="shared" si="20"/>
        <v>476.4857776525364</v>
      </c>
      <c r="EO40" s="59">
        <f ca="1">AVERAGE(OFFSET($EN$3,0,0,'Données projet'!$E$15+1,1))-AVERAGE(OFFSET($H$3,0,0,'Données projet'!$E$15+1,1))</f>
        <v>147.64256291235483</v>
      </c>
      <c r="EP40" s="59">
        <f t="shared" si="76"/>
        <v>70.859031694091868</v>
      </c>
      <c r="EQ40" s="15">
        <f>IF(ISNA(VLOOKUP(A40,'Données projet'!$A$201:$I$221,3,0)),0,VLOOKUP(A40,'Données projet'!$A$201:$I$221,3,0))</f>
        <v>0</v>
      </c>
      <c r="ER40" s="15">
        <f>IF(ISNA(VLOOKUP(A40,'Données projet'!$A$201:$I$221,4,0)),0,VLOOKUP(A40,'Données projet'!$A$201:$I$221,4,0))</f>
        <v>0</v>
      </c>
      <c r="ES40" s="16">
        <f>IF(ISNA(VLOOKUP(A40,'Données projet'!$A$201:$I$221,5,0)),0%,VLOOKUP(A40,'Données projet'!$A$201:$I$221,5,0)*VLOOKUP('Données projet'!$B$15,Paramètres!$A$1:$I$89,7,0))</f>
        <v>0</v>
      </c>
      <c r="ET40" s="16">
        <f>IF(ISNA(VLOOKUP(A40,'Données projet'!$A$201:$I$221,6,0)),0%,VLOOKUP(A40,'Données projet'!$A$201:$I$221,6,0)*VLOOKUP('Données projet'!$B$15,Paramètres!$A$1:$I$89,7,0))</f>
        <v>0</v>
      </c>
      <c r="EU40" s="16">
        <f>IF(ISNA(VLOOKUP(A40,'Données projet'!$A$201:$I$221,7,0)),0%,VLOOKUP(A40,'Données projet'!$A$201:$I$221,7,0))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projet'!$A$227:$I$247,2,0)</f>
        <v>#N/A</v>
      </c>
      <c r="FC40" s="12" t="e">
        <f>VLOOKUP(A40,'Données projet'!$A$227:$I$247,9,0)</f>
        <v>#N/A</v>
      </c>
      <c r="FD40" s="12">
        <f t="array" ref="FD40">INDEX(FC:FC,MIN(IF(ISNUMBER(FC40:FC236),ROW(FC40:FC236),"")))</f>
        <v>7</v>
      </c>
      <c r="FE40" s="12">
        <f>IF('Données projet'!$A$228&gt;35,FE39+FD40-FM39,IF(A40&lt;'Données projet'!$A$228,$FB$205^A40,IF(A40='Données projet'!$A$228,'Données projet'!$B$228,FE39+FD40-FM39)))</f>
        <v>129</v>
      </c>
      <c r="FF40" s="17">
        <f>FE40*VLOOKUP('Données projet'!$B$16,Paramètres!$A$1:$I$89,3,0)*VLOOKUP('Données projet'!$B$16,Paramètres!$A$1:$I$89,5,0)</f>
        <v>134.83080000000001</v>
      </c>
      <c r="FG40" s="13">
        <f t="shared" si="77"/>
        <v>35.110233978560416</v>
      </c>
      <c r="FH40" s="20">
        <f t="shared" si="22"/>
        <v>295.98063417932605</v>
      </c>
      <c r="FI40" s="59">
        <f t="shared" si="23"/>
        <v>589.31396751265936</v>
      </c>
      <c r="FJ40" s="59">
        <f ca="1">AVERAGE(OFFSET($FI$3,0,0,'Données projet'!$E$16+1,1))-AVERAGE(OFFSET($H$3,0,0,'Données projet'!$E$16+1,1))</f>
        <v>259.03906550253788</v>
      </c>
      <c r="FK40" s="59">
        <f t="shared" si="78"/>
        <v>235.54542903570831</v>
      </c>
      <c r="FL40" s="15">
        <f>IF(ISNA(VLOOKUP(A40,'Données projet'!$A$227:$I$247,3,0)),0,VLOOKUP(A40,'Données projet'!$A$227:$I$247,3,0))</f>
        <v>0</v>
      </c>
      <c r="FM40" s="15">
        <f>IF(ISNA(VLOOKUP(A40,'Données projet'!$A$227:$I$247,4,0)),0,VLOOKUP(A40,'Données projet'!$A$227:$I$247,4,0))</f>
        <v>0</v>
      </c>
      <c r="FN40" s="16">
        <f>IF(ISNA(VLOOKUP(A40,'Données projet'!$A$227:$I$247,5,0)),0%,VLOOKUP(A40,'Données projet'!$A$227:$I$247,5,0)*VLOOKUP('Données projet'!$B$16,Paramètres!$A$1:$I$89,7,0))</f>
        <v>0</v>
      </c>
      <c r="FO40" s="16">
        <f>IF(ISNA(VLOOKUP(A40,'Données projet'!$A$227:$I$247,6,0)),0%,VLOOKUP(A40,'Données projet'!$A$227:$I$247,6,0)*VLOOKUP('Données projet'!$B$16,Paramètres!$A$1:$I$89,7,0))</f>
        <v>0</v>
      </c>
      <c r="FP40" s="16">
        <f>IF(ISNA(VLOOKUP(A40,'Données projet'!$A$227:$I$247,7,0)),0%,VLOOKUP(A40,'Données projet'!$A$227:$I$247,7,0))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0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projet'!$A$253:$I$273,2,0)</f>
        <v>#N/A</v>
      </c>
      <c r="FX40" s="12" t="e">
        <f>VLOOKUP(A40,'Données projet'!$A$253:$I$273,9,0)</f>
        <v>#N/A</v>
      </c>
      <c r="FY40" s="12">
        <f t="array" ref="FY40">INDEX(FX:FX,MIN(IF(ISNUMBER(FX40:FX236),ROW(FX40:FX236),"")))</f>
        <v>9.6</v>
      </c>
      <c r="FZ40" s="12">
        <f>IF('Données projet'!$A$254&gt;35,FZ39+FY40-GH39,IF(A40&lt;'Données projet'!$A$254,$FW$205^A40,IF(A40='Données projet'!$A$254,'Données projet'!$B$254,FZ39+FY40-GH39)))</f>
        <v>163.20000000000002</v>
      </c>
      <c r="GA40" s="17">
        <f>FZ40*VLOOKUP('Données projet'!$B$17,Paramètres!$A$1:$I$89,3,0)*VLOOKUP('Données projet'!$B$17,Paramètres!$A$1:$I$89,5,0)</f>
        <v>142.57152000000005</v>
      </c>
      <c r="GB40" s="13">
        <f t="shared" si="79"/>
        <v>36.885479122455578</v>
      </c>
      <c r="GC40" s="20">
        <f t="shared" si="25"/>
        <v>312.5542734716102</v>
      </c>
      <c r="GD40" s="59">
        <f t="shared" si="26"/>
        <v>605.88760680494352</v>
      </c>
      <c r="GE40" s="59">
        <f ca="1">AVERAGE(OFFSET($GD$3,0,0,'Données projet'!$E$17+1,1))-AVERAGE(OFFSET($H$3,0,0,'Données projet'!$E$17+1,1))</f>
        <v>245.1983232777614</v>
      </c>
      <c r="GF40" s="59">
        <f t="shared" si="80"/>
        <v>242.34010522344573</v>
      </c>
      <c r="GG40" s="15">
        <f>IF(ISNA(VLOOKUP(A40,'Données projet'!$A$253:$I$273,3,0)),0,VLOOKUP(A40,'Données projet'!$A$253:$I$273,3,0))</f>
        <v>0</v>
      </c>
      <c r="GH40" s="15">
        <f>IF(ISNA(VLOOKUP(A40,'Données projet'!$A$253:$I$273,4,0)),0,VLOOKUP(A40,'Données projet'!$A$253:$I$273,4,0))</f>
        <v>0</v>
      </c>
      <c r="GI40" s="16">
        <f>IF(ISNA(VLOOKUP(A40,'Données projet'!$A$253:$I$273,5,0)),0%,VLOOKUP(A40,'Données projet'!$A$253:$I$273,5,0)*VLOOKUP('Données projet'!$B$17,Paramètres!$A$1:$I$89,7,0))</f>
        <v>0</v>
      </c>
      <c r="GJ40" s="16">
        <f>IF(ISNA(VLOOKUP(A40,'Données projet'!$A$253:$I$273,6,0)),0%,VLOOKUP(A40,'Données projet'!$A$253:$I$273,6,0)*VLOOKUP('Données projet'!$B$17,Paramètres!$A$1:$I$89,7,0))</f>
        <v>0</v>
      </c>
      <c r="GK40" s="16">
        <f>IF(ISNA(VLOOKUP(A40,'Données projet'!$A$253:$I$273,7,0)),0%,VLOOKUP(A40,'Données projet'!$A$253:$I$273,7,0))</f>
        <v>0</v>
      </c>
      <c r="GL40" s="21">
        <f>EXP(-LN(2)/35)*GL39+(1-EXP(-LN(2)/35))/(LN(2)/35)*GH40*GI40*VLOOKUP('Données projet'!$B$17,Paramètres!$A$1:$I$89,3,0)*0.475*44/12</f>
        <v>2.4165642210019467</v>
      </c>
      <c r="GM40" s="21">
        <f>EXP(-LN(2)/25)*GM39+(1-EXP(-LN(2)/25))/(LN(2)/25)*Calculateur!GH40*Calculateur!GJ40*VLOOKUP('Données projet'!$B$17,Paramètres!$A$1:$I$89,3,0)*0.475*44/12</f>
        <v>8.058958048180461</v>
      </c>
      <c r="GN40" s="21">
        <f>EXP(-LN(2)/2)*GN39+(1-EXP(-LN(2)/2))/(LN(2)/2)*GH40*GK40*VLOOKUP('Données projet'!$B$17,Paramètres!$A$1:$I$89,3,0)*0.475*44/12</f>
        <v>0</v>
      </c>
      <c r="GO40" s="21">
        <f t="shared" si="27"/>
        <v>10.475522269182408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projet'!$A$279:$I$299,2,0)</f>
        <v>#N/A</v>
      </c>
      <c r="GS40" s="12" t="e">
        <f>VLOOKUP(A40,'Données projet'!$A$279:$I$299,9,0)</f>
        <v>#N/A</v>
      </c>
      <c r="GT40" s="12">
        <f t="array" ref="GT40">INDEX(GS:GS,MIN(IF(ISNUMBER(GS40:GS236),ROW(GS40:GS236),"")))</f>
        <v>20.8</v>
      </c>
      <c r="GU40" s="12">
        <f>IF('Données projet'!$A$280&gt;35,GU39+GT40-HC39,IF(A40&lt;'Données projet'!$A$280,$GR$205^A40,IF(A40='Données projet'!$A$280,'Données projet'!$B$280,GU39+GT40-HC39)))</f>
        <v>424.60000000000014</v>
      </c>
      <c r="GV40" s="17">
        <f>GU40*VLOOKUP('Données projet'!$B$18,Paramètres!$A$1:$I$89,3,0)*VLOOKUP('Données projet'!$B$18,Paramètres!$A$1:$I$89,5,0)</f>
        <v>171.11380000000005</v>
      </c>
      <c r="GW40" s="13">
        <f t="shared" si="81"/>
        <v>43.339382845112233</v>
      </c>
      <c r="GX40" s="20">
        <f t="shared" si="28"/>
        <v>373.50596012190385</v>
      </c>
      <c r="GY40" s="59">
        <f t="shared" si="29"/>
        <v>666.83929345523711</v>
      </c>
      <c r="GZ40" s="59">
        <f ca="1">AVERAGE(OFFSET($GY$3,0,0,'Données projet'!$E$18+1,1))-AVERAGE(OFFSET($H$3,0,0,'Données projet'!$E$18+1,1))</f>
        <v>324.36162935850876</v>
      </c>
      <c r="HA40" s="59">
        <f t="shared" si="82"/>
        <v>265.23571072429735</v>
      </c>
      <c r="HB40" s="15">
        <f>IF(ISNA(VLOOKUP(A40,'Données projet'!$A$279:$I$299,3,0)),0,VLOOKUP(A40,'Données projet'!$A$279:$I$299,3,0))</f>
        <v>0</v>
      </c>
      <c r="HC40" s="15">
        <f>IF(ISNA(VLOOKUP(A40,'Données projet'!$A$279:$I$299,4,0)),0,VLOOKUP(A40,'Données projet'!$A$279:$I$299,4,0))</f>
        <v>0</v>
      </c>
      <c r="HD40" s="16">
        <f>IF(ISNA(VLOOKUP(A40,'Données projet'!$A$279:$I$299,5,0)),0%,VLOOKUP(A40,'Données projet'!$A$279:$I$299,5,0)*VLOOKUP('Données projet'!$B$18,Paramètres!$A$1:$I$89,7,0))</f>
        <v>0</v>
      </c>
      <c r="HE40" s="16">
        <f>IF(ISNA(VLOOKUP(A40,'Données projet'!$A$279:$I$299,6,0)),0%,VLOOKUP(A40,'Données projet'!$A$279:$I$299,6,0)*VLOOKUP('Données projet'!$B$18,Paramètres!$A$1:$I$89,7,0))</f>
        <v>0</v>
      </c>
      <c r="HF40" s="16">
        <f>IF(ISNA(VLOOKUP($A40,'Données projet'!$A$279:$I$299,7,0)),0%,VLOOKUP($A40,'Données projet'!$A$279:$I$299,7,0))</f>
        <v>0</v>
      </c>
      <c r="HG40" s="21">
        <f>EXP(-LN(2)/35)*HG39+(1-EXP(-LN(2)/35))/(LN(2)/35)*HC40*HD40*VLOOKUP('Données projet'!$B$18,Paramètres!$A$1:$I$89,3,0)*0.475*44/12</f>
        <v>0.42392168924770673</v>
      </c>
      <c r="HH40" s="21">
        <f>EXP(-LN(2)/25)*HH39+(1-EXP(-LN(2)/25))/(LN(2)/25)*Calculateur!HC40*Calculateur!HE40*VLOOKUP('Données projet'!$B$18,Paramètres!$A$1:$I$89,3,0)*0.475*44/12</f>
        <v>4.9859099474394011</v>
      </c>
      <c r="HI40" s="21">
        <f>EXP(-LN(2)/2)*HI39+(1-EXP(-LN(2)/2))/(LN(2)/2)*HC40*HF40*VLOOKUP('Données projet'!$B$18,Paramètres!$A$1:$I$89,3,0)*0.475*44/12</f>
        <v>3.3537874359123321</v>
      </c>
      <c r="HJ40" s="22">
        <f t="shared" si="30"/>
        <v>8.7636190725994396</v>
      </c>
      <c r="HK40" s="74">
        <f>('Scénario référence'!$F$8+'Scénario référence'!$F$9+'Scénario référence'!$B$17+'Scénario référence'!$B$9+'Scénario référence'!$B$10)*70+IF((45+25*(1-EXP(-0.0175*$A40)))&lt;70,'Scénario référence'!$B$16*(45+25*(1-EXP(-0.0175*$A40))),70*'Scénario référence'!$B$16)+IF((32+38*(1-EXP(-0.0175*$A40)))&lt;70,'Scénario référence'!$B$18*(32+38*(1-EXP(-0.0175*$A40))),70*'Scénario référence'!$B$18)</f>
        <v>70</v>
      </c>
      <c r="HL40" s="12">
        <f>IF($A40&gt;30,10,('Scénario référence'!$B$16+'Scénario référence'!$B$17+'Scénario référence'!$B$18+'Scénario référence'!$B$9+'Scénario référence'!$B$10)*$A40*10/30+('Scénario référence'!$F$8+'Scénario référence'!$F$9)*10)</f>
        <v>10</v>
      </c>
      <c r="HM40" s="12" t="e">
        <f>VLOOKUP($A40,'Données projet'!$A$304:$I$324,2,0)</f>
        <v>#N/A</v>
      </c>
      <c r="HN40" s="12" t="e">
        <f>VLOOKUP($A40,'Données projet'!$A$304:$I$324,9,0)</f>
        <v>#N/A</v>
      </c>
      <c r="HO40" s="12">
        <f t="array" ref="HO40">INDEX(HN:HN,MIN(IF(ISNUMBER(HN40:HN236),ROW(HN40:HN236),"")))</f>
        <v>0</v>
      </c>
      <c r="HP40" s="12">
        <f>IF('Données projet'!$A$304&gt;35,HP39+HO40-HX39,IF($A40&lt;'Données projet'!$A$304,$CQ$205^$A40,IF($A40='Données projet'!$A$304,'Données projet'!$B$304,HP39+HO40-HX39)))</f>
        <v>0</v>
      </c>
      <c r="HQ40" s="17">
        <f>HP40*VLOOKUP('Données projet'!$B$19,Paramètres!$A$1:$I$89,3,0)*VLOOKUP('Données projet'!$B$19,Paramètres!$A$1:$I$89,5,0)</f>
        <v>0</v>
      </c>
      <c r="HR40" s="13" t="e">
        <f t="shared" si="83"/>
        <v>#NUM!</v>
      </c>
      <c r="HS40" s="14" t="e">
        <f t="shared" si="31"/>
        <v>#NUM!</v>
      </c>
      <c r="HT40" s="59" t="e">
        <f t="shared" si="32"/>
        <v>#NUM!</v>
      </c>
      <c r="HU40" s="59">
        <f ca="1">AVERAGE(OFFSET(HT$3,0,0,'Données projet'!$E$19+1,1))-AVERAGE(OFFSET($H$3,0,0,'Données projet'!$E$19+1,1))</f>
        <v>91.60721429656013</v>
      </c>
      <c r="HV40" s="59">
        <f t="shared" si="84"/>
        <v>258.94957804210856</v>
      </c>
      <c r="HW40" s="15">
        <f>IF(ISNA(VLOOKUP($A40,'Données projet'!$A$304:$I$324,3,0)),0,VLOOKUP($A40,'Données projet'!$A$304:$I$324,3,0))</f>
        <v>0</v>
      </c>
      <c r="HX40" s="15">
        <f>IF(ISNA(VLOOKUP($A40,'Données projet'!$A$304:$I$324,4,0)),0,VLOOKUP($A40,'Données projet'!$A$304:$I$324,4,0))</f>
        <v>0</v>
      </c>
      <c r="HY40" s="16">
        <f>IF(ISNA(VLOOKUP($A40,'Données projet'!$A$304:$I$324,5,0)),0%,VLOOKUP($A40,'Données projet'!$A$304:$I$324,5,0)*VLOOKUP('Données projet'!$B$19,Paramètres!$A$1:$I$89,7,0))</f>
        <v>0</v>
      </c>
      <c r="HZ40" s="16">
        <f>IF(ISNA(VLOOKUP($A40,'Données projet'!$A$304:$I$324,6,0)),0%,VLOOKUP($A40,'Données projet'!$A$304:$I$324,6,0)*VLOOKUP('Données projet'!$B$19,Paramètres!$A$1:$I$89,7,0))</f>
        <v>0</v>
      </c>
      <c r="IA40" s="16">
        <f>IF(ISNA(VLOOKUP($A40,'Données projet'!$A$304:$I$324,7,0)),0%,VLOOKUP($A40,'Données projet'!$A$304:$I$324,7,0))</f>
        <v>0</v>
      </c>
      <c r="IB40" s="21">
        <f>EXP(-LN(2)/35)*IB39+(1-EXP(-LN(2)/35))/(LN(2)/35)*HX40*HY40*VLOOKUP('Données projet'!$B$19,Paramètres!$A$1:$I$89,3,0)*0.475*44/12</f>
        <v>42.946613877203781</v>
      </c>
      <c r="IC40" s="21">
        <f>EXP(-LN(2)/25)*IC39+(1-EXP(-LN(2)/25))/(LN(2)/25)*Calculateur!HX40*Calculateur!HZ40*VLOOKUP('Données projet'!$B$19,Paramètres!$A$1:$I$89,3,0)*0.475*44/12</f>
        <v>8.0116683089029568</v>
      </c>
      <c r="ID40" s="21">
        <f>EXP(-LN(2)/2)*ID39+(1-EXP(-LN(2)/2))/(LN(2)/2)*HX40*IA40*VLOOKUP('Données projet'!$B$19,Paramètres!$A$1:$I$89,3,0)*0.475*44/12</f>
        <v>5.0633469281569581E-2</v>
      </c>
      <c r="IE40" s="22">
        <f t="shared" si="33"/>
        <v>51.008915655388307</v>
      </c>
      <c r="IF40" s="74">
        <f>('Scénario référence'!$F$8+'Scénario référence'!$F$9+'Scénario référence'!$B$17+'Scénario référence'!$B$9+'Scénario référence'!$B$10)*70+IF((45+25*(1-EXP(-0.0175*$A40)))&lt;70,'Scénario référence'!$B$16*(45+25*(1-EXP(-0.0175*$A40))),70*'Scénario référence'!$B$16)+IF((32+38*(1-EXP(-0.0175*$A40)))&lt;70,'Scénario référence'!$B$18*(32+38*(1-EXP(-0.0175*$A40))),70*'Scénario référence'!$B$18)</f>
        <v>70</v>
      </c>
      <c r="IG40" s="12">
        <f>IF($A40&gt;30,10,('Scénario référence'!$B$16+'Scénario référence'!$B$17+'Scénario référence'!$B$18+'Scénario référence'!$B$9+'Scénario référence'!$B$10)*$A40*10/30+('Scénario référence'!$F$8+'Scénario référence'!$F$9)*10)</f>
        <v>10</v>
      </c>
      <c r="IH40" s="12" t="e">
        <f>VLOOKUP($A40,'Données projet'!$A$330:$I$350,2,0)</f>
        <v>#N/A</v>
      </c>
      <c r="II40" s="12" t="e">
        <f>VLOOKUP($A40,'Données projet'!$A$330:$I$350,9,0)</f>
        <v>#N/A</v>
      </c>
      <c r="IJ40" s="12">
        <f t="array" ref="IJ40">INDEX(II:II,MIN(IF(ISNUMBER(II40:II236),ROW(II40:II236),"")))</f>
        <v>0</v>
      </c>
      <c r="IK40" s="12">
        <f>IF('Données projet'!$A$330&gt;35,IK39+IJ40-IS39,IF($A40&lt;'Données projet'!$A$330,$CQ$205^$A40,IF($A40='Données projet'!$A$330,'Données projet'!$B$330,IK39+IJ40-IS39)))</f>
        <v>0</v>
      </c>
      <c r="IL40" s="17">
        <f>IK40*VLOOKUP('Données projet'!$B$20,Paramètres!$A$1:$I$89,3,0)*VLOOKUP('Données projet'!$B$20,Paramètres!$A$1:$I$89,5,0)</f>
        <v>0</v>
      </c>
      <c r="IM40" s="13" t="e">
        <f t="shared" si="85"/>
        <v>#NUM!</v>
      </c>
      <c r="IN40" s="20" t="e">
        <f t="shared" si="86"/>
        <v>#NUM!</v>
      </c>
      <c r="IO40" s="59" t="e">
        <f t="shared" si="87"/>
        <v>#NUM!</v>
      </c>
      <c r="IP40" s="59">
        <f ca="1">AVERAGE(OFFSET(IO$3,0,0,'Données projet'!$E$20+1,1))-AVERAGE(OFFSET($H$3,0,0,'Données projet'!$E$20+1,1))</f>
        <v>91.60721429656013</v>
      </c>
      <c r="IQ40" s="59">
        <f t="shared" si="88"/>
        <v>258.94957804210856</v>
      </c>
      <c r="IR40" s="15">
        <f>IF(ISNA(VLOOKUP($A40,'Données projet'!$A$330:$I$350,3,0)),0,VLOOKUP($A40,'Données projet'!$A$330:$I$350,3,0))</f>
        <v>0</v>
      </c>
      <c r="IS40" s="15">
        <f>IF(ISNA(VLOOKUP($A40,'Données projet'!$A$330:$I$350,4,0)),0,VLOOKUP($A40,'Données projet'!$A$330:$I$350,4,0))</f>
        <v>0</v>
      </c>
      <c r="IT40" s="16">
        <f>IF(ISNA(VLOOKUP($A40,'Données projet'!$A$330:$I$350,5,0)),0%,VLOOKUP($A40,'Données projet'!$A$330:$I$350,5,0)*VLOOKUP('Données projet'!$B$20,Paramètres!$A$1:$I$89,7,0))</f>
        <v>0</v>
      </c>
      <c r="IU40" s="16">
        <f>IF(ISNA(VLOOKUP($A40,'Données projet'!$A$330:$I$350,6,0)),0%,VLOOKUP($A40,'Données projet'!$A$330:$I$350,6,0)*VLOOKUP('Données projet'!$B$20,Paramètres!$A$1:$I$89,7,0))</f>
        <v>0</v>
      </c>
      <c r="IV40" s="16">
        <f>IF(ISNA(VLOOKUP($A40,'Données projet'!$A$330:$I$350,7,0)),0%,VLOOKUP($A40,'Données projet'!$A$330:$I$350,7,0))</f>
        <v>0</v>
      </c>
      <c r="IW40" s="21">
        <f>EXP(-LN(2)/35)*IW39+(1-EXP(-LN(2)/35))/(LN(2)/35)*IS40*IT40*VLOOKUP('Données projet'!$B$20,Paramètres!$A$1:$I$89,3,0)*0.475*44/12</f>
        <v>42.946613877203781</v>
      </c>
      <c r="IX40" s="21">
        <f>EXP(-LN(2)/25)*IX39+(1-EXP(-LN(2)/25))/(LN(2)/25)*Calculateur!IS40*Calculateur!IU40*VLOOKUP('Données projet'!$B$20,Paramètres!$A$1:$I$89,3,0)*0.475*44/12</f>
        <v>8.0116683089029568</v>
      </c>
      <c r="IY40" s="21">
        <f>EXP(-LN(2)/2)*IY39+(1-EXP(-LN(2)/2))/(LN(2)/2)*IS40*IV40*VLOOKUP('Données projet'!$B$20,Paramètres!$A$1:$I$89,3,0)*0.475*44/12</f>
        <v>5.0633469281569581E-2</v>
      </c>
      <c r="IZ40" s="22">
        <f t="shared" si="89"/>
        <v>51.008915655388307</v>
      </c>
      <c r="JA40" s="74">
        <f>('Scénario référence'!$F$8+'Scénario référence'!$F$9+'Scénario référence'!$B$17+'Scénario référence'!$B$9+'Scénario référence'!$B$10)*70+IF((45+25*(1-EXP(-0.0175*$A40)))&lt;70,'Scénario référence'!$B$16*(45+25*(1-EXP(-0.0175*$A40))),70*'Scénario référence'!$B$16)+IF((32+38*(1-EXP(-0.0175*$A40)))&lt;70,'Scénario référence'!$B$18*(32+38*(1-EXP(-0.0175*$A40))),70*'Scénario référence'!$B$18)</f>
        <v>70</v>
      </c>
      <c r="JB40" s="12">
        <f>IF($A40&gt;30,10,('Scénario référence'!$B$16+'Scénario référence'!$B$17+'Scénario référence'!$B$18+'Scénario référence'!$B$9+'Scénario référence'!$B$10)*$A40*10/30+('Scénario référence'!$F$8+'Scénario référence'!$F$9)*10)</f>
        <v>10</v>
      </c>
      <c r="JC40" s="12" t="e">
        <f>VLOOKUP($A40,'Données projet'!$A$356:$I$376,2,0)</f>
        <v>#N/A</v>
      </c>
      <c r="JD40" s="12" t="e">
        <f>VLOOKUP($A40,'Données projet'!$A$356:$I$376,9,0)</f>
        <v>#N/A</v>
      </c>
      <c r="JE40" s="12">
        <f t="array" ref="JE40">INDEX(JD:JD,MIN(IF(ISNUMBER(JD40:JD236),ROW(JD40:JD236),"")))</f>
        <v>30.4</v>
      </c>
      <c r="JF40" s="12">
        <f>IF('Données projet'!$A$356&gt;35,JF39+JE40-JN39,IF($A40&lt;'Données projet'!$A$356,$CQ$205^$A40,IF($A40='Données projet'!$A$356,'Données projet'!$B$356,JF39+JE40-JN39)))</f>
        <v>71.800000000000068</v>
      </c>
      <c r="JG40" s="17">
        <f>JF40*VLOOKUP('Données projet'!$B$21,Paramètres!$A$1:$I$89,3,0)*VLOOKUP('Données projet'!$B$21,Paramètres!$A$1:$I$89,5,0)</f>
        <v>58.244160000000058</v>
      </c>
      <c r="JH40" s="13">
        <f t="shared" si="90"/>
        <v>16.723573118880001</v>
      </c>
      <c r="JI40" s="20">
        <f t="shared" si="91"/>
        <v>130.56880184871611</v>
      </c>
      <c r="JJ40" s="59">
        <f t="shared" si="92"/>
        <v>423.90213518204939</v>
      </c>
      <c r="JK40" s="59">
        <f ca="1">AVERAGE(OFFSET($JJ$3,0,0,'Données projet'!$E$22+1,1))-AVERAGE(OFFSET($H$3,0,0,'Données projet'!$E$22+1,1))</f>
        <v>353.35574633294613</v>
      </c>
      <c r="JL40" s="59">
        <f t="shared" si="93"/>
        <v>170.36796666474726</v>
      </c>
      <c r="JM40" s="15">
        <f>IF(ISNA(VLOOKUP($A40,'Données projet'!$A$356:$I$376,3,0)),0,VLOOKUP($A40,'Données projet'!$A$356:$I$376,3,0))</f>
        <v>0</v>
      </c>
      <c r="JN40" s="15">
        <f>IF(ISNA(VLOOKUP($A40,'Données projet'!$A$356:$I$376,4,0)),0,VLOOKUP($A40,'Données projet'!$A$356:$I$376,4,0))</f>
        <v>0</v>
      </c>
      <c r="JO40" s="16">
        <f>IF(ISNA(VLOOKUP($A40,'Données projet'!$A$356:$I$376,5,0)),0%,VLOOKUP($A40,'Données projet'!$A$356:$I$376,5,0)*VLOOKUP('Données projet'!$B$21,Paramètres!$A$1:$I$89,7,0))</f>
        <v>0</v>
      </c>
      <c r="JP40" s="16">
        <f>IF(ISNA(VLOOKUP($A40,'Données projet'!$A$356:$I$376,6,0)),0%,VLOOKUP($A40,'Données projet'!$A$356:$I$376,6,0)*VLOOKUP('Données projet'!$B$21,Paramètres!$A$1:$I$89,7,0))</f>
        <v>0</v>
      </c>
      <c r="JQ40" s="16">
        <f>IF(ISNA(VLOOKUP($A40,'Données projet'!$A$356:$I$376,7,0)),0%,VLOOKUP($A40,'Données projet'!$A$356:$I$376,7,0))</f>
        <v>0</v>
      </c>
      <c r="JR40" s="21">
        <f>EXP(-LN(2)/35)*JR39+(1-EXP(-LN(2)/35))/(LN(2)/35)*JN40*JO40*VLOOKUP('Données projet'!$B$21,Paramètres!$A$1:$I$89,3,0)*0.475*44/12</f>
        <v>0</v>
      </c>
      <c r="JS40" s="21">
        <f>EXP(-LN(2)/25)*JS39+(1-EXP(-LN(2)/25))/(LN(2)/25)*Calculateur!JN40*Calculateur!JP40*VLOOKUP('Données projet'!$B$21,Paramètres!$A$1:$I$89,3,0)*0.475*44/12</f>
        <v>1.0174329105694404</v>
      </c>
      <c r="JT40" s="21">
        <f>EXP(-LN(2)/2)*JT39+(1-EXP(-LN(2)/2))/(LN(2)/2)*JN40*JQ40*VLOOKUP('Données projet'!$B$21,Paramètres!$A$1:$I$89,3,0)*0.475*44/12</f>
        <v>3.7829063034862167</v>
      </c>
      <c r="JU40" s="18">
        <f t="shared" si="39"/>
        <v>4.8003392140556569</v>
      </c>
      <c r="JV40" s="74">
        <f>('Scénario référence'!$F$8+'Scénario référence'!$F$9+'Scénario référence'!$B$17+'Scénario référence'!$B$9+'Scénario référence'!$B$10)*70+IF((45+25*(1-EXP(-0.0175*$A40)))&lt;70,'Scénario référence'!$B$16*(45+25*(1-EXP(-0.0175*$A40))),70*'Scénario référence'!$B$16)+IF((32+38*(1-EXP(-0.0175*$A40)))&lt;70,'Scénario référence'!$B$18*(32+38*(1-EXP(-0.0175*$A40))),70*'Scénario référence'!$B$18)</f>
        <v>70</v>
      </c>
      <c r="JW40" s="12">
        <f>IF($A40&gt;30,10,('Scénario référence'!$B$16+'Scénario référence'!$B$17+'Scénario référence'!$B$18+'Scénario référence'!$B$9+'Scénario référence'!$B$10)*$A40*10/30+('Scénario référence'!$F$8+'Scénario référence'!$F$9)*10)</f>
        <v>10</v>
      </c>
      <c r="JX40" s="12" t="e">
        <f>VLOOKUP($A40,'Données projet'!$A$382:$I$402,2,0)</f>
        <v>#N/A</v>
      </c>
      <c r="JY40" s="12" t="e">
        <f>VLOOKUP($A40,'Données projet'!$A$382:$I$402,9,0)</f>
        <v>#N/A</v>
      </c>
      <c r="JZ40" s="12">
        <f t="array" ref="JZ40">INDEX(JY:JY,MIN(IF(ISNUMBER(JY40:JY236),ROW(JY40:JY236),"")))</f>
        <v>9.3141025641025621</v>
      </c>
      <c r="KA40" s="12">
        <f>IF('Données projet'!$A$382&gt;35,KA39+JZ40-KI39,IF($A40&lt;'Données projet'!$A$382,$CQ$205^$A40,IF($A40='Données projet'!$A$382,'Données projet'!$B$382,KA39+JZ40-KI39)))</f>
        <v>120.19230769230765</v>
      </c>
      <c r="KB40" s="17">
        <f>KA40*VLOOKUP('Données projet'!$B$22,Paramètres!$A$1:$I$89,3,0)*VLOOKUP('Données projet'!$B$22,Paramètres!$A$1:$I$89,5,0)</f>
        <v>80.624999999999986</v>
      </c>
      <c r="KC40" s="13">
        <f t="shared" si="94"/>
        <v>22.289930595616106</v>
      </c>
      <c r="KD40" s="20">
        <f t="shared" si="95"/>
        <v>179.24350412069802</v>
      </c>
      <c r="KE40" s="59">
        <f t="shared" si="96"/>
        <v>472.57683745403131</v>
      </c>
      <c r="KF40" s="59">
        <f ca="1">AVERAGE(OFFSET($KE$3,0,0,'Données projet'!$E$22+1,1))-AVERAGE(OFFSET($H$3,0,0,'Données projet'!$E$22+1,1))</f>
        <v>193.91714772848269</v>
      </c>
      <c r="KG40" s="59">
        <f t="shared" si="97"/>
        <v>159.20429420478047</v>
      </c>
      <c r="KH40" s="15">
        <f>IF(ISNA(VLOOKUP($A40,'Données projet'!$A$382:$I$402,3,0)),0,VLOOKUP($A40,'Données projet'!$A$382:$I$402,3,0))</f>
        <v>0</v>
      </c>
      <c r="KI40" s="15">
        <f>IF(ISNA(VLOOKUP($A40,'Données projet'!$A$382:$I$402,4,0)),0,VLOOKUP($A40,'Données projet'!$A$382:$I$402,4,0))</f>
        <v>0</v>
      </c>
      <c r="KJ40" s="16">
        <f>IF(ISNA(VLOOKUP($A40,'Données projet'!$A$382:$I$402,5,0)),0%,VLOOKUP($A40,'Données projet'!$A$382:$I$402,5,0)*VLOOKUP('Données projet'!$B$22,Paramètres!$A$1:$I$89,7,0))</f>
        <v>0</v>
      </c>
      <c r="KK40" s="16">
        <f>IF(ISNA(VLOOKUP($A40,'Données projet'!$A$382:$I$402,6,0)),0%,VLOOKUP($A40,'Données projet'!$A$382:$I$402,6,0)*VLOOKUP('Données projet'!$B$22,Paramètres!$A$1:$I$89,7,0))</f>
        <v>0</v>
      </c>
      <c r="KL40" s="16">
        <f>IF(ISNA(VLOOKUP($A40,'Données projet'!$A$382:$I$402,7,0)),0%,VLOOKUP($A40,'Données projet'!$A$382:$I$402,7,0))</f>
        <v>0</v>
      </c>
      <c r="KM40" s="21">
        <f>EXP(-LN(2)/35)*KM39+(1-EXP(-LN(2)/35))/(LN(2)/35)*KI40*KJ40*VLOOKUP('Données projet'!$B$22,Paramètres!$A$1:$I$89,3,0)*0.475*44/12</f>
        <v>0</v>
      </c>
      <c r="KN40" s="21">
        <f>EXP(-LN(2)/25)*KN39+(1-EXP(-LN(2)/25))/(LN(2)/25)*Calculateur!KI40*Calculateur!KK40*VLOOKUP('Données projet'!$B$22,Paramètres!$A$1:$I$89,3,0)*0.475*44/12</f>
        <v>0</v>
      </c>
      <c r="KO40" s="21">
        <f>EXP(-LN(2)/2)*KO39+(1-EXP(-LN(2)/2))/(LN(2)/2)*KI40*KL40*VLOOKUP('Données projet'!$B$22,Paramètres!$A$1:$I$89,3,0)*0.475*44/12</f>
        <v>0</v>
      </c>
      <c r="KP40" s="22">
        <f t="shared" si="98"/>
        <v>0</v>
      </c>
      <c r="KQ40" s="74">
        <f>('Scénario référence'!$F$8+'Scénario référence'!$F$9+'Scénario référence'!$B$17+'Scénario référence'!$B$9+'Scénario référence'!$B$10)*70+IF((45+25*(1-EXP(-0.0175*$A40)))&lt;70,'Scénario référence'!$B$16*(45+25*(1-EXP(-0.0175*$A40))),70*'Scénario référence'!$B$16)+IF((32+38*(1-EXP(-0.0175*$A40)))&lt;70,'Scénario référence'!$B$18*(32+38*(1-EXP(-0.0175*$A40))),70*'Scénario référence'!$B$18)</f>
        <v>70</v>
      </c>
      <c r="KR40" s="12">
        <f>IF($A40&gt;30,10,('Scénario référence'!$B$16+'Scénario référence'!$B$17+'Scénario référence'!$B$18+'Scénario référence'!$B$9+'Scénario référence'!$B$10)*$A40*10/30+('Scénario référence'!$F$8+'Scénario référence'!$F$9)*10)</f>
        <v>10</v>
      </c>
      <c r="KS40" s="12" t="e">
        <f>VLOOKUP($A40,'Données projet'!$A$408:$I$428,2,0)</f>
        <v>#N/A</v>
      </c>
      <c r="KT40" s="12" t="e">
        <f>VLOOKUP($A40,'Données projet'!$A$408:$I$428,9,0)</f>
        <v>#N/A</v>
      </c>
      <c r="KU40" s="12">
        <f t="array" ref="KU40">INDEX(KT:KT,MIN(IF(ISNUMBER(KT40:KT236),ROW(KT40:KT236),"")))</f>
        <v>9.6</v>
      </c>
      <c r="KV40" s="12">
        <f>IF('Données projet'!$A$408&gt;35,KV39+KU40-LD39,IF($A40&lt;'Données projet'!$A$408,$CQ$205^$A40,IF($A40='Données projet'!$A$408,'Données projet'!$B$408,KV39+KU40-LD39)))</f>
        <v>163.20000000000005</v>
      </c>
      <c r="KW40" s="17">
        <f>KV40*VLOOKUP('Données projet'!$B$23,Paramètres!$A$1:$I$89,3,0)*VLOOKUP('Données projet'!$B$23,Paramètres!$A$1:$I$89,5,0)</f>
        <v>142.57152000000008</v>
      </c>
      <c r="KX40" s="13">
        <f t="shared" si="99"/>
        <v>36.885479122455578</v>
      </c>
      <c r="KY40" s="14">
        <f t="shared" si="43"/>
        <v>312.55427347161032</v>
      </c>
      <c r="KZ40" s="59">
        <f t="shared" si="44"/>
        <v>605.88760680494363</v>
      </c>
      <c r="LA40" s="59">
        <f ca="1">AVERAGE(OFFSET($KZ$3,0,0,'Données projet'!$E$23+1,1))-AVERAGE(OFFSET($H$3,0,0,'Données projet'!$E$23+1,1))</f>
        <v>248.33596943633819</v>
      </c>
      <c r="LB40" s="59">
        <f t="shared" si="100"/>
        <v>242.34010522344573</v>
      </c>
      <c r="LC40" s="15">
        <f>IF(ISNA(VLOOKUP($A40,'Données projet'!$A$408:$I$428,3,0)),0,VLOOKUP($A40,'Données projet'!$A$408:$I$428,3,0))</f>
        <v>0</v>
      </c>
      <c r="LD40" s="15">
        <f>IF(ISNA(VLOOKUP($A40,'Données projet'!$A$408:$I$428,4,0)),0,VLOOKUP($A40,'Données projet'!$A$408:$I$428,4,0))</f>
        <v>0</v>
      </c>
      <c r="LE40" s="16">
        <f>IF(ISNA(VLOOKUP($A40,'Données projet'!$A$408:$I$428,5,0)),0%,VLOOKUP($A40,'Données projet'!$A$408:$I$428,5,0)*VLOOKUP('Données projet'!$B$23,Paramètres!$A$1:$I$89,7,0))</f>
        <v>0</v>
      </c>
      <c r="LF40" s="16">
        <f>IF(ISNA(VLOOKUP($A40,'Données projet'!$A$408:$I$428,6,0)),0%,VLOOKUP($A40,'Données projet'!$A$408:$I$428,6,0)*VLOOKUP('Données projet'!$B$23,Paramètres!$A$1:$I$89,7,0))</f>
        <v>0</v>
      </c>
      <c r="LG40" s="16">
        <f>IF(ISNA(VLOOKUP($A40,'Données projet'!$A$408:$I$428,7,0)),0%,VLOOKUP($A40,'Données projet'!$A$408:$I$428,7,0))</f>
        <v>0</v>
      </c>
      <c r="LH40" s="21">
        <f>EXP(-LN(2)/35)*LH39+(1-EXP(-LN(2)/35))/(LN(2)/35)*LD40*LE40*VLOOKUP('Données projet'!$B$23,Paramètres!$A$1:$I$89,3,0)*0.475*44/12</f>
        <v>2.4165642210019467</v>
      </c>
      <c r="LI40" s="21">
        <f>EXP(-LN(2)/25)*LI39+(1-EXP(-LN(2)/25))/(LN(2)/25)*Calculateur!LD40*Calculateur!LF40*VLOOKUP('Données projet'!$B$23,Paramètres!$A$1:$I$89,3,0)*0.475*44/12</f>
        <v>8.058958048180461</v>
      </c>
      <c r="LJ40" s="21">
        <f>EXP(-LN(2)/2)*LJ39+(1-EXP(-LN(2)/2))/(LN(2)/2)*LD40*LG40*VLOOKUP('Données projet'!$B$23,Paramètres!$A$1:$I$89,3,0)*0.475*44/12</f>
        <v>0</v>
      </c>
      <c r="LK40" s="22">
        <f t="shared" si="101"/>
        <v>10.475522269182408</v>
      </c>
      <c r="LL40" s="74">
        <f>('Scénario référence'!$F$8+'Scénario référence'!$F$9+'Scénario référence'!$B$17+'Scénario référence'!$B$9+'Scénario référence'!$B$10)*70+IF((45+25*(1-EXP(-0.0175*$A40)))&lt;70,'Scénario référence'!$B$16*(45+25*(1-EXP(-0.0175*$A40))),70*'Scénario référence'!$B$16)+IF((32+38*(1-EXP(-0.0175*$A40)))&lt;70,'Scénario référence'!$B$18*(32+38*(1-EXP(-0.0175*$A40))),70*'Scénario référence'!$B$18)</f>
        <v>70</v>
      </c>
      <c r="LM40" s="12">
        <f>IF($A40&gt;30,10,('Scénario référence'!$B$16+'Scénario référence'!$B$17+'Scénario référence'!$B$18+'Scénario référence'!$B$9+'Scénario référence'!$B$10)*$A40*10/30+('Scénario référence'!$F$8+'Scénario référence'!$F$9)*10)</f>
        <v>10</v>
      </c>
      <c r="LN40" s="12" t="e">
        <f>VLOOKUP($A40,'Données projet'!$A$434:$I$454,2,0)</f>
        <v>#N/A</v>
      </c>
      <c r="LO40" s="12" t="e">
        <f>VLOOKUP($A40,'Données projet'!$A$434:$I$454,9,0)</f>
        <v>#N/A</v>
      </c>
      <c r="LP40" s="12">
        <f t="array" ref="LP40">INDEX(LO:LO,MIN(IF(ISNUMBER(LO40:LO236),ROW(LO40:LO236),"")))</f>
        <v>5.3369963369963358</v>
      </c>
      <c r="LQ40" s="12">
        <f>IF('Données projet'!$A$434&gt;35,LQ39+LP40-LY39,IF($A40&lt;'Données projet'!$A$434,$CQ$205^$A40,IF($A40='Données projet'!$A$434,'Données projet'!$B$434,LQ39+LP40-LY39)))</f>
        <v>125.06410256410257</v>
      </c>
      <c r="LR40" s="17">
        <f>LQ40*VLOOKUP('Données projet'!$B$24,Paramètres!$A$1:$I$89,3,0)*VLOOKUP('Données projet'!$B$24,Paramètres!$A$1:$I$89,5,0)</f>
        <v>126.81500000000001</v>
      </c>
      <c r="LS40" s="13">
        <f t="shared" si="102"/>
        <v>33.25934024724662</v>
      </c>
      <c r="LT40" s="14">
        <f t="shared" si="46"/>
        <v>278.79614259728788</v>
      </c>
      <c r="LU40" s="59">
        <f t="shared" si="103"/>
        <v>572.1294759306212</v>
      </c>
      <c r="LV40" s="59">
        <f ca="1">AVERAGE(OFFSET($LU$3,0,0,'Données projet'!$E$24+1,1))-AVERAGE(OFFSET($H$3,0,0,'Données projet'!$E$24+1,1))</f>
        <v>260.52627655062872</v>
      </c>
      <c r="LW40" s="59">
        <f t="shared" si="104"/>
        <v>159.20429420478047</v>
      </c>
      <c r="LX40" s="15">
        <f>IF(ISNA(VLOOKUP($A40,'Données projet'!$A$434:$I$454,3,0)),0,VLOOKUP($A40,'Données projet'!$A$434:$I$454,3,0))</f>
        <v>0</v>
      </c>
      <c r="LY40" s="15">
        <f>IF(ISNA(VLOOKUP($A40,'Données projet'!$A$434:$I$454,4,0)),0,VLOOKUP($A40,'Données projet'!$A$434:$I$454,4,0))</f>
        <v>0</v>
      </c>
      <c r="LZ40" s="16">
        <f>IF(ISNA(VLOOKUP($A40,'Données projet'!$A$434:$I$454,5,0)),0%,VLOOKUP($A40,'Données projet'!$A$434:$I$454,5,0)*VLOOKUP('Données projet'!$B$24,Paramètres!$A$1:$I$89,7,0))</f>
        <v>0</v>
      </c>
      <c r="MA40" s="16">
        <f>IF(ISNA(VLOOKUP($A40,'Données projet'!$A$434:$I$454,6,0)),0%,VLOOKUP($A40,'Données projet'!$A$434:$I$454,6,0)*VLOOKUP('Données projet'!$B$24,Paramètres!$A$1:$I$89,7,0))</f>
        <v>0</v>
      </c>
      <c r="MB40" s="16">
        <f>IF(ISNA(VLOOKUP($A40,'Données projet'!$A$434:$I$454,7,0)),0%,VLOOKUP($A40,'Données projet'!$A$434:$I$454,7,0))</f>
        <v>0</v>
      </c>
      <c r="MC40" s="21">
        <f>EXP(-LN(2)/35)*MC39+(1-EXP(-LN(2)/35))/(LN(2)/35)*LY40*LZ40*VLOOKUP('Données projet'!$B$24,Paramètres!$A$1:$I$89,3,0)*0.475*44/12</f>
        <v>0</v>
      </c>
      <c r="MD40" s="21">
        <f>EXP(-LN(2)/25)*MD39+(1-EXP(-LN(2)/25))/(LN(2)/25)*Calculateur!LY40*Calculateur!MA40*VLOOKUP('Données projet'!$B$24,Paramètres!$A$1:$I$89,3,0)*0.475*44/12</f>
        <v>0</v>
      </c>
      <c r="ME40" s="21">
        <f>EXP(-LN(2)/2)*ME39+(1-EXP(-LN(2)/2))/(LN(2)/2)*LY40*MB40*VLOOKUP('Données projet'!$B$24,Paramètres!$A$1:$I$89,3,0)*0.475*44/12</f>
        <v>0</v>
      </c>
      <c r="MF40" s="22">
        <f t="shared" si="105"/>
        <v>0</v>
      </c>
      <c r="MG40" s="74">
        <f>('Scénario référence'!$F$8+'Scénario référence'!$F$9+'Scénario référence'!$B$17+'Scénario référence'!$B$9+'Scénario référence'!$B$10)*70+IF((45+25*(1-EXP(-0.0175*$A40)))&lt;70,'Scénario référence'!$B$16*(45+25*(1-EXP(-0.0175*$A40))),70*'Scénario référence'!$B$16)+IF((32+38*(1-EXP(-0.0175*$A40)))&lt;70,'Scénario référence'!$B$18*(32+38*(1-EXP(-0.0175*$A40))),70*'Scénario référence'!$B$18)</f>
        <v>70</v>
      </c>
      <c r="MH40" s="12">
        <f>IF($A40&gt;30,10,('Scénario référence'!$B$16+'Scénario référence'!$B$17+'Scénario référence'!$B$18+'Scénario référence'!$B$9+'Scénario référence'!$B$10)*$A40*10/30+('Scénario référence'!$F$8+'Scénario référence'!$F$9)*10)</f>
        <v>10</v>
      </c>
      <c r="MI40" s="12" t="e">
        <f>VLOOKUP($A40,'Données projet'!$A$460:$I$480,2,0)</f>
        <v>#N/A</v>
      </c>
      <c r="MJ40" s="12" t="e">
        <f>VLOOKUP($A40,'Données projet'!$A$460:$I$480,9,0)</f>
        <v>#N/A</v>
      </c>
      <c r="MK40" s="12">
        <f t="array" ref="MK40">INDEX(MJ:MJ,MIN(IF(ISNUMBER(MJ40:MJ236),ROW(MJ40:MJ236),"")))</f>
        <v>0</v>
      </c>
      <c r="ML40" s="12">
        <f>IF('Données projet'!$A$460&gt;35,ML39+MK40-MT39,IF($A40&lt;'Données projet'!$A$460,$CQ$205^$A40,IF($A40='Données projet'!$A$460,'Données projet'!$B$460,ML39+MK40-MT39)))</f>
        <v>0</v>
      </c>
      <c r="MM40" s="17" t="e">
        <f>ML40*VLOOKUP('Données projet'!$B$25,Paramètres!$A$1:$I$89,3,0)*VLOOKUP('Données projet'!$B$25,Paramètres!$A$1:$I$89,5,0)</f>
        <v>#N/A</v>
      </c>
      <c r="MN40" s="13" t="e">
        <f t="shared" si="106"/>
        <v>#N/A</v>
      </c>
      <c r="MO40" s="14" t="e">
        <f t="shared" si="49"/>
        <v>#N/A</v>
      </c>
      <c r="MP40" s="59" t="e">
        <f t="shared" si="50"/>
        <v>#N/A</v>
      </c>
      <c r="MQ40" s="20" t="e">
        <f ca="1">AVERAGE(OFFSET($MP$3,0,0,'Données projet'!$E$25+1,1))-AVERAGE(OFFSET($H$3,0,0,'Données projet'!$E$25+1,1))</f>
        <v>#N/A</v>
      </c>
      <c r="MR40" s="59" t="e">
        <f t="shared" si="107"/>
        <v>#N/A</v>
      </c>
      <c r="MS40" s="15">
        <f>IF(ISNA(VLOOKUP($A40,'Données projet'!$A$460:$I$480,3,0)),0,VLOOKUP($A40,'Données projet'!$A$460:$I$480,3,0))</f>
        <v>0</v>
      </c>
      <c r="MT40" s="15">
        <f>IF(ISNA(VLOOKUP($A40,'Données projet'!$A$460:$I$480,4,0)),0,VLOOKUP($A40,'Données projet'!$A$460:$I$480,4,0))</f>
        <v>0</v>
      </c>
      <c r="MU40" s="16">
        <f>IF(ISNA(VLOOKUP($A40,'Données projet'!$A$460:$I$480,5,0)),0%,VLOOKUP($A40,'Données projet'!$A$460:$I$480,5,0)*VLOOKUP('Données projet'!$B$25,Paramètres!$A$1:$I$89,7,0))</f>
        <v>0</v>
      </c>
      <c r="MV40" s="16">
        <f>IF(ISNA(VLOOKUP($A40,'Données projet'!$A$460:$I$480,6,0)),0%,VLOOKUP($A40,'Données projet'!$A$460:$I$480,6,0)*VLOOKUP('Données projet'!$B$25,Paramètres!$A$1:$I$89,7,0))</f>
        <v>0</v>
      </c>
      <c r="MW40" s="16">
        <f>IF(ISNA(VLOOKUP($A40,'Données projet'!$A$460:$I$480,7,0)),0%,VLOOKUP($A40,'Données projet'!$A$460:$I$480,7,0))</f>
        <v>0</v>
      </c>
      <c r="MX40" s="21" t="e">
        <f>EXP(-LN(2)/35)*MX39+(1-EXP(-LN(2)/35))/(LN(2)/35)*MT40*MU40*VLOOKUP('Données projet'!$B$25,Paramètres!$A$1:$I$89,3,0)*0.475*44/12</f>
        <v>#N/A</v>
      </c>
      <c r="MY40" s="21" t="e">
        <f>EXP(-LN(2)/25)*MY39+(1-EXP(-LN(2)/25))/(LN(2)/25)*Calculateur!MT40*Calculateur!MV40*VLOOKUP('Données projet'!$B$25,Paramètres!$A$1:$I$89,3,0)*0.475*44/12</f>
        <v>#N/A</v>
      </c>
      <c r="MZ40" s="21" t="e">
        <f>EXP(-LN(2)/2)*MZ39+(1-EXP(-LN(2)/2))/(LN(2)/2)*MT40*MW40*VLOOKUP('Données projet'!$B$25,Paramètres!$A$1:$I$89,3,0)*0.475*44/12</f>
        <v>#N/A</v>
      </c>
      <c r="NA40" s="22" t="e">
        <f t="shared" si="108"/>
        <v>#N/A</v>
      </c>
      <c r="NB40" s="74">
        <f>('Scénario référence'!$F$8+'Scénario référence'!$F$9+'Scénario référence'!$B$17+'Scénario référence'!$B$9+'Scénario référence'!$B$10)*70+IF((45+25*(1-EXP(-0.0175*$A40)))&lt;70,'Scénario référence'!$B$16*(45+25*(1-EXP(-0.0175*$A40))),70*'Scénario référence'!$B$16)+IF((32+38*(1-EXP(-0.0175*$A40)))&lt;70,'Scénario référence'!$B$18*(32+38*(1-EXP(-0.0175*$A40))),70*'Scénario référence'!$B$18)</f>
        <v>70</v>
      </c>
      <c r="NC40" s="12">
        <f>IF($A40&gt;30,10,('Scénario référence'!$B$16+'Scénario référence'!$B$17+'Scénario référence'!$B$18+'Scénario référence'!$B$9+'Scénario référence'!$B$10)*$A40*10/30+('Scénario référence'!$F$8+'Scénario référence'!$F$9)*10)</f>
        <v>10</v>
      </c>
      <c r="ND40" s="12" t="e">
        <f>VLOOKUP($A40,'Données projet'!$A$486:$I$506,2,0)</f>
        <v>#N/A</v>
      </c>
      <c r="NE40" s="12" t="e">
        <f>VLOOKUP($A40,'Données projet'!$A$486:$I$506,9,0)</f>
        <v>#N/A</v>
      </c>
      <c r="NF40" s="12">
        <f t="array" ref="NF40">INDEX(NE:NE,MIN(IF(ISNUMBER(NE40:NE236),ROW(NE40:NE236),"")))</f>
        <v>0</v>
      </c>
      <c r="NG40" s="12">
        <f>IF('Données projet'!$A$486&gt;35,NG39+NF40-NO39,IF($A40&lt;'Données projet'!$A$486,$CQ$205^$A40,IF($A40='Données projet'!$A$486,'Données projet'!$B$486,NG39+NF40-NO39)))</f>
        <v>0</v>
      </c>
      <c r="NH40" s="17" t="e">
        <f>NG40*VLOOKUP('Données projet'!$B$26,Paramètres!$A$1:$I$89,3,0)*VLOOKUP('Données projet'!$B$26,Paramètres!$A$1:$I$89,5,0)</f>
        <v>#N/A</v>
      </c>
      <c r="NI40" s="13" t="e">
        <f t="shared" si="109"/>
        <v>#N/A</v>
      </c>
      <c r="NJ40" s="14" t="e">
        <f t="shared" si="52"/>
        <v>#N/A</v>
      </c>
      <c r="NK40" s="59" t="e">
        <f t="shared" si="53"/>
        <v>#N/A</v>
      </c>
      <c r="NL40" s="20" t="e">
        <f ca="1">AVERAGE(OFFSET($NK$3,0,0,'Données projet'!$E$26+1,1))-AVERAGE(OFFSET($H$3,0,0,'Données projet'!$E$26+1,1))</f>
        <v>#N/A</v>
      </c>
      <c r="NM40" s="59" t="e">
        <f t="shared" si="110"/>
        <v>#N/A</v>
      </c>
      <c r="NN40" s="15">
        <f>IF(ISNA(VLOOKUP($A40,'Données projet'!$A$486:$I$506,3,0)),0,VLOOKUP($A40,'Données projet'!$A$486:$I$506,3,0))</f>
        <v>0</v>
      </c>
      <c r="NO40" s="15">
        <f>IF(ISNA(VLOOKUP($A40,'Données projet'!$A$486:$I$506,4,0)),0,VLOOKUP($A40,'Données projet'!$A$486:$I$506,4,0))</f>
        <v>0</v>
      </c>
      <c r="NP40" s="16">
        <f>IF(ISNA(VLOOKUP($A40,'Données projet'!$A$486:$I$506,5,0)),0%,VLOOKUP($A40,'Données projet'!$A$486:$I$506,5,0)*VLOOKUP('Données projet'!$B$26,Paramètres!$A$1:$I$89,7,0))</f>
        <v>0</v>
      </c>
      <c r="NQ40" s="16">
        <f>IF(ISNA(VLOOKUP($A40,'Données projet'!$A$486:$I$506,6,0)),0%,VLOOKUP($A40,'Données projet'!$A$486:$I$506,6,0)*VLOOKUP('Données projet'!$B$26,Paramètres!$A$1:$I$89,7,0))</f>
        <v>0</v>
      </c>
      <c r="NR40" s="16">
        <f>IF(ISNA(VLOOKUP($A40,'Données projet'!$A$486:$I$506,7,0)),0%,VLOOKUP($A40,'Données projet'!$A$486:$I$506,7,0))</f>
        <v>0</v>
      </c>
      <c r="NS40" s="21" t="e">
        <f>EXP(-LN(2)/35)*NS39+(1-EXP(-LN(2)/35))/(LN(2)/35)*NO40*NP40*VLOOKUP('Données projet'!$B$26,Paramètres!$A$1:$I$89,3,0)*0.475*44/12</f>
        <v>#N/A</v>
      </c>
      <c r="NT40" s="21" t="e">
        <f>EXP(-LN(2)/25)*NT39+(1-EXP(-LN(2)/25))/(LN(2)/25)*Calculateur!NO40*Calculateur!NQ40*VLOOKUP('Données projet'!$B$26,Paramètres!$A$1:$I$89,3,0)*0.475*44/12</f>
        <v>#N/A</v>
      </c>
      <c r="NU40" s="21" t="e">
        <f>EXP(-LN(2)/2)*NU39+(1-EXP(-LN(2)/2))/(LN(2)/2)*NO40*NR40*VLOOKUP('Données projet'!$B$26,Paramètres!$A$1:$I$89,3,0)*0.475*44/12</f>
        <v>#N/A</v>
      </c>
      <c r="NV40" s="22" t="e">
        <f t="shared" si="111"/>
        <v>#N/A</v>
      </c>
      <c r="NW40" s="74">
        <f>('Scénario référence'!$F$8+'Scénario référence'!$F$9+'Scénario référence'!$B$17+'Scénario référence'!$B$9+'Scénario référence'!$B$10)*70+IF((45+25*(1-EXP(-0.0175*$A40)))&lt;70,'Scénario référence'!$B$16*(45+25*(1-EXP(-0.0175*$A40))),70*'Scénario référence'!$B$16)+IF((32+38*(1-EXP(-0.0175*$A40)))&lt;70,'Scénario référence'!$B$18*(32+38*(1-EXP(-0.0175*$A40))),70*'Scénario référence'!$B$18)</f>
        <v>70</v>
      </c>
      <c r="NX40" s="12">
        <f>IF($A40&gt;30,10,('Scénario référence'!$B$16+'Scénario référence'!$B$17+'Scénario référence'!$B$18+'Scénario référence'!$B$9+'Scénario référence'!$B$10)*$A40*10/30+('Scénario référence'!$F$8+'Scénario référence'!$F$9)*10)</f>
        <v>10</v>
      </c>
      <c r="NY40" s="12" t="e">
        <f>VLOOKUP($A40,'Données projet'!$A$512:$I$532,2,0)</f>
        <v>#N/A</v>
      </c>
      <c r="NZ40" s="12" t="e">
        <f>VLOOKUP($A40,'Données projet'!$A$512:$I$532,9,0)</f>
        <v>#N/A</v>
      </c>
      <c r="OA40" s="12">
        <f t="array" ref="OA40">INDEX(NZ:NZ,MIN(IF(ISNUMBER(NZ40:NZ236),ROW(NZ40:NZ236),"")))</f>
        <v>0</v>
      </c>
      <c r="OB40" s="12">
        <f>IF('Données projet'!$A$512&gt;35,OB39+OA40-OJ39,IF($A40&lt;'Données projet'!$A$512,$CQ$205^$A40,IF($A40='Données projet'!$A$512,'Données projet'!$B$512,OB39+OA40-OJ39)))</f>
        <v>0</v>
      </c>
      <c r="OC40" s="17" t="e">
        <f>OB40*VLOOKUP('Données projet'!$B$27,Paramètres!$A$1:$I$89,3,0)*VLOOKUP('Données projet'!$B$27,Paramètres!$A$1:$I$89,5,0)</f>
        <v>#N/A</v>
      </c>
      <c r="OD40" s="13" t="e">
        <f t="shared" si="112"/>
        <v>#N/A</v>
      </c>
      <c r="OE40" s="14" t="e">
        <f t="shared" si="55"/>
        <v>#N/A</v>
      </c>
      <c r="OF40" s="59" t="e">
        <f t="shared" si="56"/>
        <v>#N/A</v>
      </c>
      <c r="OG40" s="20" t="e">
        <f ca="1">AVERAGE(OFFSET($OF$3,0,0,'Données projet'!$E$27+1,1))-AVERAGE(OFFSET($H$3,0,0,'Données projet'!$E$27+1,1))</f>
        <v>#N/A</v>
      </c>
      <c r="OH40" s="59" t="e">
        <f t="shared" si="113"/>
        <v>#N/A</v>
      </c>
      <c r="OI40" s="15">
        <f>IF(ISNA(VLOOKUP($A40,'Données projet'!$A$512:$I$532,3,0)),0,VLOOKUP($A40,'Données projet'!$A$512:$I$532,3,0))</f>
        <v>0</v>
      </c>
      <c r="OJ40" s="15">
        <f>IF(ISNA(VLOOKUP($A40,'Données projet'!$A$512:$I$532,4,0)),0,VLOOKUP($A40,'Données projet'!$A$512:$I$532,4,0))</f>
        <v>0</v>
      </c>
      <c r="OK40" s="16">
        <f>IF(ISNA(VLOOKUP($A40,'Données projet'!$A$512:$I$532,5,0)),0%,VLOOKUP($A40,'Données projet'!$A$512:$I$532,5,0)*VLOOKUP('Données projet'!$B$27,Paramètres!$A$1:$I$89,7,0))</f>
        <v>0</v>
      </c>
      <c r="OL40" s="16">
        <f>IF(ISNA(VLOOKUP($A40,'Données projet'!$A$512:$I$532,6,0)),0%,VLOOKUP($A40,'Données projet'!$A$512:$I$532,6,0)*VLOOKUP('Données projet'!$B$27,Paramètres!$A$1:$I$89,7,0))</f>
        <v>0</v>
      </c>
      <c r="OM40" s="16">
        <f>IF(ISNA(VLOOKUP($A40,'Données projet'!$A$512:$I$532,7,0)),0%,VLOOKUP($A40,'Données projet'!$A$512:$I$532,7,0))</f>
        <v>0</v>
      </c>
      <c r="ON40" s="21" t="e">
        <f>EXP(-LN(2)/35)*ON39+(1-EXP(-LN(2)/35))/(LN(2)/35)*OJ40*OK40*VLOOKUP('Données projet'!$B$27,Paramètres!$A$1:$I$89,3,0)*0.475*44/12</f>
        <v>#N/A</v>
      </c>
      <c r="OO40" s="21" t="e">
        <f>EXP(-LN(2)/25)*OO39+(1-EXP(-LN(2)/25))/(LN(2)/25)*Calculateur!OJ40*Calculateur!OL40*VLOOKUP('Données projet'!$B$27,Paramètres!$A$1:$I$89,3,0)*0.475*44/12</f>
        <v>#N/A</v>
      </c>
      <c r="OP40" s="21" t="e">
        <f>EXP(-LN(2)/2)*OP39+(1-EXP(-LN(2)/2))/(LN(2)/2)*OJ40*OM40*VLOOKUP('Données projet'!$B$27,Paramètres!$A$1:$I$89,3,0)*0.475*44/12</f>
        <v>#N/A</v>
      </c>
      <c r="OQ40" s="22" t="e">
        <f t="shared" si="114"/>
        <v>#N/A</v>
      </c>
      <c r="OR40" s="74">
        <f>('Scénario référence'!$F$8+'Scénario référence'!$F$9+'Scénario référence'!$B$17+'Scénario référence'!$B$9+'Scénario référence'!$B$10)*70+IF((45+25*(1-EXP(-0.0175*$A40)))&lt;70,'Scénario référence'!$B$16*(45+25*(1-EXP(-0.0175*$A40))),70*'Scénario référence'!$B$16)+IF((32+38*(1-EXP(-0.0175*$A40)))&lt;70,'Scénario référence'!$B$18*(32+38*(1-EXP(-0.0175*$A40))),70*'Scénario référence'!$B$18)</f>
        <v>70</v>
      </c>
      <c r="OS40" s="12">
        <f>IF($A40&gt;30,10,('Scénario référence'!$B$16+'Scénario référence'!$B$17+'Scénario référence'!$B$18+'Scénario référence'!$B$9+'Scénario référence'!$B$10)*$A40*10/30+('Scénario référence'!$F$8+'Scénario référence'!$F$9)*10)</f>
        <v>10</v>
      </c>
      <c r="OT40" s="12" t="e">
        <f>VLOOKUP($A40,'Données projet'!$A$538:$I$558,2,0)</f>
        <v>#N/A</v>
      </c>
      <c r="OU40" s="12" t="e">
        <f>VLOOKUP($A40,'Données projet'!$A$538:$I$558,9,0)</f>
        <v>#N/A</v>
      </c>
      <c r="OV40" s="12">
        <f t="array" ref="OV40">INDEX(OU:OU,MIN(IF(ISNUMBER(OU40:OU236),ROW(OU40:OU236),"")))</f>
        <v>0</v>
      </c>
      <c r="OW40" s="12">
        <f>IF('Données projet'!$A$538&gt;35,OW39+OV40-PE39,IF($A40&lt;'Données projet'!$A$538,$CQ$205^$A40,IF($A40='Données projet'!$A$538,'Données projet'!$B$538,OW39+OV40-PE39)))</f>
        <v>0</v>
      </c>
      <c r="OX40" s="17" t="e">
        <f>OW40*VLOOKUP('Données projet'!$B$28,Paramètres!$A$1:$I$89,3,0)*VLOOKUP('Données projet'!$B$28,Paramètres!$A$1:$I$89,5,0)</f>
        <v>#N/A</v>
      </c>
      <c r="OY40" s="13" t="e">
        <f t="shared" si="115"/>
        <v>#N/A</v>
      </c>
      <c r="OZ40" s="14" t="e">
        <f t="shared" si="58"/>
        <v>#N/A</v>
      </c>
      <c r="PA40" s="59" t="e">
        <f t="shared" si="59"/>
        <v>#N/A</v>
      </c>
      <c r="PB40" s="20" t="e">
        <f ca="1">AVERAGE(OFFSET($PA$3,0,0,'Données projet'!$E$28+1,1))-AVERAGE(OFFSET($H$3,0,0,'Données projet'!$E$28+1,1))</f>
        <v>#N/A</v>
      </c>
      <c r="PC40" s="59" t="e">
        <f t="shared" si="116"/>
        <v>#N/A</v>
      </c>
      <c r="PD40" s="15">
        <f>IF(ISNA(VLOOKUP($A40,'Données projet'!$A$538:$I$558,3,0)),0,VLOOKUP($A40,'Données projet'!$A$538:$I$558,3,0))</f>
        <v>0</v>
      </c>
      <c r="PE40" s="15">
        <f>IF(ISNA(VLOOKUP($A40,'Données projet'!$A$538:$I$558,4,0)),0,VLOOKUP($A40,'Données projet'!$A$538:$I$558,4,0))</f>
        <v>0</v>
      </c>
      <c r="PF40" s="16">
        <f>IF(ISNA(VLOOKUP($A40,'Données projet'!$A$538:$I$558,5,0)),0%,VLOOKUP($A40,'Données projet'!$A$538:$I$558,5,0)*VLOOKUP('Données projet'!$B$28,Paramètres!$A$1:$I$89,7,0))</f>
        <v>0</v>
      </c>
      <c r="PG40" s="16">
        <f>IF(ISNA(VLOOKUP($A40,'Données projet'!$A$538:$I$558,6,0)),0%,VLOOKUP($A40,'Données projet'!$A$538:$I$558,6,0)*VLOOKUP('Données projet'!$B$28,Paramètres!$A$1:$I$89,7,0))</f>
        <v>0</v>
      </c>
      <c r="PH40" s="16">
        <f>IF(ISNA(VLOOKUP($A40,'Données projet'!$A$538:$I$558,7,0)),0%,VLOOKUP($A40,'Données projet'!$A$538:$I$558,7,0))</f>
        <v>0</v>
      </c>
      <c r="PI40" s="21" t="e">
        <f>EXP(-LN(2)/35)*PI39+(1-EXP(-LN(2)/35))/(LN(2)/35)*PE40*PF40*VLOOKUP('Données projet'!$B$28,Paramètres!$A$1:$I$89,3,0)*0.475*44/12</f>
        <v>#N/A</v>
      </c>
      <c r="PJ40" s="21" t="e">
        <f>EXP(-LN(2)/25)*PJ39+(1-EXP(-LN(2)/25))/(LN(2)/25)*Calculateur!PE40*Calculateur!PG40*VLOOKUP('Données projet'!$B$28,Paramètres!$A$1:$I$89,3,0)*0.475*44/12</f>
        <v>#N/A</v>
      </c>
      <c r="PK40" s="21" t="e">
        <f>EXP(-LN(2)/2)*PK39+(1-EXP(-LN(2)/2))/(LN(2)/2)*PE40*PH40*VLOOKUP('Données projet'!$B$28,Paramètres!$A$1:$I$89,3,0)*0.475*44/12</f>
        <v>#N/A</v>
      </c>
      <c r="PL40" s="22" t="e">
        <f t="shared" si="117"/>
        <v>#N/A</v>
      </c>
    </row>
    <row r="41" spans="1:428" x14ac:dyDescent="0.35">
      <c r="A41" s="10">
        <f t="shared" si="6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6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projet'!$A$45:$I$65,2,0)</f>
        <v>#N/A</v>
      </c>
      <c r="L41" s="12" t="e">
        <f>VLOOKUP(A41,'Données projet'!$A$45:$I$65,9,0)</f>
        <v>#N/A</v>
      </c>
      <c r="M41" s="12">
        <f t="array" ref="M41">INDEX(L:L,MIN(IF(ISNUMBER(L41:L237),ROW(L41:L237),"")))</f>
        <v>22.419230769230751</v>
      </c>
      <c r="N41" s="13">
        <f>IF('Données projet'!$A$46&gt;35,N40+M41-V40,IF(A41&lt;'Données projet'!$A$46,$K$205^A41,IF(A41='Données projet'!$A$46,'Données projet'!$B$46,N40+M41-V40)))</f>
        <v>379.04615384615386</v>
      </c>
      <c r="O41" s="13">
        <f>N41*VLOOKUP('Données projet'!$B$9,Paramètres!$A$1:$I$89,3,0)*VLOOKUP('Données projet'!$B$9,Paramètres!$A$1:$I$89,5,0)</f>
        <v>211.88679999999999</v>
      </c>
      <c r="P41" s="13">
        <f t="shared" si="63"/>
        <v>52.347684082939317</v>
      </c>
      <c r="Q41" s="20">
        <f t="shared" si="118"/>
        <v>460.20839311111928</v>
      </c>
      <c r="R41" s="59">
        <f t="shared" si="0"/>
        <v>753.54172644445259</v>
      </c>
      <c r="S41" s="59">
        <f ca="1">AVERAGE(OFFSET($R$3,0,0,'Données projet'!$E$9+1,1))-AVERAGE(OFFSET($H$3,0,0,'Données projet'!$E$9+1,1))</f>
        <v>274.57619581652199</v>
      </c>
      <c r="T41" s="59">
        <f t="shared" si="64"/>
        <v>366.15117322598775</v>
      </c>
      <c r="U41" s="15">
        <f>IF(ISNA(VLOOKUP(A41,'Données projet'!$A$45:$I$65,3,0)),0,VLOOKUP(A41,'Données projet'!$A$45:$I$65,3,0))</f>
        <v>0</v>
      </c>
      <c r="V41" s="15">
        <f>IF(ISNA(VLOOKUP(A41,'Données projet'!$A$45:$I$65,4,0)),0,VLOOKUP(A41,'Données projet'!$A$45:$I$65,4,0))</f>
        <v>0</v>
      </c>
      <c r="W41" s="16">
        <f>IF(ISNA(VLOOKUP(A41,'Données projet'!$A$45:$I$65,5,0)),0%,VLOOKUP(A41,'Données projet'!$A$45:$I$65,5,0)*VLOOKUP('Données projet'!$B$9,Paramètres!$A$1:$I$89,7,0))</f>
        <v>0</v>
      </c>
      <c r="X41" s="16">
        <f>IF(ISNA(VLOOKUP(A41,'Données projet'!$A$45:$I$65,6,0)),0%,VLOOKUP(A41,'Données projet'!$A$45:$I$65,6,0)*VLOOKUP('Données projet'!$B$9,Paramètres!$A$1:$I$89,7,0))</f>
        <v>0</v>
      </c>
      <c r="Y41" s="16">
        <f>IF(ISNA(VLOOKUP(A41,'Données projet'!$A$45:$I$65,7,0)),0%,VLOOKUP(A41,'Données projet'!$A$45:$I$65,7,0))</f>
        <v>0</v>
      </c>
      <c r="Z41" s="21">
        <f>EXP(-LN(2)/35)*Z40+(1-EXP(-LN(2)/35))/(LN(2)/35)*V41*W41*VLOOKUP('Données projet'!$B$9,Paramètres!$A$1:$I$89,3,0)*0.475*44/12</f>
        <v>44.248409608996077</v>
      </c>
      <c r="AA41" s="21">
        <f>EXP(-LN(2)/25)*AA40+(1-EXP(-LN(2)/25))/(LN(2)/25)*Calculateur!V41*Calculateur!X41*VLOOKUP('Données projet'!$B$9,Paramètres!$A$1:$I$89,3,0)*0.475*44/12</f>
        <v>19.092770930340116</v>
      </c>
      <c r="AB41" s="21">
        <f>EXP(-LN(2)/2)*AB40+(1-EXP(-LN(2)/2))/(LN(2)/2)*V41*Y41*VLOOKUP('Données projet'!$B$9,Paramètres!$A$1:$I$89,3,0)*0.475*44/12</f>
        <v>3.2844237852893423</v>
      </c>
      <c r="AC41" s="22">
        <f t="shared" si="3"/>
        <v>66.625604324625542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projet'!$A$71:$I$91,2,0)</f>
        <v>#N/A</v>
      </c>
      <c r="AG41" s="12" t="e">
        <f>VLOOKUP(A41,'Données projet'!$A$71:$I$91,9,0)</f>
        <v>#N/A</v>
      </c>
      <c r="AH41" s="12">
        <f t="array" ref="AH41">INDEX(AG:AG,MIN(IF(ISNUMBER(AG41:AG237),ROW(AG41:AG237),"")))</f>
        <v>9.3141025641025621</v>
      </c>
      <c r="AI41" s="13">
        <f>IF('Données projet'!$A$72&gt;35,AI40+AH41-AQ40,IF(A41&lt;'Données projet'!$A$72,$AF$205^A41,IF(A41='Données projet'!$A$72,'Données projet'!$B$72,AI40+AH41-AQ40)))</f>
        <v>129.50641025641028</v>
      </c>
      <c r="AJ41" s="13">
        <f>AI41*VLOOKUP('Données projet'!$B$10,Paramètres!$A$1:$I$89,3,0)*VLOOKUP('Données projet'!$B$10,Paramètres!$A$1:$I$89,5,0)</f>
        <v>117.17740000000002</v>
      </c>
      <c r="AK41" s="13">
        <f t="shared" si="65"/>
        <v>31.015764986886897</v>
      </c>
      <c r="AL41" s="20">
        <f t="shared" si="4"/>
        <v>258.10309568549474</v>
      </c>
      <c r="AM41" s="59">
        <f t="shared" si="5"/>
        <v>551.43642901882799</v>
      </c>
      <c r="AN41" s="59">
        <f ca="1">AVERAGE(OFFSET($AM$3,0,0,'Données projet'!$E$10+1,1))-AVERAGE(OFFSET($H$3,0,0,'Données projet'!$E$10+1,1))</f>
        <v>270.87836509222456</v>
      </c>
      <c r="AO41" s="59">
        <f t="shared" si="66"/>
        <v>205.24998237949734</v>
      </c>
      <c r="AP41" s="15">
        <f>IF(ISNA(VLOOKUP(A41,'Données projet'!$A$71:$I$91,3,0)),0,VLOOKUP(A41,'Données projet'!$A$71:$I$91,3,0))</f>
        <v>0</v>
      </c>
      <c r="AQ41" s="15">
        <f>IF(ISNA(VLOOKUP(A41,'Données projet'!$A$71:$I$91,4,0)),0,VLOOKUP(A41,'Données projet'!$A$71:$I$91,4,0))</f>
        <v>0</v>
      </c>
      <c r="AR41" s="16">
        <f>IF(ISNA(VLOOKUP(A41,'Données projet'!$A$71:$I$91,5,0)),0%,VLOOKUP(A41,'Données projet'!$A$71:$I$91,5,0)*VLOOKUP('Données projet'!$B$10,Paramètres!$A$1:$I$89,7,0))</f>
        <v>0</v>
      </c>
      <c r="AS41" s="16">
        <f>IF(ISNA(VLOOKUP(A41,'Données projet'!$A$71:$I$91,6,0)),0%,VLOOKUP(A41,'Données projet'!$A$71:$I$91,6,0)*VLOOKUP('Données projet'!$B$10,Paramètres!$A$1:$I$89,7,0))</f>
        <v>0</v>
      </c>
      <c r="AT41" s="16">
        <f>IF(ISNA(VLOOKUP(A41,'Données projet'!$A$71:$I$91,7,0)),0%,VLOOKUP(A41,'Données projet'!$A$71:$I$91,7,0))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projet'!$A$97:$I$117,2,0)</f>
        <v>#N/A</v>
      </c>
      <c r="BB41" s="12" t="e">
        <f>VLOOKUP(A41,'Données projet'!$A$97:$I$117,9,0)</f>
        <v>#N/A</v>
      </c>
      <c r="BC41" s="12">
        <f t="array" ref="BC41">INDEX(BB:BB,MIN(IF(ISNUMBER(BB41:BB237),ROW(BB41:BB237),"")))</f>
        <v>22.419230769230751</v>
      </c>
      <c r="BD41" s="12">
        <f>IF('Données projet'!$A$98&gt;35,BD40+BC41-BL40,IF(A41&lt;'Données projet'!$A$98,$BA$205^A41,IF(A41='Données projet'!$A$98,'Données projet'!$B$98,BD40+BC41-BL40)))</f>
        <v>379.04615384615386</v>
      </c>
      <c r="BE41" s="13">
        <f>BD41*VLOOKUP('Données projet'!$B$11,Paramètres!$A$1:$I$89,3,0)*VLOOKUP('Données projet'!$B$11,Paramètres!$A$1:$I$89,5,0)</f>
        <v>167.53840000000005</v>
      </c>
      <c r="BF41" s="13">
        <f t="shared" si="67"/>
        <v>42.538239934830784</v>
      </c>
      <c r="BG41" s="20">
        <f t="shared" si="7"/>
        <v>365.88348121983034</v>
      </c>
      <c r="BH41" s="59">
        <f t="shared" si="8"/>
        <v>659.21681455316366</v>
      </c>
      <c r="BI41" s="59">
        <f ca="1">AVERAGE(OFFSET($BH$3,0,0,'Données projet'!$E$11+1,1))-AVERAGE(OFFSET($H$3,0,0,'Données projet'!$E$11+1,1))</f>
        <v>211.31057120485542</v>
      </c>
      <c r="BJ41" s="59">
        <f t="shared" si="68"/>
        <v>283.33292006714777</v>
      </c>
      <c r="BK41" s="15">
        <f>IF(ISNA(VLOOKUP(A41,'Données projet'!$A$97:$I$117,3,0)),0,VLOOKUP(A41,'Données projet'!$A$97:$I$117,3,0))</f>
        <v>0</v>
      </c>
      <c r="BL41" s="15">
        <f>IF(ISNA(VLOOKUP(A41,'Données projet'!$A$97:$I$117,4,0)),0,VLOOKUP(A41,'Données projet'!$A$97:$I$117,4,0))</f>
        <v>0</v>
      </c>
      <c r="BM41" s="16">
        <f>IF(ISNA(VLOOKUP(A41,'Données projet'!$A$97:$I$117,5,0)),0%,VLOOKUP(A41,'Données projet'!$A$97:$I$117,5,0)*VLOOKUP('Données projet'!$B$11,Paramètres!$A$1:$I$89,7,0))</f>
        <v>0</v>
      </c>
      <c r="BN41" s="16">
        <f>IF(ISNA(VLOOKUP(A41,'Données projet'!$A$97:$I$117,6,0)),0%,VLOOKUP(A41,'Données projet'!$A$97:$I$117,6,0)*VLOOKUP('Données projet'!$B$11,Paramètres!$A$1:$I$89,7,0))</f>
        <v>0</v>
      </c>
      <c r="BO41" s="16">
        <f>IF(ISNA(VLOOKUP(A41,'Données projet'!$A$97:$I$117,7,0)),0%,VLOOKUP(A41,'Données projet'!$A$97:$I$117,7,0))</f>
        <v>0</v>
      </c>
      <c r="BP41" s="21">
        <f>EXP(-LN(2)/35)*BP40+(1-EXP(-LN(2)/35))/(LN(2)/35)*BL41*BM41*VLOOKUP('Données projet'!$B$11,Paramètres!$A$1:$I$89,3,0)*0.475*44/12</f>
        <v>34.987114574555029</v>
      </c>
      <c r="BQ41" s="21">
        <f>EXP(-LN(2)/25)*BQ40+(1-EXP(-LN(2)/25))/(LN(2)/25)*Calculateur!BL41*Calculateur!BN41*VLOOKUP('Données projet'!$B$11,Paramètres!$A$1:$I$89,3,0)*0.475*44/12</f>
        <v>15.096609572827068</v>
      </c>
      <c r="BR41" s="21">
        <f>EXP(-LN(2)/2)*BR40+(1-EXP(-LN(2)/2))/(LN(2)/2)*BL41*BO41*VLOOKUP('Données projet'!$B$11,Paramètres!$A$1:$I$89,3,0)*0.475*44/12</f>
        <v>2.5969862488334337</v>
      </c>
      <c r="BS41" s="22">
        <f t="shared" si="9"/>
        <v>52.680710396215531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projet'!$A$123:$I$143,2,0)</f>
        <v>#N/A</v>
      </c>
      <c r="BW41" s="12" t="e">
        <f>VLOOKUP(A41,'Données projet'!$A$123:$I$143,9,0)</f>
        <v>#N/A</v>
      </c>
      <c r="BX41" s="12">
        <f t="array" ref="BX41">INDEX(BW:BW,MIN(IF(ISNUMBER(BW41:BW237),ROW(BW41:BW237),"")))</f>
        <v>8.8000000000000007</v>
      </c>
      <c r="BY41" s="12">
        <f>IF('Données projet'!$A$124&gt;35,BY40+BX41-CG40,IF(A41&lt;'Données projet'!$A$124,$BV$205^A41,IF(A41='Données projet'!$A$124,'Données projet'!$B$124,BY40+BX41-CG40)))</f>
        <v>167.4</v>
      </c>
      <c r="BZ41" s="13">
        <f>BY41*VLOOKUP('Données projet'!$B$12,Paramètres!$A$1:$I$89,3,0)*VLOOKUP('Données projet'!$B$12,Paramètres!$A$1:$I$89,5,0)</f>
        <v>174.96648000000002</v>
      </c>
      <c r="CA41" s="13">
        <f t="shared" si="69"/>
        <v>44.20047886519378</v>
      </c>
      <c r="CB41" s="20">
        <f t="shared" si="10"/>
        <v>381.71578669021255</v>
      </c>
      <c r="CC41" s="59">
        <f t="shared" si="11"/>
        <v>675.04912002354581</v>
      </c>
      <c r="CD41" s="59">
        <f ca="1">AVERAGE(OFFSET($CC$3,0,0,'Données projet'!$E$12+1,1))-AVERAGE(OFFSET($H$3,0,0,'Données projet'!$E$12+1,1))</f>
        <v>322.93502595881938</v>
      </c>
      <c r="CE41" s="59">
        <f t="shared" si="70"/>
        <v>302.67072119588164</v>
      </c>
      <c r="CF41" s="15">
        <f>IF(ISNA(VLOOKUP(A41,'Données projet'!$A$123:$I$143,3,0)),0,VLOOKUP(A41,'Données projet'!$A$123:$I$143,3,0))</f>
        <v>0</v>
      </c>
      <c r="CG41" s="15">
        <f>IF(ISNA(VLOOKUP(A41,'Données projet'!$A$123:$I$143,4,0)),0,VLOOKUP(A41,'Données projet'!$A$123:$I$143,4,0))</f>
        <v>0</v>
      </c>
      <c r="CH41" s="16">
        <f>IF(ISNA(VLOOKUP(A41,'Données projet'!$A$123:$I$143,5,0)),0%,VLOOKUP(A41,'Données projet'!$A$123:$I$143,5,0)*VLOOKUP('Données projet'!$B$12,Paramètres!$A$1:$I$89,7,0))</f>
        <v>0</v>
      </c>
      <c r="CI41" s="16">
        <f>IF(ISNA(VLOOKUP(A41,'Données projet'!$A$123:$I$143,6,0)),0%,VLOOKUP(A41,'Données projet'!$A$123:$I$143,6,0)*VLOOKUP('Données projet'!$B$12,Paramètres!$A$1:$I$89,7,0))</f>
        <v>0</v>
      </c>
      <c r="CJ41" s="16">
        <f>IF(ISNA(VLOOKUP(A41,'Données projet'!$A$123:$I$143,7,0)),0%,VLOOKUP(A41,'Données projet'!$A$123:$I$143,7,0))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6.1476874238081551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6.1476874238081551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projet'!$A$149:$I$169,2,0)</f>
        <v>#N/A</v>
      </c>
      <c r="CR41" s="12" t="e">
        <f>VLOOKUP(A41,'Données projet'!$A$149:$I$169,9,0)</f>
        <v>#N/A</v>
      </c>
      <c r="CS41" s="12">
        <f t="array" ref="CS41">INDEX(CR:CR,MIN(IF(ISNUMBER(CR41:CR237),ROW(CR41:CR237),"")))</f>
        <v>5.3369963369963358</v>
      </c>
      <c r="CT41" s="12">
        <f>IF('Données projet'!$A$150&gt;35,CT40+CS41-DB40,IF(A41&lt;'Données projet'!$A$150,$CQ$205^A41,IF(A41='Données projet'!$A$150,'Données projet'!$B$150,CT40+CS41-DB40)))</f>
        <v>130.40109890109889</v>
      </c>
      <c r="CU41" s="17">
        <f>CT41*VLOOKUP('Données projet'!$B$13,Paramètres!$A$1:$I$89,3,0)*VLOOKUP('Données projet'!$B$13,Paramètres!$A$1:$I$89,5,0)</f>
        <v>132.22671428571428</v>
      </c>
      <c r="CV41" s="13">
        <f t="shared" si="71"/>
        <v>34.510377941523238</v>
      </c>
      <c r="CW41" s="20">
        <f t="shared" si="13"/>
        <v>290.4004356291054</v>
      </c>
      <c r="CX41" s="59">
        <f t="shared" si="14"/>
        <v>583.73376896243872</v>
      </c>
      <c r="CY41" s="59">
        <f ca="1">AVERAGE(OFFSET($CX$3,0,0,'Données projet'!$E$13+1,1))-AVERAGE(OFFSET($H$3,0,0,'Données projet'!$E$13+1,1))</f>
        <v>250.31277422753283</v>
      </c>
      <c r="CZ41" s="59">
        <f t="shared" si="72"/>
        <v>159.20429420478047</v>
      </c>
      <c r="DA41" s="15">
        <f>IF(ISNA(VLOOKUP(A41,'Données projet'!$A$149:$I$169,3,0)),0,VLOOKUP(A41,'Données projet'!$A$149:$I$169,3,0))</f>
        <v>0</v>
      </c>
      <c r="DB41" s="15">
        <f>IF(ISNA(VLOOKUP(A41,'Données projet'!$A$149:$I$169,4,0)),0,VLOOKUP(A41,'Données projet'!$A$149:$I$169,4,0))</f>
        <v>0</v>
      </c>
      <c r="DC41" s="16">
        <f>IF(ISNA(VLOOKUP(A41,'Données projet'!$A$149:$I$169,5,0)),0%,VLOOKUP(A41,'Données projet'!$A$149:$I$169,5,0)*VLOOKUP('Données projet'!$B$13,Paramètres!$A$1:$I$89,7,0))</f>
        <v>0</v>
      </c>
      <c r="DD41" s="16">
        <f>IF(ISNA(VLOOKUP(A41,'Données projet'!$A$149:$I$169,6,0)),0%,VLOOKUP(A41,'Données projet'!$A$149:$I$169,6,0)*VLOOKUP('Données projet'!$B$13,Paramètres!$A$1:$I$89,7,0))</f>
        <v>0</v>
      </c>
      <c r="DE41" s="16">
        <f>IF(ISNA(VLOOKUP(A41,'Données projet'!$A$149:$I$169,7,0)),0%,VLOOKUP(A41,'Données projet'!$A$149:$I$169,7,0))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projet'!$A$175:$I$195,2,0)</f>
        <v>#N/A</v>
      </c>
      <c r="DM41" s="12" t="e">
        <f>VLOOKUP(A41,'Données projet'!$A$175:$I$195,9,0)</f>
        <v>#N/A</v>
      </c>
      <c r="DN41" s="12">
        <f t="array" ref="DN41">INDEX(DM:DM,MIN(IF(ISNUMBER(DM41:DM237),ROW(DM41:DM237),"")))</f>
        <v>13.2</v>
      </c>
      <c r="DO41" s="12">
        <f>IF('Données projet'!$A$176&gt;35,DO40+DN41-DW40,IF(A41&lt;'Données projet'!$A$176,$DL$205^A41,IF(A41='Données projet'!$A$176,'Données projet'!$B$176,DO40+DN41-DW40)))</f>
        <v>236.59999999999997</v>
      </c>
      <c r="DP41" s="17">
        <f>DO41*VLOOKUP('Données projet'!$B$14,Paramètres!$A$1:$I$89,3,0)*VLOOKUP('Données projet'!$B$14,Paramètres!$A$1:$I$89,5,0)</f>
        <v>173.47511999999998</v>
      </c>
      <c r="DQ41" s="13">
        <f t="shared" si="73"/>
        <v>43.867415861334891</v>
      </c>
      <c r="DR41" s="20">
        <f t="shared" si="16"/>
        <v>378.53824995849158</v>
      </c>
      <c r="DS41" s="59">
        <f t="shared" si="17"/>
        <v>671.87158329182489</v>
      </c>
      <c r="DT41" s="59">
        <f ca="1">AVERAGE(OFFSET($DS$3,0,0,'Données projet'!$E$14+1,1))-AVERAGE(OFFSET($H$3,0,0,'Données projet'!$E$14+1,1))</f>
        <v>296.91321813251051</v>
      </c>
      <c r="DU41" s="59">
        <f t="shared" si="74"/>
        <v>291.0718079639509</v>
      </c>
      <c r="DV41" s="15">
        <f>IF(ISNA(VLOOKUP(A41,'Données projet'!$A$175:$I$195,3,0)),0,VLOOKUP(A41,'Données projet'!$A$175:$I$195,3,0))</f>
        <v>0</v>
      </c>
      <c r="DW41" s="15">
        <f>IF(ISNA(VLOOKUP(A41,'Données projet'!$A$175:$I$195,4,0)),0,VLOOKUP(A41,'Données projet'!$A$175:$I$195,4,0))</f>
        <v>0</v>
      </c>
      <c r="DX41" s="16">
        <f>IF(ISNA(VLOOKUP(A41,'Données projet'!$A$175:$I$195,5,0)),0%,VLOOKUP(A41,'Données projet'!$A$175:$I$195,5,0)*VLOOKUP('Données projet'!$B$14,Paramètres!$A$1:$I$89,7,0))</f>
        <v>0</v>
      </c>
      <c r="DY41" s="16">
        <f>IF(ISNA(VLOOKUP(A41,'Données projet'!$A$175:$I$195,6,0)),0%,VLOOKUP(A41,'Données projet'!$A$175:$I$195,6,0)*VLOOKUP('Données projet'!$B$14,Paramètres!$A$1:$I$89,7,0))</f>
        <v>0</v>
      </c>
      <c r="DZ41" s="16">
        <f>IF(ISNA(VLOOKUP(A41,'Données projet'!$A$175:$I$195,7,0)),0%,VLOOKUP(A41,'Données projet'!$A$175:$I$195,7,0))</f>
        <v>0</v>
      </c>
      <c r="EA41" s="21">
        <f>EXP(-LN(2)/35)*EA40+(1-EXP(-LN(2)/35))/(LN(2)/35)*DW41*DX41*VLOOKUP('Données projet'!$B$14,Paramètres!$A$1:$I$89,3,0)*0.475*44/12</f>
        <v>18.288175216157555</v>
      </c>
      <c r="EB41" s="21">
        <f>EXP(-LN(2)/25)*EB40+(1-EXP(-LN(2)/25))/(LN(2)/25)*Calculateur!DW41*Calculateur!DY41*VLOOKUP('Données projet'!$B$14,Paramètres!$A$1:$I$89,3,0)*0.475*44/12</f>
        <v>11.604499139470063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29.892674355627619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projet'!$A$201:$I$221,2,0)</f>
        <v>#N/A</v>
      </c>
      <c r="EH41" s="12" t="e">
        <f>VLOOKUP(A41,'Données projet'!$A$201:$I$221,9,0)</f>
        <v>#N/A</v>
      </c>
      <c r="EI41" s="12">
        <f t="array" ref="EI41">INDEX(EH:EH,MIN(IF(ISNUMBER(EH41:EH237),ROW(EH41:EH237),"")))</f>
        <v>10.407692307692306</v>
      </c>
      <c r="EJ41" s="12">
        <f>IF('Données projet'!$A$202&gt;35,EJ40+EI41-ER40,IF(A41&lt;'Données projet'!$A$202,$EG$205^A41,IF(A41='Données projet'!$A$202,'Données projet'!$B$202,EJ40+EI41-ER40)))</f>
        <v>186.53846153846155</v>
      </c>
      <c r="EK41" s="17">
        <f>EJ41*VLOOKUP('Données projet'!$B$15,Paramètres!$A$1:$I$89,3,0)*VLOOKUP('Données projet'!$B$15,Paramètres!$A$1:$I$89,5,0)</f>
        <v>87.300000000000011</v>
      </c>
      <c r="EL41" s="13">
        <f t="shared" si="75"/>
        <v>23.912900160000429</v>
      </c>
      <c r="EM41" s="20">
        <f t="shared" si="19"/>
        <v>193.69580111200079</v>
      </c>
      <c r="EN41" s="59">
        <f t="shared" si="20"/>
        <v>487.02913444533408</v>
      </c>
      <c r="EO41" s="59">
        <f ca="1">AVERAGE(OFFSET($EN$3,0,0,'Données projet'!$E$15+1,1))-AVERAGE(OFFSET($H$3,0,0,'Données projet'!$E$15+1,1))</f>
        <v>147.64256291235483</v>
      </c>
      <c r="EP41" s="59">
        <f t="shared" si="76"/>
        <v>70.859031694091868</v>
      </c>
      <c r="EQ41" s="15">
        <f>IF(ISNA(VLOOKUP(A41,'Données projet'!$A$201:$I$221,3,0)),0,VLOOKUP(A41,'Données projet'!$A$201:$I$221,3,0))</f>
        <v>0</v>
      </c>
      <c r="ER41" s="15">
        <f>IF(ISNA(VLOOKUP(A41,'Données projet'!$A$201:$I$221,4,0)),0,VLOOKUP(A41,'Données projet'!$A$201:$I$221,4,0))</f>
        <v>0</v>
      </c>
      <c r="ES41" s="16">
        <f>IF(ISNA(VLOOKUP(A41,'Données projet'!$A$201:$I$221,5,0)),0%,VLOOKUP(A41,'Données projet'!$A$201:$I$221,5,0)*VLOOKUP('Données projet'!$B$15,Paramètres!$A$1:$I$89,7,0))</f>
        <v>0</v>
      </c>
      <c r="ET41" s="16">
        <f>IF(ISNA(VLOOKUP(A41,'Données projet'!$A$201:$I$221,6,0)),0%,VLOOKUP(A41,'Données projet'!$A$201:$I$221,6,0)*VLOOKUP('Données projet'!$B$15,Paramètres!$A$1:$I$89,7,0))</f>
        <v>0</v>
      </c>
      <c r="EU41" s="16">
        <f>IF(ISNA(VLOOKUP(A41,'Données projet'!$A$201:$I$221,7,0)),0%,VLOOKUP(A41,'Données projet'!$A$201:$I$221,7,0))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projet'!$A$227:$I$247,2,0)</f>
        <v>#N/A</v>
      </c>
      <c r="FC41" s="12" t="e">
        <f>VLOOKUP(A41,'Données projet'!$A$227:$I$247,9,0)</f>
        <v>#N/A</v>
      </c>
      <c r="FD41" s="12">
        <f t="array" ref="FD41">INDEX(FC:FC,MIN(IF(ISNUMBER(FC41:FC237),ROW(FC41:FC237),"")))</f>
        <v>7</v>
      </c>
      <c r="FE41" s="12">
        <f>IF('Données projet'!$A$228&gt;35,FE40+FD41-FM40,IF(A41&lt;'Données projet'!$A$228,$FB$205^A41,IF(A41='Données projet'!$A$228,'Données projet'!$B$228,FE40+FD41-FM40)))</f>
        <v>136</v>
      </c>
      <c r="FF41" s="17">
        <f>FE41*VLOOKUP('Données projet'!$B$16,Paramètres!$A$1:$I$89,3,0)*VLOOKUP('Données projet'!$B$16,Paramètres!$A$1:$I$89,5,0)</f>
        <v>142.1472</v>
      </c>
      <c r="FG41" s="13">
        <f t="shared" si="77"/>
        <v>36.788462274191929</v>
      </c>
      <c r="FH41" s="20">
        <f t="shared" si="22"/>
        <v>311.64627846088428</v>
      </c>
      <c r="FI41" s="59">
        <f t="shared" si="23"/>
        <v>604.97961179421759</v>
      </c>
      <c r="FJ41" s="59">
        <f ca="1">AVERAGE(OFFSET($FI$3,0,0,'Données projet'!$E$16+1,1))-AVERAGE(OFFSET($H$3,0,0,'Données projet'!$E$16+1,1))</f>
        <v>259.03906550253788</v>
      </c>
      <c r="FK41" s="59">
        <f t="shared" si="78"/>
        <v>235.54542903570831</v>
      </c>
      <c r="FL41" s="15">
        <f>IF(ISNA(VLOOKUP(A41,'Données projet'!$A$227:$I$247,3,0)),0,VLOOKUP(A41,'Données projet'!$A$227:$I$247,3,0))</f>
        <v>0</v>
      </c>
      <c r="FM41" s="15">
        <f>IF(ISNA(VLOOKUP(A41,'Données projet'!$A$227:$I$247,4,0)),0,VLOOKUP(A41,'Données projet'!$A$227:$I$247,4,0))</f>
        <v>0</v>
      </c>
      <c r="FN41" s="16">
        <f>IF(ISNA(VLOOKUP(A41,'Données projet'!$A$227:$I$247,5,0)),0%,VLOOKUP(A41,'Données projet'!$A$227:$I$247,5,0)*VLOOKUP('Données projet'!$B$16,Paramètres!$A$1:$I$89,7,0))</f>
        <v>0</v>
      </c>
      <c r="FO41" s="16">
        <f>IF(ISNA(VLOOKUP(A41,'Données projet'!$A$227:$I$247,6,0)),0%,VLOOKUP(A41,'Données projet'!$A$227:$I$247,6,0)*VLOOKUP('Données projet'!$B$16,Paramètres!$A$1:$I$89,7,0))</f>
        <v>0</v>
      </c>
      <c r="FP41" s="16">
        <f>IF(ISNA(VLOOKUP(A41,'Données projet'!$A$227:$I$247,7,0)),0%,VLOOKUP(A41,'Données projet'!$A$227:$I$247,7,0))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0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projet'!$A$253:$I$273,2,0)</f>
        <v>#N/A</v>
      </c>
      <c r="FX41" s="12" t="e">
        <f>VLOOKUP(A41,'Données projet'!$A$253:$I$273,9,0)</f>
        <v>#N/A</v>
      </c>
      <c r="FY41" s="12">
        <f t="array" ref="FY41">INDEX(FX:FX,MIN(IF(ISNUMBER(FX41:FX237),ROW(FX41:FX237),"")))</f>
        <v>9.6</v>
      </c>
      <c r="FZ41" s="12">
        <f>IF('Données projet'!$A$254&gt;35,FZ40+FY41-GH40,IF(A41&lt;'Données projet'!$A$254,$FW$205^A41,IF(A41='Données projet'!$A$254,'Données projet'!$B$254,FZ40+FY41-GH40)))</f>
        <v>172.8</v>
      </c>
      <c r="GA41" s="17">
        <f>FZ41*VLOOKUP('Données projet'!$B$17,Paramètres!$A$1:$I$89,3,0)*VLOOKUP('Données projet'!$B$17,Paramètres!$A$1:$I$89,5,0)</f>
        <v>150.95808000000002</v>
      </c>
      <c r="GB41" s="13">
        <f t="shared" si="79"/>
        <v>38.796231993724774</v>
      </c>
      <c r="GC41" s="20">
        <f t="shared" si="25"/>
        <v>330.48876005573732</v>
      </c>
      <c r="GD41" s="59">
        <f t="shared" si="26"/>
        <v>623.82209338907069</v>
      </c>
      <c r="GE41" s="59">
        <f ca="1">AVERAGE(OFFSET($GD$3,0,0,'Données projet'!$E$17+1,1))-AVERAGE(OFFSET($H$3,0,0,'Données projet'!$E$17+1,1))</f>
        <v>245.1983232777614</v>
      </c>
      <c r="GF41" s="59">
        <f t="shared" si="80"/>
        <v>242.34010522344573</v>
      </c>
      <c r="GG41" s="15">
        <f>IF(ISNA(VLOOKUP(A41,'Données projet'!$A$253:$I$273,3,0)),0,VLOOKUP(A41,'Données projet'!$A$253:$I$273,3,0))</f>
        <v>0</v>
      </c>
      <c r="GH41" s="15">
        <f>IF(ISNA(VLOOKUP(A41,'Données projet'!$A$253:$I$273,4,0)),0,VLOOKUP(A41,'Données projet'!$A$253:$I$273,4,0))</f>
        <v>0</v>
      </c>
      <c r="GI41" s="16">
        <f>IF(ISNA(VLOOKUP(A41,'Données projet'!$A$253:$I$273,5,0)),0%,VLOOKUP(A41,'Données projet'!$A$253:$I$273,5,0)*VLOOKUP('Données projet'!$B$17,Paramètres!$A$1:$I$89,7,0))</f>
        <v>0</v>
      </c>
      <c r="GJ41" s="16">
        <f>IF(ISNA(VLOOKUP(A41,'Données projet'!$A$253:$I$273,6,0)),0%,VLOOKUP(A41,'Données projet'!$A$253:$I$273,6,0)*VLOOKUP('Données projet'!$B$17,Paramètres!$A$1:$I$89,7,0))</f>
        <v>0</v>
      </c>
      <c r="GK41" s="16">
        <f>IF(ISNA(VLOOKUP(A41,'Données projet'!$A$253:$I$273,7,0)),0%,VLOOKUP(A41,'Données projet'!$A$253:$I$273,7,0))</f>
        <v>0</v>
      </c>
      <c r="GL41" s="21">
        <f>EXP(-LN(2)/35)*GL40+(1-EXP(-LN(2)/35))/(LN(2)/35)*GH41*GI41*VLOOKUP('Données projet'!$B$17,Paramètres!$A$1:$I$89,3,0)*0.475*44/12</f>
        <v>2.369176870586732</v>
      </c>
      <c r="GM41" s="21">
        <f>EXP(-LN(2)/25)*GM40+(1-EXP(-LN(2)/25))/(LN(2)/25)*Calculateur!GH41*Calculateur!GJ41*VLOOKUP('Données projet'!$B$17,Paramètres!$A$1:$I$89,3,0)*0.475*44/12</f>
        <v>7.8385854165507816</v>
      </c>
      <c r="GN41" s="21">
        <f>EXP(-LN(2)/2)*GN40+(1-EXP(-LN(2)/2))/(LN(2)/2)*GH41*GK41*VLOOKUP('Données projet'!$B$17,Paramètres!$A$1:$I$89,3,0)*0.475*44/12</f>
        <v>0</v>
      </c>
      <c r="GO41" s="21">
        <f t="shared" si="27"/>
        <v>10.207762287137513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projet'!$A$279:$I$299,2,0)</f>
        <v>#N/A</v>
      </c>
      <c r="GS41" s="12" t="e">
        <f>VLOOKUP(A41,'Données projet'!$A$279:$I$299,9,0)</f>
        <v>#N/A</v>
      </c>
      <c r="GT41" s="12">
        <f t="array" ref="GT41">INDEX(GS:GS,MIN(IF(ISNUMBER(GS41:GS237),ROW(GS41:GS237),"")))</f>
        <v>20.8</v>
      </c>
      <c r="GU41" s="12">
        <f>IF('Données projet'!$A$280&gt;35,GU40+GT41-HC40,IF(A41&lt;'Données projet'!$A$280,$GR$205^A41,IF(A41='Données projet'!$A$280,'Données projet'!$B$280,GU40+GT41-HC40)))</f>
        <v>445.40000000000015</v>
      </c>
      <c r="GV41" s="17">
        <f>GU41*VLOOKUP('Données projet'!$B$18,Paramètres!$A$1:$I$89,3,0)*VLOOKUP('Données projet'!$B$18,Paramètres!$A$1:$I$89,5,0)</f>
        <v>179.49620000000007</v>
      </c>
      <c r="GW41" s="13">
        <f t="shared" si="81"/>
        <v>45.210081671161078</v>
      </c>
      <c r="GX41" s="20">
        <f t="shared" si="28"/>
        <v>391.36344057727229</v>
      </c>
      <c r="GY41" s="59">
        <f t="shared" si="29"/>
        <v>684.69677391060554</v>
      </c>
      <c r="GZ41" s="59">
        <f ca="1">AVERAGE(OFFSET($GY$3,0,0,'Données projet'!$E$18+1,1))-AVERAGE(OFFSET($H$3,0,0,'Données projet'!$E$18+1,1))</f>
        <v>324.36162935850876</v>
      </c>
      <c r="HA41" s="59">
        <f t="shared" si="82"/>
        <v>265.23571072429735</v>
      </c>
      <c r="HB41" s="15">
        <f>IF(ISNA(VLOOKUP(A41,'Données projet'!$A$279:$I$299,3,0)),0,VLOOKUP(A41,'Données projet'!$A$279:$I$299,3,0))</f>
        <v>0</v>
      </c>
      <c r="HC41" s="15">
        <f>IF(ISNA(VLOOKUP(A41,'Données projet'!$A$279:$I$299,4,0)),0,VLOOKUP(A41,'Données projet'!$A$279:$I$299,4,0))</f>
        <v>0</v>
      </c>
      <c r="HD41" s="16">
        <f>IF(ISNA(VLOOKUP(A41,'Données projet'!$A$279:$I$299,5,0)),0%,VLOOKUP(A41,'Données projet'!$A$279:$I$299,5,0)*VLOOKUP('Données projet'!$B$18,Paramètres!$A$1:$I$89,7,0))</f>
        <v>0</v>
      </c>
      <c r="HE41" s="16">
        <f>IF(ISNA(VLOOKUP(A41,'Données projet'!$A$279:$I$299,6,0)),0%,VLOOKUP(A41,'Données projet'!$A$279:$I$299,6,0)*VLOOKUP('Données projet'!$B$18,Paramètres!$A$1:$I$89,7,0))</f>
        <v>0</v>
      </c>
      <c r="HF41" s="16">
        <f>IF(ISNA(VLOOKUP($A41,'Données projet'!$A$279:$I$299,7,0)),0%,VLOOKUP($A41,'Données projet'!$A$279:$I$299,7,0))</f>
        <v>0</v>
      </c>
      <c r="HG41" s="21">
        <f>EXP(-LN(2)/35)*HG40+(1-EXP(-LN(2)/35))/(LN(2)/35)*HC41*HD41*VLOOKUP('Données projet'!$B$18,Paramètres!$A$1:$I$89,3,0)*0.475*44/12</f>
        <v>0.41560884348825833</v>
      </c>
      <c r="HH41" s="21">
        <f>EXP(-LN(2)/25)*HH40+(1-EXP(-LN(2)/25))/(LN(2)/25)*Calculateur!HC41*Calculateur!HE41*VLOOKUP('Données projet'!$B$18,Paramètres!$A$1:$I$89,3,0)*0.475*44/12</f>
        <v>4.849569977729062</v>
      </c>
      <c r="HI41" s="21">
        <f>EXP(-LN(2)/2)*HI40+(1-EXP(-LN(2)/2))/(LN(2)/2)*HC41*HF41*VLOOKUP('Données projet'!$B$18,Paramètres!$A$1:$I$89,3,0)*0.475*44/12</f>
        <v>2.371485838591854</v>
      </c>
      <c r="HJ41" s="22">
        <f t="shared" si="30"/>
        <v>7.6366646598091741</v>
      </c>
      <c r="HK41" s="74">
        <f>('Scénario référence'!$F$8+'Scénario référence'!$F$9+'Scénario référence'!$B$17+'Scénario référence'!$B$9+'Scénario référence'!$B$10)*70+IF((45+25*(1-EXP(-0.0175*$A41)))&lt;70,'Scénario référence'!$B$16*(45+25*(1-EXP(-0.0175*$A41))),70*'Scénario référence'!$B$16)+IF((32+38*(1-EXP(-0.0175*$A41)))&lt;70,'Scénario référence'!$B$18*(32+38*(1-EXP(-0.0175*$A41))),70*'Scénario référence'!$B$18)</f>
        <v>70</v>
      </c>
      <c r="HL41" s="12">
        <f>IF($A41&gt;30,10,('Scénario référence'!$B$16+'Scénario référence'!$B$17+'Scénario référence'!$B$18+'Scénario référence'!$B$9+'Scénario référence'!$B$10)*$A41*10/30+('Scénario référence'!$F$8+'Scénario référence'!$F$9)*10)</f>
        <v>10</v>
      </c>
      <c r="HM41" s="12" t="e">
        <f>VLOOKUP($A41,'Données projet'!$A$304:$I$324,2,0)</f>
        <v>#N/A</v>
      </c>
      <c r="HN41" s="12" t="e">
        <f>VLOOKUP($A41,'Données projet'!$A$304:$I$324,9,0)</f>
        <v>#N/A</v>
      </c>
      <c r="HO41" s="12">
        <f t="array" ref="HO41">INDEX(HN:HN,MIN(IF(ISNUMBER(HN41:HN237),ROW(HN41:HN237),"")))</f>
        <v>0</v>
      </c>
      <c r="HP41" s="12">
        <f>IF('Données projet'!$A$304&gt;35,HP40+HO41-HX40,IF($A41&lt;'Données projet'!$A$304,$CQ$205^$A41,IF($A41='Données projet'!$A$304,'Données projet'!$B$304,HP40+HO41-HX40)))</f>
        <v>0</v>
      </c>
      <c r="HQ41" s="17">
        <f>HP41*VLOOKUP('Données projet'!$B$19,Paramètres!$A$1:$I$89,3,0)*VLOOKUP('Données projet'!$B$19,Paramètres!$A$1:$I$89,5,0)</f>
        <v>0</v>
      </c>
      <c r="HR41" s="13" t="e">
        <f t="shared" si="83"/>
        <v>#NUM!</v>
      </c>
      <c r="HS41" s="14" t="e">
        <f t="shared" si="31"/>
        <v>#NUM!</v>
      </c>
      <c r="HT41" s="59" t="e">
        <f t="shared" si="32"/>
        <v>#NUM!</v>
      </c>
      <c r="HU41" s="59">
        <f ca="1">AVERAGE(OFFSET(HT$3,0,0,'Données projet'!$E$19+1,1))-AVERAGE(OFFSET($H$3,0,0,'Données projet'!$E$19+1,1))</f>
        <v>91.60721429656013</v>
      </c>
      <c r="HV41" s="59">
        <f t="shared" si="84"/>
        <v>258.94957804210856</v>
      </c>
      <c r="HW41" s="15">
        <f>IF(ISNA(VLOOKUP($A41,'Données projet'!$A$304:$I$324,3,0)),0,VLOOKUP($A41,'Données projet'!$A$304:$I$324,3,0))</f>
        <v>0</v>
      </c>
      <c r="HX41" s="15">
        <f>IF(ISNA(VLOOKUP($A41,'Données projet'!$A$304:$I$324,4,0)),0,VLOOKUP($A41,'Données projet'!$A$304:$I$324,4,0))</f>
        <v>0</v>
      </c>
      <c r="HY41" s="16">
        <f>IF(ISNA(VLOOKUP($A41,'Données projet'!$A$304:$I$324,5,0)),0%,VLOOKUP($A41,'Données projet'!$A$304:$I$324,5,0)*VLOOKUP('Données projet'!$B$19,Paramètres!$A$1:$I$89,7,0))</f>
        <v>0</v>
      </c>
      <c r="HZ41" s="16">
        <f>IF(ISNA(VLOOKUP($A41,'Données projet'!$A$304:$I$324,6,0)),0%,VLOOKUP($A41,'Données projet'!$A$304:$I$324,6,0)*VLOOKUP('Données projet'!$B$19,Paramètres!$A$1:$I$89,7,0))</f>
        <v>0</v>
      </c>
      <c r="IA41" s="16">
        <f>IF(ISNA(VLOOKUP($A41,'Données projet'!$A$304:$I$324,7,0)),0%,VLOOKUP($A41,'Données projet'!$A$304:$I$324,7,0))</f>
        <v>0</v>
      </c>
      <c r="IB41" s="21">
        <f>EXP(-LN(2)/35)*IB40+(1-EXP(-LN(2)/35))/(LN(2)/35)*HX41*HY41*VLOOKUP('Données projet'!$B$19,Paramètres!$A$1:$I$89,3,0)*0.475*44/12</f>
        <v>42.104456973919753</v>
      </c>
      <c r="IC41" s="21">
        <f>EXP(-LN(2)/25)*IC40+(1-EXP(-LN(2)/25))/(LN(2)/25)*Calculateur!HX41*Calculateur!HZ41*VLOOKUP('Données projet'!$B$19,Paramètres!$A$1:$I$89,3,0)*0.475*44/12</f>
        <v>7.7925888176806799</v>
      </c>
      <c r="ID41" s="21">
        <f>EXP(-LN(2)/2)*ID40+(1-EXP(-LN(2)/2))/(LN(2)/2)*HX41*IA41*VLOOKUP('Données projet'!$B$19,Paramètres!$A$1:$I$89,3,0)*0.475*44/12</f>
        <v>3.5803269483998597E-2</v>
      </c>
      <c r="IE41" s="22">
        <f t="shared" si="33"/>
        <v>49.932849061084433</v>
      </c>
      <c r="IF41" s="74">
        <f>('Scénario référence'!$F$8+'Scénario référence'!$F$9+'Scénario référence'!$B$17+'Scénario référence'!$B$9+'Scénario référence'!$B$10)*70+IF((45+25*(1-EXP(-0.0175*$A41)))&lt;70,'Scénario référence'!$B$16*(45+25*(1-EXP(-0.0175*$A41))),70*'Scénario référence'!$B$16)+IF((32+38*(1-EXP(-0.0175*$A41)))&lt;70,'Scénario référence'!$B$18*(32+38*(1-EXP(-0.0175*$A41))),70*'Scénario référence'!$B$18)</f>
        <v>70</v>
      </c>
      <c r="IG41" s="12">
        <f>IF($A41&gt;30,10,('Scénario référence'!$B$16+'Scénario référence'!$B$17+'Scénario référence'!$B$18+'Scénario référence'!$B$9+'Scénario référence'!$B$10)*$A41*10/30+('Scénario référence'!$F$8+'Scénario référence'!$F$9)*10)</f>
        <v>10</v>
      </c>
      <c r="IH41" s="12" t="e">
        <f>VLOOKUP($A41,'Données projet'!$A$330:$I$350,2,0)</f>
        <v>#N/A</v>
      </c>
      <c r="II41" s="12" t="e">
        <f>VLOOKUP($A41,'Données projet'!$A$330:$I$350,9,0)</f>
        <v>#N/A</v>
      </c>
      <c r="IJ41" s="12">
        <f t="array" ref="IJ41">INDEX(II:II,MIN(IF(ISNUMBER(II41:II237),ROW(II41:II237),"")))</f>
        <v>0</v>
      </c>
      <c r="IK41" s="12">
        <f>IF('Données projet'!$A$330&gt;35,IK40+IJ41-IS40,IF($A41&lt;'Données projet'!$A$330,$CQ$205^$A41,IF($A41='Données projet'!$A$330,'Données projet'!$B$330,IK40+IJ41-IS40)))</f>
        <v>0</v>
      </c>
      <c r="IL41" s="17">
        <f>IK41*VLOOKUP('Données projet'!$B$20,Paramètres!$A$1:$I$89,3,0)*VLOOKUP('Données projet'!$B$20,Paramètres!$A$1:$I$89,5,0)</f>
        <v>0</v>
      </c>
      <c r="IM41" s="13" t="e">
        <f t="shared" si="85"/>
        <v>#NUM!</v>
      </c>
      <c r="IN41" s="20" t="e">
        <f t="shared" si="86"/>
        <v>#NUM!</v>
      </c>
      <c r="IO41" s="59" t="e">
        <f t="shared" si="87"/>
        <v>#NUM!</v>
      </c>
      <c r="IP41" s="59">
        <f ca="1">AVERAGE(OFFSET(IO$3,0,0,'Données projet'!$E$20+1,1))-AVERAGE(OFFSET($H$3,0,0,'Données projet'!$E$20+1,1))</f>
        <v>91.60721429656013</v>
      </c>
      <c r="IQ41" s="59">
        <f t="shared" si="88"/>
        <v>258.94957804210856</v>
      </c>
      <c r="IR41" s="15">
        <f>IF(ISNA(VLOOKUP($A41,'Données projet'!$A$330:$I$350,3,0)),0,VLOOKUP($A41,'Données projet'!$A$330:$I$350,3,0))</f>
        <v>0</v>
      </c>
      <c r="IS41" s="15">
        <f>IF(ISNA(VLOOKUP($A41,'Données projet'!$A$330:$I$350,4,0)),0,VLOOKUP($A41,'Données projet'!$A$330:$I$350,4,0))</f>
        <v>0</v>
      </c>
      <c r="IT41" s="16">
        <f>IF(ISNA(VLOOKUP($A41,'Données projet'!$A$330:$I$350,5,0)),0%,VLOOKUP($A41,'Données projet'!$A$330:$I$350,5,0)*VLOOKUP('Données projet'!$B$20,Paramètres!$A$1:$I$89,7,0))</f>
        <v>0</v>
      </c>
      <c r="IU41" s="16">
        <f>IF(ISNA(VLOOKUP($A41,'Données projet'!$A$330:$I$350,6,0)),0%,VLOOKUP($A41,'Données projet'!$A$330:$I$350,6,0)*VLOOKUP('Données projet'!$B$20,Paramètres!$A$1:$I$89,7,0))</f>
        <v>0</v>
      </c>
      <c r="IV41" s="16">
        <f>IF(ISNA(VLOOKUP($A41,'Données projet'!$A$330:$I$350,7,0)),0%,VLOOKUP($A41,'Données projet'!$A$330:$I$350,7,0))</f>
        <v>0</v>
      </c>
      <c r="IW41" s="21">
        <f>EXP(-LN(2)/35)*IW40+(1-EXP(-LN(2)/35))/(LN(2)/35)*IS41*IT41*VLOOKUP('Données projet'!$B$20,Paramètres!$A$1:$I$89,3,0)*0.475*44/12</f>
        <v>42.104456973919753</v>
      </c>
      <c r="IX41" s="21">
        <f>EXP(-LN(2)/25)*IX40+(1-EXP(-LN(2)/25))/(LN(2)/25)*Calculateur!IS41*Calculateur!IU41*VLOOKUP('Données projet'!$B$20,Paramètres!$A$1:$I$89,3,0)*0.475*44/12</f>
        <v>7.7925888176806799</v>
      </c>
      <c r="IY41" s="21">
        <f>EXP(-LN(2)/2)*IY40+(1-EXP(-LN(2)/2))/(LN(2)/2)*IS41*IV41*VLOOKUP('Données projet'!$B$20,Paramètres!$A$1:$I$89,3,0)*0.475*44/12</f>
        <v>3.5803269483998597E-2</v>
      </c>
      <c r="IZ41" s="22">
        <f t="shared" si="89"/>
        <v>49.932849061084433</v>
      </c>
      <c r="JA41" s="74">
        <f>('Scénario référence'!$F$8+'Scénario référence'!$F$9+'Scénario référence'!$B$17+'Scénario référence'!$B$9+'Scénario référence'!$B$10)*70+IF((45+25*(1-EXP(-0.0175*$A41)))&lt;70,'Scénario référence'!$B$16*(45+25*(1-EXP(-0.0175*$A41))),70*'Scénario référence'!$B$16)+IF((32+38*(1-EXP(-0.0175*$A41)))&lt;70,'Scénario référence'!$B$18*(32+38*(1-EXP(-0.0175*$A41))),70*'Scénario référence'!$B$18)</f>
        <v>70</v>
      </c>
      <c r="JB41" s="12">
        <f>IF($A41&gt;30,10,('Scénario référence'!$B$16+'Scénario référence'!$B$17+'Scénario référence'!$B$18+'Scénario référence'!$B$9+'Scénario référence'!$B$10)*$A41*10/30+('Scénario référence'!$F$8+'Scénario référence'!$F$9)*10)</f>
        <v>10</v>
      </c>
      <c r="JC41" s="12" t="e">
        <f>VLOOKUP($A41,'Données projet'!$A$356:$I$376,2,0)</f>
        <v>#N/A</v>
      </c>
      <c r="JD41" s="12" t="e">
        <f>VLOOKUP($A41,'Données projet'!$A$356:$I$376,9,0)</f>
        <v>#N/A</v>
      </c>
      <c r="JE41" s="12">
        <f t="array" ref="JE41">INDEX(JD:JD,MIN(IF(ISNUMBER(JD41:JD237),ROW(JD41:JD237),"")))</f>
        <v>30.4</v>
      </c>
      <c r="JF41" s="12">
        <f>IF('Données projet'!$A$356&gt;35,JF40+JE41-JN40,IF($A41&lt;'Données projet'!$A$356,$CQ$205^$A41,IF($A41='Données projet'!$A$356,'Données projet'!$B$356,JF40+JE41-JN40)))</f>
        <v>102.20000000000007</v>
      </c>
      <c r="JG41" s="17">
        <f>JF41*VLOOKUP('Données projet'!$B$21,Paramètres!$A$1:$I$89,3,0)*VLOOKUP('Données projet'!$B$21,Paramètres!$A$1:$I$89,5,0)</f>
        <v>82.904640000000072</v>
      </c>
      <c r="JH41" s="13">
        <f t="shared" si="90"/>
        <v>22.845902864304541</v>
      </c>
      <c r="JI41" s="20">
        <f t="shared" si="91"/>
        <v>184.18219548866387</v>
      </c>
      <c r="JJ41" s="59">
        <f t="shared" si="92"/>
        <v>477.51552882199718</v>
      </c>
      <c r="JK41" s="59">
        <f ca="1">AVERAGE(OFFSET($JJ$3,0,0,'Données projet'!$E$22+1,1))-AVERAGE(OFFSET($H$3,0,0,'Données projet'!$E$22+1,1))</f>
        <v>353.35574633294613</v>
      </c>
      <c r="JL41" s="59">
        <f t="shared" si="93"/>
        <v>170.36796666474726</v>
      </c>
      <c r="JM41" s="15">
        <f>IF(ISNA(VLOOKUP($A41,'Données projet'!$A$356:$I$376,3,0)),0,VLOOKUP($A41,'Données projet'!$A$356:$I$376,3,0))</f>
        <v>0</v>
      </c>
      <c r="JN41" s="15">
        <f>IF(ISNA(VLOOKUP($A41,'Données projet'!$A$356:$I$376,4,0)),0,VLOOKUP($A41,'Données projet'!$A$356:$I$376,4,0))</f>
        <v>0</v>
      </c>
      <c r="JO41" s="16">
        <f>IF(ISNA(VLOOKUP($A41,'Données projet'!$A$356:$I$376,5,0)),0%,VLOOKUP($A41,'Données projet'!$A$356:$I$376,5,0)*VLOOKUP('Données projet'!$B$21,Paramètres!$A$1:$I$89,7,0))</f>
        <v>0</v>
      </c>
      <c r="JP41" s="16">
        <f>IF(ISNA(VLOOKUP($A41,'Données projet'!$A$356:$I$376,6,0)),0%,VLOOKUP($A41,'Données projet'!$A$356:$I$376,6,0)*VLOOKUP('Données projet'!$B$21,Paramètres!$A$1:$I$89,7,0))</f>
        <v>0</v>
      </c>
      <c r="JQ41" s="16">
        <f>IF(ISNA(VLOOKUP($A41,'Données projet'!$A$356:$I$376,7,0)),0%,VLOOKUP($A41,'Données projet'!$A$356:$I$376,7,0))</f>
        <v>0</v>
      </c>
      <c r="JR41" s="21">
        <f>EXP(-LN(2)/35)*JR40+(1-EXP(-LN(2)/35))/(LN(2)/35)*JN41*JO41*VLOOKUP('Données projet'!$B$21,Paramètres!$A$1:$I$89,3,0)*0.475*44/12</f>
        <v>0</v>
      </c>
      <c r="JS41" s="21">
        <f>EXP(-LN(2)/25)*JS40+(1-EXP(-LN(2)/25))/(LN(2)/25)*Calculateur!JN41*Calculateur!JP41*VLOOKUP('Données projet'!$B$21,Paramètres!$A$1:$I$89,3,0)*0.475*44/12</f>
        <v>0.98961115412544765</v>
      </c>
      <c r="JT41" s="21">
        <f>EXP(-LN(2)/2)*JT40+(1-EXP(-LN(2)/2))/(LN(2)/2)*JN41*JQ41*VLOOKUP('Données projet'!$B$21,Paramètres!$A$1:$I$89,3,0)*0.475*44/12</f>
        <v>2.6749186997884395</v>
      </c>
      <c r="JU41" s="18">
        <f t="shared" si="39"/>
        <v>3.6645298539138871</v>
      </c>
      <c r="JV41" s="74">
        <f>('Scénario référence'!$F$8+'Scénario référence'!$F$9+'Scénario référence'!$B$17+'Scénario référence'!$B$9+'Scénario référence'!$B$10)*70+IF((45+25*(1-EXP(-0.0175*$A41)))&lt;70,'Scénario référence'!$B$16*(45+25*(1-EXP(-0.0175*$A41))),70*'Scénario référence'!$B$16)+IF((32+38*(1-EXP(-0.0175*$A41)))&lt;70,'Scénario référence'!$B$18*(32+38*(1-EXP(-0.0175*$A41))),70*'Scénario référence'!$B$18)</f>
        <v>70</v>
      </c>
      <c r="JW41" s="12">
        <f>IF($A41&gt;30,10,('Scénario référence'!$B$16+'Scénario référence'!$B$17+'Scénario référence'!$B$18+'Scénario référence'!$B$9+'Scénario référence'!$B$10)*$A41*10/30+('Scénario référence'!$F$8+'Scénario référence'!$F$9)*10)</f>
        <v>10</v>
      </c>
      <c r="JX41" s="12" t="e">
        <f>VLOOKUP($A41,'Données projet'!$A$382:$I$402,2,0)</f>
        <v>#N/A</v>
      </c>
      <c r="JY41" s="12" t="e">
        <f>VLOOKUP($A41,'Données projet'!$A$382:$I$402,9,0)</f>
        <v>#N/A</v>
      </c>
      <c r="JZ41" s="12">
        <f t="array" ref="JZ41">INDEX(JY:JY,MIN(IF(ISNUMBER(JY41:JY237),ROW(JY41:JY237),"")))</f>
        <v>9.3141025641025621</v>
      </c>
      <c r="KA41" s="12">
        <f>IF('Données projet'!$A$382&gt;35,KA40+JZ41-KI40,IF($A41&lt;'Données projet'!$A$382,$CQ$205^$A41,IF($A41='Données projet'!$A$382,'Données projet'!$B$382,KA40+JZ41-KI40)))</f>
        <v>129.50641025641022</v>
      </c>
      <c r="KB41" s="17">
        <f>KA41*VLOOKUP('Données projet'!$B$22,Paramètres!$A$1:$I$89,3,0)*VLOOKUP('Données projet'!$B$22,Paramètres!$A$1:$I$89,5,0)</f>
        <v>86.872899999999973</v>
      </c>
      <c r="KC41" s="13">
        <f t="shared" si="94"/>
        <v>23.809498585532257</v>
      </c>
      <c r="KD41" s="20">
        <f t="shared" si="95"/>
        <v>192.77184420313529</v>
      </c>
      <c r="KE41" s="59">
        <f t="shared" si="96"/>
        <v>486.1051775364686</v>
      </c>
      <c r="KF41" s="59">
        <f ca="1">AVERAGE(OFFSET($KE$3,0,0,'Données projet'!$E$22+1,1))-AVERAGE(OFFSET($H$3,0,0,'Données projet'!$E$22+1,1))</f>
        <v>193.91714772848269</v>
      </c>
      <c r="KG41" s="59">
        <f t="shared" si="97"/>
        <v>159.20429420478047</v>
      </c>
      <c r="KH41" s="15">
        <f>IF(ISNA(VLOOKUP($A41,'Données projet'!$A$382:$I$402,3,0)),0,VLOOKUP($A41,'Données projet'!$A$382:$I$402,3,0))</f>
        <v>0</v>
      </c>
      <c r="KI41" s="15">
        <f>IF(ISNA(VLOOKUP($A41,'Données projet'!$A$382:$I$402,4,0)),0,VLOOKUP($A41,'Données projet'!$A$382:$I$402,4,0))</f>
        <v>0</v>
      </c>
      <c r="KJ41" s="16">
        <f>IF(ISNA(VLOOKUP($A41,'Données projet'!$A$382:$I$402,5,0)),0%,VLOOKUP($A41,'Données projet'!$A$382:$I$402,5,0)*VLOOKUP('Données projet'!$B$22,Paramètres!$A$1:$I$89,7,0))</f>
        <v>0</v>
      </c>
      <c r="KK41" s="16">
        <f>IF(ISNA(VLOOKUP($A41,'Données projet'!$A$382:$I$402,6,0)),0%,VLOOKUP($A41,'Données projet'!$A$382:$I$402,6,0)*VLOOKUP('Données projet'!$B$22,Paramètres!$A$1:$I$89,7,0))</f>
        <v>0</v>
      </c>
      <c r="KL41" s="16">
        <f>IF(ISNA(VLOOKUP($A41,'Données projet'!$A$382:$I$402,7,0)),0%,VLOOKUP($A41,'Données projet'!$A$382:$I$402,7,0))</f>
        <v>0</v>
      </c>
      <c r="KM41" s="21">
        <f>EXP(-LN(2)/35)*KM40+(1-EXP(-LN(2)/35))/(LN(2)/35)*KI41*KJ41*VLOOKUP('Données projet'!$B$22,Paramètres!$A$1:$I$89,3,0)*0.475*44/12</f>
        <v>0</v>
      </c>
      <c r="KN41" s="21">
        <f>EXP(-LN(2)/25)*KN40+(1-EXP(-LN(2)/25))/(LN(2)/25)*Calculateur!KI41*Calculateur!KK41*VLOOKUP('Données projet'!$B$22,Paramètres!$A$1:$I$89,3,0)*0.475*44/12</f>
        <v>0</v>
      </c>
      <c r="KO41" s="21">
        <f>EXP(-LN(2)/2)*KO40+(1-EXP(-LN(2)/2))/(LN(2)/2)*KI41*KL41*VLOOKUP('Données projet'!$B$22,Paramètres!$A$1:$I$89,3,0)*0.475*44/12</f>
        <v>0</v>
      </c>
      <c r="KP41" s="22">
        <f t="shared" si="98"/>
        <v>0</v>
      </c>
      <c r="KQ41" s="74">
        <f>('Scénario référence'!$F$8+'Scénario référence'!$F$9+'Scénario référence'!$B$17+'Scénario référence'!$B$9+'Scénario référence'!$B$10)*70+IF((45+25*(1-EXP(-0.0175*$A41)))&lt;70,'Scénario référence'!$B$16*(45+25*(1-EXP(-0.0175*$A41))),70*'Scénario référence'!$B$16)+IF((32+38*(1-EXP(-0.0175*$A41)))&lt;70,'Scénario référence'!$B$18*(32+38*(1-EXP(-0.0175*$A41))),70*'Scénario référence'!$B$18)</f>
        <v>70</v>
      </c>
      <c r="KR41" s="12">
        <f>IF($A41&gt;30,10,('Scénario référence'!$B$16+'Scénario référence'!$B$17+'Scénario référence'!$B$18+'Scénario référence'!$B$9+'Scénario référence'!$B$10)*$A41*10/30+('Scénario référence'!$F$8+'Scénario référence'!$F$9)*10)</f>
        <v>10</v>
      </c>
      <c r="KS41" s="12" t="e">
        <f>VLOOKUP($A41,'Données projet'!$A$408:$I$428,2,0)</f>
        <v>#N/A</v>
      </c>
      <c r="KT41" s="12" t="e">
        <f>VLOOKUP($A41,'Données projet'!$A$408:$I$428,9,0)</f>
        <v>#N/A</v>
      </c>
      <c r="KU41" s="12">
        <f t="array" ref="KU41">INDEX(KT:KT,MIN(IF(ISNUMBER(KT41:KT237),ROW(KT41:KT237),"")))</f>
        <v>9.6</v>
      </c>
      <c r="KV41" s="12">
        <f>IF('Données projet'!$A$408&gt;35,KV40+KU41-LD40,IF($A41&lt;'Données projet'!$A$408,$CQ$205^$A41,IF($A41='Données projet'!$A$408,'Données projet'!$B$408,KV40+KU41-LD40)))</f>
        <v>172.80000000000004</v>
      </c>
      <c r="KW41" s="17">
        <f>KV41*VLOOKUP('Données projet'!$B$23,Paramètres!$A$1:$I$89,3,0)*VLOOKUP('Données projet'!$B$23,Paramètres!$A$1:$I$89,5,0)</f>
        <v>150.95808000000005</v>
      </c>
      <c r="KX41" s="13">
        <f t="shared" si="99"/>
        <v>38.796231993724774</v>
      </c>
      <c r="KY41" s="14">
        <f t="shared" si="43"/>
        <v>330.48876005573737</v>
      </c>
      <c r="KZ41" s="59">
        <f t="shared" si="44"/>
        <v>623.82209338907069</v>
      </c>
      <c r="LA41" s="59">
        <f ca="1">AVERAGE(OFFSET($KZ$3,0,0,'Données projet'!$E$23+1,1))-AVERAGE(OFFSET($H$3,0,0,'Données projet'!$E$23+1,1))</f>
        <v>248.33596943633819</v>
      </c>
      <c r="LB41" s="59">
        <f t="shared" si="100"/>
        <v>242.34010522344573</v>
      </c>
      <c r="LC41" s="15">
        <f>IF(ISNA(VLOOKUP($A41,'Données projet'!$A$408:$I$428,3,0)),0,VLOOKUP($A41,'Données projet'!$A$408:$I$428,3,0))</f>
        <v>0</v>
      </c>
      <c r="LD41" s="15">
        <f>IF(ISNA(VLOOKUP($A41,'Données projet'!$A$408:$I$428,4,0)),0,VLOOKUP($A41,'Données projet'!$A$408:$I$428,4,0))</f>
        <v>0</v>
      </c>
      <c r="LE41" s="16">
        <f>IF(ISNA(VLOOKUP($A41,'Données projet'!$A$408:$I$428,5,0)),0%,VLOOKUP($A41,'Données projet'!$A$408:$I$428,5,0)*VLOOKUP('Données projet'!$B$23,Paramètres!$A$1:$I$89,7,0))</f>
        <v>0</v>
      </c>
      <c r="LF41" s="16">
        <f>IF(ISNA(VLOOKUP($A41,'Données projet'!$A$408:$I$428,6,0)),0%,VLOOKUP($A41,'Données projet'!$A$408:$I$428,6,0)*VLOOKUP('Données projet'!$B$23,Paramètres!$A$1:$I$89,7,0))</f>
        <v>0</v>
      </c>
      <c r="LG41" s="16">
        <f>IF(ISNA(VLOOKUP($A41,'Données projet'!$A$408:$I$428,7,0)),0%,VLOOKUP($A41,'Données projet'!$A$408:$I$428,7,0))</f>
        <v>0</v>
      </c>
      <c r="LH41" s="21">
        <f>EXP(-LN(2)/35)*LH40+(1-EXP(-LN(2)/35))/(LN(2)/35)*LD41*LE41*VLOOKUP('Données projet'!$B$23,Paramètres!$A$1:$I$89,3,0)*0.475*44/12</f>
        <v>2.369176870586732</v>
      </c>
      <c r="LI41" s="21">
        <f>EXP(-LN(2)/25)*LI40+(1-EXP(-LN(2)/25))/(LN(2)/25)*Calculateur!LD41*Calculateur!LF41*VLOOKUP('Données projet'!$B$23,Paramètres!$A$1:$I$89,3,0)*0.475*44/12</f>
        <v>7.8385854165507816</v>
      </c>
      <c r="LJ41" s="21">
        <f>EXP(-LN(2)/2)*LJ40+(1-EXP(-LN(2)/2))/(LN(2)/2)*LD41*LG41*VLOOKUP('Données projet'!$B$23,Paramètres!$A$1:$I$89,3,0)*0.475*44/12</f>
        <v>0</v>
      </c>
      <c r="LK41" s="22">
        <f t="shared" si="101"/>
        <v>10.207762287137513</v>
      </c>
      <c r="LL41" s="74">
        <f>('Scénario référence'!$F$8+'Scénario référence'!$F$9+'Scénario référence'!$B$17+'Scénario référence'!$B$9+'Scénario référence'!$B$10)*70+IF((45+25*(1-EXP(-0.0175*$A41)))&lt;70,'Scénario référence'!$B$16*(45+25*(1-EXP(-0.0175*$A41))),70*'Scénario référence'!$B$16)+IF((32+38*(1-EXP(-0.0175*$A41)))&lt;70,'Scénario référence'!$B$18*(32+38*(1-EXP(-0.0175*$A41))),70*'Scénario référence'!$B$18)</f>
        <v>70</v>
      </c>
      <c r="LM41" s="12">
        <f>IF($A41&gt;30,10,('Scénario référence'!$B$16+'Scénario référence'!$B$17+'Scénario référence'!$B$18+'Scénario référence'!$B$9+'Scénario référence'!$B$10)*$A41*10/30+('Scénario référence'!$F$8+'Scénario référence'!$F$9)*10)</f>
        <v>10</v>
      </c>
      <c r="LN41" s="12" t="e">
        <f>VLOOKUP($A41,'Données projet'!$A$434:$I$454,2,0)</f>
        <v>#N/A</v>
      </c>
      <c r="LO41" s="12" t="e">
        <f>VLOOKUP($A41,'Données projet'!$A$434:$I$454,9,0)</f>
        <v>#N/A</v>
      </c>
      <c r="LP41" s="12">
        <f t="array" ref="LP41">INDEX(LO:LO,MIN(IF(ISNUMBER(LO41:LO237),ROW(LO41:LO237),"")))</f>
        <v>5.3369963369963358</v>
      </c>
      <c r="LQ41" s="12">
        <f>IF('Données projet'!$A$434&gt;35,LQ40+LP41-LY40,IF($A41&lt;'Données projet'!$A$434,$CQ$205^$A41,IF($A41='Données projet'!$A$434,'Données projet'!$B$434,LQ40+LP41-LY40)))</f>
        <v>130.40109890109892</v>
      </c>
      <c r="LR41" s="17">
        <f>LQ41*VLOOKUP('Données projet'!$B$24,Paramètres!$A$1:$I$89,3,0)*VLOOKUP('Données projet'!$B$24,Paramètres!$A$1:$I$89,5,0)</f>
        <v>132.22671428571431</v>
      </c>
      <c r="LS41" s="13">
        <f t="shared" si="102"/>
        <v>34.510377941523238</v>
      </c>
      <c r="LT41" s="14">
        <f t="shared" si="46"/>
        <v>290.4004356291054</v>
      </c>
      <c r="LU41" s="59">
        <f t="shared" si="103"/>
        <v>583.73376896243872</v>
      </c>
      <c r="LV41" s="59">
        <f ca="1">AVERAGE(OFFSET($LU$3,0,0,'Données projet'!$E$24+1,1))-AVERAGE(OFFSET($H$3,0,0,'Données projet'!$E$24+1,1))</f>
        <v>260.52627655062872</v>
      </c>
      <c r="LW41" s="59">
        <f t="shared" si="104"/>
        <v>159.20429420478047</v>
      </c>
      <c r="LX41" s="15">
        <f>IF(ISNA(VLOOKUP($A41,'Données projet'!$A$434:$I$454,3,0)),0,VLOOKUP($A41,'Données projet'!$A$434:$I$454,3,0))</f>
        <v>0</v>
      </c>
      <c r="LY41" s="15">
        <f>IF(ISNA(VLOOKUP($A41,'Données projet'!$A$434:$I$454,4,0)),0,VLOOKUP($A41,'Données projet'!$A$434:$I$454,4,0))</f>
        <v>0</v>
      </c>
      <c r="LZ41" s="16">
        <f>IF(ISNA(VLOOKUP($A41,'Données projet'!$A$434:$I$454,5,0)),0%,VLOOKUP($A41,'Données projet'!$A$434:$I$454,5,0)*VLOOKUP('Données projet'!$B$24,Paramètres!$A$1:$I$89,7,0))</f>
        <v>0</v>
      </c>
      <c r="MA41" s="16">
        <f>IF(ISNA(VLOOKUP($A41,'Données projet'!$A$434:$I$454,6,0)),0%,VLOOKUP($A41,'Données projet'!$A$434:$I$454,6,0)*VLOOKUP('Données projet'!$B$24,Paramètres!$A$1:$I$89,7,0))</f>
        <v>0</v>
      </c>
      <c r="MB41" s="16">
        <f>IF(ISNA(VLOOKUP($A41,'Données projet'!$A$434:$I$454,7,0)),0%,VLOOKUP($A41,'Données projet'!$A$434:$I$454,7,0))</f>
        <v>0</v>
      </c>
      <c r="MC41" s="21">
        <f>EXP(-LN(2)/35)*MC40+(1-EXP(-LN(2)/35))/(LN(2)/35)*LY41*LZ41*VLOOKUP('Données projet'!$B$24,Paramètres!$A$1:$I$89,3,0)*0.475*44/12</f>
        <v>0</v>
      </c>
      <c r="MD41" s="21">
        <f>EXP(-LN(2)/25)*MD40+(1-EXP(-LN(2)/25))/(LN(2)/25)*Calculateur!LY41*Calculateur!MA41*VLOOKUP('Données projet'!$B$24,Paramètres!$A$1:$I$89,3,0)*0.475*44/12</f>
        <v>0</v>
      </c>
      <c r="ME41" s="21">
        <f>EXP(-LN(2)/2)*ME40+(1-EXP(-LN(2)/2))/(LN(2)/2)*LY41*MB41*VLOOKUP('Données projet'!$B$24,Paramètres!$A$1:$I$89,3,0)*0.475*44/12</f>
        <v>0</v>
      </c>
      <c r="MF41" s="22">
        <f t="shared" si="105"/>
        <v>0</v>
      </c>
      <c r="MG41" s="74">
        <f>('Scénario référence'!$F$8+'Scénario référence'!$F$9+'Scénario référence'!$B$17+'Scénario référence'!$B$9+'Scénario référence'!$B$10)*70+IF((45+25*(1-EXP(-0.0175*$A41)))&lt;70,'Scénario référence'!$B$16*(45+25*(1-EXP(-0.0175*$A41))),70*'Scénario référence'!$B$16)+IF((32+38*(1-EXP(-0.0175*$A41)))&lt;70,'Scénario référence'!$B$18*(32+38*(1-EXP(-0.0175*$A41))),70*'Scénario référence'!$B$18)</f>
        <v>70</v>
      </c>
      <c r="MH41" s="12">
        <f>IF($A41&gt;30,10,('Scénario référence'!$B$16+'Scénario référence'!$B$17+'Scénario référence'!$B$18+'Scénario référence'!$B$9+'Scénario référence'!$B$10)*$A41*10/30+('Scénario référence'!$F$8+'Scénario référence'!$F$9)*10)</f>
        <v>10</v>
      </c>
      <c r="MI41" s="12" t="e">
        <f>VLOOKUP($A41,'Données projet'!$A$460:$I$480,2,0)</f>
        <v>#N/A</v>
      </c>
      <c r="MJ41" s="12" t="e">
        <f>VLOOKUP($A41,'Données projet'!$A$460:$I$480,9,0)</f>
        <v>#N/A</v>
      </c>
      <c r="MK41" s="12">
        <f t="array" ref="MK41">INDEX(MJ:MJ,MIN(IF(ISNUMBER(MJ41:MJ237),ROW(MJ41:MJ237),"")))</f>
        <v>0</v>
      </c>
      <c r="ML41" s="12">
        <f>IF('Données projet'!$A$460&gt;35,ML40+MK41-MT40,IF($A41&lt;'Données projet'!$A$460,$CQ$205^$A41,IF($A41='Données projet'!$A$460,'Données projet'!$B$460,ML40+MK41-MT40)))</f>
        <v>0</v>
      </c>
      <c r="MM41" s="17" t="e">
        <f>ML41*VLOOKUP('Données projet'!$B$25,Paramètres!$A$1:$I$89,3,0)*VLOOKUP('Données projet'!$B$25,Paramètres!$A$1:$I$89,5,0)</f>
        <v>#N/A</v>
      </c>
      <c r="MN41" s="13" t="e">
        <f t="shared" si="106"/>
        <v>#N/A</v>
      </c>
      <c r="MO41" s="14" t="e">
        <f t="shared" si="49"/>
        <v>#N/A</v>
      </c>
      <c r="MP41" s="59" t="e">
        <f t="shared" si="50"/>
        <v>#N/A</v>
      </c>
      <c r="MQ41" s="20" t="e">
        <f ca="1">AVERAGE(OFFSET($MP$3,0,0,'Données projet'!$E$25+1,1))-AVERAGE(OFFSET($H$3,0,0,'Données projet'!$E$25+1,1))</f>
        <v>#N/A</v>
      </c>
      <c r="MR41" s="59" t="e">
        <f t="shared" si="107"/>
        <v>#N/A</v>
      </c>
      <c r="MS41" s="15">
        <f>IF(ISNA(VLOOKUP($A41,'Données projet'!$A$460:$I$480,3,0)),0,VLOOKUP($A41,'Données projet'!$A$460:$I$480,3,0))</f>
        <v>0</v>
      </c>
      <c r="MT41" s="15">
        <f>IF(ISNA(VLOOKUP($A41,'Données projet'!$A$460:$I$480,4,0)),0,VLOOKUP($A41,'Données projet'!$A$460:$I$480,4,0))</f>
        <v>0</v>
      </c>
      <c r="MU41" s="16">
        <f>IF(ISNA(VLOOKUP($A41,'Données projet'!$A$460:$I$480,5,0)),0%,VLOOKUP($A41,'Données projet'!$A$460:$I$480,5,0)*VLOOKUP('Données projet'!$B$25,Paramètres!$A$1:$I$89,7,0))</f>
        <v>0</v>
      </c>
      <c r="MV41" s="16">
        <f>IF(ISNA(VLOOKUP($A41,'Données projet'!$A$460:$I$480,6,0)),0%,VLOOKUP($A41,'Données projet'!$A$460:$I$480,6,0)*VLOOKUP('Données projet'!$B$25,Paramètres!$A$1:$I$89,7,0))</f>
        <v>0</v>
      </c>
      <c r="MW41" s="16">
        <f>IF(ISNA(VLOOKUP($A41,'Données projet'!$A$460:$I$480,7,0)),0%,VLOOKUP($A41,'Données projet'!$A$460:$I$480,7,0))</f>
        <v>0</v>
      </c>
      <c r="MX41" s="21" t="e">
        <f>EXP(-LN(2)/35)*MX40+(1-EXP(-LN(2)/35))/(LN(2)/35)*MT41*MU41*VLOOKUP('Données projet'!$B$25,Paramètres!$A$1:$I$89,3,0)*0.475*44/12</f>
        <v>#N/A</v>
      </c>
      <c r="MY41" s="21" t="e">
        <f>EXP(-LN(2)/25)*MY40+(1-EXP(-LN(2)/25))/(LN(2)/25)*Calculateur!MT41*Calculateur!MV41*VLOOKUP('Données projet'!$B$25,Paramètres!$A$1:$I$89,3,0)*0.475*44/12</f>
        <v>#N/A</v>
      </c>
      <c r="MZ41" s="21" t="e">
        <f>EXP(-LN(2)/2)*MZ40+(1-EXP(-LN(2)/2))/(LN(2)/2)*MT41*MW41*VLOOKUP('Données projet'!$B$25,Paramètres!$A$1:$I$89,3,0)*0.475*44/12</f>
        <v>#N/A</v>
      </c>
      <c r="NA41" s="22" t="e">
        <f t="shared" si="108"/>
        <v>#N/A</v>
      </c>
      <c r="NB41" s="74">
        <f>('Scénario référence'!$F$8+'Scénario référence'!$F$9+'Scénario référence'!$B$17+'Scénario référence'!$B$9+'Scénario référence'!$B$10)*70+IF((45+25*(1-EXP(-0.0175*$A41)))&lt;70,'Scénario référence'!$B$16*(45+25*(1-EXP(-0.0175*$A41))),70*'Scénario référence'!$B$16)+IF((32+38*(1-EXP(-0.0175*$A41)))&lt;70,'Scénario référence'!$B$18*(32+38*(1-EXP(-0.0175*$A41))),70*'Scénario référence'!$B$18)</f>
        <v>70</v>
      </c>
      <c r="NC41" s="12">
        <f>IF($A41&gt;30,10,('Scénario référence'!$B$16+'Scénario référence'!$B$17+'Scénario référence'!$B$18+'Scénario référence'!$B$9+'Scénario référence'!$B$10)*$A41*10/30+('Scénario référence'!$F$8+'Scénario référence'!$F$9)*10)</f>
        <v>10</v>
      </c>
      <c r="ND41" s="12" t="e">
        <f>VLOOKUP($A41,'Données projet'!$A$486:$I$506,2,0)</f>
        <v>#N/A</v>
      </c>
      <c r="NE41" s="12" t="e">
        <f>VLOOKUP($A41,'Données projet'!$A$486:$I$506,9,0)</f>
        <v>#N/A</v>
      </c>
      <c r="NF41" s="12">
        <f t="array" ref="NF41">INDEX(NE:NE,MIN(IF(ISNUMBER(NE41:NE237),ROW(NE41:NE237),"")))</f>
        <v>0</v>
      </c>
      <c r="NG41" s="12">
        <f>IF('Données projet'!$A$486&gt;35,NG40+NF41-NO40,IF($A41&lt;'Données projet'!$A$486,$CQ$205^$A41,IF($A41='Données projet'!$A$486,'Données projet'!$B$486,NG40+NF41-NO40)))</f>
        <v>0</v>
      </c>
      <c r="NH41" s="17" t="e">
        <f>NG41*VLOOKUP('Données projet'!$B$26,Paramètres!$A$1:$I$89,3,0)*VLOOKUP('Données projet'!$B$26,Paramètres!$A$1:$I$89,5,0)</f>
        <v>#N/A</v>
      </c>
      <c r="NI41" s="13" t="e">
        <f t="shared" si="109"/>
        <v>#N/A</v>
      </c>
      <c r="NJ41" s="14" t="e">
        <f t="shared" si="52"/>
        <v>#N/A</v>
      </c>
      <c r="NK41" s="59" t="e">
        <f t="shared" si="53"/>
        <v>#N/A</v>
      </c>
      <c r="NL41" s="20" t="e">
        <f ca="1">AVERAGE(OFFSET($NK$3,0,0,'Données projet'!$E$26+1,1))-AVERAGE(OFFSET($H$3,0,0,'Données projet'!$E$26+1,1))</f>
        <v>#N/A</v>
      </c>
      <c r="NM41" s="59" t="e">
        <f t="shared" si="110"/>
        <v>#N/A</v>
      </c>
      <c r="NN41" s="15">
        <f>IF(ISNA(VLOOKUP($A41,'Données projet'!$A$486:$I$506,3,0)),0,VLOOKUP($A41,'Données projet'!$A$486:$I$506,3,0))</f>
        <v>0</v>
      </c>
      <c r="NO41" s="15">
        <f>IF(ISNA(VLOOKUP($A41,'Données projet'!$A$486:$I$506,4,0)),0,VLOOKUP($A41,'Données projet'!$A$486:$I$506,4,0))</f>
        <v>0</v>
      </c>
      <c r="NP41" s="16">
        <f>IF(ISNA(VLOOKUP($A41,'Données projet'!$A$486:$I$506,5,0)),0%,VLOOKUP($A41,'Données projet'!$A$486:$I$506,5,0)*VLOOKUP('Données projet'!$B$26,Paramètres!$A$1:$I$89,7,0))</f>
        <v>0</v>
      </c>
      <c r="NQ41" s="16">
        <f>IF(ISNA(VLOOKUP($A41,'Données projet'!$A$486:$I$506,6,0)),0%,VLOOKUP($A41,'Données projet'!$A$486:$I$506,6,0)*VLOOKUP('Données projet'!$B$26,Paramètres!$A$1:$I$89,7,0))</f>
        <v>0</v>
      </c>
      <c r="NR41" s="16">
        <f>IF(ISNA(VLOOKUP($A41,'Données projet'!$A$486:$I$506,7,0)),0%,VLOOKUP($A41,'Données projet'!$A$486:$I$506,7,0))</f>
        <v>0</v>
      </c>
      <c r="NS41" s="21" t="e">
        <f>EXP(-LN(2)/35)*NS40+(1-EXP(-LN(2)/35))/(LN(2)/35)*NO41*NP41*VLOOKUP('Données projet'!$B$26,Paramètres!$A$1:$I$89,3,0)*0.475*44/12</f>
        <v>#N/A</v>
      </c>
      <c r="NT41" s="21" t="e">
        <f>EXP(-LN(2)/25)*NT40+(1-EXP(-LN(2)/25))/(LN(2)/25)*Calculateur!NO41*Calculateur!NQ41*VLOOKUP('Données projet'!$B$26,Paramètres!$A$1:$I$89,3,0)*0.475*44/12</f>
        <v>#N/A</v>
      </c>
      <c r="NU41" s="21" t="e">
        <f>EXP(-LN(2)/2)*NU40+(1-EXP(-LN(2)/2))/(LN(2)/2)*NO41*NR41*VLOOKUP('Données projet'!$B$26,Paramètres!$A$1:$I$89,3,0)*0.475*44/12</f>
        <v>#N/A</v>
      </c>
      <c r="NV41" s="22" t="e">
        <f t="shared" si="111"/>
        <v>#N/A</v>
      </c>
      <c r="NW41" s="74">
        <f>('Scénario référence'!$F$8+'Scénario référence'!$F$9+'Scénario référence'!$B$17+'Scénario référence'!$B$9+'Scénario référence'!$B$10)*70+IF((45+25*(1-EXP(-0.0175*$A41)))&lt;70,'Scénario référence'!$B$16*(45+25*(1-EXP(-0.0175*$A41))),70*'Scénario référence'!$B$16)+IF((32+38*(1-EXP(-0.0175*$A41)))&lt;70,'Scénario référence'!$B$18*(32+38*(1-EXP(-0.0175*$A41))),70*'Scénario référence'!$B$18)</f>
        <v>70</v>
      </c>
      <c r="NX41" s="12">
        <f>IF($A41&gt;30,10,('Scénario référence'!$B$16+'Scénario référence'!$B$17+'Scénario référence'!$B$18+'Scénario référence'!$B$9+'Scénario référence'!$B$10)*$A41*10/30+('Scénario référence'!$F$8+'Scénario référence'!$F$9)*10)</f>
        <v>10</v>
      </c>
      <c r="NY41" s="12" t="e">
        <f>VLOOKUP($A41,'Données projet'!$A$512:$I$532,2,0)</f>
        <v>#N/A</v>
      </c>
      <c r="NZ41" s="12" t="e">
        <f>VLOOKUP($A41,'Données projet'!$A$512:$I$532,9,0)</f>
        <v>#N/A</v>
      </c>
      <c r="OA41" s="12">
        <f t="array" ref="OA41">INDEX(NZ:NZ,MIN(IF(ISNUMBER(NZ41:NZ237),ROW(NZ41:NZ237),"")))</f>
        <v>0</v>
      </c>
      <c r="OB41" s="12">
        <f>IF('Données projet'!$A$512&gt;35,OB40+OA41-OJ40,IF($A41&lt;'Données projet'!$A$512,$CQ$205^$A41,IF($A41='Données projet'!$A$512,'Données projet'!$B$512,OB40+OA41-OJ40)))</f>
        <v>0</v>
      </c>
      <c r="OC41" s="17" t="e">
        <f>OB41*VLOOKUP('Données projet'!$B$27,Paramètres!$A$1:$I$89,3,0)*VLOOKUP('Données projet'!$B$27,Paramètres!$A$1:$I$89,5,0)</f>
        <v>#N/A</v>
      </c>
      <c r="OD41" s="13" t="e">
        <f t="shared" si="112"/>
        <v>#N/A</v>
      </c>
      <c r="OE41" s="14" t="e">
        <f t="shared" si="55"/>
        <v>#N/A</v>
      </c>
      <c r="OF41" s="59" t="e">
        <f t="shared" si="56"/>
        <v>#N/A</v>
      </c>
      <c r="OG41" s="20" t="e">
        <f ca="1">AVERAGE(OFFSET($OF$3,0,0,'Données projet'!$E$27+1,1))-AVERAGE(OFFSET($H$3,0,0,'Données projet'!$E$27+1,1))</f>
        <v>#N/A</v>
      </c>
      <c r="OH41" s="59" t="e">
        <f t="shared" si="113"/>
        <v>#N/A</v>
      </c>
      <c r="OI41" s="15">
        <f>IF(ISNA(VLOOKUP($A41,'Données projet'!$A$512:$I$532,3,0)),0,VLOOKUP($A41,'Données projet'!$A$512:$I$532,3,0))</f>
        <v>0</v>
      </c>
      <c r="OJ41" s="15">
        <f>IF(ISNA(VLOOKUP($A41,'Données projet'!$A$512:$I$532,4,0)),0,VLOOKUP($A41,'Données projet'!$A$512:$I$532,4,0))</f>
        <v>0</v>
      </c>
      <c r="OK41" s="16">
        <f>IF(ISNA(VLOOKUP($A41,'Données projet'!$A$512:$I$532,5,0)),0%,VLOOKUP($A41,'Données projet'!$A$512:$I$532,5,0)*VLOOKUP('Données projet'!$B$27,Paramètres!$A$1:$I$89,7,0))</f>
        <v>0</v>
      </c>
      <c r="OL41" s="16">
        <f>IF(ISNA(VLOOKUP($A41,'Données projet'!$A$512:$I$532,6,0)),0%,VLOOKUP($A41,'Données projet'!$A$512:$I$532,6,0)*VLOOKUP('Données projet'!$B$27,Paramètres!$A$1:$I$89,7,0))</f>
        <v>0</v>
      </c>
      <c r="OM41" s="16">
        <f>IF(ISNA(VLOOKUP($A41,'Données projet'!$A$512:$I$532,7,0)),0%,VLOOKUP($A41,'Données projet'!$A$512:$I$532,7,0))</f>
        <v>0</v>
      </c>
      <c r="ON41" s="21" t="e">
        <f>EXP(-LN(2)/35)*ON40+(1-EXP(-LN(2)/35))/(LN(2)/35)*OJ41*OK41*VLOOKUP('Données projet'!$B$27,Paramètres!$A$1:$I$89,3,0)*0.475*44/12</f>
        <v>#N/A</v>
      </c>
      <c r="OO41" s="21" t="e">
        <f>EXP(-LN(2)/25)*OO40+(1-EXP(-LN(2)/25))/(LN(2)/25)*Calculateur!OJ41*Calculateur!OL41*VLOOKUP('Données projet'!$B$27,Paramètres!$A$1:$I$89,3,0)*0.475*44/12</f>
        <v>#N/A</v>
      </c>
      <c r="OP41" s="21" t="e">
        <f>EXP(-LN(2)/2)*OP40+(1-EXP(-LN(2)/2))/(LN(2)/2)*OJ41*OM41*VLOOKUP('Données projet'!$B$27,Paramètres!$A$1:$I$89,3,0)*0.475*44/12</f>
        <v>#N/A</v>
      </c>
      <c r="OQ41" s="22" t="e">
        <f t="shared" si="114"/>
        <v>#N/A</v>
      </c>
      <c r="OR41" s="74">
        <f>('Scénario référence'!$F$8+'Scénario référence'!$F$9+'Scénario référence'!$B$17+'Scénario référence'!$B$9+'Scénario référence'!$B$10)*70+IF((45+25*(1-EXP(-0.0175*$A41)))&lt;70,'Scénario référence'!$B$16*(45+25*(1-EXP(-0.0175*$A41))),70*'Scénario référence'!$B$16)+IF((32+38*(1-EXP(-0.0175*$A41)))&lt;70,'Scénario référence'!$B$18*(32+38*(1-EXP(-0.0175*$A41))),70*'Scénario référence'!$B$18)</f>
        <v>70</v>
      </c>
      <c r="OS41" s="12">
        <f>IF($A41&gt;30,10,('Scénario référence'!$B$16+'Scénario référence'!$B$17+'Scénario référence'!$B$18+'Scénario référence'!$B$9+'Scénario référence'!$B$10)*$A41*10/30+('Scénario référence'!$F$8+'Scénario référence'!$F$9)*10)</f>
        <v>10</v>
      </c>
      <c r="OT41" s="12" t="e">
        <f>VLOOKUP($A41,'Données projet'!$A$538:$I$558,2,0)</f>
        <v>#N/A</v>
      </c>
      <c r="OU41" s="12" t="e">
        <f>VLOOKUP($A41,'Données projet'!$A$538:$I$558,9,0)</f>
        <v>#N/A</v>
      </c>
      <c r="OV41" s="12">
        <f t="array" ref="OV41">INDEX(OU:OU,MIN(IF(ISNUMBER(OU41:OU237),ROW(OU41:OU237),"")))</f>
        <v>0</v>
      </c>
      <c r="OW41" s="12">
        <f>IF('Données projet'!$A$538&gt;35,OW40+OV41-PE40,IF($A41&lt;'Données projet'!$A$538,$CQ$205^$A41,IF($A41='Données projet'!$A$538,'Données projet'!$B$538,OW40+OV41-PE40)))</f>
        <v>0</v>
      </c>
      <c r="OX41" s="17" t="e">
        <f>OW41*VLOOKUP('Données projet'!$B$28,Paramètres!$A$1:$I$89,3,0)*VLOOKUP('Données projet'!$B$28,Paramètres!$A$1:$I$89,5,0)</f>
        <v>#N/A</v>
      </c>
      <c r="OY41" s="13" t="e">
        <f t="shared" si="115"/>
        <v>#N/A</v>
      </c>
      <c r="OZ41" s="14" t="e">
        <f t="shared" si="58"/>
        <v>#N/A</v>
      </c>
      <c r="PA41" s="59" t="e">
        <f t="shared" si="59"/>
        <v>#N/A</v>
      </c>
      <c r="PB41" s="20" t="e">
        <f ca="1">AVERAGE(OFFSET($PA$3,0,0,'Données projet'!$E$28+1,1))-AVERAGE(OFFSET($H$3,0,0,'Données projet'!$E$28+1,1))</f>
        <v>#N/A</v>
      </c>
      <c r="PC41" s="59" t="e">
        <f t="shared" si="116"/>
        <v>#N/A</v>
      </c>
      <c r="PD41" s="15">
        <f>IF(ISNA(VLOOKUP($A41,'Données projet'!$A$538:$I$558,3,0)),0,VLOOKUP($A41,'Données projet'!$A$538:$I$558,3,0))</f>
        <v>0</v>
      </c>
      <c r="PE41" s="15">
        <f>IF(ISNA(VLOOKUP($A41,'Données projet'!$A$538:$I$558,4,0)),0,VLOOKUP($A41,'Données projet'!$A$538:$I$558,4,0))</f>
        <v>0</v>
      </c>
      <c r="PF41" s="16">
        <f>IF(ISNA(VLOOKUP($A41,'Données projet'!$A$538:$I$558,5,0)),0%,VLOOKUP($A41,'Données projet'!$A$538:$I$558,5,0)*VLOOKUP('Données projet'!$B$28,Paramètres!$A$1:$I$89,7,0))</f>
        <v>0</v>
      </c>
      <c r="PG41" s="16">
        <f>IF(ISNA(VLOOKUP($A41,'Données projet'!$A$538:$I$558,6,0)),0%,VLOOKUP($A41,'Données projet'!$A$538:$I$558,6,0)*VLOOKUP('Données projet'!$B$28,Paramètres!$A$1:$I$89,7,0))</f>
        <v>0</v>
      </c>
      <c r="PH41" s="16">
        <f>IF(ISNA(VLOOKUP($A41,'Données projet'!$A$538:$I$558,7,0)),0%,VLOOKUP($A41,'Données projet'!$A$538:$I$558,7,0))</f>
        <v>0</v>
      </c>
      <c r="PI41" s="21" t="e">
        <f>EXP(-LN(2)/35)*PI40+(1-EXP(-LN(2)/35))/(LN(2)/35)*PE41*PF41*VLOOKUP('Données projet'!$B$28,Paramètres!$A$1:$I$89,3,0)*0.475*44/12</f>
        <v>#N/A</v>
      </c>
      <c r="PJ41" s="21" t="e">
        <f>EXP(-LN(2)/25)*PJ40+(1-EXP(-LN(2)/25))/(LN(2)/25)*Calculateur!PE41*Calculateur!PG41*VLOOKUP('Données projet'!$B$28,Paramètres!$A$1:$I$89,3,0)*0.475*44/12</f>
        <v>#N/A</v>
      </c>
      <c r="PK41" s="21" t="e">
        <f>EXP(-LN(2)/2)*PK40+(1-EXP(-LN(2)/2))/(LN(2)/2)*PE41*PH41*VLOOKUP('Données projet'!$B$28,Paramètres!$A$1:$I$89,3,0)*0.475*44/12</f>
        <v>#N/A</v>
      </c>
      <c r="PL41" s="22" t="e">
        <f t="shared" si="117"/>
        <v>#N/A</v>
      </c>
    </row>
    <row r="42" spans="1:428" x14ac:dyDescent="0.35">
      <c r="A42" s="10">
        <f t="shared" si="6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6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projet'!$A$45:$I$65,2,0)</f>
        <v>#N/A</v>
      </c>
      <c r="L42" s="12" t="e">
        <f>VLOOKUP(A42,'Données projet'!$A$45:$I$65,9,0)</f>
        <v>#N/A</v>
      </c>
      <c r="M42" s="12">
        <f t="array" ref="M42">INDEX(L:L,MIN(IF(ISNUMBER(L42:L238),ROW(L42:L238),"")))</f>
        <v>22.419230769230751</v>
      </c>
      <c r="N42" s="13">
        <f>IF('Données projet'!$A$46&gt;35,N41+M42-V41,IF(A42&lt;'Données projet'!$A$46,$K$205^A42,IF(A42='Données projet'!$A$46,'Données projet'!$B$46,N41+M42-V41)))</f>
        <v>401.46538461538461</v>
      </c>
      <c r="O42" s="13">
        <f>N42*VLOOKUP('Données projet'!$B$9,Paramètres!$A$1:$I$89,3,0)*VLOOKUP('Données projet'!$B$9,Paramètres!$A$1:$I$89,5,0)</f>
        <v>224.41915</v>
      </c>
      <c r="P42" s="13">
        <f t="shared" si="63"/>
        <v>55.074251579267461</v>
      </c>
      <c r="Q42" s="20">
        <f t="shared" si="118"/>
        <v>486.78434108389075</v>
      </c>
      <c r="R42" s="59">
        <f t="shared" si="0"/>
        <v>780.11767441722407</v>
      </c>
      <c r="S42" s="59">
        <f ca="1">AVERAGE(OFFSET($R$3,0,0,'Données projet'!$E$9+1,1))-AVERAGE(OFFSET($H$3,0,0,'Données projet'!$E$9+1,1))</f>
        <v>274.57619581652199</v>
      </c>
      <c r="T42" s="59">
        <f t="shared" si="64"/>
        <v>366.15117322598775</v>
      </c>
      <c r="U42" s="15">
        <f>IF(ISNA(VLOOKUP(A42,'Données projet'!$A$45:$I$65,3,0)),0,VLOOKUP(A42,'Données projet'!$A$45:$I$65,3,0))</f>
        <v>0</v>
      </c>
      <c r="V42" s="15">
        <f>IF(ISNA(VLOOKUP(A42,'Données projet'!$A$45:$I$65,4,0)),0,VLOOKUP(A42,'Données projet'!$A$45:$I$65,4,0))</f>
        <v>0</v>
      </c>
      <c r="W42" s="16">
        <f>IF(ISNA(VLOOKUP(A42,'Données projet'!$A$45:$I$65,5,0)),0%,VLOOKUP(A42,'Données projet'!$A$45:$I$65,5,0)*VLOOKUP('Données projet'!$B$9,Paramètres!$A$1:$I$89,7,0))</f>
        <v>0</v>
      </c>
      <c r="X42" s="16">
        <f>IF(ISNA(VLOOKUP(A42,'Données projet'!$A$45:$I$65,6,0)),0%,VLOOKUP(A42,'Données projet'!$A$45:$I$65,6,0)*VLOOKUP('Données projet'!$B$9,Paramètres!$A$1:$I$89,7,0))</f>
        <v>0</v>
      </c>
      <c r="Y42" s="16">
        <f>IF(ISNA(VLOOKUP(A42,'Données projet'!$A$45:$I$65,7,0)),0%,VLOOKUP(A42,'Données projet'!$A$45:$I$65,7,0))</f>
        <v>0</v>
      </c>
      <c r="Z42" s="21">
        <f>EXP(-LN(2)/35)*Z41+(1-EXP(-LN(2)/35))/(LN(2)/35)*V42*W42*VLOOKUP('Données projet'!$B$9,Paramètres!$A$1:$I$89,3,0)*0.475*44/12</f>
        <v>43.380725285428596</v>
      </c>
      <c r="AA42" s="21">
        <f>EXP(-LN(2)/25)*AA41+(1-EXP(-LN(2)/25))/(LN(2)/25)*Calculateur!V42*Calculateur!X42*VLOOKUP('Données projet'!$B$9,Paramètres!$A$1:$I$89,3,0)*0.475*44/12</f>
        <v>18.570678105204781</v>
      </c>
      <c r="AB42" s="21">
        <f>EXP(-LN(2)/2)*AB41+(1-EXP(-LN(2)/2))/(LN(2)/2)*V42*Y42*VLOOKUP('Données projet'!$B$9,Paramètres!$A$1:$I$89,3,0)*0.475*44/12</f>
        <v>2.3224383308684833</v>
      </c>
      <c r="AC42" s="22">
        <f t="shared" si="3"/>
        <v>64.273841721501853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projet'!$A$71:$I$91,2,0)</f>
        <v>#N/A</v>
      </c>
      <c r="AG42" s="12" t="e">
        <f>VLOOKUP(A42,'Données projet'!$A$71:$I$91,9,0)</f>
        <v>#N/A</v>
      </c>
      <c r="AH42" s="12">
        <f t="array" ref="AH42">INDEX(AG:AG,MIN(IF(ISNUMBER(AG42:AG238),ROW(AG42:AG238),"")))</f>
        <v>9.3141025641025621</v>
      </c>
      <c r="AI42" s="13">
        <f>IF('Données projet'!$A$72&gt;35,AI41+AH42-AQ41,IF(A42&lt;'Données projet'!$A$72,$AF$205^A42,IF(A42='Données projet'!$A$72,'Données projet'!$B$72,AI41+AH42-AQ41)))</f>
        <v>138.82051282051285</v>
      </c>
      <c r="AJ42" s="13">
        <f>AI42*VLOOKUP('Données projet'!$B$10,Paramètres!$A$1:$I$89,3,0)*VLOOKUP('Données projet'!$B$10,Paramètres!$A$1:$I$89,5,0)</f>
        <v>125.60480000000001</v>
      </c>
      <c r="AK42" s="13">
        <f t="shared" si="65"/>
        <v>32.978733659615138</v>
      </c>
      <c r="AL42" s="20">
        <f t="shared" si="4"/>
        <v>276.19965445716304</v>
      </c>
      <c r="AM42" s="59">
        <f t="shared" si="5"/>
        <v>569.53298779049635</v>
      </c>
      <c r="AN42" s="59">
        <f ca="1">AVERAGE(OFFSET($AM$3,0,0,'Données projet'!$E$10+1,1))-AVERAGE(OFFSET($H$3,0,0,'Données projet'!$E$10+1,1))</f>
        <v>270.87836509222456</v>
      </c>
      <c r="AO42" s="59">
        <f t="shared" si="66"/>
        <v>205.24998237949734</v>
      </c>
      <c r="AP42" s="15">
        <f>IF(ISNA(VLOOKUP(A42,'Données projet'!$A$71:$I$91,3,0)),0,VLOOKUP(A42,'Données projet'!$A$71:$I$91,3,0))</f>
        <v>0</v>
      </c>
      <c r="AQ42" s="15">
        <f>IF(ISNA(VLOOKUP(A42,'Données projet'!$A$71:$I$91,4,0)),0,VLOOKUP(A42,'Données projet'!$A$71:$I$91,4,0))</f>
        <v>0</v>
      </c>
      <c r="AR42" s="16">
        <f>IF(ISNA(VLOOKUP(A42,'Données projet'!$A$71:$I$91,5,0)),0%,VLOOKUP(A42,'Données projet'!$A$71:$I$91,5,0)*VLOOKUP('Données projet'!$B$10,Paramètres!$A$1:$I$89,7,0))</f>
        <v>0</v>
      </c>
      <c r="AS42" s="16">
        <f>IF(ISNA(VLOOKUP(A42,'Données projet'!$A$71:$I$91,6,0)),0%,VLOOKUP(A42,'Données projet'!$A$71:$I$91,6,0)*VLOOKUP('Données projet'!$B$10,Paramètres!$A$1:$I$89,7,0))</f>
        <v>0</v>
      </c>
      <c r="AT42" s="16">
        <f>IF(ISNA(VLOOKUP(A42,'Données projet'!$A$71:$I$91,7,0)),0%,VLOOKUP(A42,'Données projet'!$A$71:$I$91,7,0))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projet'!$A$97:$I$117,2,0)</f>
        <v>#N/A</v>
      </c>
      <c r="BB42" s="12" t="e">
        <f>VLOOKUP(A42,'Données projet'!$A$97:$I$117,9,0)</f>
        <v>#N/A</v>
      </c>
      <c r="BC42" s="12">
        <f t="array" ref="BC42">INDEX(BB:BB,MIN(IF(ISNUMBER(BB42:BB238),ROW(BB42:BB238),"")))</f>
        <v>22.419230769230751</v>
      </c>
      <c r="BD42" s="12">
        <f>IF('Données projet'!$A$98&gt;35,BD41+BC42-BL41,IF(A42&lt;'Données projet'!$A$98,$BA$205^A42,IF(A42='Données projet'!$A$98,'Données projet'!$B$98,BD41+BC42-BL41)))</f>
        <v>401.46538461538461</v>
      </c>
      <c r="BE42" s="13">
        <f>BD42*VLOOKUP('Données projet'!$B$11,Paramètres!$A$1:$I$89,3,0)*VLOOKUP('Données projet'!$B$11,Paramètres!$A$1:$I$89,5,0)</f>
        <v>177.44770000000003</v>
      </c>
      <c r="BF42" s="13">
        <f t="shared" si="67"/>
        <v>44.753875342379175</v>
      </c>
      <c r="BG42" s="20">
        <f t="shared" si="7"/>
        <v>387.00107705464376</v>
      </c>
      <c r="BH42" s="59">
        <f t="shared" si="8"/>
        <v>680.33441038797707</v>
      </c>
      <c r="BI42" s="59">
        <f ca="1">AVERAGE(OFFSET($BH$3,0,0,'Données projet'!$E$11+1,1))-AVERAGE(OFFSET($H$3,0,0,'Données projet'!$E$11+1,1))</f>
        <v>211.31057120485542</v>
      </c>
      <c r="BJ42" s="59">
        <f t="shared" si="68"/>
        <v>283.33292006714777</v>
      </c>
      <c r="BK42" s="15">
        <f>IF(ISNA(VLOOKUP(A42,'Données projet'!$A$97:$I$117,3,0)),0,VLOOKUP(A42,'Données projet'!$A$97:$I$117,3,0))</f>
        <v>0</v>
      </c>
      <c r="BL42" s="15">
        <f>IF(ISNA(VLOOKUP(A42,'Données projet'!$A$97:$I$117,4,0)),0,VLOOKUP(A42,'Données projet'!$A$97:$I$117,4,0))</f>
        <v>0</v>
      </c>
      <c r="BM42" s="16">
        <f>IF(ISNA(VLOOKUP(A42,'Données projet'!$A$97:$I$117,5,0)),0%,VLOOKUP(A42,'Données projet'!$A$97:$I$117,5,0)*VLOOKUP('Données projet'!$B$11,Paramètres!$A$1:$I$89,7,0))</f>
        <v>0</v>
      </c>
      <c r="BN42" s="16">
        <f>IF(ISNA(VLOOKUP(A42,'Données projet'!$A$97:$I$117,6,0)),0%,VLOOKUP(A42,'Données projet'!$A$97:$I$117,6,0)*VLOOKUP('Données projet'!$B$11,Paramètres!$A$1:$I$89,7,0))</f>
        <v>0</v>
      </c>
      <c r="BO42" s="16">
        <f>IF(ISNA(VLOOKUP(A42,'Données projet'!$A$97:$I$117,7,0)),0%,VLOOKUP(A42,'Données projet'!$A$97:$I$117,7,0))</f>
        <v>0</v>
      </c>
      <c r="BP42" s="21">
        <f>EXP(-LN(2)/35)*BP41+(1-EXP(-LN(2)/35))/(LN(2)/35)*BL42*BM42*VLOOKUP('Données projet'!$B$11,Paramètres!$A$1:$I$89,3,0)*0.475*44/12</f>
        <v>34.301038597780746</v>
      </c>
      <c r="BQ42" s="21">
        <f>EXP(-LN(2)/25)*BQ41+(1-EXP(-LN(2)/25))/(LN(2)/25)*Calculateur!BL42*Calculateur!BN42*VLOOKUP('Données projet'!$B$11,Paramètres!$A$1:$I$89,3,0)*0.475*44/12</f>
        <v>14.683791990161918</v>
      </c>
      <c r="BR42" s="21">
        <f>EXP(-LN(2)/2)*BR41+(1-EXP(-LN(2)/2))/(LN(2)/2)*BL42*BO42*VLOOKUP('Données projet'!$B$11,Paramètres!$A$1:$I$89,3,0)*0.475*44/12</f>
        <v>1.8363465871983358</v>
      </c>
      <c r="BS42" s="22">
        <f t="shared" si="9"/>
        <v>50.821177175141003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projet'!$A$123:$I$143,2,0)</f>
        <v>#N/A</v>
      </c>
      <c r="BW42" s="12" t="e">
        <f>VLOOKUP(A42,'Données projet'!$A$123:$I$143,9,0)</f>
        <v>#N/A</v>
      </c>
      <c r="BX42" s="12">
        <f t="array" ref="BX42">INDEX(BW:BW,MIN(IF(ISNUMBER(BW42:BW238),ROW(BW42:BW238),"")))</f>
        <v>8.8000000000000007</v>
      </c>
      <c r="BY42" s="12">
        <f>IF('Données projet'!$A$124&gt;35,BY41+BX42-CG41,IF(A42&lt;'Données projet'!$A$124,$BV$205^A42,IF(A42='Données projet'!$A$124,'Données projet'!$B$124,BY41+BX42-CG41)))</f>
        <v>176.20000000000002</v>
      </c>
      <c r="BZ42" s="13">
        <f>BY42*VLOOKUP('Données projet'!$B$12,Paramètres!$A$1:$I$89,3,0)*VLOOKUP('Données projet'!$B$12,Paramètres!$A$1:$I$89,5,0)</f>
        <v>184.16424000000004</v>
      </c>
      <c r="CA42" s="13">
        <f t="shared" si="69"/>
        <v>46.247416025180279</v>
      </c>
      <c r="CB42" s="20">
        <f t="shared" si="10"/>
        <v>401.30030091052237</v>
      </c>
      <c r="CC42" s="59">
        <f t="shared" si="11"/>
        <v>694.63363424385568</v>
      </c>
      <c r="CD42" s="59">
        <f ca="1">AVERAGE(OFFSET($CC$3,0,0,'Données projet'!$E$12+1,1))-AVERAGE(OFFSET($H$3,0,0,'Données projet'!$E$12+1,1))</f>
        <v>322.93502595881938</v>
      </c>
      <c r="CE42" s="59">
        <f t="shared" si="70"/>
        <v>302.67072119588164</v>
      </c>
      <c r="CF42" s="15">
        <f>IF(ISNA(VLOOKUP(A42,'Données projet'!$A$123:$I$143,3,0)),0,VLOOKUP(A42,'Données projet'!$A$123:$I$143,3,0))</f>
        <v>0</v>
      </c>
      <c r="CG42" s="15">
        <f>IF(ISNA(VLOOKUP(A42,'Données projet'!$A$123:$I$143,4,0)),0,VLOOKUP(A42,'Données projet'!$A$123:$I$143,4,0))</f>
        <v>0</v>
      </c>
      <c r="CH42" s="16">
        <f>IF(ISNA(VLOOKUP(A42,'Données projet'!$A$123:$I$143,5,0)),0%,VLOOKUP(A42,'Données projet'!$A$123:$I$143,5,0)*VLOOKUP('Données projet'!$B$12,Paramètres!$A$1:$I$89,7,0))</f>
        <v>0</v>
      </c>
      <c r="CI42" s="16">
        <f>IF(ISNA(VLOOKUP(A42,'Données projet'!$A$123:$I$143,6,0)),0%,VLOOKUP(A42,'Données projet'!$A$123:$I$143,6,0)*VLOOKUP('Données projet'!$B$12,Paramètres!$A$1:$I$89,7,0))</f>
        <v>0</v>
      </c>
      <c r="CJ42" s="16">
        <f>IF(ISNA(VLOOKUP(A42,'Données projet'!$A$123:$I$143,7,0)),0%,VLOOKUP(A42,'Données projet'!$A$123:$I$143,7,0))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5.9795785879112904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5.9795785879112904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projet'!$A$149:$I$169,2,0)</f>
        <v>#N/A</v>
      </c>
      <c r="CR42" s="12" t="e">
        <f>VLOOKUP(A42,'Données projet'!$A$149:$I$169,9,0)</f>
        <v>#N/A</v>
      </c>
      <c r="CS42" s="12">
        <f t="array" ref="CS42">INDEX(CR:CR,MIN(IF(ISNUMBER(CR42:CR238),ROW(CR42:CR238),"")))</f>
        <v>5.3369963369963358</v>
      </c>
      <c r="CT42" s="12">
        <f>IF('Données projet'!$A$150&gt;35,CT41+CS42-DB41,IF(A42&lt;'Données projet'!$A$150,$CQ$205^A42,IF(A42='Données projet'!$A$150,'Données projet'!$B$150,CT41+CS42-DB41)))</f>
        <v>135.73809523809524</v>
      </c>
      <c r="CU42" s="17">
        <f>CT42*VLOOKUP('Données projet'!$B$13,Paramètres!$A$1:$I$89,3,0)*VLOOKUP('Données projet'!$B$13,Paramètres!$A$1:$I$89,5,0)</f>
        <v>137.63842857142859</v>
      </c>
      <c r="CV42" s="13">
        <f t="shared" si="71"/>
        <v>35.755468155325104</v>
      </c>
      <c r="CW42" s="20">
        <f t="shared" si="13"/>
        <v>301.99437013242931</v>
      </c>
      <c r="CX42" s="59">
        <f t="shared" si="14"/>
        <v>595.32770346576262</v>
      </c>
      <c r="CY42" s="59">
        <f ca="1">AVERAGE(OFFSET($CX$3,0,0,'Données projet'!$E$13+1,1))-AVERAGE(OFFSET($H$3,0,0,'Données projet'!$E$13+1,1))</f>
        <v>250.31277422753283</v>
      </c>
      <c r="CZ42" s="59">
        <f t="shared" si="72"/>
        <v>159.20429420478047</v>
      </c>
      <c r="DA42" s="15">
        <f>IF(ISNA(VLOOKUP(A42,'Données projet'!$A$149:$I$169,3,0)),0,VLOOKUP(A42,'Données projet'!$A$149:$I$169,3,0))</f>
        <v>0</v>
      </c>
      <c r="DB42" s="15">
        <f>IF(ISNA(VLOOKUP(A42,'Données projet'!$A$149:$I$169,4,0)),0,VLOOKUP(A42,'Données projet'!$A$149:$I$169,4,0))</f>
        <v>0</v>
      </c>
      <c r="DC42" s="16">
        <f>IF(ISNA(VLOOKUP(A42,'Données projet'!$A$149:$I$169,5,0)),0%,VLOOKUP(A42,'Données projet'!$A$149:$I$169,5,0)*VLOOKUP('Données projet'!$B$13,Paramètres!$A$1:$I$89,7,0))</f>
        <v>0</v>
      </c>
      <c r="DD42" s="16">
        <f>IF(ISNA(VLOOKUP(A42,'Données projet'!$A$149:$I$169,6,0)),0%,VLOOKUP(A42,'Données projet'!$A$149:$I$169,6,0)*VLOOKUP('Données projet'!$B$13,Paramètres!$A$1:$I$89,7,0))</f>
        <v>0</v>
      </c>
      <c r="DE42" s="16">
        <f>IF(ISNA(VLOOKUP(A42,'Données projet'!$A$149:$I$169,7,0)),0%,VLOOKUP(A42,'Données projet'!$A$149:$I$169,7,0))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projet'!$A$175:$I$195,2,0)</f>
        <v>#N/A</v>
      </c>
      <c r="DM42" s="12" t="e">
        <f>VLOOKUP(A42,'Données projet'!$A$175:$I$195,9,0)</f>
        <v>#N/A</v>
      </c>
      <c r="DN42" s="12">
        <f t="array" ref="DN42">INDEX(DM:DM,MIN(IF(ISNUMBER(DM42:DM238),ROW(DM42:DM238),"")))</f>
        <v>13.2</v>
      </c>
      <c r="DO42" s="12">
        <f>IF('Données projet'!$A$176&gt;35,DO41+DN42-DW41,IF(A42&lt;'Données projet'!$A$176,$DL$205^A42,IF(A42='Données projet'!$A$176,'Données projet'!$B$176,DO41+DN42-DW41)))</f>
        <v>249.79999999999995</v>
      </c>
      <c r="DP42" s="17">
        <f>DO42*VLOOKUP('Données projet'!$B$14,Paramètres!$A$1:$I$89,3,0)*VLOOKUP('Données projet'!$B$14,Paramètres!$A$1:$I$89,5,0)</f>
        <v>183.15335999999996</v>
      </c>
      <c r="DQ42" s="13">
        <f t="shared" si="73"/>
        <v>46.023039984246878</v>
      </c>
      <c r="DR42" s="20">
        <f t="shared" si="16"/>
        <v>399.14889663922986</v>
      </c>
      <c r="DS42" s="59">
        <f t="shared" si="17"/>
        <v>692.48222997256312</v>
      </c>
      <c r="DT42" s="59">
        <f ca="1">AVERAGE(OFFSET($DS$3,0,0,'Données projet'!$E$14+1,1))-AVERAGE(OFFSET($H$3,0,0,'Données projet'!$E$14+1,1))</f>
        <v>296.91321813251051</v>
      </c>
      <c r="DU42" s="59">
        <f t="shared" si="74"/>
        <v>291.0718079639509</v>
      </c>
      <c r="DV42" s="15">
        <f>IF(ISNA(VLOOKUP(A42,'Données projet'!$A$175:$I$195,3,0)),0,VLOOKUP(A42,'Données projet'!$A$175:$I$195,3,0))</f>
        <v>0</v>
      </c>
      <c r="DW42" s="15">
        <f>IF(ISNA(VLOOKUP(A42,'Données projet'!$A$175:$I$195,4,0)),0,VLOOKUP(A42,'Données projet'!$A$175:$I$195,4,0))</f>
        <v>0</v>
      </c>
      <c r="DX42" s="16">
        <f>IF(ISNA(VLOOKUP(A42,'Données projet'!$A$175:$I$195,5,0)),0%,VLOOKUP(A42,'Données projet'!$A$175:$I$195,5,0)*VLOOKUP('Données projet'!$B$14,Paramètres!$A$1:$I$89,7,0))</f>
        <v>0</v>
      </c>
      <c r="DY42" s="16">
        <f>IF(ISNA(VLOOKUP(A42,'Données projet'!$A$175:$I$195,6,0)),0%,VLOOKUP(A42,'Données projet'!$A$175:$I$195,6,0)*VLOOKUP('Données projet'!$B$14,Paramètres!$A$1:$I$89,7,0))</f>
        <v>0</v>
      </c>
      <c r="DZ42" s="16">
        <f>IF(ISNA(VLOOKUP(A42,'Données projet'!$A$175:$I$195,7,0)),0%,VLOOKUP(A42,'Données projet'!$A$175:$I$195,7,0))</f>
        <v>0</v>
      </c>
      <c r="EA42" s="21">
        <f>EXP(-LN(2)/35)*EA41+(1-EXP(-LN(2)/35))/(LN(2)/35)*DW42*DX42*VLOOKUP('Données projet'!$B$14,Paramètres!$A$1:$I$89,3,0)*0.475*44/12</f>
        <v>17.929555254854154</v>
      </c>
      <c r="EB42" s="21">
        <f>EXP(-LN(2)/25)*EB41+(1-EXP(-LN(2)/25))/(LN(2)/25)*Calculateur!DW42*Calculateur!DY42*VLOOKUP('Données projet'!$B$14,Paramètres!$A$1:$I$89,3,0)*0.475*44/12</f>
        <v>11.287173500247167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29.216728755101322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projet'!$A$201:$I$221,2,0)</f>
        <v>#N/A</v>
      </c>
      <c r="EH42" s="12" t="e">
        <f>VLOOKUP(A42,'Données projet'!$A$201:$I$221,9,0)</f>
        <v>#N/A</v>
      </c>
      <c r="EI42" s="12">
        <f t="array" ref="EI42">INDEX(EH:EH,MIN(IF(ISNUMBER(EH42:EH238),ROW(EH42:EH238),"")))</f>
        <v>10.407692307692306</v>
      </c>
      <c r="EJ42" s="12">
        <f>IF('Données projet'!$A$202&gt;35,EJ41+EI42-ER41,IF(A42&lt;'Données projet'!$A$202,$EG$205^A42,IF(A42='Données projet'!$A$202,'Données projet'!$B$202,EJ41+EI42-ER41)))</f>
        <v>196.94615384615386</v>
      </c>
      <c r="EK42" s="17">
        <f>EJ42*VLOOKUP('Données projet'!$B$15,Paramètres!$A$1:$I$89,3,0)*VLOOKUP('Données projet'!$B$15,Paramètres!$A$1:$I$89,5,0)</f>
        <v>92.170800000000014</v>
      </c>
      <c r="EL42" s="13">
        <f t="shared" si="75"/>
        <v>25.088041251308066</v>
      </c>
      <c r="EM42" s="20">
        <f t="shared" si="19"/>
        <v>204.22581517936158</v>
      </c>
      <c r="EN42" s="59">
        <f t="shared" si="20"/>
        <v>497.55914851269489</v>
      </c>
      <c r="EO42" s="59">
        <f ca="1">AVERAGE(OFFSET($EN$3,0,0,'Données projet'!$E$15+1,1))-AVERAGE(OFFSET($H$3,0,0,'Données projet'!$E$15+1,1))</f>
        <v>147.64256291235483</v>
      </c>
      <c r="EP42" s="59">
        <f t="shared" si="76"/>
        <v>70.859031694091868</v>
      </c>
      <c r="EQ42" s="15">
        <f>IF(ISNA(VLOOKUP(A42,'Données projet'!$A$201:$I$221,3,0)),0,VLOOKUP(A42,'Données projet'!$A$201:$I$221,3,0))</f>
        <v>0</v>
      </c>
      <c r="ER42" s="15">
        <f>IF(ISNA(VLOOKUP(A42,'Données projet'!$A$201:$I$221,4,0)),0,VLOOKUP(A42,'Données projet'!$A$201:$I$221,4,0))</f>
        <v>0</v>
      </c>
      <c r="ES42" s="16">
        <f>IF(ISNA(VLOOKUP(A42,'Données projet'!$A$201:$I$221,5,0)),0%,VLOOKUP(A42,'Données projet'!$A$201:$I$221,5,0)*VLOOKUP('Données projet'!$B$15,Paramètres!$A$1:$I$89,7,0))</f>
        <v>0</v>
      </c>
      <c r="ET42" s="16">
        <f>IF(ISNA(VLOOKUP(A42,'Données projet'!$A$201:$I$221,6,0)),0%,VLOOKUP(A42,'Données projet'!$A$201:$I$221,6,0)*VLOOKUP('Données projet'!$B$15,Paramètres!$A$1:$I$89,7,0))</f>
        <v>0</v>
      </c>
      <c r="EU42" s="16">
        <f>IF(ISNA(VLOOKUP(A42,'Données projet'!$A$201:$I$221,7,0)),0%,VLOOKUP(A42,'Données projet'!$A$201:$I$221,7,0))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projet'!$A$227:$I$247,2,0)</f>
        <v>#N/A</v>
      </c>
      <c r="FC42" s="12" t="e">
        <f>VLOOKUP(A42,'Données projet'!$A$227:$I$247,9,0)</f>
        <v>#N/A</v>
      </c>
      <c r="FD42" s="12">
        <f t="array" ref="FD42">INDEX(FC:FC,MIN(IF(ISNUMBER(FC42:FC238),ROW(FC42:FC238),"")))</f>
        <v>7</v>
      </c>
      <c r="FE42" s="12">
        <f>IF('Données projet'!$A$228&gt;35,FE41+FD42-FM41,IF(A42&lt;'Données projet'!$A$228,$FB$205^A42,IF(A42='Données projet'!$A$228,'Données projet'!$B$228,FE41+FD42-FM41)))</f>
        <v>143</v>
      </c>
      <c r="FF42" s="17">
        <f>FE42*VLOOKUP('Données projet'!$B$16,Paramètres!$A$1:$I$89,3,0)*VLOOKUP('Données projet'!$B$16,Paramètres!$A$1:$I$89,5,0)</f>
        <v>149.46360000000001</v>
      </c>
      <c r="FG42" s="13">
        <f t="shared" si="77"/>
        <v>38.45666139225672</v>
      </c>
      <c r="FH42" s="20">
        <f t="shared" si="22"/>
        <v>327.29445525818045</v>
      </c>
      <c r="FI42" s="59">
        <f t="shared" si="23"/>
        <v>620.62778859151376</v>
      </c>
      <c r="FJ42" s="59">
        <f ca="1">AVERAGE(OFFSET($FI$3,0,0,'Données projet'!$E$16+1,1))-AVERAGE(OFFSET($H$3,0,0,'Données projet'!$E$16+1,1))</f>
        <v>259.03906550253788</v>
      </c>
      <c r="FK42" s="59">
        <f t="shared" si="78"/>
        <v>235.54542903570831</v>
      </c>
      <c r="FL42" s="15">
        <f>IF(ISNA(VLOOKUP(A42,'Données projet'!$A$227:$I$247,3,0)),0,VLOOKUP(A42,'Données projet'!$A$227:$I$247,3,0))</f>
        <v>0</v>
      </c>
      <c r="FM42" s="15">
        <f>IF(ISNA(VLOOKUP(A42,'Données projet'!$A$227:$I$247,4,0)),0,VLOOKUP(A42,'Données projet'!$A$227:$I$247,4,0))</f>
        <v>0</v>
      </c>
      <c r="FN42" s="16">
        <f>IF(ISNA(VLOOKUP(A42,'Données projet'!$A$227:$I$247,5,0)),0%,VLOOKUP(A42,'Données projet'!$A$227:$I$247,5,0)*VLOOKUP('Données projet'!$B$16,Paramètres!$A$1:$I$89,7,0))</f>
        <v>0</v>
      </c>
      <c r="FO42" s="16">
        <f>IF(ISNA(VLOOKUP(A42,'Données projet'!$A$227:$I$247,6,0)),0%,VLOOKUP(A42,'Données projet'!$A$227:$I$247,6,0)*VLOOKUP('Données projet'!$B$16,Paramètres!$A$1:$I$89,7,0))</f>
        <v>0</v>
      </c>
      <c r="FP42" s="16">
        <f>IF(ISNA(VLOOKUP(A42,'Données projet'!$A$227:$I$247,7,0)),0%,VLOOKUP(A42,'Données projet'!$A$227:$I$247,7,0))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0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projet'!$A$253:$I$273,2,0)</f>
        <v>#N/A</v>
      </c>
      <c r="FX42" s="12" t="e">
        <f>VLOOKUP(A42,'Données projet'!$A$253:$I$273,9,0)</f>
        <v>#N/A</v>
      </c>
      <c r="FY42" s="12">
        <f t="array" ref="FY42">INDEX(FX:FX,MIN(IF(ISNUMBER(FX42:FX238),ROW(FX42:FX238),"")))</f>
        <v>9.6</v>
      </c>
      <c r="FZ42" s="12">
        <f>IF('Données projet'!$A$254&gt;35,FZ41+FY42-GH41,IF(A42&lt;'Données projet'!$A$254,$FW$205^A42,IF(A42='Données projet'!$A$254,'Données projet'!$B$254,FZ41+FY42-GH41)))</f>
        <v>182.4</v>
      </c>
      <c r="GA42" s="17">
        <f>FZ42*VLOOKUP('Données projet'!$B$17,Paramètres!$A$1:$I$89,3,0)*VLOOKUP('Données projet'!$B$17,Paramètres!$A$1:$I$89,5,0)</f>
        <v>159.34464000000003</v>
      </c>
      <c r="GB42" s="13">
        <f t="shared" si="79"/>
        <v>40.694661837553809</v>
      </c>
      <c r="GC42" s="20">
        <f t="shared" si="25"/>
        <v>348.4017840337396</v>
      </c>
      <c r="GD42" s="59">
        <f t="shared" si="26"/>
        <v>641.73511736707292</v>
      </c>
      <c r="GE42" s="59">
        <f ca="1">AVERAGE(OFFSET($GD$3,0,0,'Données projet'!$E$17+1,1))-AVERAGE(OFFSET($H$3,0,0,'Données projet'!$E$17+1,1))</f>
        <v>245.1983232777614</v>
      </c>
      <c r="GF42" s="59">
        <f t="shared" si="80"/>
        <v>242.34010522344573</v>
      </c>
      <c r="GG42" s="15">
        <f>IF(ISNA(VLOOKUP(A42,'Données projet'!$A$253:$I$273,3,0)),0,VLOOKUP(A42,'Données projet'!$A$253:$I$273,3,0))</f>
        <v>0</v>
      </c>
      <c r="GH42" s="15">
        <f>IF(ISNA(VLOOKUP(A42,'Données projet'!$A$253:$I$273,4,0)),0,VLOOKUP(A42,'Données projet'!$A$253:$I$273,4,0))</f>
        <v>0</v>
      </c>
      <c r="GI42" s="16">
        <f>IF(ISNA(VLOOKUP(A42,'Données projet'!$A$253:$I$273,5,0)),0%,VLOOKUP(A42,'Données projet'!$A$253:$I$273,5,0)*VLOOKUP('Données projet'!$B$17,Paramètres!$A$1:$I$89,7,0))</f>
        <v>0</v>
      </c>
      <c r="GJ42" s="16">
        <f>IF(ISNA(VLOOKUP(A42,'Données projet'!$A$253:$I$273,6,0)),0%,VLOOKUP(A42,'Données projet'!$A$253:$I$273,6,0)*VLOOKUP('Données projet'!$B$17,Paramètres!$A$1:$I$89,7,0))</f>
        <v>0</v>
      </c>
      <c r="GK42" s="16">
        <f>IF(ISNA(VLOOKUP(A42,'Données projet'!$A$253:$I$273,7,0)),0%,VLOOKUP(A42,'Données projet'!$A$253:$I$273,7,0))</f>
        <v>0</v>
      </c>
      <c r="GL42" s="21">
        <f>EXP(-LN(2)/35)*GL41+(1-EXP(-LN(2)/35))/(LN(2)/35)*GH42*GI42*VLOOKUP('Données projet'!$B$17,Paramètres!$A$1:$I$89,3,0)*0.475*44/12</f>
        <v>2.3227187572097301</v>
      </c>
      <c r="GM42" s="21">
        <f>EXP(-LN(2)/25)*GM41+(1-EXP(-LN(2)/25))/(LN(2)/25)*Calculateur!GH42*Calculateur!GJ42*VLOOKUP('Données projet'!$B$17,Paramètres!$A$1:$I$89,3,0)*0.475*44/12</f>
        <v>7.6242388861219084</v>
      </c>
      <c r="GN42" s="21">
        <f>EXP(-LN(2)/2)*GN41+(1-EXP(-LN(2)/2))/(LN(2)/2)*GH42*GK42*VLOOKUP('Données projet'!$B$17,Paramètres!$A$1:$I$89,3,0)*0.475*44/12</f>
        <v>0</v>
      </c>
      <c r="GO42" s="21">
        <f t="shared" si="27"/>
        <v>9.946957643331638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projet'!$A$279:$I$299,2,0)</f>
        <v>#N/A</v>
      </c>
      <c r="GS42" s="12" t="e">
        <f>VLOOKUP(A42,'Données projet'!$A$279:$I$299,9,0)</f>
        <v>#N/A</v>
      </c>
      <c r="GT42" s="12">
        <f t="array" ref="GT42">INDEX(GS:GS,MIN(IF(ISNUMBER(GS42:GS238),ROW(GS42:GS238),"")))</f>
        <v>20.8</v>
      </c>
      <c r="GU42" s="12">
        <f>IF('Données projet'!$A$280&gt;35,GU41+GT42-HC41,IF(A42&lt;'Données projet'!$A$280,$GR$205^A42,IF(A42='Données projet'!$A$280,'Données projet'!$B$280,GU41+GT42-HC41)))</f>
        <v>466.20000000000016</v>
      </c>
      <c r="GV42" s="17">
        <f>GU42*VLOOKUP('Données projet'!$B$18,Paramètres!$A$1:$I$89,3,0)*VLOOKUP('Données projet'!$B$18,Paramètres!$A$1:$I$89,5,0)</f>
        <v>187.87860000000006</v>
      </c>
      <c r="GW42" s="13">
        <f t="shared" si="81"/>
        <v>47.07063538525653</v>
      </c>
      <c r="GX42" s="20">
        <f t="shared" si="28"/>
        <v>409.20325162932187</v>
      </c>
      <c r="GY42" s="59">
        <f t="shared" si="29"/>
        <v>702.53658496265518</v>
      </c>
      <c r="GZ42" s="59">
        <f ca="1">AVERAGE(OFFSET($GY$3,0,0,'Données projet'!$E$18+1,1))-AVERAGE(OFFSET($H$3,0,0,'Données projet'!$E$18+1,1))</f>
        <v>324.36162935850876</v>
      </c>
      <c r="HA42" s="59">
        <f t="shared" si="82"/>
        <v>265.23571072429735</v>
      </c>
      <c r="HB42" s="15">
        <f>IF(ISNA(VLOOKUP(A42,'Données projet'!$A$279:$I$299,3,0)),0,VLOOKUP(A42,'Données projet'!$A$279:$I$299,3,0))</f>
        <v>0</v>
      </c>
      <c r="HC42" s="15">
        <f>IF(ISNA(VLOOKUP(A42,'Données projet'!$A$279:$I$299,4,0)),0,VLOOKUP(A42,'Données projet'!$A$279:$I$299,4,0))</f>
        <v>0</v>
      </c>
      <c r="HD42" s="16">
        <f>IF(ISNA(VLOOKUP(A42,'Données projet'!$A$279:$I$299,5,0)),0%,VLOOKUP(A42,'Données projet'!$A$279:$I$299,5,0)*VLOOKUP('Données projet'!$B$18,Paramètres!$A$1:$I$89,7,0))</f>
        <v>0</v>
      </c>
      <c r="HE42" s="16">
        <f>IF(ISNA(VLOOKUP(A42,'Données projet'!$A$279:$I$299,6,0)),0%,VLOOKUP(A42,'Données projet'!$A$279:$I$299,6,0)*VLOOKUP('Données projet'!$B$18,Paramètres!$A$1:$I$89,7,0))</f>
        <v>0</v>
      </c>
      <c r="HF42" s="16">
        <f>IF(ISNA(VLOOKUP($A42,'Données projet'!$A$279:$I$299,7,0)),0%,VLOOKUP($A42,'Données projet'!$A$279:$I$299,7,0))</f>
        <v>0</v>
      </c>
      <c r="HG42" s="21">
        <f>EXP(-LN(2)/35)*HG41+(1-EXP(-LN(2)/35))/(LN(2)/35)*HC42*HD42*VLOOKUP('Données projet'!$B$18,Paramètres!$A$1:$I$89,3,0)*0.475*44/12</f>
        <v>0.40745900756381742</v>
      </c>
      <c r="HH42" s="21">
        <f>EXP(-LN(2)/25)*HH41+(1-EXP(-LN(2)/25))/(LN(2)/25)*Calculateur!HC42*Calculateur!HE42*VLOOKUP('Données projet'!$B$18,Paramètres!$A$1:$I$89,3,0)*0.475*44/12</f>
        <v>4.7169582316602598</v>
      </c>
      <c r="HI42" s="21">
        <f>EXP(-LN(2)/2)*HI41+(1-EXP(-LN(2)/2))/(LN(2)/2)*HC42*HF42*VLOOKUP('Données projet'!$B$18,Paramètres!$A$1:$I$89,3,0)*0.475*44/12</f>
        <v>1.6768937179561665</v>
      </c>
      <c r="HJ42" s="22">
        <f t="shared" si="30"/>
        <v>6.8013109571802435</v>
      </c>
      <c r="HK42" s="74">
        <f>('Scénario référence'!$F$8+'Scénario référence'!$F$9+'Scénario référence'!$B$17+'Scénario référence'!$B$9+'Scénario référence'!$B$10)*70+IF((45+25*(1-EXP(-0.0175*$A42)))&lt;70,'Scénario référence'!$B$16*(45+25*(1-EXP(-0.0175*$A42))),70*'Scénario référence'!$B$16)+IF((32+38*(1-EXP(-0.0175*$A42)))&lt;70,'Scénario référence'!$B$18*(32+38*(1-EXP(-0.0175*$A42))),70*'Scénario référence'!$B$18)</f>
        <v>70</v>
      </c>
      <c r="HL42" s="12">
        <f>IF($A42&gt;30,10,('Scénario référence'!$B$16+'Scénario référence'!$B$17+'Scénario référence'!$B$18+'Scénario référence'!$B$9+'Scénario référence'!$B$10)*$A42*10/30+('Scénario référence'!$F$8+'Scénario référence'!$F$9)*10)</f>
        <v>10</v>
      </c>
      <c r="HM42" s="12" t="e">
        <f>VLOOKUP($A42,'Données projet'!$A$304:$I$324,2,0)</f>
        <v>#N/A</v>
      </c>
      <c r="HN42" s="12" t="e">
        <f>VLOOKUP($A42,'Données projet'!$A$304:$I$324,9,0)</f>
        <v>#N/A</v>
      </c>
      <c r="HO42" s="12">
        <f t="array" ref="HO42">INDEX(HN:HN,MIN(IF(ISNUMBER(HN42:HN238),ROW(HN42:HN238),"")))</f>
        <v>0</v>
      </c>
      <c r="HP42" s="12">
        <f>IF('Données projet'!$A$304&gt;35,HP41+HO42-HX41,IF($A42&lt;'Données projet'!$A$304,$CQ$205^$A42,IF($A42='Données projet'!$A$304,'Données projet'!$B$304,HP41+HO42-HX41)))</f>
        <v>0</v>
      </c>
      <c r="HQ42" s="17">
        <f>HP42*VLOOKUP('Données projet'!$B$19,Paramètres!$A$1:$I$89,3,0)*VLOOKUP('Données projet'!$B$19,Paramètres!$A$1:$I$89,5,0)</f>
        <v>0</v>
      </c>
      <c r="HR42" s="13" t="e">
        <f t="shared" si="83"/>
        <v>#NUM!</v>
      </c>
      <c r="HS42" s="14" t="e">
        <f t="shared" si="31"/>
        <v>#NUM!</v>
      </c>
      <c r="HT42" s="59" t="e">
        <f t="shared" si="32"/>
        <v>#NUM!</v>
      </c>
      <c r="HU42" s="59">
        <f ca="1">AVERAGE(OFFSET(HT$3,0,0,'Données projet'!$E$19+1,1))-AVERAGE(OFFSET($H$3,0,0,'Données projet'!$E$19+1,1))</f>
        <v>91.60721429656013</v>
      </c>
      <c r="HV42" s="59">
        <f t="shared" si="84"/>
        <v>258.94957804210856</v>
      </c>
      <c r="HW42" s="15">
        <f>IF(ISNA(VLOOKUP($A42,'Données projet'!$A$304:$I$324,3,0)),0,VLOOKUP($A42,'Données projet'!$A$304:$I$324,3,0))</f>
        <v>0</v>
      </c>
      <c r="HX42" s="15">
        <f>IF(ISNA(VLOOKUP($A42,'Données projet'!$A$304:$I$324,4,0)),0,VLOOKUP($A42,'Données projet'!$A$304:$I$324,4,0))</f>
        <v>0</v>
      </c>
      <c r="HY42" s="16">
        <f>IF(ISNA(VLOOKUP($A42,'Données projet'!$A$304:$I$324,5,0)),0%,VLOOKUP($A42,'Données projet'!$A$304:$I$324,5,0)*VLOOKUP('Données projet'!$B$19,Paramètres!$A$1:$I$89,7,0))</f>
        <v>0</v>
      </c>
      <c r="HZ42" s="16">
        <f>IF(ISNA(VLOOKUP($A42,'Données projet'!$A$304:$I$324,6,0)),0%,VLOOKUP($A42,'Données projet'!$A$304:$I$324,6,0)*VLOOKUP('Données projet'!$B$19,Paramètres!$A$1:$I$89,7,0))</f>
        <v>0</v>
      </c>
      <c r="IA42" s="16">
        <f>IF(ISNA(VLOOKUP($A42,'Données projet'!$A$304:$I$324,7,0)),0%,VLOOKUP($A42,'Données projet'!$A$304:$I$324,7,0))</f>
        <v>0</v>
      </c>
      <c r="IB42" s="21">
        <f>EXP(-LN(2)/35)*IB41+(1-EXP(-LN(2)/35))/(LN(2)/35)*HX42*HY42*VLOOKUP('Données projet'!$B$19,Paramètres!$A$1:$I$89,3,0)*0.475*44/12</f>
        <v>41.278814253844132</v>
      </c>
      <c r="IC42" s="21">
        <f>EXP(-LN(2)/25)*IC41+(1-EXP(-LN(2)/25))/(LN(2)/25)*Calculateur!HX42*Calculateur!HZ42*VLOOKUP('Données projet'!$B$19,Paramètres!$A$1:$I$89,3,0)*0.475*44/12</f>
        <v>7.5795000666667658</v>
      </c>
      <c r="ID42" s="21">
        <f>EXP(-LN(2)/2)*ID41+(1-EXP(-LN(2)/2))/(LN(2)/2)*HX42*IA42*VLOOKUP('Données projet'!$B$19,Paramètres!$A$1:$I$89,3,0)*0.475*44/12</f>
        <v>2.531673464078479E-2</v>
      </c>
      <c r="IE42" s="22">
        <f t="shared" si="33"/>
        <v>48.883631055151682</v>
      </c>
      <c r="IF42" s="74">
        <f>('Scénario référence'!$F$8+'Scénario référence'!$F$9+'Scénario référence'!$B$17+'Scénario référence'!$B$9+'Scénario référence'!$B$10)*70+IF((45+25*(1-EXP(-0.0175*$A42)))&lt;70,'Scénario référence'!$B$16*(45+25*(1-EXP(-0.0175*$A42))),70*'Scénario référence'!$B$16)+IF((32+38*(1-EXP(-0.0175*$A42)))&lt;70,'Scénario référence'!$B$18*(32+38*(1-EXP(-0.0175*$A42))),70*'Scénario référence'!$B$18)</f>
        <v>70</v>
      </c>
      <c r="IG42" s="12">
        <f>IF($A42&gt;30,10,('Scénario référence'!$B$16+'Scénario référence'!$B$17+'Scénario référence'!$B$18+'Scénario référence'!$B$9+'Scénario référence'!$B$10)*$A42*10/30+('Scénario référence'!$F$8+'Scénario référence'!$F$9)*10)</f>
        <v>10</v>
      </c>
      <c r="IH42" s="12" t="e">
        <f>VLOOKUP($A42,'Données projet'!$A$330:$I$350,2,0)</f>
        <v>#N/A</v>
      </c>
      <c r="II42" s="12" t="e">
        <f>VLOOKUP($A42,'Données projet'!$A$330:$I$350,9,0)</f>
        <v>#N/A</v>
      </c>
      <c r="IJ42" s="12">
        <f t="array" ref="IJ42">INDEX(II:II,MIN(IF(ISNUMBER(II42:II238),ROW(II42:II238),"")))</f>
        <v>0</v>
      </c>
      <c r="IK42" s="12">
        <f>IF('Données projet'!$A$330&gt;35,IK41+IJ42-IS41,IF($A42&lt;'Données projet'!$A$330,$CQ$205^$A42,IF($A42='Données projet'!$A$330,'Données projet'!$B$330,IK41+IJ42-IS41)))</f>
        <v>0</v>
      </c>
      <c r="IL42" s="17">
        <f>IK42*VLOOKUP('Données projet'!$B$20,Paramètres!$A$1:$I$89,3,0)*VLOOKUP('Données projet'!$B$20,Paramètres!$A$1:$I$89,5,0)</f>
        <v>0</v>
      </c>
      <c r="IM42" s="13" t="e">
        <f t="shared" si="85"/>
        <v>#NUM!</v>
      </c>
      <c r="IN42" s="20" t="e">
        <f t="shared" si="86"/>
        <v>#NUM!</v>
      </c>
      <c r="IO42" s="59" t="e">
        <f t="shared" si="87"/>
        <v>#NUM!</v>
      </c>
      <c r="IP42" s="59">
        <f ca="1">AVERAGE(OFFSET(IO$3,0,0,'Données projet'!$E$20+1,1))-AVERAGE(OFFSET($H$3,0,0,'Données projet'!$E$20+1,1))</f>
        <v>91.60721429656013</v>
      </c>
      <c r="IQ42" s="59">
        <f t="shared" si="88"/>
        <v>258.94957804210856</v>
      </c>
      <c r="IR42" s="15">
        <f>IF(ISNA(VLOOKUP($A42,'Données projet'!$A$330:$I$350,3,0)),0,VLOOKUP($A42,'Données projet'!$A$330:$I$350,3,0))</f>
        <v>0</v>
      </c>
      <c r="IS42" s="15">
        <f>IF(ISNA(VLOOKUP($A42,'Données projet'!$A$330:$I$350,4,0)),0,VLOOKUP($A42,'Données projet'!$A$330:$I$350,4,0))</f>
        <v>0</v>
      </c>
      <c r="IT42" s="16">
        <f>IF(ISNA(VLOOKUP($A42,'Données projet'!$A$330:$I$350,5,0)),0%,VLOOKUP($A42,'Données projet'!$A$330:$I$350,5,0)*VLOOKUP('Données projet'!$B$20,Paramètres!$A$1:$I$89,7,0))</f>
        <v>0</v>
      </c>
      <c r="IU42" s="16">
        <f>IF(ISNA(VLOOKUP($A42,'Données projet'!$A$330:$I$350,6,0)),0%,VLOOKUP($A42,'Données projet'!$A$330:$I$350,6,0)*VLOOKUP('Données projet'!$B$20,Paramètres!$A$1:$I$89,7,0))</f>
        <v>0</v>
      </c>
      <c r="IV42" s="16">
        <f>IF(ISNA(VLOOKUP($A42,'Données projet'!$A$330:$I$350,7,0)),0%,VLOOKUP($A42,'Données projet'!$A$330:$I$350,7,0))</f>
        <v>0</v>
      </c>
      <c r="IW42" s="21">
        <f>EXP(-LN(2)/35)*IW41+(1-EXP(-LN(2)/35))/(LN(2)/35)*IS42*IT42*VLOOKUP('Données projet'!$B$20,Paramètres!$A$1:$I$89,3,0)*0.475*44/12</f>
        <v>41.278814253844132</v>
      </c>
      <c r="IX42" s="21">
        <f>EXP(-LN(2)/25)*IX41+(1-EXP(-LN(2)/25))/(LN(2)/25)*Calculateur!IS42*Calculateur!IU42*VLOOKUP('Données projet'!$B$20,Paramètres!$A$1:$I$89,3,0)*0.475*44/12</f>
        <v>7.5795000666667658</v>
      </c>
      <c r="IY42" s="21">
        <f>EXP(-LN(2)/2)*IY41+(1-EXP(-LN(2)/2))/(LN(2)/2)*IS42*IV42*VLOOKUP('Données projet'!$B$20,Paramètres!$A$1:$I$89,3,0)*0.475*44/12</f>
        <v>2.531673464078479E-2</v>
      </c>
      <c r="IZ42" s="22">
        <f t="shared" si="89"/>
        <v>48.883631055151682</v>
      </c>
      <c r="JA42" s="74">
        <f>('Scénario référence'!$F$8+'Scénario référence'!$F$9+'Scénario référence'!$B$17+'Scénario référence'!$B$9+'Scénario référence'!$B$10)*70+IF((45+25*(1-EXP(-0.0175*$A42)))&lt;70,'Scénario référence'!$B$16*(45+25*(1-EXP(-0.0175*$A42))),70*'Scénario référence'!$B$16)+IF((32+38*(1-EXP(-0.0175*$A42)))&lt;70,'Scénario référence'!$B$18*(32+38*(1-EXP(-0.0175*$A42))),70*'Scénario référence'!$B$18)</f>
        <v>70</v>
      </c>
      <c r="JB42" s="12">
        <f>IF($A42&gt;30,10,('Scénario référence'!$B$16+'Scénario référence'!$B$17+'Scénario référence'!$B$18+'Scénario référence'!$B$9+'Scénario référence'!$B$10)*$A42*10/30+('Scénario référence'!$F$8+'Scénario référence'!$F$9)*10)</f>
        <v>10</v>
      </c>
      <c r="JC42" s="12" t="e">
        <f>VLOOKUP($A42,'Données projet'!$A$356:$I$376,2,0)</f>
        <v>#N/A</v>
      </c>
      <c r="JD42" s="12" t="e">
        <f>VLOOKUP($A42,'Données projet'!$A$356:$I$376,9,0)</f>
        <v>#N/A</v>
      </c>
      <c r="JE42" s="12">
        <f t="array" ref="JE42">INDEX(JD:JD,MIN(IF(ISNUMBER(JD42:JD238),ROW(JD42:JD238),"")))</f>
        <v>30.4</v>
      </c>
      <c r="JF42" s="12">
        <f>IF('Données projet'!$A$356&gt;35,JF41+JE42-JN41,IF($A42&lt;'Données projet'!$A$356,$CQ$205^$A42,IF($A42='Données projet'!$A$356,'Données projet'!$B$356,JF41+JE42-JN41)))</f>
        <v>132.60000000000008</v>
      </c>
      <c r="JG42" s="17">
        <f>JF42*VLOOKUP('Données projet'!$B$21,Paramètres!$A$1:$I$89,3,0)*VLOOKUP('Données projet'!$B$21,Paramètres!$A$1:$I$89,5,0)</f>
        <v>107.56512000000006</v>
      </c>
      <c r="JH42" s="13">
        <f t="shared" si="90"/>
        <v>28.756562640969467</v>
      </c>
      <c r="JI42" s="20">
        <f t="shared" si="91"/>
        <v>237.4269305996886</v>
      </c>
      <c r="JJ42" s="59">
        <f t="shared" si="92"/>
        <v>530.76026393302186</v>
      </c>
      <c r="JK42" s="59">
        <f ca="1">AVERAGE(OFFSET($JJ$3,0,0,'Données projet'!$E$22+1,1))-AVERAGE(OFFSET($H$3,0,0,'Données projet'!$E$22+1,1))</f>
        <v>353.35574633294613</v>
      </c>
      <c r="JL42" s="59">
        <f t="shared" si="93"/>
        <v>170.36796666474726</v>
      </c>
      <c r="JM42" s="15">
        <f>IF(ISNA(VLOOKUP($A42,'Données projet'!$A$356:$I$376,3,0)),0,VLOOKUP($A42,'Données projet'!$A$356:$I$376,3,0))</f>
        <v>0</v>
      </c>
      <c r="JN42" s="15">
        <f>IF(ISNA(VLOOKUP($A42,'Données projet'!$A$356:$I$376,4,0)),0,VLOOKUP($A42,'Données projet'!$A$356:$I$376,4,0))</f>
        <v>0</v>
      </c>
      <c r="JO42" s="16">
        <f>IF(ISNA(VLOOKUP($A42,'Données projet'!$A$356:$I$376,5,0)),0%,VLOOKUP($A42,'Données projet'!$A$356:$I$376,5,0)*VLOOKUP('Données projet'!$B$21,Paramètres!$A$1:$I$89,7,0))</f>
        <v>0</v>
      </c>
      <c r="JP42" s="16">
        <f>IF(ISNA(VLOOKUP($A42,'Données projet'!$A$356:$I$376,6,0)),0%,VLOOKUP($A42,'Données projet'!$A$356:$I$376,6,0)*VLOOKUP('Données projet'!$B$21,Paramètres!$A$1:$I$89,7,0))</f>
        <v>0</v>
      </c>
      <c r="JQ42" s="16">
        <f>IF(ISNA(VLOOKUP($A42,'Données projet'!$A$356:$I$376,7,0)),0%,VLOOKUP($A42,'Données projet'!$A$356:$I$376,7,0))</f>
        <v>0</v>
      </c>
      <c r="JR42" s="21">
        <f>EXP(-LN(2)/35)*JR41+(1-EXP(-LN(2)/35))/(LN(2)/35)*JN42*JO42*VLOOKUP('Données projet'!$B$21,Paramètres!$A$1:$I$89,3,0)*0.475*44/12</f>
        <v>0</v>
      </c>
      <c r="JS42" s="21">
        <f>EXP(-LN(2)/25)*JS41+(1-EXP(-LN(2)/25))/(LN(2)/25)*Calculateur!JN42*Calculateur!JP42*VLOOKUP('Données projet'!$B$21,Paramètres!$A$1:$I$89,3,0)*0.475*44/12</f>
        <v>0.96255018507449852</v>
      </c>
      <c r="JT42" s="21">
        <f>EXP(-LN(2)/2)*JT41+(1-EXP(-LN(2)/2))/(LN(2)/2)*JN42*JQ42*VLOOKUP('Données projet'!$B$21,Paramètres!$A$1:$I$89,3,0)*0.475*44/12</f>
        <v>1.8914531517431084</v>
      </c>
      <c r="JU42" s="18">
        <f t="shared" si="39"/>
        <v>2.8540033368176068</v>
      </c>
      <c r="JV42" s="74">
        <f>('Scénario référence'!$F$8+'Scénario référence'!$F$9+'Scénario référence'!$B$17+'Scénario référence'!$B$9+'Scénario référence'!$B$10)*70+IF((45+25*(1-EXP(-0.0175*$A42)))&lt;70,'Scénario référence'!$B$16*(45+25*(1-EXP(-0.0175*$A42))),70*'Scénario référence'!$B$16)+IF((32+38*(1-EXP(-0.0175*$A42)))&lt;70,'Scénario référence'!$B$18*(32+38*(1-EXP(-0.0175*$A42))),70*'Scénario référence'!$B$18)</f>
        <v>70</v>
      </c>
      <c r="JW42" s="12">
        <f>IF($A42&gt;30,10,('Scénario référence'!$B$16+'Scénario référence'!$B$17+'Scénario référence'!$B$18+'Scénario référence'!$B$9+'Scénario référence'!$B$10)*$A42*10/30+('Scénario référence'!$F$8+'Scénario référence'!$F$9)*10)</f>
        <v>10</v>
      </c>
      <c r="JX42" s="12" t="e">
        <f>VLOOKUP($A42,'Données projet'!$A$382:$I$402,2,0)</f>
        <v>#N/A</v>
      </c>
      <c r="JY42" s="12" t="e">
        <f>VLOOKUP($A42,'Données projet'!$A$382:$I$402,9,0)</f>
        <v>#N/A</v>
      </c>
      <c r="JZ42" s="12">
        <f t="array" ref="JZ42">INDEX(JY:JY,MIN(IF(ISNUMBER(JY42:JY238),ROW(JY42:JY238),"")))</f>
        <v>9.3141025641025621</v>
      </c>
      <c r="KA42" s="12">
        <f>IF('Données projet'!$A$382&gt;35,KA41+JZ42-KI41,IF($A42&lt;'Données projet'!$A$382,$CQ$205^$A42,IF($A42='Données projet'!$A$382,'Données projet'!$B$382,KA41+JZ42-KI41)))</f>
        <v>138.82051282051279</v>
      </c>
      <c r="KB42" s="17">
        <f>KA42*VLOOKUP('Données projet'!$B$22,Paramètres!$A$1:$I$89,3,0)*VLOOKUP('Données projet'!$B$22,Paramètres!$A$1:$I$89,5,0)</f>
        <v>93.120799999999974</v>
      </c>
      <c r="KC42" s="13">
        <f t="shared" si="94"/>
        <v>25.316387093893336</v>
      </c>
      <c r="KD42" s="20">
        <f t="shared" si="95"/>
        <v>206.27810085519752</v>
      </c>
      <c r="KE42" s="59">
        <f t="shared" si="96"/>
        <v>499.61143418853084</v>
      </c>
      <c r="KF42" s="59">
        <f ca="1">AVERAGE(OFFSET($KE$3,0,0,'Données projet'!$E$22+1,1))-AVERAGE(OFFSET($H$3,0,0,'Données projet'!$E$22+1,1))</f>
        <v>193.91714772848269</v>
      </c>
      <c r="KG42" s="59">
        <f t="shared" si="97"/>
        <v>159.20429420478047</v>
      </c>
      <c r="KH42" s="15">
        <f>IF(ISNA(VLOOKUP($A42,'Données projet'!$A$382:$I$402,3,0)),0,VLOOKUP($A42,'Données projet'!$A$382:$I$402,3,0))</f>
        <v>0</v>
      </c>
      <c r="KI42" s="15">
        <f>IF(ISNA(VLOOKUP($A42,'Données projet'!$A$382:$I$402,4,0)),0,VLOOKUP($A42,'Données projet'!$A$382:$I$402,4,0))</f>
        <v>0</v>
      </c>
      <c r="KJ42" s="16">
        <f>IF(ISNA(VLOOKUP($A42,'Données projet'!$A$382:$I$402,5,0)),0%,VLOOKUP($A42,'Données projet'!$A$382:$I$402,5,0)*VLOOKUP('Données projet'!$B$22,Paramètres!$A$1:$I$89,7,0))</f>
        <v>0</v>
      </c>
      <c r="KK42" s="16">
        <f>IF(ISNA(VLOOKUP($A42,'Données projet'!$A$382:$I$402,6,0)),0%,VLOOKUP($A42,'Données projet'!$A$382:$I$402,6,0)*VLOOKUP('Données projet'!$B$22,Paramètres!$A$1:$I$89,7,0))</f>
        <v>0</v>
      </c>
      <c r="KL42" s="16">
        <f>IF(ISNA(VLOOKUP($A42,'Données projet'!$A$382:$I$402,7,0)),0%,VLOOKUP($A42,'Données projet'!$A$382:$I$402,7,0))</f>
        <v>0</v>
      </c>
      <c r="KM42" s="21">
        <f>EXP(-LN(2)/35)*KM41+(1-EXP(-LN(2)/35))/(LN(2)/35)*KI42*KJ42*VLOOKUP('Données projet'!$B$22,Paramètres!$A$1:$I$89,3,0)*0.475*44/12</f>
        <v>0</v>
      </c>
      <c r="KN42" s="21">
        <f>EXP(-LN(2)/25)*KN41+(1-EXP(-LN(2)/25))/(LN(2)/25)*Calculateur!KI42*Calculateur!KK42*VLOOKUP('Données projet'!$B$22,Paramètres!$A$1:$I$89,3,0)*0.475*44/12</f>
        <v>0</v>
      </c>
      <c r="KO42" s="21">
        <f>EXP(-LN(2)/2)*KO41+(1-EXP(-LN(2)/2))/(LN(2)/2)*KI42*KL42*VLOOKUP('Données projet'!$B$22,Paramètres!$A$1:$I$89,3,0)*0.475*44/12</f>
        <v>0</v>
      </c>
      <c r="KP42" s="22">
        <f t="shared" si="98"/>
        <v>0</v>
      </c>
      <c r="KQ42" s="74">
        <f>('Scénario référence'!$F$8+'Scénario référence'!$F$9+'Scénario référence'!$B$17+'Scénario référence'!$B$9+'Scénario référence'!$B$10)*70+IF((45+25*(1-EXP(-0.0175*$A42)))&lt;70,'Scénario référence'!$B$16*(45+25*(1-EXP(-0.0175*$A42))),70*'Scénario référence'!$B$16)+IF((32+38*(1-EXP(-0.0175*$A42)))&lt;70,'Scénario référence'!$B$18*(32+38*(1-EXP(-0.0175*$A42))),70*'Scénario référence'!$B$18)</f>
        <v>70</v>
      </c>
      <c r="KR42" s="12">
        <f>IF($A42&gt;30,10,('Scénario référence'!$B$16+'Scénario référence'!$B$17+'Scénario référence'!$B$18+'Scénario référence'!$B$9+'Scénario référence'!$B$10)*$A42*10/30+('Scénario référence'!$F$8+'Scénario référence'!$F$9)*10)</f>
        <v>10</v>
      </c>
      <c r="KS42" s="12" t="e">
        <f>VLOOKUP($A42,'Données projet'!$A$408:$I$428,2,0)</f>
        <v>#N/A</v>
      </c>
      <c r="KT42" s="12" t="e">
        <f>VLOOKUP($A42,'Données projet'!$A$408:$I$428,9,0)</f>
        <v>#N/A</v>
      </c>
      <c r="KU42" s="12">
        <f t="array" ref="KU42">INDEX(KT:KT,MIN(IF(ISNUMBER(KT42:KT238),ROW(KT42:KT238),"")))</f>
        <v>9.6</v>
      </c>
      <c r="KV42" s="12">
        <f>IF('Données projet'!$A$408&gt;35,KV41+KU42-LD41,IF($A42&lt;'Données projet'!$A$408,$CQ$205^$A42,IF($A42='Données projet'!$A$408,'Données projet'!$B$408,KV41+KU42-LD41)))</f>
        <v>182.40000000000003</v>
      </c>
      <c r="KW42" s="17">
        <f>KV42*VLOOKUP('Données projet'!$B$23,Paramètres!$A$1:$I$89,3,0)*VLOOKUP('Données projet'!$B$23,Paramètres!$A$1:$I$89,5,0)</f>
        <v>159.34464000000006</v>
      </c>
      <c r="KX42" s="13">
        <f t="shared" si="99"/>
        <v>40.694661837553809</v>
      </c>
      <c r="KY42" s="14">
        <f t="shared" si="43"/>
        <v>348.40178403373966</v>
      </c>
      <c r="KZ42" s="59">
        <f t="shared" si="44"/>
        <v>641.73511736707292</v>
      </c>
      <c r="LA42" s="59">
        <f ca="1">AVERAGE(OFFSET($KZ$3,0,0,'Données projet'!$E$23+1,1))-AVERAGE(OFFSET($H$3,0,0,'Données projet'!$E$23+1,1))</f>
        <v>248.33596943633819</v>
      </c>
      <c r="LB42" s="59">
        <f t="shared" si="100"/>
        <v>242.34010522344573</v>
      </c>
      <c r="LC42" s="15">
        <f>IF(ISNA(VLOOKUP($A42,'Données projet'!$A$408:$I$428,3,0)),0,VLOOKUP($A42,'Données projet'!$A$408:$I$428,3,0))</f>
        <v>0</v>
      </c>
      <c r="LD42" s="15">
        <f>IF(ISNA(VLOOKUP($A42,'Données projet'!$A$408:$I$428,4,0)),0,VLOOKUP($A42,'Données projet'!$A$408:$I$428,4,0))</f>
        <v>0</v>
      </c>
      <c r="LE42" s="16">
        <f>IF(ISNA(VLOOKUP($A42,'Données projet'!$A$408:$I$428,5,0)),0%,VLOOKUP($A42,'Données projet'!$A$408:$I$428,5,0)*VLOOKUP('Données projet'!$B$23,Paramètres!$A$1:$I$89,7,0))</f>
        <v>0</v>
      </c>
      <c r="LF42" s="16">
        <f>IF(ISNA(VLOOKUP($A42,'Données projet'!$A$408:$I$428,6,0)),0%,VLOOKUP($A42,'Données projet'!$A$408:$I$428,6,0)*VLOOKUP('Données projet'!$B$23,Paramètres!$A$1:$I$89,7,0))</f>
        <v>0</v>
      </c>
      <c r="LG42" s="16">
        <f>IF(ISNA(VLOOKUP($A42,'Données projet'!$A$408:$I$428,7,0)),0%,VLOOKUP($A42,'Données projet'!$A$408:$I$428,7,0))</f>
        <v>0</v>
      </c>
      <c r="LH42" s="21">
        <f>EXP(-LN(2)/35)*LH41+(1-EXP(-LN(2)/35))/(LN(2)/35)*LD42*LE42*VLOOKUP('Données projet'!$B$23,Paramètres!$A$1:$I$89,3,0)*0.475*44/12</f>
        <v>2.3227187572097301</v>
      </c>
      <c r="LI42" s="21">
        <f>EXP(-LN(2)/25)*LI41+(1-EXP(-LN(2)/25))/(LN(2)/25)*Calculateur!LD42*Calculateur!LF42*VLOOKUP('Données projet'!$B$23,Paramètres!$A$1:$I$89,3,0)*0.475*44/12</f>
        <v>7.6242388861219084</v>
      </c>
      <c r="LJ42" s="21">
        <f>EXP(-LN(2)/2)*LJ41+(1-EXP(-LN(2)/2))/(LN(2)/2)*LD42*LG42*VLOOKUP('Données projet'!$B$23,Paramètres!$A$1:$I$89,3,0)*0.475*44/12</f>
        <v>0</v>
      </c>
      <c r="LK42" s="22">
        <f t="shared" si="101"/>
        <v>9.946957643331638</v>
      </c>
      <c r="LL42" s="74">
        <f>('Scénario référence'!$F$8+'Scénario référence'!$F$9+'Scénario référence'!$B$17+'Scénario référence'!$B$9+'Scénario référence'!$B$10)*70+IF((45+25*(1-EXP(-0.0175*$A42)))&lt;70,'Scénario référence'!$B$16*(45+25*(1-EXP(-0.0175*$A42))),70*'Scénario référence'!$B$16)+IF((32+38*(1-EXP(-0.0175*$A42)))&lt;70,'Scénario référence'!$B$18*(32+38*(1-EXP(-0.0175*$A42))),70*'Scénario référence'!$B$18)</f>
        <v>70</v>
      </c>
      <c r="LM42" s="12">
        <f>IF($A42&gt;30,10,('Scénario référence'!$B$16+'Scénario référence'!$B$17+'Scénario référence'!$B$18+'Scénario référence'!$B$9+'Scénario référence'!$B$10)*$A42*10/30+('Scénario référence'!$F$8+'Scénario référence'!$F$9)*10)</f>
        <v>10</v>
      </c>
      <c r="LN42" s="12" t="e">
        <f>VLOOKUP($A42,'Données projet'!$A$434:$I$454,2,0)</f>
        <v>#N/A</v>
      </c>
      <c r="LO42" s="12" t="e">
        <f>VLOOKUP($A42,'Données projet'!$A$434:$I$454,9,0)</f>
        <v>#N/A</v>
      </c>
      <c r="LP42" s="12">
        <f t="array" ref="LP42">INDEX(LO:LO,MIN(IF(ISNUMBER(LO42:LO238),ROW(LO42:LO238),"")))</f>
        <v>5.3369963369963358</v>
      </c>
      <c r="LQ42" s="12">
        <f>IF('Données projet'!$A$434&gt;35,LQ41+LP42-LY41,IF($A42&lt;'Données projet'!$A$434,$CQ$205^$A42,IF($A42='Données projet'!$A$434,'Données projet'!$B$434,LQ41+LP42-LY41)))</f>
        <v>135.73809523809524</v>
      </c>
      <c r="LR42" s="17">
        <f>LQ42*VLOOKUP('Données projet'!$B$24,Paramètres!$A$1:$I$89,3,0)*VLOOKUP('Données projet'!$B$24,Paramètres!$A$1:$I$89,5,0)</f>
        <v>137.63842857142859</v>
      </c>
      <c r="LS42" s="13">
        <f t="shared" si="102"/>
        <v>35.755468155325104</v>
      </c>
      <c r="LT42" s="14">
        <f t="shared" si="46"/>
        <v>301.99437013242931</v>
      </c>
      <c r="LU42" s="59">
        <f t="shared" si="103"/>
        <v>595.32770346576262</v>
      </c>
      <c r="LV42" s="59">
        <f ca="1">AVERAGE(OFFSET($LU$3,0,0,'Données projet'!$E$24+1,1))-AVERAGE(OFFSET($H$3,0,0,'Données projet'!$E$24+1,1))</f>
        <v>260.52627655062872</v>
      </c>
      <c r="LW42" s="59">
        <f t="shared" si="104"/>
        <v>159.20429420478047</v>
      </c>
      <c r="LX42" s="15">
        <f>IF(ISNA(VLOOKUP($A42,'Données projet'!$A$434:$I$454,3,0)),0,VLOOKUP($A42,'Données projet'!$A$434:$I$454,3,0))</f>
        <v>0</v>
      </c>
      <c r="LY42" s="15">
        <f>IF(ISNA(VLOOKUP($A42,'Données projet'!$A$434:$I$454,4,0)),0,VLOOKUP($A42,'Données projet'!$A$434:$I$454,4,0))</f>
        <v>0</v>
      </c>
      <c r="LZ42" s="16">
        <f>IF(ISNA(VLOOKUP($A42,'Données projet'!$A$434:$I$454,5,0)),0%,VLOOKUP($A42,'Données projet'!$A$434:$I$454,5,0)*VLOOKUP('Données projet'!$B$24,Paramètres!$A$1:$I$89,7,0))</f>
        <v>0</v>
      </c>
      <c r="MA42" s="16">
        <f>IF(ISNA(VLOOKUP($A42,'Données projet'!$A$434:$I$454,6,0)),0%,VLOOKUP($A42,'Données projet'!$A$434:$I$454,6,0)*VLOOKUP('Données projet'!$B$24,Paramètres!$A$1:$I$89,7,0))</f>
        <v>0</v>
      </c>
      <c r="MB42" s="16">
        <f>IF(ISNA(VLOOKUP($A42,'Données projet'!$A$434:$I$454,7,0)),0%,VLOOKUP($A42,'Données projet'!$A$434:$I$454,7,0))</f>
        <v>0</v>
      </c>
      <c r="MC42" s="21">
        <f>EXP(-LN(2)/35)*MC41+(1-EXP(-LN(2)/35))/(LN(2)/35)*LY42*LZ42*VLOOKUP('Données projet'!$B$24,Paramètres!$A$1:$I$89,3,0)*0.475*44/12</f>
        <v>0</v>
      </c>
      <c r="MD42" s="21">
        <f>EXP(-LN(2)/25)*MD41+(1-EXP(-LN(2)/25))/(LN(2)/25)*Calculateur!LY42*Calculateur!MA42*VLOOKUP('Données projet'!$B$24,Paramètres!$A$1:$I$89,3,0)*0.475*44/12</f>
        <v>0</v>
      </c>
      <c r="ME42" s="21">
        <f>EXP(-LN(2)/2)*ME41+(1-EXP(-LN(2)/2))/(LN(2)/2)*LY42*MB42*VLOOKUP('Données projet'!$B$24,Paramètres!$A$1:$I$89,3,0)*0.475*44/12</f>
        <v>0</v>
      </c>
      <c r="MF42" s="22">
        <f t="shared" si="105"/>
        <v>0</v>
      </c>
      <c r="MG42" s="74">
        <f>('Scénario référence'!$F$8+'Scénario référence'!$F$9+'Scénario référence'!$B$17+'Scénario référence'!$B$9+'Scénario référence'!$B$10)*70+IF((45+25*(1-EXP(-0.0175*$A42)))&lt;70,'Scénario référence'!$B$16*(45+25*(1-EXP(-0.0175*$A42))),70*'Scénario référence'!$B$16)+IF((32+38*(1-EXP(-0.0175*$A42)))&lt;70,'Scénario référence'!$B$18*(32+38*(1-EXP(-0.0175*$A42))),70*'Scénario référence'!$B$18)</f>
        <v>70</v>
      </c>
      <c r="MH42" s="12">
        <f>IF($A42&gt;30,10,('Scénario référence'!$B$16+'Scénario référence'!$B$17+'Scénario référence'!$B$18+'Scénario référence'!$B$9+'Scénario référence'!$B$10)*$A42*10/30+('Scénario référence'!$F$8+'Scénario référence'!$F$9)*10)</f>
        <v>10</v>
      </c>
      <c r="MI42" s="12" t="e">
        <f>VLOOKUP($A42,'Données projet'!$A$460:$I$480,2,0)</f>
        <v>#N/A</v>
      </c>
      <c r="MJ42" s="12" t="e">
        <f>VLOOKUP($A42,'Données projet'!$A$460:$I$480,9,0)</f>
        <v>#N/A</v>
      </c>
      <c r="MK42" s="12">
        <f t="array" ref="MK42">INDEX(MJ:MJ,MIN(IF(ISNUMBER(MJ42:MJ238),ROW(MJ42:MJ238),"")))</f>
        <v>0</v>
      </c>
      <c r="ML42" s="12">
        <f>IF('Données projet'!$A$460&gt;35,ML41+MK42-MT41,IF($A42&lt;'Données projet'!$A$460,$CQ$205^$A42,IF($A42='Données projet'!$A$460,'Données projet'!$B$460,ML41+MK42-MT41)))</f>
        <v>0</v>
      </c>
      <c r="MM42" s="17" t="e">
        <f>ML42*VLOOKUP('Données projet'!$B$25,Paramètres!$A$1:$I$89,3,0)*VLOOKUP('Données projet'!$B$25,Paramètres!$A$1:$I$89,5,0)</f>
        <v>#N/A</v>
      </c>
      <c r="MN42" s="13" t="e">
        <f t="shared" si="106"/>
        <v>#N/A</v>
      </c>
      <c r="MO42" s="14" t="e">
        <f t="shared" si="49"/>
        <v>#N/A</v>
      </c>
      <c r="MP42" s="59" t="e">
        <f t="shared" si="50"/>
        <v>#N/A</v>
      </c>
      <c r="MQ42" s="20" t="e">
        <f ca="1">AVERAGE(OFFSET($MP$3,0,0,'Données projet'!$E$25+1,1))-AVERAGE(OFFSET($H$3,0,0,'Données projet'!$E$25+1,1))</f>
        <v>#N/A</v>
      </c>
      <c r="MR42" s="59" t="e">
        <f t="shared" si="107"/>
        <v>#N/A</v>
      </c>
      <c r="MS42" s="15">
        <f>IF(ISNA(VLOOKUP($A42,'Données projet'!$A$460:$I$480,3,0)),0,VLOOKUP($A42,'Données projet'!$A$460:$I$480,3,0))</f>
        <v>0</v>
      </c>
      <c r="MT42" s="15">
        <f>IF(ISNA(VLOOKUP($A42,'Données projet'!$A$460:$I$480,4,0)),0,VLOOKUP($A42,'Données projet'!$A$460:$I$480,4,0))</f>
        <v>0</v>
      </c>
      <c r="MU42" s="16">
        <f>IF(ISNA(VLOOKUP($A42,'Données projet'!$A$460:$I$480,5,0)),0%,VLOOKUP($A42,'Données projet'!$A$460:$I$480,5,0)*VLOOKUP('Données projet'!$B$25,Paramètres!$A$1:$I$89,7,0))</f>
        <v>0</v>
      </c>
      <c r="MV42" s="16">
        <f>IF(ISNA(VLOOKUP($A42,'Données projet'!$A$460:$I$480,6,0)),0%,VLOOKUP($A42,'Données projet'!$A$460:$I$480,6,0)*VLOOKUP('Données projet'!$B$25,Paramètres!$A$1:$I$89,7,0))</f>
        <v>0</v>
      </c>
      <c r="MW42" s="16">
        <f>IF(ISNA(VLOOKUP($A42,'Données projet'!$A$460:$I$480,7,0)),0%,VLOOKUP($A42,'Données projet'!$A$460:$I$480,7,0))</f>
        <v>0</v>
      </c>
      <c r="MX42" s="21" t="e">
        <f>EXP(-LN(2)/35)*MX41+(1-EXP(-LN(2)/35))/(LN(2)/35)*MT42*MU42*VLOOKUP('Données projet'!$B$25,Paramètres!$A$1:$I$89,3,0)*0.475*44/12</f>
        <v>#N/A</v>
      </c>
      <c r="MY42" s="21" t="e">
        <f>EXP(-LN(2)/25)*MY41+(1-EXP(-LN(2)/25))/(LN(2)/25)*Calculateur!MT42*Calculateur!MV42*VLOOKUP('Données projet'!$B$25,Paramètres!$A$1:$I$89,3,0)*0.475*44/12</f>
        <v>#N/A</v>
      </c>
      <c r="MZ42" s="21" t="e">
        <f>EXP(-LN(2)/2)*MZ41+(1-EXP(-LN(2)/2))/(LN(2)/2)*MT42*MW42*VLOOKUP('Données projet'!$B$25,Paramètres!$A$1:$I$89,3,0)*0.475*44/12</f>
        <v>#N/A</v>
      </c>
      <c r="NA42" s="22" t="e">
        <f t="shared" si="108"/>
        <v>#N/A</v>
      </c>
      <c r="NB42" s="74">
        <f>('Scénario référence'!$F$8+'Scénario référence'!$F$9+'Scénario référence'!$B$17+'Scénario référence'!$B$9+'Scénario référence'!$B$10)*70+IF((45+25*(1-EXP(-0.0175*$A42)))&lt;70,'Scénario référence'!$B$16*(45+25*(1-EXP(-0.0175*$A42))),70*'Scénario référence'!$B$16)+IF((32+38*(1-EXP(-0.0175*$A42)))&lt;70,'Scénario référence'!$B$18*(32+38*(1-EXP(-0.0175*$A42))),70*'Scénario référence'!$B$18)</f>
        <v>70</v>
      </c>
      <c r="NC42" s="12">
        <f>IF($A42&gt;30,10,('Scénario référence'!$B$16+'Scénario référence'!$B$17+'Scénario référence'!$B$18+'Scénario référence'!$B$9+'Scénario référence'!$B$10)*$A42*10/30+('Scénario référence'!$F$8+'Scénario référence'!$F$9)*10)</f>
        <v>10</v>
      </c>
      <c r="ND42" s="12" t="e">
        <f>VLOOKUP($A42,'Données projet'!$A$486:$I$506,2,0)</f>
        <v>#N/A</v>
      </c>
      <c r="NE42" s="12" t="e">
        <f>VLOOKUP($A42,'Données projet'!$A$486:$I$506,9,0)</f>
        <v>#N/A</v>
      </c>
      <c r="NF42" s="12">
        <f t="array" ref="NF42">INDEX(NE:NE,MIN(IF(ISNUMBER(NE42:NE238),ROW(NE42:NE238),"")))</f>
        <v>0</v>
      </c>
      <c r="NG42" s="12">
        <f>IF('Données projet'!$A$486&gt;35,NG41+NF42-NO41,IF($A42&lt;'Données projet'!$A$486,$CQ$205^$A42,IF($A42='Données projet'!$A$486,'Données projet'!$B$486,NG41+NF42-NO41)))</f>
        <v>0</v>
      </c>
      <c r="NH42" s="17" t="e">
        <f>NG42*VLOOKUP('Données projet'!$B$26,Paramètres!$A$1:$I$89,3,0)*VLOOKUP('Données projet'!$B$26,Paramètres!$A$1:$I$89,5,0)</f>
        <v>#N/A</v>
      </c>
      <c r="NI42" s="13" t="e">
        <f t="shared" si="109"/>
        <v>#N/A</v>
      </c>
      <c r="NJ42" s="14" t="e">
        <f t="shared" si="52"/>
        <v>#N/A</v>
      </c>
      <c r="NK42" s="59" t="e">
        <f t="shared" si="53"/>
        <v>#N/A</v>
      </c>
      <c r="NL42" s="20" t="e">
        <f ca="1">AVERAGE(OFFSET($NK$3,0,0,'Données projet'!$E$26+1,1))-AVERAGE(OFFSET($H$3,0,0,'Données projet'!$E$26+1,1))</f>
        <v>#N/A</v>
      </c>
      <c r="NM42" s="59" t="e">
        <f t="shared" si="110"/>
        <v>#N/A</v>
      </c>
      <c r="NN42" s="15">
        <f>IF(ISNA(VLOOKUP($A42,'Données projet'!$A$486:$I$506,3,0)),0,VLOOKUP($A42,'Données projet'!$A$486:$I$506,3,0))</f>
        <v>0</v>
      </c>
      <c r="NO42" s="15">
        <f>IF(ISNA(VLOOKUP($A42,'Données projet'!$A$486:$I$506,4,0)),0,VLOOKUP($A42,'Données projet'!$A$486:$I$506,4,0))</f>
        <v>0</v>
      </c>
      <c r="NP42" s="16">
        <f>IF(ISNA(VLOOKUP($A42,'Données projet'!$A$486:$I$506,5,0)),0%,VLOOKUP($A42,'Données projet'!$A$486:$I$506,5,0)*VLOOKUP('Données projet'!$B$26,Paramètres!$A$1:$I$89,7,0))</f>
        <v>0</v>
      </c>
      <c r="NQ42" s="16">
        <f>IF(ISNA(VLOOKUP($A42,'Données projet'!$A$486:$I$506,6,0)),0%,VLOOKUP($A42,'Données projet'!$A$486:$I$506,6,0)*VLOOKUP('Données projet'!$B$26,Paramètres!$A$1:$I$89,7,0))</f>
        <v>0</v>
      </c>
      <c r="NR42" s="16">
        <f>IF(ISNA(VLOOKUP($A42,'Données projet'!$A$486:$I$506,7,0)),0%,VLOOKUP($A42,'Données projet'!$A$486:$I$506,7,0))</f>
        <v>0</v>
      </c>
      <c r="NS42" s="21" t="e">
        <f>EXP(-LN(2)/35)*NS41+(1-EXP(-LN(2)/35))/(LN(2)/35)*NO42*NP42*VLOOKUP('Données projet'!$B$26,Paramètres!$A$1:$I$89,3,0)*0.475*44/12</f>
        <v>#N/A</v>
      </c>
      <c r="NT42" s="21" t="e">
        <f>EXP(-LN(2)/25)*NT41+(1-EXP(-LN(2)/25))/(LN(2)/25)*Calculateur!NO42*Calculateur!NQ42*VLOOKUP('Données projet'!$B$26,Paramètres!$A$1:$I$89,3,0)*0.475*44/12</f>
        <v>#N/A</v>
      </c>
      <c r="NU42" s="21" t="e">
        <f>EXP(-LN(2)/2)*NU41+(1-EXP(-LN(2)/2))/(LN(2)/2)*NO42*NR42*VLOOKUP('Données projet'!$B$26,Paramètres!$A$1:$I$89,3,0)*0.475*44/12</f>
        <v>#N/A</v>
      </c>
      <c r="NV42" s="22" t="e">
        <f t="shared" si="111"/>
        <v>#N/A</v>
      </c>
      <c r="NW42" s="74">
        <f>('Scénario référence'!$F$8+'Scénario référence'!$F$9+'Scénario référence'!$B$17+'Scénario référence'!$B$9+'Scénario référence'!$B$10)*70+IF((45+25*(1-EXP(-0.0175*$A42)))&lt;70,'Scénario référence'!$B$16*(45+25*(1-EXP(-0.0175*$A42))),70*'Scénario référence'!$B$16)+IF((32+38*(1-EXP(-0.0175*$A42)))&lt;70,'Scénario référence'!$B$18*(32+38*(1-EXP(-0.0175*$A42))),70*'Scénario référence'!$B$18)</f>
        <v>70</v>
      </c>
      <c r="NX42" s="12">
        <f>IF($A42&gt;30,10,('Scénario référence'!$B$16+'Scénario référence'!$B$17+'Scénario référence'!$B$18+'Scénario référence'!$B$9+'Scénario référence'!$B$10)*$A42*10/30+('Scénario référence'!$F$8+'Scénario référence'!$F$9)*10)</f>
        <v>10</v>
      </c>
      <c r="NY42" s="12" t="e">
        <f>VLOOKUP($A42,'Données projet'!$A$512:$I$532,2,0)</f>
        <v>#N/A</v>
      </c>
      <c r="NZ42" s="12" t="e">
        <f>VLOOKUP($A42,'Données projet'!$A$512:$I$532,9,0)</f>
        <v>#N/A</v>
      </c>
      <c r="OA42" s="12">
        <f t="array" ref="OA42">INDEX(NZ:NZ,MIN(IF(ISNUMBER(NZ42:NZ238),ROW(NZ42:NZ238),"")))</f>
        <v>0</v>
      </c>
      <c r="OB42" s="12">
        <f>IF('Données projet'!$A$512&gt;35,OB41+OA42-OJ41,IF($A42&lt;'Données projet'!$A$512,$CQ$205^$A42,IF($A42='Données projet'!$A$512,'Données projet'!$B$512,OB41+OA42-OJ41)))</f>
        <v>0</v>
      </c>
      <c r="OC42" s="17" t="e">
        <f>OB42*VLOOKUP('Données projet'!$B$27,Paramètres!$A$1:$I$89,3,0)*VLOOKUP('Données projet'!$B$27,Paramètres!$A$1:$I$89,5,0)</f>
        <v>#N/A</v>
      </c>
      <c r="OD42" s="13" t="e">
        <f t="shared" si="112"/>
        <v>#N/A</v>
      </c>
      <c r="OE42" s="14" t="e">
        <f t="shared" si="55"/>
        <v>#N/A</v>
      </c>
      <c r="OF42" s="59" t="e">
        <f t="shared" si="56"/>
        <v>#N/A</v>
      </c>
      <c r="OG42" s="20" t="e">
        <f ca="1">AVERAGE(OFFSET($OF$3,0,0,'Données projet'!$E$27+1,1))-AVERAGE(OFFSET($H$3,0,0,'Données projet'!$E$27+1,1))</f>
        <v>#N/A</v>
      </c>
      <c r="OH42" s="59" t="e">
        <f t="shared" si="113"/>
        <v>#N/A</v>
      </c>
      <c r="OI42" s="15">
        <f>IF(ISNA(VLOOKUP($A42,'Données projet'!$A$512:$I$532,3,0)),0,VLOOKUP($A42,'Données projet'!$A$512:$I$532,3,0))</f>
        <v>0</v>
      </c>
      <c r="OJ42" s="15">
        <f>IF(ISNA(VLOOKUP($A42,'Données projet'!$A$512:$I$532,4,0)),0,VLOOKUP($A42,'Données projet'!$A$512:$I$532,4,0))</f>
        <v>0</v>
      </c>
      <c r="OK42" s="16">
        <f>IF(ISNA(VLOOKUP($A42,'Données projet'!$A$512:$I$532,5,0)),0%,VLOOKUP($A42,'Données projet'!$A$512:$I$532,5,0)*VLOOKUP('Données projet'!$B$27,Paramètres!$A$1:$I$89,7,0))</f>
        <v>0</v>
      </c>
      <c r="OL42" s="16">
        <f>IF(ISNA(VLOOKUP($A42,'Données projet'!$A$512:$I$532,6,0)),0%,VLOOKUP($A42,'Données projet'!$A$512:$I$532,6,0)*VLOOKUP('Données projet'!$B$27,Paramètres!$A$1:$I$89,7,0))</f>
        <v>0</v>
      </c>
      <c r="OM42" s="16">
        <f>IF(ISNA(VLOOKUP($A42,'Données projet'!$A$512:$I$532,7,0)),0%,VLOOKUP($A42,'Données projet'!$A$512:$I$532,7,0))</f>
        <v>0</v>
      </c>
      <c r="ON42" s="21" t="e">
        <f>EXP(-LN(2)/35)*ON41+(1-EXP(-LN(2)/35))/(LN(2)/35)*OJ42*OK42*VLOOKUP('Données projet'!$B$27,Paramètres!$A$1:$I$89,3,0)*0.475*44/12</f>
        <v>#N/A</v>
      </c>
      <c r="OO42" s="21" t="e">
        <f>EXP(-LN(2)/25)*OO41+(1-EXP(-LN(2)/25))/(LN(2)/25)*Calculateur!OJ42*Calculateur!OL42*VLOOKUP('Données projet'!$B$27,Paramètres!$A$1:$I$89,3,0)*0.475*44/12</f>
        <v>#N/A</v>
      </c>
      <c r="OP42" s="21" t="e">
        <f>EXP(-LN(2)/2)*OP41+(1-EXP(-LN(2)/2))/(LN(2)/2)*OJ42*OM42*VLOOKUP('Données projet'!$B$27,Paramètres!$A$1:$I$89,3,0)*0.475*44/12</f>
        <v>#N/A</v>
      </c>
      <c r="OQ42" s="22" t="e">
        <f t="shared" si="114"/>
        <v>#N/A</v>
      </c>
      <c r="OR42" s="74">
        <f>('Scénario référence'!$F$8+'Scénario référence'!$F$9+'Scénario référence'!$B$17+'Scénario référence'!$B$9+'Scénario référence'!$B$10)*70+IF((45+25*(1-EXP(-0.0175*$A42)))&lt;70,'Scénario référence'!$B$16*(45+25*(1-EXP(-0.0175*$A42))),70*'Scénario référence'!$B$16)+IF((32+38*(1-EXP(-0.0175*$A42)))&lt;70,'Scénario référence'!$B$18*(32+38*(1-EXP(-0.0175*$A42))),70*'Scénario référence'!$B$18)</f>
        <v>70</v>
      </c>
      <c r="OS42" s="12">
        <f>IF($A42&gt;30,10,('Scénario référence'!$B$16+'Scénario référence'!$B$17+'Scénario référence'!$B$18+'Scénario référence'!$B$9+'Scénario référence'!$B$10)*$A42*10/30+('Scénario référence'!$F$8+'Scénario référence'!$F$9)*10)</f>
        <v>10</v>
      </c>
      <c r="OT42" s="12" t="e">
        <f>VLOOKUP($A42,'Données projet'!$A$538:$I$558,2,0)</f>
        <v>#N/A</v>
      </c>
      <c r="OU42" s="12" t="e">
        <f>VLOOKUP($A42,'Données projet'!$A$538:$I$558,9,0)</f>
        <v>#N/A</v>
      </c>
      <c r="OV42" s="12">
        <f t="array" ref="OV42">INDEX(OU:OU,MIN(IF(ISNUMBER(OU42:OU238),ROW(OU42:OU238),"")))</f>
        <v>0</v>
      </c>
      <c r="OW42" s="12">
        <f>IF('Données projet'!$A$538&gt;35,OW41+OV42-PE41,IF($A42&lt;'Données projet'!$A$538,$CQ$205^$A42,IF($A42='Données projet'!$A$538,'Données projet'!$B$538,OW41+OV42-PE41)))</f>
        <v>0</v>
      </c>
      <c r="OX42" s="17" t="e">
        <f>OW42*VLOOKUP('Données projet'!$B$28,Paramètres!$A$1:$I$89,3,0)*VLOOKUP('Données projet'!$B$28,Paramètres!$A$1:$I$89,5,0)</f>
        <v>#N/A</v>
      </c>
      <c r="OY42" s="13" t="e">
        <f t="shared" si="115"/>
        <v>#N/A</v>
      </c>
      <c r="OZ42" s="14" t="e">
        <f t="shared" si="58"/>
        <v>#N/A</v>
      </c>
      <c r="PA42" s="59" t="e">
        <f t="shared" si="59"/>
        <v>#N/A</v>
      </c>
      <c r="PB42" s="20" t="e">
        <f ca="1">AVERAGE(OFFSET($PA$3,0,0,'Données projet'!$E$28+1,1))-AVERAGE(OFFSET($H$3,0,0,'Données projet'!$E$28+1,1))</f>
        <v>#N/A</v>
      </c>
      <c r="PC42" s="59" t="e">
        <f t="shared" si="116"/>
        <v>#N/A</v>
      </c>
      <c r="PD42" s="15">
        <f>IF(ISNA(VLOOKUP($A42,'Données projet'!$A$538:$I$558,3,0)),0,VLOOKUP($A42,'Données projet'!$A$538:$I$558,3,0))</f>
        <v>0</v>
      </c>
      <c r="PE42" s="15">
        <f>IF(ISNA(VLOOKUP($A42,'Données projet'!$A$538:$I$558,4,0)),0,VLOOKUP($A42,'Données projet'!$A$538:$I$558,4,0))</f>
        <v>0</v>
      </c>
      <c r="PF42" s="16">
        <f>IF(ISNA(VLOOKUP($A42,'Données projet'!$A$538:$I$558,5,0)),0%,VLOOKUP($A42,'Données projet'!$A$538:$I$558,5,0)*VLOOKUP('Données projet'!$B$28,Paramètres!$A$1:$I$89,7,0))</f>
        <v>0</v>
      </c>
      <c r="PG42" s="16">
        <f>IF(ISNA(VLOOKUP($A42,'Données projet'!$A$538:$I$558,6,0)),0%,VLOOKUP($A42,'Données projet'!$A$538:$I$558,6,0)*VLOOKUP('Données projet'!$B$28,Paramètres!$A$1:$I$89,7,0))</f>
        <v>0</v>
      </c>
      <c r="PH42" s="16">
        <f>IF(ISNA(VLOOKUP($A42,'Données projet'!$A$538:$I$558,7,0)),0%,VLOOKUP($A42,'Données projet'!$A$538:$I$558,7,0))</f>
        <v>0</v>
      </c>
      <c r="PI42" s="21" t="e">
        <f>EXP(-LN(2)/35)*PI41+(1-EXP(-LN(2)/35))/(LN(2)/35)*PE42*PF42*VLOOKUP('Données projet'!$B$28,Paramètres!$A$1:$I$89,3,0)*0.475*44/12</f>
        <v>#N/A</v>
      </c>
      <c r="PJ42" s="21" t="e">
        <f>EXP(-LN(2)/25)*PJ41+(1-EXP(-LN(2)/25))/(LN(2)/25)*Calculateur!PE42*Calculateur!PG42*VLOOKUP('Données projet'!$B$28,Paramètres!$A$1:$I$89,3,0)*0.475*44/12</f>
        <v>#N/A</v>
      </c>
      <c r="PK42" s="21" t="e">
        <f>EXP(-LN(2)/2)*PK41+(1-EXP(-LN(2)/2))/(LN(2)/2)*PE42*PH42*VLOOKUP('Données projet'!$B$28,Paramètres!$A$1:$I$89,3,0)*0.475*44/12</f>
        <v>#N/A</v>
      </c>
      <c r="PL42" s="22" t="e">
        <f t="shared" si="117"/>
        <v>#N/A</v>
      </c>
    </row>
    <row r="43" spans="1:428" x14ac:dyDescent="0.35">
      <c r="A43" s="10">
        <f t="shared" si="6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6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projet'!$A$45:$I$65,2,0)</f>
        <v>#N/A</v>
      </c>
      <c r="L43" s="12" t="e">
        <f>VLOOKUP(A43,'Données projet'!$A$45:$I$65,9,0)</f>
        <v>#N/A</v>
      </c>
      <c r="M43" s="12">
        <f t="array" ref="M43">INDEX(L:L,MIN(IF(ISNUMBER(L43:L239),ROW(L43:L239),"")))</f>
        <v>22.419230769230751</v>
      </c>
      <c r="N43" s="13">
        <f>IF('Données projet'!$A$46&gt;35,N42+M43-V42,IF(A43&lt;'Données projet'!$A$46,$K$205^A43,IF(A43='Données projet'!$A$46,'Données projet'!$B$46,N42+M43-V42)))</f>
        <v>423.88461538461536</v>
      </c>
      <c r="O43" s="13">
        <f>N43*VLOOKUP('Données projet'!$B$9,Paramètres!$A$1:$I$89,3,0)*VLOOKUP('Données projet'!$B$9,Paramètres!$A$1:$I$89,5,0)</f>
        <v>236.95150000000001</v>
      </c>
      <c r="P43" s="13">
        <f t="shared" si="63"/>
        <v>57.783143668102753</v>
      </c>
      <c r="Q43" s="20">
        <f t="shared" si="118"/>
        <v>513.32950438861235</v>
      </c>
      <c r="R43" s="59">
        <f t="shared" si="0"/>
        <v>806.66283772194561</v>
      </c>
      <c r="S43" s="59">
        <f ca="1">AVERAGE(OFFSET($R$3,0,0,'Données projet'!$E$9+1,1))-AVERAGE(OFFSET($H$3,0,0,'Données projet'!$E$9+1,1))</f>
        <v>274.57619581652199</v>
      </c>
      <c r="T43" s="59">
        <f t="shared" si="64"/>
        <v>366.15117322598775</v>
      </c>
      <c r="U43" s="15">
        <f>IF(ISNA(VLOOKUP(A43,'Données projet'!$A$45:$I$65,3,0)),0,VLOOKUP(A43,'Données projet'!$A$45:$I$65,3,0))</f>
        <v>0</v>
      </c>
      <c r="V43" s="15">
        <f>IF(ISNA(VLOOKUP(A43,'Données projet'!$A$45:$I$65,4,0)),0,VLOOKUP(A43,'Données projet'!$A$45:$I$65,4,0))</f>
        <v>0</v>
      </c>
      <c r="W43" s="16">
        <f>IF(ISNA(VLOOKUP(A43,'Données projet'!$A$45:$I$65,5,0)),0%,VLOOKUP(A43,'Données projet'!$A$45:$I$65,5,0)*VLOOKUP('Données projet'!$B$9,Paramètres!$A$1:$I$89,7,0))</f>
        <v>0</v>
      </c>
      <c r="X43" s="16">
        <f>IF(ISNA(VLOOKUP(A43,'Données projet'!$A$45:$I$65,6,0)),0%,VLOOKUP(A43,'Données projet'!$A$45:$I$65,6,0)*VLOOKUP('Données projet'!$B$9,Paramètres!$A$1:$I$89,7,0))</f>
        <v>0</v>
      </c>
      <c r="Y43" s="16">
        <f>IF(ISNA(VLOOKUP(A43,'Données projet'!$A$45:$I$65,7,0)),0%,VLOOKUP(A43,'Données projet'!$A$45:$I$65,7,0))</f>
        <v>0</v>
      </c>
      <c r="Z43" s="21">
        <f>EXP(-LN(2)/35)*Z42+(1-EXP(-LN(2)/35))/(LN(2)/35)*V43*W43*VLOOKUP('Données projet'!$B$9,Paramètres!$A$1:$I$89,3,0)*0.475*44/12</f>
        <v>42.530055722211095</v>
      </c>
      <c r="AA43" s="21">
        <f>EXP(-LN(2)/25)*AA42+(1-EXP(-LN(2)/25))/(LN(2)/25)*Calculateur!V43*Calculateur!X43*VLOOKUP('Données projet'!$B$9,Paramètres!$A$1:$I$89,3,0)*0.475*44/12</f>
        <v>18.062861935828437</v>
      </c>
      <c r="AB43" s="21">
        <f>EXP(-LN(2)/2)*AB42+(1-EXP(-LN(2)/2))/(LN(2)/2)*V43*Y43*VLOOKUP('Données projet'!$B$9,Paramètres!$A$1:$I$89,3,0)*0.475*44/12</f>
        <v>1.6422118926446714</v>
      </c>
      <c r="AC43" s="22">
        <f t="shared" si="3"/>
        <v>62.235129550684206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projet'!$A$71:$I$91,2,0)</f>
        <v>#N/A</v>
      </c>
      <c r="AG43" s="12" t="e">
        <f>VLOOKUP(A43,'Données projet'!$A$71:$I$91,9,0)</f>
        <v>#N/A</v>
      </c>
      <c r="AH43" s="12">
        <f t="array" ref="AH43">INDEX(AG:AG,MIN(IF(ISNUMBER(AG43:AG239),ROW(AG43:AG239),"")))</f>
        <v>9.3141025641025621</v>
      </c>
      <c r="AI43" s="13">
        <f>IF('Données projet'!$A$72&gt;35,AI42+AH43-AQ42,IF(A43&lt;'Données projet'!$A$72,$AF$205^A43,IF(A43='Données projet'!$A$72,'Données projet'!$B$72,AI42+AH43-AQ42)))</f>
        <v>148.13461538461542</v>
      </c>
      <c r="AJ43" s="13">
        <f>AI43*VLOOKUP('Données projet'!$B$10,Paramètres!$A$1:$I$89,3,0)*VLOOKUP('Données projet'!$B$10,Paramètres!$A$1:$I$89,5,0)</f>
        <v>134.03220000000002</v>
      </c>
      <c r="AK43" s="13">
        <f t="shared" si="65"/>
        <v>34.926419532696755</v>
      </c>
      <c r="AL43" s="20">
        <f t="shared" si="4"/>
        <v>294.26959568611358</v>
      </c>
      <c r="AM43" s="59">
        <f t="shared" si="5"/>
        <v>587.60292901944695</v>
      </c>
      <c r="AN43" s="59">
        <f ca="1">AVERAGE(OFFSET($AM$3,0,0,'Données projet'!$E$10+1,1))-AVERAGE(OFFSET($H$3,0,0,'Données projet'!$E$10+1,1))</f>
        <v>270.87836509222456</v>
      </c>
      <c r="AO43" s="59">
        <f t="shared" si="66"/>
        <v>205.24998237949734</v>
      </c>
      <c r="AP43" s="15">
        <f>IF(ISNA(VLOOKUP(A43,'Données projet'!$A$71:$I$91,3,0)),0,VLOOKUP(A43,'Données projet'!$A$71:$I$91,3,0))</f>
        <v>0</v>
      </c>
      <c r="AQ43" s="15">
        <f>IF(ISNA(VLOOKUP(A43,'Données projet'!$A$71:$I$91,4,0)),0,VLOOKUP(A43,'Données projet'!$A$71:$I$91,4,0))</f>
        <v>0</v>
      </c>
      <c r="AR43" s="16">
        <f>IF(ISNA(VLOOKUP(A43,'Données projet'!$A$71:$I$91,5,0)),0%,VLOOKUP(A43,'Données projet'!$A$71:$I$91,5,0)*VLOOKUP('Données projet'!$B$10,Paramètres!$A$1:$I$89,7,0))</f>
        <v>0</v>
      </c>
      <c r="AS43" s="16">
        <f>IF(ISNA(VLOOKUP(A43,'Données projet'!$A$71:$I$91,6,0)),0%,VLOOKUP(A43,'Données projet'!$A$71:$I$91,6,0)*VLOOKUP('Données projet'!$B$10,Paramètres!$A$1:$I$89,7,0))</f>
        <v>0</v>
      </c>
      <c r="AT43" s="16">
        <f>IF(ISNA(VLOOKUP(A43,'Données projet'!$A$71:$I$91,7,0)),0%,VLOOKUP(A43,'Données projet'!$A$71:$I$91,7,0))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projet'!$A$97:$I$117,2,0)</f>
        <v>#N/A</v>
      </c>
      <c r="BB43" s="12" t="e">
        <f>VLOOKUP(A43,'Données projet'!$A$97:$I$117,9,0)</f>
        <v>#N/A</v>
      </c>
      <c r="BC43" s="12">
        <f t="array" ref="BC43">INDEX(BB:BB,MIN(IF(ISNUMBER(BB43:BB239),ROW(BB43:BB239),"")))</f>
        <v>22.419230769230751</v>
      </c>
      <c r="BD43" s="12">
        <f>IF('Données projet'!$A$98&gt;35,BD42+BC43-BL42,IF(A43&lt;'Données projet'!$A$98,$BA$205^A43,IF(A43='Données projet'!$A$98,'Données projet'!$B$98,BD42+BC43-BL42)))</f>
        <v>423.88461538461536</v>
      </c>
      <c r="BE43" s="13">
        <f>BD43*VLOOKUP('Données projet'!$B$11,Paramètres!$A$1:$I$89,3,0)*VLOOKUP('Données projet'!$B$11,Paramètres!$A$1:$I$89,5,0)</f>
        <v>187.35700000000003</v>
      </c>
      <c r="BF43" s="13">
        <f t="shared" si="67"/>
        <v>46.955147540970934</v>
      </c>
      <c r="BG43" s="20">
        <f t="shared" si="7"/>
        <v>408.09365696719101</v>
      </c>
      <c r="BH43" s="59">
        <f t="shared" si="8"/>
        <v>701.42699030052427</v>
      </c>
      <c r="BI43" s="59">
        <f ca="1">AVERAGE(OFFSET($BH$3,0,0,'Données projet'!$E$11+1,1))-AVERAGE(OFFSET($H$3,0,0,'Données projet'!$E$11+1,1))</f>
        <v>211.31057120485542</v>
      </c>
      <c r="BJ43" s="59">
        <f t="shared" si="68"/>
        <v>283.33292006714777</v>
      </c>
      <c r="BK43" s="15">
        <f>IF(ISNA(VLOOKUP(A43,'Données projet'!$A$97:$I$117,3,0)),0,VLOOKUP(A43,'Données projet'!$A$97:$I$117,3,0))</f>
        <v>0</v>
      </c>
      <c r="BL43" s="15">
        <f>IF(ISNA(VLOOKUP(A43,'Données projet'!$A$97:$I$117,4,0)),0,VLOOKUP(A43,'Données projet'!$A$97:$I$117,4,0))</f>
        <v>0</v>
      </c>
      <c r="BM43" s="16">
        <f>IF(ISNA(VLOOKUP(A43,'Données projet'!$A$97:$I$117,5,0)),0%,VLOOKUP(A43,'Données projet'!$A$97:$I$117,5,0)*VLOOKUP('Données projet'!$B$11,Paramètres!$A$1:$I$89,7,0))</f>
        <v>0</v>
      </c>
      <c r="BN43" s="16">
        <f>IF(ISNA(VLOOKUP(A43,'Données projet'!$A$97:$I$117,6,0)),0%,VLOOKUP(A43,'Données projet'!$A$97:$I$117,6,0)*VLOOKUP('Données projet'!$B$11,Paramètres!$A$1:$I$89,7,0))</f>
        <v>0</v>
      </c>
      <c r="BO43" s="16">
        <f>IF(ISNA(VLOOKUP(A43,'Données projet'!$A$97:$I$117,7,0)),0%,VLOOKUP(A43,'Données projet'!$A$97:$I$117,7,0))</f>
        <v>0</v>
      </c>
      <c r="BP43" s="21">
        <f>EXP(-LN(2)/35)*BP42+(1-EXP(-LN(2)/35))/(LN(2)/35)*BL43*BM43*VLOOKUP('Données projet'!$B$11,Paramètres!$A$1:$I$89,3,0)*0.475*44/12</f>
        <v>33.628416152445979</v>
      </c>
      <c r="BQ43" s="21">
        <f>EXP(-LN(2)/25)*BQ42+(1-EXP(-LN(2)/25))/(LN(2)/25)*Calculateur!BL43*Calculateur!BN43*VLOOKUP('Données projet'!$B$11,Paramètres!$A$1:$I$89,3,0)*0.475*44/12</f>
        <v>14.282262926003879</v>
      </c>
      <c r="BR43" s="21">
        <f>EXP(-LN(2)/2)*BR42+(1-EXP(-LN(2)/2))/(LN(2)/2)*BL43*BO43*VLOOKUP('Données projet'!$B$11,Paramètres!$A$1:$I$89,3,0)*0.475*44/12</f>
        <v>1.298493124416717</v>
      </c>
      <c r="BS43" s="22">
        <f t="shared" si="9"/>
        <v>49.209172202866576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projet'!$A$123:$I$143,2,0)</f>
        <v>185</v>
      </c>
      <c r="BW43" s="12">
        <f>VLOOKUP(A43,'Données projet'!$A$123:$I$143,9,0)</f>
        <v>8.8000000000000007</v>
      </c>
      <c r="BX43" s="12">
        <f t="array" ref="BX43">INDEX(BW:BW,MIN(IF(ISNUMBER(BW43:BW239),ROW(BW43:BW239),"")))</f>
        <v>8.8000000000000007</v>
      </c>
      <c r="BY43" s="12">
        <f>IF('Données projet'!$A$124&gt;35,BY42+BX43-CG42,IF(A43&lt;'Données projet'!$A$124,$BV$205^A43,IF(A43='Données projet'!$A$124,'Données projet'!$B$124,BY42+BX43-CG42)))</f>
        <v>185.00000000000003</v>
      </c>
      <c r="BZ43" s="13">
        <f>BY43*VLOOKUP('Données projet'!$B$12,Paramètres!$A$1:$I$89,3,0)*VLOOKUP('Données projet'!$B$12,Paramètres!$A$1:$I$89,5,0)</f>
        <v>193.36200000000005</v>
      </c>
      <c r="CA43" s="13">
        <f t="shared" si="69"/>
        <v>48.282482845036888</v>
      </c>
      <c r="CB43" s="20">
        <f t="shared" si="10"/>
        <v>420.864140955106</v>
      </c>
      <c r="CC43" s="59">
        <f t="shared" si="11"/>
        <v>714.19747428843925</v>
      </c>
      <c r="CD43" s="59">
        <f ca="1">AVERAGE(OFFSET($CC$3,0,0,'Données projet'!$E$12+1,1))-AVERAGE(OFFSET($H$3,0,0,'Données projet'!$E$12+1,1))</f>
        <v>322.93502595881938</v>
      </c>
      <c r="CE43" s="59">
        <f t="shared" si="70"/>
        <v>302.67072119588164</v>
      </c>
      <c r="CF43" s="15">
        <f>IF(ISNA(VLOOKUP(A43,'Données projet'!$A$123:$I$143,3,0)),0,VLOOKUP(A43,'Données projet'!$A$123:$I$143,3,0))</f>
        <v>5</v>
      </c>
      <c r="CG43" s="15" t="str">
        <f>IF(ISNA(VLOOKUP(A43,'Données projet'!$A$123:$I$143,4,0)),0,VLOOKUP(A43,'Données projet'!$A$123:$I$143,4,0))</f>
        <v>27</v>
      </c>
      <c r="CH43" s="16">
        <f>IF(ISNA(VLOOKUP(A43,'Données projet'!$A$123:$I$143,5,0)),0%,VLOOKUP(A43,'Données projet'!$A$123:$I$143,5,0)*VLOOKUP('Données projet'!$B$12,Paramètres!$A$1:$I$89,7,0))</f>
        <v>0</v>
      </c>
      <c r="CI43" s="16">
        <f>IF(ISNA(VLOOKUP(A43,'Données projet'!$A$123:$I$143,6,0)),0%,VLOOKUP(A43,'Données projet'!$A$123:$I$143,6,0)*VLOOKUP('Données projet'!$B$12,Paramètres!$A$1:$I$89,7,0))</f>
        <v>0.215</v>
      </c>
      <c r="CJ43" s="16">
        <f>IF(ISNA(VLOOKUP(A43,'Données projet'!$A$123:$I$143,7,0)),0%,VLOOKUP(A43,'Données projet'!$A$123:$I$143,7,0))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12.496972944337816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12.496972944337816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projet'!$A$149:$I$169,2,0)</f>
        <v>#N/A</v>
      </c>
      <c r="CR43" s="12" t="e">
        <f>VLOOKUP(A43,'Données projet'!$A$149:$I$169,9,0)</f>
        <v>#N/A</v>
      </c>
      <c r="CS43" s="12">
        <f t="array" ref="CS43">INDEX(CR:CR,MIN(IF(ISNUMBER(CR43:CR239),ROW(CR43:CR239),"")))</f>
        <v>5.3369963369963358</v>
      </c>
      <c r="CT43" s="12">
        <f>IF('Données projet'!$A$150&gt;35,CT42+CS43-DB42,IF(A43&lt;'Données projet'!$A$150,$CQ$205^A43,IF(A43='Données projet'!$A$150,'Données projet'!$B$150,CT42+CS43-DB42)))</f>
        <v>141.07509157509156</v>
      </c>
      <c r="CU43" s="17">
        <f>CT43*VLOOKUP('Données projet'!$B$13,Paramètres!$A$1:$I$89,3,0)*VLOOKUP('Données projet'!$B$13,Paramètres!$A$1:$I$89,5,0)</f>
        <v>143.05014285714284</v>
      </c>
      <c r="CV43" s="13">
        <f t="shared" si="71"/>
        <v>36.994871493561163</v>
      </c>
      <c r="CW43" s="20">
        <f t="shared" si="13"/>
        <v>313.57839999414279</v>
      </c>
      <c r="CX43" s="59">
        <f t="shared" si="14"/>
        <v>606.9117333274761</v>
      </c>
      <c r="CY43" s="59">
        <f ca="1">AVERAGE(OFFSET($CX$3,0,0,'Données projet'!$E$13+1,1))-AVERAGE(OFFSET($H$3,0,0,'Données projet'!$E$13+1,1))</f>
        <v>250.31277422753283</v>
      </c>
      <c r="CZ43" s="59">
        <f t="shared" si="72"/>
        <v>159.20429420478047</v>
      </c>
      <c r="DA43" s="15">
        <f>IF(ISNA(VLOOKUP(A43,'Données projet'!$A$149:$I$169,3,0)),0,VLOOKUP(A43,'Données projet'!$A$149:$I$169,3,0))</f>
        <v>0</v>
      </c>
      <c r="DB43" s="15">
        <f>IF(ISNA(VLOOKUP(A43,'Données projet'!$A$149:$I$169,4,0)),0,VLOOKUP(A43,'Données projet'!$A$149:$I$169,4,0))</f>
        <v>0</v>
      </c>
      <c r="DC43" s="16">
        <f>IF(ISNA(VLOOKUP(A43,'Données projet'!$A$149:$I$169,5,0)),0%,VLOOKUP(A43,'Données projet'!$A$149:$I$169,5,0)*VLOOKUP('Données projet'!$B$13,Paramètres!$A$1:$I$89,7,0))</f>
        <v>0</v>
      </c>
      <c r="DD43" s="16">
        <f>IF(ISNA(VLOOKUP(A43,'Données projet'!$A$149:$I$169,6,0)),0%,VLOOKUP(A43,'Données projet'!$A$149:$I$169,6,0)*VLOOKUP('Données projet'!$B$13,Paramètres!$A$1:$I$89,7,0))</f>
        <v>0</v>
      </c>
      <c r="DE43" s="16">
        <f>IF(ISNA(VLOOKUP(A43,'Données projet'!$A$149:$I$169,7,0)),0%,VLOOKUP(A43,'Données projet'!$A$149:$I$169,7,0))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projet'!$A$175:$I$195,2,0)</f>
        <v>263</v>
      </c>
      <c r="DM43" s="12">
        <f>VLOOKUP(A43,'Données projet'!$A$175:$I$195,9,0)</f>
        <v>13.2</v>
      </c>
      <c r="DN43" s="12">
        <f t="array" ref="DN43">INDEX(DM:DM,MIN(IF(ISNUMBER(DM43:DM239),ROW(DM43:DM239),"")))</f>
        <v>13.2</v>
      </c>
      <c r="DO43" s="12">
        <f>IF('Données projet'!$A$176&gt;35,DO42+DN43-DW42,IF(A43&lt;'Données projet'!$A$176,$DL$205^A43,IF(A43='Données projet'!$A$176,'Données projet'!$B$176,DO42+DN43-DW42)))</f>
        <v>262.99999999999994</v>
      </c>
      <c r="DP43" s="17">
        <f>DO43*VLOOKUP('Données projet'!$B$14,Paramètres!$A$1:$I$89,3,0)*VLOOKUP('Données projet'!$B$14,Paramètres!$A$1:$I$89,5,0)</f>
        <v>192.83159999999995</v>
      </c>
      <c r="DQ43" s="13">
        <f t="shared" si="73"/>
        <v>48.165439402688818</v>
      </c>
      <c r="DR43" s="20">
        <f t="shared" si="16"/>
        <v>419.73651029301618</v>
      </c>
      <c r="DS43" s="59">
        <f t="shared" si="17"/>
        <v>713.06984362634944</v>
      </c>
      <c r="DT43" s="59">
        <f ca="1">AVERAGE(OFFSET($DS$3,0,0,'Données projet'!$E$14+1,1))-AVERAGE(OFFSET($H$3,0,0,'Données projet'!$E$14+1,1))</f>
        <v>296.91321813251051</v>
      </c>
      <c r="DU43" s="59">
        <f t="shared" si="74"/>
        <v>291.0718079639509</v>
      </c>
      <c r="DV43" s="15">
        <f>IF(ISNA(VLOOKUP(A43,'Données projet'!$A$175:$I$195,3,0)),0,VLOOKUP(A43,'Données projet'!$A$175:$I$195,3,0))</f>
        <v>7</v>
      </c>
      <c r="DW43" s="15">
        <f>IF(ISNA(VLOOKUP(A43,'Données projet'!$A$175:$I$195,4,0)),0,VLOOKUP(A43,'Données projet'!$A$175:$I$195,4,0))</f>
        <v>40</v>
      </c>
      <c r="DX43" s="16">
        <f>IF(ISNA(VLOOKUP(A43,'Données projet'!$A$175:$I$195,5,0)),0%,VLOOKUP(A43,'Données projet'!$A$175:$I$195,5,0)*VLOOKUP('Données projet'!$B$14,Paramètres!$A$1:$I$89,7,0))</f>
        <v>0.36549999999999999</v>
      </c>
      <c r="DY43" s="16">
        <f>IF(ISNA(VLOOKUP(A43,'Données projet'!$A$175:$I$195,6,0)),0%,VLOOKUP(A43,'Données projet'!$A$175:$I$195,6,0)*VLOOKUP('Données projet'!$B$14,Paramètres!$A$1:$I$89,7,0))</f>
        <v>4.3000000000000003E-2</v>
      </c>
      <c r="DZ43" s="16">
        <f>IF(ISNA(VLOOKUP(A43,'Données projet'!$A$175:$I$195,7,0)),0%,VLOOKUP(A43,'Données projet'!$A$175:$I$195,7,0))</f>
        <v>0</v>
      </c>
      <c r="EA43" s="21">
        <f>EXP(-LN(2)/35)*EA42+(1-EXP(-LN(2)/35))/(LN(2)/35)*DW43*DX43*VLOOKUP('Données projet'!$B$14,Paramètres!$A$1:$I$89,3,0)*0.475*44/12</f>
        <v>29.42792911109477</v>
      </c>
      <c r="EB43" s="21">
        <f>EXP(-LN(2)/25)*EB42+(1-EXP(-LN(2)/25))/(LN(2)/25)*Calculateur!DW43*Calculateur!DY43*VLOOKUP('Données projet'!$B$14,Paramètres!$A$1:$I$89,3,0)*0.475*44/12</f>
        <v>12.367149110284391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41.795078221379157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projet'!$A$201:$I$221,2,0)</f>
        <v>#N/A</v>
      </c>
      <c r="EH43" s="12" t="e">
        <f>VLOOKUP(A43,'Données projet'!$A$201:$I$221,9,0)</f>
        <v>#N/A</v>
      </c>
      <c r="EI43" s="12">
        <f t="array" ref="EI43">INDEX(EH:EH,MIN(IF(ISNUMBER(EH43:EH239),ROW(EH43:EH239),"")))</f>
        <v>10.407692307692306</v>
      </c>
      <c r="EJ43" s="12">
        <f>IF('Données projet'!$A$202&gt;35,EJ42+EI43-ER42,IF(A43&lt;'Données projet'!$A$202,$EG$205^A43,IF(A43='Données projet'!$A$202,'Données projet'!$B$202,EJ42+EI43-ER42)))</f>
        <v>207.35384615384618</v>
      </c>
      <c r="EK43" s="17">
        <f>EJ43*VLOOKUP('Données projet'!$B$15,Paramètres!$A$1:$I$89,3,0)*VLOOKUP('Données projet'!$B$15,Paramètres!$A$1:$I$89,5,0)</f>
        <v>97.041600000000017</v>
      </c>
      <c r="EL43" s="13">
        <f t="shared" si="75"/>
        <v>26.255972457521427</v>
      </c>
      <c r="EM43" s="20">
        <f t="shared" si="19"/>
        <v>214.74327203018319</v>
      </c>
      <c r="EN43" s="59">
        <f t="shared" si="20"/>
        <v>508.07660536351648</v>
      </c>
      <c r="EO43" s="59">
        <f ca="1">AVERAGE(OFFSET($EN$3,0,0,'Données projet'!$E$15+1,1))-AVERAGE(OFFSET($H$3,0,0,'Données projet'!$E$15+1,1))</f>
        <v>147.64256291235483</v>
      </c>
      <c r="EP43" s="59">
        <f t="shared" si="76"/>
        <v>70.859031694091868</v>
      </c>
      <c r="EQ43" s="15">
        <f>IF(ISNA(VLOOKUP(A43,'Données projet'!$A$201:$I$221,3,0)),0,VLOOKUP(A43,'Données projet'!$A$201:$I$221,3,0))</f>
        <v>0</v>
      </c>
      <c r="ER43" s="15">
        <f>IF(ISNA(VLOOKUP(A43,'Données projet'!$A$201:$I$221,4,0)),0,VLOOKUP(A43,'Données projet'!$A$201:$I$221,4,0))</f>
        <v>0</v>
      </c>
      <c r="ES43" s="16">
        <f>IF(ISNA(VLOOKUP(A43,'Données projet'!$A$201:$I$221,5,0)),0%,VLOOKUP(A43,'Données projet'!$A$201:$I$221,5,0)*VLOOKUP('Données projet'!$B$15,Paramètres!$A$1:$I$89,7,0))</f>
        <v>0</v>
      </c>
      <c r="ET43" s="16">
        <f>IF(ISNA(VLOOKUP(A43,'Données projet'!$A$201:$I$221,6,0)),0%,VLOOKUP(A43,'Données projet'!$A$201:$I$221,6,0)*VLOOKUP('Données projet'!$B$15,Paramètres!$A$1:$I$89,7,0))</f>
        <v>0</v>
      </c>
      <c r="EU43" s="16">
        <f>IF(ISNA(VLOOKUP(A43,'Données projet'!$A$201:$I$221,7,0)),0%,VLOOKUP(A43,'Données projet'!$A$201:$I$221,7,0))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projet'!$A$227:$I$247,2,0)</f>
        <v>150</v>
      </c>
      <c r="FC43" s="12">
        <f>VLOOKUP(A43,'Données projet'!$A$227:$I$247,9,0)</f>
        <v>7</v>
      </c>
      <c r="FD43" s="12">
        <f t="array" ref="FD43">INDEX(FC:FC,MIN(IF(ISNUMBER(FC43:FC239),ROW(FC43:FC239),"")))</f>
        <v>7</v>
      </c>
      <c r="FE43" s="12">
        <f>IF('Données projet'!$A$228&gt;35,FE42+FD43-FM42,IF(A43&lt;'Données projet'!$A$228,$FB$205^A43,IF(A43='Données projet'!$A$228,'Données projet'!$B$228,FE42+FD43-FM42)))</f>
        <v>150</v>
      </c>
      <c r="FF43" s="17">
        <f>FE43*VLOOKUP('Données projet'!$B$16,Paramètres!$A$1:$I$89,3,0)*VLOOKUP('Données projet'!$B$16,Paramètres!$A$1:$I$89,5,0)</f>
        <v>156.78</v>
      </c>
      <c r="FG43" s="13">
        <f t="shared" si="77"/>
        <v>40.115378305457973</v>
      </c>
      <c r="FH43" s="20">
        <f t="shared" si="22"/>
        <v>342.92611721533927</v>
      </c>
      <c r="FI43" s="59">
        <f t="shared" si="23"/>
        <v>636.25945054867259</v>
      </c>
      <c r="FJ43" s="59">
        <f ca="1">AVERAGE(OFFSET($FI$3,0,0,'Données projet'!$E$16+1,1))-AVERAGE(OFFSET($H$3,0,0,'Données projet'!$E$16+1,1))</f>
        <v>259.03906550253788</v>
      </c>
      <c r="FK43" s="59">
        <f t="shared" si="78"/>
        <v>235.54542903570831</v>
      </c>
      <c r="FL43" s="15">
        <f>IF(ISNA(VLOOKUP(A43,'Données projet'!$A$227:$I$247,3,0)),0,VLOOKUP(A43,'Données projet'!$A$227:$I$247,3,0))</f>
        <v>5</v>
      </c>
      <c r="FM43" s="15" t="str">
        <f>IF(ISNA(VLOOKUP(A43,'Données projet'!$A$227:$I$247,4,0)),0,VLOOKUP(A43,'Données projet'!$A$227:$I$247,4,0))</f>
        <v>20</v>
      </c>
      <c r="FN43" s="16">
        <f>IF(ISNA(VLOOKUP(A43,'Données projet'!$A$227:$I$247,5,0)),0%,VLOOKUP(A43,'Données projet'!$A$227:$I$247,5,0)*VLOOKUP('Données projet'!$B$16,Paramètres!$A$1:$I$89,7,0))</f>
        <v>0</v>
      </c>
      <c r="FO43" s="16">
        <f>IF(ISNA(VLOOKUP(A43,'Données projet'!$A$227:$I$247,6,0)),0%,VLOOKUP(A43,'Données projet'!$A$227:$I$247,6,0)*VLOOKUP('Données projet'!$B$16,Paramètres!$A$1:$I$89,7,0))</f>
        <v>0.215</v>
      </c>
      <c r="FP43" s="16">
        <f>IF(ISNA(VLOOKUP(A43,'Données projet'!$A$227:$I$247,7,0)),0%,VLOOKUP(A43,'Données projet'!$A$227:$I$247,7,0))</f>
        <v>0</v>
      </c>
      <c r="FQ43" s="21">
        <f>EXP(-LN(2)/35)*FQ42+(1-EXP(-LN(2)/35))/(LN(2)/35)*FM43*FN43*VLOOKUP('Données projet'!$B$16,Paramètres!$A$1:$I$89,3,0)*0.475*44/12</f>
        <v>0</v>
      </c>
      <c r="FR43" s="21">
        <f>EXP(-LN(2)/25)*FR42+(1-EXP(-LN(2)/25))/(LN(2)/25)*Calculateur!FM43*Calculateur!FO43*VLOOKUP('Données projet'!$B$16,Paramètres!$A$1:$I$89,3,0)*0.475*44/12</f>
        <v>4.9488194424928373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4.9488194424928373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projet'!$A$253:$I$273,2,0)</f>
        <v>192</v>
      </c>
      <c r="FX43" s="12">
        <f>VLOOKUP(A43,'Données projet'!$A$253:$I$273,9,0)</f>
        <v>9.6</v>
      </c>
      <c r="FY43" s="12">
        <f t="array" ref="FY43">INDEX(FX:FX,MIN(IF(ISNUMBER(FX43:FX239),ROW(FX43:FX239),"")))</f>
        <v>9.6</v>
      </c>
      <c r="FZ43" s="12">
        <f>IF('Données projet'!$A$254&gt;35,FZ42+FY43-GH42,IF(A43&lt;'Données projet'!$A$254,$FW$205^A43,IF(A43='Données projet'!$A$254,'Données projet'!$B$254,FZ42+FY43-GH42)))</f>
        <v>192</v>
      </c>
      <c r="GA43" s="17">
        <f>FZ43*VLOOKUP('Données projet'!$B$17,Paramètres!$A$1:$I$89,3,0)*VLOOKUP('Données projet'!$B$17,Paramètres!$A$1:$I$89,5,0)</f>
        <v>167.73120000000003</v>
      </c>
      <c r="GB43" s="13">
        <f t="shared" si="79"/>
        <v>42.581491199832655</v>
      </c>
      <c r="GC43" s="20">
        <f t="shared" si="25"/>
        <v>366.29460383970854</v>
      </c>
      <c r="GD43" s="59">
        <f t="shared" si="26"/>
        <v>659.6279371730418</v>
      </c>
      <c r="GE43" s="59">
        <f ca="1">AVERAGE(OFFSET($GD$3,0,0,'Données projet'!$E$17+1,1))-AVERAGE(OFFSET($H$3,0,0,'Données projet'!$E$17+1,1))</f>
        <v>245.1983232777614</v>
      </c>
      <c r="GF43" s="59">
        <f t="shared" si="80"/>
        <v>242.34010522344573</v>
      </c>
      <c r="GG43" s="15">
        <f>IF(ISNA(VLOOKUP(A43,'Données projet'!$A$253:$I$273,3,0)),0,VLOOKUP(A43,'Données projet'!$A$253:$I$273,3,0))</f>
        <v>6</v>
      </c>
      <c r="GH43" s="15">
        <f>IF(ISNA(VLOOKUP(A43,'Données projet'!$A$253:$I$273,4,0)),0,VLOOKUP(A43,'Données projet'!$A$253:$I$273,4,0))</f>
        <v>28</v>
      </c>
      <c r="GI43" s="16">
        <f>IF(ISNA(VLOOKUP(A43,'Données projet'!$A$253:$I$273,5,0)),0%,VLOOKUP(A43,'Données projet'!$A$253:$I$273,5,0)*VLOOKUP('Données projet'!$B$17,Paramètres!$A$1:$I$89,7,0))</f>
        <v>0.16770000000000002</v>
      </c>
      <c r="GJ43" s="16">
        <f>IF(ISNA(VLOOKUP(A43,'Données projet'!$A$253:$I$273,6,0)),0%,VLOOKUP(A43,'Données projet'!$A$253:$I$273,6,0)*VLOOKUP('Données projet'!$B$17,Paramètres!$A$1:$I$89,7,0))</f>
        <v>0.16770000000000002</v>
      </c>
      <c r="GK43" s="16">
        <f>IF(ISNA(VLOOKUP(A43,'Données projet'!$A$253:$I$273,7,0)),0%,VLOOKUP(A43,'Données projet'!$A$253:$I$273,7,0))</f>
        <v>0</v>
      </c>
      <c r="GL43" s="21">
        <f>EXP(-LN(2)/35)*GL42+(1-EXP(-LN(2)/35))/(LN(2)/35)*GH43*GI43*VLOOKUP('Données projet'!$B$17,Paramètres!$A$1:$I$89,3,0)*0.475*44/12</f>
        <v>6.8118953485676661</v>
      </c>
      <c r="GM43" s="21">
        <f>EXP(-LN(2)/25)*GM42+(1-EXP(-LN(2)/25))/(LN(2)/25)*Calculateur!GH43*Calculateur!GJ43*VLOOKUP('Données projet'!$B$17,Paramètres!$A$1:$I$89,3,0)*0.475*44/12</f>
        <v>11.932622427277252</v>
      </c>
      <c r="GN43" s="21">
        <f>EXP(-LN(2)/2)*GN42+(1-EXP(-LN(2)/2))/(LN(2)/2)*GH43*GK43*VLOOKUP('Données projet'!$B$17,Paramètres!$A$1:$I$89,3,0)*0.475*44/12</f>
        <v>0</v>
      </c>
      <c r="GO43" s="21">
        <f t="shared" si="27"/>
        <v>18.744517775844919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>
        <f>VLOOKUP(A43,'Données projet'!$A$279:$I$299,2,0)</f>
        <v>487</v>
      </c>
      <c r="GS43" s="12">
        <f>VLOOKUP(A43,'Données projet'!$A$279:$I$299,9,0)</f>
        <v>20.8</v>
      </c>
      <c r="GT43" s="12">
        <f t="array" ref="GT43">INDEX(GS:GS,MIN(IF(ISNUMBER(GS43:GS239),ROW(GS43:GS239),"")))</f>
        <v>20.8</v>
      </c>
      <c r="GU43" s="12">
        <f>IF('Données projet'!$A$280&gt;35,GU42+GT43-HC42,IF(A43&lt;'Données projet'!$A$280,$GR$205^A43,IF(A43='Données projet'!$A$280,'Données projet'!$B$280,GU42+GT43-HC42)))</f>
        <v>487.00000000000017</v>
      </c>
      <c r="GV43" s="17">
        <f>GU43*VLOOKUP('Données projet'!$B$18,Paramètres!$A$1:$I$89,3,0)*VLOOKUP('Données projet'!$B$18,Paramètres!$A$1:$I$89,5,0)</f>
        <v>196.26100000000008</v>
      </c>
      <c r="GW43" s="13">
        <f t="shared" si="81"/>
        <v>48.921548340754839</v>
      </c>
      <c r="GX43" s="20">
        <f t="shared" si="28"/>
        <v>427.02627169348148</v>
      </c>
      <c r="GY43" s="59">
        <f t="shared" si="29"/>
        <v>720.35960502681473</v>
      </c>
      <c r="GZ43" s="59">
        <f ca="1">AVERAGE(OFFSET($GY$3,0,0,'Données projet'!$E$18+1,1))-AVERAGE(OFFSET($H$3,0,0,'Données projet'!$E$18+1,1))</f>
        <v>324.36162935850876</v>
      </c>
      <c r="HA43" s="59">
        <f t="shared" si="82"/>
        <v>265.23571072429735</v>
      </c>
      <c r="HB43" s="15">
        <f>IF(ISNA(VLOOKUP(A43,'Données projet'!$A$279:$I$299,3,0)),0,VLOOKUP(A43,'Données projet'!$A$279:$I$299,3,0))</f>
        <v>5</v>
      </c>
      <c r="HC43" s="15">
        <f>IF(ISNA(VLOOKUP(A43,'Données projet'!$A$279:$I$299,4,0)),0,VLOOKUP(A43,'Données projet'!$A$279:$I$299,4,0))</f>
        <v>35</v>
      </c>
      <c r="HD43" s="16">
        <f>IF(ISNA(VLOOKUP(A43,'Données projet'!$A$279:$I$299,5,0)),0%,VLOOKUP(A43,'Données projet'!$A$279:$I$299,5,0)*VLOOKUP('Données projet'!$B$18,Paramètres!$A$1:$I$89,7,0))</f>
        <v>7.857142857142857E-2</v>
      </c>
      <c r="HE43" s="16">
        <f>IF(ISNA(VLOOKUP(A43,'Données projet'!$A$279:$I$299,6,0)),0%,VLOOKUP(A43,'Données projet'!$A$279:$I$299,6,0)*VLOOKUP('Données projet'!$B$18,Paramètres!$A$1:$I$89,7,0))</f>
        <v>0.2278571428571429</v>
      </c>
      <c r="HF43" s="16">
        <f>IF(ISNA(VLOOKUP($A43,'Données projet'!$A$279:$I$299,7,0)),0%,VLOOKUP($A43,'Données projet'!$A$279:$I$299,7,0))</f>
        <v>0.22142857142857142</v>
      </c>
      <c r="HG43" s="21">
        <f>EXP(-LN(2)/35)*HG42+(1-EXP(-LN(2)/35))/(LN(2)/35)*HC43*HD43*VLOOKUP('Données projet'!$B$18,Paramètres!$A$1:$I$89,3,0)*0.475*44/12</f>
        <v>1.8696340426918163</v>
      </c>
      <c r="HH43" s="21">
        <f>EXP(-LN(2)/25)*HH42+(1-EXP(-LN(2)/25))/(LN(2)/25)*Calculateur!HC43*Calculateur!HE43*VLOOKUP('Données projet'!$B$18,Paramètres!$A$1:$I$89,3,0)*0.475*44/12</f>
        <v>8.8346644881835061</v>
      </c>
      <c r="HI43" s="21">
        <f>EXP(-LN(2)/2)*HI42+(1-EXP(-LN(2)/2))/(LN(2)/2)*HC43*HF43*VLOOKUP('Données projet'!$B$18,Paramètres!$A$1:$I$89,3,0)*0.475*44/12</f>
        <v>4.721987442545462</v>
      </c>
      <c r="HJ43" s="22">
        <f t="shared" si="30"/>
        <v>15.426285973420784</v>
      </c>
      <c r="HK43" s="74">
        <f>('Scénario référence'!$F$8+'Scénario référence'!$F$9+'Scénario référence'!$B$17+'Scénario référence'!$B$9+'Scénario référence'!$B$10)*70+IF((45+25*(1-EXP(-0.0175*$A43)))&lt;70,'Scénario référence'!$B$16*(45+25*(1-EXP(-0.0175*$A43))),70*'Scénario référence'!$B$16)+IF((32+38*(1-EXP(-0.0175*$A43)))&lt;70,'Scénario référence'!$B$18*(32+38*(1-EXP(-0.0175*$A43))),70*'Scénario référence'!$B$18)</f>
        <v>70</v>
      </c>
      <c r="HL43" s="12">
        <f>IF($A43&gt;30,10,('Scénario référence'!$B$16+'Scénario référence'!$B$17+'Scénario référence'!$B$18+'Scénario référence'!$B$9+'Scénario référence'!$B$10)*$A43*10/30+('Scénario référence'!$F$8+'Scénario référence'!$F$9)*10)</f>
        <v>10</v>
      </c>
      <c r="HM43" s="12" t="e">
        <f>VLOOKUP($A43,'Données projet'!$A$304:$I$324,2,0)</f>
        <v>#N/A</v>
      </c>
      <c r="HN43" s="12" t="e">
        <f>VLOOKUP($A43,'Données projet'!$A$304:$I$324,9,0)</f>
        <v>#N/A</v>
      </c>
      <c r="HO43" s="12">
        <f t="array" ref="HO43">INDEX(HN:HN,MIN(IF(ISNUMBER(HN43:HN239),ROW(HN43:HN239),"")))</f>
        <v>0</v>
      </c>
      <c r="HP43" s="12">
        <f>IF('Données projet'!$A$304&gt;35,HP42+HO43-HX42,IF($A43&lt;'Données projet'!$A$304,$CQ$205^$A43,IF($A43='Données projet'!$A$304,'Données projet'!$B$304,HP42+HO43-HX42)))</f>
        <v>0</v>
      </c>
      <c r="HQ43" s="17">
        <f>HP43*VLOOKUP('Données projet'!$B$19,Paramètres!$A$1:$I$89,3,0)*VLOOKUP('Données projet'!$B$19,Paramètres!$A$1:$I$89,5,0)</f>
        <v>0</v>
      </c>
      <c r="HR43" s="13" t="e">
        <f t="shared" si="83"/>
        <v>#NUM!</v>
      </c>
      <c r="HS43" s="14" t="e">
        <f t="shared" si="31"/>
        <v>#NUM!</v>
      </c>
      <c r="HT43" s="59" t="e">
        <f t="shared" si="32"/>
        <v>#NUM!</v>
      </c>
      <c r="HU43" s="59">
        <f ca="1">AVERAGE(OFFSET(HT$3,0,0,'Données projet'!$E$19+1,1))-AVERAGE(OFFSET($H$3,0,0,'Données projet'!$E$19+1,1))</f>
        <v>91.60721429656013</v>
      </c>
      <c r="HV43" s="59">
        <f t="shared" si="84"/>
        <v>258.94957804210856</v>
      </c>
      <c r="HW43" s="15">
        <f>IF(ISNA(VLOOKUP($A43,'Données projet'!$A$304:$I$324,3,0)),0,VLOOKUP($A43,'Données projet'!$A$304:$I$324,3,0))</f>
        <v>0</v>
      </c>
      <c r="HX43" s="15">
        <f>IF(ISNA(VLOOKUP($A43,'Données projet'!$A$304:$I$324,4,0)),0,VLOOKUP($A43,'Données projet'!$A$304:$I$324,4,0))</f>
        <v>0</v>
      </c>
      <c r="HY43" s="16">
        <f>IF(ISNA(VLOOKUP($A43,'Données projet'!$A$304:$I$324,5,0)),0%,VLOOKUP($A43,'Données projet'!$A$304:$I$324,5,0)*VLOOKUP('Données projet'!$B$19,Paramètres!$A$1:$I$89,7,0))</f>
        <v>0</v>
      </c>
      <c r="HZ43" s="16">
        <f>IF(ISNA(VLOOKUP($A43,'Données projet'!$A$304:$I$324,6,0)),0%,VLOOKUP($A43,'Données projet'!$A$304:$I$324,6,0)*VLOOKUP('Données projet'!$B$19,Paramètres!$A$1:$I$89,7,0))</f>
        <v>0</v>
      </c>
      <c r="IA43" s="16">
        <f>IF(ISNA(VLOOKUP($A43,'Données projet'!$A$304:$I$324,7,0)),0%,VLOOKUP($A43,'Données projet'!$A$304:$I$324,7,0))</f>
        <v>0</v>
      </c>
      <c r="IB43" s="21">
        <f>EXP(-LN(2)/35)*IB42+(1-EXP(-LN(2)/35))/(LN(2)/35)*HX43*HY43*VLOOKUP('Données projet'!$B$19,Paramètres!$A$1:$I$89,3,0)*0.475*44/12</f>
        <v>40.469361883916861</v>
      </c>
      <c r="IC43" s="21">
        <f>EXP(-LN(2)/25)*IC42+(1-EXP(-LN(2)/25))/(LN(2)/25)*Calculateur!HX43*Calculateur!HZ43*VLOOKUP('Données projet'!$B$19,Paramètres!$A$1:$I$89,3,0)*0.475*44/12</f>
        <v>7.3722382387551777</v>
      </c>
      <c r="ID43" s="21">
        <f>EXP(-LN(2)/2)*ID42+(1-EXP(-LN(2)/2))/(LN(2)/2)*HX43*IA43*VLOOKUP('Données projet'!$B$19,Paramètres!$A$1:$I$89,3,0)*0.475*44/12</f>
        <v>1.7901634741999298E-2</v>
      </c>
      <c r="IE43" s="22">
        <f t="shared" si="33"/>
        <v>47.859501757414037</v>
      </c>
      <c r="IF43" s="74">
        <f>('Scénario référence'!$F$8+'Scénario référence'!$F$9+'Scénario référence'!$B$17+'Scénario référence'!$B$9+'Scénario référence'!$B$10)*70+IF((45+25*(1-EXP(-0.0175*$A43)))&lt;70,'Scénario référence'!$B$16*(45+25*(1-EXP(-0.0175*$A43))),70*'Scénario référence'!$B$16)+IF((32+38*(1-EXP(-0.0175*$A43)))&lt;70,'Scénario référence'!$B$18*(32+38*(1-EXP(-0.0175*$A43))),70*'Scénario référence'!$B$18)</f>
        <v>70</v>
      </c>
      <c r="IG43" s="12">
        <f>IF($A43&gt;30,10,('Scénario référence'!$B$16+'Scénario référence'!$B$17+'Scénario référence'!$B$18+'Scénario référence'!$B$9+'Scénario référence'!$B$10)*$A43*10/30+('Scénario référence'!$F$8+'Scénario référence'!$F$9)*10)</f>
        <v>10</v>
      </c>
      <c r="IH43" s="12" t="e">
        <f>VLOOKUP($A43,'Données projet'!$A$330:$I$350,2,0)</f>
        <v>#N/A</v>
      </c>
      <c r="II43" s="12" t="e">
        <f>VLOOKUP($A43,'Données projet'!$A$330:$I$350,9,0)</f>
        <v>#N/A</v>
      </c>
      <c r="IJ43" s="12">
        <f t="array" ref="IJ43">INDEX(II:II,MIN(IF(ISNUMBER(II43:II239),ROW(II43:II239),"")))</f>
        <v>0</v>
      </c>
      <c r="IK43" s="12">
        <f>IF('Données projet'!$A$330&gt;35,IK42+IJ43-IS42,IF($A43&lt;'Données projet'!$A$330,$CQ$205^$A43,IF($A43='Données projet'!$A$330,'Données projet'!$B$330,IK42+IJ43-IS42)))</f>
        <v>0</v>
      </c>
      <c r="IL43" s="17">
        <f>IK43*VLOOKUP('Données projet'!$B$20,Paramètres!$A$1:$I$89,3,0)*VLOOKUP('Données projet'!$B$20,Paramètres!$A$1:$I$89,5,0)</f>
        <v>0</v>
      </c>
      <c r="IM43" s="13" t="e">
        <f t="shared" si="85"/>
        <v>#NUM!</v>
      </c>
      <c r="IN43" s="20" t="e">
        <f t="shared" si="86"/>
        <v>#NUM!</v>
      </c>
      <c r="IO43" s="59" t="e">
        <f t="shared" si="87"/>
        <v>#NUM!</v>
      </c>
      <c r="IP43" s="59">
        <f ca="1">AVERAGE(OFFSET(IO$3,0,0,'Données projet'!$E$20+1,1))-AVERAGE(OFFSET($H$3,0,0,'Données projet'!$E$20+1,1))</f>
        <v>91.60721429656013</v>
      </c>
      <c r="IQ43" s="59">
        <f t="shared" si="88"/>
        <v>258.94957804210856</v>
      </c>
      <c r="IR43" s="15">
        <f>IF(ISNA(VLOOKUP($A43,'Données projet'!$A$330:$I$350,3,0)),0,VLOOKUP($A43,'Données projet'!$A$330:$I$350,3,0))</f>
        <v>0</v>
      </c>
      <c r="IS43" s="15">
        <f>IF(ISNA(VLOOKUP($A43,'Données projet'!$A$330:$I$350,4,0)),0,VLOOKUP($A43,'Données projet'!$A$330:$I$350,4,0))</f>
        <v>0</v>
      </c>
      <c r="IT43" s="16">
        <f>IF(ISNA(VLOOKUP($A43,'Données projet'!$A$330:$I$350,5,0)),0%,VLOOKUP($A43,'Données projet'!$A$330:$I$350,5,0)*VLOOKUP('Données projet'!$B$20,Paramètres!$A$1:$I$89,7,0))</f>
        <v>0</v>
      </c>
      <c r="IU43" s="16">
        <f>IF(ISNA(VLOOKUP($A43,'Données projet'!$A$330:$I$350,6,0)),0%,VLOOKUP($A43,'Données projet'!$A$330:$I$350,6,0)*VLOOKUP('Données projet'!$B$20,Paramètres!$A$1:$I$89,7,0))</f>
        <v>0</v>
      </c>
      <c r="IV43" s="16">
        <f>IF(ISNA(VLOOKUP($A43,'Données projet'!$A$330:$I$350,7,0)),0%,VLOOKUP($A43,'Données projet'!$A$330:$I$350,7,0))</f>
        <v>0</v>
      </c>
      <c r="IW43" s="21">
        <f>EXP(-LN(2)/35)*IW42+(1-EXP(-LN(2)/35))/(LN(2)/35)*IS43*IT43*VLOOKUP('Données projet'!$B$20,Paramètres!$A$1:$I$89,3,0)*0.475*44/12</f>
        <v>40.469361883916861</v>
      </c>
      <c r="IX43" s="21">
        <f>EXP(-LN(2)/25)*IX42+(1-EXP(-LN(2)/25))/(LN(2)/25)*Calculateur!IS43*Calculateur!IU43*VLOOKUP('Données projet'!$B$20,Paramètres!$A$1:$I$89,3,0)*0.475*44/12</f>
        <v>7.3722382387551777</v>
      </c>
      <c r="IY43" s="21">
        <f>EXP(-LN(2)/2)*IY42+(1-EXP(-LN(2)/2))/(LN(2)/2)*IS43*IV43*VLOOKUP('Données projet'!$B$20,Paramètres!$A$1:$I$89,3,0)*0.475*44/12</f>
        <v>1.7901634741999298E-2</v>
      </c>
      <c r="IZ43" s="22">
        <f t="shared" si="89"/>
        <v>47.859501757414037</v>
      </c>
      <c r="JA43" s="74">
        <f>('Scénario référence'!$F$8+'Scénario référence'!$F$9+'Scénario référence'!$B$17+'Scénario référence'!$B$9+'Scénario référence'!$B$10)*70+IF((45+25*(1-EXP(-0.0175*$A43)))&lt;70,'Scénario référence'!$B$16*(45+25*(1-EXP(-0.0175*$A43))),70*'Scénario référence'!$B$16)+IF((32+38*(1-EXP(-0.0175*$A43)))&lt;70,'Scénario référence'!$B$18*(32+38*(1-EXP(-0.0175*$A43))),70*'Scénario référence'!$B$18)</f>
        <v>70</v>
      </c>
      <c r="JB43" s="12">
        <f>IF($A43&gt;30,10,('Scénario référence'!$B$16+'Scénario référence'!$B$17+'Scénario référence'!$B$18+'Scénario référence'!$B$9+'Scénario référence'!$B$10)*$A43*10/30+('Scénario référence'!$F$8+'Scénario référence'!$F$9)*10)</f>
        <v>10</v>
      </c>
      <c r="JC43" s="12">
        <f>VLOOKUP($A43,'Données projet'!$A$356:$I$376,2,0)</f>
        <v>163</v>
      </c>
      <c r="JD43" s="12">
        <f>VLOOKUP($A43,'Données projet'!$A$356:$I$376,9,0)</f>
        <v>30.4</v>
      </c>
      <c r="JE43" s="12">
        <f t="array" ref="JE43">INDEX(JD:JD,MIN(IF(ISNUMBER(JD43:JD239),ROW(JD43:JD239),"")))</f>
        <v>30.4</v>
      </c>
      <c r="JF43" s="12">
        <f>IF('Données projet'!$A$356&gt;35,JF42+JE43-JN42,IF($A43&lt;'Données projet'!$A$356,$CQ$205^$A43,IF($A43='Données projet'!$A$356,'Données projet'!$B$356,JF42+JE43-JN42)))</f>
        <v>163.00000000000009</v>
      </c>
      <c r="JG43" s="17">
        <f>JF43*VLOOKUP('Données projet'!$B$21,Paramètres!$A$1:$I$89,3,0)*VLOOKUP('Données projet'!$B$21,Paramètres!$A$1:$I$89,5,0)</f>
        <v>132.22560000000007</v>
      </c>
      <c r="JH43" s="13">
        <f t="shared" si="90"/>
        <v>34.510120971187419</v>
      </c>
      <c r="JI43" s="20">
        <f t="shared" si="91"/>
        <v>290.39804735815153</v>
      </c>
      <c r="JJ43" s="59">
        <f t="shared" si="92"/>
        <v>583.7313806914849</v>
      </c>
      <c r="JK43" s="59">
        <f ca="1">AVERAGE(OFFSET($JJ$3,0,0,'Données projet'!$E$22+1,1))-AVERAGE(OFFSET($H$3,0,0,'Données projet'!$E$22+1,1))</f>
        <v>353.35574633294613</v>
      </c>
      <c r="JL43" s="59">
        <f t="shared" si="93"/>
        <v>170.36796666474726</v>
      </c>
      <c r="JM43" s="15">
        <f>IF(ISNA(VLOOKUP($A43,'Données projet'!$A$356:$I$376,3,0)),0,VLOOKUP($A43,'Données projet'!$A$356:$I$376,3,0))</f>
        <v>4</v>
      </c>
      <c r="JN43" s="15">
        <f>IF(ISNA(VLOOKUP($A43,'Données projet'!$A$356:$I$376,4,0)),0,VLOOKUP($A43,'Données projet'!$A$356:$I$376,4,0))</f>
        <v>28</v>
      </c>
      <c r="JO43" s="16">
        <f>IF(ISNA(VLOOKUP($A43,'Données projet'!$A$356:$I$376,5,0)),0%,VLOOKUP($A43,'Données projet'!$A$356:$I$376,5,0)*VLOOKUP('Données projet'!$B$21,Paramètres!$A$1:$I$89,7,0))</f>
        <v>0</v>
      </c>
      <c r="JP43" s="16">
        <f>IF(ISNA(VLOOKUP($A43,'Données projet'!$A$356:$I$376,6,0)),0%,VLOOKUP($A43,'Données projet'!$A$356:$I$376,6,0)*VLOOKUP('Données projet'!$B$21,Paramètres!$A$1:$I$89,7,0))</f>
        <v>4.3000000000000003E-2</v>
      </c>
      <c r="JQ43" s="16">
        <f>IF(ISNA(VLOOKUP($A43,'Données projet'!$A$356:$I$376,7,0)),0%,VLOOKUP($A43,'Données projet'!$A$356:$I$376,7,0))</f>
        <v>0.3</v>
      </c>
      <c r="JR43" s="21">
        <f>EXP(-LN(2)/35)*JR42+(1-EXP(-LN(2)/35))/(LN(2)/35)*JN43*JO43*VLOOKUP('Données projet'!$B$21,Paramètres!$A$1:$I$89,3,0)*0.475*44/12</f>
        <v>0</v>
      </c>
      <c r="JS43" s="21">
        <f>EXP(-LN(2)/25)*JS42+(1-EXP(-LN(2)/25))/(LN(2)/25)*Calculateur!JN43*Calculateur!JP43*VLOOKUP('Données projet'!$B$21,Paramètres!$A$1:$I$89,3,0)*0.475*44/12</f>
        <v>2.0116741411780943</v>
      </c>
      <c r="JT43" s="21">
        <f>EXP(-LN(2)/2)*JT42+(1-EXP(-LN(2)/2))/(LN(2)/2)*JN43*JQ43*VLOOKUP('Données projet'!$B$21,Paramètres!$A$1:$I$89,3,0)*0.475*44/12</f>
        <v>7.766727228168504</v>
      </c>
      <c r="JU43" s="18">
        <f t="shared" si="39"/>
        <v>9.7784013693465983</v>
      </c>
      <c r="JV43" s="74">
        <f>('Scénario référence'!$F$8+'Scénario référence'!$F$9+'Scénario référence'!$B$17+'Scénario référence'!$B$9+'Scénario référence'!$B$10)*70+IF((45+25*(1-EXP(-0.0175*$A43)))&lt;70,'Scénario référence'!$B$16*(45+25*(1-EXP(-0.0175*$A43))),70*'Scénario référence'!$B$16)+IF((32+38*(1-EXP(-0.0175*$A43)))&lt;70,'Scénario référence'!$B$18*(32+38*(1-EXP(-0.0175*$A43))),70*'Scénario référence'!$B$18)</f>
        <v>70</v>
      </c>
      <c r="JW43" s="12">
        <f>IF($A43&gt;30,10,('Scénario référence'!$B$16+'Scénario référence'!$B$17+'Scénario référence'!$B$18+'Scénario référence'!$B$9+'Scénario référence'!$B$10)*$A43*10/30+('Scénario référence'!$F$8+'Scénario référence'!$F$9)*10)</f>
        <v>10</v>
      </c>
      <c r="JX43" s="12" t="e">
        <f>VLOOKUP($A43,'Données projet'!$A$382:$I$402,2,0)</f>
        <v>#N/A</v>
      </c>
      <c r="JY43" s="12" t="e">
        <f>VLOOKUP($A43,'Données projet'!$A$382:$I$402,9,0)</f>
        <v>#N/A</v>
      </c>
      <c r="JZ43" s="12">
        <f t="array" ref="JZ43">INDEX(JY:JY,MIN(IF(ISNUMBER(JY43:JY239),ROW(JY43:JY239),"")))</f>
        <v>9.3141025641025621</v>
      </c>
      <c r="KA43" s="12">
        <f>IF('Données projet'!$A$382&gt;35,KA42+JZ43-KI42,IF($A43&lt;'Données projet'!$A$382,$CQ$205^$A43,IF($A43='Données projet'!$A$382,'Données projet'!$B$382,KA42+JZ43-KI42)))</f>
        <v>148.13461538461536</v>
      </c>
      <c r="KB43" s="17">
        <f>KA43*VLOOKUP('Données projet'!$B$22,Paramètres!$A$1:$I$89,3,0)*VLOOKUP('Données projet'!$B$22,Paramètres!$A$1:$I$89,5,0)</f>
        <v>99.368699999999976</v>
      </c>
      <c r="KC43" s="13">
        <f t="shared" si="94"/>
        <v>26.811543639598511</v>
      </c>
      <c r="KD43" s="20">
        <f t="shared" si="95"/>
        <v>219.76392433896737</v>
      </c>
      <c r="KE43" s="59">
        <f t="shared" si="96"/>
        <v>513.09725767230066</v>
      </c>
      <c r="KF43" s="59">
        <f ca="1">AVERAGE(OFFSET($KE$3,0,0,'Données projet'!$E$22+1,1))-AVERAGE(OFFSET($H$3,0,0,'Données projet'!$E$22+1,1))</f>
        <v>193.91714772848269</v>
      </c>
      <c r="KG43" s="59">
        <f t="shared" si="97"/>
        <v>159.20429420478047</v>
      </c>
      <c r="KH43" s="15">
        <f>IF(ISNA(VLOOKUP($A43,'Données projet'!$A$382:$I$402,3,0)),0,VLOOKUP($A43,'Données projet'!$A$382:$I$402,3,0))</f>
        <v>0</v>
      </c>
      <c r="KI43" s="15">
        <f>IF(ISNA(VLOOKUP($A43,'Données projet'!$A$382:$I$402,4,0)),0,VLOOKUP($A43,'Données projet'!$A$382:$I$402,4,0))</f>
        <v>0</v>
      </c>
      <c r="KJ43" s="16">
        <f>IF(ISNA(VLOOKUP($A43,'Données projet'!$A$382:$I$402,5,0)),0%,VLOOKUP($A43,'Données projet'!$A$382:$I$402,5,0)*VLOOKUP('Données projet'!$B$22,Paramètres!$A$1:$I$89,7,0))</f>
        <v>0</v>
      </c>
      <c r="KK43" s="16">
        <f>IF(ISNA(VLOOKUP($A43,'Données projet'!$A$382:$I$402,6,0)),0%,VLOOKUP($A43,'Données projet'!$A$382:$I$402,6,0)*VLOOKUP('Données projet'!$B$22,Paramètres!$A$1:$I$89,7,0))</f>
        <v>0</v>
      </c>
      <c r="KL43" s="16">
        <f>IF(ISNA(VLOOKUP($A43,'Données projet'!$A$382:$I$402,7,0)),0%,VLOOKUP($A43,'Données projet'!$A$382:$I$402,7,0))</f>
        <v>0</v>
      </c>
      <c r="KM43" s="21">
        <f>EXP(-LN(2)/35)*KM42+(1-EXP(-LN(2)/35))/(LN(2)/35)*KI43*KJ43*VLOOKUP('Données projet'!$B$22,Paramètres!$A$1:$I$89,3,0)*0.475*44/12</f>
        <v>0</v>
      </c>
      <c r="KN43" s="21">
        <f>EXP(-LN(2)/25)*KN42+(1-EXP(-LN(2)/25))/(LN(2)/25)*Calculateur!KI43*Calculateur!KK43*VLOOKUP('Données projet'!$B$22,Paramètres!$A$1:$I$89,3,0)*0.475*44/12</f>
        <v>0</v>
      </c>
      <c r="KO43" s="21">
        <f>EXP(-LN(2)/2)*KO42+(1-EXP(-LN(2)/2))/(LN(2)/2)*KI43*KL43*VLOOKUP('Données projet'!$B$22,Paramètres!$A$1:$I$89,3,0)*0.475*44/12</f>
        <v>0</v>
      </c>
      <c r="KP43" s="22">
        <f t="shared" si="98"/>
        <v>0</v>
      </c>
      <c r="KQ43" s="74">
        <f>('Scénario référence'!$F$8+'Scénario référence'!$F$9+'Scénario référence'!$B$17+'Scénario référence'!$B$9+'Scénario référence'!$B$10)*70+IF((45+25*(1-EXP(-0.0175*$A43)))&lt;70,'Scénario référence'!$B$16*(45+25*(1-EXP(-0.0175*$A43))),70*'Scénario référence'!$B$16)+IF((32+38*(1-EXP(-0.0175*$A43)))&lt;70,'Scénario référence'!$B$18*(32+38*(1-EXP(-0.0175*$A43))),70*'Scénario référence'!$B$18)</f>
        <v>70</v>
      </c>
      <c r="KR43" s="12">
        <f>IF($A43&gt;30,10,('Scénario référence'!$B$16+'Scénario référence'!$B$17+'Scénario référence'!$B$18+'Scénario référence'!$B$9+'Scénario référence'!$B$10)*$A43*10/30+('Scénario référence'!$F$8+'Scénario référence'!$F$9)*10)</f>
        <v>10</v>
      </c>
      <c r="KS43" s="12">
        <f>VLOOKUP($A43,'Données projet'!$A$408:$I$428,2,0)</f>
        <v>192</v>
      </c>
      <c r="KT43" s="12">
        <f>VLOOKUP($A43,'Données projet'!$A$408:$I$428,9,0)</f>
        <v>9.6</v>
      </c>
      <c r="KU43" s="12">
        <f t="array" ref="KU43">INDEX(KT:KT,MIN(IF(ISNUMBER(KT43:KT239),ROW(KT43:KT239),"")))</f>
        <v>9.6</v>
      </c>
      <c r="KV43" s="12">
        <f>IF('Données projet'!$A$408&gt;35,KV42+KU43-LD42,IF($A43&lt;'Données projet'!$A$408,$CQ$205^$A43,IF($A43='Données projet'!$A$408,'Données projet'!$B$408,KV42+KU43-LD42)))</f>
        <v>192.00000000000003</v>
      </c>
      <c r="KW43" s="17">
        <f>KV43*VLOOKUP('Données projet'!$B$23,Paramètres!$A$1:$I$89,3,0)*VLOOKUP('Données projet'!$B$23,Paramètres!$A$1:$I$89,5,0)</f>
        <v>167.73120000000006</v>
      </c>
      <c r="KX43" s="13">
        <f t="shared" si="99"/>
        <v>42.581491199832655</v>
      </c>
      <c r="KY43" s="14">
        <f t="shared" si="43"/>
        <v>366.29460383970871</v>
      </c>
      <c r="KZ43" s="59">
        <f t="shared" si="44"/>
        <v>659.62793717304203</v>
      </c>
      <c r="LA43" s="59">
        <f ca="1">AVERAGE(OFFSET($KZ$3,0,0,'Données projet'!$E$23+1,1))-AVERAGE(OFFSET($H$3,0,0,'Données projet'!$E$23+1,1))</f>
        <v>248.33596943633819</v>
      </c>
      <c r="LB43" s="59">
        <f t="shared" si="100"/>
        <v>242.34010522344573</v>
      </c>
      <c r="LC43" s="15">
        <f>IF(ISNA(VLOOKUP($A43,'Données projet'!$A$408:$I$428,3,0)),0,VLOOKUP($A43,'Données projet'!$A$408:$I$428,3,0))</f>
        <v>6</v>
      </c>
      <c r="LD43" s="15">
        <f>IF(ISNA(VLOOKUP($A43,'Données projet'!$A$408:$I$428,4,0)),0,VLOOKUP($A43,'Données projet'!$A$408:$I$428,4,0))</f>
        <v>28</v>
      </c>
      <c r="LE43" s="16">
        <f>IF(ISNA(VLOOKUP($A43,'Données projet'!$A$408:$I$428,5,0)),0%,VLOOKUP($A43,'Données projet'!$A$408:$I$428,5,0)*VLOOKUP('Données projet'!$B$23,Paramètres!$A$1:$I$89,7,0))</f>
        <v>0.16770000000000002</v>
      </c>
      <c r="LF43" s="16">
        <f>IF(ISNA(VLOOKUP($A43,'Données projet'!$A$408:$I$428,6,0)),0%,VLOOKUP($A43,'Données projet'!$A$408:$I$428,6,0)*VLOOKUP('Données projet'!$B$23,Paramètres!$A$1:$I$89,7,0))</f>
        <v>0.16770000000000002</v>
      </c>
      <c r="LG43" s="16">
        <f>IF(ISNA(VLOOKUP($A43,'Données projet'!$A$408:$I$428,7,0)),0%,VLOOKUP($A43,'Données projet'!$A$408:$I$428,7,0))</f>
        <v>0</v>
      </c>
      <c r="LH43" s="21">
        <f>EXP(-LN(2)/35)*LH42+(1-EXP(-LN(2)/35))/(LN(2)/35)*LD43*LE43*VLOOKUP('Données projet'!$B$23,Paramètres!$A$1:$I$89,3,0)*0.475*44/12</f>
        <v>6.8118953485676661</v>
      </c>
      <c r="LI43" s="21">
        <f>EXP(-LN(2)/25)*LI42+(1-EXP(-LN(2)/25))/(LN(2)/25)*Calculateur!LD43*Calculateur!LF43*VLOOKUP('Données projet'!$B$23,Paramètres!$A$1:$I$89,3,0)*0.475*44/12</f>
        <v>11.932622427277252</v>
      </c>
      <c r="LJ43" s="21">
        <f>EXP(-LN(2)/2)*LJ42+(1-EXP(-LN(2)/2))/(LN(2)/2)*LD43*LG43*VLOOKUP('Données projet'!$B$23,Paramètres!$A$1:$I$89,3,0)*0.475*44/12</f>
        <v>0</v>
      </c>
      <c r="LK43" s="22">
        <f t="shared" si="101"/>
        <v>18.744517775844919</v>
      </c>
      <c r="LL43" s="74">
        <f>('Scénario référence'!$F$8+'Scénario référence'!$F$9+'Scénario référence'!$B$17+'Scénario référence'!$B$9+'Scénario référence'!$B$10)*70+IF((45+25*(1-EXP(-0.0175*$A43)))&lt;70,'Scénario référence'!$B$16*(45+25*(1-EXP(-0.0175*$A43))),70*'Scénario référence'!$B$16)+IF((32+38*(1-EXP(-0.0175*$A43)))&lt;70,'Scénario référence'!$B$18*(32+38*(1-EXP(-0.0175*$A43))),70*'Scénario référence'!$B$18)</f>
        <v>70</v>
      </c>
      <c r="LM43" s="12">
        <f>IF($A43&gt;30,10,('Scénario référence'!$B$16+'Scénario référence'!$B$17+'Scénario référence'!$B$18+'Scénario référence'!$B$9+'Scénario référence'!$B$10)*$A43*10/30+('Scénario référence'!$F$8+'Scénario référence'!$F$9)*10)</f>
        <v>10</v>
      </c>
      <c r="LN43" s="12" t="e">
        <f>VLOOKUP($A43,'Données projet'!$A$434:$I$454,2,0)</f>
        <v>#N/A</v>
      </c>
      <c r="LO43" s="12" t="e">
        <f>VLOOKUP($A43,'Données projet'!$A$434:$I$454,9,0)</f>
        <v>#N/A</v>
      </c>
      <c r="LP43" s="12">
        <f t="array" ref="LP43">INDEX(LO:LO,MIN(IF(ISNUMBER(LO43:LO239),ROW(LO43:LO239),"")))</f>
        <v>5.3369963369963358</v>
      </c>
      <c r="LQ43" s="12">
        <f>IF('Données projet'!$A$434&gt;35,LQ42+LP43-LY42,IF($A43&lt;'Données projet'!$A$434,$CQ$205^$A43,IF($A43='Données projet'!$A$434,'Données projet'!$B$434,LQ42+LP43-LY42)))</f>
        <v>141.07509157509156</v>
      </c>
      <c r="LR43" s="17">
        <f>LQ43*VLOOKUP('Données projet'!$B$24,Paramètres!$A$1:$I$89,3,0)*VLOOKUP('Données projet'!$B$24,Paramètres!$A$1:$I$89,5,0)</f>
        <v>143.05014285714284</v>
      </c>
      <c r="LS43" s="13">
        <f t="shared" si="102"/>
        <v>36.994871493561163</v>
      </c>
      <c r="LT43" s="14">
        <f t="shared" si="46"/>
        <v>313.57839999414279</v>
      </c>
      <c r="LU43" s="59">
        <f t="shared" si="103"/>
        <v>606.9117333274761</v>
      </c>
      <c r="LV43" s="59">
        <f ca="1">AVERAGE(OFFSET($LU$3,0,0,'Données projet'!$E$24+1,1))-AVERAGE(OFFSET($H$3,0,0,'Données projet'!$E$24+1,1))</f>
        <v>260.52627655062872</v>
      </c>
      <c r="LW43" s="59">
        <f t="shared" si="104"/>
        <v>159.20429420478047</v>
      </c>
      <c r="LX43" s="15">
        <f>IF(ISNA(VLOOKUP($A43,'Données projet'!$A$434:$I$454,3,0)),0,VLOOKUP($A43,'Données projet'!$A$434:$I$454,3,0))</f>
        <v>0</v>
      </c>
      <c r="LY43" s="15">
        <f>IF(ISNA(VLOOKUP($A43,'Données projet'!$A$434:$I$454,4,0)),0,VLOOKUP($A43,'Données projet'!$A$434:$I$454,4,0))</f>
        <v>0</v>
      </c>
      <c r="LZ43" s="16">
        <f>IF(ISNA(VLOOKUP($A43,'Données projet'!$A$434:$I$454,5,0)),0%,VLOOKUP($A43,'Données projet'!$A$434:$I$454,5,0)*VLOOKUP('Données projet'!$B$24,Paramètres!$A$1:$I$89,7,0))</f>
        <v>0</v>
      </c>
      <c r="MA43" s="16">
        <f>IF(ISNA(VLOOKUP($A43,'Données projet'!$A$434:$I$454,6,0)),0%,VLOOKUP($A43,'Données projet'!$A$434:$I$454,6,0)*VLOOKUP('Données projet'!$B$24,Paramètres!$A$1:$I$89,7,0))</f>
        <v>0</v>
      </c>
      <c r="MB43" s="16">
        <f>IF(ISNA(VLOOKUP($A43,'Données projet'!$A$434:$I$454,7,0)),0%,VLOOKUP($A43,'Données projet'!$A$434:$I$454,7,0))</f>
        <v>0</v>
      </c>
      <c r="MC43" s="21">
        <f>EXP(-LN(2)/35)*MC42+(1-EXP(-LN(2)/35))/(LN(2)/35)*LY43*LZ43*VLOOKUP('Données projet'!$B$24,Paramètres!$A$1:$I$89,3,0)*0.475*44/12</f>
        <v>0</v>
      </c>
      <c r="MD43" s="21">
        <f>EXP(-LN(2)/25)*MD42+(1-EXP(-LN(2)/25))/(LN(2)/25)*Calculateur!LY43*Calculateur!MA43*VLOOKUP('Données projet'!$B$24,Paramètres!$A$1:$I$89,3,0)*0.475*44/12</f>
        <v>0</v>
      </c>
      <c r="ME43" s="21">
        <f>EXP(-LN(2)/2)*ME42+(1-EXP(-LN(2)/2))/(LN(2)/2)*LY43*MB43*VLOOKUP('Données projet'!$B$24,Paramètres!$A$1:$I$89,3,0)*0.475*44/12</f>
        <v>0</v>
      </c>
      <c r="MF43" s="22">
        <f t="shared" si="105"/>
        <v>0</v>
      </c>
      <c r="MG43" s="74">
        <f>('Scénario référence'!$F$8+'Scénario référence'!$F$9+'Scénario référence'!$B$17+'Scénario référence'!$B$9+'Scénario référence'!$B$10)*70+IF((45+25*(1-EXP(-0.0175*$A43)))&lt;70,'Scénario référence'!$B$16*(45+25*(1-EXP(-0.0175*$A43))),70*'Scénario référence'!$B$16)+IF((32+38*(1-EXP(-0.0175*$A43)))&lt;70,'Scénario référence'!$B$18*(32+38*(1-EXP(-0.0175*$A43))),70*'Scénario référence'!$B$18)</f>
        <v>70</v>
      </c>
      <c r="MH43" s="12">
        <f>IF($A43&gt;30,10,('Scénario référence'!$B$16+'Scénario référence'!$B$17+'Scénario référence'!$B$18+'Scénario référence'!$B$9+'Scénario référence'!$B$10)*$A43*10/30+('Scénario référence'!$F$8+'Scénario référence'!$F$9)*10)</f>
        <v>10</v>
      </c>
      <c r="MI43" s="12" t="e">
        <f>VLOOKUP($A43,'Données projet'!$A$460:$I$480,2,0)</f>
        <v>#N/A</v>
      </c>
      <c r="MJ43" s="12" t="e">
        <f>VLOOKUP($A43,'Données projet'!$A$460:$I$480,9,0)</f>
        <v>#N/A</v>
      </c>
      <c r="MK43" s="12">
        <f t="array" ref="MK43">INDEX(MJ:MJ,MIN(IF(ISNUMBER(MJ43:MJ239),ROW(MJ43:MJ239),"")))</f>
        <v>0</v>
      </c>
      <c r="ML43" s="12">
        <f>IF('Données projet'!$A$460&gt;35,ML42+MK43-MT42,IF($A43&lt;'Données projet'!$A$460,$CQ$205^$A43,IF($A43='Données projet'!$A$460,'Données projet'!$B$460,ML42+MK43-MT42)))</f>
        <v>0</v>
      </c>
      <c r="MM43" s="17" t="e">
        <f>ML43*VLOOKUP('Données projet'!$B$25,Paramètres!$A$1:$I$89,3,0)*VLOOKUP('Données projet'!$B$25,Paramètres!$A$1:$I$89,5,0)</f>
        <v>#N/A</v>
      </c>
      <c r="MN43" s="13" t="e">
        <f t="shared" si="106"/>
        <v>#N/A</v>
      </c>
      <c r="MO43" s="14" t="e">
        <f t="shared" si="49"/>
        <v>#N/A</v>
      </c>
      <c r="MP43" s="59" t="e">
        <f t="shared" si="50"/>
        <v>#N/A</v>
      </c>
      <c r="MQ43" s="20" t="e">
        <f ca="1">AVERAGE(OFFSET($MP$3,0,0,'Données projet'!$E$25+1,1))-AVERAGE(OFFSET($H$3,0,0,'Données projet'!$E$25+1,1))</f>
        <v>#N/A</v>
      </c>
      <c r="MR43" s="59" t="e">
        <f t="shared" si="107"/>
        <v>#N/A</v>
      </c>
      <c r="MS43" s="15">
        <f>IF(ISNA(VLOOKUP($A43,'Données projet'!$A$460:$I$480,3,0)),0,VLOOKUP($A43,'Données projet'!$A$460:$I$480,3,0))</f>
        <v>0</v>
      </c>
      <c r="MT43" s="15">
        <f>IF(ISNA(VLOOKUP($A43,'Données projet'!$A$460:$I$480,4,0)),0,VLOOKUP($A43,'Données projet'!$A$460:$I$480,4,0))</f>
        <v>0</v>
      </c>
      <c r="MU43" s="16">
        <f>IF(ISNA(VLOOKUP($A43,'Données projet'!$A$460:$I$480,5,0)),0%,VLOOKUP($A43,'Données projet'!$A$460:$I$480,5,0)*VLOOKUP('Données projet'!$B$25,Paramètres!$A$1:$I$89,7,0))</f>
        <v>0</v>
      </c>
      <c r="MV43" s="16">
        <f>IF(ISNA(VLOOKUP($A43,'Données projet'!$A$460:$I$480,6,0)),0%,VLOOKUP($A43,'Données projet'!$A$460:$I$480,6,0)*VLOOKUP('Données projet'!$B$25,Paramètres!$A$1:$I$89,7,0))</f>
        <v>0</v>
      </c>
      <c r="MW43" s="16">
        <f>IF(ISNA(VLOOKUP($A43,'Données projet'!$A$460:$I$480,7,0)),0%,VLOOKUP($A43,'Données projet'!$A$460:$I$480,7,0))</f>
        <v>0</v>
      </c>
      <c r="MX43" s="21" t="e">
        <f>EXP(-LN(2)/35)*MX42+(1-EXP(-LN(2)/35))/(LN(2)/35)*MT43*MU43*VLOOKUP('Données projet'!$B$25,Paramètres!$A$1:$I$89,3,0)*0.475*44/12</f>
        <v>#N/A</v>
      </c>
      <c r="MY43" s="21" t="e">
        <f>EXP(-LN(2)/25)*MY42+(1-EXP(-LN(2)/25))/(LN(2)/25)*Calculateur!MT43*Calculateur!MV43*VLOOKUP('Données projet'!$B$25,Paramètres!$A$1:$I$89,3,0)*0.475*44/12</f>
        <v>#N/A</v>
      </c>
      <c r="MZ43" s="21" t="e">
        <f>EXP(-LN(2)/2)*MZ42+(1-EXP(-LN(2)/2))/(LN(2)/2)*MT43*MW43*VLOOKUP('Données projet'!$B$25,Paramètres!$A$1:$I$89,3,0)*0.475*44/12</f>
        <v>#N/A</v>
      </c>
      <c r="NA43" s="22" t="e">
        <f t="shared" si="108"/>
        <v>#N/A</v>
      </c>
      <c r="NB43" s="74">
        <f>('Scénario référence'!$F$8+'Scénario référence'!$F$9+'Scénario référence'!$B$17+'Scénario référence'!$B$9+'Scénario référence'!$B$10)*70+IF((45+25*(1-EXP(-0.0175*$A43)))&lt;70,'Scénario référence'!$B$16*(45+25*(1-EXP(-0.0175*$A43))),70*'Scénario référence'!$B$16)+IF((32+38*(1-EXP(-0.0175*$A43)))&lt;70,'Scénario référence'!$B$18*(32+38*(1-EXP(-0.0175*$A43))),70*'Scénario référence'!$B$18)</f>
        <v>70</v>
      </c>
      <c r="NC43" s="12">
        <f>IF($A43&gt;30,10,('Scénario référence'!$B$16+'Scénario référence'!$B$17+'Scénario référence'!$B$18+'Scénario référence'!$B$9+'Scénario référence'!$B$10)*$A43*10/30+('Scénario référence'!$F$8+'Scénario référence'!$F$9)*10)</f>
        <v>10</v>
      </c>
      <c r="ND43" s="12" t="e">
        <f>VLOOKUP($A43,'Données projet'!$A$486:$I$506,2,0)</f>
        <v>#N/A</v>
      </c>
      <c r="NE43" s="12" t="e">
        <f>VLOOKUP($A43,'Données projet'!$A$486:$I$506,9,0)</f>
        <v>#N/A</v>
      </c>
      <c r="NF43" s="12">
        <f t="array" ref="NF43">INDEX(NE:NE,MIN(IF(ISNUMBER(NE43:NE239),ROW(NE43:NE239),"")))</f>
        <v>0</v>
      </c>
      <c r="NG43" s="12">
        <f>IF('Données projet'!$A$486&gt;35,NG42+NF43-NO42,IF($A43&lt;'Données projet'!$A$486,$CQ$205^$A43,IF($A43='Données projet'!$A$486,'Données projet'!$B$486,NG42+NF43-NO42)))</f>
        <v>0</v>
      </c>
      <c r="NH43" s="17" t="e">
        <f>NG43*VLOOKUP('Données projet'!$B$26,Paramètres!$A$1:$I$89,3,0)*VLOOKUP('Données projet'!$B$26,Paramètres!$A$1:$I$89,5,0)</f>
        <v>#N/A</v>
      </c>
      <c r="NI43" s="13" t="e">
        <f t="shared" si="109"/>
        <v>#N/A</v>
      </c>
      <c r="NJ43" s="14" t="e">
        <f t="shared" si="52"/>
        <v>#N/A</v>
      </c>
      <c r="NK43" s="59" t="e">
        <f t="shared" si="53"/>
        <v>#N/A</v>
      </c>
      <c r="NL43" s="20" t="e">
        <f ca="1">AVERAGE(OFFSET($NK$3,0,0,'Données projet'!$E$26+1,1))-AVERAGE(OFFSET($H$3,0,0,'Données projet'!$E$26+1,1))</f>
        <v>#N/A</v>
      </c>
      <c r="NM43" s="59" t="e">
        <f t="shared" si="110"/>
        <v>#N/A</v>
      </c>
      <c r="NN43" s="15">
        <f>IF(ISNA(VLOOKUP($A43,'Données projet'!$A$486:$I$506,3,0)),0,VLOOKUP($A43,'Données projet'!$A$486:$I$506,3,0))</f>
        <v>0</v>
      </c>
      <c r="NO43" s="15">
        <f>IF(ISNA(VLOOKUP($A43,'Données projet'!$A$486:$I$506,4,0)),0,VLOOKUP($A43,'Données projet'!$A$486:$I$506,4,0))</f>
        <v>0</v>
      </c>
      <c r="NP43" s="16">
        <f>IF(ISNA(VLOOKUP($A43,'Données projet'!$A$486:$I$506,5,0)),0%,VLOOKUP($A43,'Données projet'!$A$486:$I$506,5,0)*VLOOKUP('Données projet'!$B$26,Paramètres!$A$1:$I$89,7,0))</f>
        <v>0</v>
      </c>
      <c r="NQ43" s="16">
        <f>IF(ISNA(VLOOKUP($A43,'Données projet'!$A$486:$I$506,6,0)),0%,VLOOKUP($A43,'Données projet'!$A$486:$I$506,6,0)*VLOOKUP('Données projet'!$B$26,Paramètres!$A$1:$I$89,7,0))</f>
        <v>0</v>
      </c>
      <c r="NR43" s="16">
        <f>IF(ISNA(VLOOKUP($A43,'Données projet'!$A$486:$I$506,7,0)),0%,VLOOKUP($A43,'Données projet'!$A$486:$I$506,7,0))</f>
        <v>0</v>
      </c>
      <c r="NS43" s="21" t="e">
        <f>EXP(-LN(2)/35)*NS42+(1-EXP(-LN(2)/35))/(LN(2)/35)*NO43*NP43*VLOOKUP('Données projet'!$B$26,Paramètres!$A$1:$I$89,3,0)*0.475*44/12</f>
        <v>#N/A</v>
      </c>
      <c r="NT43" s="21" t="e">
        <f>EXP(-LN(2)/25)*NT42+(1-EXP(-LN(2)/25))/(LN(2)/25)*Calculateur!NO43*Calculateur!NQ43*VLOOKUP('Données projet'!$B$26,Paramètres!$A$1:$I$89,3,0)*0.475*44/12</f>
        <v>#N/A</v>
      </c>
      <c r="NU43" s="21" t="e">
        <f>EXP(-LN(2)/2)*NU42+(1-EXP(-LN(2)/2))/(LN(2)/2)*NO43*NR43*VLOOKUP('Données projet'!$B$26,Paramètres!$A$1:$I$89,3,0)*0.475*44/12</f>
        <v>#N/A</v>
      </c>
      <c r="NV43" s="22" t="e">
        <f t="shared" si="111"/>
        <v>#N/A</v>
      </c>
      <c r="NW43" s="74">
        <f>('Scénario référence'!$F$8+'Scénario référence'!$F$9+'Scénario référence'!$B$17+'Scénario référence'!$B$9+'Scénario référence'!$B$10)*70+IF((45+25*(1-EXP(-0.0175*$A43)))&lt;70,'Scénario référence'!$B$16*(45+25*(1-EXP(-0.0175*$A43))),70*'Scénario référence'!$B$16)+IF((32+38*(1-EXP(-0.0175*$A43)))&lt;70,'Scénario référence'!$B$18*(32+38*(1-EXP(-0.0175*$A43))),70*'Scénario référence'!$B$18)</f>
        <v>70</v>
      </c>
      <c r="NX43" s="12">
        <f>IF($A43&gt;30,10,('Scénario référence'!$B$16+'Scénario référence'!$B$17+'Scénario référence'!$B$18+'Scénario référence'!$B$9+'Scénario référence'!$B$10)*$A43*10/30+('Scénario référence'!$F$8+'Scénario référence'!$F$9)*10)</f>
        <v>10</v>
      </c>
      <c r="NY43" s="12" t="e">
        <f>VLOOKUP($A43,'Données projet'!$A$512:$I$532,2,0)</f>
        <v>#N/A</v>
      </c>
      <c r="NZ43" s="12" t="e">
        <f>VLOOKUP($A43,'Données projet'!$A$512:$I$532,9,0)</f>
        <v>#N/A</v>
      </c>
      <c r="OA43" s="12">
        <f t="array" ref="OA43">INDEX(NZ:NZ,MIN(IF(ISNUMBER(NZ43:NZ239),ROW(NZ43:NZ239),"")))</f>
        <v>0</v>
      </c>
      <c r="OB43" s="12">
        <f>IF('Données projet'!$A$512&gt;35,OB42+OA43-OJ42,IF($A43&lt;'Données projet'!$A$512,$CQ$205^$A43,IF($A43='Données projet'!$A$512,'Données projet'!$B$512,OB42+OA43-OJ42)))</f>
        <v>0</v>
      </c>
      <c r="OC43" s="17" t="e">
        <f>OB43*VLOOKUP('Données projet'!$B$27,Paramètres!$A$1:$I$89,3,0)*VLOOKUP('Données projet'!$B$27,Paramètres!$A$1:$I$89,5,0)</f>
        <v>#N/A</v>
      </c>
      <c r="OD43" s="13" t="e">
        <f t="shared" si="112"/>
        <v>#N/A</v>
      </c>
      <c r="OE43" s="14" t="e">
        <f t="shared" si="55"/>
        <v>#N/A</v>
      </c>
      <c r="OF43" s="59" t="e">
        <f t="shared" si="56"/>
        <v>#N/A</v>
      </c>
      <c r="OG43" s="20" t="e">
        <f ca="1">AVERAGE(OFFSET($OF$3,0,0,'Données projet'!$E$27+1,1))-AVERAGE(OFFSET($H$3,0,0,'Données projet'!$E$27+1,1))</f>
        <v>#N/A</v>
      </c>
      <c r="OH43" s="59" t="e">
        <f t="shared" si="113"/>
        <v>#N/A</v>
      </c>
      <c r="OI43" s="15">
        <f>IF(ISNA(VLOOKUP($A43,'Données projet'!$A$512:$I$532,3,0)),0,VLOOKUP($A43,'Données projet'!$A$512:$I$532,3,0))</f>
        <v>0</v>
      </c>
      <c r="OJ43" s="15">
        <f>IF(ISNA(VLOOKUP($A43,'Données projet'!$A$512:$I$532,4,0)),0,VLOOKUP($A43,'Données projet'!$A$512:$I$532,4,0))</f>
        <v>0</v>
      </c>
      <c r="OK43" s="16">
        <f>IF(ISNA(VLOOKUP($A43,'Données projet'!$A$512:$I$532,5,0)),0%,VLOOKUP($A43,'Données projet'!$A$512:$I$532,5,0)*VLOOKUP('Données projet'!$B$27,Paramètres!$A$1:$I$89,7,0))</f>
        <v>0</v>
      </c>
      <c r="OL43" s="16">
        <f>IF(ISNA(VLOOKUP($A43,'Données projet'!$A$512:$I$532,6,0)),0%,VLOOKUP($A43,'Données projet'!$A$512:$I$532,6,0)*VLOOKUP('Données projet'!$B$27,Paramètres!$A$1:$I$89,7,0))</f>
        <v>0</v>
      </c>
      <c r="OM43" s="16">
        <f>IF(ISNA(VLOOKUP($A43,'Données projet'!$A$512:$I$532,7,0)),0%,VLOOKUP($A43,'Données projet'!$A$512:$I$532,7,0))</f>
        <v>0</v>
      </c>
      <c r="ON43" s="21" t="e">
        <f>EXP(-LN(2)/35)*ON42+(1-EXP(-LN(2)/35))/(LN(2)/35)*OJ43*OK43*VLOOKUP('Données projet'!$B$27,Paramètres!$A$1:$I$89,3,0)*0.475*44/12</f>
        <v>#N/A</v>
      </c>
      <c r="OO43" s="21" t="e">
        <f>EXP(-LN(2)/25)*OO42+(1-EXP(-LN(2)/25))/(LN(2)/25)*Calculateur!OJ43*Calculateur!OL43*VLOOKUP('Données projet'!$B$27,Paramètres!$A$1:$I$89,3,0)*0.475*44/12</f>
        <v>#N/A</v>
      </c>
      <c r="OP43" s="21" t="e">
        <f>EXP(-LN(2)/2)*OP42+(1-EXP(-LN(2)/2))/(LN(2)/2)*OJ43*OM43*VLOOKUP('Données projet'!$B$27,Paramètres!$A$1:$I$89,3,0)*0.475*44/12</f>
        <v>#N/A</v>
      </c>
      <c r="OQ43" s="22" t="e">
        <f t="shared" si="114"/>
        <v>#N/A</v>
      </c>
      <c r="OR43" s="74">
        <f>('Scénario référence'!$F$8+'Scénario référence'!$F$9+'Scénario référence'!$B$17+'Scénario référence'!$B$9+'Scénario référence'!$B$10)*70+IF((45+25*(1-EXP(-0.0175*$A43)))&lt;70,'Scénario référence'!$B$16*(45+25*(1-EXP(-0.0175*$A43))),70*'Scénario référence'!$B$16)+IF((32+38*(1-EXP(-0.0175*$A43)))&lt;70,'Scénario référence'!$B$18*(32+38*(1-EXP(-0.0175*$A43))),70*'Scénario référence'!$B$18)</f>
        <v>70</v>
      </c>
      <c r="OS43" s="12">
        <f>IF($A43&gt;30,10,('Scénario référence'!$B$16+'Scénario référence'!$B$17+'Scénario référence'!$B$18+'Scénario référence'!$B$9+'Scénario référence'!$B$10)*$A43*10/30+('Scénario référence'!$F$8+'Scénario référence'!$F$9)*10)</f>
        <v>10</v>
      </c>
      <c r="OT43" s="12" t="e">
        <f>VLOOKUP($A43,'Données projet'!$A$538:$I$558,2,0)</f>
        <v>#N/A</v>
      </c>
      <c r="OU43" s="12" t="e">
        <f>VLOOKUP($A43,'Données projet'!$A$538:$I$558,9,0)</f>
        <v>#N/A</v>
      </c>
      <c r="OV43" s="12">
        <f t="array" ref="OV43">INDEX(OU:OU,MIN(IF(ISNUMBER(OU43:OU239),ROW(OU43:OU239),"")))</f>
        <v>0</v>
      </c>
      <c r="OW43" s="12">
        <f>IF('Données projet'!$A$538&gt;35,OW42+OV43-PE42,IF($A43&lt;'Données projet'!$A$538,$CQ$205^$A43,IF($A43='Données projet'!$A$538,'Données projet'!$B$538,OW42+OV43-PE42)))</f>
        <v>0</v>
      </c>
      <c r="OX43" s="17" t="e">
        <f>OW43*VLOOKUP('Données projet'!$B$28,Paramètres!$A$1:$I$89,3,0)*VLOOKUP('Données projet'!$B$28,Paramètres!$A$1:$I$89,5,0)</f>
        <v>#N/A</v>
      </c>
      <c r="OY43" s="13" t="e">
        <f t="shared" si="115"/>
        <v>#N/A</v>
      </c>
      <c r="OZ43" s="14" t="e">
        <f t="shared" si="58"/>
        <v>#N/A</v>
      </c>
      <c r="PA43" s="59" t="e">
        <f t="shared" si="59"/>
        <v>#N/A</v>
      </c>
      <c r="PB43" s="20" t="e">
        <f ca="1">AVERAGE(OFFSET($PA$3,0,0,'Données projet'!$E$28+1,1))-AVERAGE(OFFSET($H$3,0,0,'Données projet'!$E$28+1,1))</f>
        <v>#N/A</v>
      </c>
      <c r="PC43" s="59" t="e">
        <f t="shared" si="116"/>
        <v>#N/A</v>
      </c>
      <c r="PD43" s="15">
        <f>IF(ISNA(VLOOKUP($A43,'Données projet'!$A$538:$I$558,3,0)),0,VLOOKUP($A43,'Données projet'!$A$538:$I$558,3,0))</f>
        <v>0</v>
      </c>
      <c r="PE43" s="15">
        <f>IF(ISNA(VLOOKUP($A43,'Données projet'!$A$538:$I$558,4,0)),0,VLOOKUP($A43,'Données projet'!$A$538:$I$558,4,0))</f>
        <v>0</v>
      </c>
      <c r="PF43" s="16">
        <f>IF(ISNA(VLOOKUP($A43,'Données projet'!$A$538:$I$558,5,0)),0%,VLOOKUP($A43,'Données projet'!$A$538:$I$558,5,0)*VLOOKUP('Données projet'!$B$28,Paramètres!$A$1:$I$89,7,0))</f>
        <v>0</v>
      </c>
      <c r="PG43" s="16">
        <f>IF(ISNA(VLOOKUP($A43,'Données projet'!$A$538:$I$558,6,0)),0%,VLOOKUP($A43,'Données projet'!$A$538:$I$558,6,0)*VLOOKUP('Données projet'!$B$28,Paramètres!$A$1:$I$89,7,0))</f>
        <v>0</v>
      </c>
      <c r="PH43" s="16">
        <f>IF(ISNA(VLOOKUP($A43,'Données projet'!$A$538:$I$558,7,0)),0%,VLOOKUP($A43,'Données projet'!$A$538:$I$558,7,0))</f>
        <v>0</v>
      </c>
      <c r="PI43" s="21" t="e">
        <f>EXP(-LN(2)/35)*PI42+(1-EXP(-LN(2)/35))/(LN(2)/35)*PE43*PF43*VLOOKUP('Données projet'!$B$28,Paramètres!$A$1:$I$89,3,0)*0.475*44/12</f>
        <v>#N/A</v>
      </c>
      <c r="PJ43" s="21" t="e">
        <f>EXP(-LN(2)/25)*PJ42+(1-EXP(-LN(2)/25))/(LN(2)/25)*Calculateur!PE43*Calculateur!PG43*VLOOKUP('Données projet'!$B$28,Paramètres!$A$1:$I$89,3,0)*0.475*44/12</f>
        <v>#N/A</v>
      </c>
      <c r="PK43" s="21" t="e">
        <f>EXP(-LN(2)/2)*PK42+(1-EXP(-LN(2)/2))/(LN(2)/2)*PE43*PH43*VLOOKUP('Données projet'!$B$28,Paramètres!$A$1:$I$89,3,0)*0.475*44/12</f>
        <v>#N/A</v>
      </c>
      <c r="PL43" s="22" t="e">
        <f t="shared" si="117"/>
        <v>#N/A</v>
      </c>
    </row>
    <row r="44" spans="1:428" x14ac:dyDescent="0.35">
      <c r="A44" s="10">
        <f t="shared" si="6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6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projet'!$A$45:$I$65,2,0)</f>
        <v>#N/A</v>
      </c>
      <c r="L44" s="12" t="e">
        <f>VLOOKUP(A44,'Données projet'!$A$45:$I$65,9,0)</f>
        <v>#N/A</v>
      </c>
      <c r="M44" s="12">
        <f t="array" ref="M44">INDEX(L:L,MIN(IF(ISNUMBER(L44:L240),ROW(L44:L240),"")))</f>
        <v>22.419230769230751</v>
      </c>
      <c r="N44" s="13">
        <f>IF('Données projet'!$A$46&gt;35,N43+M44-V43,IF(A44&lt;'Données projet'!$A$46,$K$205^A44,IF(A44='Données projet'!$A$46,'Données projet'!$B$46,N43+M44-V43)))</f>
        <v>446.30384615384611</v>
      </c>
      <c r="O44" s="13">
        <f>N44*VLOOKUP('Données projet'!$B$9,Paramètres!$A$1:$I$89,3,0)*VLOOKUP('Données projet'!$B$9,Paramètres!$A$1:$I$89,5,0)</f>
        <v>249.48384999999996</v>
      </c>
      <c r="P44" s="13">
        <f t="shared" si="63"/>
        <v>60.475401807280001</v>
      </c>
      <c r="Q44" s="20">
        <f t="shared" si="118"/>
        <v>539.8456968976792</v>
      </c>
      <c r="R44" s="59">
        <f t="shared" si="0"/>
        <v>833.17903023101258</v>
      </c>
      <c r="S44" s="59">
        <f ca="1">AVERAGE(OFFSET($R$3,0,0,'Données projet'!$E$9+1,1))-AVERAGE(OFFSET($H$3,0,0,'Données projet'!$E$9+1,1))</f>
        <v>274.57619581652199</v>
      </c>
      <c r="T44" s="59">
        <f t="shared" si="64"/>
        <v>366.15117322598775</v>
      </c>
      <c r="U44" s="15">
        <f>IF(ISNA(VLOOKUP(A44,'Données projet'!$A$45:$I$65,3,0)),0,VLOOKUP(A44,'Données projet'!$A$45:$I$65,3,0))</f>
        <v>0</v>
      </c>
      <c r="V44" s="15">
        <f>IF(ISNA(VLOOKUP(A44,'Données projet'!$A$45:$I$65,4,0)),0,VLOOKUP(A44,'Données projet'!$A$45:$I$65,4,0))</f>
        <v>0</v>
      </c>
      <c r="W44" s="16">
        <f>IF(ISNA(VLOOKUP(A44,'Données projet'!$A$45:$I$65,5,0)),0%,VLOOKUP(A44,'Données projet'!$A$45:$I$65,5,0)*VLOOKUP('Données projet'!$B$9,Paramètres!$A$1:$I$89,7,0))</f>
        <v>0</v>
      </c>
      <c r="X44" s="16">
        <f>IF(ISNA(VLOOKUP(A44,'Données projet'!$A$45:$I$65,6,0)),0%,VLOOKUP(A44,'Données projet'!$A$45:$I$65,6,0)*VLOOKUP('Données projet'!$B$9,Paramètres!$A$1:$I$89,7,0))</f>
        <v>0</v>
      </c>
      <c r="Y44" s="16">
        <f>IF(ISNA(VLOOKUP(A44,'Données projet'!$A$45:$I$65,7,0)),0%,VLOOKUP(A44,'Données projet'!$A$45:$I$65,7,0))</f>
        <v>0</v>
      </c>
      <c r="Z44" s="21">
        <f>EXP(-LN(2)/35)*Z43+(1-EXP(-LN(2)/35))/(LN(2)/35)*V44*W44*VLOOKUP('Données projet'!$B$9,Paramètres!$A$1:$I$89,3,0)*0.475*44/12</f>
        <v>41.696067270271087</v>
      </c>
      <c r="AA44" s="21">
        <f>EXP(-LN(2)/25)*AA43+(1-EXP(-LN(2)/25))/(LN(2)/25)*Calculateur!V44*Calculateur!X44*VLOOKUP('Données projet'!$B$9,Paramètres!$A$1:$I$89,3,0)*0.475*44/12</f>
        <v>17.568932026308584</v>
      </c>
      <c r="AB44" s="21">
        <f>EXP(-LN(2)/2)*AB43+(1-EXP(-LN(2)/2))/(LN(2)/2)*V44*Y44*VLOOKUP('Données projet'!$B$9,Paramètres!$A$1:$I$89,3,0)*0.475*44/12</f>
        <v>1.1612191654342419</v>
      </c>
      <c r="AC44" s="22">
        <f t="shared" si="3"/>
        <v>60.426218462013914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>
        <f>VLOOKUP(A44,'Données projet'!$A$71:$I$91,2,0)</f>
        <v>157.44871794871796</v>
      </c>
      <c r="AG44" s="12">
        <f>VLOOKUP(A44,'Données projet'!$A$71:$I$91,9,0)</f>
        <v>9.3141025641025621</v>
      </c>
      <c r="AH44" s="12">
        <f t="array" ref="AH44">INDEX(AG:AG,MIN(IF(ISNUMBER(AG44:AG240),ROW(AG44:AG240),"")))</f>
        <v>9.3141025641025621</v>
      </c>
      <c r="AI44" s="13">
        <f>IF('Données projet'!$A$72&gt;35,AI43+AH44-AQ43,IF(A44&lt;'Données projet'!$A$72,$AF$205^A44,IF(A44='Données projet'!$A$72,'Données projet'!$B$72,AI43+AH44-AQ43)))</f>
        <v>157.44871794871798</v>
      </c>
      <c r="AJ44" s="13">
        <f>AI44*VLOOKUP('Données projet'!$B$10,Paramètres!$A$1:$I$89,3,0)*VLOOKUP('Données projet'!$B$10,Paramètres!$A$1:$I$89,5,0)</f>
        <v>142.45960000000002</v>
      </c>
      <c r="AK44" s="13">
        <f t="shared" si="65"/>
        <v>36.859892915688405</v>
      </c>
      <c r="AL44" s="20">
        <f t="shared" si="4"/>
        <v>312.31478349482404</v>
      </c>
      <c r="AM44" s="59">
        <f t="shared" si="5"/>
        <v>605.6481168281573</v>
      </c>
      <c r="AN44" s="59">
        <f ca="1">AVERAGE(OFFSET($AM$3,0,0,'Données projet'!$E$10+1,1))-AVERAGE(OFFSET($H$3,0,0,'Données projet'!$E$10+1,1))</f>
        <v>270.87836509222456</v>
      </c>
      <c r="AO44" s="59">
        <f t="shared" si="66"/>
        <v>205.24998237949734</v>
      </c>
      <c r="AP44" s="15">
        <f>IF(ISNA(VLOOKUP(A44,'Données projet'!$A$71:$I$91,3,0)),0,VLOOKUP(A44,'Données projet'!$A$71:$I$91,3,0))</f>
        <v>2</v>
      </c>
      <c r="AQ44" s="15">
        <f>IF(ISNA(VLOOKUP(A44,'Données projet'!$A$71:$I$91,4,0)),0,VLOOKUP(A44,'Données projet'!$A$71:$I$91,4,0))</f>
        <v>38.512820512820511</v>
      </c>
      <c r="AR44" s="16">
        <f>IF(ISNA(VLOOKUP(A44,'Données projet'!$A$71:$I$91,5,0)),0%,VLOOKUP(A44,'Données projet'!$A$71:$I$91,5,0)*VLOOKUP('Données projet'!$B$10,Paramètres!$A$1:$I$89,7,0))</f>
        <v>0</v>
      </c>
      <c r="AS44" s="16">
        <f>IF(ISNA(VLOOKUP(A44,'Données projet'!$A$71:$I$91,6,0)),0%,VLOOKUP(A44,'Données projet'!$A$71:$I$91,6,0)*VLOOKUP('Données projet'!$B$10,Paramètres!$A$1:$I$89,7,0))</f>
        <v>0</v>
      </c>
      <c r="AT44" s="16">
        <f>IF(ISNA(VLOOKUP(A44,'Données projet'!$A$71:$I$91,7,0)),0%,VLOOKUP(A44,'Données projet'!$A$71:$I$91,7,0))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projet'!$A$97:$I$117,2,0)</f>
        <v>#N/A</v>
      </c>
      <c r="BB44" s="12" t="e">
        <f>VLOOKUP(A44,'Données projet'!$A$97:$I$117,9,0)</f>
        <v>#N/A</v>
      </c>
      <c r="BC44" s="12">
        <f t="array" ref="BC44">INDEX(BB:BB,MIN(IF(ISNUMBER(BB44:BB240),ROW(BB44:BB240),"")))</f>
        <v>22.419230769230751</v>
      </c>
      <c r="BD44" s="12">
        <f>IF('Données projet'!$A$98&gt;35,BD43+BC44-BL43,IF(A44&lt;'Données projet'!$A$98,$BA$205^A44,IF(A44='Données projet'!$A$98,'Données projet'!$B$98,BD43+BC44-BL43)))</f>
        <v>446.30384615384611</v>
      </c>
      <c r="BE44" s="13">
        <f>BD44*VLOOKUP('Données projet'!$B$11,Paramètres!$A$1:$I$89,3,0)*VLOOKUP('Données projet'!$B$11,Paramètres!$A$1:$I$89,5,0)</f>
        <v>197.2663</v>
      </c>
      <c r="BF44" s="13">
        <f t="shared" si="67"/>
        <v>49.142902829425942</v>
      </c>
      <c r="BG44" s="20">
        <f t="shared" si="7"/>
        <v>429.16269492791685</v>
      </c>
      <c r="BH44" s="59">
        <f t="shared" si="8"/>
        <v>722.4960282612501</v>
      </c>
      <c r="BI44" s="59">
        <f ca="1">AVERAGE(OFFSET($BH$3,0,0,'Données projet'!$E$11+1,1))-AVERAGE(OFFSET($H$3,0,0,'Données projet'!$E$11+1,1))</f>
        <v>211.31057120485542</v>
      </c>
      <c r="BJ44" s="59">
        <f t="shared" si="68"/>
        <v>283.33292006714777</v>
      </c>
      <c r="BK44" s="15">
        <f>IF(ISNA(VLOOKUP(A44,'Données projet'!$A$97:$I$117,3,0)),0,VLOOKUP(A44,'Données projet'!$A$97:$I$117,3,0))</f>
        <v>0</v>
      </c>
      <c r="BL44" s="15">
        <f>IF(ISNA(VLOOKUP(A44,'Données projet'!$A$97:$I$117,4,0)),0,VLOOKUP(A44,'Données projet'!$A$97:$I$117,4,0))</f>
        <v>0</v>
      </c>
      <c r="BM44" s="16">
        <f>IF(ISNA(VLOOKUP(A44,'Données projet'!$A$97:$I$117,5,0)),0%,VLOOKUP(A44,'Données projet'!$A$97:$I$117,5,0)*VLOOKUP('Données projet'!$B$11,Paramètres!$A$1:$I$89,7,0))</f>
        <v>0</v>
      </c>
      <c r="BN44" s="16">
        <f>IF(ISNA(VLOOKUP(A44,'Données projet'!$A$97:$I$117,6,0)),0%,VLOOKUP(A44,'Données projet'!$A$97:$I$117,6,0)*VLOOKUP('Données projet'!$B$11,Paramètres!$A$1:$I$89,7,0))</f>
        <v>0</v>
      </c>
      <c r="BO44" s="16">
        <f>IF(ISNA(VLOOKUP(A44,'Données projet'!$A$97:$I$117,7,0)),0%,VLOOKUP(A44,'Données projet'!$A$97:$I$117,7,0))</f>
        <v>0</v>
      </c>
      <c r="BP44" s="21">
        <f>EXP(-LN(2)/35)*BP43+(1-EXP(-LN(2)/35))/(LN(2)/35)*BL44*BM44*VLOOKUP('Données projet'!$B$11,Paramètres!$A$1:$I$89,3,0)*0.475*44/12</f>
        <v>32.968983423005042</v>
      </c>
      <c r="BQ44" s="21">
        <f>EXP(-LN(2)/25)*BQ43+(1-EXP(-LN(2)/25))/(LN(2)/25)*Calculateur!BL44*Calculateur!BN44*VLOOKUP('Données projet'!$B$11,Paramètres!$A$1:$I$89,3,0)*0.475*44/12</f>
        <v>13.891713695220739</v>
      </c>
      <c r="BR44" s="21">
        <f>EXP(-LN(2)/2)*BR43+(1-EXP(-LN(2)/2))/(LN(2)/2)*BL44*BO44*VLOOKUP('Données projet'!$B$11,Paramètres!$A$1:$I$89,3,0)*0.475*44/12</f>
        <v>0.91817329359916799</v>
      </c>
      <c r="BS44" s="22">
        <f t="shared" si="9"/>
        <v>47.778870411824947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projet'!$A$123:$I$143,2,0)</f>
        <v>#N/A</v>
      </c>
      <c r="BW44" s="12" t="e">
        <f>VLOOKUP(A44,'Données projet'!$A$123:$I$143,9,0)</f>
        <v>#N/A</v>
      </c>
      <c r="BX44" s="12">
        <f t="array" ref="BX44">INDEX(BW:BW,MIN(IF(ISNUMBER(BW44:BW240),ROW(BW44:BW240),"")))</f>
        <v>8</v>
      </c>
      <c r="BY44" s="12">
        <f>IF('Données projet'!$A$124&gt;35,BY43+BX44-CG43,IF(A44&lt;'Données projet'!$A$124,$BV$205^A44,IF(A44='Données projet'!$A$124,'Données projet'!$B$124,BY43+BX44-CG43)))</f>
        <v>166.00000000000003</v>
      </c>
      <c r="BZ44" s="13">
        <f>BY44*VLOOKUP('Données projet'!$B$12,Paramètres!$A$1:$I$89,3,0)*VLOOKUP('Données projet'!$B$12,Paramètres!$A$1:$I$89,5,0)</f>
        <v>173.50320000000005</v>
      </c>
      <c r="CA44" s="13">
        <f t="shared" si="69"/>
        <v>43.873689992225962</v>
      </c>
      <c r="CB44" s="20">
        <f t="shared" si="10"/>
        <v>378.59808340312696</v>
      </c>
      <c r="CC44" s="59">
        <f t="shared" si="11"/>
        <v>671.93141673646028</v>
      </c>
      <c r="CD44" s="59">
        <f ca="1">AVERAGE(OFFSET($CC$3,0,0,'Données projet'!$E$12+1,1))-AVERAGE(OFFSET($H$3,0,0,'Données projet'!$E$12+1,1))</f>
        <v>322.93502595881938</v>
      </c>
      <c r="CE44" s="59">
        <f t="shared" si="70"/>
        <v>302.67072119588164</v>
      </c>
      <c r="CF44" s="15">
        <f>IF(ISNA(VLOOKUP(A44,'Données projet'!$A$123:$I$143,3,0)),0,VLOOKUP(A44,'Données projet'!$A$123:$I$143,3,0))</f>
        <v>0</v>
      </c>
      <c r="CG44" s="15">
        <f>IF(ISNA(VLOOKUP(A44,'Données projet'!$A$123:$I$143,4,0)),0,VLOOKUP(A44,'Données projet'!$A$123:$I$143,4,0))</f>
        <v>0</v>
      </c>
      <c r="CH44" s="16">
        <f>IF(ISNA(VLOOKUP(A44,'Données projet'!$A$123:$I$143,5,0)),0%,VLOOKUP(A44,'Données projet'!$A$123:$I$143,5,0)*VLOOKUP('Données projet'!$B$12,Paramètres!$A$1:$I$89,7,0))</f>
        <v>0</v>
      </c>
      <c r="CI44" s="16">
        <f>IF(ISNA(VLOOKUP(A44,'Données projet'!$A$123:$I$143,6,0)),0%,VLOOKUP(A44,'Données projet'!$A$123:$I$143,6,0)*VLOOKUP('Données projet'!$B$12,Paramètres!$A$1:$I$89,7,0))</f>
        <v>0</v>
      </c>
      <c r="CJ44" s="16">
        <f>IF(ISNA(VLOOKUP(A44,'Données projet'!$A$123:$I$143,7,0)),0%,VLOOKUP(A44,'Données projet'!$A$123:$I$143,7,0))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12.155242561987654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12.155242561987654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projet'!$A$149:$I$169,2,0)</f>
        <v>#N/A</v>
      </c>
      <c r="CR44" s="12" t="e">
        <f>VLOOKUP(A44,'Données projet'!$A$149:$I$169,9,0)</f>
        <v>#N/A</v>
      </c>
      <c r="CS44" s="12">
        <f t="array" ref="CS44">INDEX(CR:CR,MIN(IF(ISNUMBER(CR44:CR240),ROW(CR44:CR240),"")))</f>
        <v>5.3369963369963358</v>
      </c>
      <c r="CT44" s="12">
        <f>IF('Données projet'!$A$150&gt;35,CT43+CS44-DB43,IF(A44&lt;'Données projet'!$A$150,$CQ$205^A44,IF(A44='Données projet'!$A$150,'Données projet'!$B$150,CT43+CS44-DB43)))</f>
        <v>146.41208791208788</v>
      </c>
      <c r="CU44" s="17">
        <f>CT44*VLOOKUP('Données projet'!$B$13,Paramètres!$A$1:$I$89,3,0)*VLOOKUP('Données projet'!$B$13,Paramètres!$A$1:$I$89,5,0)</f>
        <v>148.46185714285713</v>
      </c>
      <c r="CV44" s="13">
        <f t="shared" si="71"/>
        <v>38.228827726420505</v>
      </c>
      <c r="CW44" s="20">
        <f t="shared" si="13"/>
        <v>325.15294281399184</v>
      </c>
      <c r="CX44" s="59">
        <f t="shared" si="14"/>
        <v>618.48627614732516</v>
      </c>
      <c r="CY44" s="59">
        <f ca="1">AVERAGE(OFFSET($CX$3,0,0,'Données projet'!$E$13+1,1))-AVERAGE(OFFSET($H$3,0,0,'Données projet'!$E$13+1,1))</f>
        <v>250.31277422753283</v>
      </c>
      <c r="CZ44" s="59">
        <f t="shared" si="72"/>
        <v>159.20429420478047</v>
      </c>
      <c r="DA44" s="15">
        <f>IF(ISNA(VLOOKUP(A44,'Données projet'!$A$149:$I$169,3,0)),0,VLOOKUP(A44,'Données projet'!$A$149:$I$169,3,0))</f>
        <v>0</v>
      </c>
      <c r="DB44" s="15">
        <f>IF(ISNA(VLOOKUP(A44,'Données projet'!$A$149:$I$169,4,0)),0,VLOOKUP(A44,'Données projet'!$A$149:$I$169,4,0))</f>
        <v>0</v>
      </c>
      <c r="DC44" s="16">
        <f>IF(ISNA(VLOOKUP(A44,'Données projet'!$A$149:$I$169,5,0)),0%,VLOOKUP(A44,'Données projet'!$A$149:$I$169,5,0)*VLOOKUP('Données projet'!$B$13,Paramètres!$A$1:$I$89,7,0))</f>
        <v>0</v>
      </c>
      <c r="DD44" s="16">
        <f>IF(ISNA(VLOOKUP(A44,'Données projet'!$A$149:$I$169,6,0)),0%,VLOOKUP(A44,'Données projet'!$A$149:$I$169,6,0)*VLOOKUP('Données projet'!$B$13,Paramètres!$A$1:$I$89,7,0))</f>
        <v>0</v>
      </c>
      <c r="DE44" s="16">
        <f>IF(ISNA(VLOOKUP(A44,'Données projet'!$A$149:$I$169,7,0)),0%,VLOOKUP(A44,'Données projet'!$A$149:$I$169,7,0))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projet'!$A$175:$I$195,2,0)</f>
        <v>#N/A</v>
      </c>
      <c r="DM44" s="12" t="e">
        <f>VLOOKUP(A44,'Données projet'!$A$175:$I$195,9,0)</f>
        <v>#N/A</v>
      </c>
      <c r="DN44" s="12">
        <f t="array" ref="DN44">INDEX(DM:DM,MIN(IF(ISNUMBER(DM44:DM240),ROW(DM44:DM240),"")))</f>
        <v>11.4</v>
      </c>
      <c r="DO44" s="12">
        <f>IF('Données projet'!$A$176&gt;35,DO43+DN44-DW43,IF(A44&lt;'Données projet'!$A$176,$DL$205^A44,IF(A44='Données projet'!$A$176,'Données projet'!$B$176,DO43+DN44-DW43)))</f>
        <v>234.39999999999992</v>
      </c>
      <c r="DP44" s="17">
        <f>DO44*VLOOKUP('Données projet'!$B$14,Paramètres!$A$1:$I$89,3,0)*VLOOKUP('Données projet'!$B$14,Paramètres!$A$1:$I$89,5,0)</f>
        <v>171.86207999999993</v>
      </c>
      <c r="DQ44" s="13">
        <f t="shared" si="73"/>
        <v>43.506802778694762</v>
      </c>
      <c r="DR44" s="20">
        <f t="shared" si="16"/>
        <v>375.10080417289322</v>
      </c>
      <c r="DS44" s="59">
        <f t="shared" si="17"/>
        <v>668.43413750622653</v>
      </c>
      <c r="DT44" s="59">
        <f ca="1">AVERAGE(OFFSET($DS$3,0,0,'Données projet'!$E$14+1,1))-AVERAGE(OFFSET($H$3,0,0,'Données projet'!$E$14+1,1))</f>
        <v>296.91321813251051</v>
      </c>
      <c r="DU44" s="59">
        <f t="shared" si="74"/>
        <v>291.0718079639509</v>
      </c>
      <c r="DV44" s="15">
        <f>IF(ISNA(VLOOKUP(A44,'Données projet'!$A$175:$I$195,3,0)),0,VLOOKUP(A44,'Données projet'!$A$175:$I$195,3,0))</f>
        <v>0</v>
      </c>
      <c r="DW44" s="15">
        <f>IF(ISNA(VLOOKUP(A44,'Données projet'!$A$175:$I$195,4,0)),0,VLOOKUP(A44,'Données projet'!$A$175:$I$195,4,0))</f>
        <v>0</v>
      </c>
      <c r="DX44" s="16">
        <f>IF(ISNA(VLOOKUP(A44,'Données projet'!$A$175:$I$195,5,0)),0%,VLOOKUP(A44,'Données projet'!$A$175:$I$195,5,0)*VLOOKUP('Données projet'!$B$14,Paramètres!$A$1:$I$89,7,0))</f>
        <v>0</v>
      </c>
      <c r="DY44" s="16">
        <f>IF(ISNA(VLOOKUP(A44,'Données projet'!$A$175:$I$195,6,0)),0%,VLOOKUP(A44,'Données projet'!$A$175:$I$195,6,0)*VLOOKUP('Données projet'!$B$14,Paramètres!$A$1:$I$89,7,0))</f>
        <v>0</v>
      </c>
      <c r="DZ44" s="16">
        <f>IF(ISNA(VLOOKUP(A44,'Données projet'!$A$175:$I$195,7,0)),0%,VLOOKUP(A44,'Données projet'!$A$175:$I$195,7,0))</f>
        <v>0</v>
      </c>
      <c r="EA44" s="21">
        <f>EXP(-LN(2)/35)*EA43+(1-EXP(-LN(2)/35))/(LN(2)/35)*DW44*DX44*VLOOKUP('Données projet'!$B$14,Paramètres!$A$1:$I$89,3,0)*0.475*44/12</f>
        <v>28.850865370490617</v>
      </c>
      <c r="EB44" s="21">
        <f>EXP(-LN(2)/25)*EB43+(1-EXP(-LN(2)/25))/(LN(2)/25)*Calculateur!DW44*Calculateur!DY44*VLOOKUP('Données projet'!$B$14,Paramètres!$A$1:$I$89,3,0)*0.475*44/12</f>
        <v>12.028968767503558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40.879834137994173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projet'!$A$201:$I$221,2,0)</f>
        <v>#N/A</v>
      </c>
      <c r="EH44" s="12" t="e">
        <f>VLOOKUP(A44,'Données projet'!$A$201:$I$221,9,0)</f>
        <v>#N/A</v>
      </c>
      <c r="EI44" s="12">
        <f t="array" ref="EI44">INDEX(EH:EH,MIN(IF(ISNUMBER(EH44:EH240),ROW(EH44:EH240),"")))</f>
        <v>10.407692307692306</v>
      </c>
      <c r="EJ44" s="12">
        <f>IF('Données projet'!$A$202&gt;35,EJ43+EI44-ER43,IF(A44&lt;'Données projet'!$A$202,$EG$205^A44,IF(A44='Données projet'!$A$202,'Données projet'!$B$202,EJ43+EI44-ER43)))</f>
        <v>217.76153846153849</v>
      </c>
      <c r="EK44" s="17">
        <f>EJ44*VLOOKUP('Données projet'!$B$15,Paramètres!$A$1:$I$89,3,0)*VLOOKUP('Données projet'!$B$15,Paramètres!$A$1:$I$89,5,0)</f>
        <v>101.91240000000002</v>
      </c>
      <c r="EL44" s="13">
        <f t="shared" si="75"/>
        <v>27.417096956022522</v>
      </c>
      <c r="EM44" s="20">
        <f t="shared" si="19"/>
        <v>225.2488738650726</v>
      </c>
      <c r="EN44" s="59">
        <f t="shared" si="20"/>
        <v>518.58220719840597</v>
      </c>
      <c r="EO44" s="59">
        <f ca="1">AVERAGE(OFFSET($EN$3,0,0,'Données projet'!$E$15+1,1))-AVERAGE(OFFSET($H$3,0,0,'Données projet'!$E$15+1,1))</f>
        <v>147.64256291235483</v>
      </c>
      <c r="EP44" s="59">
        <f t="shared" si="76"/>
        <v>70.859031694091868</v>
      </c>
      <c r="EQ44" s="15">
        <f>IF(ISNA(VLOOKUP(A44,'Données projet'!$A$201:$I$221,3,0)),0,VLOOKUP(A44,'Données projet'!$A$201:$I$221,3,0))</f>
        <v>0</v>
      </c>
      <c r="ER44" s="15">
        <f>IF(ISNA(VLOOKUP(A44,'Données projet'!$A$201:$I$221,4,0)),0,VLOOKUP(A44,'Données projet'!$A$201:$I$221,4,0))</f>
        <v>0</v>
      </c>
      <c r="ES44" s="16">
        <f>IF(ISNA(VLOOKUP(A44,'Données projet'!$A$201:$I$221,5,0)),0%,VLOOKUP(A44,'Données projet'!$A$201:$I$221,5,0)*VLOOKUP('Données projet'!$B$15,Paramètres!$A$1:$I$89,7,0))</f>
        <v>0</v>
      </c>
      <c r="ET44" s="16">
        <f>IF(ISNA(VLOOKUP(A44,'Données projet'!$A$201:$I$221,6,0)),0%,VLOOKUP(A44,'Données projet'!$A$201:$I$221,6,0)*VLOOKUP('Données projet'!$B$15,Paramètres!$A$1:$I$89,7,0))</f>
        <v>0</v>
      </c>
      <c r="EU44" s="16">
        <f>IF(ISNA(VLOOKUP(A44,'Données projet'!$A$201:$I$221,7,0)),0%,VLOOKUP(A44,'Données projet'!$A$201:$I$221,7,0))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projet'!$A$227:$I$247,2,0)</f>
        <v>#N/A</v>
      </c>
      <c r="FC44" s="12" t="e">
        <f>VLOOKUP(A44,'Données projet'!$A$227:$I$247,9,0)</f>
        <v>#N/A</v>
      </c>
      <c r="FD44" s="12">
        <f t="array" ref="FD44">INDEX(FC:FC,MIN(IF(ISNUMBER(FC44:FC240),ROW(FC44:FC240),"")))</f>
        <v>6.4</v>
      </c>
      <c r="FE44" s="12">
        <f>IF('Données projet'!$A$228&gt;35,FE43+FD44-FM43,IF(A44&lt;'Données projet'!$A$228,$FB$205^A44,IF(A44='Données projet'!$A$228,'Données projet'!$B$228,FE43+FD44-FM43)))</f>
        <v>136.4</v>
      </c>
      <c r="FF44" s="17">
        <f>FE44*VLOOKUP('Données projet'!$B$16,Paramètres!$A$1:$I$89,3,0)*VLOOKUP('Données projet'!$B$16,Paramètres!$A$1:$I$89,5,0)</f>
        <v>142.56528</v>
      </c>
      <c r="FG44" s="13">
        <f t="shared" si="77"/>
        <v>36.884052647824326</v>
      </c>
      <c r="FH44" s="20">
        <f t="shared" si="22"/>
        <v>312.54092102829401</v>
      </c>
      <c r="FI44" s="59">
        <f t="shared" si="23"/>
        <v>605.87425436162732</v>
      </c>
      <c r="FJ44" s="59">
        <f ca="1">AVERAGE(OFFSET($FI$3,0,0,'Données projet'!$E$16+1,1))-AVERAGE(OFFSET($H$3,0,0,'Données projet'!$E$16+1,1))</f>
        <v>259.03906550253788</v>
      </c>
      <c r="FK44" s="59">
        <f t="shared" si="78"/>
        <v>235.54542903570831</v>
      </c>
      <c r="FL44" s="15">
        <f>IF(ISNA(VLOOKUP(A44,'Données projet'!$A$227:$I$247,3,0)),0,VLOOKUP(A44,'Données projet'!$A$227:$I$247,3,0))</f>
        <v>0</v>
      </c>
      <c r="FM44" s="15">
        <f>IF(ISNA(VLOOKUP(A44,'Données projet'!$A$227:$I$247,4,0)),0,VLOOKUP(A44,'Données projet'!$A$227:$I$247,4,0))</f>
        <v>0</v>
      </c>
      <c r="FN44" s="16">
        <f>IF(ISNA(VLOOKUP(A44,'Données projet'!$A$227:$I$247,5,0)),0%,VLOOKUP(A44,'Données projet'!$A$227:$I$247,5,0)*VLOOKUP('Données projet'!$B$16,Paramètres!$A$1:$I$89,7,0))</f>
        <v>0</v>
      </c>
      <c r="FO44" s="16">
        <f>IF(ISNA(VLOOKUP(A44,'Données projet'!$A$227:$I$247,6,0)),0%,VLOOKUP(A44,'Données projet'!$A$227:$I$247,6,0)*VLOOKUP('Données projet'!$B$16,Paramètres!$A$1:$I$89,7,0))</f>
        <v>0</v>
      </c>
      <c r="FP44" s="16">
        <f>IF(ISNA(VLOOKUP(A44,'Données projet'!$A$227:$I$247,7,0)),0%,VLOOKUP(A44,'Données projet'!$A$227:$I$247,7,0))</f>
        <v>0</v>
      </c>
      <c r="FQ44" s="21">
        <f>EXP(-LN(2)/35)*FQ43+(1-EXP(-LN(2)/35))/(LN(2)/35)*FM44*FN44*VLOOKUP('Données projet'!$B$16,Paramètres!$A$1:$I$89,3,0)*0.475*44/12</f>
        <v>0</v>
      </c>
      <c r="FR44" s="21">
        <f>EXP(-LN(2)/25)*FR43+(1-EXP(-LN(2)/25))/(LN(2)/25)*Calculateur!FM44*Calculateur!FO44*VLOOKUP('Données projet'!$B$16,Paramètres!$A$1:$I$89,3,0)*0.475*44/12</f>
        <v>4.8134937145907672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4.8134937145907672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projet'!$A$253:$I$273,2,0)</f>
        <v>#N/A</v>
      </c>
      <c r="FX44" s="12" t="e">
        <f>VLOOKUP(A44,'Données projet'!$A$253:$I$273,9,0)</f>
        <v>#N/A</v>
      </c>
      <c r="FY44" s="12">
        <f t="array" ref="FY44">INDEX(FX:FX,MIN(IF(ISNUMBER(FX44:FX240),ROW(FX44:FX240),"")))</f>
        <v>8.1999999999999993</v>
      </c>
      <c r="FZ44" s="12">
        <f>IF('Données projet'!$A$254&gt;35,FZ43+FY44-GH43,IF(A44&lt;'Données projet'!$A$254,$FW$205^A44,IF(A44='Données projet'!$A$254,'Données projet'!$B$254,FZ43+FY44-GH43)))</f>
        <v>172.2</v>
      </c>
      <c r="GA44" s="17">
        <f>FZ44*VLOOKUP('Données projet'!$B$17,Paramètres!$A$1:$I$89,3,0)*VLOOKUP('Données projet'!$B$17,Paramètres!$A$1:$I$89,5,0)</f>
        <v>150.43392</v>
      </c>
      <c r="GB44" s="13">
        <f t="shared" si="79"/>
        <v>38.677178913707927</v>
      </c>
      <c r="GC44" s="20">
        <f t="shared" si="25"/>
        <v>329.36849727470798</v>
      </c>
      <c r="GD44" s="59">
        <f t="shared" si="26"/>
        <v>622.70183060804129</v>
      </c>
      <c r="GE44" s="59">
        <f ca="1">AVERAGE(OFFSET($GD$3,0,0,'Données projet'!$E$17+1,1))-AVERAGE(OFFSET($H$3,0,0,'Données projet'!$E$17+1,1))</f>
        <v>245.1983232777614</v>
      </c>
      <c r="GF44" s="59">
        <f t="shared" si="80"/>
        <v>242.34010522344573</v>
      </c>
      <c r="GG44" s="15">
        <f>IF(ISNA(VLOOKUP(A44,'Données projet'!$A$253:$I$273,3,0)),0,VLOOKUP(A44,'Données projet'!$A$253:$I$273,3,0))</f>
        <v>0</v>
      </c>
      <c r="GH44" s="15">
        <f>IF(ISNA(VLOOKUP(A44,'Données projet'!$A$253:$I$273,4,0)),0,VLOOKUP(A44,'Données projet'!$A$253:$I$273,4,0))</f>
        <v>0</v>
      </c>
      <c r="GI44" s="16">
        <f>IF(ISNA(VLOOKUP(A44,'Données projet'!$A$253:$I$273,5,0)),0%,VLOOKUP(A44,'Données projet'!$A$253:$I$273,5,0)*VLOOKUP('Données projet'!$B$17,Paramètres!$A$1:$I$89,7,0))</f>
        <v>0</v>
      </c>
      <c r="GJ44" s="16">
        <f>IF(ISNA(VLOOKUP(A44,'Données projet'!$A$253:$I$273,6,0)),0%,VLOOKUP(A44,'Données projet'!$A$253:$I$273,6,0)*VLOOKUP('Données projet'!$B$17,Paramètres!$A$1:$I$89,7,0))</f>
        <v>0</v>
      </c>
      <c r="GK44" s="16">
        <f>IF(ISNA(VLOOKUP(A44,'Données projet'!$A$253:$I$273,7,0)),0%,VLOOKUP(A44,'Données projet'!$A$253:$I$273,7,0))</f>
        <v>0</v>
      </c>
      <c r="GL44" s="21">
        <f>EXP(-LN(2)/35)*GL43+(1-EXP(-LN(2)/35))/(LN(2)/35)*GH44*GI44*VLOOKUP('Données projet'!$B$17,Paramètres!$A$1:$I$89,3,0)*0.475*44/12</f>
        <v>6.6783182356281596</v>
      </c>
      <c r="GM44" s="21">
        <f>EXP(-LN(2)/25)*GM43+(1-EXP(-LN(2)/25))/(LN(2)/25)*Calculateur!GH44*Calculateur!GJ44*VLOOKUP('Données projet'!$B$17,Paramètres!$A$1:$I$89,3,0)*0.475*44/12</f>
        <v>11.606324239494015</v>
      </c>
      <c r="GN44" s="21">
        <f>EXP(-LN(2)/2)*GN43+(1-EXP(-LN(2)/2))/(LN(2)/2)*GH44*GK44*VLOOKUP('Données projet'!$B$17,Paramètres!$A$1:$I$89,3,0)*0.475*44/12</f>
        <v>0</v>
      </c>
      <c r="GO44" s="21">
        <f t="shared" si="27"/>
        <v>18.284642475122176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projet'!$A$279:$I$299,2,0)</f>
        <v>#N/A</v>
      </c>
      <c r="GS44" s="12" t="e">
        <f>VLOOKUP(A44,'Données projet'!$A$279:$I$299,9,0)</f>
        <v>#N/A</v>
      </c>
      <c r="GT44" s="12">
        <f t="array" ref="GT44">INDEX(GS:GS,MIN(IF(ISNUMBER(GS44:GS240),ROW(GS44:GS240),"")))</f>
        <v>19.2</v>
      </c>
      <c r="GU44" s="12">
        <f>IF('Données projet'!$A$280&gt;35,GU43+GT44-HC43,IF(A44&lt;'Données projet'!$A$280,$GR$205^A44,IF(A44='Données projet'!$A$280,'Données projet'!$B$280,GU43+GT44-HC43)))</f>
        <v>471.20000000000016</v>
      </c>
      <c r="GV44" s="17">
        <f>GU44*VLOOKUP('Données projet'!$B$18,Paramètres!$A$1:$I$89,3,0)*VLOOKUP('Données projet'!$B$18,Paramètres!$A$1:$I$89,5,0)</f>
        <v>189.89360000000008</v>
      </c>
      <c r="GW44" s="13">
        <f t="shared" si="81"/>
        <v>47.516428555079329</v>
      </c>
      <c r="GX44" s="20">
        <f t="shared" si="28"/>
        <v>413.48913306676326</v>
      </c>
      <c r="GY44" s="59">
        <f t="shared" si="29"/>
        <v>706.82246640009657</v>
      </c>
      <c r="GZ44" s="59">
        <f ca="1">AVERAGE(OFFSET($GY$3,0,0,'Données projet'!$E$18+1,1))-AVERAGE(OFFSET($H$3,0,0,'Données projet'!$E$18+1,1))</f>
        <v>324.36162935850876</v>
      </c>
      <c r="HA44" s="59">
        <f t="shared" si="82"/>
        <v>265.23571072429735</v>
      </c>
      <c r="HB44" s="15">
        <f>IF(ISNA(VLOOKUP(A44,'Données projet'!$A$279:$I$299,3,0)),0,VLOOKUP(A44,'Données projet'!$A$279:$I$299,3,0))</f>
        <v>0</v>
      </c>
      <c r="HC44" s="15">
        <f>IF(ISNA(VLOOKUP(A44,'Données projet'!$A$279:$I$299,4,0)),0,VLOOKUP(A44,'Données projet'!$A$279:$I$299,4,0))</f>
        <v>0</v>
      </c>
      <c r="HD44" s="16">
        <f>IF(ISNA(VLOOKUP(A44,'Données projet'!$A$279:$I$299,5,0)),0%,VLOOKUP(A44,'Données projet'!$A$279:$I$299,5,0)*VLOOKUP('Données projet'!$B$18,Paramètres!$A$1:$I$89,7,0))</f>
        <v>0</v>
      </c>
      <c r="HE44" s="16">
        <f>IF(ISNA(VLOOKUP(A44,'Données projet'!$A$279:$I$299,6,0)),0%,VLOOKUP(A44,'Données projet'!$A$279:$I$299,6,0)*VLOOKUP('Données projet'!$B$18,Paramètres!$A$1:$I$89,7,0))</f>
        <v>0</v>
      </c>
      <c r="HF44" s="16">
        <f>IF(ISNA(VLOOKUP($A44,'Données projet'!$A$279:$I$299,7,0)),0%,VLOOKUP($A44,'Données projet'!$A$279:$I$299,7,0))</f>
        <v>0</v>
      </c>
      <c r="HG44" s="21">
        <f>EXP(-LN(2)/35)*HG43+(1-EXP(-LN(2)/35))/(LN(2)/35)*HC44*HD44*VLOOKUP('Données projet'!$B$18,Paramètres!$A$1:$I$89,3,0)*0.475*44/12</f>
        <v>1.8329716594787941</v>
      </c>
      <c r="HH44" s="21">
        <f>EXP(-LN(2)/25)*HH43+(1-EXP(-LN(2)/25))/(LN(2)/25)*Calculateur!HC44*Calculateur!HE44*VLOOKUP('Données projet'!$B$18,Paramètres!$A$1:$I$89,3,0)*0.475*44/12</f>
        <v>8.5930801231593144</v>
      </c>
      <c r="HI44" s="21">
        <f>EXP(-LN(2)/2)*HI43+(1-EXP(-LN(2)/2))/(LN(2)/2)*HC44*HF44*VLOOKUP('Données projet'!$B$18,Paramètres!$A$1:$I$89,3,0)*0.475*44/12</f>
        <v>3.3389493413016194</v>
      </c>
      <c r="HJ44" s="22">
        <f t="shared" si="30"/>
        <v>13.765001123939728</v>
      </c>
      <c r="HK44" s="74">
        <f>('Scénario référence'!$F$8+'Scénario référence'!$F$9+'Scénario référence'!$B$17+'Scénario référence'!$B$9+'Scénario référence'!$B$10)*70+IF((45+25*(1-EXP(-0.0175*$A44)))&lt;70,'Scénario référence'!$B$16*(45+25*(1-EXP(-0.0175*$A44))),70*'Scénario référence'!$B$16)+IF((32+38*(1-EXP(-0.0175*$A44)))&lt;70,'Scénario référence'!$B$18*(32+38*(1-EXP(-0.0175*$A44))),70*'Scénario référence'!$B$18)</f>
        <v>70</v>
      </c>
      <c r="HL44" s="12">
        <f>IF($A44&gt;30,10,('Scénario référence'!$B$16+'Scénario référence'!$B$17+'Scénario référence'!$B$18+'Scénario référence'!$B$9+'Scénario référence'!$B$10)*$A44*10/30+('Scénario référence'!$F$8+'Scénario référence'!$F$9)*10)</f>
        <v>10</v>
      </c>
      <c r="HM44" s="12" t="e">
        <f>VLOOKUP($A44,'Données projet'!$A$304:$I$324,2,0)</f>
        <v>#N/A</v>
      </c>
      <c r="HN44" s="12" t="e">
        <f>VLOOKUP($A44,'Données projet'!$A$304:$I$324,9,0)</f>
        <v>#N/A</v>
      </c>
      <c r="HO44" s="12">
        <f t="array" ref="HO44">INDEX(HN:HN,MIN(IF(ISNUMBER(HN44:HN240),ROW(HN44:HN240),"")))</f>
        <v>0</v>
      </c>
      <c r="HP44" s="12">
        <f>IF('Données projet'!$A$304&gt;35,HP43+HO44-HX43,IF($A44&lt;'Données projet'!$A$304,$CQ$205^$A44,IF($A44='Données projet'!$A$304,'Données projet'!$B$304,HP43+HO44-HX43)))</f>
        <v>0</v>
      </c>
      <c r="HQ44" s="17">
        <f>HP44*VLOOKUP('Données projet'!$B$19,Paramètres!$A$1:$I$89,3,0)*VLOOKUP('Données projet'!$B$19,Paramètres!$A$1:$I$89,5,0)</f>
        <v>0</v>
      </c>
      <c r="HR44" s="13" t="e">
        <f t="shared" si="83"/>
        <v>#NUM!</v>
      </c>
      <c r="HS44" s="14" t="e">
        <f t="shared" si="31"/>
        <v>#NUM!</v>
      </c>
      <c r="HT44" s="59" t="e">
        <f t="shared" si="32"/>
        <v>#NUM!</v>
      </c>
      <c r="HU44" s="59">
        <f ca="1">AVERAGE(OFFSET(HT$3,0,0,'Données projet'!$E$19+1,1))-AVERAGE(OFFSET($H$3,0,0,'Données projet'!$E$19+1,1))</f>
        <v>91.60721429656013</v>
      </c>
      <c r="HV44" s="59">
        <f t="shared" si="84"/>
        <v>258.94957804210856</v>
      </c>
      <c r="HW44" s="15">
        <f>IF(ISNA(VLOOKUP($A44,'Données projet'!$A$304:$I$324,3,0)),0,VLOOKUP($A44,'Données projet'!$A$304:$I$324,3,0))</f>
        <v>0</v>
      </c>
      <c r="HX44" s="15">
        <f>IF(ISNA(VLOOKUP($A44,'Données projet'!$A$304:$I$324,4,0)),0,VLOOKUP($A44,'Données projet'!$A$304:$I$324,4,0))</f>
        <v>0</v>
      </c>
      <c r="HY44" s="16">
        <f>IF(ISNA(VLOOKUP($A44,'Données projet'!$A$304:$I$324,5,0)),0%,VLOOKUP($A44,'Données projet'!$A$304:$I$324,5,0)*VLOOKUP('Données projet'!$B$19,Paramètres!$A$1:$I$89,7,0))</f>
        <v>0</v>
      </c>
      <c r="HZ44" s="16">
        <f>IF(ISNA(VLOOKUP($A44,'Données projet'!$A$304:$I$324,6,0)),0%,VLOOKUP($A44,'Données projet'!$A$304:$I$324,6,0)*VLOOKUP('Données projet'!$B$19,Paramètres!$A$1:$I$89,7,0))</f>
        <v>0</v>
      </c>
      <c r="IA44" s="16">
        <f>IF(ISNA(VLOOKUP($A44,'Données projet'!$A$304:$I$324,7,0)),0%,VLOOKUP($A44,'Données projet'!$A$304:$I$324,7,0))</f>
        <v>0</v>
      </c>
      <c r="IB44" s="21">
        <f>EXP(-LN(2)/35)*IB43+(1-EXP(-LN(2)/35))/(LN(2)/35)*HX44*HY44*VLOOKUP('Données projet'!$B$19,Paramètres!$A$1:$I$89,3,0)*0.475*44/12</f>
        <v>39.67578238124667</v>
      </c>
      <c r="IC44" s="21">
        <f>EXP(-LN(2)/25)*IC43+(1-EXP(-LN(2)/25))/(LN(2)/25)*Calculateur!HX44*Calculateur!HZ44*VLOOKUP('Données projet'!$B$19,Paramètres!$A$1:$I$89,3,0)*0.475*44/12</f>
        <v>7.1706439964272581</v>
      </c>
      <c r="ID44" s="21">
        <f>EXP(-LN(2)/2)*ID43+(1-EXP(-LN(2)/2))/(LN(2)/2)*HX44*IA44*VLOOKUP('Données projet'!$B$19,Paramètres!$A$1:$I$89,3,0)*0.475*44/12</f>
        <v>1.2658367320392395E-2</v>
      </c>
      <c r="IE44" s="22">
        <f t="shared" si="33"/>
        <v>46.85908474499432</v>
      </c>
      <c r="IF44" s="74">
        <f>('Scénario référence'!$F$8+'Scénario référence'!$F$9+'Scénario référence'!$B$17+'Scénario référence'!$B$9+'Scénario référence'!$B$10)*70+IF((45+25*(1-EXP(-0.0175*$A44)))&lt;70,'Scénario référence'!$B$16*(45+25*(1-EXP(-0.0175*$A44))),70*'Scénario référence'!$B$16)+IF((32+38*(1-EXP(-0.0175*$A44)))&lt;70,'Scénario référence'!$B$18*(32+38*(1-EXP(-0.0175*$A44))),70*'Scénario référence'!$B$18)</f>
        <v>70</v>
      </c>
      <c r="IG44" s="12">
        <f>IF($A44&gt;30,10,('Scénario référence'!$B$16+'Scénario référence'!$B$17+'Scénario référence'!$B$18+'Scénario référence'!$B$9+'Scénario référence'!$B$10)*$A44*10/30+('Scénario référence'!$F$8+'Scénario référence'!$F$9)*10)</f>
        <v>10</v>
      </c>
      <c r="IH44" s="12" t="e">
        <f>VLOOKUP($A44,'Données projet'!$A$330:$I$350,2,0)</f>
        <v>#N/A</v>
      </c>
      <c r="II44" s="12" t="e">
        <f>VLOOKUP($A44,'Données projet'!$A$330:$I$350,9,0)</f>
        <v>#N/A</v>
      </c>
      <c r="IJ44" s="12">
        <f t="array" ref="IJ44">INDEX(II:II,MIN(IF(ISNUMBER(II44:II240),ROW(II44:II240),"")))</f>
        <v>0</v>
      </c>
      <c r="IK44" s="12">
        <f>IF('Données projet'!$A$330&gt;35,IK43+IJ44-IS43,IF($A44&lt;'Données projet'!$A$330,$CQ$205^$A44,IF($A44='Données projet'!$A$330,'Données projet'!$B$330,IK43+IJ44-IS43)))</f>
        <v>0</v>
      </c>
      <c r="IL44" s="17">
        <f>IK44*VLOOKUP('Données projet'!$B$20,Paramètres!$A$1:$I$89,3,0)*VLOOKUP('Données projet'!$B$20,Paramètres!$A$1:$I$89,5,0)</f>
        <v>0</v>
      </c>
      <c r="IM44" s="13" t="e">
        <f t="shared" si="85"/>
        <v>#NUM!</v>
      </c>
      <c r="IN44" s="20" t="e">
        <f t="shared" si="86"/>
        <v>#NUM!</v>
      </c>
      <c r="IO44" s="59" t="e">
        <f t="shared" si="87"/>
        <v>#NUM!</v>
      </c>
      <c r="IP44" s="59">
        <f ca="1">AVERAGE(OFFSET(IO$3,0,0,'Données projet'!$E$20+1,1))-AVERAGE(OFFSET($H$3,0,0,'Données projet'!$E$20+1,1))</f>
        <v>91.60721429656013</v>
      </c>
      <c r="IQ44" s="59">
        <f t="shared" si="88"/>
        <v>258.94957804210856</v>
      </c>
      <c r="IR44" s="15">
        <f>IF(ISNA(VLOOKUP($A44,'Données projet'!$A$330:$I$350,3,0)),0,VLOOKUP($A44,'Données projet'!$A$330:$I$350,3,0))</f>
        <v>0</v>
      </c>
      <c r="IS44" s="15">
        <f>IF(ISNA(VLOOKUP($A44,'Données projet'!$A$330:$I$350,4,0)),0,VLOOKUP($A44,'Données projet'!$A$330:$I$350,4,0))</f>
        <v>0</v>
      </c>
      <c r="IT44" s="16">
        <f>IF(ISNA(VLOOKUP($A44,'Données projet'!$A$330:$I$350,5,0)),0%,VLOOKUP($A44,'Données projet'!$A$330:$I$350,5,0)*VLOOKUP('Données projet'!$B$20,Paramètres!$A$1:$I$89,7,0))</f>
        <v>0</v>
      </c>
      <c r="IU44" s="16">
        <f>IF(ISNA(VLOOKUP($A44,'Données projet'!$A$330:$I$350,6,0)),0%,VLOOKUP($A44,'Données projet'!$A$330:$I$350,6,0)*VLOOKUP('Données projet'!$B$20,Paramètres!$A$1:$I$89,7,0))</f>
        <v>0</v>
      </c>
      <c r="IV44" s="16">
        <f>IF(ISNA(VLOOKUP($A44,'Données projet'!$A$330:$I$350,7,0)),0%,VLOOKUP($A44,'Données projet'!$A$330:$I$350,7,0))</f>
        <v>0</v>
      </c>
      <c r="IW44" s="21">
        <f>EXP(-LN(2)/35)*IW43+(1-EXP(-LN(2)/35))/(LN(2)/35)*IS44*IT44*VLOOKUP('Données projet'!$B$20,Paramètres!$A$1:$I$89,3,0)*0.475*44/12</f>
        <v>39.67578238124667</v>
      </c>
      <c r="IX44" s="21">
        <f>EXP(-LN(2)/25)*IX43+(1-EXP(-LN(2)/25))/(LN(2)/25)*Calculateur!IS44*Calculateur!IU44*VLOOKUP('Données projet'!$B$20,Paramètres!$A$1:$I$89,3,0)*0.475*44/12</f>
        <v>7.1706439964272581</v>
      </c>
      <c r="IY44" s="21">
        <f>EXP(-LN(2)/2)*IY43+(1-EXP(-LN(2)/2))/(LN(2)/2)*IS44*IV44*VLOOKUP('Données projet'!$B$20,Paramètres!$A$1:$I$89,3,0)*0.475*44/12</f>
        <v>1.2658367320392395E-2</v>
      </c>
      <c r="IZ44" s="22">
        <f t="shared" si="89"/>
        <v>46.85908474499432</v>
      </c>
      <c r="JA44" s="74">
        <f>('Scénario référence'!$F$8+'Scénario référence'!$F$9+'Scénario référence'!$B$17+'Scénario référence'!$B$9+'Scénario référence'!$B$10)*70+IF((45+25*(1-EXP(-0.0175*$A44)))&lt;70,'Scénario référence'!$B$16*(45+25*(1-EXP(-0.0175*$A44))),70*'Scénario référence'!$B$16)+IF((32+38*(1-EXP(-0.0175*$A44)))&lt;70,'Scénario référence'!$B$18*(32+38*(1-EXP(-0.0175*$A44))),70*'Scénario référence'!$B$18)</f>
        <v>70</v>
      </c>
      <c r="JB44" s="12">
        <f>IF($A44&gt;30,10,('Scénario référence'!$B$16+'Scénario référence'!$B$17+'Scénario référence'!$B$18+'Scénario référence'!$B$9+'Scénario référence'!$B$10)*$A44*10/30+('Scénario référence'!$F$8+'Scénario référence'!$F$9)*10)</f>
        <v>10</v>
      </c>
      <c r="JC44" s="12" t="e">
        <f>VLOOKUP($A44,'Données projet'!$A$356:$I$376,2,0)</f>
        <v>#N/A</v>
      </c>
      <c r="JD44" s="12" t="e">
        <f>VLOOKUP($A44,'Données projet'!$A$356:$I$376,9,0)</f>
        <v>#N/A</v>
      </c>
      <c r="JE44" s="12">
        <f t="array" ref="JE44">INDEX(JD:JD,MIN(IF(ISNUMBER(JD44:JD240),ROW(JD44:JD240),"")))</f>
        <v>11</v>
      </c>
      <c r="JF44" s="12">
        <f>IF('Données projet'!$A$356&gt;35,JF43+JE44-JN43,IF($A44&lt;'Données projet'!$A$356,$CQ$205^$A44,IF($A44='Données projet'!$A$356,'Données projet'!$B$356,JF43+JE44-JN43)))</f>
        <v>146.00000000000009</v>
      </c>
      <c r="JG44" s="17">
        <f>JF44*VLOOKUP('Données projet'!$B$21,Paramètres!$A$1:$I$89,3,0)*VLOOKUP('Données projet'!$B$21,Paramètres!$A$1:$I$89,5,0)</f>
        <v>118.43520000000008</v>
      </c>
      <c r="JH44" s="13">
        <f t="shared" si="90"/>
        <v>31.309757056296991</v>
      </c>
      <c r="JI44" s="20">
        <f t="shared" si="91"/>
        <v>260.80580020638405</v>
      </c>
      <c r="JJ44" s="59">
        <f t="shared" si="92"/>
        <v>554.13913353971736</v>
      </c>
      <c r="JK44" s="59">
        <f ca="1">AVERAGE(OFFSET($JJ$3,0,0,'Données projet'!$E$22+1,1))-AVERAGE(OFFSET($H$3,0,0,'Données projet'!$E$22+1,1))</f>
        <v>353.35574633294613</v>
      </c>
      <c r="JL44" s="59">
        <f t="shared" si="93"/>
        <v>170.36796666474726</v>
      </c>
      <c r="JM44" s="15">
        <f>IF(ISNA(VLOOKUP($A44,'Données projet'!$A$356:$I$376,3,0)),0,VLOOKUP($A44,'Données projet'!$A$356:$I$376,3,0))</f>
        <v>0</v>
      </c>
      <c r="JN44" s="15">
        <f>IF(ISNA(VLOOKUP($A44,'Données projet'!$A$356:$I$376,4,0)),0,VLOOKUP($A44,'Données projet'!$A$356:$I$376,4,0))</f>
        <v>0</v>
      </c>
      <c r="JO44" s="16">
        <f>IF(ISNA(VLOOKUP($A44,'Données projet'!$A$356:$I$376,5,0)),0%,VLOOKUP($A44,'Données projet'!$A$356:$I$376,5,0)*VLOOKUP('Données projet'!$B$21,Paramètres!$A$1:$I$89,7,0))</f>
        <v>0</v>
      </c>
      <c r="JP44" s="16">
        <f>IF(ISNA(VLOOKUP($A44,'Données projet'!$A$356:$I$376,6,0)),0%,VLOOKUP($A44,'Données projet'!$A$356:$I$376,6,0)*VLOOKUP('Données projet'!$B$21,Paramètres!$A$1:$I$89,7,0))</f>
        <v>0</v>
      </c>
      <c r="JQ44" s="16">
        <f>IF(ISNA(VLOOKUP($A44,'Données projet'!$A$356:$I$376,7,0)),0%,VLOOKUP($A44,'Données projet'!$A$356:$I$376,7,0))</f>
        <v>0</v>
      </c>
      <c r="JR44" s="21">
        <f>EXP(-LN(2)/35)*JR43+(1-EXP(-LN(2)/35))/(LN(2)/35)*JN44*JO44*VLOOKUP('Données projet'!$B$21,Paramètres!$A$1:$I$89,3,0)*0.475*44/12</f>
        <v>0</v>
      </c>
      <c r="JS44" s="21">
        <f>EXP(-LN(2)/25)*JS43+(1-EXP(-LN(2)/25))/(LN(2)/25)*Calculateur!JN44*Calculateur!JP44*VLOOKUP('Données projet'!$B$21,Paramètres!$A$1:$I$89,3,0)*0.475*44/12</f>
        <v>1.9566648059982339</v>
      </c>
      <c r="JT44" s="21">
        <f>EXP(-LN(2)/2)*JT43+(1-EXP(-LN(2)/2))/(LN(2)/2)*JN44*JQ44*VLOOKUP('Données projet'!$B$21,Paramètres!$A$1:$I$89,3,0)*0.475*44/12</f>
        <v>5.4919054906641476</v>
      </c>
      <c r="JU44" s="18">
        <f t="shared" si="39"/>
        <v>7.4485702966623819</v>
      </c>
      <c r="JV44" s="74">
        <f>('Scénario référence'!$F$8+'Scénario référence'!$F$9+'Scénario référence'!$B$17+'Scénario référence'!$B$9+'Scénario référence'!$B$10)*70+IF((45+25*(1-EXP(-0.0175*$A44)))&lt;70,'Scénario référence'!$B$16*(45+25*(1-EXP(-0.0175*$A44))),70*'Scénario référence'!$B$16)+IF((32+38*(1-EXP(-0.0175*$A44)))&lt;70,'Scénario référence'!$B$18*(32+38*(1-EXP(-0.0175*$A44))),70*'Scénario référence'!$B$18)</f>
        <v>70</v>
      </c>
      <c r="JW44" s="12">
        <f>IF($A44&gt;30,10,('Scénario référence'!$B$16+'Scénario référence'!$B$17+'Scénario référence'!$B$18+'Scénario référence'!$B$9+'Scénario référence'!$B$10)*$A44*10/30+('Scénario référence'!$F$8+'Scénario référence'!$F$9)*10)</f>
        <v>10</v>
      </c>
      <c r="JX44" s="12">
        <f>VLOOKUP($A44,'Données projet'!$A$382:$I$402,2,0)</f>
        <v>157.44871794871796</v>
      </c>
      <c r="JY44" s="12">
        <f>VLOOKUP($A44,'Données projet'!$A$382:$I$402,9,0)</f>
        <v>9.3141025641025621</v>
      </c>
      <c r="JZ44" s="12">
        <f t="array" ref="JZ44">INDEX(JY:JY,MIN(IF(ISNUMBER(JY44:JY240),ROW(JY44:JY240),"")))</f>
        <v>9.3141025641025621</v>
      </c>
      <c r="KA44" s="12">
        <f>IF('Données projet'!$A$382&gt;35,KA43+JZ44-KI43,IF($A44&lt;'Données projet'!$A$382,$CQ$205^$A44,IF($A44='Données projet'!$A$382,'Données projet'!$B$382,KA43+JZ44-KI43)))</f>
        <v>157.44871794871793</v>
      </c>
      <c r="KB44" s="17">
        <f>KA44*VLOOKUP('Données projet'!$B$22,Paramètres!$A$1:$I$89,3,0)*VLOOKUP('Données projet'!$B$22,Paramètres!$A$1:$I$89,5,0)</f>
        <v>105.61660000000001</v>
      </c>
      <c r="KC44" s="13">
        <f t="shared" si="94"/>
        <v>28.295789854288593</v>
      </c>
      <c r="KD44" s="20">
        <f t="shared" si="95"/>
        <v>233.23074566288594</v>
      </c>
      <c r="KE44" s="59">
        <f t="shared" si="96"/>
        <v>526.56407899621922</v>
      </c>
      <c r="KF44" s="59">
        <f ca="1">AVERAGE(OFFSET($KE$3,0,0,'Données projet'!$E$22+1,1))-AVERAGE(OFFSET($H$3,0,0,'Données projet'!$E$22+1,1))</f>
        <v>193.91714772848269</v>
      </c>
      <c r="KG44" s="59">
        <f t="shared" si="97"/>
        <v>159.20429420478047</v>
      </c>
      <c r="KH44" s="15">
        <f>IF(ISNA(VLOOKUP($A44,'Données projet'!$A$382:$I$402,3,0)),0,VLOOKUP($A44,'Données projet'!$A$382:$I$402,3,0))</f>
        <v>2</v>
      </c>
      <c r="KI44" s="15">
        <f>IF(ISNA(VLOOKUP($A44,'Données projet'!$A$382:$I$402,4,0)),0,VLOOKUP($A44,'Données projet'!$A$382:$I$402,4,0))</f>
        <v>38.512820512820511</v>
      </c>
      <c r="KJ44" s="16">
        <f>IF(ISNA(VLOOKUP($A44,'Données projet'!$A$382:$I$402,5,0)),0%,VLOOKUP($A44,'Données projet'!$A$382:$I$402,5,0)*VLOOKUP('Données projet'!$B$22,Paramètres!$A$1:$I$89,7,0))</f>
        <v>0</v>
      </c>
      <c r="KK44" s="16">
        <f>IF(ISNA(VLOOKUP($A44,'Données projet'!$A$382:$I$402,6,0)),0%,VLOOKUP($A44,'Données projet'!$A$382:$I$402,6,0)*VLOOKUP('Données projet'!$B$22,Paramètres!$A$1:$I$89,7,0))</f>
        <v>0</v>
      </c>
      <c r="KL44" s="16">
        <f>IF(ISNA(VLOOKUP($A44,'Données projet'!$A$382:$I$402,7,0)),0%,VLOOKUP($A44,'Données projet'!$A$382:$I$402,7,0))</f>
        <v>0</v>
      </c>
      <c r="KM44" s="21">
        <f>EXP(-LN(2)/35)*KM43+(1-EXP(-LN(2)/35))/(LN(2)/35)*KI44*KJ44*VLOOKUP('Données projet'!$B$22,Paramètres!$A$1:$I$89,3,0)*0.475*44/12</f>
        <v>0</v>
      </c>
      <c r="KN44" s="21">
        <f>EXP(-LN(2)/25)*KN43+(1-EXP(-LN(2)/25))/(LN(2)/25)*Calculateur!KI44*Calculateur!KK44*VLOOKUP('Données projet'!$B$22,Paramètres!$A$1:$I$89,3,0)*0.475*44/12</f>
        <v>0</v>
      </c>
      <c r="KO44" s="21">
        <f>EXP(-LN(2)/2)*KO43+(1-EXP(-LN(2)/2))/(LN(2)/2)*KI44*KL44*VLOOKUP('Données projet'!$B$22,Paramètres!$A$1:$I$89,3,0)*0.475*44/12</f>
        <v>0</v>
      </c>
      <c r="KP44" s="22">
        <f t="shared" si="98"/>
        <v>0</v>
      </c>
      <c r="KQ44" s="74">
        <f>('Scénario référence'!$F$8+'Scénario référence'!$F$9+'Scénario référence'!$B$17+'Scénario référence'!$B$9+'Scénario référence'!$B$10)*70+IF((45+25*(1-EXP(-0.0175*$A44)))&lt;70,'Scénario référence'!$B$16*(45+25*(1-EXP(-0.0175*$A44))),70*'Scénario référence'!$B$16)+IF((32+38*(1-EXP(-0.0175*$A44)))&lt;70,'Scénario référence'!$B$18*(32+38*(1-EXP(-0.0175*$A44))),70*'Scénario référence'!$B$18)</f>
        <v>70</v>
      </c>
      <c r="KR44" s="12">
        <f>IF($A44&gt;30,10,('Scénario référence'!$B$16+'Scénario référence'!$B$17+'Scénario référence'!$B$18+'Scénario référence'!$B$9+'Scénario référence'!$B$10)*$A44*10/30+('Scénario référence'!$F$8+'Scénario référence'!$F$9)*10)</f>
        <v>10</v>
      </c>
      <c r="KS44" s="12" t="e">
        <f>VLOOKUP($A44,'Données projet'!$A$408:$I$428,2,0)</f>
        <v>#N/A</v>
      </c>
      <c r="KT44" s="12" t="e">
        <f>VLOOKUP($A44,'Données projet'!$A$408:$I$428,9,0)</f>
        <v>#N/A</v>
      </c>
      <c r="KU44" s="12">
        <f t="array" ref="KU44">INDEX(KT:KT,MIN(IF(ISNUMBER(KT44:KT240),ROW(KT44:KT240),"")))</f>
        <v>8.1999999999999993</v>
      </c>
      <c r="KV44" s="12">
        <f>IF('Données projet'!$A$408&gt;35,KV43+KU44-LD43,IF($A44&lt;'Données projet'!$A$408,$CQ$205^$A44,IF($A44='Données projet'!$A$408,'Données projet'!$B$408,KV43+KU44-LD43)))</f>
        <v>172.20000000000002</v>
      </c>
      <c r="KW44" s="17">
        <f>KV44*VLOOKUP('Données projet'!$B$23,Paramètres!$A$1:$I$89,3,0)*VLOOKUP('Données projet'!$B$23,Paramètres!$A$1:$I$89,5,0)</f>
        <v>150.43392000000003</v>
      </c>
      <c r="KX44" s="13">
        <f t="shared" si="99"/>
        <v>38.677178913707927</v>
      </c>
      <c r="KY44" s="14">
        <f t="shared" si="43"/>
        <v>329.36849727470803</v>
      </c>
      <c r="KZ44" s="59">
        <f t="shared" si="44"/>
        <v>622.70183060804129</v>
      </c>
      <c r="LA44" s="59">
        <f ca="1">AVERAGE(OFFSET($KZ$3,0,0,'Données projet'!$E$23+1,1))-AVERAGE(OFFSET($H$3,0,0,'Données projet'!$E$23+1,1))</f>
        <v>248.33596943633819</v>
      </c>
      <c r="LB44" s="59">
        <f t="shared" si="100"/>
        <v>242.34010522344573</v>
      </c>
      <c r="LC44" s="15">
        <f>IF(ISNA(VLOOKUP($A44,'Données projet'!$A$408:$I$428,3,0)),0,VLOOKUP($A44,'Données projet'!$A$408:$I$428,3,0))</f>
        <v>0</v>
      </c>
      <c r="LD44" s="15">
        <f>IF(ISNA(VLOOKUP($A44,'Données projet'!$A$408:$I$428,4,0)),0,VLOOKUP($A44,'Données projet'!$A$408:$I$428,4,0))</f>
        <v>0</v>
      </c>
      <c r="LE44" s="16">
        <f>IF(ISNA(VLOOKUP($A44,'Données projet'!$A$408:$I$428,5,0)),0%,VLOOKUP($A44,'Données projet'!$A$408:$I$428,5,0)*VLOOKUP('Données projet'!$B$23,Paramètres!$A$1:$I$89,7,0))</f>
        <v>0</v>
      </c>
      <c r="LF44" s="16">
        <f>IF(ISNA(VLOOKUP($A44,'Données projet'!$A$408:$I$428,6,0)),0%,VLOOKUP($A44,'Données projet'!$A$408:$I$428,6,0)*VLOOKUP('Données projet'!$B$23,Paramètres!$A$1:$I$89,7,0))</f>
        <v>0</v>
      </c>
      <c r="LG44" s="16">
        <f>IF(ISNA(VLOOKUP($A44,'Données projet'!$A$408:$I$428,7,0)),0%,VLOOKUP($A44,'Données projet'!$A$408:$I$428,7,0))</f>
        <v>0</v>
      </c>
      <c r="LH44" s="21">
        <f>EXP(-LN(2)/35)*LH43+(1-EXP(-LN(2)/35))/(LN(2)/35)*LD44*LE44*VLOOKUP('Données projet'!$B$23,Paramètres!$A$1:$I$89,3,0)*0.475*44/12</f>
        <v>6.6783182356281596</v>
      </c>
      <c r="LI44" s="21">
        <f>EXP(-LN(2)/25)*LI43+(1-EXP(-LN(2)/25))/(LN(2)/25)*Calculateur!LD44*Calculateur!LF44*VLOOKUP('Données projet'!$B$23,Paramètres!$A$1:$I$89,3,0)*0.475*44/12</f>
        <v>11.606324239494015</v>
      </c>
      <c r="LJ44" s="21">
        <f>EXP(-LN(2)/2)*LJ43+(1-EXP(-LN(2)/2))/(LN(2)/2)*LD44*LG44*VLOOKUP('Données projet'!$B$23,Paramètres!$A$1:$I$89,3,0)*0.475*44/12</f>
        <v>0</v>
      </c>
      <c r="LK44" s="22">
        <f t="shared" si="101"/>
        <v>18.284642475122176</v>
      </c>
      <c r="LL44" s="74">
        <f>('Scénario référence'!$F$8+'Scénario référence'!$F$9+'Scénario référence'!$B$17+'Scénario référence'!$B$9+'Scénario référence'!$B$10)*70+IF((45+25*(1-EXP(-0.0175*$A44)))&lt;70,'Scénario référence'!$B$16*(45+25*(1-EXP(-0.0175*$A44))),70*'Scénario référence'!$B$16)+IF((32+38*(1-EXP(-0.0175*$A44)))&lt;70,'Scénario référence'!$B$18*(32+38*(1-EXP(-0.0175*$A44))),70*'Scénario référence'!$B$18)</f>
        <v>70</v>
      </c>
      <c r="LM44" s="12">
        <f>IF($A44&gt;30,10,('Scénario référence'!$B$16+'Scénario référence'!$B$17+'Scénario référence'!$B$18+'Scénario référence'!$B$9+'Scénario référence'!$B$10)*$A44*10/30+('Scénario référence'!$F$8+'Scénario référence'!$F$9)*10)</f>
        <v>10</v>
      </c>
      <c r="LN44" s="12" t="e">
        <f>VLOOKUP($A44,'Données projet'!$A$434:$I$454,2,0)</f>
        <v>#N/A</v>
      </c>
      <c r="LO44" s="12" t="e">
        <f>VLOOKUP($A44,'Données projet'!$A$434:$I$454,9,0)</f>
        <v>#N/A</v>
      </c>
      <c r="LP44" s="12">
        <f t="array" ref="LP44">INDEX(LO:LO,MIN(IF(ISNUMBER(LO44:LO240),ROW(LO44:LO240),"")))</f>
        <v>5.3369963369963358</v>
      </c>
      <c r="LQ44" s="12">
        <f>IF('Données projet'!$A$434&gt;35,LQ43+LP44-LY43,IF($A44&lt;'Données projet'!$A$434,$CQ$205^$A44,IF($A44='Données projet'!$A$434,'Données projet'!$B$434,LQ43+LP44-LY43)))</f>
        <v>146.41208791208788</v>
      </c>
      <c r="LR44" s="17">
        <f>LQ44*VLOOKUP('Données projet'!$B$24,Paramètres!$A$1:$I$89,3,0)*VLOOKUP('Données projet'!$B$24,Paramètres!$A$1:$I$89,5,0)</f>
        <v>148.46185714285713</v>
      </c>
      <c r="LS44" s="13">
        <f t="shared" si="102"/>
        <v>38.228827726420505</v>
      </c>
      <c r="LT44" s="14">
        <f t="shared" si="46"/>
        <v>325.15294281399184</v>
      </c>
      <c r="LU44" s="59">
        <f t="shared" si="103"/>
        <v>618.48627614732516</v>
      </c>
      <c r="LV44" s="59">
        <f ca="1">AVERAGE(OFFSET($LU$3,0,0,'Données projet'!$E$24+1,1))-AVERAGE(OFFSET($H$3,0,0,'Données projet'!$E$24+1,1))</f>
        <v>260.52627655062872</v>
      </c>
      <c r="LW44" s="59">
        <f t="shared" si="104"/>
        <v>159.20429420478047</v>
      </c>
      <c r="LX44" s="15">
        <f>IF(ISNA(VLOOKUP($A44,'Données projet'!$A$434:$I$454,3,0)),0,VLOOKUP($A44,'Données projet'!$A$434:$I$454,3,0))</f>
        <v>0</v>
      </c>
      <c r="LY44" s="15">
        <f>IF(ISNA(VLOOKUP($A44,'Données projet'!$A$434:$I$454,4,0)),0,VLOOKUP($A44,'Données projet'!$A$434:$I$454,4,0))</f>
        <v>0</v>
      </c>
      <c r="LZ44" s="16">
        <f>IF(ISNA(VLOOKUP($A44,'Données projet'!$A$434:$I$454,5,0)),0%,VLOOKUP($A44,'Données projet'!$A$434:$I$454,5,0)*VLOOKUP('Données projet'!$B$24,Paramètres!$A$1:$I$89,7,0))</f>
        <v>0</v>
      </c>
      <c r="MA44" s="16">
        <f>IF(ISNA(VLOOKUP($A44,'Données projet'!$A$434:$I$454,6,0)),0%,VLOOKUP($A44,'Données projet'!$A$434:$I$454,6,0)*VLOOKUP('Données projet'!$B$24,Paramètres!$A$1:$I$89,7,0))</f>
        <v>0</v>
      </c>
      <c r="MB44" s="16">
        <f>IF(ISNA(VLOOKUP($A44,'Données projet'!$A$434:$I$454,7,0)),0%,VLOOKUP($A44,'Données projet'!$A$434:$I$454,7,0))</f>
        <v>0</v>
      </c>
      <c r="MC44" s="21">
        <f>EXP(-LN(2)/35)*MC43+(1-EXP(-LN(2)/35))/(LN(2)/35)*LY44*LZ44*VLOOKUP('Données projet'!$B$24,Paramètres!$A$1:$I$89,3,0)*0.475*44/12</f>
        <v>0</v>
      </c>
      <c r="MD44" s="21">
        <f>EXP(-LN(2)/25)*MD43+(1-EXP(-LN(2)/25))/(LN(2)/25)*Calculateur!LY44*Calculateur!MA44*VLOOKUP('Données projet'!$B$24,Paramètres!$A$1:$I$89,3,0)*0.475*44/12</f>
        <v>0</v>
      </c>
      <c r="ME44" s="21">
        <f>EXP(-LN(2)/2)*ME43+(1-EXP(-LN(2)/2))/(LN(2)/2)*LY44*MB44*VLOOKUP('Données projet'!$B$24,Paramètres!$A$1:$I$89,3,0)*0.475*44/12</f>
        <v>0</v>
      </c>
      <c r="MF44" s="22">
        <f t="shared" si="105"/>
        <v>0</v>
      </c>
      <c r="MG44" s="74">
        <f>('Scénario référence'!$F$8+'Scénario référence'!$F$9+'Scénario référence'!$B$17+'Scénario référence'!$B$9+'Scénario référence'!$B$10)*70+IF((45+25*(1-EXP(-0.0175*$A44)))&lt;70,'Scénario référence'!$B$16*(45+25*(1-EXP(-0.0175*$A44))),70*'Scénario référence'!$B$16)+IF((32+38*(1-EXP(-0.0175*$A44)))&lt;70,'Scénario référence'!$B$18*(32+38*(1-EXP(-0.0175*$A44))),70*'Scénario référence'!$B$18)</f>
        <v>70</v>
      </c>
      <c r="MH44" s="12">
        <f>IF($A44&gt;30,10,('Scénario référence'!$B$16+'Scénario référence'!$B$17+'Scénario référence'!$B$18+'Scénario référence'!$B$9+'Scénario référence'!$B$10)*$A44*10/30+('Scénario référence'!$F$8+'Scénario référence'!$F$9)*10)</f>
        <v>10</v>
      </c>
      <c r="MI44" s="12" t="e">
        <f>VLOOKUP($A44,'Données projet'!$A$460:$I$480,2,0)</f>
        <v>#N/A</v>
      </c>
      <c r="MJ44" s="12" t="e">
        <f>VLOOKUP($A44,'Données projet'!$A$460:$I$480,9,0)</f>
        <v>#N/A</v>
      </c>
      <c r="MK44" s="12">
        <f t="array" ref="MK44">INDEX(MJ:MJ,MIN(IF(ISNUMBER(MJ44:MJ240),ROW(MJ44:MJ240),"")))</f>
        <v>0</v>
      </c>
      <c r="ML44" s="12">
        <f>IF('Données projet'!$A$460&gt;35,ML43+MK44-MT43,IF($A44&lt;'Données projet'!$A$460,$CQ$205^$A44,IF($A44='Données projet'!$A$460,'Données projet'!$B$460,ML43+MK44-MT43)))</f>
        <v>0</v>
      </c>
      <c r="MM44" s="17" t="e">
        <f>ML44*VLOOKUP('Données projet'!$B$25,Paramètres!$A$1:$I$89,3,0)*VLOOKUP('Données projet'!$B$25,Paramètres!$A$1:$I$89,5,0)</f>
        <v>#N/A</v>
      </c>
      <c r="MN44" s="13" t="e">
        <f t="shared" si="106"/>
        <v>#N/A</v>
      </c>
      <c r="MO44" s="14" t="e">
        <f t="shared" si="49"/>
        <v>#N/A</v>
      </c>
      <c r="MP44" s="59" t="e">
        <f t="shared" si="50"/>
        <v>#N/A</v>
      </c>
      <c r="MQ44" s="20" t="e">
        <f ca="1">AVERAGE(OFFSET($MP$3,0,0,'Données projet'!$E$25+1,1))-AVERAGE(OFFSET($H$3,0,0,'Données projet'!$E$25+1,1))</f>
        <v>#N/A</v>
      </c>
      <c r="MR44" s="59" t="e">
        <f t="shared" si="107"/>
        <v>#N/A</v>
      </c>
      <c r="MS44" s="15">
        <f>IF(ISNA(VLOOKUP($A44,'Données projet'!$A$460:$I$480,3,0)),0,VLOOKUP($A44,'Données projet'!$A$460:$I$480,3,0))</f>
        <v>0</v>
      </c>
      <c r="MT44" s="15">
        <f>IF(ISNA(VLOOKUP($A44,'Données projet'!$A$460:$I$480,4,0)),0,VLOOKUP($A44,'Données projet'!$A$460:$I$480,4,0))</f>
        <v>0</v>
      </c>
      <c r="MU44" s="16">
        <f>IF(ISNA(VLOOKUP($A44,'Données projet'!$A$460:$I$480,5,0)),0%,VLOOKUP($A44,'Données projet'!$A$460:$I$480,5,0)*VLOOKUP('Données projet'!$B$25,Paramètres!$A$1:$I$89,7,0))</f>
        <v>0</v>
      </c>
      <c r="MV44" s="16">
        <f>IF(ISNA(VLOOKUP($A44,'Données projet'!$A$460:$I$480,6,0)),0%,VLOOKUP($A44,'Données projet'!$A$460:$I$480,6,0)*VLOOKUP('Données projet'!$B$25,Paramètres!$A$1:$I$89,7,0))</f>
        <v>0</v>
      </c>
      <c r="MW44" s="16">
        <f>IF(ISNA(VLOOKUP($A44,'Données projet'!$A$460:$I$480,7,0)),0%,VLOOKUP($A44,'Données projet'!$A$460:$I$480,7,0))</f>
        <v>0</v>
      </c>
      <c r="MX44" s="21" t="e">
        <f>EXP(-LN(2)/35)*MX43+(1-EXP(-LN(2)/35))/(LN(2)/35)*MT44*MU44*VLOOKUP('Données projet'!$B$25,Paramètres!$A$1:$I$89,3,0)*0.475*44/12</f>
        <v>#N/A</v>
      </c>
      <c r="MY44" s="21" t="e">
        <f>EXP(-LN(2)/25)*MY43+(1-EXP(-LN(2)/25))/(LN(2)/25)*Calculateur!MT44*Calculateur!MV44*VLOOKUP('Données projet'!$B$25,Paramètres!$A$1:$I$89,3,0)*0.475*44/12</f>
        <v>#N/A</v>
      </c>
      <c r="MZ44" s="21" t="e">
        <f>EXP(-LN(2)/2)*MZ43+(1-EXP(-LN(2)/2))/(LN(2)/2)*MT44*MW44*VLOOKUP('Données projet'!$B$25,Paramètres!$A$1:$I$89,3,0)*0.475*44/12</f>
        <v>#N/A</v>
      </c>
      <c r="NA44" s="22" t="e">
        <f t="shared" si="108"/>
        <v>#N/A</v>
      </c>
      <c r="NB44" s="74">
        <f>('Scénario référence'!$F$8+'Scénario référence'!$F$9+'Scénario référence'!$B$17+'Scénario référence'!$B$9+'Scénario référence'!$B$10)*70+IF((45+25*(1-EXP(-0.0175*$A44)))&lt;70,'Scénario référence'!$B$16*(45+25*(1-EXP(-0.0175*$A44))),70*'Scénario référence'!$B$16)+IF((32+38*(1-EXP(-0.0175*$A44)))&lt;70,'Scénario référence'!$B$18*(32+38*(1-EXP(-0.0175*$A44))),70*'Scénario référence'!$B$18)</f>
        <v>70</v>
      </c>
      <c r="NC44" s="12">
        <f>IF($A44&gt;30,10,('Scénario référence'!$B$16+'Scénario référence'!$B$17+'Scénario référence'!$B$18+'Scénario référence'!$B$9+'Scénario référence'!$B$10)*$A44*10/30+('Scénario référence'!$F$8+'Scénario référence'!$F$9)*10)</f>
        <v>10</v>
      </c>
      <c r="ND44" s="12" t="e">
        <f>VLOOKUP($A44,'Données projet'!$A$486:$I$506,2,0)</f>
        <v>#N/A</v>
      </c>
      <c r="NE44" s="12" t="e">
        <f>VLOOKUP($A44,'Données projet'!$A$486:$I$506,9,0)</f>
        <v>#N/A</v>
      </c>
      <c r="NF44" s="12">
        <f t="array" ref="NF44">INDEX(NE:NE,MIN(IF(ISNUMBER(NE44:NE240),ROW(NE44:NE240),"")))</f>
        <v>0</v>
      </c>
      <c r="NG44" s="12">
        <f>IF('Données projet'!$A$486&gt;35,NG43+NF44-NO43,IF($A44&lt;'Données projet'!$A$486,$CQ$205^$A44,IF($A44='Données projet'!$A$486,'Données projet'!$B$486,NG43+NF44-NO43)))</f>
        <v>0</v>
      </c>
      <c r="NH44" s="17" t="e">
        <f>NG44*VLOOKUP('Données projet'!$B$26,Paramètres!$A$1:$I$89,3,0)*VLOOKUP('Données projet'!$B$26,Paramètres!$A$1:$I$89,5,0)</f>
        <v>#N/A</v>
      </c>
      <c r="NI44" s="13" t="e">
        <f t="shared" si="109"/>
        <v>#N/A</v>
      </c>
      <c r="NJ44" s="14" t="e">
        <f t="shared" si="52"/>
        <v>#N/A</v>
      </c>
      <c r="NK44" s="59" t="e">
        <f t="shared" si="53"/>
        <v>#N/A</v>
      </c>
      <c r="NL44" s="20" t="e">
        <f ca="1">AVERAGE(OFFSET($NK$3,0,0,'Données projet'!$E$26+1,1))-AVERAGE(OFFSET($H$3,0,0,'Données projet'!$E$26+1,1))</f>
        <v>#N/A</v>
      </c>
      <c r="NM44" s="59" t="e">
        <f t="shared" si="110"/>
        <v>#N/A</v>
      </c>
      <c r="NN44" s="15">
        <f>IF(ISNA(VLOOKUP($A44,'Données projet'!$A$486:$I$506,3,0)),0,VLOOKUP($A44,'Données projet'!$A$486:$I$506,3,0))</f>
        <v>0</v>
      </c>
      <c r="NO44" s="15">
        <f>IF(ISNA(VLOOKUP($A44,'Données projet'!$A$486:$I$506,4,0)),0,VLOOKUP($A44,'Données projet'!$A$486:$I$506,4,0))</f>
        <v>0</v>
      </c>
      <c r="NP44" s="16">
        <f>IF(ISNA(VLOOKUP($A44,'Données projet'!$A$486:$I$506,5,0)),0%,VLOOKUP($A44,'Données projet'!$A$486:$I$506,5,0)*VLOOKUP('Données projet'!$B$26,Paramètres!$A$1:$I$89,7,0))</f>
        <v>0</v>
      </c>
      <c r="NQ44" s="16">
        <f>IF(ISNA(VLOOKUP($A44,'Données projet'!$A$486:$I$506,6,0)),0%,VLOOKUP($A44,'Données projet'!$A$486:$I$506,6,0)*VLOOKUP('Données projet'!$B$26,Paramètres!$A$1:$I$89,7,0))</f>
        <v>0</v>
      </c>
      <c r="NR44" s="16">
        <f>IF(ISNA(VLOOKUP($A44,'Données projet'!$A$486:$I$506,7,0)),0%,VLOOKUP($A44,'Données projet'!$A$486:$I$506,7,0))</f>
        <v>0</v>
      </c>
      <c r="NS44" s="21" t="e">
        <f>EXP(-LN(2)/35)*NS43+(1-EXP(-LN(2)/35))/(LN(2)/35)*NO44*NP44*VLOOKUP('Données projet'!$B$26,Paramètres!$A$1:$I$89,3,0)*0.475*44/12</f>
        <v>#N/A</v>
      </c>
      <c r="NT44" s="21" t="e">
        <f>EXP(-LN(2)/25)*NT43+(1-EXP(-LN(2)/25))/(LN(2)/25)*Calculateur!NO44*Calculateur!NQ44*VLOOKUP('Données projet'!$B$26,Paramètres!$A$1:$I$89,3,0)*0.475*44/12</f>
        <v>#N/A</v>
      </c>
      <c r="NU44" s="21" t="e">
        <f>EXP(-LN(2)/2)*NU43+(1-EXP(-LN(2)/2))/(LN(2)/2)*NO44*NR44*VLOOKUP('Données projet'!$B$26,Paramètres!$A$1:$I$89,3,0)*0.475*44/12</f>
        <v>#N/A</v>
      </c>
      <c r="NV44" s="22" t="e">
        <f t="shared" si="111"/>
        <v>#N/A</v>
      </c>
      <c r="NW44" s="74">
        <f>('Scénario référence'!$F$8+'Scénario référence'!$F$9+'Scénario référence'!$B$17+'Scénario référence'!$B$9+'Scénario référence'!$B$10)*70+IF((45+25*(1-EXP(-0.0175*$A44)))&lt;70,'Scénario référence'!$B$16*(45+25*(1-EXP(-0.0175*$A44))),70*'Scénario référence'!$B$16)+IF((32+38*(1-EXP(-0.0175*$A44)))&lt;70,'Scénario référence'!$B$18*(32+38*(1-EXP(-0.0175*$A44))),70*'Scénario référence'!$B$18)</f>
        <v>70</v>
      </c>
      <c r="NX44" s="12">
        <f>IF($A44&gt;30,10,('Scénario référence'!$B$16+'Scénario référence'!$B$17+'Scénario référence'!$B$18+'Scénario référence'!$B$9+'Scénario référence'!$B$10)*$A44*10/30+('Scénario référence'!$F$8+'Scénario référence'!$F$9)*10)</f>
        <v>10</v>
      </c>
      <c r="NY44" s="12" t="e">
        <f>VLOOKUP($A44,'Données projet'!$A$512:$I$532,2,0)</f>
        <v>#N/A</v>
      </c>
      <c r="NZ44" s="12" t="e">
        <f>VLOOKUP($A44,'Données projet'!$A$512:$I$532,9,0)</f>
        <v>#N/A</v>
      </c>
      <c r="OA44" s="12">
        <f t="array" ref="OA44">INDEX(NZ:NZ,MIN(IF(ISNUMBER(NZ44:NZ240),ROW(NZ44:NZ240),"")))</f>
        <v>0</v>
      </c>
      <c r="OB44" s="12">
        <f>IF('Données projet'!$A$512&gt;35,OB43+OA44-OJ43,IF($A44&lt;'Données projet'!$A$512,$CQ$205^$A44,IF($A44='Données projet'!$A$512,'Données projet'!$B$512,OB43+OA44-OJ43)))</f>
        <v>0</v>
      </c>
      <c r="OC44" s="17" t="e">
        <f>OB44*VLOOKUP('Données projet'!$B$27,Paramètres!$A$1:$I$89,3,0)*VLOOKUP('Données projet'!$B$27,Paramètres!$A$1:$I$89,5,0)</f>
        <v>#N/A</v>
      </c>
      <c r="OD44" s="13" t="e">
        <f t="shared" si="112"/>
        <v>#N/A</v>
      </c>
      <c r="OE44" s="14" t="e">
        <f t="shared" si="55"/>
        <v>#N/A</v>
      </c>
      <c r="OF44" s="59" t="e">
        <f t="shared" si="56"/>
        <v>#N/A</v>
      </c>
      <c r="OG44" s="20" t="e">
        <f ca="1">AVERAGE(OFFSET($OF$3,0,0,'Données projet'!$E$27+1,1))-AVERAGE(OFFSET($H$3,0,0,'Données projet'!$E$27+1,1))</f>
        <v>#N/A</v>
      </c>
      <c r="OH44" s="59" t="e">
        <f t="shared" si="113"/>
        <v>#N/A</v>
      </c>
      <c r="OI44" s="15">
        <f>IF(ISNA(VLOOKUP($A44,'Données projet'!$A$512:$I$532,3,0)),0,VLOOKUP($A44,'Données projet'!$A$512:$I$532,3,0))</f>
        <v>0</v>
      </c>
      <c r="OJ44" s="15">
        <f>IF(ISNA(VLOOKUP($A44,'Données projet'!$A$512:$I$532,4,0)),0,VLOOKUP($A44,'Données projet'!$A$512:$I$532,4,0))</f>
        <v>0</v>
      </c>
      <c r="OK44" s="16">
        <f>IF(ISNA(VLOOKUP($A44,'Données projet'!$A$512:$I$532,5,0)),0%,VLOOKUP($A44,'Données projet'!$A$512:$I$532,5,0)*VLOOKUP('Données projet'!$B$27,Paramètres!$A$1:$I$89,7,0))</f>
        <v>0</v>
      </c>
      <c r="OL44" s="16">
        <f>IF(ISNA(VLOOKUP($A44,'Données projet'!$A$512:$I$532,6,0)),0%,VLOOKUP($A44,'Données projet'!$A$512:$I$532,6,0)*VLOOKUP('Données projet'!$B$27,Paramètres!$A$1:$I$89,7,0))</f>
        <v>0</v>
      </c>
      <c r="OM44" s="16">
        <f>IF(ISNA(VLOOKUP($A44,'Données projet'!$A$512:$I$532,7,0)),0%,VLOOKUP($A44,'Données projet'!$A$512:$I$532,7,0))</f>
        <v>0</v>
      </c>
      <c r="ON44" s="21" t="e">
        <f>EXP(-LN(2)/35)*ON43+(1-EXP(-LN(2)/35))/(LN(2)/35)*OJ44*OK44*VLOOKUP('Données projet'!$B$27,Paramètres!$A$1:$I$89,3,0)*0.475*44/12</f>
        <v>#N/A</v>
      </c>
      <c r="OO44" s="21" t="e">
        <f>EXP(-LN(2)/25)*OO43+(1-EXP(-LN(2)/25))/(LN(2)/25)*Calculateur!OJ44*Calculateur!OL44*VLOOKUP('Données projet'!$B$27,Paramètres!$A$1:$I$89,3,0)*0.475*44/12</f>
        <v>#N/A</v>
      </c>
      <c r="OP44" s="21" t="e">
        <f>EXP(-LN(2)/2)*OP43+(1-EXP(-LN(2)/2))/(LN(2)/2)*OJ44*OM44*VLOOKUP('Données projet'!$B$27,Paramètres!$A$1:$I$89,3,0)*0.475*44/12</f>
        <v>#N/A</v>
      </c>
      <c r="OQ44" s="22" t="e">
        <f t="shared" si="114"/>
        <v>#N/A</v>
      </c>
      <c r="OR44" s="74">
        <f>('Scénario référence'!$F$8+'Scénario référence'!$F$9+'Scénario référence'!$B$17+'Scénario référence'!$B$9+'Scénario référence'!$B$10)*70+IF((45+25*(1-EXP(-0.0175*$A44)))&lt;70,'Scénario référence'!$B$16*(45+25*(1-EXP(-0.0175*$A44))),70*'Scénario référence'!$B$16)+IF((32+38*(1-EXP(-0.0175*$A44)))&lt;70,'Scénario référence'!$B$18*(32+38*(1-EXP(-0.0175*$A44))),70*'Scénario référence'!$B$18)</f>
        <v>70</v>
      </c>
      <c r="OS44" s="12">
        <f>IF($A44&gt;30,10,('Scénario référence'!$B$16+'Scénario référence'!$B$17+'Scénario référence'!$B$18+'Scénario référence'!$B$9+'Scénario référence'!$B$10)*$A44*10/30+('Scénario référence'!$F$8+'Scénario référence'!$F$9)*10)</f>
        <v>10</v>
      </c>
      <c r="OT44" s="12" t="e">
        <f>VLOOKUP($A44,'Données projet'!$A$538:$I$558,2,0)</f>
        <v>#N/A</v>
      </c>
      <c r="OU44" s="12" t="e">
        <f>VLOOKUP($A44,'Données projet'!$A$538:$I$558,9,0)</f>
        <v>#N/A</v>
      </c>
      <c r="OV44" s="12">
        <f t="array" ref="OV44">INDEX(OU:OU,MIN(IF(ISNUMBER(OU44:OU240),ROW(OU44:OU240),"")))</f>
        <v>0</v>
      </c>
      <c r="OW44" s="12">
        <f>IF('Données projet'!$A$538&gt;35,OW43+OV44-PE43,IF($A44&lt;'Données projet'!$A$538,$CQ$205^$A44,IF($A44='Données projet'!$A$538,'Données projet'!$B$538,OW43+OV44-PE43)))</f>
        <v>0</v>
      </c>
      <c r="OX44" s="17" t="e">
        <f>OW44*VLOOKUP('Données projet'!$B$28,Paramètres!$A$1:$I$89,3,0)*VLOOKUP('Données projet'!$B$28,Paramètres!$A$1:$I$89,5,0)</f>
        <v>#N/A</v>
      </c>
      <c r="OY44" s="13" t="e">
        <f t="shared" si="115"/>
        <v>#N/A</v>
      </c>
      <c r="OZ44" s="14" t="e">
        <f t="shared" si="58"/>
        <v>#N/A</v>
      </c>
      <c r="PA44" s="59" t="e">
        <f t="shared" si="59"/>
        <v>#N/A</v>
      </c>
      <c r="PB44" s="20" t="e">
        <f ca="1">AVERAGE(OFFSET($PA$3,0,0,'Données projet'!$E$28+1,1))-AVERAGE(OFFSET($H$3,0,0,'Données projet'!$E$28+1,1))</f>
        <v>#N/A</v>
      </c>
      <c r="PC44" s="59" t="e">
        <f t="shared" si="116"/>
        <v>#N/A</v>
      </c>
      <c r="PD44" s="15">
        <f>IF(ISNA(VLOOKUP($A44,'Données projet'!$A$538:$I$558,3,0)),0,VLOOKUP($A44,'Données projet'!$A$538:$I$558,3,0))</f>
        <v>0</v>
      </c>
      <c r="PE44" s="15">
        <f>IF(ISNA(VLOOKUP($A44,'Données projet'!$A$538:$I$558,4,0)),0,VLOOKUP($A44,'Données projet'!$A$538:$I$558,4,0))</f>
        <v>0</v>
      </c>
      <c r="PF44" s="16">
        <f>IF(ISNA(VLOOKUP($A44,'Données projet'!$A$538:$I$558,5,0)),0%,VLOOKUP($A44,'Données projet'!$A$538:$I$558,5,0)*VLOOKUP('Données projet'!$B$28,Paramètres!$A$1:$I$89,7,0))</f>
        <v>0</v>
      </c>
      <c r="PG44" s="16">
        <f>IF(ISNA(VLOOKUP($A44,'Données projet'!$A$538:$I$558,6,0)),0%,VLOOKUP($A44,'Données projet'!$A$538:$I$558,6,0)*VLOOKUP('Données projet'!$B$28,Paramètres!$A$1:$I$89,7,0))</f>
        <v>0</v>
      </c>
      <c r="PH44" s="16">
        <f>IF(ISNA(VLOOKUP($A44,'Données projet'!$A$538:$I$558,7,0)),0%,VLOOKUP($A44,'Données projet'!$A$538:$I$558,7,0))</f>
        <v>0</v>
      </c>
      <c r="PI44" s="21" t="e">
        <f>EXP(-LN(2)/35)*PI43+(1-EXP(-LN(2)/35))/(LN(2)/35)*PE44*PF44*VLOOKUP('Données projet'!$B$28,Paramètres!$A$1:$I$89,3,0)*0.475*44/12</f>
        <v>#N/A</v>
      </c>
      <c r="PJ44" s="21" t="e">
        <f>EXP(-LN(2)/25)*PJ43+(1-EXP(-LN(2)/25))/(LN(2)/25)*Calculateur!PE44*Calculateur!PG44*VLOOKUP('Données projet'!$B$28,Paramètres!$A$1:$I$89,3,0)*0.475*44/12</f>
        <v>#N/A</v>
      </c>
      <c r="PK44" s="21" t="e">
        <f>EXP(-LN(2)/2)*PK43+(1-EXP(-LN(2)/2))/(LN(2)/2)*PE44*PH44*VLOOKUP('Données projet'!$B$28,Paramètres!$A$1:$I$89,3,0)*0.475*44/12</f>
        <v>#N/A</v>
      </c>
      <c r="PL44" s="22" t="e">
        <f t="shared" si="117"/>
        <v>#N/A</v>
      </c>
    </row>
    <row r="45" spans="1:428" x14ac:dyDescent="0.35">
      <c r="A45" s="10">
        <f t="shared" si="6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6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projet'!$A$45:$I$65,2,0)</f>
        <v>468.72307692307686</v>
      </c>
      <c r="L45" s="12">
        <f>VLOOKUP(A45,'Données projet'!$A$45:$I$65,9,0)</f>
        <v>22.419230769230751</v>
      </c>
      <c r="M45" s="12">
        <f t="array" ref="M45">INDEX(L:L,MIN(IF(ISNUMBER(L45:L241),ROW(L45:L241),"")))</f>
        <v>22.419230769230751</v>
      </c>
      <c r="N45" s="13">
        <f>IF('Données projet'!$A$46&gt;35,N44+M45-V44,IF(A45&lt;'Données projet'!$A$46,$K$205^A45,IF(A45='Données projet'!$A$46,'Données projet'!$B$46,N44+M45-V44)))</f>
        <v>468.72307692307686</v>
      </c>
      <c r="O45" s="13">
        <f>N45*VLOOKUP('Données projet'!$B$9,Paramètres!$A$1:$I$89,3,0)*VLOOKUP('Données projet'!$B$9,Paramètres!$A$1:$I$89,5,0)</f>
        <v>262.01619999999997</v>
      </c>
      <c r="P45" s="13">
        <f t="shared" si="63"/>
        <v>63.151956912854622</v>
      </c>
      <c r="Q45" s="20">
        <f t="shared" si="118"/>
        <v>566.33453995655509</v>
      </c>
      <c r="R45" s="59">
        <f t="shared" si="0"/>
        <v>859.66787328988835</v>
      </c>
      <c r="S45" s="59">
        <f ca="1">AVERAGE(OFFSET($R$3,0,0,'Données projet'!$E$9+1,1))-AVERAGE(OFFSET($H$3,0,0,'Données projet'!$E$9+1,1))</f>
        <v>274.57619581652199</v>
      </c>
      <c r="T45" s="59">
        <f t="shared" si="64"/>
        <v>366.15117322598775</v>
      </c>
      <c r="U45" s="15">
        <f>IF(ISNA(VLOOKUP(A45,'Données projet'!$A$45:$I$65,3,0)),0,VLOOKUP(A45,'Données projet'!$A$45:$I$65,3,0))</f>
        <v>5</v>
      </c>
      <c r="V45" s="15">
        <f>IF(ISNA(VLOOKUP(A45,'Données projet'!$A$45:$I$65,4,0)),0,VLOOKUP(A45,'Données projet'!$A$45:$I$65,4,0))</f>
        <v>73.392307692307682</v>
      </c>
      <c r="W45" s="16">
        <f>IF(ISNA(VLOOKUP(A45,'Données projet'!$A$45:$I$65,5,0)),0%,VLOOKUP(A45,'Données projet'!$A$45:$I$65,5,0)*VLOOKUP('Données projet'!$B$9,Paramètres!$A$1:$I$89,7,0))</f>
        <v>0.38500000000000001</v>
      </c>
      <c r="X45" s="16">
        <f>IF(ISNA(VLOOKUP(A45,'Données projet'!$A$45:$I$65,6,0)),0%,VLOOKUP(A45,'Données projet'!$A$45:$I$65,6,0)*VLOOKUP('Données projet'!$B$9,Paramètres!$A$1:$I$89,7,0))</f>
        <v>9.240000000000001E-2</v>
      </c>
      <c r="Y45" s="16">
        <f>IF(ISNA(VLOOKUP(A45,'Données projet'!$A$45:$I$65,7,0)),0%,VLOOKUP(A45,'Données projet'!$A$45:$I$65,7,0))</f>
        <v>0.13200000000000001</v>
      </c>
      <c r="Z45" s="21">
        <f>EXP(-LN(2)/35)*Z44+(1-EXP(-LN(2)/35))/(LN(2)/35)*V45*W45*VLOOKUP('Données projet'!$B$9,Paramètres!$A$1:$I$89,3,0)*0.475*44/12</f>
        <v>61.831684880697594</v>
      </c>
      <c r="AA45" s="21">
        <f>EXP(-LN(2)/25)*AA44+(1-EXP(-LN(2)/25))/(LN(2)/25)*Calculateur!V45*Calculateur!X45*VLOOKUP('Données projet'!$B$9,Paramètres!$A$1:$I$89,3,0)*0.475*44/12</f>
        <v>22.097488925021114</v>
      </c>
      <c r="AB45" s="21">
        <f>EXP(-LN(2)/2)*AB44+(1-EXP(-LN(2)/2))/(LN(2)/2)*V45*Y45*VLOOKUP('Données projet'!$B$9,Paramètres!$A$1:$I$89,3,0)*0.475*44/12</f>
        <v>6.9526777981796624</v>
      </c>
      <c r="AC45" s="22">
        <f t="shared" si="3"/>
        <v>90.881851603898369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projet'!$A$71:$I$91,2,0)</f>
        <v>#N/A</v>
      </c>
      <c r="AG45" s="12" t="e">
        <f>VLOOKUP(A45,'Données projet'!$A$71:$I$91,9,0)</f>
        <v>#N/A</v>
      </c>
      <c r="AH45" s="12">
        <f t="array" ref="AH45">INDEX(AG:AG,MIN(IF(ISNUMBER(AG45:AG241),ROW(AG45:AG241),"")))</f>
        <v>9.3452380952380913</v>
      </c>
      <c r="AI45" s="13">
        <f>IF('Données projet'!$A$72&gt;35,AI44+AH45-AQ44,IF(A45&lt;'Données projet'!$A$72,$AF$205^A45,IF(A45='Données projet'!$A$72,'Données projet'!$B$72,AI44+AH45-AQ44)))</f>
        <v>128.28113553113559</v>
      </c>
      <c r="AJ45" s="13">
        <f>AI45*VLOOKUP('Données projet'!$B$10,Paramètres!$A$1:$I$89,3,0)*VLOOKUP('Données projet'!$B$10,Paramètres!$A$1:$I$89,5,0)</f>
        <v>116.06877142857148</v>
      </c>
      <c r="AK45" s="13">
        <f t="shared" si="65"/>
        <v>30.75633490516044</v>
      </c>
      <c r="AL45" s="20">
        <f t="shared" si="4"/>
        <v>255.72039353124975</v>
      </c>
      <c r="AM45" s="59">
        <f t="shared" si="5"/>
        <v>549.05372686458304</v>
      </c>
      <c r="AN45" s="59">
        <f ca="1">AVERAGE(OFFSET($AM$3,0,0,'Données projet'!$E$10+1,1))-AVERAGE(OFFSET($H$3,0,0,'Données projet'!$E$10+1,1))</f>
        <v>270.87836509222456</v>
      </c>
      <c r="AO45" s="59">
        <f t="shared" si="66"/>
        <v>205.24998237949734</v>
      </c>
      <c r="AP45" s="15">
        <f>IF(ISNA(VLOOKUP(A45,'Données projet'!$A$71:$I$91,3,0)),0,VLOOKUP(A45,'Données projet'!$A$71:$I$91,3,0))</f>
        <v>0</v>
      </c>
      <c r="AQ45" s="15">
        <f>IF(ISNA(VLOOKUP(A45,'Données projet'!$A$71:$I$91,4,0)),0,VLOOKUP(A45,'Données projet'!$A$71:$I$91,4,0))</f>
        <v>0</v>
      </c>
      <c r="AR45" s="16">
        <f>IF(ISNA(VLOOKUP(A45,'Données projet'!$A$71:$I$91,5,0)),0%,VLOOKUP(A45,'Données projet'!$A$71:$I$91,5,0)*VLOOKUP('Données projet'!$B$10,Paramètres!$A$1:$I$89,7,0))</f>
        <v>0</v>
      </c>
      <c r="AS45" s="16">
        <f>IF(ISNA(VLOOKUP(A45,'Données projet'!$A$71:$I$91,6,0)),0%,VLOOKUP(A45,'Données projet'!$A$71:$I$91,6,0)*VLOOKUP('Données projet'!$B$10,Paramètres!$A$1:$I$89,7,0))</f>
        <v>0</v>
      </c>
      <c r="AT45" s="16">
        <f>IF(ISNA(VLOOKUP(A45,'Données projet'!$A$71:$I$91,7,0)),0%,VLOOKUP(A45,'Données projet'!$A$71:$I$91,7,0))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projet'!$A$97:$I$117,2,0)</f>
        <v>468.72307692307686</v>
      </c>
      <c r="BB45" s="12">
        <f>VLOOKUP(A45,'Données projet'!$A$97:$I$117,9,0)</f>
        <v>22.419230769230751</v>
      </c>
      <c r="BC45" s="12">
        <f t="array" ref="BC45">INDEX(BB:BB,MIN(IF(ISNUMBER(BB45:BB241),ROW(BB45:BB241),"")))</f>
        <v>22.419230769230751</v>
      </c>
      <c r="BD45" s="12">
        <f>IF('Données projet'!$A$98&gt;35,BD44+BC45-BL44,IF(A45&lt;'Données projet'!$A$98,$BA$205^A45,IF(A45='Données projet'!$A$98,'Données projet'!$B$98,BD44+BC45-BL44)))</f>
        <v>468.72307692307686</v>
      </c>
      <c r="BE45" s="13">
        <f>BD45*VLOOKUP('Données projet'!$B$11,Paramètres!$A$1:$I$89,3,0)*VLOOKUP('Données projet'!$B$11,Paramètres!$A$1:$I$89,5,0)</f>
        <v>207.1756</v>
      </c>
      <c r="BF45" s="13">
        <f t="shared" si="67"/>
        <v>51.317897679233141</v>
      </c>
      <c r="BG45" s="20">
        <f t="shared" si="7"/>
        <v>450.20950845799774</v>
      </c>
      <c r="BH45" s="59">
        <f t="shared" si="8"/>
        <v>743.54284179133106</v>
      </c>
      <c r="BI45" s="59">
        <f ca="1">AVERAGE(OFFSET($BH$3,0,0,'Données projet'!$E$11+1,1))-AVERAGE(OFFSET($H$3,0,0,'Données projet'!$E$11+1,1))</f>
        <v>211.31057120485542</v>
      </c>
      <c r="BJ45" s="59">
        <f t="shared" si="68"/>
        <v>283.33292006714777</v>
      </c>
      <c r="BK45" s="15">
        <f>IF(ISNA(VLOOKUP(A45,'Données projet'!$A$97:$I$117,3,0)),0,VLOOKUP(A45,'Données projet'!$A$97:$I$117,3,0))</f>
        <v>5</v>
      </c>
      <c r="BL45" s="15">
        <f>IF(ISNA(VLOOKUP(A45,'Données projet'!$A$97:$I$117,4,0)),0,VLOOKUP(A45,'Données projet'!$A$97:$I$117,4,0))</f>
        <v>73.392307692307682</v>
      </c>
      <c r="BM45" s="16">
        <f>IF(ISNA(VLOOKUP(A45,'Données projet'!$A$97:$I$117,5,0)),0%,VLOOKUP(A45,'Données projet'!$A$97:$I$117,5,0)*VLOOKUP('Données projet'!$B$11,Paramètres!$A$1:$I$89,7,0))</f>
        <v>0.38500000000000001</v>
      </c>
      <c r="BN45" s="16">
        <f>IF(ISNA(VLOOKUP(A45,'Données projet'!$A$97:$I$117,6,0)),0%,VLOOKUP(A45,'Données projet'!$A$97:$I$117,6,0)*VLOOKUP('Données projet'!$B$11,Paramètres!$A$1:$I$89,7,0))</f>
        <v>9.240000000000001E-2</v>
      </c>
      <c r="BO45" s="16">
        <f>IF(ISNA(VLOOKUP(A45,'Données projet'!$A$97:$I$117,7,0)),0%,VLOOKUP(A45,'Données projet'!$A$97:$I$117,7,0))</f>
        <v>0.13200000000000001</v>
      </c>
      <c r="BP45" s="21">
        <f>EXP(-LN(2)/35)*BP44+(1-EXP(-LN(2)/35))/(LN(2)/35)*BL45*BM45*VLOOKUP('Données projet'!$B$11,Paramètres!$A$1:$I$89,3,0)*0.475*44/12</f>
        <v>48.890169440551588</v>
      </c>
      <c r="BQ45" s="21">
        <f>EXP(-LN(2)/25)*BQ44+(1-EXP(-LN(2)/25))/(LN(2)/25)*Calculateur!BL45*Calculateur!BN45*VLOOKUP('Données projet'!$B$11,Paramètres!$A$1:$I$89,3,0)*0.475*44/12</f>
        <v>17.472433103505065</v>
      </c>
      <c r="BR45" s="21">
        <f>EXP(-LN(2)/2)*BR44+(1-EXP(-LN(2)/2))/(LN(2)/2)*BL45*BO45*VLOOKUP('Données projet'!$B$11,Paramètres!$A$1:$I$89,3,0)*0.475*44/12</f>
        <v>5.4974661660025239</v>
      </c>
      <c r="BS45" s="22">
        <f t="shared" si="9"/>
        <v>71.860068710059181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projet'!$A$123:$I$143,2,0)</f>
        <v>#N/A</v>
      </c>
      <c r="BW45" s="12" t="e">
        <f>VLOOKUP(A45,'Données projet'!$A$123:$I$143,9,0)</f>
        <v>#N/A</v>
      </c>
      <c r="BX45" s="12">
        <f t="array" ref="BX45">INDEX(BW:BW,MIN(IF(ISNUMBER(BW45:BW241),ROW(BW45:BW241),"")))</f>
        <v>8</v>
      </c>
      <c r="BY45" s="12">
        <f>IF('Données projet'!$A$124&gt;35,BY44+BX45-CG44,IF(A45&lt;'Données projet'!$A$124,$BV$205^A45,IF(A45='Données projet'!$A$124,'Données projet'!$B$124,BY44+BX45-CG44)))</f>
        <v>174.00000000000003</v>
      </c>
      <c r="BZ45" s="13">
        <f>BY45*VLOOKUP('Données projet'!$B$12,Paramètres!$A$1:$I$89,3,0)*VLOOKUP('Données projet'!$B$12,Paramètres!$A$1:$I$89,5,0)</f>
        <v>181.86480000000006</v>
      </c>
      <c r="CA45" s="13">
        <f t="shared" si="69"/>
        <v>45.73682061391029</v>
      </c>
      <c r="CB45" s="20">
        <f t="shared" si="10"/>
        <v>396.40615590256056</v>
      </c>
      <c r="CC45" s="59">
        <f t="shared" si="11"/>
        <v>689.73948923589387</v>
      </c>
      <c r="CD45" s="59">
        <f ca="1">AVERAGE(OFFSET($CC$3,0,0,'Données projet'!$E$12+1,1))-AVERAGE(OFFSET($H$3,0,0,'Données projet'!$E$12+1,1))</f>
        <v>322.93502595881938</v>
      </c>
      <c r="CE45" s="59">
        <f t="shared" si="70"/>
        <v>302.67072119588164</v>
      </c>
      <c r="CF45" s="15">
        <f>IF(ISNA(VLOOKUP(A45,'Données projet'!$A$123:$I$143,3,0)),0,VLOOKUP(A45,'Données projet'!$A$123:$I$143,3,0))</f>
        <v>0</v>
      </c>
      <c r="CG45" s="15">
        <f>IF(ISNA(VLOOKUP(A45,'Données projet'!$A$123:$I$143,4,0)),0,VLOOKUP(A45,'Données projet'!$A$123:$I$143,4,0))</f>
        <v>0</v>
      </c>
      <c r="CH45" s="16">
        <f>IF(ISNA(VLOOKUP(A45,'Données projet'!$A$123:$I$143,5,0)),0%,VLOOKUP(A45,'Données projet'!$A$123:$I$143,5,0)*VLOOKUP('Données projet'!$B$12,Paramètres!$A$1:$I$89,7,0))</f>
        <v>0</v>
      </c>
      <c r="CI45" s="16">
        <f>IF(ISNA(VLOOKUP(A45,'Données projet'!$A$123:$I$143,6,0)),0%,VLOOKUP(A45,'Données projet'!$A$123:$I$143,6,0)*VLOOKUP('Données projet'!$B$12,Paramètres!$A$1:$I$89,7,0))</f>
        <v>0</v>
      </c>
      <c r="CJ45" s="16">
        <f>IF(ISNA(VLOOKUP(A45,'Données projet'!$A$123:$I$143,7,0)),0%,VLOOKUP(A45,'Données projet'!$A$123:$I$143,7,0))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11.822856814913676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11.822856814913676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projet'!$A$149:$I$169,2,0)</f>
        <v>#N/A</v>
      </c>
      <c r="CR45" s="12" t="e">
        <f>VLOOKUP(A45,'Données projet'!$A$149:$I$169,9,0)</f>
        <v>#N/A</v>
      </c>
      <c r="CS45" s="12">
        <f t="array" ref="CS45">INDEX(CR:CR,MIN(IF(ISNUMBER(CR45:CR241),ROW(CR45:CR241),"")))</f>
        <v>5.3369963369963358</v>
      </c>
      <c r="CT45" s="12">
        <f>IF('Données projet'!$A$150&gt;35,CT44+CS45-DB44,IF(A45&lt;'Données projet'!$A$150,$CQ$205^A45,IF(A45='Données projet'!$A$150,'Données projet'!$B$150,CT44+CS45-DB44)))</f>
        <v>151.74908424908421</v>
      </c>
      <c r="CU45" s="17">
        <f>CT45*VLOOKUP('Données projet'!$B$13,Paramètres!$A$1:$I$89,3,0)*VLOOKUP('Données projet'!$B$13,Paramètres!$A$1:$I$89,5,0)</f>
        <v>153.87357142857138</v>
      </c>
      <c r="CV45" s="13">
        <f t="shared" si="71"/>
        <v>39.457558153305143</v>
      </c>
      <c r="CW45" s="20">
        <f t="shared" si="13"/>
        <v>336.71838402176826</v>
      </c>
      <c r="CX45" s="59">
        <f t="shared" si="14"/>
        <v>630.05171735510157</v>
      </c>
      <c r="CY45" s="59">
        <f ca="1">AVERAGE(OFFSET($CX$3,0,0,'Données projet'!$E$13+1,1))-AVERAGE(OFFSET($H$3,0,0,'Données projet'!$E$13+1,1))</f>
        <v>250.31277422753283</v>
      </c>
      <c r="CZ45" s="59">
        <f t="shared" si="72"/>
        <v>159.20429420478047</v>
      </c>
      <c r="DA45" s="15">
        <f>IF(ISNA(VLOOKUP(A45,'Données projet'!$A$149:$I$169,3,0)),0,VLOOKUP(A45,'Données projet'!$A$149:$I$169,3,0))</f>
        <v>0</v>
      </c>
      <c r="DB45" s="15">
        <f>IF(ISNA(VLOOKUP(A45,'Données projet'!$A$149:$I$169,4,0)),0,VLOOKUP(A45,'Données projet'!$A$149:$I$169,4,0))</f>
        <v>0</v>
      </c>
      <c r="DC45" s="16">
        <f>IF(ISNA(VLOOKUP(A45,'Données projet'!$A$149:$I$169,5,0)),0%,VLOOKUP(A45,'Données projet'!$A$149:$I$169,5,0)*VLOOKUP('Données projet'!$B$13,Paramètres!$A$1:$I$89,7,0))</f>
        <v>0</v>
      </c>
      <c r="DD45" s="16">
        <f>IF(ISNA(VLOOKUP(A45,'Données projet'!$A$149:$I$169,6,0)),0%,VLOOKUP(A45,'Données projet'!$A$149:$I$169,6,0)*VLOOKUP('Données projet'!$B$13,Paramètres!$A$1:$I$89,7,0))</f>
        <v>0</v>
      </c>
      <c r="DE45" s="16">
        <f>IF(ISNA(VLOOKUP(A45,'Données projet'!$A$149:$I$169,7,0)),0%,VLOOKUP(A45,'Données projet'!$A$149:$I$169,7,0))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projet'!$A$175:$I$195,2,0)</f>
        <v>#N/A</v>
      </c>
      <c r="DM45" s="12" t="e">
        <f>VLOOKUP(A45,'Données projet'!$A$175:$I$195,9,0)</f>
        <v>#N/A</v>
      </c>
      <c r="DN45" s="12">
        <f t="array" ref="DN45">INDEX(DM:DM,MIN(IF(ISNUMBER(DM45:DM241),ROW(DM45:DM241),"")))</f>
        <v>11.4</v>
      </c>
      <c r="DO45" s="12">
        <f>IF('Données projet'!$A$176&gt;35,DO44+DN45-DW44,IF(A45&lt;'Données projet'!$A$176,$DL$205^A45,IF(A45='Données projet'!$A$176,'Données projet'!$B$176,DO44+DN45-DW44)))</f>
        <v>245.79999999999993</v>
      </c>
      <c r="DP45" s="17">
        <f>DO45*VLOOKUP('Données projet'!$B$14,Paramètres!$A$1:$I$89,3,0)*VLOOKUP('Données projet'!$B$14,Paramètres!$A$1:$I$89,5,0)</f>
        <v>180.22055999999992</v>
      </c>
      <c r="DQ45" s="13">
        <f t="shared" si="73"/>
        <v>45.371253205145926</v>
      </c>
      <c r="DR45" s="20">
        <f t="shared" si="16"/>
        <v>392.90574133229569</v>
      </c>
      <c r="DS45" s="59">
        <f t="shared" si="17"/>
        <v>686.239074665629</v>
      </c>
      <c r="DT45" s="59">
        <f ca="1">AVERAGE(OFFSET($DS$3,0,0,'Données projet'!$E$14+1,1))-AVERAGE(OFFSET($H$3,0,0,'Données projet'!$E$14+1,1))</f>
        <v>296.91321813251051</v>
      </c>
      <c r="DU45" s="59">
        <f t="shared" si="74"/>
        <v>291.0718079639509</v>
      </c>
      <c r="DV45" s="15">
        <f>IF(ISNA(VLOOKUP(A45,'Données projet'!$A$175:$I$195,3,0)),0,VLOOKUP(A45,'Données projet'!$A$175:$I$195,3,0))</f>
        <v>0</v>
      </c>
      <c r="DW45" s="15">
        <f>IF(ISNA(VLOOKUP(A45,'Données projet'!$A$175:$I$195,4,0)),0,VLOOKUP(A45,'Données projet'!$A$175:$I$195,4,0))</f>
        <v>0</v>
      </c>
      <c r="DX45" s="16">
        <f>IF(ISNA(VLOOKUP(A45,'Données projet'!$A$175:$I$195,5,0)),0%,VLOOKUP(A45,'Données projet'!$A$175:$I$195,5,0)*VLOOKUP('Données projet'!$B$14,Paramètres!$A$1:$I$89,7,0))</f>
        <v>0</v>
      </c>
      <c r="DY45" s="16">
        <f>IF(ISNA(VLOOKUP(A45,'Données projet'!$A$175:$I$195,6,0)),0%,VLOOKUP(A45,'Données projet'!$A$175:$I$195,6,0)*VLOOKUP('Données projet'!$B$14,Paramètres!$A$1:$I$89,7,0))</f>
        <v>0</v>
      </c>
      <c r="DZ45" s="16">
        <f>IF(ISNA(VLOOKUP(A45,'Données projet'!$A$175:$I$195,7,0)),0%,VLOOKUP(A45,'Données projet'!$A$175:$I$195,7,0))</f>
        <v>0</v>
      </c>
      <c r="EA45" s="21">
        <f>EXP(-LN(2)/35)*EA44+(1-EXP(-LN(2)/35))/(LN(2)/35)*DW45*DX45*VLOOKUP('Données projet'!$B$14,Paramètres!$A$1:$I$89,3,0)*0.475*44/12</f>
        <v>28.285117497865585</v>
      </c>
      <c r="EB45" s="21">
        <f>EXP(-LN(2)/25)*EB44+(1-EXP(-LN(2)/25))/(LN(2)/25)*Calculateur!DW45*Calculateur!DY45*VLOOKUP('Données projet'!$B$14,Paramètres!$A$1:$I$89,3,0)*0.475*44/12</f>
        <v>11.700035983980198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39.985153481845785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projet'!$A$201:$I$221,2,0)</f>
        <v>#N/A</v>
      </c>
      <c r="EH45" s="12" t="e">
        <f>VLOOKUP(A45,'Données projet'!$A$201:$I$221,9,0)</f>
        <v>#N/A</v>
      </c>
      <c r="EI45" s="12">
        <f t="array" ref="EI45">INDEX(EH:EH,MIN(IF(ISNUMBER(EH45:EH241),ROW(EH45:EH241),"")))</f>
        <v>10.407692307692306</v>
      </c>
      <c r="EJ45" s="12">
        <f>IF('Données projet'!$A$202&gt;35,EJ44+EI45-ER44,IF(A45&lt;'Données projet'!$A$202,$EG$205^A45,IF(A45='Données projet'!$A$202,'Données projet'!$B$202,EJ44+EI45-ER44)))</f>
        <v>228.16923076923081</v>
      </c>
      <c r="EK45" s="17">
        <f>EJ45*VLOOKUP('Données projet'!$B$15,Paramètres!$A$1:$I$89,3,0)*VLOOKUP('Données projet'!$B$15,Paramètres!$A$1:$I$89,5,0)</f>
        <v>106.78320000000002</v>
      </c>
      <c r="EL45" s="13">
        <f t="shared" si="75"/>
        <v>28.571777207672977</v>
      </c>
      <c r="EM45" s="20">
        <f t="shared" si="19"/>
        <v>235.74325197003046</v>
      </c>
      <c r="EN45" s="59">
        <f t="shared" si="20"/>
        <v>529.0765853033638</v>
      </c>
      <c r="EO45" s="59">
        <f ca="1">AVERAGE(OFFSET($EN$3,0,0,'Données projet'!$E$15+1,1))-AVERAGE(OFFSET($H$3,0,0,'Données projet'!$E$15+1,1))</f>
        <v>147.64256291235483</v>
      </c>
      <c r="EP45" s="59">
        <f t="shared" si="76"/>
        <v>70.859031694091868</v>
      </c>
      <c r="EQ45" s="15">
        <f>IF(ISNA(VLOOKUP(A45,'Données projet'!$A$201:$I$221,3,0)),0,VLOOKUP(A45,'Données projet'!$A$201:$I$221,3,0))</f>
        <v>0</v>
      </c>
      <c r="ER45" s="15">
        <f>IF(ISNA(VLOOKUP(A45,'Données projet'!$A$201:$I$221,4,0)),0,VLOOKUP(A45,'Données projet'!$A$201:$I$221,4,0))</f>
        <v>0</v>
      </c>
      <c r="ES45" s="16">
        <f>IF(ISNA(VLOOKUP(A45,'Données projet'!$A$201:$I$221,5,0)),0%,VLOOKUP(A45,'Données projet'!$A$201:$I$221,5,0)*VLOOKUP('Données projet'!$B$15,Paramètres!$A$1:$I$89,7,0))</f>
        <v>0</v>
      </c>
      <c r="ET45" s="16">
        <f>IF(ISNA(VLOOKUP(A45,'Données projet'!$A$201:$I$221,6,0)),0%,VLOOKUP(A45,'Données projet'!$A$201:$I$221,6,0)*VLOOKUP('Données projet'!$B$15,Paramètres!$A$1:$I$89,7,0))</f>
        <v>0</v>
      </c>
      <c r="EU45" s="16">
        <f>IF(ISNA(VLOOKUP(A45,'Données projet'!$A$201:$I$221,7,0)),0%,VLOOKUP(A45,'Données projet'!$A$201:$I$221,7,0))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0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projet'!$A$227:$I$247,2,0)</f>
        <v>#N/A</v>
      </c>
      <c r="FC45" s="12" t="e">
        <f>VLOOKUP(A45,'Données projet'!$A$227:$I$247,9,0)</f>
        <v>#N/A</v>
      </c>
      <c r="FD45" s="12">
        <f t="array" ref="FD45">INDEX(FC:FC,MIN(IF(ISNUMBER(FC45:FC241),ROW(FC45:FC241),"")))</f>
        <v>6.4</v>
      </c>
      <c r="FE45" s="12">
        <f>IF('Données projet'!$A$228&gt;35,FE44+FD45-FM44,IF(A45&lt;'Données projet'!$A$228,$FB$205^A45,IF(A45='Données projet'!$A$228,'Données projet'!$B$228,FE44+FD45-FM44)))</f>
        <v>142.80000000000001</v>
      </c>
      <c r="FF45" s="17">
        <f>FE45*VLOOKUP('Données projet'!$B$16,Paramètres!$A$1:$I$89,3,0)*VLOOKUP('Données projet'!$B$16,Paramètres!$A$1:$I$89,5,0)</f>
        <v>149.25456000000003</v>
      </c>
      <c r="FG45" s="13">
        <f t="shared" si="77"/>
        <v>38.409132618275962</v>
      </c>
      <c r="FH45" s="20">
        <f t="shared" si="22"/>
        <v>326.84759797683068</v>
      </c>
      <c r="FI45" s="59">
        <f t="shared" si="23"/>
        <v>620.18093131016394</v>
      </c>
      <c r="FJ45" s="59">
        <f ca="1">AVERAGE(OFFSET($FI$3,0,0,'Données projet'!$E$16+1,1))-AVERAGE(OFFSET($H$3,0,0,'Données projet'!$E$16+1,1))</f>
        <v>259.03906550253788</v>
      </c>
      <c r="FK45" s="59">
        <f t="shared" si="78"/>
        <v>235.54542903570831</v>
      </c>
      <c r="FL45" s="15">
        <f>IF(ISNA(VLOOKUP(A45,'Données projet'!$A$227:$I$247,3,0)),0,VLOOKUP(A45,'Données projet'!$A$227:$I$247,3,0))</f>
        <v>0</v>
      </c>
      <c r="FM45" s="15">
        <f>IF(ISNA(VLOOKUP(A45,'Données projet'!$A$227:$I$247,4,0)),0,VLOOKUP(A45,'Données projet'!$A$227:$I$247,4,0))</f>
        <v>0</v>
      </c>
      <c r="FN45" s="16">
        <f>IF(ISNA(VLOOKUP(A45,'Données projet'!$A$227:$I$247,5,0)),0%,VLOOKUP(A45,'Données projet'!$A$227:$I$247,5,0)*VLOOKUP('Données projet'!$B$16,Paramètres!$A$1:$I$89,7,0))</f>
        <v>0</v>
      </c>
      <c r="FO45" s="16">
        <f>IF(ISNA(VLOOKUP(A45,'Données projet'!$A$227:$I$247,6,0)),0%,VLOOKUP(A45,'Données projet'!$A$227:$I$247,6,0)*VLOOKUP('Données projet'!$B$16,Paramètres!$A$1:$I$89,7,0))</f>
        <v>0</v>
      </c>
      <c r="FP45" s="16">
        <f>IF(ISNA(VLOOKUP(A45,'Données projet'!$A$227:$I$247,7,0)),0%,VLOOKUP(A45,'Données projet'!$A$227:$I$247,7,0))</f>
        <v>0</v>
      </c>
      <c r="FQ45" s="21">
        <f>EXP(-LN(2)/35)*FQ44+(1-EXP(-LN(2)/35))/(LN(2)/35)*FM45*FN45*VLOOKUP('Données projet'!$B$16,Paramètres!$A$1:$I$89,3,0)*0.475*44/12</f>
        <v>0</v>
      </c>
      <c r="FR45" s="21">
        <f>EXP(-LN(2)/25)*FR44+(1-EXP(-LN(2)/25))/(LN(2)/25)*Calculateur!FM45*Calculateur!FO45*VLOOKUP('Données projet'!$B$16,Paramètres!$A$1:$I$89,3,0)*0.475*44/12</f>
        <v>4.6818684758346496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4.6818684758346496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projet'!$A$253:$I$273,2,0)</f>
        <v>#N/A</v>
      </c>
      <c r="FX45" s="12" t="e">
        <f>VLOOKUP(A45,'Données projet'!$A$253:$I$273,9,0)</f>
        <v>#N/A</v>
      </c>
      <c r="FY45" s="12">
        <f t="array" ref="FY45">INDEX(FX:FX,MIN(IF(ISNUMBER(FX45:FX241),ROW(FX45:FX241),"")))</f>
        <v>8.1999999999999993</v>
      </c>
      <c r="FZ45" s="12">
        <f>IF('Données projet'!$A$254&gt;35,FZ44+FY45-GH44,IF(A45&lt;'Données projet'!$A$254,$FW$205^A45,IF(A45='Données projet'!$A$254,'Données projet'!$B$254,FZ44+FY45-GH44)))</f>
        <v>180.39999999999998</v>
      </c>
      <c r="GA45" s="17">
        <f>FZ45*VLOOKUP('Données projet'!$B$17,Paramètres!$A$1:$I$89,3,0)*VLOOKUP('Données projet'!$B$17,Paramètres!$A$1:$I$89,5,0)</f>
        <v>157.59744000000001</v>
      </c>
      <c r="GB45" s="13">
        <f t="shared" si="79"/>
        <v>40.300135037830529</v>
      </c>
      <c r="GC45" s="20">
        <f t="shared" si="25"/>
        <v>344.67160985755481</v>
      </c>
      <c r="GD45" s="59">
        <f t="shared" si="26"/>
        <v>638.00494319088807</v>
      </c>
      <c r="GE45" s="59">
        <f ca="1">AVERAGE(OFFSET($GD$3,0,0,'Données projet'!$E$17+1,1))-AVERAGE(OFFSET($H$3,0,0,'Données projet'!$E$17+1,1))</f>
        <v>245.1983232777614</v>
      </c>
      <c r="GF45" s="59">
        <f t="shared" si="80"/>
        <v>242.34010522344573</v>
      </c>
      <c r="GG45" s="15">
        <f>IF(ISNA(VLOOKUP(A45,'Données projet'!$A$253:$I$273,3,0)),0,VLOOKUP(A45,'Données projet'!$A$253:$I$273,3,0))</f>
        <v>0</v>
      </c>
      <c r="GH45" s="15">
        <f>IF(ISNA(VLOOKUP(A45,'Données projet'!$A$253:$I$273,4,0)),0,VLOOKUP(A45,'Données projet'!$A$253:$I$273,4,0))</f>
        <v>0</v>
      </c>
      <c r="GI45" s="16">
        <f>IF(ISNA(VLOOKUP(A45,'Données projet'!$A$253:$I$273,5,0)),0%,VLOOKUP(A45,'Données projet'!$A$253:$I$273,5,0)*VLOOKUP('Données projet'!$B$17,Paramètres!$A$1:$I$89,7,0))</f>
        <v>0</v>
      </c>
      <c r="GJ45" s="16">
        <f>IF(ISNA(VLOOKUP(A45,'Données projet'!$A$253:$I$273,6,0)),0%,VLOOKUP(A45,'Données projet'!$A$253:$I$273,6,0)*VLOOKUP('Données projet'!$B$17,Paramètres!$A$1:$I$89,7,0))</f>
        <v>0</v>
      </c>
      <c r="GK45" s="16">
        <f>IF(ISNA(VLOOKUP(A45,'Données projet'!$A$253:$I$273,7,0)),0%,VLOOKUP(A45,'Données projet'!$A$253:$I$273,7,0))</f>
        <v>0</v>
      </c>
      <c r="GL45" s="21">
        <f>EXP(-LN(2)/35)*GL44+(1-EXP(-LN(2)/35))/(LN(2)/35)*GH45*GI45*VLOOKUP('Données projet'!$B$17,Paramètres!$A$1:$I$89,3,0)*0.475*44/12</f>
        <v>6.547360488399403</v>
      </c>
      <c r="GM45" s="21">
        <f>EXP(-LN(2)/25)*GM44+(1-EXP(-LN(2)/25))/(LN(2)/25)*Calculateur!GH45*Calculateur!GJ45*VLOOKUP('Données projet'!$B$17,Paramètres!$A$1:$I$89,3,0)*0.475*44/12</f>
        <v>11.288948692814985</v>
      </c>
      <c r="GN45" s="21">
        <f>EXP(-LN(2)/2)*GN44+(1-EXP(-LN(2)/2))/(LN(2)/2)*GH45*GK45*VLOOKUP('Données projet'!$B$17,Paramètres!$A$1:$I$89,3,0)*0.475*44/12</f>
        <v>0</v>
      </c>
      <c r="GO45" s="21">
        <f t="shared" si="27"/>
        <v>17.836309181214389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projet'!$A$279:$I$299,2,0)</f>
        <v>#N/A</v>
      </c>
      <c r="GS45" s="12" t="e">
        <f>VLOOKUP(A45,'Données projet'!$A$279:$I$299,9,0)</f>
        <v>#N/A</v>
      </c>
      <c r="GT45" s="12">
        <f t="array" ref="GT45">INDEX(GS:GS,MIN(IF(ISNUMBER(GS45:GS241),ROW(GS45:GS241),"")))</f>
        <v>19.2</v>
      </c>
      <c r="GU45" s="12">
        <f>IF('Données projet'!$A$280&gt;35,GU44+GT45-HC44,IF(A45&lt;'Données projet'!$A$280,$GR$205^A45,IF(A45='Données projet'!$A$280,'Données projet'!$B$280,GU44+GT45-HC44)))</f>
        <v>490.40000000000015</v>
      </c>
      <c r="GV45" s="17">
        <f>GU45*VLOOKUP('Données projet'!$B$18,Paramètres!$A$1:$I$89,3,0)*VLOOKUP('Données projet'!$B$18,Paramètres!$A$1:$I$89,5,0)</f>
        <v>197.63120000000009</v>
      </c>
      <c r="GW45" s="13">
        <f t="shared" si="81"/>
        <v>49.223216736286389</v>
      </c>
      <c r="GX45" s="20">
        <f t="shared" si="28"/>
        <v>429.9381091490323</v>
      </c>
      <c r="GY45" s="59">
        <f t="shared" si="29"/>
        <v>723.27144248236561</v>
      </c>
      <c r="GZ45" s="59">
        <f ca="1">AVERAGE(OFFSET($GY$3,0,0,'Données projet'!$E$18+1,1))-AVERAGE(OFFSET($H$3,0,0,'Données projet'!$E$18+1,1))</f>
        <v>324.36162935850876</v>
      </c>
      <c r="HA45" s="59">
        <f t="shared" si="82"/>
        <v>265.23571072429735</v>
      </c>
      <c r="HB45" s="15">
        <f>IF(ISNA(VLOOKUP(A45,'Données projet'!$A$279:$I$299,3,0)),0,VLOOKUP(A45,'Données projet'!$A$279:$I$299,3,0))</f>
        <v>0</v>
      </c>
      <c r="HC45" s="15">
        <f>IF(ISNA(VLOOKUP(A45,'Données projet'!$A$279:$I$299,4,0)),0,VLOOKUP(A45,'Données projet'!$A$279:$I$299,4,0))</f>
        <v>0</v>
      </c>
      <c r="HD45" s="16">
        <f>IF(ISNA(VLOOKUP(A45,'Données projet'!$A$279:$I$299,5,0)),0%,VLOOKUP(A45,'Données projet'!$A$279:$I$299,5,0)*VLOOKUP('Données projet'!$B$18,Paramètres!$A$1:$I$89,7,0))</f>
        <v>0</v>
      </c>
      <c r="HE45" s="16">
        <f>IF(ISNA(VLOOKUP(A45,'Données projet'!$A$279:$I$299,6,0)),0%,VLOOKUP(A45,'Données projet'!$A$279:$I$299,6,0)*VLOOKUP('Données projet'!$B$18,Paramètres!$A$1:$I$89,7,0))</f>
        <v>0</v>
      </c>
      <c r="HF45" s="16">
        <f>IF(ISNA(VLOOKUP($A45,'Données projet'!$A$279:$I$299,7,0)),0%,VLOOKUP($A45,'Données projet'!$A$279:$I$299,7,0))</f>
        <v>0</v>
      </c>
      <c r="HG45" s="21">
        <f>EXP(-LN(2)/35)*HG44+(1-EXP(-LN(2)/35))/(LN(2)/35)*HC45*HD45*VLOOKUP('Données projet'!$B$18,Paramètres!$A$1:$I$89,3,0)*0.475*44/12</f>
        <v>1.7970282032387337</v>
      </c>
      <c r="HH45" s="21">
        <f>EXP(-LN(2)/25)*HH44+(1-EXP(-LN(2)/25))/(LN(2)/25)*Calculateur!HC45*Calculateur!HE45*VLOOKUP('Données projet'!$B$18,Paramètres!$A$1:$I$89,3,0)*0.475*44/12</f>
        <v>8.3581018953010791</v>
      </c>
      <c r="HI45" s="21">
        <f>EXP(-LN(2)/2)*HI44+(1-EXP(-LN(2)/2))/(LN(2)/2)*HC45*HF45*VLOOKUP('Données projet'!$B$18,Paramètres!$A$1:$I$89,3,0)*0.475*44/12</f>
        <v>2.3609937212727314</v>
      </c>
      <c r="HJ45" s="22">
        <f t="shared" si="30"/>
        <v>12.516123819812544</v>
      </c>
      <c r="HK45" s="74">
        <f>('Scénario référence'!$F$8+'Scénario référence'!$F$9+'Scénario référence'!$B$17+'Scénario référence'!$B$9+'Scénario référence'!$B$10)*70+IF((45+25*(1-EXP(-0.0175*$A45)))&lt;70,'Scénario référence'!$B$16*(45+25*(1-EXP(-0.0175*$A45))),70*'Scénario référence'!$B$16)+IF((32+38*(1-EXP(-0.0175*$A45)))&lt;70,'Scénario référence'!$B$18*(32+38*(1-EXP(-0.0175*$A45))),70*'Scénario référence'!$B$18)</f>
        <v>70</v>
      </c>
      <c r="HL45" s="12">
        <f>IF($A45&gt;30,10,('Scénario référence'!$B$16+'Scénario référence'!$B$17+'Scénario référence'!$B$18+'Scénario référence'!$B$9+'Scénario référence'!$B$10)*$A45*10/30+('Scénario référence'!$F$8+'Scénario référence'!$F$9)*10)</f>
        <v>10</v>
      </c>
      <c r="HM45" s="12" t="e">
        <f>VLOOKUP($A45,'Données projet'!$A$304:$I$324,2,0)</f>
        <v>#N/A</v>
      </c>
      <c r="HN45" s="12" t="e">
        <f>VLOOKUP($A45,'Données projet'!$A$304:$I$324,9,0)</f>
        <v>#N/A</v>
      </c>
      <c r="HO45" s="12">
        <f t="array" ref="HO45">INDEX(HN:HN,MIN(IF(ISNUMBER(HN45:HN241),ROW(HN45:HN241),"")))</f>
        <v>0</v>
      </c>
      <c r="HP45" s="12">
        <f>IF('Données projet'!$A$304&gt;35,HP44+HO45-HX44,IF($A45&lt;'Données projet'!$A$304,$CQ$205^$A45,IF($A45='Données projet'!$A$304,'Données projet'!$B$304,HP44+HO45-HX44)))</f>
        <v>0</v>
      </c>
      <c r="HQ45" s="17">
        <f>HP45*VLOOKUP('Données projet'!$B$19,Paramètres!$A$1:$I$89,3,0)*VLOOKUP('Données projet'!$B$19,Paramètres!$A$1:$I$89,5,0)</f>
        <v>0</v>
      </c>
      <c r="HR45" s="13" t="e">
        <f t="shared" si="83"/>
        <v>#NUM!</v>
      </c>
      <c r="HS45" s="14" t="e">
        <f t="shared" si="31"/>
        <v>#NUM!</v>
      </c>
      <c r="HT45" s="59" t="e">
        <f t="shared" si="32"/>
        <v>#NUM!</v>
      </c>
      <c r="HU45" s="59">
        <f ca="1">AVERAGE(OFFSET(HT$3,0,0,'Données projet'!$E$19+1,1))-AVERAGE(OFFSET($H$3,0,0,'Données projet'!$E$19+1,1))</f>
        <v>91.60721429656013</v>
      </c>
      <c r="HV45" s="59">
        <f t="shared" si="84"/>
        <v>258.94957804210856</v>
      </c>
      <c r="HW45" s="15">
        <f>IF(ISNA(VLOOKUP($A45,'Données projet'!$A$304:$I$324,3,0)),0,VLOOKUP($A45,'Données projet'!$A$304:$I$324,3,0))</f>
        <v>0</v>
      </c>
      <c r="HX45" s="15">
        <f>IF(ISNA(VLOOKUP($A45,'Données projet'!$A$304:$I$324,4,0)),0,VLOOKUP($A45,'Données projet'!$A$304:$I$324,4,0))</f>
        <v>0</v>
      </c>
      <c r="HY45" s="16">
        <f>IF(ISNA(VLOOKUP($A45,'Données projet'!$A$304:$I$324,5,0)),0%,VLOOKUP($A45,'Données projet'!$A$304:$I$324,5,0)*VLOOKUP('Données projet'!$B$19,Paramètres!$A$1:$I$89,7,0))</f>
        <v>0</v>
      </c>
      <c r="HZ45" s="16">
        <f>IF(ISNA(VLOOKUP($A45,'Données projet'!$A$304:$I$324,6,0)),0%,VLOOKUP($A45,'Données projet'!$A$304:$I$324,6,0)*VLOOKUP('Données projet'!$B$19,Paramètres!$A$1:$I$89,7,0))</f>
        <v>0</v>
      </c>
      <c r="IA45" s="16">
        <f>IF(ISNA(VLOOKUP($A45,'Données projet'!$A$304:$I$324,7,0)),0%,VLOOKUP($A45,'Données projet'!$A$304:$I$324,7,0))</f>
        <v>0</v>
      </c>
      <c r="IB45" s="21">
        <f>EXP(-LN(2)/35)*IB44+(1-EXP(-LN(2)/35))/(LN(2)/35)*HX45*HY45*VLOOKUP('Données projet'!$B$19,Paramètres!$A$1:$I$89,3,0)*0.475*44/12</f>
        <v>38.897764488588138</v>
      </c>
      <c r="IC45" s="21">
        <f>EXP(-LN(2)/25)*IC44+(1-EXP(-LN(2)/25))/(LN(2)/25)*Calculateur!HX45*Calculateur!HZ45*VLOOKUP('Données projet'!$B$19,Paramètres!$A$1:$I$89,3,0)*0.475*44/12</f>
        <v>6.9745623592571757</v>
      </c>
      <c r="ID45" s="21">
        <f>EXP(-LN(2)/2)*ID44+(1-EXP(-LN(2)/2))/(LN(2)/2)*HX45*IA45*VLOOKUP('Données projet'!$B$19,Paramètres!$A$1:$I$89,3,0)*0.475*44/12</f>
        <v>8.9508173709996492E-3</v>
      </c>
      <c r="IE45" s="22">
        <f t="shared" si="33"/>
        <v>45.881277665216317</v>
      </c>
      <c r="IF45" s="74">
        <f>('Scénario référence'!$F$8+'Scénario référence'!$F$9+'Scénario référence'!$B$17+'Scénario référence'!$B$9+'Scénario référence'!$B$10)*70+IF((45+25*(1-EXP(-0.0175*$A45)))&lt;70,'Scénario référence'!$B$16*(45+25*(1-EXP(-0.0175*$A45))),70*'Scénario référence'!$B$16)+IF((32+38*(1-EXP(-0.0175*$A45)))&lt;70,'Scénario référence'!$B$18*(32+38*(1-EXP(-0.0175*$A45))),70*'Scénario référence'!$B$18)</f>
        <v>70</v>
      </c>
      <c r="IG45" s="12">
        <f>IF($A45&gt;30,10,('Scénario référence'!$B$16+'Scénario référence'!$B$17+'Scénario référence'!$B$18+'Scénario référence'!$B$9+'Scénario référence'!$B$10)*$A45*10/30+('Scénario référence'!$F$8+'Scénario référence'!$F$9)*10)</f>
        <v>10</v>
      </c>
      <c r="IH45" s="12" t="e">
        <f>VLOOKUP($A45,'Données projet'!$A$330:$I$350,2,0)</f>
        <v>#N/A</v>
      </c>
      <c r="II45" s="12" t="e">
        <f>VLOOKUP($A45,'Données projet'!$A$330:$I$350,9,0)</f>
        <v>#N/A</v>
      </c>
      <c r="IJ45" s="12">
        <f t="array" ref="IJ45">INDEX(II:II,MIN(IF(ISNUMBER(II45:II241),ROW(II45:II241),"")))</f>
        <v>0</v>
      </c>
      <c r="IK45" s="12">
        <f>IF('Données projet'!$A$330&gt;35,IK44+IJ45-IS44,IF($A45&lt;'Données projet'!$A$330,$CQ$205^$A45,IF($A45='Données projet'!$A$330,'Données projet'!$B$330,IK44+IJ45-IS44)))</f>
        <v>0</v>
      </c>
      <c r="IL45" s="17">
        <f>IK45*VLOOKUP('Données projet'!$B$20,Paramètres!$A$1:$I$89,3,0)*VLOOKUP('Données projet'!$B$20,Paramètres!$A$1:$I$89,5,0)</f>
        <v>0</v>
      </c>
      <c r="IM45" s="13" t="e">
        <f t="shared" si="85"/>
        <v>#NUM!</v>
      </c>
      <c r="IN45" s="20" t="e">
        <f t="shared" si="86"/>
        <v>#NUM!</v>
      </c>
      <c r="IO45" s="59" t="e">
        <f t="shared" si="87"/>
        <v>#NUM!</v>
      </c>
      <c r="IP45" s="59">
        <f ca="1">AVERAGE(OFFSET(IO$3,0,0,'Données projet'!$E$20+1,1))-AVERAGE(OFFSET($H$3,0,0,'Données projet'!$E$20+1,1))</f>
        <v>91.60721429656013</v>
      </c>
      <c r="IQ45" s="59">
        <f t="shared" si="88"/>
        <v>258.94957804210856</v>
      </c>
      <c r="IR45" s="15">
        <f>IF(ISNA(VLOOKUP($A45,'Données projet'!$A$330:$I$350,3,0)),0,VLOOKUP($A45,'Données projet'!$A$330:$I$350,3,0))</f>
        <v>0</v>
      </c>
      <c r="IS45" s="15">
        <f>IF(ISNA(VLOOKUP($A45,'Données projet'!$A$330:$I$350,4,0)),0,VLOOKUP($A45,'Données projet'!$A$330:$I$350,4,0))</f>
        <v>0</v>
      </c>
      <c r="IT45" s="16">
        <f>IF(ISNA(VLOOKUP($A45,'Données projet'!$A$330:$I$350,5,0)),0%,VLOOKUP($A45,'Données projet'!$A$330:$I$350,5,0)*VLOOKUP('Données projet'!$B$20,Paramètres!$A$1:$I$89,7,0))</f>
        <v>0</v>
      </c>
      <c r="IU45" s="16">
        <f>IF(ISNA(VLOOKUP($A45,'Données projet'!$A$330:$I$350,6,0)),0%,VLOOKUP($A45,'Données projet'!$A$330:$I$350,6,0)*VLOOKUP('Données projet'!$B$20,Paramètres!$A$1:$I$89,7,0))</f>
        <v>0</v>
      </c>
      <c r="IV45" s="16">
        <f>IF(ISNA(VLOOKUP($A45,'Données projet'!$A$330:$I$350,7,0)),0%,VLOOKUP($A45,'Données projet'!$A$330:$I$350,7,0))</f>
        <v>0</v>
      </c>
      <c r="IW45" s="21">
        <f>EXP(-LN(2)/35)*IW44+(1-EXP(-LN(2)/35))/(LN(2)/35)*IS45*IT45*VLOOKUP('Données projet'!$B$20,Paramètres!$A$1:$I$89,3,0)*0.475*44/12</f>
        <v>38.897764488588138</v>
      </c>
      <c r="IX45" s="21">
        <f>EXP(-LN(2)/25)*IX44+(1-EXP(-LN(2)/25))/(LN(2)/25)*Calculateur!IS45*Calculateur!IU45*VLOOKUP('Données projet'!$B$20,Paramètres!$A$1:$I$89,3,0)*0.475*44/12</f>
        <v>6.9745623592571757</v>
      </c>
      <c r="IY45" s="21">
        <f>EXP(-LN(2)/2)*IY44+(1-EXP(-LN(2)/2))/(LN(2)/2)*IS45*IV45*VLOOKUP('Données projet'!$B$20,Paramètres!$A$1:$I$89,3,0)*0.475*44/12</f>
        <v>8.9508173709996492E-3</v>
      </c>
      <c r="IZ45" s="22">
        <f t="shared" si="89"/>
        <v>45.881277665216317</v>
      </c>
      <c r="JA45" s="74">
        <f>('Scénario référence'!$F$8+'Scénario référence'!$F$9+'Scénario référence'!$B$17+'Scénario référence'!$B$9+'Scénario référence'!$B$10)*70+IF((45+25*(1-EXP(-0.0175*$A45)))&lt;70,'Scénario référence'!$B$16*(45+25*(1-EXP(-0.0175*$A45))),70*'Scénario référence'!$B$16)+IF((32+38*(1-EXP(-0.0175*$A45)))&lt;70,'Scénario référence'!$B$18*(32+38*(1-EXP(-0.0175*$A45))),70*'Scénario référence'!$B$18)</f>
        <v>70</v>
      </c>
      <c r="JB45" s="12">
        <f>IF($A45&gt;30,10,('Scénario référence'!$B$16+'Scénario référence'!$B$17+'Scénario référence'!$B$18+'Scénario référence'!$B$9+'Scénario référence'!$B$10)*$A45*10/30+('Scénario référence'!$F$8+'Scénario référence'!$F$9)*10)</f>
        <v>10</v>
      </c>
      <c r="JC45" s="12" t="e">
        <f>VLOOKUP($A45,'Données projet'!$A$356:$I$376,2,0)</f>
        <v>#N/A</v>
      </c>
      <c r="JD45" s="12" t="e">
        <f>VLOOKUP($A45,'Données projet'!$A$356:$I$376,9,0)</f>
        <v>#N/A</v>
      </c>
      <c r="JE45" s="12">
        <f t="array" ref="JE45">INDEX(JD:JD,MIN(IF(ISNUMBER(JD45:JD241),ROW(JD45:JD241),"")))</f>
        <v>11</v>
      </c>
      <c r="JF45" s="12">
        <f>IF('Données projet'!$A$356&gt;35,JF44+JE45-JN44,IF($A45&lt;'Données projet'!$A$356,$CQ$205^$A45,IF($A45='Données projet'!$A$356,'Données projet'!$B$356,JF44+JE45-JN44)))</f>
        <v>157.00000000000009</v>
      </c>
      <c r="JG45" s="17">
        <f>JF45*VLOOKUP('Données projet'!$B$21,Paramètres!$A$1:$I$89,3,0)*VLOOKUP('Données projet'!$B$21,Paramètres!$A$1:$I$89,5,0)</f>
        <v>127.35840000000007</v>
      </c>
      <c r="JH45" s="13">
        <f t="shared" si="90"/>
        <v>33.385235744403317</v>
      </c>
      <c r="JI45" s="20">
        <f t="shared" si="91"/>
        <v>279.96183225483588</v>
      </c>
      <c r="JJ45" s="59">
        <f t="shared" si="92"/>
        <v>573.2951655881692</v>
      </c>
      <c r="JK45" s="59">
        <f ca="1">AVERAGE(OFFSET($JJ$3,0,0,'Données projet'!$E$22+1,1))-AVERAGE(OFFSET($H$3,0,0,'Données projet'!$E$22+1,1))</f>
        <v>353.35574633294613</v>
      </c>
      <c r="JL45" s="59">
        <f t="shared" si="93"/>
        <v>170.36796666474726</v>
      </c>
      <c r="JM45" s="15">
        <f>IF(ISNA(VLOOKUP($A45,'Données projet'!$A$356:$I$376,3,0)),0,VLOOKUP($A45,'Données projet'!$A$356:$I$376,3,0))</f>
        <v>0</v>
      </c>
      <c r="JN45" s="15">
        <f>IF(ISNA(VLOOKUP($A45,'Données projet'!$A$356:$I$376,4,0)),0,VLOOKUP($A45,'Données projet'!$A$356:$I$376,4,0))</f>
        <v>0</v>
      </c>
      <c r="JO45" s="16">
        <f>IF(ISNA(VLOOKUP($A45,'Données projet'!$A$356:$I$376,5,0)),0%,VLOOKUP($A45,'Données projet'!$A$356:$I$376,5,0)*VLOOKUP('Données projet'!$B$21,Paramètres!$A$1:$I$89,7,0))</f>
        <v>0</v>
      </c>
      <c r="JP45" s="16">
        <f>IF(ISNA(VLOOKUP($A45,'Données projet'!$A$356:$I$376,6,0)),0%,VLOOKUP($A45,'Données projet'!$A$356:$I$376,6,0)*VLOOKUP('Données projet'!$B$21,Paramètres!$A$1:$I$89,7,0))</f>
        <v>0</v>
      </c>
      <c r="JQ45" s="16">
        <f>IF(ISNA(VLOOKUP($A45,'Données projet'!$A$356:$I$376,7,0)),0%,VLOOKUP($A45,'Données projet'!$A$356:$I$376,7,0))</f>
        <v>0</v>
      </c>
      <c r="JR45" s="21">
        <f>EXP(-LN(2)/35)*JR44+(1-EXP(-LN(2)/35))/(LN(2)/35)*JN45*JO45*VLOOKUP('Données projet'!$B$21,Paramètres!$A$1:$I$89,3,0)*0.475*44/12</f>
        <v>0</v>
      </c>
      <c r="JS45" s="21">
        <f>EXP(-LN(2)/25)*JS44+(1-EXP(-LN(2)/25))/(LN(2)/25)*Calculateur!JN45*Calculateur!JP45*VLOOKUP('Données projet'!$B$21,Paramètres!$A$1:$I$89,3,0)*0.475*44/12</f>
        <v>1.9031597039816821</v>
      </c>
      <c r="JT45" s="21">
        <f>EXP(-LN(2)/2)*JT44+(1-EXP(-LN(2)/2))/(LN(2)/2)*JN45*JQ45*VLOOKUP('Données projet'!$B$21,Paramètres!$A$1:$I$89,3,0)*0.475*44/12</f>
        <v>3.8833636140842525</v>
      </c>
      <c r="JU45" s="18">
        <f t="shared" si="39"/>
        <v>5.7865233180659343</v>
      </c>
      <c r="JV45" s="74">
        <f>('Scénario référence'!$F$8+'Scénario référence'!$F$9+'Scénario référence'!$B$17+'Scénario référence'!$B$9+'Scénario référence'!$B$10)*70+IF((45+25*(1-EXP(-0.0175*$A45)))&lt;70,'Scénario référence'!$B$16*(45+25*(1-EXP(-0.0175*$A45))),70*'Scénario référence'!$B$16)+IF((32+38*(1-EXP(-0.0175*$A45)))&lt;70,'Scénario référence'!$B$18*(32+38*(1-EXP(-0.0175*$A45))),70*'Scénario référence'!$B$18)</f>
        <v>70</v>
      </c>
      <c r="JW45" s="12">
        <f>IF($A45&gt;30,10,('Scénario référence'!$B$16+'Scénario référence'!$B$17+'Scénario référence'!$B$18+'Scénario référence'!$B$9+'Scénario référence'!$B$10)*$A45*10/30+('Scénario référence'!$F$8+'Scénario référence'!$F$9)*10)</f>
        <v>10</v>
      </c>
      <c r="JX45" s="12" t="e">
        <f>VLOOKUP($A45,'Données projet'!$A$382:$I$402,2,0)</f>
        <v>#N/A</v>
      </c>
      <c r="JY45" s="12" t="e">
        <f>VLOOKUP($A45,'Données projet'!$A$382:$I$402,9,0)</f>
        <v>#N/A</v>
      </c>
      <c r="JZ45" s="12">
        <f t="array" ref="JZ45">INDEX(JY:JY,MIN(IF(ISNUMBER(JY45:JY241),ROW(JY45:JY241),"")))</f>
        <v>9.3452380952380913</v>
      </c>
      <c r="KA45" s="12">
        <f>IF('Données projet'!$A$382&gt;35,KA44+JZ45-KI44,IF($A45&lt;'Données projet'!$A$382,$CQ$205^$A45,IF($A45='Données projet'!$A$382,'Données projet'!$B$382,KA44+JZ45-KI44)))</f>
        <v>128.28113553113553</v>
      </c>
      <c r="KB45" s="17">
        <f>KA45*VLOOKUP('Données projet'!$B$22,Paramètres!$A$1:$I$89,3,0)*VLOOKUP('Données projet'!$B$22,Paramètres!$A$1:$I$89,5,0)</f>
        <v>86.050985714285716</v>
      </c>
      <c r="KC45" s="13">
        <f t="shared" si="94"/>
        <v>23.610345020675105</v>
      </c>
      <c r="KD45" s="20">
        <f t="shared" si="95"/>
        <v>190.99348436339008</v>
      </c>
      <c r="KE45" s="59">
        <f t="shared" si="96"/>
        <v>484.32681769672342</v>
      </c>
      <c r="KF45" s="59">
        <f ca="1">AVERAGE(OFFSET($KE$3,0,0,'Données projet'!$E$22+1,1))-AVERAGE(OFFSET($H$3,0,0,'Données projet'!$E$22+1,1))</f>
        <v>193.91714772848269</v>
      </c>
      <c r="KG45" s="59">
        <f t="shared" si="97"/>
        <v>159.20429420478047</v>
      </c>
      <c r="KH45" s="15">
        <f>IF(ISNA(VLOOKUP($A45,'Données projet'!$A$382:$I$402,3,0)),0,VLOOKUP($A45,'Données projet'!$A$382:$I$402,3,0))</f>
        <v>0</v>
      </c>
      <c r="KI45" s="15">
        <f>IF(ISNA(VLOOKUP($A45,'Données projet'!$A$382:$I$402,4,0)),0,VLOOKUP($A45,'Données projet'!$A$382:$I$402,4,0))</f>
        <v>0</v>
      </c>
      <c r="KJ45" s="16">
        <f>IF(ISNA(VLOOKUP($A45,'Données projet'!$A$382:$I$402,5,0)),0%,VLOOKUP($A45,'Données projet'!$A$382:$I$402,5,0)*VLOOKUP('Données projet'!$B$22,Paramètres!$A$1:$I$89,7,0))</f>
        <v>0</v>
      </c>
      <c r="KK45" s="16">
        <f>IF(ISNA(VLOOKUP($A45,'Données projet'!$A$382:$I$402,6,0)),0%,VLOOKUP($A45,'Données projet'!$A$382:$I$402,6,0)*VLOOKUP('Données projet'!$B$22,Paramètres!$A$1:$I$89,7,0))</f>
        <v>0</v>
      </c>
      <c r="KL45" s="16">
        <f>IF(ISNA(VLOOKUP($A45,'Données projet'!$A$382:$I$402,7,0)),0%,VLOOKUP($A45,'Données projet'!$A$382:$I$402,7,0))</f>
        <v>0</v>
      </c>
      <c r="KM45" s="21">
        <f>EXP(-LN(2)/35)*KM44+(1-EXP(-LN(2)/35))/(LN(2)/35)*KI45*KJ45*VLOOKUP('Données projet'!$B$22,Paramètres!$A$1:$I$89,3,0)*0.475*44/12</f>
        <v>0</v>
      </c>
      <c r="KN45" s="21">
        <f>EXP(-LN(2)/25)*KN44+(1-EXP(-LN(2)/25))/(LN(2)/25)*Calculateur!KI45*Calculateur!KK45*VLOOKUP('Données projet'!$B$22,Paramètres!$A$1:$I$89,3,0)*0.475*44/12</f>
        <v>0</v>
      </c>
      <c r="KO45" s="21">
        <f>EXP(-LN(2)/2)*KO44+(1-EXP(-LN(2)/2))/(LN(2)/2)*KI45*KL45*VLOOKUP('Données projet'!$B$22,Paramètres!$A$1:$I$89,3,0)*0.475*44/12</f>
        <v>0</v>
      </c>
      <c r="KP45" s="22">
        <f t="shared" si="98"/>
        <v>0</v>
      </c>
      <c r="KQ45" s="74">
        <f>('Scénario référence'!$F$8+'Scénario référence'!$F$9+'Scénario référence'!$B$17+'Scénario référence'!$B$9+'Scénario référence'!$B$10)*70+IF((45+25*(1-EXP(-0.0175*$A45)))&lt;70,'Scénario référence'!$B$16*(45+25*(1-EXP(-0.0175*$A45))),70*'Scénario référence'!$B$16)+IF((32+38*(1-EXP(-0.0175*$A45)))&lt;70,'Scénario référence'!$B$18*(32+38*(1-EXP(-0.0175*$A45))),70*'Scénario référence'!$B$18)</f>
        <v>70</v>
      </c>
      <c r="KR45" s="12">
        <f>IF($A45&gt;30,10,('Scénario référence'!$B$16+'Scénario référence'!$B$17+'Scénario référence'!$B$18+'Scénario référence'!$B$9+'Scénario référence'!$B$10)*$A45*10/30+('Scénario référence'!$F$8+'Scénario référence'!$F$9)*10)</f>
        <v>10</v>
      </c>
      <c r="KS45" s="12" t="e">
        <f>VLOOKUP($A45,'Données projet'!$A$408:$I$428,2,0)</f>
        <v>#N/A</v>
      </c>
      <c r="KT45" s="12" t="e">
        <f>VLOOKUP($A45,'Données projet'!$A$408:$I$428,9,0)</f>
        <v>#N/A</v>
      </c>
      <c r="KU45" s="12">
        <f t="array" ref="KU45">INDEX(KT:KT,MIN(IF(ISNUMBER(KT45:KT241),ROW(KT45:KT241),"")))</f>
        <v>8.1999999999999993</v>
      </c>
      <c r="KV45" s="12">
        <f>IF('Données projet'!$A$408&gt;35,KV44+KU45-LD44,IF($A45&lt;'Données projet'!$A$408,$CQ$205^$A45,IF($A45='Données projet'!$A$408,'Données projet'!$B$408,KV44+KU45-LD44)))</f>
        <v>180.4</v>
      </c>
      <c r="KW45" s="17">
        <f>KV45*VLOOKUP('Données projet'!$B$23,Paramètres!$A$1:$I$89,3,0)*VLOOKUP('Données projet'!$B$23,Paramètres!$A$1:$I$89,5,0)</f>
        <v>157.59744000000003</v>
      </c>
      <c r="KX45" s="13">
        <f t="shared" si="99"/>
        <v>40.300135037830529</v>
      </c>
      <c r="KY45" s="14">
        <f t="shared" si="43"/>
        <v>344.67160985755487</v>
      </c>
      <c r="KZ45" s="59">
        <f t="shared" si="44"/>
        <v>638.00494319088818</v>
      </c>
      <c r="LA45" s="59">
        <f ca="1">AVERAGE(OFFSET($KZ$3,0,0,'Données projet'!$E$23+1,1))-AVERAGE(OFFSET($H$3,0,0,'Données projet'!$E$23+1,1))</f>
        <v>248.33596943633819</v>
      </c>
      <c r="LB45" s="59">
        <f t="shared" si="100"/>
        <v>242.34010522344573</v>
      </c>
      <c r="LC45" s="15">
        <f>IF(ISNA(VLOOKUP($A45,'Données projet'!$A$408:$I$428,3,0)),0,VLOOKUP($A45,'Données projet'!$A$408:$I$428,3,0))</f>
        <v>0</v>
      </c>
      <c r="LD45" s="15">
        <f>IF(ISNA(VLOOKUP($A45,'Données projet'!$A$408:$I$428,4,0)),0,VLOOKUP($A45,'Données projet'!$A$408:$I$428,4,0))</f>
        <v>0</v>
      </c>
      <c r="LE45" s="16">
        <f>IF(ISNA(VLOOKUP($A45,'Données projet'!$A$408:$I$428,5,0)),0%,VLOOKUP($A45,'Données projet'!$A$408:$I$428,5,0)*VLOOKUP('Données projet'!$B$23,Paramètres!$A$1:$I$89,7,0))</f>
        <v>0</v>
      </c>
      <c r="LF45" s="16">
        <f>IF(ISNA(VLOOKUP($A45,'Données projet'!$A$408:$I$428,6,0)),0%,VLOOKUP($A45,'Données projet'!$A$408:$I$428,6,0)*VLOOKUP('Données projet'!$B$23,Paramètres!$A$1:$I$89,7,0))</f>
        <v>0</v>
      </c>
      <c r="LG45" s="16">
        <f>IF(ISNA(VLOOKUP($A45,'Données projet'!$A$408:$I$428,7,0)),0%,VLOOKUP($A45,'Données projet'!$A$408:$I$428,7,0))</f>
        <v>0</v>
      </c>
      <c r="LH45" s="21">
        <f>EXP(-LN(2)/35)*LH44+(1-EXP(-LN(2)/35))/(LN(2)/35)*LD45*LE45*VLOOKUP('Données projet'!$B$23,Paramètres!$A$1:$I$89,3,0)*0.475*44/12</f>
        <v>6.547360488399403</v>
      </c>
      <c r="LI45" s="21">
        <f>EXP(-LN(2)/25)*LI44+(1-EXP(-LN(2)/25))/(LN(2)/25)*Calculateur!LD45*Calculateur!LF45*VLOOKUP('Données projet'!$B$23,Paramètres!$A$1:$I$89,3,0)*0.475*44/12</f>
        <v>11.288948692814985</v>
      </c>
      <c r="LJ45" s="21">
        <f>EXP(-LN(2)/2)*LJ44+(1-EXP(-LN(2)/2))/(LN(2)/2)*LD45*LG45*VLOOKUP('Données projet'!$B$23,Paramètres!$A$1:$I$89,3,0)*0.475*44/12</f>
        <v>0</v>
      </c>
      <c r="LK45" s="22">
        <f t="shared" si="101"/>
        <v>17.836309181214389</v>
      </c>
      <c r="LL45" s="74">
        <f>('Scénario référence'!$F$8+'Scénario référence'!$F$9+'Scénario référence'!$B$17+'Scénario référence'!$B$9+'Scénario référence'!$B$10)*70+IF((45+25*(1-EXP(-0.0175*$A45)))&lt;70,'Scénario référence'!$B$16*(45+25*(1-EXP(-0.0175*$A45))),70*'Scénario référence'!$B$16)+IF((32+38*(1-EXP(-0.0175*$A45)))&lt;70,'Scénario référence'!$B$18*(32+38*(1-EXP(-0.0175*$A45))),70*'Scénario référence'!$B$18)</f>
        <v>70</v>
      </c>
      <c r="LM45" s="12">
        <f>IF($A45&gt;30,10,('Scénario référence'!$B$16+'Scénario référence'!$B$17+'Scénario référence'!$B$18+'Scénario référence'!$B$9+'Scénario référence'!$B$10)*$A45*10/30+('Scénario référence'!$F$8+'Scénario référence'!$F$9)*10)</f>
        <v>10</v>
      </c>
      <c r="LN45" s="12" t="e">
        <f>VLOOKUP($A45,'Données projet'!$A$434:$I$454,2,0)</f>
        <v>#N/A</v>
      </c>
      <c r="LO45" s="12" t="e">
        <f>VLOOKUP($A45,'Données projet'!$A$434:$I$454,9,0)</f>
        <v>#N/A</v>
      </c>
      <c r="LP45" s="12">
        <f t="array" ref="LP45">INDEX(LO:LO,MIN(IF(ISNUMBER(LO45:LO241),ROW(LO45:LO241),"")))</f>
        <v>5.3369963369963358</v>
      </c>
      <c r="LQ45" s="12">
        <f>IF('Données projet'!$A$434&gt;35,LQ44+LP45-LY44,IF($A45&lt;'Données projet'!$A$434,$CQ$205^$A45,IF($A45='Données projet'!$A$434,'Données projet'!$B$434,LQ44+LP45-LY44)))</f>
        <v>151.74908424908421</v>
      </c>
      <c r="LR45" s="17">
        <f>LQ45*VLOOKUP('Données projet'!$B$24,Paramètres!$A$1:$I$89,3,0)*VLOOKUP('Données projet'!$B$24,Paramètres!$A$1:$I$89,5,0)</f>
        <v>153.87357142857138</v>
      </c>
      <c r="LS45" s="13">
        <f t="shared" si="102"/>
        <v>39.457558153305143</v>
      </c>
      <c r="LT45" s="14">
        <f t="shared" si="46"/>
        <v>336.71838402176826</v>
      </c>
      <c r="LU45" s="59">
        <f t="shared" si="103"/>
        <v>630.05171735510157</v>
      </c>
      <c r="LV45" s="59">
        <f ca="1">AVERAGE(OFFSET($LU$3,0,0,'Données projet'!$E$24+1,1))-AVERAGE(OFFSET($H$3,0,0,'Données projet'!$E$24+1,1))</f>
        <v>260.52627655062872</v>
      </c>
      <c r="LW45" s="59">
        <f t="shared" si="104"/>
        <v>159.20429420478047</v>
      </c>
      <c r="LX45" s="15">
        <f>IF(ISNA(VLOOKUP($A45,'Données projet'!$A$434:$I$454,3,0)),0,VLOOKUP($A45,'Données projet'!$A$434:$I$454,3,0))</f>
        <v>0</v>
      </c>
      <c r="LY45" s="15">
        <f>IF(ISNA(VLOOKUP($A45,'Données projet'!$A$434:$I$454,4,0)),0,VLOOKUP($A45,'Données projet'!$A$434:$I$454,4,0))</f>
        <v>0</v>
      </c>
      <c r="LZ45" s="16">
        <f>IF(ISNA(VLOOKUP($A45,'Données projet'!$A$434:$I$454,5,0)),0%,VLOOKUP($A45,'Données projet'!$A$434:$I$454,5,0)*VLOOKUP('Données projet'!$B$24,Paramètres!$A$1:$I$89,7,0))</f>
        <v>0</v>
      </c>
      <c r="MA45" s="16">
        <f>IF(ISNA(VLOOKUP($A45,'Données projet'!$A$434:$I$454,6,0)),0%,VLOOKUP($A45,'Données projet'!$A$434:$I$454,6,0)*VLOOKUP('Données projet'!$B$24,Paramètres!$A$1:$I$89,7,0))</f>
        <v>0</v>
      </c>
      <c r="MB45" s="16">
        <f>IF(ISNA(VLOOKUP($A45,'Données projet'!$A$434:$I$454,7,0)),0%,VLOOKUP($A45,'Données projet'!$A$434:$I$454,7,0))</f>
        <v>0</v>
      </c>
      <c r="MC45" s="21">
        <f>EXP(-LN(2)/35)*MC44+(1-EXP(-LN(2)/35))/(LN(2)/35)*LY45*LZ45*VLOOKUP('Données projet'!$B$24,Paramètres!$A$1:$I$89,3,0)*0.475*44/12</f>
        <v>0</v>
      </c>
      <c r="MD45" s="21">
        <f>EXP(-LN(2)/25)*MD44+(1-EXP(-LN(2)/25))/(LN(2)/25)*Calculateur!LY45*Calculateur!MA45*VLOOKUP('Données projet'!$B$24,Paramètres!$A$1:$I$89,3,0)*0.475*44/12</f>
        <v>0</v>
      </c>
      <c r="ME45" s="21">
        <f>EXP(-LN(2)/2)*ME44+(1-EXP(-LN(2)/2))/(LN(2)/2)*LY45*MB45*VLOOKUP('Données projet'!$B$24,Paramètres!$A$1:$I$89,3,0)*0.475*44/12</f>
        <v>0</v>
      </c>
      <c r="MF45" s="22">
        <f t="shared" si="105"/>
        <v>0</v>
      </c>
      <c r="MG45" s="74">
        <f>('Scénario référence'!$F$8+'Scénario référence'!$F$9+'Scénario référence'!$B$17+'Scénario référence'!$B$9+'Scénario référence'!$B$10)*70+IF((45+25*(1-EXP(-0.0175*$A45)))&lt;70,'Scénario référence'!$B$16*(45+25*(1-EXP(-0.0175*$A45))),70*'Scénario référence'!$B$16)+IF((32+38*(1-EXP(-0.0175*$A45)))&lt;70,'Scénario référence'!$B$18*(32+38*(1-EXP(-0.0175*$A45))),70*'Scénario référence'!$B$18)</f>
        <v>70</v>
      </c>
      <c r="MH45" s="12">
        <f>IF($A45&gt;30,10,('Scénario référence'!$B$16+'Scénario référence'!$B$17+'Scénario référence'!$B$18+'Scénario référence'!$B$9+'Scénario référence'!$B$10)*$A45*10/30+('Scénario référence'!$F$8+'Scénario référence'!$F$9)*10)</f>
        <v>10</v>
      </c>
      <c r="MI45" s="12" t="e">
        <f>VLOOKUP($A45,'Données projet'!$A$460:$I$480,2,0)</f>
        <v>#N/A</v>
      </c>
      <c r="MJ45" s="12" t="e">
        <f>VLOOKUP($A45,'Données projet'!$A$460:$I$480,9,0)</f>
        <v>#N/A</v>
      </c>
      <c r="MK45" s="12">
        <f t="array" ref="MK45">INDEX(MJ:MJ,MIN(IF(ISNUMBER(MJ45:MJ241),ROW(MJ45:MJ241),"")))</f>
        <v>0</v>
      </c>
      <c r="ML45" s="12">
        <f>IF('Données projet'!$A$460&gt;35,ML44+MK45-MT44,IF($A45&lt;'Données projet'!$A$460,$CQ$205^$A45,IF($A45='Données projet'!$A$460,'Données projet'!$B$460,ML44+MK45-MT44)))</f>
        <v>0</v>
      </c>
      <c r="MM45" s="17" t="e">
        <f>ML45*VLOOKUP('Données projet'!$B$25,Paramètres!$A$1:$I$89,3,0)*VLOOKUP('Données projet'!$B$25,Paramètres!$A$1:$I$89,5,0)</f>
        <v>#N/A</v>
      </c>
      <c r="MN45" s="13" t="e">
        <f t="shared" si="106"/>
        <v>#N/A</v>
      </c>
      <c r="MO45" s="14" t="e">
        <f t="shared" si="49"/>
        <v>#N/A</v>
      </c>
      <c r="MP45" s="59" t="e">
        <f t="shared" si="50"/>
        <v>#N/A</v>
      </c>
      <c r="MQ45" s="20" t="e">
        <f ca="1">AVERAGE(OFFSET($MP$3,0,0,'Données projet'!$E$25+1,1))-AVERAGE(OFFSET($H$3,0,0,'Données projet'!$E$25+1,1))</f>
        <v>#N/A</v>
      </c>
      <c r="MR45" s="59" t="e">
        <f t="shared" si="107"/>
        <v>#N/A</v>
      </c>
      <c r="MS45" s="15">
        <f>IF(ISNA(VLOOKUP($A45,'Données projet'!$A$460:$I$480,3,0)),0,VLOOKUP($A45,'Données projet'!$A$460:$I$480,3,0))</f>
        <v>0</v>
      </c>
      <c r="MT45" s="15">
        <f>IF(ISNA(VLOOKUP($A45,'Données projet'!$A$460:$I$480,4,0)),0,VLOOKUP($A45,'Données projet'!$A$460:$I$480,4,0))</f>
        <v>0</v>
      </c>
      <c r="MU45" s="16">
        <f>IF(ISNA(VLOOKUP($A45,'Données projet'!$A$460:$I$480,5,0)),0%,VLOOKUP($A45,'Données projet'!$A$460:$I$480,5,0)*VLOOKUP('Données projet'!$B$25,Paramètres!$A$1:$I$89,7,0))</f>
        <v>0</v>
      </c>
      <c r="MV45" s="16">
        <f>IF(ISNA(VLOOKUP($A45,'Données projet'!$A$460:$I$480,6,0)),0%,VLOOKUP($A45,'Données projet'!$A$460:$I$480,6,0)*VLOOKUP('Données projet'!$B$25,Paramètres!$A$1:$I$89,7,0))</f>
        <v>0</v>
      </c>
      <c r="MW45" s="16">
        <f>IF(ISNA(VLOOKUP($A45,'Données projet'!$A$460:$I$480,7,0)),0%,VLOOKUP($A45,'Données projet'!$A$460:$I$480,7,0))</f>
        <v>0</v>
      </c>
      <c r="MX45" s="21" t="e">
        <f>EXP(-LN(2)/35)*MX44+(1-EXP(-LN(2)/35))/(LN(2)/35)*MT45*MU45*VLOOKUP('Données projet'!$B$25,Paramètres!$A$1:$I$89,3,0)*0.475*44/12</f>
        <v>#N/A</v>
      </c>
      <c r="MY45" s="21" t="e">
        <f>EXP(-LN(2)/25)*MY44+(1-EXP(-LN(2)/25))/(LN(2)/25)*Calculateur!MT45*Calculateur!MV45*VLOOKUP('Données projet'!$B$25,Paramètres!$A$1:$I$89,3,0)*0.475*44/12</f>
        <v>#N/A</v>
      </c>
      <c r="MZ45" s="21" t="e">
        <f>EXP(-LN(2)/2)*MZ44+(1-EXP(-LN(2)/2))/(LN(2)/2)*MT45*MW45*VLOOKUP('Données projet'!$B$25,Paramètres!$A$1:$I$89,3,0)*0.475*44/12</f>
        <v>#N/A</v>
      </c>
      <c r="NA45" s="22" t="e">
        <f t="shared" si="108"/>
        <v>#N/A</v>
      </c>
      <c r="NB45" s="74">
        <f>('Scénario référence'!$F$8+'Scénario référence'!$F$9+'Scénario référence'!$B$17+'Scénario référence'!$B$9+'Scénario référence'!$B$10)*70+IF((45+25*(1-EXP(-0.0175*$A45)))&lt;70,'Scénario référence'!$B$16*(45+25*(1-EXP(-0.0175*$A45))),70*'Scénario référence'!$B$16)+IF((32+38*(1-EXP(-0.0175*$A45)))&lt;70,'Scénario référence'!$B$18*(32+38*(1-EXP(-0.0175*$A45))),70*'Scénario référence'!$B$18)</f>
        <v>70</v>
      </c>
      <c r="NC45" s="12">
        <f>IF($A45&gt;30,10,('Scénario référence'!$B$16+'Scénario référence'!$B$17+'Scénario référence'!$B$18+'Scénario référence'!$B$9+'Scénario référence'!$B$10)*$A45*10/30+('Scénario référence'!$F$8+'Scénario référence'!$F$9)*10)</f>
        <v>10</v>
      </c>
      <c r="ND45" s="12" t="e">
        <f>VLOOKUP($A45,'Données projet'!$A$486:$I$506,2,0)</f>
        <v>#N/A</v>
      </c>
      <c r="NE45" s="12" t="e">
        <f>VLOOKUP($A45,'Données projet'!$A$486:$I$506,9,0)</f>
        <v>#N/A</v>
      </c>
      <c r="NF45" s="12">
        <f t="array" ref="NF45">INDEX(NE:NE,MIN(IF(ISNUMBER(NE45:NE241),ROW(NE45:NE241),"")))</f>
        <v>0</v>
      </c>
      <c r="NG45" s="12">
        <f>IF('Données projet'!$A$486&gt;35,NG44+NF45-NO44,IF($A45&lt;'Données projet'!$A$486,$CQ$205^$A45,IF($A45='Données projet'!$A$486,'Données projet'!$B$486,NG44+NF45-NO44)))</f>
        <v>0</v>
      </c>
      <c r="NH45" s="17" t="e">
        <f>NG45*VLOOKUP('Données projet'!$B$26,Paramètres!$A$1:$I$89,3,0)*VLOOKUP('Données projet'!$B$26,Paramètres!$A$1:$I$89,5,0)</f>
        <v>#N/A</v>
      </c>
      <c r="NI45" s="13" t="e">
        <f t="shared" si="109"/>
        <v>#N/A</v>
      </c>
      <c r="NJ45" s="14" t="e">
        <f t="shared" si="52"/>
        <v>#N/A</v>
      </c>
      <c r="NK45" s="59" t="e">
        <f t="shared" si="53"/>
        <v>#N/A</v>
      </c>
      <c r="NL45" s="20" t="e">
        <f ca="1">AVERAGE(OFFSET($NK$3,0,0,'Données projet'!$E$26+1,1))-AVERAGE(OFFSET($H$3,0,0,'Données projet'!$E$26+1,1))</f>
        <v>#N/A</v>
      </c>
      <c r="NM45" s="59" t="e">
        <f t="shared" si="110"/>
        <v>#N/A</v>
      </c>
      <c r="NN45" s="15">
        <f>IF(ISNA(VLOOKUP($A45,'Données projet'!$A$486:$I$506,3,0)),0,VLOOKUP($A45,'Données projet'!$A$486:$I$506,3,0))</f>
        <v>0</v>
      </c>
      <c r="NO45" s="15">
        <f>IF(ISNA(VLOOKUP($A45,'Données projet'!$A$486:$I$506,4,0)),0,VLOOKUP($A45,'Données projet'!$A$486:$I$506,4,0))</f>
        <v>0</v>
      </c>
      <c r="NP45" s="16">
        <f>IF(ISNA(VLOOKUP($A45,'Données projet'!$A$486:$I$506,5,0)),0%,VLOOKUP($A45,'Données projet'!$A$486:$I$506,5,0)*VLOOKUP('Données projet'!$B$26,Paramètres!$A$1:$I$89,7,0))</f>
        <v>0</v>
      </c>
      <c r="NQ45" s="16">
        <f>IF(ISNA(VLOOKUP($A45,'Données projet'!$A$486:$I$506,6,0)),0%,VLOOKUP($A45,'Données projet'!$A$486:$I$506,6,0)*VLOOKUP('Données projet'!$B$26,Paramètres!$A$1:$I$89,7,0))</f>
        <v>0</v>
      </c>
      <c r="NR45" s="16">
        <f>IF(ISNA(VLOOKUP($A45,'Données projet'!$A$486:$I$506,7,0)),0%,VLOOKUP($A45,'Données projet'!$A$486:$I$506,7,0))</f>
        <v>0</v>
      </c>
      <c r="NS45" s="21" t="e">
        <f>EXP(-LN(2)/35)*NS44+(1-EXP(-LN(2)/35))/(LN(2)/35)*NO45*NP45*VLOOKUP('Données projet'!$B$26,Paramètres!$A$1:$I$89,3,0)*0.475*44/12</f>
        <v>#N/A</v>
      </c>
      <c r="NT45" s="21" t="e">
        <f>EXP(-LN(2)/25)*NT44+(1-EXP(-LN(2)/25))/(LN(2)/25)*Calculateur!NO45*Calculateur!NQ45*VLOOKUP('Données projet'!$B$26,Paramètres!$A$1:$I$89,3,0)*0.475*44/12</f>
        <v>#N/A</v>
      </c>
      <c r="NU45" s="21" t="e">
        <f>EXP(-LN(2)/2)*NU44+(1-EXP(-LN(2)/2))/(LN(2)/2)*NO45*NR45*VLOOKUP('Données projet'!$B$26,Paramètres!$A$1:$I$89,3,0)*0.475*44/12</f>
        <v>#N/A</v>
      </c>
      <c r="NV45" s="22" t="e">
        <f t="shared" si="111"/>
        <v>#N/A</v>
      </c>
      <c r="NW45" s="74">
        <f>('Scénario référence'!$F$8+'Scénario référence'!$F$9+'Scénario référence'!$B$17+'Scénario référence'!$B$9+'Scénario référence'!$B$10)*70+IF((45+25*(1-EXP(-0.0175*$A45)))&lt;70,'Scénario référence'!$B$16*(45+25*(1-EXP(-0.0175*$A45))),70*'Scénario référence'!$B$16)+IF((32+38*(1-EXP(-0.0175*$A45)))&lt;70,'Scénario référence'!$B$18*(32+38*(1-EXP(-0.0175*$A45))),70*'Scénario référence'!$B$18)</f>
        <v>70</v>
      </c>
      <c r="NX45" s="12">
        <f>IF($A45&gt;30,10,('Scénario référence'!$B$16+'Scénario référence'!$B$17+'Scénario référence'!$B$18+'Scénario référence'!$B$9+'Scénario référence'!$B$10)*$A45*10/30+('Scénario référence'!$F$8+'Scénario référence'!$F$9)*10)</f>
        <v>10</v>
      </c>
      <c r="NY45" s="12" t="e">
        <f>VLOOKUP($A45,'Données projet'!$A$512:$I$532,2,0)</f>
        <v>#N/A</v>
      </c>
      <c r="NZ45" s="12" t="e">
        <f>VLOOKUP($A45,'Données projet'!$A$512:$I$532,9,0)</f>
        <v>#N/A</v>
      </c>
      <c r="OA45" s="12">
        <f t="array" ref="OA45">INDEX(NZ:NZ,MIN(IF(ISNUMBER(NZ45:NZ241),ROW(NZ45:NZ241),"")))</f>
        <v>0</v>
      </c>
      <c r="OB45" s="12">
        <f>IF('Données projet'!$A$512&gt;35,OB44+OA45-OJ44,IF($A45&lt;'Données projet'!$A$512,$CQ$205^$A45,IF($A45='Données projet'!$A$512,'Données projet'!$B$512,OB44+OA45-OJ44)))</f>
        <v>0</v>
      </c>
      <c r="OC45" s="17" t="e">
        <f>OB45*VLOOKUP('Données projet'!$B$27,Paramètres!$A$1:$I$89,3,0)*VLOOKUP('Données projet'!$B$27,Paramètres!$A$1:$I$89,5,0)</f>
        <v>#N/A</v>
      </c>
      <c r="OD45" s="13" t="e">
        <f t="shared" si="112"/>
        <v>#N/A</v>
      </c>
      <c r="OE45" s="14" t="e">
        <f t="shared" si="55"/>
        <v>#N/A</v>
      </c>
      <c r="OF45" s="59" t="e">
        <f t="shared" si="56"/>
        <v>#N/A</v>
      </c>
      <c r="OG45" s="20" t="e">
        <f ca="1">AVERAGE(OFFSET($OF$3,0,0,'Données projet'!$E$27+1,1))-AVERAGE(OFFSET($H$3,0,0,'Données projet'!$E$27+1,1))</f>
        <v>#N/A</v>
      </c>
      <c r="OH45" s="59" t="e">
        <f t="shared" si="113"/>
        <v>#N/A</v>
      </c>
      <c r="OI45" s="15">
        <f>IF(ISNA(VLOOKUP($A45,'Données projet'!$A$512:$I$532,3,0)),0,VLOOKUP($A45,'Données projet'!$A$512:$I$532,3,0))</f>
        <v>0</v>
      </c>
      <c r="OJ45" s="15">
        <f>IF(ISNA(VLOOKUP($A45,'Données projet'!$A$512:$I$532,4,0)),0,VLOOKUP($A45,'Données projet'!$A$512:$I$532,4,0))</f>
        <v>0</v>
      </c>
      <c r="OK45" s="16">
        <f>IF(ISNA(VLOOKUP($A45,'Données projet'!$A$512:$I$532,5,0)),0%,VLOOKUP($A45,'Données projet'!$A$512:$I$532,5,0)*VLOOKUP('Données projet'!$B$27,Paramètres!$A$1:$I$89,7,0))</f>
        <v>0</v>
      </c>
      <c r="OL45" s="16">
        <f>IF(ISNA(VLOOKUP($A45,'Données projet'!$A$512:$I$532,6,0)),0%,VLOOKUP($A45,'Données projet'!$A$512:$I$532,6,0)*VLOOKUP('Données projet'!$B$27,Paramètres!$A$1:$I$89,7,0))</f>
        <v>0</v>
      </c>
      <c r="OM45" s="16">
        <f>IF(ISNA(VLOOKUP($A45,'Données projet'!$A$512:$I$532,7,0)),0%,VLOOKUP($A45,'Données projet'!$A$512:$I$532,7,0))</f>
        <v>0</v>
      </c>
      <c r="ON45" s="21" t="e">
        <f>EXP(-LN(2)/35)*ON44+(1-EXP(-LN(2)/35))/(LN(2)/35)*OJ45*OK45*VLOOKUP('Données projet'!$B$27,Paramètres!$A$1:$I$89,3,0)*0.475*44/12</f>
        <v>#N/A</v>
      </c>
      <c r="OO45" s="21" t="e">
        <f>EXP(-LN(2)/25)*OO44+(1-EXP(-LN(2)/25))/(LN(2)/25)*Calculateur!OJ45*Calculateur!OL45*VLOOKUP('Données projet'!$B$27,Paramètres!$A$1:$I$89,3,0)*0.475*44/12</f>
        <v>#N/A</v>
      </c>
      <c r="OP45" s="21" t="e">
        <f>EXP(-LN(2)/2)*OP44+(1-EXP(-LN(2)/2))/(LN(2)/2)*OJ45*OM45*VLOOKUP('Données projet'!$B$27,Paramètres!$A$1:$I$89,3,0)*0.475*44/12</f>
        <v>#N/A</v>
      </c>
      <c r="OQ45" s="22" t="e">
        <f t="shared" si="114"/>
        <v>#N/A</v>
      </c>
      <c r="OR45" s="74">
        <f>('Scénario référence'!$F$8+'Scénario référence'!$F$9+'Scénario référence'!$B$17+'Scénario référence'!$B$9+'Scénario référence'!$B$10)*70+IF((45+25*(1-EXP(-0.0175*$A45)))&lt;70,'Scénario référence'!$B$16*(45+25*(1-EXP(-0.0175*$A45))),70*'Scénario référence'!$B$16)+IF((32+38*(1-EXP(-0.0175*$A45)))&lt;70,'Scénario référence'!$B$18*(32+38*(1-EXP(-0.0175*$A45))),70*'Scénario référence'!$B$18)</f>
        <v>70</v>
      </c>
      <c r="OS45" s="12">
        <f>IF($A45&gt;30,10,('Scénario référence'!$B$16+'Scénario référence'!$B$17+'Scénario référence'!$B$18+'Scénario référence'!$B$9+'Scénario référence'!$B$10)*$A45*10/30+('Scénario référence'!$F$8+'Scénario référence'!$F$9)*10)</f>
        <v>10</v>
      </c>
      <c r="OT45" s="12" t="e">
        <f>VLOOKUP($A45,'Données projet'!$A$538:$I$558,2,0)</f>
        <v>#N/A</v>
      </c>
      <c r="OU45" s="12" t="e">
        <f>VLOOKUP($A45,'Données projet'!$A$538:$I$558,9,0)</f>
        <v>#N/A</v>
      </c>
      <c r="OV45" s="12">
        <f t="array" ref="OV45">INDEX(OU:OU,MIN(IF(ISNUMBER(OU45:OU241),ROW(OU45:OU241),"")))</f>
        <v>0</v>
      </c>
      <c r="OW45" s="12">
        <f>IF('Données projet'!$A$538&gt;35,OW44+OV45-PE44,IF($A45&lt;'Données projet'!$A$538,$CQ$205^$A45,IF($A45='Données projet'!$A$538,'Données projet'!$B$538,OW44+OV45-PE44)))</f>
        <v>0</v>
      </c>
      <c r="OX45" s="17" t="e">
        <f>OW45*VLOOKUP('Données projet'!$B$28,Paramètres!$A$1:$I$89,3,0)*VLOOKUP('Données projet'!$B$28,Paramètres!$A$1:$I$89,5,0)</f>
        <v>#N/A</v>
      </c>
      <c r="OY45" s="13" t="e">
        <f t="shared" si="115"/>
        <v>#N/A</v>
      </c>
      <c r="OZ45" s="14" t="e">
        <f t="shared" si="58"/>
        <v>#N/A</v>
      </c>
      <c r="PA45" s="59" t="e">
        <f t="shared" si="59"/>
        <v>#N/A</v>
      </c>
      <c r="PB45" s="20" t="e">
        <f ca="1">AVERAGE(OFFSET($PA$3,0,0,'Données projet'!$E$28+1,1))-AVERAGE(OFFSET($H$3,0,0,'Données projet'!$E$28+1,1))</f>
        <v>#N/A</v>
      </c>
      <c r="PC45" s="59" t="e">
        <f t="shared" si="116"/>
        <v>#N/A</v>
      </c>
      <c r="PD45" s="15">
        <f>IF(ISNA(VLOOKUP($A45,'Données projet'!$A$538:$I$558,3,0)),0,VLOOKUP($A45,'Données projet'!$A$538:$I$558,3,0))</f>
        <v>0</v>
      </c>
      <c r="PE45" s="15">
        <f>IF(ISNA(VLOOKUP($A45,'Données projet'!$A$538:$I$558,4,0)),0,VLOOKUP($A45,'Données projet'!$A$538:$I$558,4,0))</f>
        <v>0</v>
      </c>
      <c r="PF45" s="16">
        <f>IF(ISNA(VLOOKUP($A45,'Données projet'!$A$538:$I$558,5,0)),0%,VLOOKUP($A45,'Données projet'!$A$538:$I$558,5,0)*VLOOKUP('Données projet'!$B$28,Paramètres!$A$1:$I$89,7,0))</f>
        <v>0</v>
      </c>
      <c r="PG45" s="16">
        <f>IF(ISNA(VLOOKUP($A45,'Données projet'!$A$538:$I$558,6,0)),0%,VLOOKUP($A45,'Données projet'!$A$538:$I$558,6,0)*VLOOKUP('Données projet'!$B$28,Paramètres!$A$1:$I$89,7,0))</f>
        <v>0</v>
      </c>
      <c r="PH45" s="16">
        <f>IF(ISNA(VLOOKUP($A45,'Données projet'!$A$538:$I$558,7,0)),0%,VLOOKUP($A45,'Données projet'!$A$538:$I$558,7,0))</f>
        <v>0</v>
      </c>
      <c r="PI45" s="21" t="e">
        <f>EXP(-LN(2)/35)*PI44+(1-EXP(-LN(2)/35))/(LN(2)/35)*PE45*PF45*VLOOKUP('Données projet'!$B$28,Paramètres!$A$1:$I$89,3,0)*0.475*44/12</f>
        <v>#N/A</v>
      </c>
      <c r="PJ45" s="21" t="e">
        <f>EXP(-LN(2)/25)*PJ44+(1-EXP(-LN(2)/25))/(LN(2)/25)*Calculateur!PE45*Calculateur!PG45*VLOOKUP('Données projet'!$B$28,Paramètres!$A$1:$I$89,3,0)*0.475*44/12</f>
        <v>#N/A</v>
      </c>
      <c r="PK45" s="21" t="e">
        <f>EXP(-LN(2)/2)*PK44+(1-EXP(-LN(2)/2))/(LN(2)/2)*PE45*PH45*VLOOKUP('Données projet'!$B$28,Paramètres!$A$1:$I$89,3,0)*0.475*44/12</f>
        <v>#N/A</v>
      </c>
      <c r="PL45" s="22" t="e">
        <f t="shared" si="117"/>
        <v>#N/A</v>
      </c>
    </row>
    <row r="46" spans="1:428" x14ac:dyDescent="0.35">
      <c r="A46" s="10">
        <f t="shared" si="6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6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projet'!$A$45:$I$65,2,0)</f>
        <v>#N/A</v>
      </c>
      <c r="L46" s="12" t="e">
        <f>VLOOKUP(A46,'Données projet'!$A$45:$I$65,9,0)</f>
        <v>#N/A</v>
      </c>
      <c r="M46" s="12">
        <f t="array" ref="M46">INDEX(L:L,MIN(IF(ISNUMBER(L46:L242),ROW(L46:L242),"")))</f>
        <v>21.625641025641034</v>
      </c>
      <c r="N46" s="13">
        <f>IF('Données projet'!$A$46&gt;35,N45+M46-V45,IF(A46&lt;'Données projet'!$A$46,$K$205^A46,IF(A46='Données projet'!$A$46,'Données projet'!$B$46,N45+M46-V45)))</f>
        <v>416.95641025641021</v>
      </c>
      <c r="O46" s="13">
        <f>N46*VLOOKUP('Données projet'!$B$9,Paramètres!$A$1:$I$89,3,0)*VLOOKUP('Données projet'!$B$9,Paramètres!$A$1:$I$89,5,0)</f>
        <v>233.0786333333333</v>
      </c>
      <c r="P46" s="13">
        <f t="shared" si="63"/>
        <v>56.947838023653489</v>
      </c>
      <c r="Q46" s="20">
        <f t="shared" si="118"/>
        <v>505.1294376134187</v>
      </c>
      <c r="R46" s="59">
        <f t="shared" si="0"/>
        <v>798.46277094675202</v>
      </c>
      <c r="S46" s="59">
        <f ca="1">AVERAGE(OFFSET($R$3,0,0,'Données projet'!$E$9+1,1))-AVERAGE(OFFSET($H$3,0,0,'Données projet'!$E$9+1,1))</f>
        <v>274.57619581652199</v>
      </c>
      <c r="T46" s="59">
        <f t="shared" si="64"/>
        <v>366.15117322598775</v>
      </c>
      <c r="U46" s="15">
        <f>IF(ISNA(VLOOKUP(A46,'Données projet'!$A$45:$I$65,3,0)),0,VLOOKUP(A46,'Données projet'!$A$45:$I$65,3,0))</f>
        <v>0</v>
      </c>
      <c r="V46" s="15">
        <f>IF(ISNA(VLOOKUP(A46,'Données projet'!$A$45:$I$65,4,0)),0,VLOOKUP(A46,'Données projet'!$A$45:$I$65,4,0))</f>
        <v>0</v>
      </c>
      <c r="W46" s="16">
        <f>IF(ISNA(VLOOKUP(A46,'Données projet'!$A$45:$I$65,5,0)),0%,VLOOKUP(A46,'Données projet'!$A$45:$I$65,5,0)*VLOOKUP('Données projet'!$B$9,Paramètres!$A$1:$I$89,7,0))</f>
        <v>0</v>
      </c>
      <c r="X46" s="16">
        <f>IF(ISNA(VLOOKUP(A46,'Données projet'!$A$45:$I$65,6,0)),0%,VLOOKUP(A46,'Données projet'!$A$45:$I$65,6,0)*VLOOKUP('Données projet'!$B$9,Paramètres!$A$1:$I$89,7,0))</f>
        <v>0</v>
      </c>
      <c r="Y46" s="16">
        <f>IF(ISNA(VLOOKUP(A46,'Données projet'!$A$45:$I$65,7,0)),0%,VLOOKUP(A46,'Données projet'!$A$45:$I$65,7,0))</f>
        <v>0</v>
      </c>
      <c r="Z46" s="21">
        <f>EXP(-LN(2)/35)*Z45+(1-EXP(-LN(2)/35))/(LN(2)/35)*V46*W46*VLOOKUP('Données projet'!$B$9,Paramètres!$A$1:$I$89,3,0)*0.475*44/12</f>
        <v>60.619203253790985</v>
      </c>
      <c r="AA46" s="21">
        <f>EXP(-LN(2)/25)*AA45+(1-EXP(-LN(2)/25))/(LN(2)/25)*Calculateur!V46*Calculateur!X46*VLOOKUP('Données projet'!$B$9,Paramètres!$A$1:$I$89,3,0)*0.475*44/12</f>
        <v>21.493231928309974</v>
      </c>
      <c r="AB46" s="21">
        <f>EXP(-LN(2)/2)*AB45+(1-EXP(-LN(2)/2))/(LN(2)/2)*V46*Y46*VLOOKUP('Données projet'!$B$9,Paramètres!$A$1:$I$89,3,0)*0.475*44/12</f>
        <v>4.9162856184979935</v>
      </c>
      <c r="AC46" s="22">
        <f t="shared" si="3"/>
        <v>87.028720800598961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projet'!$A$71:$I$91,2,0)</f>
        <v>#N/A</v>
      </c>
      <c r="AG46" s="12" t="e">
        <f>VLOOKUP(A46,'Données projet'!$A$71:$I$91,9,0)</f>
        <v>#N/A</v>
      </c>
      <c r="AH46" s="12">
        <f t="array" ref="AH46">INDEX(AG:AG,MIN(IF(ISNUMBER(AG46:AG242),ROW(AG46:AG242),"")))</f>
        <v>9.3452380952380913</v>
      </c>
      <c r="AI46" s="13">
        <f>IF('Données projet'!$A$72&gt;35,AI45+AH46-AQ45,IF(A46&lt;'Données projet'!$A$72,$AF$205^A46,IF(A46='Données projet'!$A$72,'Données projet'!$B$72,AI45+AH46-AQ45)))</f>
        <v>137.62637362637369</v>
      </c>
      <c r="AJ46" s="13">
        <f>AI46*VLOOKUP('Données projet'!$B$10,Paramètres!$A$1:$I$89,3,0)*VLOOKUP('Données projet'!$B$10,Paramètres!$A$1:$I$89,5,0)</f>
        <v>124.52434285714291</v>
      </c>
      <c r="AK46" s="13">
        <f t="shared" si="65"/>
        <v>32.727944326790649</v>
      </c>
      <c r="AL46" s="20">
        <f t="shared" si="4"/>
        <v>273.88106684535092</v>
      </c>
      <c r="AM46" s="59">
        <f t="shared" si="5"/>
        <v>567.21440017868417</v>
      </c>
      <c r="AN46" s="59">
        <f ca="1">AVERAGE(OFFSET($AM$3,0,0,'Données projet'!$E$10+1,1))-AVERAGE(OFFSET($H$3,0,0,'Données projet'!$E$10+1,1))</f>
        <v>270.87836509222456</v>
      </c>
      <c r="AO46" s="59">
        <f t="shared" si="66"/>
        <v>205.24998237949734</v>
      </c>
      <c r="AP46" s="15">
        <f>IF(ISNA(VLOOKUP(A46,'Données projet'!$A$71:$I$91,3,0)),0,VLOOKUP(A46,'Données projet'!$A$71:$I$91,3,0))</f>
        <v>0</v>
      </c>
      <c r="AQ46" s="15">
        <f>IF(ISNA(VLOOKUP(A46,'Données projet'!$A$71:$I$91,4,0)),0,VLOOKUP(A46,'Données projet'!$A$71:$I$91,4,0))</f>
        <v>0</v>
      </c>
      <c r="AR46" s="16">
        <f>IF(ISNA(VLOOKUP(A46,'Données projet'!$A$71:$I$91,5,0)),0%,VLOOKUP(A46,'Données projet'!$A$71:$I$91,5,0)*VLOOKUP('Données projet'!$B$10,Paramètres!$A$1:$I$89,7,0))</f>
        <v>0</v>
      </c>
      <c r="AS46" s="16">
        <f>IF(ISNA(VLOOKUP(A46,'Données projet'!$A$71:$I$91,6,0)),0%,VLOOKUP(A46,'Données projet'!$A$71:$I$91,6,0)*VLOOKUP('Données projet'!$B$10,Paramètres!$A$1:$I$89,7,0))</f>
        <v>0</v>
      </c>
      <c r="AT46" s="16">
        <f>IF(ISNA(VLOOKUP(A46,'Données projet'!$A$71:$I$91,7,0)),0%,VLOOKUP(A46,'Données projet'!$A$71:$I$91,7,0))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projet'!$A$97:$I$117,2,0)</f>
        <v>#N/A</v>
      </c>
      <c r="BB46" s="12" t="e">
        <f>VLOOKUP(A46,'Données projet'!$A$97:$I$117,9,0)</f>
        <v>#N/A</v>
      </c>
      <c r="BC46" s="12">
        <f t="array" ref="BC46">INDEX(BB:BB,MIN(IF(ISNUMBER(BB46:BB242),ROW(BB46:BB242),"")))</f>
        <v>21.625641025641034</v>
      </c>
      <c r="BD46" s="12">
        <f>IF('Données projet'!$A$98&gt;35,BD45+BC46-BL45,IF(A46&lt;'Données projet'!$A$98,$BA$205^A46,IF(A46='Données projet'!$A$98,'Données projet'!$B$98,BD45+BC46-BL45)))</f>
        <v>416.95641025641021</v>
      </c>
      <c r="BE46" s="13">
        <f>BD46*VLOOKUP('Données projet'!$B$11,Paramètres!$A$1:$I$89,3,0)*VLOOKUP('Données projet'!$B$11,Paramètres!$A$1:$I$89,5,0)</f>
        <v>184.29473333333334</v>
      </c>
      <c r="BF46" s="13">
        <f t="shared" si="67"/>
        <v>46.276370006778471</v>
      </c>
      <c r="BG46" s="20">
        <f t="shared" si="7"/>
        <v>401.57800498402804</v>
      </c>
      <c r="BH46" s="59">
        <f t="shared" si="8"/>
        <v>694.91133831736136</v>
      </c>
      <c r="BI46" s="59">
        <f ca="1">AVERAGE(OFFSET($BH$3,0,0,'Données projet'!$E$11+1,1))-AVERAGE(OFFSET($H$3,0,0,'Données projet'!$E$11+1,1))</f>
        <v>211.31057120485542</v>
      </c>
      <c r="BJ46" s="59">
        <f t="shared" si="68"/>
        <v>283.33292006714777</v>
      </c>
      <c r="BK46" s="15">
        <f>IF(ISNA(VLOOKUP(A46,'Données projet'!$A$97:$I$117,3,0)),0,VLOOKUP(A46,'Données projet'!$A$97:$I$117,3,0))</f>
        <v>0</v>
      </c>
      <c r="BL46" s="15">
        <f>IF(ISNA(VLOOKUP(A46,'Données projet'!$A$97:$I$117,4,0)),0,VLOOKUP(A46,'Données projet'!$A$97:$I$117,4,0))</f>
        <v>0</v>
      </c>
      <c r="BM46" s="16">
        <f>IF(ISNA(VLOOKUP(A46,'Données projet'!$A$97:$I$117,5,0)),0%,VLOOKUP(A46,'Données projet'!$A$97:$I$117,5,0)*VLOOKUP('Données projet'!$B$11,Paramètres!$A$1:$I$89,7,0))</f>
        <v>0</v>
      </c>
      <c r="BN46" s="16">
        <f>IF(ISNA(VLOOKUP(A46,'Données projet'!$A$97:$I$117,6,0)),0%,VLOOKUP(A46,'Données projet'!$A$97:$I$117,6,0)*VLOOKUP('Données projet'!$B$11,Paramètres!$A$1:$I$89,7,0))</f>
        <v>0</v>
      </c>
      <c r="BO46" s="16">
        <f>IF(ISNA(VLOOKUP(A46,'Données projet'!$A$97:$I$117,7,0)),0%,VLOOKUP(A46,'Données projet'!$A$97:$I$117,7,0))</f>
        <v>0</v>
      </c>
      <c r="BP46" s="21">
        <f>EXP(-LN(2)/35)*BP45+(1-EXP(-LN(2)/35))/(LN(2)/35)*BL46*BM46*VLOOKUP('Données projet'!$B$11,Paramètres!$A$1:$I$89,3,0)*0.475*44/12</f>
        <v>47.931463037881244</v>
      </c>
      <c r="BQ46" s="21">
        <f>EXP(-LN(2)/25)*BQ45+(1-EXP(-LN(2)/25))/(LN(2)/25)*Calculateur!BL46*Calculateur!BN46*VLOOKUP('Données projet'!$B$11,Paramètres!$A$1:$I$89,3,0)*0.475*44/12</f>
        <v>16.994648501454396</v>
      </c>
      <c r="BR46" s="21">
        <f>EXP(-LN(2)/2)*BR45+(1-EXP(-LN(2)/2))/(LN(2)/2)*BL46*BO46*VLOOKUP('Données projet'!$B$11,Paramètres!$A$1:$I$89,3,0)*0.475*44/12</f>
        <v>3.8872956053239953</v>
      </c>
      <c r="BS46" s="22">
        <f t="shared" si="9"/>
        <v>68.813407144659635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projet'!$A$123:$I$143,2,0)</f>
        <v>#N/A</v>
      </c>
      <c r="BW46" s="12" t="e">
        <f>VLOOKUP(A46,'Données projet'!$A$123:$I$143,9,0)</f>
        <v>#N/A</v>
      </c>
      <c r="BX46" s="12">
        <f t="array" ref="BX46">INDEX(BW:BW,MIN(IF(ISNUMBER(BW46:BW242),ROW(BW46:BW242),"")))</f>
        <v>8</v>
      </c>
      <c r="BY46" s="12">
        <f>IF('Données projet'!$A$124&gt;35,BY45+BX46-CG45,IF(A46&lt;'Données projet'!$A$124,$BV$205^A46,IF(A46='Données projet'!$A$124,'Données projet'!$B$124,BY45+BX46-CG45)))</f>
        <v>182.00000000000003</v>
      </c>
      <c r="BZ46" s="13">
        <f>BY46*VLOOKUP('Données projet'!$B$12,Paramètres!$A$1:$I$89,3,0)*VLOOKUP('Données projet'!$B$12,Paramètres!$A$1:$I$89,5,0)</f>
        <v>190.22640000000004</v>
      </c>
      <c r="CA46" s="13">
        <f t="shared" si="69"/>
        <v>47.590003207063162</v>
      </c>
      <c r="CB46" s="20">
        <f t="shared" si="10"/>
        <v>414.19690225230175</v>
      </c>
      <c r="CC46" s="59">
        <f t="shared" si="11"/>
        <v>707.53023558563507</v>
      </c>
      <c r="CD46" s="59">
        <f ca="1">AVERAGE(OFFSET($CC$3,0,0,'Données projet'!$E$12+1,1))-AVERAGE(OFFSET($H$3,0,0,'Données projet'!$E$12+1,1))</f>
        <v>322.93502595881938</v>
      </c>
      <c r="CE46" s="59">
        <f t="shared" si="70"/>
        <v>302.67072119588164</v>
      </c>
      <c r="CF46" s="15">
        <f>IF(ISNA(VLOOKUP(A46,'Données projet'!$A$123:$I$143,3,0)),0,VLOOKUP(A46,'Données projet'!$A$123:$I$143,3,0))</f>
        <v>0</v>
      </c>
      <c r="CG46" s="15">
        <f>IF(ISNA(VLOOKUP(A46,'Données projet'!$A$123:$I$143,4,0)),0,VLOOKUP(A46,'Données projet'!$A$123:$I$143,4,0))</f>
        <v>0</v>
      </c>
      <c r="CH46" s="16">
        <f>IF(ISNA(VLOOKUP(A46,'Données projet'!$A$123:$I$143,5,0)),0%,VLOOKUP(A46,'Données projet'!$A$123:$I$143,5,0)*VLOOKUP('Données projet'!$B$12,Paramètres!$A$1:$I$89,7,0))</f>
        <v>0</v>
      </c>
      <c r="CI46" s="16">
        <f>IF(ISNA(VLOOKUP(A46,'Données projet'!$A$123:$I$143,6,0)),0%,VLOOKUP(A46,'Données projet'!$A$123:$I$143,6,0)*VLOOKUP('Données projet'!$B$12,Paramètres!$A$1:$I$89,7,0))</f>
        <v>0</v>
      </c>
      <c r="CJ46" s="16">
        <f>IF(ISNA(VLOOKUP(A46,'Données projet'!$A$123:$I$143,7,0)),0%,VLOOKUP(A46,'Données projet'!$A$123:$I$143,7,0))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11.499560173572844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11.499560173572844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projet'!$A$149:$I$169,2,0)</f>
        <v>#N/A</v>
      </c>
      <c r="CR46" s="12" t="e">
        <f>VLOOKUP(A46,'Données projet'!$A$149:$I$169,9,0)</f>
        <v>#N/A</v>
      </c>
      <c r="CS46" s="12">
        <f t="array" ref="CS46">INDEX(CR:CR,MIN(IF(ISNUMBER(CR46:CR242),ROW(CR46:CR242),"")))</f>
        <v>5.3369963369963358</v>
      </c>
      <c r="CT46" s="12">
        <f>IF('Données projet'!$A$150&gt;35,CT45+CS46-DB45,IF(A46&lt;'Données projet'!$A$150,$CQ$205^A46,IF(A46='Données projet'!$A$150,'Données projet'!$B$150,CT45+CS46-DB45)))</f>
        <v>157.08608058608053</v>
      </c>
      <c r="CU46" s="17">
        <f>CT46*VLOOKUP('Données projet'!$B$13,Paramètres!$A$1:$I$89,3,0)*VLOOKUP('Données projet'!$B$13,Paramètres!$A$1:$I$89,5,0)</f>
        <v>159.28528571428566</v>
      </c>
      <c r="CV46" s="13">
        <f t="shared" si="71"/>
        <v>40.681267624862308</v>
      </c>
      <c r="CW46" s="20">
        <f t="shared" si="13"/>
        <v>348.27508039901596</v>
      </c>
      <c r="CX46" s="59">
        <f t="shared" si="14"/>
        <v>641.60841373234928</v>
      </c>
      <c r="CY46" s="59">
        <f ca="1">AVERAGE(OFFSET($CX$3,0,0,'Données projet'!$E$13+1,1))-AVERAGE(OFFSET($H$3,0,0,'Données projet'!$E$13+1,1))</f>
        <v>250.31277422753283</v>
      </c>
      <c r="CZ46" s="59">
        <f t="shared" si="72"/>
        <v>159.20429420478047</v>
      </c>
      <c r="DA46" s="15">
        <f>IF(ISNA(VLOOKUP(A46,'Données projet'!$A$149:$I$169,3,0)),0,VLOOKUP(A46,'Données projet'!$A$149:$I$169,3,0))</f>
        <v>0</v>
      </c>
      <c r="DB46" s="15">
        <f>IF(ISNA(VLOOKUP(A46,'Données projet'!$A$149:$I$169,4,0)),0,VLOOKUP(A46,'Données projet'!$A$149:$I$169,4,0))</f>
        <v>0</v>
      </c>
      <c r="DC46" s="16">
        <f>IF(ISNA(VLOOKUP(A46,'Données projet'!$A$149:$I$169,5,0)),0%,VLOOKUP(A46,'Données projet'!$A$149:$I$169,5,0)*VLOOKUP('Données projet'!$B$13,Paramètres!$A$1:$I$89,7,0))</f>
        <v>0</v>
      </c>
      <c r="DD46" s="16">
        <f>IF(ISNA(VLOOKUP(A46,'Données projet'!$A$149:$I$169,6,0)),0%,VLOOKUP(A46,'Données projet'!$A$149:$I$169,6,0)*VLOOKUP('Données projet'!$B$13,Paramètres!$A$1:$I$89,7,0))</f>
        <v>0</v>
      </c>
      <c r="DE46" s="16">
        <f>IF(ISNA(VLOOKUP(A46,'Données projet'!$A$149:$I$169,7,0)),0%,VLOOKUP(A46,'Données projet'!$A$149:$I$169,7,0))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projet'!$A$175:$I$195,2,0)</f>
        <v>#N/A</v>
      </c>
      <c r="DM46" s="12" t="e">
        <f>VLOOKUP(A46,'Données projet'!$A$175:$I$195,9,0)</f>
        <v>#N/A</v>
      </c>
      <c r="DN46" s="12">
        <f t="array" ref="DN46">INDEX(DM:DM,MIN(IF(ISNUMBER(DM46:DM242),ROW(DM46:DM242),"")))</f>
        <v>11.4</v>
      </c>
      <c r="DO46" s="12">
        <f>IF('Données projet'!$A$176&gt;35,DO45+DN46-DW45,IF(A46&lt;'Données projet'!$A$176,$DL$205^A46,IF(A46='Données projet'!$A$176,'Données projet'!$B$176,DO45+DN46-DW45)))</f>
        <v>257.19999999999993</v>
      </c>
      <c r="DP46" s="17">
        <f>DO46*VLOOKUP('Données projet'!$B$14,Paramètres!$A$1:$I$89,3,0)*VLOOKUP('Données projet'!$B$14,Paramètres!$A$1:$I$89,5,0)</f>
        <v>188.57903999999994</v>
      </c>
      <c r="DQ46" s="13">
        <f t="shared" si="73"/>
        <v>47.22566164876563</v>
      </c>
      <c r="DR46" s="20">
        <f t="shared" si="16"/>
        <v>410.69318870493333</v>
      </c>
      <c r="DS46" s="59">
        <f t="shared" si="17"/>
        <v>704.02652203826665</v>
      </c>
      <c r="DT46" s="59">
        <f ca="1">AVERAGE(OFFSET($DS$3,0,0,'Données projet'!$E$14+1,1))-AVERAGE(OFFSET($H$3,0,0,'Données projet'!$E$14+1,1))</f>
        <v>296.91321813251051</v>
      </c>
      <c r="DU46" s="59">
        <f t="shared" si="74"/>
        <v>291.0718079639509</v>
      </c>
      <c r="DV46" s="15">
        <f>IF(ISNA(VLOOKUP(A46,'Données projet'!$A$175:$I$195,3,0)),0,VLOOKUP(A46,'Données projet'!$A$175:$I$195,3,0))</f>
        <v>0</v>
      </c>
      <c r="DW46" s="15">
        <f>IF(ISNA(VLOOKUP(A46,'Données projet'!$A$175:$I$195,4,0)),0,VLOOKUP(A46,'Données projet'!$A$175:$I$195,4,0))</f>
        <v>0</v>
      </c>
      <c r="DX46" s="16">
        <f>IF(ISNA(VLOOKUP(A46,'Données projet'!$A$175:$I$195,5,0)),0%,VLOOKUP(A46,'Données projet'!$A$175:$I$195,5,0)*VLOOKUP('Données projet'!$B$14,Paramètres!$A$1:$I$89,7,0))</f>
        <v>0</v>
      </c>
      <c r="DY46" s="16">
        <f>IF(ISNA(VLOOKUP(A46,'Données projet'!$A$175:$I$195,6,0)),0%,VLOOKUP(A46,'Données projet'!$A$175:$I$195,6,0)*VLOOKUP('Données projet'!$B$14,Paramètres!$A$1:$I$89,7,0))</f>
        <v>0</v>
      </c>
      <c r="DZ46" s="16">
        <f>IF(ISNA(VLOOKUP(A46,'Données projet'!$A$175:$I$195,7,0)),0%,VLOOKUP(A46,'Données projet'!$A$175:$I$195,7,0))</f>
        <v>0</v>
      </c>
      <c r="EA46" s="21">
        <f>EXP(-LN(2)/35)*EA45+(1-EXP(-LN(2)/35))/(LN(2)/35)*DW46*DX46*VLOOKUP('Données projet'!$B$14,Paramètres!$A$1:$I$89,3,0)*0.475*44/12</f>
        <v>27.730463595950599</v>
      </c>
      <c r="EB46" s="21">
        <f>EXP(-LN(2)/25)*EB45+(1-EXP(-LN(2)/25))/(LN(2)/25)*Calculateur!DW46*Calculateur!DY46*VLOOKUP('Données projet'!$B$14,Paramètres!$A$1:$I$89,3,0)*0.475*44/12</f>
        <v>11.380097884720108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39.110561480670711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projet'!$A$201:$I$221,2,0)</f>
        <v>#N/A</v>
      </c>
      <c r="EH46" s="12" t="e">
        <f>VLOOKUP(A46,'Données projet'!$A$201:$I$221,9,0)</f>
        <v>#N/A</v>
      </c>
      <c r="EI46" s="12">
        <f t="array" ref="EI46">INDEX(EH:EH,MIN(IF(ISNUMBER(EH46:EH242),ROW(EH46:EH242),"")))</f>
        <v>10.407692307692306</v>
      </c>
      <c r="EJ46" s="12">
        <f>IF('Données projet'!$A$202&gt;35,EJ45+EI46-ER45,IF(A46&lt;'Données projet'!$A$202,$EG$205^A46,IF(A46='Données projet'!$A$202,'Données projet'!$B$202,EJ45+EI46-ER45)))</f>
        <v>238.57692307692312</v>
      </c>
      <c r="EK46" s="17">
        <f>EJ46*VLOOKUP('Données projet'!$B$15,Paramètres!$A$1:$I$89,3,0)*VLOOKUP('Données projet'!$B$15,Paramètres!$A$1:$I$89,5,0)</f>
        <v>111.65400000000002</v>
      </c>
      <c r="EL46" s="13">
        <f t="shared" si="75"/>
        <v>29.720340737744728</v>
      </c>
      <c r="EM46" s="20">
        <f t="shared" si="19"/>
        <v>246.22697678490542</v>
      </c>
      <c r="EN46" s="59">
        <f t="shared" si="20"/>
        <v>539.5603101182387</v>
      </c>
      <c r="EO46" s="59">
        <f ca="1">AVERAGE(OFFSET($EN$3,0,0,'Données projet'!$E$15+1,1))-AVERAGE(OFFSET($H$3,0,0,'Données projet'!$E$15+1,1))</f>
        <v>147.64256291235483</v>
      </c>
      <c r="EP46" s="59">
        <f t="shared" si="76"/>
        <v>70.859031694091868</v>
      </c>
      <c r="EQ46" s="15">
        <f>IF(ISNA(VLOOKUP(A46,'Données projet'!$A$201:$I$221,3,0)),0,VLOOKUP(A46,'Données projet'!$A$201:$I$221,3,0))</f>
        <v>0</v>
      </c>
      <c r="ER46" s="15">
        <f>IF(ISNA(VLOOKUP(A46,'Données projet'!$A$201:$I$221,4,0)),0,VLOOKUP(A46,'Données projet'!$A$201:$I$221,4,0))</f>
        <v>0</v>
      </c>
      <c r="ES46" s="16">
        <f>IF(ISNA(VLOOKUP(A46,'Données projet'!$A$201:$I$221,5,0)),0%,VLOOKUP(A46,'Données projet'!$A$201:$I$221,5,0)*VLOOKUP('Données projet'!$B$15,Paramètres!$A$1:$I$89,7,0))</f>
        <v>0</v>
      </c>
      <c r="ET46" s="16">
        <f>IF(ISNA(VLOOKUP(A46,'Données projet'!$A$201:$I$221,6,0)),0%,VLOOKUP(A46,'Données projet'!$A$201:$I$221,6,0)*VLOOKUP('Données projet'!$B$15,Paramètres!$A$1:$I$89,7,0))</f>
        <v>0</v>
      </c>
      <c r="EU46" s="16">
        <f>IF(ISNA(VLOOKUP(A46,'Données projet'!$A$201:$I$221,7,0)),0%,VLOOKUP(A46,'Données projet'!$A$201:$I$221,7,0))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0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projet'!$A$227:$I$247,2,0)</f>
        <v>#N/A</v>
      </c>
      <c r="FC46" s="12" t="e">
        <f>VLOOKUP(A46,'Données projet'!$A$227:$I$247,9,0)</f>
        <v>#N/A</v>
      </c>
      <c r="FD46" s="12">
        <f t="array" ref="FD46">INDEX(FC:FC,MIN(IF(ISNUMBER(FC46:FC242),ROW(FC46:FC242),"")))</f>
        <v>6.4</v>
      </c>
      <c r="FE46" s="12">
        <f>IF('Données projet'!$A$228&gt;35,FE45+FD46-FM45,IF(A46&lt;'Données projet'!$A$228,$FB$205^A46,IF(A46='Données projet'!$A$228,'Données projet'!$B$228,FE45+FD46-FM45)))</f>
        <v>149.20000000000002</v>
      </c>
      <c r="FF46" s="17">
        <f>FE46*VLOOKUP('Données projet'!$B$16,Paramètres!$A$1:$I$89,3,0)*VLOOKUP('Données projet'!$B$16,Paramètres!$A$1:$I$89,5,0)</f>
        <v>155.94384000000002</v>
      </c>
      <c r="FG46" s="13">
        <f t="shared" si="77"/>
        <v>39.926274451636601</v>
      </c>
      <c r="FH46" s="20">
        <f t="shared" si="22"/>
        <v>341.1404493366004</v>
      </c>
      <c r="FI46" s="59">
        <f t="shared" si="23"/>
        <v>634.47378266993371</v>
      </c>
      <c r="FJ46" s="59">
        <f ca="1">AVERAGE(OFFSET($FI$3,0,0,'Données projet'!$E$16+1,1))-AVERAGE(OFFSET($H$3,0,0,'Données projet'!$E$16+1,1))</f>
        <v>259.03906550253788</v>
      </c>
      <c r="FK46" s="59">
        <f t="shared" si="78"/>
        <v>235.54542903570831</v>
      </c>
      <c r="FL46" s="15">
        <f>IF(ISNA(VLOOKUP(A46,'Données projet'!$A$227:$I$247,3,0)),0,VLOOKUP(A46,'Données projet'!$A$227:$I$247,3,0))</f>
        <v>0</v>
      </c>
      <c r="FM46" s="15">
        <f>IF(ISNA(VLOOKUP(A46,'Données projet'!$A$227:$I$247,4,0)),0,VLOOKUP(A46,'Données projet'!$A$227:$I$247,4,0))</f>
        <v>0</v>
      </c>
      <c r="FN46" s="16">
        <f>IF(ISNA(VLOOKUP(A46,'Données projet'!$A$227:$I$247,5,0)),0%,VLOOKUP(A46,'Données projet'!$A$227:$I$247,5,0)*VLOOKUP('Données projet'!$B$16,Paramètres!$A$1:$I$89,7,0))</f>
        <v>0</v>
      </c>
      <c r="FO46" s="16">
        <f>IF(ISNA(VLOOKUP(A46,'Données projet'!$A$227:$I$247,6,0)),0%,VLOOKUP(A46,'Données projet'!$A$227:$I$247,6,0)*VLOOKUP('Données projet'!$B$16,Paramètres!$A$1:$I$89,7,0))</f>
        <v>0</v>
      </c>
      <c r="FP46" s="16">
        <f>IF(ISNA(VLOOKUP(A46,'Données projet'!$A$227:$I$247,7,0)),0%,VLOOKUP(A46,'Données projet'!$A$227:$I$247,7,0))</f>
        <v>0</v>
      </c>
      <c r="FQ46" s="21">
        <f>EXP(-LN(2)/35)*FQ45+(1-EXP(-LN(2)/35))/(LN(2)/35)*FM46*FN46*VLOOKUP('Données projet'!$B$16,Paramètres!$A$1:$I$89,3,0)*0.475*44/12</f>
        <v>0</v>
      </c>
      <c r="FR46" s="21">
        <f>EXP(-LN(2)/25)*FR45+(1-EXP(-LN(2)/25))/(LN(2)/25)*Calculateur!FM46*Calculateur!FO46*VLOOKUP('Données projet'!$B$16,Paramètres!$A$1:$I$89,3,0)*0.475*44/12</f>
        <v>4.5538425361541881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4.5538425361541881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projet'!$A$253:$I$273,2,0)</f>
        <v>#N/A</v>
      </c>
      <c r="FX46" s="12" t="e">
        <f>VLOOKUP(A46,'Données projet'!$A$253:$I$273,9,0)</f>
        <v>#N/A</v>
      </c>
      <c r="FY46" s="12">
        <f t="array" ref="FY46">INDEX(FX:FX,MIN(IF(ISNUMBER(FX46:FX242),ROW(FX46:FX242),"")))</f>
        <v>8.1999999999999993</v>
      </c>
      <c r="FZ46" s="12">
        <f>IF('Données projet'!$A$254&gt;35,FZ45+FY46-GH45,IF(A46&lt;'Données projet'!$A$254,$FW$205^A46,IF(A46='Données projet'!$A$254,'Données projet'!$B$254,FZ45+FY46-GH45)))</f>
        <v>188.59999999999997</v>
      </c>
      <c r="GA46" s="17">
        <f>FZ46*VLOOKUP('Données projet'!$B$17,Paramètres!$A$1:$I$89,3,0)*VLOOKUP('Données projet'!$B$17,Paramètres!$A$1:$I$89,5,0)</f>
        <v>164.76095999999998</v>
      </c>
      <c r="GB46" s="13">
        <f t="shared" si="79"/>
        <v>41.91452380971991</v>
      </c>
      <c r="GC46" s="20">
        <f t="shared" si="25"/>
        <v>359.9598009685954</v>
      </c>
      <c r="GD46" s="59">
        <f t="shared" si="26"/>
        <v>653.29313430192872</v>
      </c>
      <c r="GE46" s="59">
        <f ca="1">AVERAGE(OFFSET($GD$3,0,0,'Données projet'!$E$17+1,1))-AVERAGE(OFFSET($H$3,0,0,'Données projet'!$E$17+1,1))</f>
        <v>245.1983232777614</v>
      </c>
      <c r="GF46" s="59">
        <f t="shared" si="80"/>
        <v>242.34010522344573</v>
      </c>
      <c r="GG46" s="15">
        <f>IF(ISNA(VLOOKUP(A46,'Données projet'!$A$253:$I$273,3,0)),0,VLOOKUP(A46,'Données projet'!$A$253:$I$273,3,0))</f>
        <v>0</v>
      </c>
      <c r="GH46" s="15">
        <f>IF(ISNA(VLOOKUP(A46,'Données projet'!$A$253:$I$273,4,0)),0,VLOOKUP(A46,'Données projet'!$A$253:$I$273,4,0))</f>
        <v>0</v>
      </c>
      <c r="GI46" s="16">
        <f>IF(ISNA(VLOOKUP(A46,'Données projet'!$A$253:$I$273,5,0)),0%,VLOOKUP(A46,'Données projet'!$A$253:$I$273,5,0)*VLOOKUP('Données projet'!$B$17,Paramètres!$A$1:$I$89,7,0))</f>
        <v>0</v>
      </c>
      <c r="GJ46" s="16">
        <f>IF(ISNA(VLOOKUP(A46,'Données projet'!$A$253:$I$273,6,0)),0%,VLOOKUP(A46,'Données projet'!$A$253:$I$273,6,0)*VLOOKUP('Données projet'!$B$17,Paramètres!$A$1:$I$89,7,0))</f>
        <v>0</v>
      </c>
      <c r="GK46" s="16">
        <f>IF(ISNA(VLOOKUP(A46,'Données projet'!$A$253:$I$273,7,0)),0%,VLOOKUP(A46,'Données projet'!$A$253:$I$273,7,0))</f>
        <v>0</v>
      </c>
      <c r="GL46" s="21">
        <f>EXP(-LN(2)/35)*GL45+(1-EXP(-LN(2)/35))/(LN(2)/35)*GH46*GI46*VLOOKUP('Données projet'!$B$17,Paramètres!$A$1:$I$89,3,0)*0.475*44/12</f>
        <v>6.4189707427174634</v>
      </c>
      <c r="GM46" s="21">
        <f>EXP(-LN(2)/25)*GM45+(1-EXP(-LN(2)/25))/(LN(2)/25)*Calculateur!GH46*Calculateur!GJ46*VLOOKUP('Données projet'!$B$17,Paramètres!$A$1:$I$89,3,0)*0.475*44/12</f>
        <v>10.980251797149949</v>
      </c>
      <c r="GN46" s="21">
        <f>EXP(-LN(2)/2)*GN45+(1-EXP(-LN(2)/2))/(LN(2)/2)*GH46*GK46*VLOOKUP('Données projet'!$B$17,Paramètres!$A$1:$I$89,3,0)*0.475*44/12</f>
        <v>0</v>
      </c>
      <c r="GO46" s="21">
        <f t="shared" si="27"/>
        <v>17.399222539867413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projet'!$A$279:$I$299,2,0)</f>
        <v>#N/A</v>
      </c>
      <c r="GS46" s="12" t="e">
        <f>VLOOKUP(A46,'Données projet'!$A$279:$I$299,9,0)</f>
        <v>#N/A</v>
      </c>
      <c r="GT46" s="12">
        <f t="array" ref="GT46">INDEX(GS:GS,MIN(IF(ISNUMBER(GS46:GS242),ROW(GS46:GS242),"")))</f>
        <v>19.2</v>
      </c>
      <c r="GU46" s="12">
        <f>IF('Données projet'!$A$280&gt;35,GU45+GT46-HC45,IF(A46&lt;'Données projet'!$A$280,$GR$205^A46,IF(A46='Données projet'!$A$280,'Données projet'!$B$280,GU45+GT46-HC45)))</f>
        <v>509.60000000000014</v>
      </c>
      <c r="GV46" s="17">
        <f>GU46*VLOOKUP('Données projet'!$B$18,Paramètres!$A$1:$I$89,3,0)*VLOOKUP('Données projet'!$B$18,Paramètres!$A$1:$I$89,5,0)</f>
        <v>205.36880000000005</v>
      </c>
      <c r="GW46" s="13">
        <f t="shared" si="81"/>
        <v>50.922242243364238</v>
      </c>
      <c r="GX46" s="20">
        <f t="shared" si="28"/>
        <v>446.37356524052615</v>
      </c>
      <c r="GY46" s="59">
        <f t="shared" si="29"/>
        <v>739.70689857385946</v>
      </c>
      <c r="GZ46" s="59">
        <f ca="1">AVERAGE(OFFSET($GY$3,0,0,'Données projet'!$E$18+1,1))-AVERAGE(OFFSET($H$3,0,0,'Données projet'!$E$18+1,1))</f>
        <v>324.36162935850876</v>
      </c>
      <c r="HA46" s="59">
        <f t="shared" si="82"/>
        <v>265.23571072429735</v>
      </c>
      <c r="HB46" s="15">
        <f>IF(ISNA(VLOOKUP(A46,'Données projet'!$A$279:$I$299,3,0)),0,VLOOKUP(A46,'Données projet'!$A$279:$I$299,3,0))</f>
        <v>0</v>
      </c>
      <c r="HC46" s="15">
        <f>IF(ISNA(VLOOKUP(A46,'Données projet'!$A$279:$I$299,4,0)),0,VLOOKUP(A46,'Données projet'!$A$279:$I$299,4,0))</f>
        <v>0</v>
      </c>
      <c r="HD46" s="16">
        <f>IF(ISNA(VLOOKUP(A46,'Données projet'!$A$279:$I$299,5,0)),0%,VLOOKUP(A46,'Données projet'!$A$279:$I$299,5,0)*VLOOKUP('Données projet'!$B$18,Paramètres!$A$1:$I$89,7,0))</f>
        <v>0</v>
      </c>
      <c r="HE46" s="16">
        <f>IF(ISNA(VLOOKUP(A46,'Données projet'!$A$279:$I$299,6,0)),0%,VLOOKUP(A46,'Données projet'!$A$279:$I$299,6,0)*VLOOKUP('Données projet'!$B$18,Paramètres!$A$1:$I$89,7,0))</f>
        <v>0</v>
      </c>
      <c r="HF46" s="16">
        <f>IF(ISNA(VLOOKUP($A46,'Données projet'!$A$279:$I$299,7,0)),0%,VLOOKUP($A46,'Données projet'!$A$279:$I$299,7,0))</f>
        <v>0</v>
      </c>
      <c r="HG46" s="21">
        <f>EXP(-LN(2)/35)*HG45+(1-EXP(-LN(2)/35))/(LN(2)/35)*HC46*HD46*VLOOKUP('Données projet'!$B$18,Paramètres!$A$1:$I$89,3,0)*0.475*44/12</f>
        <v>1.7617895762521973</v>
      </c>
      <c r="HH46" s="21">
        <f>EXP(-LN(2)/25)*HH45+(1-EXP(-LN(2)/25))/(LN(2)/25)*Calculateur!HC46*Calculateur!HE46*VLOOKUP('Données projet'!$B$18,Paramètres!$A$1:$I$89,3,0)*0.475*44/12</f>
        <v>8.1295491594405949</v>
      </c>
      <c r="HI46" s="21">
        <f>EXP(-LN(2)/2)*HI45+(1-EXP(-LN(2)/2))/(LN(2)/2)*HC46*HF46*VLOOKUP('Données projet'!$B$18,Paramètres!$A$1:$I$89,3,0)*0.475*44/12</f>
        <v>1.6694746706508099</v>
      </c>
      <c r="HJ46" s="22">
        <f t="shared" si="30"/>
        <v>11.560813406343602</v>
      </c>
      <c r="HK46" s="74">
        <f>('Scénario référence'!$F$8+'Scénario référence'!$F$9+'Scénario référence'!$B$17+'Scénario référence'!$B$9+'Scénario référence'!$B$10)*70+IF((45+25*(1-EXP(-0.0175*$A46)))&lt;70,'Scénario référence'!$B$16*(45+25*(1-EXP(-0.0175*$A46))),70*'Scénario référence'!$B$16)+IF((32+38*(1-EXP(-0.0175*$A46)))&lt;70,'Scénario référence'!$B$18*(32+38*(1-EXP(-0.0175*$A46))),70*'Scénario référence'!$B$18)</f>
        <v>70</v>
      </c>
      <c r="HL46" s="12">
        <f>IF($A46&gt;30,10,('Scénario référence'!$B$16+'Scénario référence'!$B$17+'Scénario référence'!$B$18+'Scénario référence'!$B$9+'Scénario référence'!$B$10)*$A46*10/30+('Scénario référence'!$F$8+'Scénario référence'!$F$9)*10)</f>
        <v>10</v>
      </c>
      <c r="HM46" s="12" t="e">
        <f>VLOOKUP($A46,'Données projet'!$A$304:$I$324,2,0)</f>
        <v>#N/A</v>
      </c>
      <c r="HN46" s="12" t="e">
        <f>VLOOKUP($A46,'Données projet'!$A$304:$I$324,9,0)</f>
        <v>#N/A</v>
      </c>
      <c r="HO46" s="12">
        <f t="array" ref="HO46">INDEX(HN:HN,MIN(IF(ISNUMBER(HN46:HN242),ROW(HN46:HN242),"")))</f>
        <v>0</v>
      </c>
      <c r="HP46" s="12">
        <f>IF('Données projet'!$A$304&gt;35,HP45+HO46-HX45,IF($A46&lt;'Données projet'!$A$304,$CQ$205^$A46,IF($A46='Données projet'!$A$304,'Données projet'!$B$304,HP45+HO46-HX45)))</f>
        <v>0</v>
      </c>
      <c r="HQ46" s="17">
        <f>HP46*VLOOKUP('Données projet'!$B$19,Paramètres!$A$1:$I$89,3,0)*VLOOKUP('Données projet'!$B$19,Paramètres!$A$1:$I$89,5,0)</f>
        <v>0</v>
      </c>
      <c r="HR46" s="13" t="e">
        <f t="shared" si="83"/>
        <v>#NUM!</v>
      </c>
      <c r="HS46" s="14" t="e">
        <f t="shared" si="31"/>
        <v>#NUM!</v>
      </c>
      <c r="HT46" s="59" t="e">
        <f t="shared" si="32"/>
        <v>#NUM!</v>
      </c>
      <c r="HU46" s="59">
        <f ca="1">AVERAGE(OFFSET(HT$3,0,0,'Données projet'!$E$19+1,1))-AVERAGE(OFFSET($H$3,0,0,'Données projet'!$E$19+1,1))</f>
        <v>91.60721429656013</v>
      </c>
      <c r="HV46" s="59">
        <f t="shared" si="84"/>
        <v>258.94957804210856</v>
      </c>
      <c r="HW46" s="15">
        <f>IF(ISNA(VLOOKUP($A46,'Données projet'!$A$304:$I$324,3,0)),0,VLOOKUP($A46,'Données projet'!$A$304:$I$324,3,0))</f>
        <v>0</v>
      </c>
      <c r="HX46" s="15">
        <f>IF(ISNA(VLOOKUP($A46,'Données projet'!$A$304:$I$324,4,0)),0,VLOOKUP($A46,'Données projet'!$A$304:$I$324,4,0))</f>
        <v>0</v>
      </c>
      <c r="HY46" s="16">
        <f>IF(ISNA(VLOOKUP($A46,'Données projet'!$A$304:$I$324,5,0)),0%,VLOOKUP($A46,'Données projet'!$A$304:$I$324,5,0)*VLOOKUP('Données projet'!$B$19,Paramètres!$A$1:$I$89,7,0))</f>
        <v>0</v>
      </c>
      <c r="HZ46" s="16">
        <f>IF(ISNA(VLOOKUP($A46,'Données projet'!$A$304:$I$324,6,0)),0%,VLOOKUP($A46,'Données projet'!$A$304:$I$324,6,0)*VLOOKUP('Données projet'!$B$19,Paramètres!$A$1:$I$89,7,0))</f>
        <v>0</v>
      </c>
      <c r="IA46" s="16">
        <f>IF(ISNA(VLOOKUP($A46,'Données projet'!$A$304:$I$324,7,0)),0%,VLOOKUP($A46,'Données projet'!$A$304:$I$324,7,0))</f>
        <v>0</v>
      </c>
      <c r="IB46" s="21">
        <f>EXP(-LN(2)/35)*IB45+(1-EXP(-LN(2)/35))/(LN(2)/35)*HX46*HY46*VLOOKUP('Données projet'!$B$19,Paramètres!$A$1:$I$89,3,0)*0.475*44/12</f>
        <v>38.135003052260586</v>
      </c>
      <c r="IC46" s="21">
        <f>EXP(-LN(2)/25)*IC45+(1-EXP(-LN(2)/25))/(LN(2)/25)*Calculateur!HX46*Calculateur!HZ46*VLOOKUP('Données projet'!$B$19,Paramètres!$A$1:$I$89,3,0)*0.475*44/12</f>
        <v>6.7838425847669948</v>
      </c>
      <c r="ID46" s="21">
        <f>EXP(-LN(2)/2)*ID45+(1-EXP(-LN(2)/2))/(LN(2)/2)*HX46*IA46*VLOOKUP('Données projet'!$B$19,Paramètres!$A$1:$I$89,3,0)*0.475*44/12</f>
        <v>6.3291836601961976E-3</v>
      </c>
      <c r="IE46" s="22">
        <f t="shared" si="33"/>
        <v>44.925174820687779</v>
      </c>
      <c r="IF46" s="74">
        <f>('Scénario référence'!$F$8+'Scénario référence'!$F$9+'Scénario référence'!$B$17+'Scénario référence'!$B$9+'Scénario référence'!$B$10)*70+IF((45+25*(1-EXP(-0.0175*$A46)))&lt;70,'Scénario référence'!$B$16*(45+25*(1-EXP(-0.0175*$A46))),70*'Scénario référence'!$B$16)+IF((32+38*(1-EXP(-0.0175*$A46)))&lt;70,'Scénario référence'!$B$18*(32+38*(1-EXP(-0.0175*$A46))),70*'Scénario référence'!$B$18)</f>
        <v>70</v>
      </c>
      <c r="IG46" s="12">
        <f>IF($A46&gt;30,10,('Scénario référence'!$B$16+'Scénario référence'!$B$17+'Scénario référence'!$B$18+'Scénario référence'!$B$9+'Scénario référence'!$B$10)*$A46*10/30+('Scénario référence'!$F$8+'Scénario référence'!$F$9)*10)</f>
        <v>10</v>
      </c>
      <c r="IH46" s="12" t="e">
        <f>VLOOKUP($A46,'Données projet'!$A$330:$I$350,2,0)</f>
        <v>#N/A</v>
      </c>
      <c r="II46" s="12" t="e">
        <f>VLOOKUP($A46,'Données projet'!$A$330:$I$350,9,0)</f>
        <v>#N/A</v>
      </c>
      <c r="IJ46" s="12">
        <f t="array" ref="IJ46">INDEX(II:II,MIN(IF(ISNUMBER(II46:II242),ROW(II46:II242),"")))</f>
        <v>0</v>
      </c>
      <c r="IK46" s="12">
        <f>IF('Données projet'!$A$330&gt;35,IK45+IJ46-IS45,IF($A46&lt;'Données projet'!$A$330,$CQ$205^$A46,IF($A46='Données projet'!$A$330,'Données projet'!$B$330,IK45+IJ46-IS45)))</f>
        <v>0</v>
      </c>
      <c r="IL46" s="17">
        <f>IK46*VLOOKUP('Données projet'!$B$20,Paramètres!$A$1:$I$89,3,0)*VLOOKUP('Données projet'!$B$20,Paramètres!$A$1:$I$89,5,0)</f>
        <v>0</v>
      </c>
      <c r="IM46" s="13" t="e">
        <f t="shared" si="85"/>
        <v>#NUM!</v>
      </c>
      <c r="IN46" s="20" t="e">
        <f t="shared" si="86"/>
        <v>#NUM!</v>
      </c>
      <c r="IO46" s="59" t="e">
        <f t="shared" si="87"/>
        <v>#NUM!</v>
      </c>
      <c r="IP46" s="59">
        <f ca="1">AVERAGE(OFFSET(IO$3,0,0,'Données projet'!$E$20+1,1))-AVERAGE(OFFSET($H$3,0,0,'Données projet'!$E$20+1,1))</f>
        <v>91.60721429656013</v>
      </c>
      <c r="IQ46" s="59">
        <f t="shared" si="88"/>
        <v>258.94957804210856</v>
      </c>
      <c r="IR46" s="15">
        <f>IF(ISNA(VLOOKUP($A46,'Données projet'!$A$330:$I$350,3,0)),0,VLOOKUP($A46,'Données projet'!$A$330:$I$350,3,0))</f>
        <v>0</v>
      </c>
      <c r="IS46" s="15">
        <f>IF(ISNA(VLOOKUP($A46,'Données projet'!$A$330:$I$350,4,0)),0,VLOOKUP($A46,'Données projet'!$A$330:$I$350,4,0))</f>
        <v>0</v>
      </c>
      <c r="IT46" s="16">
        <f>IF(ISNA(VLOOKUP($A46,'Données projet'!$A$330:$I$350,5,0)),0%,VLOOKUP($A46,'Données projet'!$A$330:$I$350,5,0)*VLOOKUP('Données projet'!$B$20,Paramètres!$A$1:$I$89,7,0))</f>
        <v>0</v>
      </c>
      <c r="IU46" s="16">
        <f>IF(ISNA(VLOOKUP($A46,'Données projet'!$A$330:$I$350,6,0)),0%,VLOOKUP($A46,'Données projet'!$A$330:$I$350,6,0)*VLOOKUP('Données projet'!$B$20,Paramètres!$A$1:$I$89,7,0))</f>
        <v>0</v>
      </c>
      <c r="IV46" s="16">
        <f>IF(ISNA(VLOOKUP($A46,'Données projet'!$A$330:$I$350,7,0)),0%,VLOOKUP($A46,'Données projet'!$A$330:$I$350,7,0))</f>
        <v>0</v>
      </c>
      <c r="IW46" s="21">
        <f>EXP(-LN(2)/35)*IW45+(1-EXP(-LN(2)/35))/(LN(2)/35)*IS46*IT46*VLOOKUP('Données projet'!$B$20,Paramètres!$A$1:$I$89,3,0)*0.475*44/12</f>
        <v>38.135003052260586</v>
      </c>
      <c r="IX46" s="21">
        <f>EXP(-LN(2)/25)*IX45+(1-EXP(-LN(2)/25))/(LN(2)/25)*Calculateur!IS46*Calculateur!IU46*VLOOKUP('Données projet'!$B$20,Paramètres!$A$1:$I$89,3,0)*0.475*44/12</f>
        <v>6.7838425847669948</v>
      </c>
      <c r="IY46" s="21">
        <f>EXP(-LN(2)/2)*IY45+(1-EXP(-LN(2)/2))/(LN(2)/2)*IS46*IV46*VLOOKUP('Données projet'!$B$20,Paramètres!$A$1:$I$89,3,0)*0.475*44/12</f>
        <v>6.3291836601961976E-3</v>
      </c>
      <c r="IZ46" s="22">
        <f t="shared" si="89"/>
        <v>44.925174820687779</v>
      </c>
      <c r="JA46" s="74">
        <f>('Scénario référence'!$F$8+'Scénario référence'!$F$9+'Scénario référence'!$B$17+'Scénario référence'!$B$9+'Scénario référence'!$B$10)*70+IF((45+25*(1-EXP(-0.0175*$A46)))&lt;70,'Scénario référence'!$B$16*(45+25*(1-EXP(-0.0175*$A46))),70*'Scénario référence'!$B$16)+IF((32+38*(1-EXP(-0.0175*$A46)))&lt;70,'Scénario référence'!$B$18*(32+38*(1-EXP(-0.0175*$A46))),70*'Scénario référence'!$B$18)</f>
        <v>70</v>
      </c>
      <c r="JB46" s="12">
        <f>IF($A46&gt;30,10,('Scénario référence'!$B$16+'Scénario référence'!$B$17+'Scénario référence'!$B$18+'Scénario référence'!$B$9+'Scénario référence'!$B$10)*$A46*10/30+('Scénario référence'!$F$8+'Scénario référence'!$F$9)*10)</f>
        <v>10</v>
      </c>
      <c r="JC46" s="12" t="e">
        <f>VLOOKUP($A46,'Données projet'!$A$356:$I$376,2,0)</f>
        <v>#N/A</v>
      </c>
      <c r="JD46" s="12" t="e">
        <f>VLOOKUP($A46,'Données projet'!$A$356:$I$376,9,0)</f>
        <v>#N/A</v>
      </c>
      <c r="JE46" s="12">
        <f t="array" ref="JE46">INDEX(JD:JD,MIN(IF(ISNUMBER(JD46:JD242),ROW(JD46:JD242),"")))</f>
        <v>11</v>
      </c>
      <c r="JF46" s="12">
        <f>IF('Données projet'!$A$356&gt;35,JF45+JE46-JN45,IF($A46&lt;'Données projet'!$A$356,$CQ$205^$A46,IF($A46='Données projet'!$A$356,'Données projet'!$B$356,JF45+JE46-JN45)))</f>
        <v>168.00000000000009</v>
      </c>
      <c r="JG46" s="17">
        <f>JF46*VLOOKUP('Données projet'!$B$21,Paramètres!$A$1:$I$89,3,0)*VLOOKUP('Données projet'!$B$21,Paramètres!$A$1:$I$89,5,0)</f>
        <v>136.28160000000008</v>
      </c>
      <c r="JH46" s="13">
        <f t="shared" si="90"/>
        <v>35.443842312892279</v>
      </c>
      <c r="JI46" s="20">
        <f t="shared" si="91"/>
        <v>299.08847869495418</v>
      </c>
      <c r="JJ46" s="59">
        <f t="shared" si="92"/>
        <v>592.42181202828749</v>
      </c>
      <c r="JK46" s="59">
        <f ca="1">AVERAGE(OFFSET($JJ$3,0,0,'Données projet'!$E$22+1,1))-AVERAGE(OFFSET($H$3,0,0,'Données projet'!$E$22+1,1))</f>
        <v>353.35574633294613</v>
      </c>
      <c r="JL46" s="59">
        <f t="shared" si="93"/>
        <v>170.36796666474726</v>
      </c>
      <c r="JM46" s="15">
        <f>IF(ISNA(VLOOKUP($A46,'Données projet'!$A$356:$I$376,3,0)),0,VLOOKUP($A46,'Données projet'!$A$356:$I$376,3,0))</f>
        <v>0</v>
      </c>
      <c r="JN46" s="15">
        <f>IF(ISNA(VLOOKUP($A46,'Données projet'!$A$356:$I$376,4,0)),0,VLOOKUP($A46,'Données projet'!$A$356:$I$376,4,0))</f>
        <v>0</v>
      </c>
      <c r="JO46" s="16">
        <f>IF(ISNA(VLOOKUP($A46,'Données projet'!$A$356:$I$376,5,0)),0%,VLOOKUP($A46,'Données projet'!$A$356:$I$376,5,0)*VLOOKUP('Données projet'!$B$21,Paramètres!$A$1:$I$89,7,0))</f>
        <v>0</v>
      </c>
      <c r="JP46" s="16">
        <f>IF(ISNA(VLOOKUP($A46,'Données projet'!$A$356:$I$376,6,0)),0%,VLOOKUP($A46,'Données projet'!$A$356:$I$376,6,0)*VLOOKUP('Données projet'!$B$21,Paramètres!$A$1:$I$89,7,0))</f>
        <v>0</v>
      </c>
      <c r="JQ46" s="16">
        <f>IF(ISNA(VLOOKUP($A46,'Données projet'!$A$356:$I$376,7,0)),0%,VLOOKUP($A46,'Données projet'!$A$356:$I$376,7,0))</f>
        <v>0</v>
      </c>
      <c r="JR46" s="21">
        <f>EXP(-LN(2)/35)*JR45+(1-EXP(-LN(2)/35))/(LN(2)/35)*JN46*JO46*VLOOKUP('Données projet'!$B$21,Paramètres!$A$1:$I$89,3,0)*0.475*44/12</f>
        <v>0</v>
      </c>
      <c r="JS46" s="21">
        <f>EXP(-LN(2)/25)*JS45+(1-EXP(-LN(2)/25))/(LN(2)/25)*Calculateur!JN46*Calculateur!JP46*VLOOKUP('Données projet'!$B$21,Paramètres!$A$1:$I$89,3,0)*0.475*44/12</f>
        <v>1.8511177017934839</v>
      </c>
      <c r="JT46" s="21">
        <f>EXP(-LN(2)/2)*JT45+(1-EXP(-LN(2)/2))/(LN(2)/2)*JN46*JQ46*VLOOKUP('Données projet'!$B$21,Paramètres!$A$1:$I$89,3,0)*0.475*44/12</f>
        <v>2.7459527453320742</v>
      </c>
      <c r="JU46" s="18">
        <f t="shared" si="39"/>
        <v>4.5970704471255583</v>
      </c>
      <c r="JV46" s="74">
        <f>('Scénario référence'!$F$8+'Scénario référence'!$F$9+'Scénario référence'!$B$17+'Scénario référence'!$B$9+'Scénario référence'!$B$10)*70+IF((45+25*(1-EXP(-0.0175*$A46)))&lt;70,'Scénario référence'!$B$16*(45+25*(1-EXP(-0.0175*$A46))),70*'Scénario référence'!$B$16)+IF((32+38*(1-EXP(-0.0175*$A46)))&lt;70,'Scénario référence'!$B$18*(32+38*(1-EXP(-0.0175*$A46))),70*'Scénario référence'!$B$18)</f>
        <v>70</v>
      </c>
      <c r="JW46" s="12">
        <f>IF($A46&gt;30,10,('Scénario référence'!$B$16+'Scénario référence'!$B$17+'Scénario référence'!$B$18+'Scénario référence'!$B$9+'Scénario référence'!$B$10)*$A46*10/30+('Scénario référence'!$F$8+'Scénario référence'!$F$9)*10)</f>
        <v>10</v>
      </c>
      <c r="JX46" s="12" t="e">
        <f>VLOOKUP($A46,'Données projet'!$A$382:$I$402,2,0)</f>
        <v>#N/A</v>
      </c>
      <c r="JY46" s="12" t="e">
        <f>VLOOKUP($A46,'Données projet'!$A$382:$I$402,9,0)</f>
        <v>#N/A</v>
      </c>
      <c r="JZ46" s="12">
        <f t="array" ref="JZ46">INDEX(JY:JY,MIN(IF(ISNUMBER(JY46:JY242),ROW(JY46:JY242),"")))</f>
        <v>9.3452380952380913</v>
      </c>
      <c r="KA46" s="12">
        <f>IF('Données projet'!$A$382&gt;35,KA45+JZ46-KI45,IF($A46&lt;'Données projet'!$A$382,$CQ$205^$A46,IF($A46='Données projet'!$A$382,'Données projet'!$B$382,KA45+JZ46-KI45)))</f>
        <v>137.62637362637363</v>
      </c>
      <c r="KB46" s="17">
        <f>KA46*VLOOKUP('Données projet'!$B$22,Paramètres!$A$1:$I$89,3,0)*VLOOKUP('Données projet'!$B$22,Paramètres!$A$1:$I$89,5,0)</f>
        <v>92.319771428571428</v>
      </c>
      <c r="KC46" s="13">
        <f t="shared" si="94"/>
        <v>25.123866668629734</v>
      </c>
      <c r="KD46" s="20">
        <f t="shared" si="95"/>
        <v>204.54766968595868</v>
      </c>
      <c r="KE46" s="59">
        <f t="shared" si="96"/>
        <v>497.881003019292</v>
      </c>
      <c r="KF46" s="59">
        <f ca="1">AVERAGE(OFFSET($KE$3,0,0,'Données projet'!$E$22+1,1))-AVERAGE(OFFSET($H$3,0,0,'Données projet'!$E$22+1,1))</f>
        <v>193.91714772848269</v>
      </c>
      <c r="KG46" s="59">
        <f t="shared" si="97"/>
        <v>159.20429420478047</v>
      </c>
      <c r="KH46" s="15">
        <f>IF(ISNA(VLOOKUP($A46,'Données projet'!$A$382:$I$402,3,0)),0,VLOOKUP($A46,'Données projet'!$A$382:$I$402,3,0))</f>
        <v>0</v>
      </c>
      <c r="KI46" s="15">
        <f>IF(ISNA(VLOOKUP($A46,'Données projet'!$A$382:$I$402,4,0)),0,VLOOKUP($A46,'Données projet'!$A$382:$I$402,4,0))</f>
        <v>0</v>
      </c>
      <c r="KJ46" s="16">
        <f>IF(ISNA(VLOOKUP($A46,'Données projet'!$A$382:$I$402,5,0)),0%,VLOOKUP($A46,'Données projet'!$A$382:$I$402,5,0)*VLOOKUP('Données projet'!$B$22,Paramètres!$A$1:$I$89,7,0))</f>
        <v>0</v>
      </c>
      <c r="KK46" s="16">
        <f>IF(ISNA(VLOOKUP($A46,'Données projet'!$A$382:$I$402,6,0)),0%,VLOOKUP($A46,'Données projet'!$A$382:$I$402,6,0)*VLOOKUP('Données projet'!$B$22,Paramètres!$A$1:$I$89,7,0))</f>
        <v>0</v>
      </c>
      <c r="KL46" s="16">
        <f>IF(ISNA(VLOOKUP($A46,'Données projet'!$A$382:$I$402,7,0)),0%,VLOOKUP($A46,'Données projet'!$A$382:$I$402,7,0))</f>
        <v>0</v>
      </c>
      <c r="KM46" s="21">
        <f>EXP(-LN(2)/35)*KM45+(1-EXP(-LN(2)/35))/(LN(2)/35)*KI46*KJ46*VLOOKUP('Données projet'!$B$22,Paramètres!$A$1:$I$89,3,0)*0.475*44/12</f>
        <v>0</v>
      </c>
      <c r="KN46" s="21">
        <f>EXP(-LN(2)/25)*KN45+(1-EXP(-LN(2)/25))/(LN(2)/25)*Calculateur!KI46*Calculateur!KK46*VLOOKUP('Données projet'!$B$22,Paramètres!$A$1:$I$89,3,0)*0.475*44/12</f>
        <v>0</v>
      </c>
      <c r="KO46" s="21">
        <f>EXP(-LN(2)/2)*KO45+(1-EXP(-LN(2)/2))/(LN(2)/2)*KI46*KL46*VLOOKUP('Données projet'!$B$22,Paramètres!$A$1:$I$89,3,0)*0.475*44/12</f>
        <v>0</v>
      </c>
      <c r="KP46" s="22">
        <f t="shared" si="98"/>
        <v>0</v>
      </c>
      <c r="KQ46" s="74">
        <f>('Scénario référence'!$F$8+'Scénario référence'!$F$9+'Scénario référence'!$B$17+'Scénario référence'!$B$9+'Scénario référence'!$B$10)*70+IF((45+25*(1-EXP(-0.0175*$A46)))&lt;70,'Scénario référence'!$B$16*(45+25*(1-EXP(-0.0175*$A46))),70*'Scénario référence'!$B$16)+IF((32+38*(1-EXP(-0.0175*$A46)))&lt;70,'Scénario référence'!$B$18*(32+38*(1-EXP(-0.0175*$A46))),70*'Scénario référence'!$B$18)</f>
        <v>70</v>
      </c>
      <c r="KR46" s="12">
        <f>IF($A46&gt;30,10,('Scénario référence'!$B$16+'Scénario référence'!$B$17+'Scénario référence'!$B$18+'Scénario référence'!$B$9+'Scénario référence'!$B$10)*$A46*10/30+('Scénario référence'!$F$8+'Scénario référence'!$F$9)*10)</f>
        <v>10</v>
      </c>
      <c r="KS46" s="12" t="e">
        <f>VLOOKUP($A46,'Données projet'!$A$408:$I$428,2,0)</f>
        <v>#N/A</v>
      </c>
      <c r="KT46" s="12" t="e">
        <f>VLOOKUP($A46,'Données projet'!$A$408:$I$428,9,0)</f>
        <v>#N/A</v>
      </c>
      <c r="KU46" s="12">
        <f t="array" ref="KU46">INDEX(KT:KT,MIN(IF(ISNUMBER(KT46:KT242),ROW(KT46:KT242),"")))</f>
        <v>8.1999999999999993</v>
      </c>
      <c r="KV46" s="12">
        <f>IF('Données projet'!$A$408&gt;35,KV45+KU46-LD45,IF($A46&lt;'Données projet'!$A$408,$CQ$205^$A46,IF($A46='Données projet'!$A$408,'Données projet'!$B$408,KV45+KU46-LD45)))</f>
        <v>188.6</v>
      </c>
      <c r="KW46" s="17">
        <f>KV46*VLOOKUP('Données projet'!$B$23,Paramètres!$A$1:$I$89,3,0)*VLOOKUP('Données projet'!$B$23,Paramètres!$A$1:$I$89,5,0)</f>
        <v>164.76096000000004</v>
      </c>
      <c r="KX46" s="13">
        <f t="shared" si="99"/>
        <v>41.914523809719945</v>
      </c>
      <c r="KY46" s="14">
        <f t="shared" si="43"/>
        <v>359.95980096859563</v>
      </c>
      <c r="KZ46" s="59">
        <f t="shared" si="44"/>
        <v>653.29313430192894</v>
      </c>
      <c r="LA46" s="59">
        <f ca="1">AVERAGE(OFFSET($KZ$3,0,0,'Données projet'!$E$23+1,1))-AVERAGE(OFFSET($H$3,0,0,'Données projet'!$E$23+1,1))</f>
        <v>248.33596943633819</v>
      </c>
      <c r="LB46" s="59">
        <f t="shared" si="100"/>
        <v>242.34010522344573</v>
      </c>
      <c r="LC46" s="15">
        <f>IF(ISNA(VLOOKUP($A46,'Données projet'!$A$408:$I$428,3,0)),0,VLOOKUP($A46,'Données projet'!$A$408:$I$428,3,0))</f>
        <v>0</v>
      </c>
      <c r="LD46" s="15">
        <f>IF(ISNA(VLOOKUP($A46,'Données projet'!$A$408:$I$428,4,0)),0,VLOOKUP($A46,'Données projet'!$A$408:$I$428,4,0))</f>
        <v>0</v>
      </c>
      <c r="LE46" s="16">
        <f>IF(ISNA(VLOOKUP($A46,'Données projet'!$A$408:$I$428,5,0)),0%,VLOOKUP($A46,'Données projet'!$A$408:$I$428,5,0)*VLOOKUP('Données projet'!$B$23,Paramètres!$A$1:$I$89,7,0))</f>
        <v>0</v>
      </c>
      <c r="LF46" s="16">
        <f>IF(ISNA(VLOOKUP($A46,'Données projet'!$A$408:$I$428,6,0)),0%,VLOOKUP($A46,'Données projet'!$A$408:$I$428,6,0)*VLOOKUP('Données projet'!$B$23,Paramètres!$A$1:$I$89,7,0))</f>
        <v>0</v>
      </c>
      <c r="LG46" s="16">
        <f>IF(ISNA(VLOOKUP($A46,'Données projet'!$A$408:$I$428,7,0)),0%,VLOOKUP($A46,'Données projet'!$A$408:$I$428,7,0))</f>
        <v>0</v>
      </c>
      <c r="LH46" s="21">
        <f>EXP(-LN(2)/35)*LH45+(1-EXP(-LN(2)/35))/(LN(2)/35)*LD46*LE46*VLOOKUP('Données projet'!$B$23,Paramètres!$A$1:$I$89,3,0)*0.475*44/12</f>
        <v>6.4189707427174634</v>
      </c>
      <c r="LI46" s="21">
        <f>EXP(-LN(2)/25)*LI45+(1-EXP(-LN(2)/25))/(LN(2)/25)*Calculateur!LD46*Calculateur!LF46*VLOOKUP('Données projet'!$B$23,Paramètres!$A$1:$I$89,3,0)*0.475*44/12</f>
        <v>10.980251797149949</v>
      </c>
      <c r="LJ46" s="21">
        <f>EXP(-LN(2)/2)*LJ45+(1-EXP(-LN(2)/2))/(LN(2)/2)*LD46*LG46*VLOOKUP('Données projet'!$B$23,Paramètres!$A$1:$I$89,3,0)*0.475*44/12</f>
        <v>0</v>
      </c>
      <c r="LK46" s="22">
        <f t="shared" si="101"/>
        <v>17.399222539867413</v>
      </c>
      <c r="LL46" s="74">
        <f>('Scénario référence'!$F$8+'Scénario référence'!$F$9+'Scénario référence'!$B$17+'Scénario référence'!$B$9+'Scénario référence'!$B$10)*70+IF((45+25*(1-EXP(-0.0175*$A46)))&lt;70,'Scénario référence'!$B$16*(45+25*(1-EXP(-0.0175*$A46))),70*'Scénario référence'!$B$16)+IF((32+38*(1-EXP(-0.0175*$A46)))&lt;70,'Scénario référence'!$B$18*(32+38*(1-EXP(-0.0175*$A46))),70*'Scénario référence'!$B$18)</f>
        <v>70</v>
      </c>
      <c r="LM46" s="12">
        <f>IF($A46&gt;30,10,('Scénario référence'!$B$16+'Scénario référence'!$B$17+'Scénario référence'!$B$18+'Scénario référence'!$B$9+'Scénario référence'!$B$10)*$A46*10/30+('Scénario référence'!$F$8+'Scénario référence'!$F$9)*10)</f>
        <v>10</v>
      </c>
      <c r="LN46" s="12" t="e">
        <f>VLOOKUP($A46,'Données projet'!$A$434:$I$454,2,0)</f>
        <v>#N/A</v>
      </c>
      <c r="LO46" s="12" t="e">
        <f>VLOOKUP($A46,'Données projet'!$A$434:$I$454,9,0)</f>
        <v>#N/A</v>
      </c>
      <c r="LP46" s="12">
        <f t="array" ref="LP46">INDEX(LO:LO,MIN(IF(ISNUMBER(LO46:LO242),ROW(LO46:LO242),"")))</f>
        <v>5.3369963369963358</v>
      </c>
      <c r="LQ46" s="12">
        <f>IF('Données projet'!$A$434&gt;35,LQ45+LP46-LY45,IF($A46&lt;'Données projet'!$A$434,$CQ$205^$A46,IF($A46='Données projet'!$A$434,'Données projet'!$B$434,LQ45+LP46-LY45)))</f>
        <v>157.08608058608053</v>
      </c>
      <c r="LR46" s="17">
        <f>LQ46*VLOOKUP('Données projet'!$B$24,Paramètres!$A$1:$I$89,3,0)*VLOOKUP('Données projet'!$B$24,Paramètres!$A$1:$I$89,5,0)</f>
        <v>159.28528571428566</v>
      </c>
      <c r="LS46" s="13">
        <f t="shared" si="102"/>
        <v>40.681267624862308</v>
      </c>
      <c r="LT46" s="14">
        <f t="shared" si="46"/>
        <v>348.27508039901596</v>
      </c>
      <c r="LU46" s="59">
        <f t="shared" si="103"/>
        <v>641.60841373234928</v>
      </c>
      <c r="LV46" s="59">
        <f ca="1">AVERAGE(OFFSET($LU$3,0,0,'Données projet'!$E$24+1,1))-AVERAGE(OFFSET($H$3,0,0,'Données projet'!$E$24+1,1))</f>
        <v>260.52627655062872</v>
      </c>
      <c r="LW46" s="59">
        <f t="shared" si="104"/>
        <v>159.20429420478047</v>
      </c>
      <c r="LX46" s="15">
        <f>IF(ISNA(VLOOKUP($A46,'Données projet'!$A$434:$I$454,3,0)),0,VLOOKUP($A46,'Données projet'!$A$434:$I$454,3,0))</f>
        <v>0</v>
      </c>
      <c r="LY46" s="15">
        <f>IF(ISNA(VLOOKUP($A46,'Données projet'!$A$434:$I$454,4,0)),0,VLOOKUP($A46,'Données projet'!$A$434:$I$454,4,0))</f>
        <v>0</v>
      </c>
      <c r="LZ46" s="16">
        <f>IF(ISNA(VLOOKUP($A46,'Données projet'!$A$434:$I$454,5,0)),0%,VLOOKUP($A46,'Données projet'!$A$434:$I$454,5,0)*VLOOKUP('Données projet'!$B$24,Paramètres!$A$1:$I$89,7,0))</f>
        <v>0</v>
      </c>
      <c r="MA46" s="16">
        <f>IF(ISNA(VLOOKUP($A46,'Données projet'!$A$434:$I$454,6,0)),0%,VLOOKUP($A46,'Données projet'!$A$434:$I$454,6,0)*VLOOKUP('Données projet'!$B$24,Paramètres!$A$1:$I$89,7,0))</f>
        <v>0</v>
      </c>
      <c r="MB46" s="16">
        <f>IF(ISNA(VLOOKUP($A46,'Données projet'!$A$434:$I$454,7,0)),0%,VLOOKUP($A46,'Données projet'!$A$434:$I$454,7,0))</f>
        <v>0</v>
      </c>
      <c r="MC46" s="21">
        <f>EXP(-LN(2)/35)*MC45+(1-EXP(-LN(2)/35))/(LN(2)/35)*LY46*LZ46*VLOOKUP('Données projet'!$B$24,Paramètres!$A$1:$I$89,3,0)*0.475*44/12</f>
        <v>0</v>
      </c>
      <c r="MD46" s="21">
        <f>EXP(-LN(2)/25)*MD45+(1-EXP(-LN(2)/25))/(LN(2)/25)*Calculateur!LY46*Calculateur!MA46*VLOOKUP('Données projet'!$B$24,Paramètres!$A$1:$I$89,3,0)*0.475*44/12</f>
        <v>0</v>
      </c>
      <c r="ME46" s="21">
        <f>EXP(-LN(2)/2)*ME45+(1-EXP(-LN(2)/2))/(LN(2)/2)*LY46*MB46*VLOOKUP('Données projet'!$B$24,Paramètres!$A$1:$I$89,3,0)*0.475*44/12</f>
        <v>0</v>
      </c>
      <c r="MF46" s="22">
        <f t="shared" si="105"/>
        <v>0</v>
      </c>
      <c r="MG46" s="74">
        <f>('Scénario référence'!$F$8+'Scénario référence'!$F$9+'Scénario référence'!$B$17+'Scénario référence'!$B$9+'Scénario référence'!$B$10)*70+IF((45+25*(1-EXP(-0.0175*$A46)))&lt;70,'Scénario référence'!$B$16*(45+25*(1-EXP(-0.0175*$A46))),70*'Scénario référence'!$B$16)+IF((32+38*(1-EXP(-0.0175*$A46)))&lt;70,'Scénario référence'!$B$18*(32+38*(1-EXP(-0.0175*$A46))),70*'Scénario référence'!$B$18)</f>
        <v>70</v>
      </c>
      <c r="MH46" s="12">
        <f>IF($A46&gt;30,10,('Scénario référence'!$B$16+'Scénario référence'!$B$17+'Scénario référence'!$B$18+'Scénario référence'!$B$9+'Scénario référence'!$B$10)*$A46*10/30+('Scénario référence'!$F$8+'Scénario référence'!$F$9)*10)</f>
        <v>10</v>
      </c>
      <c r="MI46" s="12" t="e">
        <f>VLOOKUP($A46,'Données projet'!$A$460:$I$480,2,0)</f>
        <v>#N/A</v>
      </c>
      <c r="MJ46" s="12" t="e">
        <f>VLOOKUP($A46,'Données projet'!$A$460:$I$480,9,0)</f>
        <v>#N/A</v>
      </c>
      <c r="MK46" s="12">
        <f t="array" ref="MK46">INDEX(MJ:MJ,MIN(IF(ISNUMBER(MJ46:MJ242),ROW(MJ46:MJ242),"")))</f>
        <v>0</v>
      </c>
      <c r="ML46" s="12">
        <f>IF('Données projet'!$A$460&gt;35,ML45+MK46-MT45,IF($A46&lt;'Données projet'!$A$460,$CQ$205^$A46,IF($A46='Données projet'!$A$460,'Données projet'!$B$460,ML45+MK46-MT45)))</f>
        <v>0</v>
      </c>
      <c r="MM46" s="17" t="e">
        <f>ML46*VLOOKUP('Données projet'!$B$25,Paramètres!$A$1:$I$89,3,0)*VLOOKUP('Données projet'!$B$25,Paramètres!$A$1:$I$89,5,0)</f>
        <v>#N/A</v>
      </c>
      <c r="MN46" s="13" t="e">
        <f t="shared" si="106"/>
        <v>#N/A</v>
      </c>
      <c r="MO46" s="14" t="e">
        <f t="shared" si="49"/>
        <v>#N/A</v>
      </c>
      <c r="MP46" s="59" t="e">
        <f t="shared" si="50"/>
        <v>#N/A</v>
      </c>
      <c r="MQ46" s="20" t="e">
        <f ca="1">AVERAGE(OFFSET($MP$3,0,0,'Données projet'!$E$25+1,1))-AVERAGE(OFFSET($H$3,0,0,'Données projet'!$E$25+1,1))</f>
        <v>#N/A</v>
      </c>
      <c r="MR46" s="59" t="e">
        <f t="shared" si="107"/>
        <v>#N/A</v>
      </c>
      <c r="MS46" s="15">
        <f>IF(ISNA(VLOOKUP($A46,'Données projet'!$A$460:$I$480,3,0)),0,VLOOKUP($A46,'Données projet'!$A$460:$I$480,3,0))</f>
        <v>0</v>
      </c>
      <c r="MT46" s="15">
        <f>IF(ISNA(VLOOKUP($A46,'Données projet'!$A$460:$I$480,4,0)),0,VLOOKUP($A46,'Données projet'!$A$460:$I$480,4,0))</f>
        <v>0</v>
      </c>
      <c r="MU46" s="16">
        <f>IF(ISNA(VLOOKUP($A46,'Données projet'!$A$460:$I$480,5,0)),0%,VLOOKUP($A46,'Données projet'!$A$460:$I$480,5,0)*VLOOKUP('Données projet'!$B$25,Paramètres!$A$1:$I$89,7,0))</f>
        <v>0</v>
      </c>
      <c r="MV46" s="16">
        <f>IF(ISNA(VLOOKUP($A46,'Données projet'!$A$460:$I$480,6,0)),0%,VLOOKUP($A46,'Données projet'!$A$460:$I$480,6,0)*VLOOKUP('Données projet'!$B$25,Paramètres!$A$1:$I$89,7,0))</f>
        <v>0</v>
      </c>
      <c r="MW46" s="16">
        <f>IF(ISNA(VLOOKUP($A46,'Données projet'!$A$460:$I$480,7,0)),0%,VLOOKUP($A46,'Données projet'!$A$460:$I$480,7,0))</f>
        <v>0</v>
      </c>
      <c r="MX46" s="21" t="e">
        <f>EXP(-LN(2)/35)*MX45+(1-EXP(-LN(2)/35))/(LN(2)/35)*MT46*MU46*VLOOKUP('Données projet'!$B$25,Paramètres!$A$1:$I$89,3,0)*0.475*44/12</f>
        <v>#N/A</v>
      </c>
      <c r="MY46" s="21" t="e">
        <f>EXP(-LN(2)/25)*MY45+(1-EXP(-LN(2)/25))/(LN(2)/25)*Calculateur!MT46*Calculateur!MV46*VLOOKUP('Données projet'!$B$25,Paramètres!$A$1:$I$89,3,0)*0.475*44/12</f>
        <v>#N/A</v>
      </c>
      <c r="MZ46" s="21" t="e">
        <f>EXP(-LN(2)/2)*MZ45+(1-EXP(-LN(2)/2))/(LN(2)/2)*MT46*MW46*VLOOKUP('Données projet'!$B$25,Paramètres!$A$1:$I$89,3,0)*0.475*44/12</f>
        <v>#N/A</v>
      </c>
      <c r="NA46" s="22" t="e">
        <f t="shared" si="108"/>
        <v>#N/A</v>
      </c>
      <c r="NB46" s="74">
        <f>('Scénario référence'!$F$8+'Scénario référence'!$F$9+'Scénario référence'!$B$17+'Scénario référence'!$B$9+'Scénario référence'!$B$10)*70+IF((45+25*(1-EXP(-0.0175*$A46)))&lt;70,'Scénario référence'!$B$16*(45+25*(1-EXP(-0.0175*$A46))),70*'Scénario référence'!$B$16)+IF((32+38*(1-EXP(-0.0175*$A46)))&lt;70,'Scénario référence'!$B$18*(32+38*(1-EXP(-0.0175*$A46))),70*'Scénario référence'!$B$18)</f>
        <v>70</v>
      </c>
      <c r="NC46" s="12">
        <f>IF($A46&gt;30,10,('Scénario référence'!$B$16+'Scénario référence'!$B$17+'Scénario référence'!$B$18+'Scénario référence'!$B$9+'Scénario référence'!$B$10)*$A46*10/30+('Scénario référence'!$F$8+'Scénario référence'!$F$9)*10)</f>
        <v>10</v>
      </c>
      <c r="ND46" s="12" t="e">
        <f>VLOOKUP($A46,'Données projet'!$A$486:$I$506,2,0)</f>
        <v>#N/A</v>
      </c>
      <c r="NE46" s="12" t="e">
        <f>VLOOKUP($A46,'Données projet'!$A$486:$I$506,9,0)</f>
        <v>#N/A</v>
      </c>
      <c r="NF46" s="12">
        <f t="array" ref="NF46">INDEX(NE:NE,MIN(IF(ISNUMBER(NE46:NE242),ROW(NE46:NE242),"")))</f>
        <v>0</v>
      </c>
      <c r="NG46" s="12">
        <f>IF('Données projet'!$A$486&gt;35,NG45+NF46-NO45,IF($A46&lt;'Données projet'!$A$486,$CQ$205^$A46,IF($A46='Données projet'!$A$486,'Données projet'!$B$486,NG45+NF46-NO45)))</f>
        <v>0</v>
      </c>
      <c r="NH46" s="17" t="e">
        <f>NG46*VLOOKUP('Données projet'!$B$26,Paramètres!$A$1:$I$89,3,0)*VLOOKUP('Données projet'!$B$26,Paramètres!$A$1:$I$89,5,0)</f>
        <v>#N/A</v>
      </c>
      <c r="NI46" s="13" t="e">
        <f t="shared" si="109"/>
        <v>#N/A</v>
      </c>
      <c r="NJ46" s="14" t="e">
        <f t="shared" si="52"/>
        <v>#N/A</v>
      </c>
      <c r="NK46" s="59" t="e">
        <f t="shared" si="53"/>
        <v>#N/A</v>
      </c>
      <c r="NL46" s="20" t="e">
        <f ca="1">AVERAGE(OFFSET($NK$3,0,0,'Données projet'!$E$26+1,1))-AVERAGE(OFFSET($H$3,0,0,'Données projet'!$E$26+1,1))</f>
        <v>#N/A</v>
      </c>
      <c r="NM46" s="59" t="e">
        <f t="shared" si="110"/>
        <v>#N/A</v>
      </c>
      <c r="NN46" s="15">
        <f>IF(ISNA(VLOOKUP($A46,'Données projet'!$A$486:$I$506,3,0)),0,VLOOKUP($A46,'Données projet'!$A$486:$I$506,3,0))</f>
        <v>0</v>
      </c>
      <c r="NO46" s="15">
        <f>IF(ISNA(VLOOKUP($A46,'Données projet'!$A$486:$I$506,4,0)),0,VLOOKUP($A46,'Données projet'!$A$486:$I$506,4,0))</f>
        <v>0</v>
      </c>
      <c r="NP46" s="16">
        <f>IF(ISNA(VLOOKUP($A46,'Données projet'!$A$486:$I$506,5,0)),0%,VLOOKUP($A46,'Données projet'!$A$486:$I$506,5,0)*VLOOKUP('Données projet'!$B$26,Paramètres!$A$1:$I$89,7,0))</f>
        <v>0</v>
      </c>
      <c r="NQ46" s="16">
        <f>IF(ISNA(VLOOKUP($A46,'Données projet'!$A$486:$I$506,6,0)),0%,VLOOKUP($A46,'Données projet'!$A$486:$I$506,6,0)*VLOOKUP('Données projet'!$B$26,Paramètres!$A$1:$I$89,7,0))</f>
        <v>0</v>
      </c>
      <c r="NR46" s="16">
        <f>IF(ISNA(VLOOKUP($A46,'Données projet'!$A$486:$I$506,7,0)),0%,VLOOKUP($A46,'Données projet'!$A$486:$I$506,7,0))</f>
        <v>0</v>
      </c>
      <c r="NS46" s="21" t="e">
        <f>EXP(-LN(2)/35)*NS45+(1-EXP(-LN(2)/35))/(LN(2)/35)*NO46*NP46*VLOOKUP('Données projet'!$B$26,Paramètres!$A$1:$I$89,3,0)*0.475*44/12</f>
        <v>#N/A</v>
      </c>
      <c r="NT46" s="21" t="e">
        <f>EXP(-LN(2)/25)*NT45+(1-EXP(-LN(2)/25))/(LN(2)/25)*Calculateur!NO46*Calculateur!NQ46*VLOOKUP('Données projet'!$B$26,Paramètres!$A$1:$I$89,3,0)*0.475*44/12</f>
        <v>#N/A</v>
      </c>
      <c r="NU46" s="21" t="e">
        <f>EXP(-LN(2)/2)*NU45+(1-EXP(-LN(2)/2))/(LN(2)/2)*NO46*NR46*VLOOKUP('Données projet'!$B$26,Paramètres!$A$1:$I$89,3,0)*0.475*44/12</f>
        <v>#N/A</v>
      </c>
      <c r="NV46" s="22" t="e">
        <f t="shared" si="111"/>
        <v>#N/A</v>
      </c>
      <c r="NW46" s="74">
        <f>('Scénario référence'!$F$8+'Scénario référence'!$F$9+'Scénario référence'!$B$17+'Scénario référence'!$B$9+'Scénario référence'!$B$10)*70+IF((45+25*(1-EXP(-0.0175*$A46)))&lt;70,'Scénario référence'!$B$16*(45+25*(1-EXP(-0.0175*$A46))),70*'Scénario référence'!$B$16)+IF((32+38*(1-EXP(-0.0175*$A46)))&lt;70,'Scénario référence'!$B$18*(32+38*(1-EXP(-0.0175*$A46))),70*'Scénario référence'!$B$18)</f>
        <v>70</v>
      </c>
      <c r="NX46" s="12">
        <f>IF($A46&gt;30,10,('Scénario référence'!$B$16+'Scénario référence'!$B$17+'Scénario référence'!$B$18+'Scénario référence'!$B$9+'Scénario référence'!$B$10)*$A46*10/30+('Scénario référence'!$F$8+'Scénario référence'!$F$9)*10)</f>
        <v>10</v>
      </c>
      <c r="NY46" s="12" t="e">
        <f>VLOOKUP($A46,'Données projet'!$A$512:$I$532,2,0)</f>
        <v>#N/A</v>
      </c>
      <c r="NZ46" s="12" t="e">
        <f>VLOOKUP($A46,'Données projet'!$A$512:$I$532,9,0)</f>
        <v>#N/A</v>
      </c>
      <c r="OA46" s="12">
        <f t="array" ref="OA46">INDEX(NZ:NZ,MIN(IF(ISNUMBER(NZ46:NZ242),ROW(NZ46:NZ242),"")))</f>
        <v>0</v>
      </c>
      <c r="OB46" s="12">
        <f>IF('Données projet'!$A$512&gt;35,OB45+OA46-OJ45,IF($A46&lt;'Données projet'!$A$512,$CQ$205^$A46,IF($A46='Données projet'!$A$512,'Données projet'!$B$512,OB45+OA46-OJ45)))</f>
        <v>0</v>
      </c>
      <c r="OC46" s="17" t="e">
        <f>OB46*VLOOKUP('Données projet'!$B$27,Paramètres!$A$1:$I$89,3,0)*VLOOKUP('Données projet'!$B$27,Paramètres!$A$1:$I$89,5,0)</f>
        <v>#N/A</v>
      </c>
      <c r="OD46" s="13" t="e">
        <f t="shared" si="112"/>
        <v>#N/A</v>
      </c>
      <c r="OE46" s="14" t="e">
        <f t="shared" si="55"/>
        <v>#N/A</v>
      </c>
      <c r="OF46" s="59" t="e">
        <f t="shared" si="56"/>
        <v>#N/A</v>
      </c>
      <c r="OG46" s="20" t="e">
        <f ca="1">AVERAGE(OFFSET($OF$3,0,0,'Données projet'!$E$27+1,1))-AVERAGE(OFFSET($H$3,0,0,'Données projet'!$E$27+1,1))</f>
        <v>#N/A</v>
      </c>
      <c r="OH46" s="59" t="e">
        <f t="shared" si="113"/>
        <v>#N/A</v>
      </c>
      <c r="OI46" s="15">
        <f>IF(ISNA(VLOOKUP($A46,'Données projet'!$A$512:$I$532,3,0)),0,VLOOKUP($A46,'Données projet'!$A$512:$I$532,3,0))</f>
        <v>0</v>
      </c>
      <c r="OJ46" s="15">
        <f>IF(ISNA(VLOOKUP($A46,'Données projet'!$A$512:$I$532,4,0)),0,VLOOKUP($A46,'Données projet'!$A$512:$I$532,4,0))</f>
        <v>0</v>
      </c>
      <c r="OK46" s="16">
        <f>IF(ISNA(VLOOKUP($A46,'Données projet'!$A$512:$I$532,5,0)),0%,VLOOKUP($A46,'Données projet'!$A$512:$I$532,5,0)*VLOOKUP('Données projet'!$B$27,Paramètres!$A$1:$I$89,7,0))</f>
        <v>0</v>
      </c>
      <c r="OL46" s="16">
        <f>IF(ISNA(VLOOKUP($A46,'Données projet'!$A$512:$I$532,6,0)),0%,VLOOKUP($A46,'Données projet'!$A$512:$I$532,6,0)*VLOOKUP('Données projet'!$B$27,Paramètres!$A$1:$I$89,7,0))</f>
        <v>0</v>
      </c>
      <c r="OM46" s="16">
        <f>IF(ISNA(VLOOKUP($A46,'Données projet'!$A$512:$I$532,7,0)),0%,VLOOKUP($A46,'Données projet'!$A$512:$I$532,7,0))</f>
        <v>0</v>
      </c>
      <c r="ON46" s="21" t="e">
        <f>EXP(-LN(2)/35)*ON45+(1-EXP(-LN(2)/35))/(LN(2)/35)*OJ46*OK46*VLOOKUP('Données projet'!$B$27,Paramètres!$A$1:$I$89,3,0)*0.475*44/12</f>
        <v>#N/A</v>
      </c>
      <c r="OO46" s="21" t="e">
        <f>EXP(-LN(2)/25)*OO45+(1-EXP(-LN(2)/25))/(LN(2)/25)*Calculateur!OJ46*Calculateur!OL46*VLOOKUP('Données projet'!$B$27,Paramètres!$A$1:$I$89,3,0)*0.475*44/12</f>
        <v>#N/A</v>
      </c>
      <c r="OP46" s="21" t="e">
        <f>EXP(-LN(2)/2)*OP45+(1-EXP(-LN(2)/2))/(LN(2)/2)*OJ46*OM46*VLOOKUP('Données projet'!$B$27,Paramètres!$A$1:$I$89,3,0)*0.475*44/12</f>
        <v>#N/A</v>
      </c>
      <c r="OQ46" s="22" t="e">
        <f t="shared" si="114"/>
        <v>#N/A</v>
      </c>
      <c r="OR46" s="74">
        <f>('Scénario référence'!$F$8+'Scénario référence'!$F$9+'Scénario référence'!$B$17+'Scénario référence'!$B$9+'Scénario référence'!$B$10)*70+IF((45+25*(1-EXP(-0.0175*$A46)))&lt;70,'Scénario référence'!$B$16*(45+25*(1-EXP(-0.0175*$A46))),70*'Scénario référence'!$B$16)+IF((32+38*(1-EXP(-0.0175*$A46)))&lt;70,'Scénario référence'!$B$18*(32+38*(1-EXP(-0.0175*$A46))),70*'Scénario référence'!$B$18)</f>
        <v>70</v>
      </c>
      <c r="OS46" s="12">
        <f>IF($A46&gt;30,10,('Scénario référence'!$B$16+'Scénario référence'!$B$17+'Scénario référence'!$B$18+'Scénario référence'!$B$9+'Scénario référence'!$B$10)*$A46*10/30+('Scénario référence'!$F$8+'Scénario référence'!$F$9)*10)</f>
        <v>10</v>
      </c>
      <c r="OT46" s="12" t="e">
        <f>VLOOKUP($A46,'Données projet'!$A$538:$I$558,2,0)</f>
        <v>#N/A</v>
      </c>
      <c r="OU46" s="12" t="e">
        <f>VLOOKUP($A46,'Données projet'!$A$538:$I$558,9,0)</f>
        <v>#N/A</v>
      </c>
      <c r="OV46" s="12">
        <f t="array" ref="OV46">INDEX(OU:OU,MIN(IF(ISNUMBER(OU46:OU242),ROW(OU46:OU242),"")))</f>
        <v>0</v>
      </c>
      <c r="OW46" s="12">
        <f>IF('Données projet'!$A$538&gt;35,OW45+OV46-PE45,IF($A46&lt;'Données projet'!$A$538,$CQ$205^$A46,IF($A46='Données projet'!$A$538,'Données projet'!$B$538,OW45+OV46-PE45)))</f>
        <v>0</v>
      </c>
      <c r="OX46" s="17" t="e">
        <f>OW46*VLOOKUP('Données projet'!$B$28,Paramètres!$A$1:$I$89,3,0)*VLOOKUP('Données projet'!$B$28,Paramètres!$A$1:$I$89,5,0)</f>
        <v>#N/A</v>
      </c>
      <c r="OY46" s="13" t="e">
        <f t="shared" si="115"/>
        <v>#N/A</v>
      </c>
      <c r="OZ46" s="14" t="e">
        <f t="shared" si="58"/>
        <v>#N/A</v>
      </c>
      <c r="PA46" s="59" t="e">
        <f t="shared" si="59"/>
        <v>#N/A</v>
      </c>
      <c r="PB46" s="20" t="e">
        <f ca="1">AVERAGE(OFFSET($PA$3,0,0,'Données projet'!$E$28+1,1))-AVERAGE(OFFSET($H$3,0,0,'Données projet'!$E$28+1,1))</f>
        <v>#N/A</v>
      </c>
      <c r="PC46" s="59" t="e">
        <f t="shared" si="116"/>
        <v>#N/A</v>
      </c>
      <c r="PD46" s="15">
        <f>IF(ISNA(VLOOKUP($A46,'Données projet'!$A$538:$I$558,3,0)),0,VLOOKUP($A46,'Données projet'!$A$538:$I$558,3,0))</f>
        <v>0</v>
      </c>
      <c r="PE46" s="15">
        <f>IF(ISNA(VLOOKUP($A46,'Données projet'!$A$538:$I$558,4,0)),0,VLOOKUP($A46,'Données projet'!$A$538:$I$558,4,0))</f>
        <v>0</v>
      </c>
      <c r="PF46" s="16">
        <f>IF(ISNA(VLOOKUP($A46,'Données projet'!$A$538:$I$558,5,0)),0%,VLOOKUP($A46,'Données projet'!$A$538:$I$558,5,0)*VLOOKUP('Données projet'!$B$28,Paramètres!$A$1:$I$89,7,0))</f>
        <v>0</v>
      </c>
      <c r="PG46" s="16">
        <f>IF(ISNA(VLOOKUP($A46,'Données projet'!$A$538:$I$558,6,0)),0%,VLOOKUP($A46,'Données projet'!$A$538:$I$558,6,0)*VLOOKUP('Données projet'!$B$28,Paramètres!$A$1:$I$89,7,0))</f>
        <v>0</v>
      </c>
      <c r="PH46" s="16">
        <f>IF(ISNA(VLOOKUP($A46,'Données projet'!$A$538:$I$558,7,0)),0%,VLOOKUP($A46,'Données projet'!$A$538:$I$558,7,0))</f>
        <v>0</v>
      </c>
      <c r="PI46" s="21" t="e">
        <f>EXP(-LN(2)/35)*PI45+(1-EXP(-LN(2)/35))/(LN(2)/35)*PE46*PF46*VLOOKUP('Données projet'!$B$28,Paramètres!$A$1:$I$89,3,0)*0.475*44/12</f>
        <v>#N/A</v>
      </c>
      <c r="PJ46" s="21" t="e">
        <f>EXP(-LN(2)/25)*PJ45+(1-EXP(-LN(2)/25))/(LN(2)/25)*Calculateur!PE46*Calculateur!PG46*VLOOKUP('Données projet'!$B$28,Paramètres!$A$1:$I$89,3,0)*0.475*44/12</f>
        <v>#N/A</v>
      </c>
      <c r="PK46" s="21" t="e">
        <f>EXP(-LN(2)/2)*PK45+(1-EXP(-LN(2)/2))/(LN(2)/2)*PE46*PH46*VLOOKUP('Données projet'!$B$28,Paramètres!$A$1:$I$89,3,0)*0.475*44/12</f>
        <v>#N/A</v>
      </c>
      <c r="PL46" s="22" t="e">
        <f t="shared" si="117"/>
        <v>#N/A</v>
      </c>
    </row>
    <row r="47" spans="1:428" x14ac:dyDescent="0.35">
      <c r="A47" s="10">
        <f t="shared" si="6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6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projet'!$A$45:$I$65,2,0)</f>
        <v>#N/A</v>
      </c>
      <c r="L47" s="12" t="e">
        <f>VLOOKUP(A47,'Données projet'!$A$45:$I$65,9,0)</f>
        <v>#N/A</v>
      </c>
      <c r="M47" s="12">
        <f t="array" ref="M47">INDEX(L:L,MIN(IF(ISNUMBER(L47:L243),ROW(L47:L243),"")))</f>
        <v>21.625641025641034</v>
      </c>
      <c r="N47" s="13">
        <f>IF('Données projet'!$A$46&gt;35,N46+M47-V46,IF(A47&lt;'Données projet'!$A$46,$K$205^A47,IF(A47='Données projet'!$A$46,'Données projet'!$B$46,N46+M47-V46)))</f>
        <v>438.58205128205122</v>
      </c>
      <c r="O47" s="13">
        <f>N47*VLOOKUP('Données projet'!$B$9,Paramètres!$A$1:$I$89,3,0)*VLOOKUP('Données projet'!$B$9,Paramètres!$A$1:$I$89,5,0)</f>
        <v>245.16736666666665</v>
      </c>
      <c r="P47" s="13">
        <f t="shared" si="63"/>
        <v>59.549932468183236</v>
      </c>
      <c r="Q47" s="20">
        <f t="shared" si="118"/>
        <v>530.71596265986352</v>
      </c>
      <c r="R47" s="59">
        <f t="shared" si="0"/>
        <v>824.04929599319689</v>
      </c>
      <c r="S47" s="59">
        <f ca="1">AVERAGE(OFFSET($R$3,0,0,'Données projet'!$E$9+1,1))-AVERAGE(OFFSET($H$3,0,0,'Données projet'!$E$9+1,1))</f>
        <v>274.57619581652199</v>
      </c>
      <c r="T47" s="59">
        <f t="shared" si="64"/>
        <v>366.15117322598775</v>
      </c>
      <c r="U47" s="15">
        <f>IF(ISNA(VLOOKUP(A47,'Données projet'!$A$45:$I$65,3,0)),0,VLOOKUP(A47,'Données projet'!$A$45:$I$65,3,0))</f>
        <v>0</v>
      </c>
      <c r="V47" s="15">
        <f>IF(ISNA(VLOOKUP(A47,'Données projet'!$A$45:$I$65,4,0)),0,VLOOKUP(A47,'Données projet'!$A$45:$I$65,4,0))</f>
        <v>0</v>
      </c>
      <c r="W47" s="16">
        <f>IF(ISNA(VLOOKUP(A47,'Données projet'!$A$45:$I$65,5,0)),0%,VLOOKUP(A47,'Données projet'!$A$45:$I$65,5,0)*VLOOKUP('Données projet'!$B$9,Paramètres!$A$1:$I$89,7,0))</f>
        <v>0</v>
      </c>
      <c r="X47" s="16">
        <f>IF(ISNA(VLOOKUP(A47,'Données projet'!$A$45:$I$65,6,0)),0%,VLOOKUP(A47,'Données projet'!$A$45:$I$65,6,0)*VLOOKUP('Données projet'!$B$9,Paramètres!$A$1:$I$89,7,0))</f>
        <v>0</v>
      </c>
      <c r="Y47" s="16">
        <f>IF(ISNA(VLOOKUP(A47,'Données projet'!$A$45:$I$65,7,0)),0%,VLOOKUP(A47,'Données projet'!$A$45:$I$65,7,0))</f>
        <v>0</v>
      </c>
      <c r="Z47" s="21">
        <f>EXP(-LN(2)/35)*Z46+(1-EXP(-LN(2)/35))/(LN(2)/35)*V47*W47*VLOOKUP('Données projet'!$B$9,Paramètres!$A$1:$I$89,3,0)*0.475*44/12</f>
        <v>59.430497652047244</v>
      </c>
      <c r="AA47" s="21">
        <f>EXP(-LN(2)/25)*AA46+(1-EXP(-LN(2)/25))/(LN(2)/25)*Calculateur!V47*Calculateur!X47*VLOOKUP('Données projet'!$B$9,Paramètres!$A$1:$I$89,3,0)*0.475*44/12</f>
        <v>20.905498370950394</v>
      </c>
      <c r="AB47" s="21">
        <f>EXP(-LN(2)/2)*AB46+(1-EXP(-LN(2)/2))/(LN(2)/2)*V47*Y47*VLOOKUP('Données projet'!$B$9,Paramètres!$A$1:$I$89,3,0)*0.475*44/12</f>
        <v>3.4763388990898312</v>
      </c>
      <c r="AC47" s="22">
        <f t="shared" si="3"/>
        <v>83.812334922087459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projet'!$A$71:$I$91,2,0)</f>
        <v>#N/A</v>
      </c>
      <c r="AG47" s="12" t="e">
        <f>VLOOKUP(A47,'Données projet'!$A$71:$I$91,9,0)</f>
        <v>#N/A</v>
      </c>
      <c r="AH47" s="12">
        <f t="array" ref="AH47">INDEX(AG:AG,MIN(IF(ISNUMBER(AG47:AG243),ROW(AG47:AG243),"")))</f>
        <v>9.3452380952380913</v>
      </c>
      <c r="AI47" s="13">
        <f>IF('Données projet'!$A$72&gt;35,AI46+AH47-AQ46,IF(A47&lt;'Données projet'!$A$72,$AF$205^A47,IF(A47='Données projet'!$A$72,'Données projet'!$B$72,AI46+AH47-AQ46)))</f>
        <v>146.97161172161179</v>
      </c>
      <c r="AJ47" s="13">
        <f>AI47*VLOOKUP('Données projet'!$B$10,Paramètres!$A$1:$I$89,3,0)*VLOOKUP('Données projet'!$B$10,Paramètres!$A$1:$I$89,5,0)</f>
        <v>132.97991428571436</v>
      </c>
      <c r="AK47" s="13">
        <f t="shared" si="65"/>
        <v>34.684019161942608</v>
      </c>
      <c r="AL47" s="20">
        <f t="shared" si="4"/>
        <v>292.01468408800253</v>
      </c>
      <c r="AM47" s="59">
        <f t="shared" si="5"/>
        <v>585.34801742133584</v>
      </c>
      <c r="AN47" s="59">
        <f ca="1">AVERAGE(OFFSET($AM$3,0,0,'Données projet'!$E$10+1,1))-AVERAGE(OFFSET($H$3,0,0,'Données projet'!$E$10+1,1))</f>
        <v>270.87836509222456</v>
      </c>
      <c r="AO47" s="59">
        <f t="shared" si="66"/>
        <v>205.24998237949734</v>
      </c>
      <c r="AP47" s="15">
        <f>IF(ISNA(VLOOKUP(A47,'Données projet'!$A$71:$I$91,3,0)),0,VLOOKUP(A47,'Données projet'!$A$71:$I$91,3,0))</f>
        <v>0</v>
      </c>
      <c r="AQ47" s="15">
        <f>IF(ISNA(VLOOKUP(A47,'Données projet'!$A$71:$I$91,4,0)),0,VLOOKUP(A47,'Données projet'!$A$71:$I$91,4,0))</f>
        <v>0</v>
      </c>
      <c r="AR47" s="16">
        <f>IF(ISNA(VLOOKUP(A47,'Données projet'!$A$71:$I$91,5,0)),0%,VLOOKUP(A47,'Données projet'!$A$71:$I$91,5,0)*VLOOKUP('Données projet'!$B$10,Paramètres!$A$1:$I$89,7,0))</f>
        <v>0</v>
      </c>
      <c r="AS47" s="16">
        <f>IF(ISNA(VLOOKUP(A47,'Données projet'!$A$71:$I$91,6,0)),0%,VLOOKUP(A47,'Données projet'!$A$71:$I$91,6,0)*VLOOKUP('Données projet'!$B$10,Paramètres!$A$1:$I$89,7,0))</f>
        <v>0</v>
      </c>
      <c r="AT47" s="16">
        <f>IF(ISNA(VLOOKUP(A47,'Données projet'!$A$71:$I$91,7,0)),0%,VLOOKUP(A47,'Données projet'!$A$71:$I$91,7,0))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projet'!$A$97:$I$117,2,0)</f>
        <v>#N/A</v>
      </c>
      <c r="BB47" s="12" t="e">
        <f>VLOOKUP(A47,'Données projet'!$A$97:$I$117,9,0)</f>
        <v>#N/A</v>
      </c>
      <c r="BC47" s="12">
        <f t="array" ref="BC47">INDEX(BB:BB,MIN(IF(ISNUMBER(BB47:BB243),ROW(BB47:BB243),"")))</f>
        <v>21.625641025641034</v>
      </c>
      <c r="BD47" s="12">
        <f>IF('Données projet'!$A$98&gt;35,BD46+BC47-BL46,IF(A47&lt;'Données projet'!$A$98,$BA$205^A47,IF(A47='Données projet'!$A$98,'Données projet'!$B$98,BD46+BC47-BL46)))</f>
        <v>438.58205128205122</v>
      </c>
      <c r="BE47" s="13">
        <f>BD47*VLOOKUP('Données projet'!$B$11,Paramètres!$A$1:$I$89,3,0)*VLOOKUP('Données projet'!$B$11,Paramètres!$A$1:$I$89,5,0)</f>
        <v>193.85326666666666</v>
      </c>
      <c r="BF47" s="13">
        <f t="shared" si="67"/>
        <v>48.39085739535372</v>
      </c>
      <c r="BG47" s="20">
        <f t="shared" si="7"/>
        <v>421.90851607468545</v>
      </c>
      <c r="BH47" s="59">
        <f t="shared" si="8"/>
        <v>715.24184940801877</v>
      </c>
      <c r="BI47" s="59">
        <f ca="1">AVERAGE(OFFSET($BH$3,0,0,'Données projet'!$E$11+1,1))-AVERAGE(OFFSET($H$3,0,0,'Données projet'!$E$11+1,1))</f>
        <v>211.31057120485542</v>
      </c>
      <c r="BJ47" s="59">
        <f t="shared" si="68"/>
        <v>283.33292006714777</v>
      </c>
      <c r="BK47" s="15">
        <f>IF(ISNA(VLOOKUP(A47,'Données projet'!$A$97:$I$117,3,0)),0,VLOOKUP(A47,'Données projet'!$A$97:$I$117,3,0))</f>
        <v>0</v>
      </c>
      <c r="BL47" s="15">
        <f>IF(ISNA(VLOOKUP(A47,'Données projet'!$A$97:$I$117,4,0)),0,VLOOKUP(A47,'Données projet'!$A$97:$I$117,4,0))</f>
        <v>0</v>
      </c>
      <c r="BM47" s="16">
        <f>IF(ISNA(VLOOKUP(A47,'Données projet'!$A$97:$I$117,5,0)),0%,VLOOKUP(A47,'Données projet'!$A$97:$I$117,5,0)*VLOOKUP('Données projet'!$B$11,Paramètres!$A$1:$I$89,7,0))</f>
        <v>0</v>
      </c>
      <c r="BN47" s="16">
        <f>IF(ISNA(VLOOKUP(A47,'Données projet'!$A$97:$I$117,6,0)),0%,VLOOKUP(A47,'Données projet'!$A$97:$I$117,6,0)*VLOOKUP('Données projet'!$B$11,Paramètres!$A$1:$I$89,7,0))</f>
        <v>0</v>
      </c>
      <c r="BO47" s="16">
        <f>IF(ISNA(VLOOKUP(A47,'Données projet'!$A$97:$I$117,7,0)),0%,VLOOKUP(A47,'Données projet'!$A$97:$I$117,7,0))</f>
        <v>0</v>
      </c>
      <c r="BP47" s="21">
        <f>EXP(-LN(2)/35)*BP46+(1-EXP(-LN(2)/35))/(LN(2)/35)*BL47*BM47*VLOOKUP('Données projet'!$B$11,Paramètres!$A$1:$I$89,3,0)*0.475*44/12</f>
        <v>46.991556283014098</v>
      </c>
      <c r="BQ47" s="21">
        <f>EXP(-LN(2)/25)*BQ46+(1-EXP(-LN(2)/25))/(LN(2)/25)*Calculateur!BL47*Calculateur!BN47*VLOOKUP('Données projet'!$B$11,Paramètres!$A$1:$I$89,3,0)*0.475*44/12</f>
        <v>16.529928944472402</v>
      </c>
      <c r="BR47" s="21">
        <f>EXP(-LN(2)/2)*BR46+(1-EXP(-LN(2)/2))/(LN(2)/2)*BL47*BO47*VLOOKUP('Données projet'!$B$11,Paramètres!$A$1:$I$89,3,0)*0.475*44/12</f>
        <v>2.7487330830012624</v>
      </c>
      <c r="BS47" s="22">
        <f t="shared" si="9"/>
        <v>66.270218310487763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projet'!$A$123:$I$143,2,0)</f>
        <v>#N/A</v>
      </c>
      <c r="BW47" s="12" t="e">
        <f>VLOOKUP(A47,'Données projet'!$A$123:$I$143,9,0)</f>
        <v>#N/A</v>
      </c>
      <c r="BX47" s="12">
        <f t="array" ref="BX47">INDEX(BW:BW,MIN(IF(ISNUMBER(BW47:BW243),ROW(BW47:BW243),"")))</f>
        <v>8</v>
      </c>
      <c r="BY47" s="12">
        <f>IF('Données projet'!$A$124&gt;35,BY46+BX47-CG46,IF(A47&lt;'Données projet'!$A$124,$BV$205^A47,IF(A47='Données projet'!$A$124,'Données projet'!$B$124,BY46+BX47-CG46)))</f>
        <v>190.00000000000003</v>
      </c>
      <c r="BZ47" s="13">
        <f>BY47*VLOOKUP('Données projet'!$B$12,Paramètres!$A$1:$I$89,3,0)*VLOOKUP('Données projet'!$B$12,Paramètres!$A$1:$I$89,5,0)</f>
        <v>198.58800000000005</v>
      </c>
      <c r="CA47" s="13">
        <f t="shared" si="69"/>
        <v>49.433725020229176</v>
      </c>
      <c r="CB47" s="20">
        <f t="shared" si="10"/>
        <v>431.97117107689922</v>
      </c>
      <c r="CC47" s="59">
        <f t="shared" si="11"/>
        <v>725.30450441023254</v>
      </c>
      <c r="CD47" s="59">
        <f ca="1">AVERAGE(OFFSET($CC$3,0,0,'Données projet'!$E$12+1,1))-AVERAGE(OFFSET($H$3,0,0,'Données projet'!$E$12+1,1))</f>
        <v>322.93502595881938</v>
      </c>
      <c r="CE47" s="59">
        <f t="shared" si="70"/>
        <v>302.67072119588164</v>
      </c>
      <c r="CF47" s="15">
        <f>IF(ISNA(VLOOKUP(A47,'Données projet'!$A$123:$I$143,3,0)),0,VLOOKUP(A47,'Données projet'!$A$123:$I$143,3,0))</f>
        <v>0</v>
      </c>
      <c r="CG47" s="15">
        <f>IF(ISNA(VLOOKUP(A47,'Données projet'!$A$123:$I$143,4,0)),0,VLOOKUP(A47,'Données projet'!$A$123:$I$143,4,0))</f>
        <v>0</v>
      </c>
      <c r="CH47" s="16">
        <f>IF(ISNA(VLOOKUP(A47,'Données projet'!$A$123:$I$143,5,0)),0%,VLOOKUP(A47,'Données projet'!$A$123:$I$143,5,0)*VLOOKUP('Données projet'!$B$12,Paramètres!$A$1:$I$89,7,0))</f>
        <v>0</v>
      </c>
      <c r="CI47" s="16">
        <f>IF(ISNA(VLOOKUP(A47,'Données projet'!$A$123:$I$143,6,0)),0%,VLOOKUP(A47,'Données projet'!$A$123:$I$143,6,0)*VLOOKUP('Données projet'!$B$12,Paramètres!$A$1:$I$89,7,0))</f>
        <v>0</v>
      </c>
      <c r="CJ47" s="16">
        <f>IF(ISNA(VLOOKUP(A47,'Données projet'!$A$123:$I$143,7,0)),0%,VLOOKUP(A47,'Données projet'!$A$123:$I$143,7,0))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11.185104095890907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11.185104095890907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>
        <f>VLOOKUP(A47,'Données projet'!$A$149:$I$169,2,0)</f>
        <v>162.42307692307691</v>
      </c>
      <c r="CR47" s="12">
        <f>VLOOKUP(A47,'Données projet'!$A$149:$I$169,9,0)</f>
        <v>5.3369963369963358</v>
      </c>
      <c r="CS47" s="12">
        <f t="array" ref="CS47">INDEX(CR:CR,MIN(IF(ISNUMBER(CR47:CR243),ROW(CR47:CR243),"")))</f>
        <v>5.3369963369963358</v>
      </c>
      <c r="CT47" s="12">
        <f>IF('Données projet'!$A$150&gt;35,CT46+CS47-DB46,IF(A47&lt;'Données projet'!$A$150,$CQ$205^A47,IF(A47='Données projet'!$A$150,'Données projet'!$B$150,CT46+CS47-DB46)))</f>
        <v>162.42307692307685</v>
      </c>
      <c r="CU47" s="17">
        <f>CT47*VLOOKUP('Données projet'!$B$13,Paramètres!$A$1:$I$89,3,0)*VLOOKUP('Données projet'!$B$13,Paramètres!$A$1:$I$89,5,0)</f>
        <v>164.69699999999995</v>
      </c>
      <c r="CV47" s="13">
        <f t="shared" si="71"/>
        <v>41.900146282502362</v>
      </c>
      <c r="CW47" s="20">
        <f t="shared" si="13"/>
        <v>359.82336310869147</v>
      </c>
      <c r="CX47" s="59">
        <f t="shared" si="14"/>
        <v>653.15669644202478</v>
      </c>
      <c r="CY47" s="59">
        <f ca="1">AVERAGE(OFFSET($CX$3,0,0,'Données projet'!$E$13+1,1))-AVERAGE(OFFSET($H$3,0,0,'Données projet'!$E$13+1,1))</f>
        <v>250.31277422753283</v>
      </c>
      <c r="CZ47" s="59">
        <f t="shared" si="72"/>
        <v>159.20429420478047</v>
      </c>
      <c r="DA47" s="15">
        <f>IF(ISNA(VLOOKUP(A47,'Données projet'!$A$149:$I$169,3,0)),0,VLOOKUP(A47,'Données projet'!$A$149:$I$169,3,0))</f>
        <v>1</v>
      </c>
      <c r="DB47" s="15">
        <f>IF(ISNA(VLOOKUP(A47,'Données projet'!$A$149:$I$169,4,0)),0,VLOOKUP(A47,'Données projet'!$A$149:$I$169,4,0))</f>
        <v>64.416666666666657</v>
      </c>
      <c r="DC47" s="16">
        <f>IF(ISNA(VLOOKUP(A47,'Données projet'!$A$149:$I$169,5,0)),0%,VLOOKUP(A47,'Données projet'!$A$149:$I$169,5,0)*VLOOKUP('Données projet'!$B$13,Paramètres!$A$1:$I$89,7,0))</f>
        <v>0</v>
      </c>
      <c r="DD47" s="16">
        <f>IF(ISNA(VLOOKUP(A47,'Données projet'!$A$149:$I$169,6,0)),0%,VLOOKUP(A47,'Données projet'!$A$149:$I$169,6,0)*VLOOKUP('Données projet'!$B$13,Paramètres!$A$1:$I$89,7,0))</f>
        <v>0</v>
      </c>
      <c r="DE47" s="16">
        <f>IF(ISNA(VLOOKUP(A47,'Données projet'!$A$149:$I$169,7,0)),0%,VLOOKUP(A47,'Données projet'!$A$149:$I$169,7,0))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projet'!$A$175:$I$195,2,0)</f>
        <v>#N/A</v>
      </c>
      <c r="DM47" s="12" t="e">
        <f>VLOOKUP(A47,'Données projet'!$A$175:$I$195,9,0)</f>
        <v>#N/A</v>
      </c>
      <c r="DN47" s="12">
        <f t="array" ref="DN47">INDEX(DM:DM,MIN(IF(ISNUMBER(DM47:DM243),ROW(DM47:DM243),"")))</f>
        <v>11.4</v>
      </c>
      <c r="DO47" s="12">
        <f>IF('Données projet'!$A$176&gt;35,DO46+DN47-DW46,IF(A47&lt;'Données projet'!$A$176,$DL$205^A47,IF(A47='Données projet'!$A$176,'Données projet'!$B$176,DO46+DN47-DW46)))</f>
        <v>268.59999999999991</v>
      </c>
      <c r="DP47" s="17">
        <f>DO47*VLOOKUP('Données projet'!$B$14,Paramètres!$A$1:$I$89,3,0)*VLOOKUP('Données projet'!$B$14,Paramètres!$A$1:$I$89,5,0)</f>
        <v>196.93751999999992</v>
      </c>
      <c r="DQ47" s="13">
        <f t="shared" si="73"/>
        <v>49.070524066369494</v>
      </c>
      <c r="DR47" s="20">
        <f t="shared" si="16"/>
        <v>428.46401008226007</v>
      </c>
      <c r="DS47" s="59">
        <f t="shared" si="17"/>
        <v>721.79734341559333</v>
      </c>
      <c r="DT47" s="59">
        <f ca="1">AVERAGE(OFFSET($DS$3,0,0,'Données projet'!$E$14+1,1))-AVERAGE(OFFSET($H$3,0,0,'Données projet'!$E$14+1,1))</f>
        <v>296.91321813251051</v>
      </c>
      <c r="DU47" s="59">
        <f t="shared" si="74"/>
        <v>291.0718079639509</v>
      </c>
      <c r="DV47" s="15">
        <f>IF(ISNA(VLOOKUP(A47,'Données projet'!$A$175:$I$195,3,0)),0,VLOOKUP(A47,'Données projet'!$A$175:$I$195,3,0))</f>
        <v>0</v>
      </c>
      <c r="DW47" s="15">
        <f>IF(ISNA(VLOOKUP(A47,'Données projet'!$A$175:$I$195,4,0)),0,VLOOKUP(A47,'Données projet'!$A$175:$I$195,4,0))</f>
        <v>0</v>
      </c>
      <c r="DX47" s="16">
        <f>IF(ISNA(VLOOKUP(A47,'Données projet'!$A$175:$I$195,5,0)),0%,VLOOKUP(A47,'Données projet'!$A$175:$I$195,5,0)*VLOOKUP('Données projet'!$B$14,Paramètres!$A$1:$I$89,7,0))</f>
        <v>0</v>
      </c>
      <c r="DY47" s="16">
        <f>IF(ISNA(VLOOKUP(A47,'Données projet'!$A$175:$I$195,6,0)),0%,VLOOKUP(A47,'Données projet'!$A$175:$I$195,6,0)*VLOOKUP('Données projet'!$B$14,Paramètres!$A$1:$I$89,7,0))</f>
        <v>0</v>
      </c>
      <c r="DZ47" s="16">
        <f>IF(ISNA(VLOOKUP(A47,'Données projet'!$A$175:$I$195,7,0)),0%,VLOOKUP(A47,'Données projet'!$A$175:$I$195,7,0))</f>
        <v>0</v>
      </c>
      <c r="EA47" s="21">
        <f>EXP(-LN(2)/35)*EA46+(1-EXP(-LN(2)/35))/(LN(2)/35)*DW47*DX47*VLOOKUP('Données projet'!$B$14,Paramètres!$A$1:$I$89,3,0)*0.475*44/12</f>
        <v>27.186686118746692</v>
      </c>
      <c r="EB47" s="21">
        <f>EXP(-LN(2)/25)*EB46+(1-EXP(-LN(2)/25))/(LN(2)/25)*Calculateur!DW47*Calculateur!DY47*VLOOKUP('Données projet'!$B$14,Paramètres!$A$1:$I$89,3,0)*0.475*44/12</f>
        <v>11.068908509609098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38.255594628355794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projet'!$A$201:$I$221,2,0)</f>
        <v>#N/A</v>
      </c>
      <c r="EH47" s="12" t="e">
        <f>VLOOKUP(A47,'Données projet'!$A$201:$I$221,9,0)</f>
        <v>#N/A</v>
      </c>
      <c r="EI47" s="12">
        <f t="array" ref="EI47">INDEX(EH:EH,MIN(IF(ISNUMBER(EH47:EH243),ROW(EH47:EH243),"")))</f>
        <v>10.407692307692306</v>
      </c>
      <c r="EJ47" s="12">
        <f>IF('Données projet'!$A$202&gt;35,EJ46+EI47-ER46,IF(A47&lt;'Données projet'!$A$202,$EG$205^A47,IF(A47='Données projet'!$A$202,'Données projet'!$B$202,EJ46+EI47-ER46)))</f>
        <v>248.98461538461544</v>
      </c>
      <c r="EK47" s="17">
        <f>EJ47*VLOOKUP('Données projet'!$B$15,Paramètres!$A$1:$I$89,3,0)*VLOOKUP('Données projet'!$B$15,Paramètres!$A$1:$I$89,5,0)</f>
        <v>116.52480000000001</v>
      </c>
      <c r="EL47" s="13">
        <f t="shared" si="75"/>
        <v>30.86308487963316</v>
      </c>
      <c r="EM47" s="20">
        <f t="shared" si="19"/>
        <v>256.70056616536107</v>
      </c>
      <c r="EN47" s="59">
        <f t="shared" si="20"/>
        <v>550.03389949869438</v>
      </c>
      <c r="EO47" s="59">
        <f ca="1">AVERAGE(OFFSET($EN$3,0,0,'Données projet'!$E$15+1,1))-AVERAGE(OFFSET($H$3,0,0,'Données projet'!$E$15+1,1))</f>
        <v>147.64256291235483</v>
      </c>
      <c r="EP47" s="59">
        <f t="shared" si="76"/>
        <v>70.859031694091868</v>
      </c>
      <c r="EQ47" s="15">
        <f>IF(ISNA(VLOOKUP(A47,'Données projet'!$A$201:$I$221,3,0)),0,VLOOKUP(A47,'Données projet'!$A$201:$I$221,3,0))</f>
        <v>0</v>
      </c>
      <c r="ER47" s="15">
        <f>IF(ISNA(VLOOKUP(A47,'Données projet'!$A$201:$I$221,4,0)),0,VLOOKUP(A47,'Données projet'!$A$201:$I$221,4,0))</f>
        <v>0</v>
      </c>
      <c r="ES47" s="16">
        <f>IF(ISNA(VLOOKUP(A47,'Données projet'!$A$201:$I$221,5,0)),0%,VLOOKUP(A47,'Données projet'!$A$201:$I$221,5,0)*VLOOKUP('Données projet'!$B$15,Paramètres!$A$1:$I$89,7,0))</f>
        <v>0</v>
      </c>
      <c r="ET47" s="16">
        <f>IF(ISNA(VLOOKUP(A47,'Données projet'!$A$201:$I$221,6,0)),0%,VLOOKUP(A47,'Données projet'!$A$201:$I$221,6,0)*VLOOKUP('Données projet'!$B$15,Paramètres!$A$1:$I$89,7,0))</f>
        <v>0</v>
      </c>
      <c r="EU47" s="16">
        <f>IF(ISNA(VLOOKUP(A47,'Données projet'!$A$201:$I$221,7,0)),0%,VLOOKUP(A47,'Données projet'!$A$201:$I$221,7,0))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0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projet'!$A$227:$I$247,2,0)</f>
        <v>#N/A</v>
      </c>
      <c r="FC47" s="12" t="e">
        <f>VLOOKUP(A47,'Données projet'!$A$227:$I$247,9,0)</f>
        <v>#N/A</v>
      </c>
      <c r="FD47" s="12">
        <f t="array" ref="FD47">INDEX(FC:FC,MIN(IF(ISNUMBER(FC47:FC243),ROW(FC47:FC243),"")))</f>
        <v>6.4</v>
      </c>
      <c r="FE47" s="12">
        <f>IF('Données projet'!$A$228&gt;35,FE46+FD47-FM46,IF(A47&lt;'Données projet'!$A$228,$FB$205^A47,IF(A47='Données projet'!$A$228,'Données projet'!$B$228,FE46+FD47-FM46)))</f>
        <v>155.60000000000002</v>
      </c>
      <c r="FF47" s="17">
        <f>FE47*VLOOKUP('Données projet'!$B$16,Paramètres!$A$1:$I$89,3,0)*VLOOKUP('Données projet'!$B$16,Paramètres!$A$1:$I$89,5,0)</f>
        <v>162.63312000000005</v>
      </c>
      <c r="FG47" s="13">
        <f t="shared" si="77"/>
        <v>41.435857583171057</v>
      </c>
      <c r="FH47" s="20">
        <f t="shared" si="22"/>
        <v>355.42013595735625</v>
      </c>
      <c r="FI47" s="59">
        <f t="shared" si="23"/>
        <v>648.75346929068951</v>
      </c>
      <c r="FJ47" s="59">
        <f ca="1">AVERAGE(OFFSET($FI$3,0,0,'Données projet'!$E$16+1,1))-AVERAGE(OFFSET($H$3,0,0,'Données projet'!$E$16+1,1))</f>
        <v>259.03906550253788</v>
      </c>
      <c r="FK47" s="59">
        <f t="shared" si="78"/>
        <v>235.54542903570831</v>
      </c>
      <c r="FL47" s="15">
        <f>IF(ISNA(VLOOKUP(A47,'Données projet'!$A$227:$I$247,3,0)),0,VLOOKUP(A47,'Données projet'!$A$227:$I$247,3,0))</f>
        <v>0</v>
      </c>
      <c r="FM47" s="15">
        <f>IF(ISNA(VLOOKUP(A47,'Données projet'!$A$227:$I$247,4,0)),0,VLOOKUP(A47,'Données projet'!$A$227:$I$247,4,0))</f>
        <v>0</v>
      </c>
      <c r="FN47" s="16">
        <f>IF(ISNA(VLOOKUP(A47,'Données projet'!$A$227:$I$247,5,0)),0%,VLOOKUP(A47,'Données projet'!$A$227:$I$247,5,0)*VLOOKUP('Données projet'!$B$16,Paramètres!$A$1:$I$89,7,0))</f>
        <v>0</v>
      </c>
      <c r="FO47" s="16">
        <f>IF(ISNA(VLOOKUP(A47,'Données projet'!$A$227:$I$247,6,0)),0%,VLOOKUP(A47,'Données projet'!$A$227:$I$247,6,0)*VLOOKUP('Données projet'!$B$16,Paramètres!$A$1:$I$89,7,0))</f>
        <v>0</v>
      </c>
      <c r="FP47" s="16">
        <f>IF(ISNA(VLOOKUP(A47,'Données projet'!$A$227:$I$247,7,0)),0%,VLOOKUP(A47,'Données projet'!$A$227:$I$247,7,0))</f>
        <v>0</v>
      </c>
      <c r="FQ47" s="21">
        <f>EXP(-LN(2)/35)*FQ46+(1-EXP(-LN(2)/35))/(LN(2)/35)*FM47*FN47*VLOOKUP('Données projet'!$B$16,Paramètres!$A$1:$I$89,3,0)*0.475*44/12</f>
        <v>0</v>
      </c>
      <c r="FR47" s="21">
        <f>EXP(-LN(2)/25)*FR46+(1-EXP(-LN(2)/25))/(LN(2)/25)*Calculateur!FM47*Calculateur!FO47*VLOOKUP('Données projet'!$B$16,Paramètres!$A$1:$I$89,3,0)*0.475*44/12</f>
        <v>4.4293174725268809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4.4293174725268809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projet'!$A$253:$I$273,2,0)</f>
        <v>#N/A</v>
      </c>
      <c r="FX47" s="12" t="e">
        <f>VLOOKUP(A47,'Données projet'!$A$253:$I$273,9,0)</f>
        <v>#N/A</v>
      </c>
      <c r="FY47" s="12">
        <f t="array" ref="FY47">INDEX(FX:FX,MIN(IF(ISNUMBER(FX47:FX243),ROW(FX47:FX243),"")))</f>
        <v>8.1999999999999993</v>
      </c>
      <c r="FZ47" s="12">
        <f>IF('Données projet'!$A$254&gt;35,FZ46+FY47-GH46,IF(A47&lt;'Données projet'!$A$254,$FW$205^A47,IF(A47='Données projet'!$A$254,'Données projet'!$B$254,FZ46+FY47-GH46)))</f>
        <v>196.79999999999995</v>
      </c>
      <c r="GA47" s="17">
        <f>FZ47*VLOOKUP('Données projet'!$B$17,Paramètres!$A$1:$I$89,3,0)*VLOOKUP('Données projet'!$B$17,Paramètres!$A$1:$I$89,5,0)</f>
        <v>171.92447999999999</v>
      </c>
      <c r="GB47" s="13">
        <f t="shared" si="79"/>
        <v>43.520760297647755</v>
      </c>
      <c r="GC47" s="20">
        <f t="shared" si="25"/>
        <v>375.23379351840316</v>
      </c>
      <c r="GD47" s="59">
        <f t="shared" si="26"/>
        <v>668.56712685173648</v>
      </c>
      <c r="GE47" s="59">
        <f ca="1">AVERAGE(OFFSET($GD$3,0,0,'Données projet'!$E$17+1,1))-AVERAGE(OFFSET($H$3,0,0,'Données projet'!$E$17+1,1))</f>
        <v>245.1983232777614</v>
      </c>
      <c r="GF47" s="59">
        <f t="shared" si="80"/>
        <v>242.34010522344573</v>
      </c>
      <c r="GG47" s="15">
        <f>IF(ISNA(VLOOKUP(A47,'Données projet'!$A$253:$I$273,3,0)),0,VLOOKUP(A47,'Données projet'!$A$253:$I$273,3,0))</f>
        <v>0</v>
      </c>
      <c r="GH47" s="15">
        <f>IF(ISNA(VLOOKUP(A47,'Données projet'!$A$253:$I$273,4,0)),0,VLOOKUP(A47,'Données projet'!$A$253:$I$273,4,0))</f>
        <v>0</v>
      </c>
      <c r="GI47" s="16">
        <f>IF(ISNA(VLOOKUP(A47,'Données projet'!$A$253:$I$273,5,0)),0%,VLOOKUP(A47,'Données projet'!$A$253:$I$273,5,0)*VLOOKUP('Données projet'!$B$17,Paramètres!$A$1:$I$89,7,0))</f>
        <v>0</v>
      </c>
      <c r="GJ47" s="16">
        <f>IF(ISNA(VLOOKUP(A47,'Données projet'!$A$253:$I$273,6,0)),0%,VLOOKUP(A47,'Données projet'!$A$253:$I$273,6,0)*VLOOKUP('Données projet'!$B$17,Paramètres!$A$1:$I$89,7,0))</f>
        <v>0</v>
      </c>
      <c r="GK47" s="16">
        <f>IF(ISNA(VLOOKUP(A47,'Données projet'!$A$253:$I$273,7,0)),0%,VLOOKUP(A47,'Données projet'!$A$253:$I$273,7,0))</f>
        <v>0</v>
      </c>
      <c r="GL47" s="21">
        <f>EXP(-LN(2)/35)*GL46+(1-EXP(-LN(2)/35))/(LN(2)/35)*GH47*GI47*VLOOKUP('Données projet'!$B$17,Paramètres!$A$1:$I$89,3,0)*0.475*44/12</f>
        <v>6.2930986416383341</v>
      </c>
      <c r="GM47" s="21">
        <f>EXP(-LN(2)/25)*GM46+(1-EXP(-LN(2)/25))/(LN(2)/25)*Calculateur!GH47*Calculateur!GJ47*VLOOKUP('Données projet'!$B$17,Paramètres!$A$1:$I$89,3,0)*0.475*44/12</f>
        <v>10.679996234330536</v>
      </c>
      <c r="GN47" s="21">
        <f>EXP(-LN(2)/2)*GN46+(1-EXP(-LN(2)/2))/(LN(2)/2)*GH47*GK47*VLOOKUP('Données projet'!$B$17,Paramètres!$A$1:$I$89,3,0)*0.475*44/12</f>
        <v>0</v>
      </c>
      <c r="GO47" s="21">
        <f t="shared" si="27"/>
        <v>16.973094875968869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projet'!$A$279:$I$299,2,0)</f>
        <v>#N/A</v>
      </c>
      <c r="GS47" s="12" t="e">
        <f>VLOOKUP(A47,'Données projet'!$A$279:$I$299,9,0)</f>
        <v>#N/A</v>
      </c>
      <c r="GT47" s="12">
        <f t="array" ref="GT47">INDEX(GS:GS,MIN(IF(ISNUMBER(GS47:GS243),ROW(GS47:GS243),"")))</f>
        <v>19.2</v>
      </c>
      <c r="GU47" s="12">
        <f>IF('Données projet'!$A$280&gt;35,GU46+GT47-HC46,IF(A47&lt;'Données projet'!$A$280,$GR$205^A47,IF(A47='Données projet'!$A$280,'Données projet'!$B$280,GU46+GT47-HC46)))</f>
        <v>528.80000000000018</v>
      </c>
      <c r="GV47" s="17">
        <f>GU47*VLOOKUP('Données projet'!$B$18,Paramètres!$A$1:$I$89,3,0)*VLOOKUP('Données projet'!$B$18,Paramètres!$A$1:$I$89,5,0)</f>
        <v>213.10640000000006</v>
      </c>
      <c r="GW47" s="13">
        <f t="shared" si="81"/>
        <v>52.613831033246925</v>
      </c>
      <c r="GX47" s="20">
        <f t="shared" si="28"/>
        <v>462.79606904957177</v>
      </c>
      <c r="GY47" s="59">
        <f t="shared" si="29"/>
        <v>756.12940238290503</v>
      </c>
      <c r="GZ47" s="59">
        <f ca="1">AVERAGE(OFFSET($GY$3,0,0,'Données projet'!$E$18+1,1))-AVERAGE(OFFSET($H$3,0,0,'Données projet'!$E$18+1,1))</f>
        <v>324.36162935850876</v>
      </c>
      <c r="HA47" s="59">
        <f t="shared" si="82"/>
        <v>265.23571072429735</v>
      </c>
      <c r="HB47" s="15">
        <f>IF(ISNA(VLOOKUP(A47,'Données projet'!$A$279:$I$299,3,0)),0,VLOOKUP(A47,'Données projet'!$A$279:$I$299,3,0))</f>
        <v>0</v>
      </c>
      <c r="HC47" s="15">
        <f>IF(ISNA(VLOOKUP(A47,'Données projet'!$A$279:$I$299,4,0)),0,VLOOKUP(A47,'Données projet'!$A$279:$I$299,4,0))</f>
        <v>0</v>
      </c>
      <c r="HD47" s="16">
        <f>IF(ISNA(VLOOKUP(A47,'Données projet'!$A$279:$I$299,5,0)),0%,VLOOKUP(A47,'Données projet'!$A$279:$I$299,5,0)*VLOOKUP('Données projet'!$B$18,Paramètres!$A$1:$I$89,7,0))</f>
        <v>0</v>
      </c>
      <c r="HE47" s="16">
        <f>IF(ISNA(VLOOKUP(A47,'Données projet'!$A$279:$I$299,6,0)),0%,VLOOKUP(A47,'Données projet'!$A$279:$I$299,6,0)*VLOOKUP('Données projet'!$B$18,Paramètres!$A$1:$I$89,7,0))</f>
        <v>0</v>
      </c>
      <c r="HF47" s="16">
        <f>IF(ISNA(VLOOKUP($A47,'Données projet'!$A$279:$I$299,7,0)),0%,VLOOKUP($A47,'Données projet'!$A$279:$I$299,7,0))</f>
        <v>0</v>
      </c>
      <c r="HG47" s="21">
        <f>EXP(-LN(2)/35)*HG46+(1-EXP(-LN(2)/35))/(LN(2)/35)*HC47*HD47*VLOOKUP('Données projet'!$B$18,Paramètres!$A$1:$I$89,3,0)*0.475*44/12</f>
        <v>1.7272419572474267</v>
      </c>
      <c r="HH47" s="21">
        <f>EXP(-LN(2)/25)*HH46+(1-EXP(-LN(2)/25))/(LN(2)/25)*Calculateur!HC47*Calculateur!HE47*VLOOKUP('Données projet'!$B$18,Paramètres!$A$1:$I$89,3,0)*0.475*44/12</f>
        <v>7.9072462101612819</v>
      </c>
      <c r="HI47" s="21">
        <f>EXP(-LN(2)/2)*HI46+(1-EXP(-LN(2)/2))/(LN(2)/2)*HC47*HF47*VLOOKUP('Données projet'!$B$18,Paramètres!$A$1:$I$89,3,0)*0.475*44/12</f>
        <v>1.1804968606363657</v>
      </c>
      <c r="HJ47" s="22">
        <f t="shared" si="30"/>
        <v>10.814985028045074</v>
      </c>
      <c r="HK47" s="74">
        <f>('Scénario référence'!$F$8+'Scénario référence'!$F$9+'Scénario référence'!$B$17+'Scénario référence'!$B$9+'Scénario référence'!$B$10)*70+IF((45+25*(1-EXP(-0.0175*$A47)))&lt;70,'Scénario référence'!$B$16*(45+25*(1-EXP(-0.0175*$A47))),70*'Scénario référence'!$B$16)+IF((32+38*(1-EXP(-0.0175*$A47)))&lt;70,'Scénario référence'!$B$18*(32+38*(1-EXP(-0.0175*$A47))),70*'Scénario référence'!$B$18)</f>
        <v>70</v>
      </c>
      <c r="HL47" s="12">
        <f>IF($A47&gt;30,10,('Scénario référence'!$B$16+'Scénario référence'!$B$17+'Scénario référence'!$B$18+'Scénario référence'!$B$9+'Scénario référence'!$B$10)*$A47*10/30+('Scénario référence'!$F$8+'Scénario référence'!$F$9)*10)</f>
        <v>10</v>
      </c>
      <c r="HM47" s="12" t="e">
        <f>VLOOKUP($A47,'Données projet'!$A$304:$I$324,2,0)</f>
        <v>#N/A</v>
      </c>
      <c r="HN47" s="12" t="e">
        <f>VLOOKUP($A47,'Données projet'!$A$304:$I$324,9,0)</f>
        <v>#N/A</v>
      </c>
      <c r="HO47" s="12">
        <f t="array" ref="HO47">INDEX(HN:HN,MIN(IF(ISNUMBER(HN47:HN243),ROW(HN47:HN243),"")))</f>
        <v>0</v>
      </c>
      <c r="HP47" s="12">
        <f>IF('Données projet'!$A$304&gt;35,HP46+HO47-HX46,IF($A47&lt;'Données projet'!$A$304,$CQ$205^$A47,IF($A47='Données projet'!$A$304,'Données projet'!$B$304,HP46+HO47-HX46)))</f>
        <v>0</v>
      </c>
      <c r="HQ47" s="17">
        <f>HP47*VLOOKUP('Données projet'!$B$19,Paramètres!$A$1:$I$89,3,0)*VLOOKUP('Données projet'!$B$19,Paramètres!$A$1:$I$89,5,0)</f>
        <v>0</v>
      </c>
      <c r="HR47" s="13" t="e">
        <f t="shared" si="83"/>
        <v>#NUM!</v>
      </c>
      <c r="HS47" s="14" t="e">
        <f t="shared" si="31"/>
        <v>#NUM!</v>
      </c>
      <c r="HT47" s="59" t="e">
        <f t="shared" si="32"/>
        <v>#NUM!</v>
      </c>
      <c r="HU47" s="59">
        <f ca="1">AVERAGE(OFFSET(HT$3,0,0,'Données projet'!$E$19+1,1))-AVERAGE(OFFSET($H$3,0,0,'Données projet'!$E$19+1,1))</f>
        <v>91.60721429656013</v>
      </c>
      <c r="HV47" s="59">
        <f t="shared" si="84"/>
        <v>258.94957804210856</v>
      </c>
      <c r="HW47" s="15">
        <f>IF(ISNA(VLOOKUP($A47,'Données projet'!$A$304:$I$324,3,0)),0,VLOOKUP($A47,'Données projet'!$A$304:$I$324,3,0))</f>
        <v>0</v>
      </c>
      <c r="HX47" s="15">
        <f>IF(ISNA(VLOOKUP($A47,'Données projet'!$A$304:$I$324,4,0)),0,VLOOKUP($A47,'Données projet'!$A$304:$I$324,4,0))</f>
        <v>0</v>
      </c>
      <c r="HY47" s="16">
        <f>IF(ISNA(VLOOKUP($A47,'Données projet'!$A$304:$I$324,5,0)),0%,VLOOKUP($A47,'Données projet'!$A$304:$I$324,5,0)*VLOOKUP('Données projet'!$B$19,Paramètres!$A$1:$I$89,7,0))</f>
        <v>0</v>
      </c>
      <c r="HZ47" s="16">
        <f>IF(ISNA(VLOOKUP($A47,'Données projet'!$A$304:$I$324,6,0)),0%,VLOOKUP($A47,'Données projet'!$A$304:$I$324,6,0)*VLOOKUP('Données projet'!$B$19,Paramètres!$A$1:$I$89,7,0))</f>
        <v>0</v>
      </c>
      <c r="IA47" s="16">
        <f>IF(ISNA(VLOOKUP($A47,'Données projet'!$A$304:$I$324,7,0)),0%,VLOOKUP($A47,'Données projet'!$A$304:$I$324,7,0))</f>
        <v>0</v>
      </c>
      <c r="IB47" s="21">
        <f>EXP(-LN(2)/35)*IB46+(1-EXP(-LN(2)/35))/(LN(2)/35)*HX47*HY47*VLOOKUP('Données projet'!$B$19,Paramètres!$A$1:$I$89,3,0)*0.475*44/12</f>
        <v>37.387198902460881</v>
      </c>
      <c r="IC47" s="21">
        <f>EXP(-LN(2)/25)*IC46+(1-EXP(-LN(2)/25))/(LN(2)/25)*Calculateur!HX47*Calculateur!HZ47*VLOOKUP('Données projet'!$B$19,Paramètres!$A$1:$I$89,3,0)*0.475*44/12</f>
        <v>6.5983380525397646</v>
      </c>
      <c r="ID47" s="21">
        <f>EXP(-LN(2)/2)*ID46+(1-EXP(-LN(2)/2))/(LN(2)/2)*HX47*IA47*VLOOKUP('Données projet'!$B$19,Paramètres!$A$1:$I$89,3,0)*0.475*44/12</f>
        <v>4.4754086854998246E-3</v>
      </c>
      <c r="IE47" s="22">
        <f t="shared" si="33"/>
        <v>43.990012363686148</v>
      </c>
      <c r="IF47" s="74">
        <f>('Scénario référence'!$F$8+'Scénario référence'!$F$9+'Scénario référence'!$B$17+'Scénario référence'!$B$9+'Scénario référence'!$B$10)*70+IF((45+25*(1-EXP(-0.0175*$A47)))&lt;70,'Scénario référence'!$B$16*(45+25*(1-EXP(-0.0175*$A47))),70*'Scénario référence'!$B$16)+IF((32+38*(1-EXP(-0.0175*$A47)))&lt;70,'Scénario référence'!$B$18*(32+38*(1-EXP(-0.0175*$A47))),70*'Scénario référence'!$B$18)</f>
        <v>70</v>
      </c>
      <c r="IG47" s="12">
        <f>IF($A47&gt;30,10,('Scénario référence'!$B$16+'Scénario référence'!$B$17+'Scénario référence'!$B$18+'Scénario référence'!$B$9+'Scénario référence'!$B$10)*$A47*10/30+('Scénario référence'!$F$8+'Scénario référence'!$F$9)*10)</f>
        <v>10</v>
      </c>
      <c r="IH47" s="12" t="e">
        <f>VLOOKUP($A47,'Données projet'!$A$330:$I$350,2,0)</f>
        <v>#N/A</v>
      </c>
      <c r="II47" s="12" t="e">
        <f>VLOOKUP($A47,'Données projet'!$A$330:$I$350,9,0)</f>
        <v>#N/A</v>
      </c>
      <c r="IJ47" s="12">
        <f t="array" ref="IJ47">INDEX(II:II,MIN(IF(ISNUMBER(II47:II243),ROW(II47:II243),"")))</f>
        <v>0</v>
      </c>
      <c r="IK47" s="12">
        <f>IF('Données projet'!$A$330&gt;35,IK46+IJ47-IS46,IF($A47&lt;'Données projet'!$A$330,$CQ$205^$A47,IF($A47='Données projet'!$A$330,'Données projet'!$B$330,IK46+IJ47-IS46)))</f>
        <v>0</v>
      </c>
      <c r="IL47" s="17">
        <f>IK47*VLOOKUP('Données projet'!$B$20,Paramètres!$A$1:$I$89,3,0)*VLOOKUP('Données projet'!$B$20,Paramètres!$A$1:$I$89,5,0)</f>
        <v>0</v>
      </c>
      <c r="IM47" s="13" t="e">
        <f t="shared" si="85"/>
        <v>#NUM!</v>
      </c>
      <c r="IN47" s="20" t="e">
        <f t="shared" si="86"/>
        <v>#NUM!</v>
      </c>
      <c r="IO47" s="59" t="e">
        <f t="shared" si="87"/>
        <v>#NUM!</v>
      </c>
      <c r="IP47" s="59">
        <f ca="1">AVERAGE(OFFSET(IO$3,0,0,'Données projet'!$E$20+1,1))-AVERAGE(OFFSET($H$3,0,0,'Données projet'!$E$20+1,1))</f>
        <v>91.60721429656013</v>
      </c>
      <c r="IQ47" s="59">
        <f t="shared" si="88"/>
        <v>258.94957804210856</v>
      </c>
      <c r="IR47" s="15">
        <f>IF(ISNA(VLOOKUP($A47,'Données projet'!$A$330:$I$350,3,0)),0,VLOOKUP($A47,'Données projet'!$A$330:$I$350,3,0))</f>
        <v>0</v>
      </c>
      <c r="IS47" s="15">
        <f>IF(ISNA(VLOOKUP($A47,'Données projet'!$A$330:$I$350,4,0)),0,VLOOKUP($A47,'Données projet'!$A$330:$I$350,4,0))</f>
        <v>0</v>
      </c>
      <c r="IT47" s="16">
        <f>IF(ISNA(VLOOKUP($A47,'Données projet'!$A$330:$I$350,5,0)),0%,VLOOKUP($A47,'Données projet'!$A$330:$I$350,5,0)*VLOOKUP('Données projet'!$B$20,Paramètres!$A$1:$I$89,7,0))</f>
        <v>0</v>
      </c>
      <c r="IU47" s="16">
        <f>IF(ISNA(VLOOKUP($A47,'Données projet'!$A$330:$I$350,6,0)),0%,VLOOKUP($A47,'Données projet'!$A$330:$I$350,6,0)*VLOOKUP('Données projet'!$B$20,Paramètres!$A$1:$I$89,7,0))</f>
        <v>0</v>
      </c>
      <c r="IV47" s="16">
        <f>IF(ISNA(VLOOKUP($A47,'Données projet'!$A$330:$I$350,7,0)),0%,VLOOKUP($A47,'Données projet'!$A$330:$I$350,7,0))</f>
        <v>0</v>
      </c>
      <c r="IW47" s="21">
        <f>EXP(-LN(2)/35)*IW46+(1-EXP(-LN(2)/35))/(LN(2)/35)*IS47*IT47*VLOOKUP('Données projet'!$B$20,Paramètres!$A$1:$I$89,3,0)*0.475*44/12</f>
        <v>37.387198902460881</v>
      </c>
      <c r="IX47" s="21">
        <f>EXP(-LN(2)/25)*IX46+(1-EXP(-LN(2)/25))/(LN(2)/25)*Calculateur!IS47*Calculateur!IU47*VLOOKUP('Données projet'!$B$20,Paramètres!$A$1:$I$89,3,0)*0.475*44/12</f>
        <v>6.5983380525397646</v>
      </c>
      <c r="IY47" s="21">
        <f>EXP(-LN(2)/2)*IY46+(1-EXP(-LN(2)/2))/(LN(2)/2)*IS47*IV47*VLOOKUP('Données projet'!$B$20,Paramètres!$A$1:$I$89,3,0)*0.475*44/12</f>
        <v>4.4754086854998246E-3</v>
      </c>
      <c r="IZ47" s="22">
        <f t="shared" si="89"/>
        <v>43.990012363686148</v>
      </c>
      <c r="JA47" s="74">
        <f>('Scénario référence'!$F$8+'Scénario référence'!$F$9+'Scénario référence'!$B$17+'Scénario référence'!$B$9+'Scénario référence'!$B$10)*70+IF((45+25*(1-EXP(-0.0175*$A47)))&lt;70,'Scénario référence'!$B$16*(45+25*(1-EXP(-0.0175*$A47))),70*'Scénario référence'!$B$16)+IF((32+38*(1-EXP(-0.0175*$A47)))&lt;70,'Scénario référence'!$B$18*(32+38*(1-EXP(-0.0175*$A47))),70*'Scénario référence'!$B$18)</f>
        <v>70</v>
      </c>
      <c r="JB47" s="12">
        <f>IF($A47&gt;30,10,('Scénario référence'!$B$16+'Scénario référence'!$B$17+'Scénario référence'!$B$18+'Scénario référence'!$B$9+'Scénario référence'!$B$10)*$A47*10/30+('Scénario référence'!$F$8+'Scénario référence'!$F$9)*10)</f>
        <v>10</v>
      </c>
      <c r="JC47" s="12" t="e">
        <f>VLOOKUP($A47,'Données projet'!$A$356:$I$376,2,0)</f>
        <v>#N/A</v>
      </c>
      <c r="JD47" s="12" t="e">
        <f>VLOOKUP($A47,'Données projet'!$A$356:$I$376,9,0)</f>
        <v>#N/A</v>
      </c>
      <c r="JE47" s="12">
        <f t="array" ref="JE47">INDEX(JD:JD,MIN(IF(ISNUMBER(JD47:JD243),ROW(JD47:JD243),"")))</f>
        <v>11</v>
      </c>
      <c r="JF47" s="12">
        <f>IF('Données projet'!$A$356&gt;35,JF46+JE47-JN46,IF($A47&lt;'Données projet'!$A$356,$CQ$205^$A47,IF($A47='Données projet'!$A$356,'Données projet'!$B$356,JF46+JE47-JN46)))</f>
        <v>179.00000000000009</v>
      </c>
      <c r="JG47" s="17">
        <f>JF47*VLOOKUP('Données projet'!$B$21,Paramètres!$A$1:$I$89,3,0)*VLOOKUP('Données projet'!$B$21,Paramètres!$A$1:$I$89,5,0)</f>
        <v>145.20480000000006</v>
      </c>
      <c r="JH47" s="13">
        <f t="shared" si="90"/>
        <v>37.486807201108256</v>
      </c>
      <c r="JI47" s="20">
        <f t="shared" si="91"/>
        <v>318.18788254193032</v>
      </c>
      <c r="JJ47" s="59">
        <f t="shared" si="92"/>
        <v>611.52121587526358</v>
      </c>
      <c r="JK47" s="59">
        <f ca="1">AVERAGE(OFFSET($JJ$3,0,0,'Données projet'!$E$22+1,1))-AVERAGE(OFFSET($H$3,0,0,'Données projet'!$E$22+1,1))</f>
        <v>353.35574633294613</v>
      </c>
      <c r="JL47" s="59">
        <f t="shared" si="93"/>
        <v>170.36796666474726</v>
      </c>
      <c r="JM47" s="15">
        <f>IF(ISNA(VLOOKUP($A47,'Données projet'!$A$356:$I$376,3,0)),0,VLOOKUP($A47,'Données projet'!$A$356:$I$376,3,0))</f>
        <v>0</v>
      </c>
      <c r="JN47" s="15">
        <f>IF(ISNA(VLOOKUP($A47,'Données projet'!$A$356:$I$376,4,0)),0,VLOOKUP($A47,'Données projet'!$A$356:$I$376,4,0))</f>
        <v>0</v>
      </c>
      <c r="JO47" s="16">
        <f>IF(ISNA(VLOOKUP($A47,'Données projet'!$A$356:$I$376,5,0)),0%,VLOOKUP($A47,'Données projet'!$A$356:$I$376,5,0)*VLOOKUP('Données projet'!$B$21,Paramètres!$A$1:$I$89,7,0))</f>
        <v>0</v>
      </c>
      <c r="JP47" s="16">
        <f>IF(ISNA(VLOOKUP($A47,'Données projet'!$A$356:$I$376,6,0)),0%,VLOOKUP($A47,'Données projet'!$A$356:$I$376,6,0)*VLOOKUP('Données projet'!$B$21,Paramètres!$A$1:$I$89,7,0))</f>
        <v>0</v>
      </c>
      <c r="JQ47" s="16">
        <f>IF(ISNA(VLOOKUP($A47,'Données projet'!$A$356:$I$376,7,0)),0%,VLOOKUP($A47,'Données projet'!$A$356:$I$376,7,0))</f>
        <v>0</v>
      </c>
      <c r="JR47" s="21">
        <f>EXP(-LN(2)/35)*JR46+(1-EXP(-LN(2)/35))/(LN(2)/35)*JN47*JO47*VLOOKUP('Données projet'!$B$21,Paramètres!$A$1:$I$89,3,0)*0.475*44/12</f>
        <v>0</v>
      </c>
      <c r="JS47" s="21">
        <f>EXP(-LN(2)/25)*JS46+(1-EXP(-LN(2)/25))/(LN(2)/25)*Calculateur!JN47*Calculateur!JP47*VLOOKUP('Données projet'!$B$21,Paramètres!$A$1:$I$89,3,0)*0.475*44/12</f>
        <v>1.8004987908918919</v>
      </c>
      <c r="JT47" s="21">
        <f>EXP(-LN(2)/2)*JT46+(1-EXP(-LN(2)/2))/(LN(2)/2)*JN47*JQ47*VLOOKUP('Données projet'!$B$21,Paramètres!$A$1:$I$89,3,0)*0.475*44/12</f>
        <v>1.9416818070421267</v>
      </c>
      <c r="JU47" s="18">
        <f t="shared" si="39"/>
        <v>3.7421805979340186</v>
      </c>
      <c r="JV47" s="74">
        <f>('Scénario référence'!$F$8+'Scénario référence'!$F$9+'Scénario référence'!$B$17+'Scénario référence'!$B$9+'Scénario référence'!$B$10)*70+IF((45+25*(1-EXP(-0.0175*$A47)))&lt;70,'Scénario référence'!$B$16*(45+25*(1-EXP(-0.0175*$A47))),70*'Scénario référence'!$B$16)+IF((32+38*(1-EXP(-0.0175*$A47)))&lt;70,'Scénario référence'!$B$18*(32+38*(1-EXP(-0.0175*$A47))),70*'Scénario référence'!$B$18)</f>
        <v>70</v>
      </c>
      <c r="JW47" s="12">
        <f>IF($A47&gt;30,10,('Scénario référence'!$B$16+'Scénario référence'!$B$17+'Scénario référence'!$B$18+'Scénario référence'!$B$9+'Scénario référence'!$B$10)*$A47*10/30+('Scénario référence'!$F$8+'Scénario référence'!$F$9)*10)</f>
        <v>10</v>
      </c>
      <c r="JX47" s="12" t="e">
        <f>VLOOKUP($A47,'Données projet'!$A$382:$I$402,2,0)</f>
        <v>#N/A</v>
      </c>
      <c r="JY47" s="12" t="e">
        <f>VLOOKUP($A47,'Données projet'!$A$382:$I$402,9,0)</f>
        <v>#N/A</v>
      </c>
      <c r="JZ47" s="12">
        <f t="array" ref="JZ47">INDEX(JY:JY,MIN(IF(ISNUMBER(JY47:JY243),ROW(JY47:JY243),"")))</f>
        <v>9.3452380952380913</v>
      </c>
      <c r="KA47" s="12">
        <f>IF('Données projet'!$A$382&gt;35,KA46+JZ47-KI46,IF($A47&lt;'Données projet'!$A$382,$CQ$205^$A47,IF($A47='Données projet'!$A$382,'Données projet'!$B$382,KA46+JZ47-KI46)))</f>
        <v>146.97161172161174</v>
      </c>
      <c r="KB47" s="17">
        <f>KA47*VLOOKUP('Données projet'!$B$22,Paramètres!$A$1:$I$89,3,0)*VLOOKUP('Données projet'!$B$22,Paramètres!$A$1:$I$89,5,0)</f>
        <v>98.588557142857155</v>
      </c>
      <c r="KC47" s="13">
        <f t="shared" si="94"/>
        <v>26.625463067765359</v>
      </c>
      <c r="KD47" s="20">
        <f t="shared" si="95"/>
        <v>218.08108520016754</v>
      </c>
      <c r="KE47" s="59">
        <f t="shared" si="96"/>
        <v>511.41441853350085</v>
      </c>
      <c r="KF47" s="59">
        <f ca="1">AVERAGE(OFFSET($KE$3,0,0,'Données projet'!$E$22+1,1))-AVERAGE(OFFSET($H$3,0,0,'Données projet'!$E$22+1,1))</f>
        <v>193.91714772848269</v>
      </c>
      <c r="KG47" s="59">
        <f t="shared" si="97"/>
        <v>159.20429420478047</v>
      </c>
      <c r="KH47" s="15">
        <f>IF(ISNA(VLOOKUP($A47,'Données projet'!$A$382:$I$402,3,0)),0,VLOOKUP($A47,'Données projet'!$A$382:$I$402,3,0))</f>
        <v>0</v>
      </c>
      <c r="KI47" s="15">
        <f>IF(ISNA(VLOOKUP($A47,'Données projet'!$A$382:$I$402,4,0)),0,VLOOKUP($A47,'Données projet'!$A$382:$I$402,4,0))</f>
        <v>0</v>
      </c>
      <c r="KJ47" s="16">
        <f>IF(ISNA(VLOOKUP($A47,'Données projet'!$A$382:$I$402,5,0)),0%,VLOOKUP($A47,'Données projet'!$A$382:$I$402,5,0)*VLOOKUP('Données projet'!$B$22,Paramètres!$A$1:$I$89,7,0))</f>
        <v>0</v>
      </c>
      <c r="KK47" s="16">
        <f>IF(ISNA(VLOOKUP($A47,'Données projet'!$A$382:$I$402,6,0)),0%,VLOOKUP($A47,'Données projet'!$A$382:$I$402,6,0)*VLOOKUP('Données projet'!$B$22,Paramètres!$A$1:$I$89,7,0))</f>
        <v>0</v>
      </c>
      <c r="KL47" s="16">
        <f>IF(ISNA(VLOOKUP($A47,'Données projet'!$A$382:$I$402,7,0)),0%,VLOOKUP($A47,'Données projet'!$A$382:$I$402,7,0))</f>
        <v>0</v>
      </c>
      <c r="KM47" s="21">
        <f>EXP(-LN(2)/35)*KM46+(1-EXP(-LN(2)/35))/(LN(2)/35)*KI47*KJ47*VLOOKUP('Données projet'!$B$22,Paramètres!$A$1:$I$89,3,0)*0.475*44/12</f>
        <v>0</v>
      </c>
      <c r="KN47" s="21">
        <f>EXP(-LN(2)/25)*KN46+(1-EXP(-LN(2)/25))/(LN(2)/25)*Calculateur!KI47*Calculateur!KK47*VLOOKUP('Données projet'!$B$22,Paramètres!$A$1:$I$89,3,0)*0.475*44/12</f>
        <v>0</v>
      </c>
      <c r="KO47" s="21">
        <f>EXP(-LN(2)/2)*KO46+(1-EXP(-LN(2)/2))/(LN(2)/2)*KI47*KL47*VLOOKUP('Données projet'!$B$22,Paramètres!$A$1:$I$89,3,0)*0.475*44/12</f>
        <v>0</v>
      </c>
      <c r="KP47" s="22">
        <f t="shared" si="98"/>
        <v>0</v>
      </c>
      <c r="KQ47" s="74">
        <f>('Scénario référence'!$F$8+'Scénario référence'!$F$9+'Scénario référence'!$B$17+'Scénario référence'!$B$9+'Scénario référence'!$B$10)*70+IF((45+25*(1-EXP(-0.0175*$A47)))&lt;70,'Scénario référence'!$B$16*(45+25*(1-EXP(-0.0175*$A47))),70*'Scénario référence'!$B$16)+IF((32+38*(1-EXP(-0.0175*$A47)))&lt;70,'Scénario référence'!$B$18*(32+38*(1-EXP(-0.0175*$A47))),70*'Scénario référence'!$B$18)</f>
        <v>70</v>
      </c>
      <c r="KR47" s="12">
        <f>IF($A47&gt;30,10,('Scénario référence'!$B$16+'Scénario référence'!$B$17+'Scénario référence'!$B$18+'Scénario référence'!$B$9+'Scénario référence'!$B$10)*$A47*10/30+('Scénario référence'!$F$8+'Scénario référence'!$F$9)*10)</f>
        <v>10</v>
      </c>
      <c r="KS47" s="12" t="e">
        <f>VLOOKUP($A47,'Données projet'!$A$408:$I$428,2,0)</f>
        <v>#N/A</v>
      </c>
      <c r="KT47" s="12" t="e">
        <f>VLOOKUP($A47,'Données projet'!$A$408:$I$428,9,0)</f>
        <v>#N/A</v>
      </c>
      <c r="KU47" s="12">
        <f t="array" ref="KU47">INDEX(KT:KT,MIN(IF(ISNUMBER(KT47:KT243),ROW(KT47:KT243),"")))</f>
        <v>8.1999999999999993</v>
      </c>
      <c r="KV47" s="12">
        <f>IF('Données projet'!$A$408&gt;35,KV46+KU47-LD46,IF($A47&lt;'Données projet'!$A$408,$CQ$205^$A47,IF($A47='Données projet'!$A$408,'Données projet'!$B$408,KV46+KU47-LD46)))</f>
        <v>196.79999999999998</v>
      </c>
      <c r="KW47" s="17">
        <f>KV47*VLOOKUP('Données projet'!$B$23,Paramètres!$A$1:$I$89,3,0)*VLOOKUP('Données projet'!$B$23,Paramètres!$A$1:$I$89,5,0)</f>
        <v>171.92448000000002</v>
      </c>
      <c r="KX47" s="13">
        <f t="shared" si="99"/>
        <v>43.520760297647755</v>
      </c>
      <c r="KY47" s="14">
        <f t="shared" si="43"/>
        <v>375.23379351840322</v>
      </c>
      <c r="KZ47" s="59">
        <f t="shared" si="44"/>
        <v>668.56712685173648</v>
      </c>
      <c r="LA47" s="59">
        <f ca="1">AVERAGE(OFFSET($KZ$3,0,0,'Données projet'!$E$23+1,1))-AVERAGE(OFFSET($H$3,0,0,'Données projet'!$E$23+1,1))</f>
        <v>248.33596943633819</v>
      </c>
      <c r="LB47" s="59">
        <f t="shared" si="100"/>
        <v>242.34010522344573</v>
      </c>
      <c r="LC47" s="15">
        <f>IF(ISNA(VLOOKUP($A47,'Données projet'!$A$408:$I$428,3,0)),0,VLOOKUP($A47,'Données projet'!$A$408:$I$428,3,0))</f>
        <v>0</v>
      </c>
      <c r="LD47" s="15">
        <f>IF(ISNA(VLOOKUP($A47,'Données projet'!$A$408:$I$428,4,0)),0,VLOOKUP($A47,'Données projet'!$A$408:$I$428,4,0))</f>
        <v>0</v>
      </c>
      <c r="LE47" s="16">
        <f>IF(ISNA(VLOOKUP($A47,'Données projet'!$A$408:$I$428,5,0)),0%,VLOOKUP($A47,'Données projet'!$A$408:$I$428,5,0)*VLOOKUP('Données projet'!$B$23,Paramètres!$A$1:$I$89,7,0))</f>
        <v>0</v>
      </c>
      <c r="LF47" s="16">
        <f>IF(ISNA(VLOOKUP($A47,'Données projet'!$A$408:$I$428,6,0)),0%,VLOOKUP($A47,'Données projet'!$A$408:$I$428,6,0)*VLOOKUP('Données projet'!$B$23,Paramètres!$A$1:$I$89,7,0))</f>
        <v>0</v>
      </c>
      <c r="LG47" s="16">
        <f>IF(ISNA(VLOOKUP($A47,'Données projet'!$A$408:$I$428,7,0)),0%,VLOOKUP($A47,'Données projet'!$A$408:$I$428,7,0))</f>
        <v>0</v>
      </c>
      <c r="LH47" s="21">
        <f>EXP(-LN(2)/35)*LH46+(1-EXP(-LN(2)/35))/(LN(2)/35)*LD47*LE47*VLOOKUP('Données projet'!$B$23,Paramètres!$A$1:$I$89,3,0)*0.475*44/12</f>
        <v>6.2930986416383341</v>
      </c>
      <c r="LI47" s="21">
        <f>EXP(-LN(2)/25)*LI46+(1-EXP(-LN(2)/25))/(LN(2)/25)*Calculateur!LD47*Calculateur!LF47*VLOOKUP('Données projet'!$B$23,Paramètres!$A$1:$I$89,3,0)*0.475*44/12</f>
        <v>10.679996234330536</v>
      </c>
      <c r="LJ47" s="21">
        <f>EXP(-LN(2)/2)*LJ46+(1-EXP(-LN(2)/2))/(LN(2)/2)*LD47*LG47*VLOOKUP('Données projet'!$B$23,Paramètres!$A$1:$I$89,3,0)*0.475*44/12</f>
        <v>0</v>
      </c>
      <c r="LK47" s="22">
        <f t="shared" si="101"/>
        <v>16.973094875968869</v>
      </c>
      <c r="LL47" s="74">
        <f>('Scénario référence'!$F$8+'Scénario référence'!$F$9+'Scénario référence'!$B$17+'Scénario référence'!$B$9+'Scénario référence'!$B$10)*70+IF((45+25*(1-EXP(-0.0175*$A47)))&lt;70,'Scénario référence'!$B$16*(45+25*(1-EXP(-0.0175*$A47))),70*'Scénario référence'!$B$16)+IF((32+38*(1-EXP(-0.0175*$A47)))&lt;70,'Scénario référence'!$B$18*(32+38*(1-EXP(-0.0175*$A47))),70*'Scénario référence'!$B$18)</f>
        <v>70</v>
      </c>
      <c r="LM47" s="12">
        <f>IF($A47&gt;30,10,('Scénario référence'!$B$16+'Scénario référence'!$B$17+'Scénario référence'!$B$18+'Scénario référence'!$B$9+'Scénario référence'!$B$10)*$A47*10/30+('Scénario référence'!$F$8+'Scénario référence'!$F$9)*10)</f>
        <v>10</v>
      </c>
      <c r="LN47" s="12">
        <f>VLOOKUP($A47,'Données projet'!$A$434:$I$454,2,0)</f>
        <v>162.42307692307691</v>
      </c>
      <c r="LO47" s="12">
        <f>VLOOKUP($A47,'Données projet'!$A$434:$I$454,9,0)</f>
        <v>5.3369963369963358</v>
      </c>
      <c r="LP47" s="12">
        <f t="array" ref="LP47">INDEX(LO:LO,MIN(IF(ISNUMBER(LO47:LO243),ROW(LO47:LO243),"")))</f>
        <v>5.3369963369963358</v>
      </c>
      <c r="LQ47" s="12">
        <f>IF('Données projet'!$A$434&gt;35,LQ46+LP47-LY46,IF($A47&lt;'Données projet'!$A$434,$CQ$205^$A47,IF($A47='Données projet'!$A$434,'Données projet'!$B$434,LQ46+LP47-LY46)))</f>
        <v>162.42307692307685</v>
      </c>
      <c r="LR47" s="17">
        <f>LQ47*VLOOKUP('Données projet'!$B$24,Paramètres!$A$1:$I$89,3,0)*VLOOKUP('Données projet'!$B$24,Paramètres!$A$1:$I$89,5,0)</f>
        <v>164.69699999999995</v>
      </c>
      <c r="LS47" s="13">
        <f t="shared" si="102"/>
        <v>41.900146282502362</v>
      </c>
      <c r="LT47" s="14">
        <f t="shared" si="46"/>
        <v>359.82336310869147</v>
      </c>
      <c r="LU47" s="59">
        <f t="shared" si="103"/>
        <v>653.15669644202478</v>
      </c>
      <c r="LV47" s="59">
        <f ca="1">AVERAGE(OFFSET($LU$3,0,0,'Données projet'!$E$24+1,1))-AVERAGE(OFFSET($H$3,0,0,'Données projet'!$E$24+1,1))</f>
        <v>260.52627655062872</v>
      </c>
      <c r="LW47" s="59">
        <f t="shared" si="104"/>
        <v>159.20429420478047</v>
      </c>
      <c r="LX47" s="15">
        <f>IF(ISNA(VLOOKUP($A47,'Données projet'!$A$434:$I$454,3,0)),0,VLOOKUP($A47,'Données projet'!$A$434:$I$454,3,0))</f>
        <v>1</v>
      </c>
      <c r="LY47" s="15">
        <f>IF(ISNA(VLOOKUP($A47,'Données projet'!$A$434:$I$454,4,0)),0,VLOOKUP($A47,'Données projet'!$A$434:$I$454,4,0))</f>
        <v>64.416666666666657</v>
      </c>
      <c r="LZ47" s="16">
        <f>IF(ISNA(VLOOKUP($A47,'Données projet'!$A$434:$I$454,5,0)),0%,VLOOKUP($A47,'Données projet'!$A$434:$I$454,5,0)*VLOOKUP('Données projet'!$B$24,Paramètres!$A$1:$I$89,7,0))</f>
        <v>0</v>
      </c>
      <c r="MA47" s="16">
        <f>IF(ISNA(VLOOKUP($A47,'Données projet'!$A$434:$I$454,6,0)),0%,VLOOKUP($A47,'Données projet'!$A$434:$I$454,6,0)*VLOOKUP('Données projet'!$B$24,Paramètres!$A$1:$I$89,7,0))</f>
        <v>0</v>
      </c>
      <c r="MB47" s="16">
        <f>IF(ISNA(VLOOKUP($A47,'Données projet'!$A$434:$I$454,7,0)),0%,VLOOKUP($A47,'Données projet'!$A$434:$I$454,7,0))</f>
        <v>0</v>
      </c>
      <c r="MC47" s="21">
        <f>EXP(-LN(2)/35)*MC46+(1-EXP(-LN(2)/35))/(LN(2)/35)*LY47*LZ47*VLOOKUP('Données projet'!$B$24,Paramètres!$A$1:$I$89,3,0)*0.475*44/12</f>
        <v>0</v>
      </c>
      <c r="MD47" s="21">
        <f>EXP(-LN(2)/25)*MD46+(1-EXP(-LN(2)/25))/(LN(2)/25)*Calculateur!LY47*Calculateur!MA47*VLOOKUP('Données projet'!$B$24,Paramètres!$A$1:$I$89,3,0)*0.475*44/12</f>
        <v>0</v>
      </c>
      <c r="ME47" s="21">
        <f>EXP(-LN(2)/2)*ME46+(1-EXP(-LN(2)/2))/(LN(2)/2)*LY47*MB47*VLOOKUP('Données projet'!$B$24,Paramètres!$A$1:$I$89,3,0)*0.475*44/12</f>
        <v>0</v>
      </c>
      <c r="MF47" s="22">
        <f t="shared" si="105"/>
        <v>0</v>
      </c>
      <c r="MG47" s="74">
        <f>('Scénario référence'!$F$8+'Scénario référence'!$F$9+'Scénario référence'!$B$17+'Scénario référence'!$B$9+'Scénario référence'!$B$10)*70+IF((45+25*(1-EXP(-0.0175*$A47)))&lt;70,'Scénario référence'!$B$16*(45+25*(1-EXP(-0.0175*$A47))),70*'Scénario référence'!$B$16)+IF((32+38*(1-EXP(-0.0175*$A47)))&lt;70,'Scénario référence'!$B$18*(32+38*(1-EXP(-0.0175*$A47))),70*'Scénario référence'!$B$18)</f>
        <v>70</v>
      </c>
      <c r="MH47" s="12">
        <f>IF($A47&gt;30,10,('Scénario référence'!$B$16+'Scénario référence'!$B$17+'Scénario référence'!$B$18+'Scénario référence'!$B$9+'Scénario référence'!$B$10)*$A47*10/30+('Scénario référence'!$F$8+'Scénario référence'!$F$9)*10)</f>
        <v>10</v>
      </c>
      <c r="MI47" s="12" t="e">
        <f>VLOOKUP($A47,'Données projet'!$A$460:$I$480,2,0)</f>
        <v>#N/A</v>
      </c>
      <c r="MJ47" s="12" t="e">
        <f>VLOOKUP($A47,'Données projet'!$A$460:$I$480,9,0)</f>
        <v>#N/A</v>
      </c>
      <c r="MK47" s="12">
        <f t="array" ref="MK47">INDEX(MJ:MJ,MIN(IF(ISNUMBER(MJ47:MJ243),ROW(MJ47:MJ243),"")))</f>
        <v>0</v>
      </c>
      <c r="ML47" s="12">
        <f>IF('Données projet'!$A$460&gt;35,ML46+MK47-MT46,IF($A47&lt;'Données projet'!$A$460,$CQ$205^$A47,IF($A47='Données projet'!$A$460,'Données projet'!$B$460,ML46+MK47-MT46)))</f>
        <v>0</v>
      </c>
      <c r="MM47" s="17" t="e">
        <f>ML47*VLOOKUP('Données projet'!$B$25,Paramètres!$A$1:$I$89,3,0)*VLOOKUP('Données projet'!$B$25,Paramètres!$A$1:$I$89,5,0)</f>
        <v>#N/A</v>
      </c>
      <c r="MN47" s="13" t="e">
        <f t="shared" si="106"/>
        <v>#N/A</v>
      </c>
      <c r="MO47" s="14" t="e">
        <f t="shared" si="49"/>
        <v>#N/A</v>
      </c>
      <c r="MP47" s="59" t="e">
        <f t="shared" si="50"/>
        <v>#N/A</v>
      </c>
      <c r="MQ47" s="20" t="e">
        <f ca="1">AVERAGE(OFFSET($MP$3,0,0,'Données projet'!$E$25+1,1))-AVERAGE(OFFSET($H$3,0,0,'Données projet'!$E$25+1,1))</f>
        <v>#N/A</v>
      </c>
      <c r="MR47" s="59" t="e">
        <f t="shared" si="107"/>
        <v>#N/A</v>
      </c>
      <c r="MS47" s="15">
        <f>IF(ISNA(VLOOKUP($A47,'Données projet'!$A$460:$I$480,3,0)),0,VLOOKUP($A47,'Données projet'!$A$460:$I$480,3,0))</f>
        <v>0</v>
      </c>
      <c r="MT47" s="15">
        <f>IF(ISNA(VLOOKUP($A47,'Données projet'!$A$460:$I$480,4,0)),0,VLOOKUP($A47,'Données projet'!$A$460:$I$480,4,0))</f>
        <v>0</v>
      </c>
      <c r="MU47" s="16">
        <f>IF(ISNA(VLOOKUP($A47,'Données projet'!$A$460:$I$480,5,0)),0%,VLOOKUP($A47,'Données projet'!$A$460:$I$480,5,0)*VLOOKUP('Données projet'!$B$25,Paramètres!$A$1:$I$89,7,0))</f>
        <v>0</v>
      </c>
      <c r="MV47" s="16">
        <f>IF(ISNA(VLOOKUP($A47,'Données projet'!$A$460:$I$480,6,0)),0%,VLOOKUP($A47,'Données projet'!$A$460:$I$480,6,0)*VLOOKUP('Données projet'!$B$25,Paramètres!$A$1:$I$89,7,0))</f>
        <v>0</v>
      </c>
      <c r="MW47" s="16">
        <f>IF(ISNA(VLOOKUP($A47,'Données projet'!$A$460:$I$480,7,0)),0%,VLOOKUP($A47,'Données projet'!$A$460:$I$480,7,0))</f>
        <v>0</v>
      </c>
      <c r="MX47" s="21" t="e">
        <f>EXP(-LN(2)/35)*MX46+(1-EXP(-LN(2)/35))/(LN(2)/35)*MT47*MU47*VLOOKUP('Données projet'!$B$25,Paramètres!$A$1:$I$89,3,0)*0.475*44/12</f>
        <v>#N/A</v>
      </c>
      <c r="MY47" s="21" t="e">
        <f>EXP(-LN(2)/25)*MY46+(1-EXP(-LN(2)/25))/(LN(2)/25)*Calculateur!MT47*Calculateur!MV47*VLOOKUP('Données projet'!$B$25,Paramètres!$A$1:$I$89,3,0)*0.475*44/12</f>
        <v>#N/A</v>
      </c>
      <c r="MZ47" s="21" t="e">
        <f>EXP(-LN(2)/2)*MZ46+(1-EXP(-LN(2)/2))/(LN(2)/2)*MT47*MW47*VLOOKUP('Données projet'!$B$25,Paramètres!$A$1:$I$89,3,0)*0.475*44/12</f>
        <v>#N/A</v>
      </c>
      <c r="NA47" s="22" t="e">
        <f t="shared" si="108"/>
        <v>#N/A</v>
      </c>
      <c r="NB47" s="74">
        <f>('Scénario référence'!$F$8+'Scénario référence'!$F$9+'Scénario référence'!$B$17+'Scénario référence'!$B$9+'Scénario référence'!$B$10)*70+IF((45+25*(1-EXP(-0.0175*$A47)))&lt;70,'Scénario référence'!$B$16*(45+25*(1-EXP(-0.0175*$A47))),70*'Scénario référence'!$B$16)+IF((32+38*(1-EXP(-0.0175*$A47)))&lt;70,'Scénario référence'!$B$18*(32+38*(1-EXP(-0.0175*$A47))),70*'Scénario référence'!$B$18)</f>
        <v>70</v>
      </c>
      <c r="NC47" s="12">
        <f>IF($A47&gt;30,10,('Scénario référence'!$B$16+'Scénario référence'!$B$17+'Scénario référence'!$B$18+'Scénario référence'!$B$9+'Scénario référence'!$B$10)*$A47*10/30+('Scénario référence'!$F$8+'Scénario référence'!$F$9)*10)</f>
        <v>10</v>
      </c>
      <c r="ND47" s="12" t="e">
        <f>VLOOKUP($A47,'Données projet'!$A$486:$I$506,2,0)</f>
        <v>#N/A</v>
      </c>
      <c r="NE47" s="12" t="e">
        <f>VLOOKUP($A47,'Données projet'!$A$486:$I$506,9,0)</f>
        <v>#N/A</v>
      </c>
      <c r="NF47" s="12">
        <f t="array" ref="NF47">INDEX(NE:NE,MIN(IF(ISNUMBER(NE47:NE243),ROW(NE47:NE243),"")))</f>
        <v>0</v>
      </c>
      <c r="NG47" s="12">
        <f>IF('Données projet'!$A$486&gt;35,NG46+NF47-NO46,IF($A47&lt;'Données projet'!$A$486,$CQ$205^$A47,IF($A47='Données projet'!$A$486,'Données projet'!$B$486,NG46+NF47-NO46)))</f>
        <v>0</v>
      </c>
      <c r="NH47" s="17" t="e">
        <f>NG47*VLOOKUP('Données projet'!$B$26,Paramètres!$A$1:$I$89,3,0)*VLOOKUP('Données projet'!$B$26,Paramètres!$A$1:$I$89,5,0)</f>
        <v>#N/A</v>
      </c>
      <c r="NI47" s="13" t="e">
        <f t="shared" si="109"/>
        <v>#N/A</v>
      </c>
      <c r="NJ47" s="14" t="e">
        <f t="shared" si="52"/>
        <v>#N/A</v>
      </c>
      <c r="NK47" s="59" t="e">
        <f t="shared" si="53"/>
        <v>#N/A</v>
      </c>
      <c r="NL47" s="20" t="e">
        <f ca="1">AVERAGE(OFFSET($NK$3,0,0,'Données projet'!$E$26+1,1))-AVERAGE(OFFSET($H$3,0,0,'Données projet'!$E$26+1,1))</f>
        <v>#N/A</v>
      </c>
      <c r="NM47" s="59" t="e">
        <f t="shared" si="110"/>
        <v>#N/A</v>
      </c>
      <c r="NN47" s="15">
        <f>IF(ISNA(VLOOKUP($A47,'Données projet'!$A$486:$I$506,3,0)),0,VLOOKUP($A47,'Données projet'!$A$486:$I$506,3,0))</f>
        <v>0</v>
      </c>
      <c r="NO47" s="15">
        <f>IF(ISNA(VLOOKUP($A47,'Données projet'!$A$486:$I$506,4,0)),0,VLOOKUP($A47,'Données projet'!$A$486:$I$506,4,0))</f>
        <v>0</v>
      </c>
      <c r="NP47" s="16">
        <f>IF(ISNA(VLOOKUP($A47,'Données projet'!$A$486:$I$506,5,0)),0%,VLOOKUP($A47,'Données projet'!$A$486:$I$506,5,0)*VLOOKUP('Données projet'!$B$26,Paramètres!$A$1:$I$89,7,0))</f>
        <v>0</v>
      </c>
      <c r="NQ47" s="16">
        <f>IF(ISNA(VLOOKUP($A47,'Données projet'!$A$486:$I$506,6,0)),0%,VLOOKUP($A47,'Données projet'!$A$486:$I$506,6,0)*VLOOKUP('Données projet'!$B$26,Paramètres!$A$1:$I$89,7,0))</f>
        <v>0</v>
      </c>
      <c r="NR47" s="16">
        <f>IF(ISNA(VLOOKUP($A47,'Données projet'!$A$486:$I$506,7,0)),0%,VLOOKUP($A47,'Données projet'!$A$486:$I$506,7,0))</f>
        <v>0</v>
      </c>
      <c r="NS47" s="21" t="e">
        <f>EXP(-LN(2)/35)*NS46+(1-EXP(-LN(2)/35))/(LN(2)/35)*NO47*NP47*VLOOKUP('Données projet'!$B$26,Paramètres!$A$1:$I$89,3,0)*0.475*44/12</f>
        <v>#N/A</v>
      </c>
      <c r="NT47" s="21" t="e">
        <f>EXP(-LN(2)/25)*NT46+(1-EXP(-LN(2)/25))/(LN(2)/25)*Calculateur!NO47*Calculateur!NQ47*VLOOKUP('Données projet'!$B$26,Paramètres!$A$1:$I$89,3,0)*0.475*44/12</f>
        <v>#N/A</v>
      </c>
      <c r="NU47" s="21" t="e">
        <f>EXP(-LN(2)/2)*NU46+(1-EXP(-LN(2)/2))/(LN(2)/2)*NO47*NR47*VLOOKUP('Données projet'!$B$26,Paramètres!$A$1:$I$89,3,0)*0.475*44/12</f>
        <v>#N/A</v>
      </c>
      <c r="NV47" s="22" t="e">
        <f t="shared" si="111"/>
        <v>#N/A</v>
      </c>
      <c r="NW47" s="74">
        <f>('Scénario référence'!$F$8+'Scénario référence'!$F$9+'Scénario référence'!$B$17+'Scénario référence'!$B$9+'Scénario référence'!$B$10)*70+IF((45+25*(1-EXP(-0.0175*$A47)))&lt;70,'Scénario référence'!$B$16*(45+25*(1-EXP(-0.0175*$A47))),70*'Scénario référence'!$B$16)+IF((32+38*(1-EXP(-0.0175*$A47)))&lt;70,'Scénario référence'!$B$18*(32+38*(1-EXP(-0.0175*$A47))),70*'Scénario référence'!$B$18)</f>
        <v>70</v>
      </c>
      <c r="NX47" s="12">
        <f>IF($A47&gt;30,10,('Scénario référence'!$B$16+'Scénario référence'!$B$17+'Scénario référence'!$B$18+'Scénario référence'!$B$9+'Scénario référence'!$B$10)*$A47*10/30+('Scénario référence'!$F$8+'Scénario référence'!$F$9)*10)</f>
        <v>10</v>
      </c>
      <c r="NY47" s="12" t="e">
        <f>VLOOKUP($A47,'Données projet'!$A$512:$I$532,2,0)</f>
        <v>#N/A</v>
      </c>
      <c r="NZ47" s="12" t="e">
        <f>VLOOKUP($A47,'Données projet'!$A$512:$I$532,9,0)</f>
        <v>#N/A</v>
      </c>
      <c r="OA47" s="12">
        <f t="array" ref="OA47">INDEX(NZ:NZ,MIN(IF(ISNUMBER(NZ47:NZ243),ROW(NZ47:NZ243),"")))</f>
        <v>0</v>
      </c>
      <c r="OB47" s="12">
        <f>IF('Données projet'!$A$512&gt;35,OB46+OA47-OJ46,IF($A47&lt;'Données projet'!$A$512,$CQ$205^$A47,IF($A47='Données projet'!$A$512,'Données projet'!$B$512,OB46+OA47-OJ46)))</f>
        <v>0</v>
      </c>
      <c r="OC47" s="17" t="e">
        <f>OB47*VLOOKUP('Données projet'!$B$27,Paramètres!$A$1:$I$89,3,0)*VLOOKUP('Données projet'!$B$27,Paramètres!$A$1:$I$89,5,0)</f>
        <v>#N/A</v>
      </c>
      <c r="OD47" s="13" t="e">
        <f t="shared" si="112"/>
        <v>#N/A</v>
      </c>
      <c r="OE47" s="14" t="e">
        <f t="shared" si="55"/>
        <v>#N/A</v>
      </c>
      <c r="OF47" s="59" t="e">
        <f t="shared" si="56"/>
        <v>#N/A</v>
      </c>
      <c r="OG47" s="20" t="e">
        <f ca="1">AVERAGE(OFFSET($OF$3,0,0,'Données projet'!$E$27+1,1))-AVERAGE(OFFSET($H$3,0,0,'Données projet'!$E$27+1,1))</f>
        <v>#N/A</v>
      </c>
      <c r="OH47" s="59" t="e">
        <f t="shared" si="113"/>
        <v>#N/A</v>
      </c>
      <c r="OI47" s="15">
        <f>IF(ISNA(VLOOKUP($A47,'Données projet'!$A$512:$I$532,3,0)),0,VLOOKUP($A47,'Données projet'!$A$512:$I$532,3,0))</f>
        <v>0</v>
      </c>
      <c r="OJ47" s="15">
        <f>IF(ISNA(VLOOKUP($A47,'Données projet'!$A$512:$I$532,4,0)),0,VLOOKUP($A47,'Données projet'!$A$512:$I$532,4,0))</f>
        <v>0</v>
      </c>
      <c r="OK47" s="16">
        <f>IF(ISNA(VLOOKUP($A47,'Données projet'!$A$512:$I$532,5,0)),0%,VLOOKUP($A47,'Données projet'!$A$512:$I$532,5,0)*VLOOKUP('Données projet'!$B$27,Paramètres!$A$1:$I$89,7,0))</f>
        <v>0</v>
      </c>
      <c r="OL47" s="16">
        <f>IF(ISNA(VLOOKUP($A47,'Données projet'!$A$512:$I$532,6,0)),0%,VLOOKUP($A47,'Données projet'!$A$512:$I$532,6,0)*VLOOKUP('Données projet'!$B$27,Paramètres!$A$1:$I$89,7,0))</f>
        <v>0</v>
      </c>
      <c r="OM47" s="16">
        <f>IF(ISNA(VLOOKUP($A47,'Données projet'!$A$512:$I$532,7,0)),0%,VLOOKUP($A47,'Données projet'!$A$512:$I$532,7,0))</f>
        <v>0</v>
      </c>
      <c r="ON47" s="21" t="e">
        <f>EXP(-LN(2)/35)*ON46+(1-EXP(-LN(2)/35))/(LN(2)/35)*OJ47*OK47*VLOOKUP('Données projet'!$B$27,Paramètres!$A$1:$I$89,3,0)*0.475*44/12</f>
        <v>#N/A</v>
      </c>
      <c r="OO47" s="21" t="e">
        <f>EXP(-LN(2)/25)*OO46+(1-EXP(-LN(2)/25))/(LN(2)/25)*Calculateur!OJ47*Calculateur!OL47*VLOOKUP('Données projet'!$B$27,Paramètres!$A$1:$I$89,3,0)*0.475*44/12</f>
        <v>#N/A</v>
      </c>
      <c r="OP47" s="21" t="e">
        <f>EXP(-LN(2)/2)*OP46+(1-EXP(-LN(2)/2))/(LN(2)/2)*OJ47*OM47*VLOOKUP('Données projet'!$B$27,Paramètres!$A$1:$I$89,3,0)*0.475*44/12</f>
        <v>#N/A</v>
      </c>
      <c r="OQ47" s="22" t="e">
        <f t="shared" si="114"/>
        <v>#N/A</v>
      </c>
      <c r="OR47" s="74">
        <f>('Scénario référence'!$F$8+'Scénario référence'!$F$9+'Scénario référence'!$B$17+'Scénario référence'!$B$9+'Scénario référence'!$B$10)*70+IF((45+25*(1-EXP(-0.0175*$A47)))&lt;70,'Scénario référence'!$B$16*(45+25*(1-EXP(-0.0175*$A47))),70*'Scénario référence'!$B$16)+IF((32+38*(1-EXP(-0.0175*$A47)))&lt;70,'Scénario référence'!$B$18*(32+38*(1-EXP(-0.0175*$A47))),70*'Scénario référence'!$B$18)</f>
        <v>70</v>
      </c>
      <c r="OS47" s="12">
        <f>IF($A47&gt;30,10,('Scénario référence'!$B$16+'Scénario référence'!$B$17+'Scénario référence'!$B$18+'Scénario référence'!$B$9+'Scénario référence'!$B$10)*$A47*10/30+('Scénario référence'!$F$8+'Scénario référence'!$F$9)*10)</f>
        <v>10</v>
      </c>
      <c r="OT47" s="12" t="e">
        <f>VLOOKUP($A47,'Données projet'!$A$538:$I$558,2,0)</f>
        <v>#N/A</v>
      </c>
      <c r="OU47" s="12" t="e">
        <f>VLOOKUP($A47,'Données projet'!$A$538:$I$558,9,0)</f>
        <v>#N/A</v>
      </c>
      <c r="OV47" s="12">
        <f t="array" ref="OV47">INDEX(OU:OU,MIN(IF(ISNUMBER(OU47:OU243),ROW(OU47:OU243),"")))</f>
        <v>0</v>
      </c>
      <c r="OW47" s="12">
        <f>IF('Données projet'!$A$538&gt;35,OW46+OV47-PE46,IF($A47&lt;'Données projet'!$A$538,$CQ$205^$A47,IF($A47='Données projet'!$A$538,'Données projet'!$B$538,OW46+OV47-PE46)))</f>
        <v>0</v>
      </c>
      <c r="OX47" s="17" t="e">
        <f>OW47*VLOOKUP('Données projet'!$B$28,Paramètres!$A$1:$I$89,3,0)*VLOOKUP('Données projet'!$B$28,Paramètres!$A$1:$I$89,5,0)</f>
        <v>#N/A</v>
      </c>
      <c r="OY47" s="13" t="e">
        <f t="shared" si="115"/>
        <v>#N/A</v>
      </c>
      <c r="OZ47" s="14" t="e">
        <f t="shared" si="58"/>
        <v>#N/A</v>
      </c>
      <c r="PA47" s="59" t="e">
        <f t="shared" si="59"/>
        <v>#N/A</v>
      </c>
      <c r="PB47" s="20" t="e">
        <f ca="1">AVERAGE(OFFSET($PA$3,0,0,'Données projet'!$E$28+1,1))-AVERAGE(OFFSET($H$3,0,0,'Données projet'!$E$28+1,1))</f>
        <v>#N/A</v>
      </c>
      <c r="PC47" s="59" t="e">
        <f t="shared" si="116"/>
        <v>#N/A</v>
      </c>
      <c r="PD47" s="15">
        <f>IF(ISNA(VLOOKUP($A47,'Données projet'!$A$538:$I$558,3,0)),0,VLOOKUP($A47,'Données projet'!$A$538:$I$558,3,0))</f>
        <v>0</v>
      </c>
      <c r="PE47" s="15">
        <f>IF(ISNA(VLOOKUP($A47,'Données projet'!$A$538:$I$558,4,0)),0,VLOOKUP($A47,'Données projet'!$A$538:$I$558,4,0))</f>
        <v>0</v>
      </c>
      <c r="PF47" s="16">
        <f>IF(ISNA(VLOOKUP($A47,'Données projet'!$A$538:$I$558,5,0)),0%,VLOOKUP($A47,'Données projet'!$A$538:$I$558,5,0)*VLOOKUP('Données projet'!$B$28,Paramètres!$A$1:$I$89,7,0))</f>
        <v>0</v>
      </c>
      <c r="PG47" s="16">
        <f>IF(ISNA(VLOOKUP($A47,'Données projet'!$A$538:$I$558,6,0)),0%,VLOOKUP($A47,'Données projet'!$A$538:$I$558,6,0)*VLOOKUP('Données projet'!$B$28,Paramètres!$A$1:$I$89,7,0))</f>
        <v>0</v>
      </c>
      <c r="PH47" s="16">
        <f>IF(ISNA(VLOOKUP($A47,'Données projet'!$A$538:$I$558,7,0)),0%,VLOOKUP($A47,'Données projet'!$A$538:$I$558,7,0))</f>
        <v>0</v>
      </c>
      <c r="PI47" s="21" t="e">
        <f>EXP(-LN(2)/35)*PI46+(1-EXP(-LN(2)/35))/(LN(2)/35)*PE47*PF47*VLOOKUP('Données projet'!$B$28,Paramètres!$A$1:$I$89,3,0)*0.475*44/12</f>
        <v>#N/A</v>
      </c>
      <c r="PJ47" s="21" t="e">
        <f>EXP(-LN(2)/25)*PJ46+(1-EXP(-LN(2)/25))/(LN(2)/25)*Calculateur!PE47*Calculateur!PG47*VLOOKUP('Données projet'!$B$28,Paramètres!$A$1:$I$89,3,0)*0.475*44/12</f>
        <v>#N/A</v>
      </c>
      <c r="PK47" s="21" t="e">
        <f>EXP(-LN(2)/2)*PK46+(1-EXP(-LN(2)/2))/(LN(2)/2)*PE47*PH47*VLOOKUP('Données projet'!$B$28,Paramètres!$A$1:$I$89,3,0)*0.475*44/12</f>
        <v>#N/A</v>
      </c>
      <c r="PL47" s="22" t="e">
        <f t="shared" si="117"/>
        <v>#N/A</v>
      </c>
    </row>
    <row r="48" spans="1:428" x14ac:dyDescent="0.35">
      <c r="A48" s="10">
        <f t="shared" si="6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6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projet'!$A$45:$I$65,2,0)</f>
        <v>#N/A</v>
      </c>
      <c r="L48" s="12" t="e">
        <f>VLOOKUP(A48,'Données projet'!$A$45:$I$65,9,0)</f>
        <v>#N/A</v>
      </c>
      <c r="M48" s="12">
        <f t="array" ref="M48">INDEX(L:L,MIN(IF(ISNUMBER(L48:L244),ROW(L48:L244),"")))</f>
        <v>21.625641025641034</v>
      </c>
      <c r="N48" s="13">
        <f>IF('Données projet'!$A$46&gt;35,N47+M48-V47,IF(A48&lt;'Données projet'!$A$46,$K$205^A48,IF(A48='Données projet'!$A$46,'Données projet'!$B$46,N47+M48-V47)))</f>
        <v>460.20769230769224</v>
      </c>
      <c r="O48" s="13">
        <f>N48*VLOOKUP('Données projet'!$B$9,Paramètres!$A$1:$I$89,3,0)*VLOOKUP('Données projet'!$B$9,Paramètres!$A$1:$I$89,5,0)</f>
        <v>257.25609999999995</v>
      </c>
      <c r="P48" s="13">
        <f t="shared" si="63"/>
        <v>62.137128695600659</v>
      </c>
      <c r="Q48" s="20">
        <f t="shared" si="118"/>
        <v>556.27653997817106</v>
      </c>
      <c r="R48" s="59">
        <f t="shared" si="0"/>
        <v>849.60987331150432</v>
      </c>
      <c r="S48" s="59">
        <f ca="1">AVERAGE(OFFSET($R$3,0,0,'Données projet'!$E$9+1,1))-AVERAGE(OFFSET($H$3,0,0,'Données projet'!$E$9+1,1))</f>
        <v>274.57619581652199</v>
      </c>
      <c r="T48" s="59">
        <f t="shared" si="64"/>
        <v>366.15117322598775</v>
      </c>
      <c r="U48" s="15">
        <f>IF(ISNA(VLOOKUP(A48,'Données projet'!$A$45:$I$65,3,0)),0,VLOOKUP(A48,'Données projet'!$A$45:$I$65,3,0))</f>
        <v>0</v>
      </c>
      <c r="V48" s="15">
        <f>IF(ISNA(VLOOKUP(A48,'Données projet'!$A$45:$I$65,4,0)),0,VLOOKUP(A48,'Données projet'!$A$45:$I$65,4,0))</f>
        <v>0</v>
      </c>
      <c r="W48" s="16">
        <f>IF(ISNA(VLOOKUP(A48,'Données projet'!$A$45:$I$65,5,0)),0%,VLOOKUP(A48,'Données projet'!$A$45:$I$65,5,0)*VLOOKUP('Données projet'!$B$9,Paramètres!$A$1:$I$89,7,0))</f>
        <v>0</v>
      </c>
      <c r="X48" s="16">
        <f>IF(ISNA(VLOOKUP(A48,'Données projet'!$A$45:$I$65,6,0)),0%,VLOOKUP(A48,'Données projet'!$A$45:$I$65,6,0)*VLOOKUP('Données projet'!$B$9,Paramètres!$A$1:$I$89,7,0))</f>
        <v>0</v>
      </c>
      <c r="Y48" s="16">
        <f>IF(ISNA(VLOOKUP(A48,'Données projet'!$A$45:$I$65,7,0)),0%,VLOOKUP(A48,'Données projet'!$A$45:$I$65,7,0))</f>
        <v>0</v>
      </c>
      <c r="Z48" s="21">
        <f>EXP(-LN(2)/35)*Z47+(1-EXP(-LN(2)/35))/(LN(2)/35)*V48*W48*VLOOKUP('Données projet'!$B$9,Paramètres!$A$1:$I$89,3,0)*0.475*44/12</f>
        <v>58.265101842114873</v>
      </c>
      <c r="AA48" s="21">
        <f>EXP(-LN(2)/25)*AA47+(1-EXP(-LN(2)/25))/(LN(2)/25)*Calculateur!V48*Calculateur!X48*VLOOKUP('Données projet'!$B$9,Paramètres!$A$1:$I$89,3,0)*0.475*44/12</f>
        <v>20.333836418624376</v>
      </c>
      <c r="AB48" s="21">
        <f>EXP(-LN(2)/2)*AB47+(1-EXP(-LN(2)/2))/(LN(2)/2)*V48*Y48*VLOOKUP('Données projet'!$B$9,Paramètres!$A$1:$I$89,3,0)*0.475*44/12</f>
        <v>2.4581428092489968</v>
      </c>
      <c r="AC48" s="22">
        <f t="shared" si="3"/>
        <v>81.057081069988243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projet'!$A$71:$I$91,2,0)</f>
        <v>#N/A</v>
      </c>
      <c r="AG48" s="12" t="e">
        <f>VLOOKUP(A48,'Données projet'!$A$71:$I$91,9,0)</f>
        <v>#N/A</v>
      </c>
      <c r="AH48" s="12">
        <f t="array" ref="AH48">INDEX(AG:AG,MIN(IF(ISNUMBER(AG48:AG244),ROW(AG48:AG244),"")))</f>
        <v>9.3452380952380913</v>
      </c>
      <c r="AI48" s="13">
        <f>IF('Données projet'!$A$72&gt;35,AI47+AH48-AQ47,IF(A48&lt;'Données projet'!$A$72,$AF$205^A48,IF(A48='Données projet'!$A$72,'Données projet'!$B$72,AI47+AH48-AQ47)))</f>
        <v>156.3168498168499</v>
      </c>
      <c r="AJ48" s="13">
        <f>AI48*VLOOKUP('Données projet'!$B$10,Paramètres!$A$1:$I$89,3,0)*VLOOKUP('Données projet'!$B$10,Paramètres!$A$1:$I$89,5,0)</f>
        <v>141.43548571428576</v>
      </c>
      <c r="AK48" s="13">
        <f t="shared" si="65"/>
        <v>36.625659617511197</v>
      </c>
      <c r="AL48" s="20">
        <f t="shared" si="4"/>
        <v>310.12316145287969</v>
      </c>
      <c r="AM48" s="59">
        <f t="shared" si="5"/>
        <v>603.45649478621294</v>
      </c>
      <c r="AN48" s="59">
        <f ca="1">AVERAGE(OFFSET($AM$3,0,0,'Données projet'!$E$10+1,1))-AVERAGE(OFFSET($H$3,0,0,'Données projet'!$E$10+1,1))</f>
        <v>270.87836509222456</v>
      </c>
      <c r="AO48" s="59">
        <f t="shared" si="66"/>
        <v>205.24998237949734</v>
      </c>
      <c r="AP48" s="15">
        <f>IF(ISNA(VLOOKUP(A48,'Données projet'!$A$71:$I$91,3,0)),0,VLOOKUP(A48,'Données projet'!$A$71:$I$91,3,0))</f>
        <v>0</v>
      </c>
      <c r="AQ48" s="15">
        <f>IF(ISNA(VLOOKUP(A48,'Données projet'!$A$71:$I$91,4,0)),0,VLOOKUP(A48,'Données projet'!$A$71:$I$91,4,0))</f>
        <v>0</v>
      </c>
      <c r="AR48" s="16">
        <f>IF(ISNA(VLOOKUP(A48,'Données projet'!$A$71:$I$91,5,0)),0%,VLOOKUP(A48,'Données projet'!$A$71:$I$91,5,0)*VLOOKUP('Données projet'!$B$10,Paramètres!$A$1:$I$89,7,0))</f>
        <v>0</v>
      </c>
      <c r="AS48" s="16">
        <f>IF(ISNA(VLOOKUP(A48,'Données projet'!$A$71:$I$91,6,0)),0%,VLOOKUP(A48,'Données projet'!$A$71:$I$91,6,0)*VLOOKUP('Données projet'!$B$10,Paramètres!$A$1:$I$89,7,0))</f>
        <v>0</v>
      </c>
      <c r="AT48" s="16">
        <f>IF(ISNA(VLOOKUP(A48,'Données projet'!$A$71:$I$91,7,0)),0%,VLOOKUP(A48,'Données projet'!$A$71:$I$91,7,0))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projet'!$A$97:$I$117,2,0)</f>
        <v>#N/A</v>
      </c>
      <c r="BB48" s="12" t="e">
        <f>VLOOKUP(A48,'Données projet'!$A$97:$I$117,9,0)</f>
        <v>#N/A</v>
      </c>
      <c r="BC48" s="12">
        <f t="array" ref="BC48">INDEX(BB:BB,MIN(IF(ISNUMBER(BB48:BB244),ROW(BB48:BB244),"")))</f>
        <v>21.625641025641034</v>
      </c>
      <c r="BD48" s="12">
        <f>IF('Données projet'!$A$98&gt;35,BD47+BC48-BL47,IF(A48&lt;'Données projet'!$A$98,$BA$205^A48,IF(A48='Données projet'!$A$98,'Données projet'!$B$98,BD47+BC48-BL47)))</f>
        <v>460.20769230769224</v>
      </c>
      <c r="BE48" s="13">
        <f>BD48*VLOOKUP('Données projet'!$B$11,Paramètres!$A$1:$I$89,3,0)*VLOOKUP('Données projet'!$B$11,Paramètres!$A$1:$I$89,5,0)</f>
        <v>203.4118</v>
      </c>
      <c r="BF48" s="13">
        <f t="shared" si="67"/>
        <v>50.493238347030655</v>
      </c>
      <c r="BG48" s="20">
        <f t="shared" si="7"/>
        <v>442.21794178774502</v>
      </c>
      <c r="BH48" s="59">
        <f t="shared" si="8"/>
        <v>735.55127512107833</v>
      </c>
      <c r="BI48" s="59">
        <f ca="1">AVERAGE(OFFSET($BH$3,0,0,'Données projet'!$E$11+1,1))-AVERAGE(OFFSET($H$3,0,0,'Données projet'!$E$11+1,1))</f>
        <v>211.31057120485542</v>
      </c>
      <c r="BJ48" s="59">
        <f t="shared" si="68"/>
        <v>283.33292006714777</v>
      </c>
      <c r="BK48" s="15">
        <f>IF(ISNA(VLOOKUP(A48,'Données projet'!$A$97:$I$117,3,0)),0,VLOOKUP(A48,'Données projet'!$A$97:$I$117,3,0))</f>
        <v>0</v>
      </c>
      <c r="BL48" s="15">
        <f>IF(ISNA(VLOOKUP(A48,'Données projet'!$A$97:$I$117,4,0)),0,VLOOKUP(A48,'Données projet'!$A$97:$I$117,4,0))</f>
        <v>0</v>
      </c>
      <c r="BM48" s="16">
        <f>IF(ISNA(VLOOKUP(A48,'Données projet'!$A$97:$I$117,5,0)),0%,VLOOKUP(A48,'Données projet'!$A$97:$I$117,5,0)*VLOOKUP('Données projet'!$B$11,Paramètres!$A$1:$I$89,7,0))</f>
        <v>0</v>
      </c>
      <c r="BN48" s="16">
        <f>IF(ISNA(VLOOKUP(A48,'Données projet'!$A$97:$I$117,6,0)),0%,VLOOKUP(A48,'Données projet'!$A$97:$I$117,6,0)*VLOOKUP('Données projet'!$B$11,Paramètres!$A$1:$I$89,7,0))</f>
        <v>0</v>
      </c>
      <c r="BO48" s="16">
        <f>IF(ISNA(VLOOKUP(A48,'Données projet'!$A$97:$I$117,7,0)),0%,VLOOKUP(A48,'Données projet'!$A$97:$I$117,7,0))</f>
        <v>0</v>
      </c>
      <c r="BP48" s="21">
        <f>EXP(-LN(2)/35)*BP47+(1-EXP(-LN(2)/35))/(LN(2)/35)*BL48*BM48*VLOOKUP('Données projet'!$B$11,Paramètres!$A$1:$I$89,3,0)*0.475*44/12</f>
        <v>46.070080526323387</v>
      </c>
      <c r="BQ48" s="21">
        <f>EXP(-LN(2)/25)*BQ47+(1-EXP(-LN(2)/25))/(LN(2)/25)*Calculateur!BL48*Calculateur!BN48*VLOOKUP('Données projet'!$B$11,Paramètres!$A$1:$I$89,3,0)*0.475*44/12</f>
        <v>16.077917168214622</v>
      </c>
      <c r="BR48" s="21">
        <f>EXP(-LN(2)/2)*BR47+(1-EXP(-LN(2)/2))/(LN(2)/2)*BL48*BO48*VLOOKUP('Données projet'!$B$11,Paramètres!$A$1:$I$89,3,0)*0.475*44/12</f>
        <v>1.9436478026619979</v>
      </c>
      <c r="BS48" s="22">
        <f t="shared" si="9"/>
        <v>64.091645497200005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projet'!$A$123:$I$143,2,0)</f>
        <v>198</v>
      </c>
      <c r="BW48" s="12">
        <f>VLOOKUP(A48,'Données projet'!$A$123:$I$143,9,0)</f>
        <v>8</v>
      </c>
      <c r="BX48" s="12">
        <f t="array" ref="BX48">INDEX(BW:BW,MIN(IF(ISNUMBER(BW48:BW244),ROW(BW48:BW244),"")))</f>
        <v>8</v>
      </c>
      <c r="BY48" s="12">
        <f>IF('Données projet'!$A$124&gt;35,BY47+BX48-CG47,IF(A48&lt;'Données projet'!$A$124,$BV$205^A48,IF(A48='Données projet'!$A$124,'Données projet'!$B$124,BY47+BX48-CG47)))</f>
        <v>198.00000000000003</v>
      </c>
      <c r="BZ48" s="13">
        <f>BY48*VLOOKUP('Données projet'!$B$12,Paramètres!$A$1:$I$89,3,0)*VLOOKUP('Données projet'!$B$12,Paramètres!$A$1:$I$89,5,0)</f>
        <v>206.94960000000003</v>
      </c>
      <c r="CA48" s="13">
        <f t="shared" si="69"/>
        <v>51.268429949375587</v>
      </c>
      <c r="CB48" s="20">
        <f t="shared" si="10"/>
        <v>449.72973549516246</v>
      </c>
      <c r="CC48" s="59">
        <f t="shared" si="11"/>
        <v>743.06306882849572</v>
      </c>
      <c r="CD48" s="59">
        <f ca="1">AVERAGE(OFFSET($CC$3,0,0,'Données projet'!$E$12+1,1))-AVERAGE(OFFSET($H$3,0,0,'Données projet'!$E$12+1,1))</f>
        <v>322.93502595881938</v>
      </c>
      <c r="CE48" s="59">
        <f t="shared" si="70"/>
        <v>302.67072119588164</v>
      </c>
      <c r="CF48" s="15">
        <f>IF(ISNA(VLOOKUP(A48,'Données projet'!$A$123:$I$143,3,0)),0,VLOOKUP(A48,'Données projet'!$A$123:$I$143,3,0))</f>
        <v>6</v>
      </c>
      <c r="CG48" s="15" t="str">
        <f>IF(ISNA(VLOOKUP(A48,'Données projet'!$A$123:$I$143,4,0)),0,VLOOKUP(A48,'Données projet'!$A$123:$I$143,4,0))</f>
        <v>26</v>
      </c>
      <c r="CH48" s="16">
        <f>IF(ISNA(VLOOKUP(A48,'Données projet'!$A$123:$I$143,5,0)),0%,VLOOKUP(A48,'Données projet'!$A$123:$I$143,5,0)*VLOOKUP('Données projet'!$B$12,Paramètres!$A$1:$I$89,7,0))</f>
        <v>0.17200000000000001</v>
      </c>
      <c r="CI48" s="16">
        <f>IF(ISNA(VLOOKUP(A48,'Données projet'!$A$123:$I$143,6,0)),0%,VLOOKUP(A48,'Données projet'!$A$123:$I$143,6,0)*VLOOKUP('Données projet'!$B$12,Paramètres!$A$1:$I$89,7,0))</f>
        <v>0.17200000000000001</v>
      </c>
      <c r="CJ48" s="16">
        <f>IF(ISNA(VLOOKUP(A48,'Données projet'!$A$123:$I$143,7,0)),0%,VLOOKUP(A48,'Données projet'!$A$123:$I$143,7,0))</f>
        <v>0</v>
      </c>
      <c r="CK48" s="21">
        <f>EXP(-LN(2)/35)*CK47+(1-EXP(-LN(2)/35))/(LN(2)/35)*CG48*CH48*VLOOKUP('Données projet'!$B$12,Paramètres!$A$1:$I$89,3,0)*0.475*44/12</f>
        <v>5.1671171291560194</v>
      </c>
      <c r="CL48" s="21">
        <f>EXP(-LN(2)/25)*CL47+(1-EXP(-LN(2)/25))/(LN(2)/25)*Calculateur!CG48*Calculateur!CI48*VLOOKUP('Données projet'!$B$12,Paramètres!$A$1:$I$89,3,0)*0.475*44/12</f>
        <v>16.02601905638226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21.193136185538279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projet'!$A$149:$I$169,2,0)</f>
        <v>#N/A</v>
      </c>
      <c r="CR48" s="12" t="e">
        <f>VLOOKUP(A48,'Données projet'!$A$149:$I$169,9,0)</f>
        <v>#N/A</v>
      </c>
      <c r="CS48" s="12">
        <f t="array" ref="CS48">INDEX(CR:CR,MIN(IF(ISNUMBER(CR48:CR244),ROW(CR48:CR244),"")))</f>
        <v>6.826007326007324</v>
      </c>
      <c r="CT48" s="12">
        <f>IF('Données projet'!$A$150&gt;35,CT47+CS48-DB47,IF(A48&lt;'Données projet'!$A$150,$CQ$205^A48,IF(A48='Données projet'!$A$150,'Données projet'!$B$150,CT47+CS48-DB47)))</f>
        <v>104.83241758241752</v>
      </c>
      <c r="CU48" s="17">
        <f>CT48*VLOOKUP('Données projet'!$B$13,Paramètres!$A$1:$I$89,3,0)*VLOOKUP('Données projet'!$B$13,Paramètres!$A$1:$I$89,5,0)</f>
        <v>106.30007142857137</v>
      </c>
      <c r="CV48" s="13">
        <f t="shared" si="71"/>
        <v>28.457524292851215</v>
      </c>
      <c r="CW48" s="20">
        <f t="shared" si="13"/>
        <v>234.70281254814427</v>
      </c>
      <c r="CX48" s="59">
        <f t="shared" si="14"/>
        <v>528.03614588147752</v>
      </c>
      <c r="CY48" s="59">
        <f ca="1">AVERAGE(OFFSET($CX$3,0,0,'Données projet'!$E$13+1,1))-AVERAGE(OFFSET($H$3,0,0,'Données projet'!$E$13+1,1))</f>
        <v>250.31277422753283</v>
      </c>
      <c r="CZ48" s="59">
        <f t="shared" si="72"/>
        <v>159.20429420478047</v>
      </c>
      <c r="DA48" s="15">
        <f>IF(ISNA(VLOOKUP(A48,'Données projet'!$A$149:$I$169,3,0)),0,VLOOKUP(A48,'Données projet'!$A$149:$I$169,3,0))</f>
        <v>0</v>
      </c>
      <c r="DB48" s="15">
        <f>IF(ISNA(VLOOKUP(A48,'Données projet'!$A$149:$I$169,4,0)),0,VLOOKUP(A48,'Données projet'!$A$149:$I$169,4,0))</f>
        <v>0</v>
      </c>
      <c r="DC48" s="16">
        <f>IF(ISNA(VLOOKUP(A48,'Données projet'!$A$149:$I$169,5,0)),0%,VLOOKUP(A48,'Données projet'!$A$149:$I$169,5,0)*VLOOKUP('Données projet'!$B$13,Paramètres!$A$1:$I$89,7,0))</f>
        <v>0</v>
      </c>
      <c r="DD48" s="16">
        <f>IF(ISNA(VLOOKUP(A48,'Données projet'!$A$149:$I$169,6,0)),0%,VLOOKUP(A48,'Données projet'!$A$149:$I$169,6,0)*VLOOKUP('Données projet'!$B$13,Paramètres!$A$1:$I$89,7,0))</f>
        <v>0</v>
      </c>
      <c r="DE48" s="16">
        <f>IF(ISNA(VLOOKUP(A48,'Données projet'!$A$149:$I$169,7,0)),0%,VLOOKUP(A48,'Données projet'!$A$149:$I$169,7,0))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0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projet'!$A$175:$I$195,2,0)</f>
        <v>280</v>
      </c>
      <c r="DM48" s="12">
        <f>VLOOKUP(A48,'Données projet'!$A$175:$I$195,9,0)</f>
        <v>11.4</v>
      </c>
      <c r="DN48" s="12">
        <f t="array" ref="DN48">INDEX(DM:DM,MIN(IF(ISNUMBER(DM48:DM244),ROW(DM48:DM244),"")))</f>
        <v>11.4</v>
      </c>
      <c r="DO48" s="12">
        <f>IF('Données projet'!$A$176&gt;35,DO47+DN48-DW47,IF(A48&lt;'Données projet'!$A$176,$DL$205^A48,IF(A48='Données projet'!$A$176,'Données projet'!$B$176,DO47+DN48-DW47)))</f>
        <v>279.99999999999989</v>
      </c>
      <c r="DP48" s="17">
        <f>DO48*VLOOKUP('Données projet'!$B$14,Paramètres!$A$1:$I$89,3,0)*VLOOKUP('Données projet'!$B$14,Paramètres!$A$1:$I$89,5,0)</f>
        <v>205.29599999999991</v>
      </c>
      <c r="DQ48" s="13">
        <f t="shared" si="73"/>
        <v>50.906291934375353</v>
      </c>
      <c r="DR48" s="20">
        <f t="shared" si="16"/>
        <v>446.21899178570357</v>
      </c>
      <c r="DS48" s="59">
        <f t="shared" si="17"/>
        <v>739.55232511903682</v>
      </c>
      <c r="DT48" s="59">
        <f ca="1">AVERAGE(OFFSET($DS$3,0,0,'Données projet'!$E$14+1,1))-AVERAGE(OFFSET($H$3,0,0,'Données projet'!$E$14+1,1))</f>
        <v>296.91321813251051</v>
      </c>
      <c r="DU48" s="59">
        <f t="shared" si="74"/>
        <v>291.0718079639509</v>
      </c>
      <c r="DV48" s="15">
        <f>IF(ISNA(VLOOKUP(A48,'Données projet'!$A$175:$I$195,3,0)),0,VLOOKUP(A48,'Données projet'!$A$175:$I$195,3,0))</f>
        <v>8</v>
      </c>
      <c r="DW48" s="15">
        <f>IF(ISNA(VLOOKUP(A48,'Données projet'!$A$175:$I$195,4,0)),0,VLOOKUP(A48,'Données projet'!$A$175:$I$195,4,0))</f>
        <v>26</v>
      </c>
      <c r="DX48" s="16">
        <f>IF(ISNA(VLOOKUP(A48,'Données projet'!$A$175:$I$195,5,0)),0%,VLOOKUP(A48,'Données projet'!$A$175:$I$195,5,0)*VLOOKUP('Données projet'!$B$14,Paramètres!$A$1:$I$89,7,0))</f>
        <v>0.39560000000000001</v>
      </c>
      <c r="DY48" s="16">
        <f>IF(ISNA(VLOOKUP(A48,'Données projet'!$A$175:$I$195,6,0)),0%,VLOOKUP(A48,'Données projet'!$A$175:$I$195,6,0)*VLOOKUP('Données projet'!$B$14,Paramètres!$A$1:$I$89,7,0))</f>
        <v>1.72E-2</v>
      </c>
      <c r="DZ48" s="16">
        <f>IF(ISNA(VLOOKUP(A48,'Données projet'!$A$175:$I$195,7,0)),0%,VLOOKUP(A48,'Données projet'!$A$175:$I$195,7,0))</f>
        <v>0</v>
      </c>
      <c r="EA48" s="21">
        <f>EXP(-LN(2)/35)*EA47+(1-EXP(-LN(2)/35))/(LN(2)/35)*DW48*DX48*VLOOKUP('Données projet'!$B$14,Paramètres!$A$1:$I$89,3,0)*0.475*44/12</f>
        <v>34.99036822891216</v>
      </c>
      <c r="EB48" s="21">
        <f>EXP(-LN(2)/25)*EB47+(1-EXP(-LN(2)/25))/(LN(2)/25)*Calculateur!DW48*Calculateur!DY48*VLOOKUP('Données projet'!$B$14,Paramètres!$A$1:$I$89,3,0)*0.475*44/12</f>
        <v>11.127270854696953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46.117639083609113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projet'!$A$201:$I$221,2,0)</f>
        <v>#N/A</v>
      </c>
      <c r="EH48" s="12" t="e">
        <f>VLOOKUP(A48,'Données projet'!$A$201:$I$221,9,0)</f>
        <v>#N/A</v>
      </c>
      <c r="EI48" s="12">
        <f t="array" ref="EI48">INDEX(EH:EH,MIN(IF(ISNUMBER(EH48:EH244),ROW(EH48:EH244),"")))</f>
        <v>10.407692307692306</v>
      </c>
      <c r="EJ48" s="12">
        <f>IF('Données projet'!$A$202&gt;35,EJ47+EI48-ER47,IF(A48&lt;'Données projet'!$A$202,$EG$205^A48,IF(A48='Données projet'!$A$202,'Données projet'!$B$202,EJ47+EI48-ER47)))</f>
        <v>259.39230769230772</v>
      </c>
      <c r="EK48" s="17">
        <f>EJ48*VLOOKUP('Données projet'!$B$15,Paramètres!$A$1:$I$89,3,0)*VLOOKUP('Données projet'!$B$15,Paramètres!$A$1:$I$89,5,0)</f>
        <v>121.39560000000002</v>
      </c>
      <c r="EL48" s="13">
        <f t="shared" si="75"/>
        <v>32.000280703058984</v>
      </c>
      <c r="EM48" s="20">
        <f t="shared" si="19"/>
        <v>267.16449222449438</v>
      </c>
      <c r="EN48" s="59">
        <f t="shared" si="20"/>
        <v>560.4978255578277</v>
      </c>
      <c r="EO48" s="59">
        <f ca="1">AVERAGE(OFFSET($EN$3,0,0,'Données projet'!$E$15+1,1))-AVERAGE(OFFSET($H$3,0,0,'Données projet'!$E$15+1,1))</f>
        <v>147.64256291235483</v>
      </c>
      <c r="EP48" s="59">
        <f t="shared" si="76"/>
        <v>70.859031694091868</v>
      </c>
      <c r="EQ48" s="15">
        <f>IF(ISNA(VLOOKUP(A48,'Données projet'!$A$201:$I$221,3,0)),0,VLOOKUP(A48,'Données projet'!$A$201:$I$221,3,0))</f>
        <v>0</v>
      </c>
      <c r="ER48" s="15">
        <f>IF(ISNA(VLOOKUP(A48,'Données projet'!$A$201:$I$221,4,0)),0,VLOOKUP(A48,'Données projet'!$A$201:$I$221,4,0))</f>
        <v>0</v>
      </c>
      <c r="ES48" s="16">
        <f>IF(ISNA(VLOOKUP(A48,'Données projet'!$A$201:$I$221,5,0)),0%,VLOOKUP(A48,'Données projet'!$A$201:$I$221,5,0)*VLOOKUP('Données projet'!$B$15,Paramètres!$A$1:$I$89,7,0))</f>
        <v>0</v>
      </c>
      <c r="ET48" s="16">
        <f>IF(ISNA(VLOOKUP(A48,'Données projet'!$A$201:$I$221,6,0)),0%,VLOOKUP(A48,'Données projet'!$A$201:$I$221,6,0)*VLOOKUP('Données projet'!$B$15,Paramètres!$A$1:$I$89,7,0))</f>
        <v>0</v>
      </c>
      <c r="EU48" s="16">
        <f>IF(ISNA(VLOOKUP(A48,'Données projet'!$A$201:$I$221,7,0)),0%,VLOOKUP(A48,'Données projet'!$A$201:$I$221,7,0))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0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projet'!$A$227:$I$247,2,0)</f>
        <v>162</v>
      </c>
      <c r="FC48" s="12">
        <f>VLOOKUP(A48,'Données projet'!$A$227:$I$247,9,0)</f>
        <v>6.4</v>
      </c>
      <c r="FD48" s="12">
        <f t="array" ref="FD48">INDEX(FC:FC,MIN(IF(ISNUMBER(FC48:FC244),ROW(FC48:FC244),"")))</f>
        <v>6.4</v>
      </c>
      <c r="FE48" s="12">
        <f>IF('Données projet'!$A$228&gt;35,FE47+FD48-FM47,IF(A48&lt;'Données projet'!$A$228,$FB$205^A48,IF(A48='Données projet'!$A$228,'Données projet'!$B$228,FE47+FD48-FM47)))</f>
        <v>162.00000000000003</v>
      </c>
      <c r="FF48" s="17">
        <f>FE48*VLOOKUP('Données projet'!$B$16,Paramètres!$A$1:$I$89,3,0)*VLOOKUP('Données projet'!$B$16,Paramètres!$A$1:$I$89,5,0)</f>
        <v>169.32240000000004</v>
      </c>
      <c r="FG48" s="13">
        <f t="shared" si="77"/>
        <v>42.938228468783223</v>
      </c>
      <c r="FH48" s="20">
        <f t="shared" si="22"/>
        <v>369.68726124979753</v>
      </c>
      <c r="FI48" s="59">
        <f t="shared" si="23"/>
        <v>663.02059458313079</v>
      </c>
      <c r="FJ48" s="59">
        <f ca="1">AVERAGE(OFFSET($FI$3,0,0,'Données projet'!$E$16+1,1))-AVERAGE(OFFSET($H$3,0,0,'Données projet'!$E$16+1,1))</f>
        <v>259.03906550253788</v>
      </c>
      <c r="FK48" s="59">
        <f t="shared" si="78"/>
        <v>235.54542903570831</v>
      </c>
      <c r="FL48" s="15">
        <f>IF(ISNA(VLOOKUP(A48,'Données projet'!$A$227:$I$247,3,0)),0,VLOOKUP(A48,'Données projet'!$A$227:$I$247,3,0))</f>
        <v>6</v>
      </c>
      <c r="FM48" s="15" t="str">
        <f>IF(ISNA(VLOOKUP(A48,'Données projet'!$A$227:$I$247,4,0)),0,VLOOKUP(A48,'Données projet'!$A$227:$I$247,4,0))</f>
        <v>19</v>
      </c>
      <c r="FN48" s="16">
        <f>IF(ISNA(VLOOKUP(A48,'Données projet'!$A$227:$I$247,5,0)),0%,VLOOKUP(A48,'Données projet'!$A$227:$I$247,5,0)*VLOOKUP('Données projet'!$B$16,Paramètres!$A$1:$I$89,7,0))</f>
        <v>0</v>
      </c>
      <c r="FO48" s="16">
        <f>IF(ISNA(VLOOKUP(A48,'Données projet'!$A$227:$I$247,6,0)),0%,VLOOKUP(A48,'Données projet'!$A$227:$I$247,6,0)*VLOOKUP('Données projet'!$B$16,Paramètres!$A$1:$I$89,7,0))</f>
        <v>0.215</v>
      </c>
      <c r="FP48" s="16">
        <f>IF(ISNA(VLOOKUP(A48,'Données projet'!$A$227:$I$247,7,0)),0%,VLOOKUP(A48,'Données projet'!$A$227:$I$247,7,0))</f>
        <v>0</v>
      </c>
      <c r="FQ48" s="21">
        <f>EXP(-LN(2)/35)*FQ47+(1-EXP(-LN(2)/35))/(LN(2)/35)*FM48*FN48*VLOOKUP('Données projet'!$B$16,Paramètres!$A$1:$I$89,3,0)*0.475*44/12</f>
        <v>0</v>
      </c>
      <c r="FR48" s="21">
        <f>EXP(-LN(2)/25)*FR47+(1-EXP(-LN(2)/25))/(LN(2)/25)*Calculateur!FM48*Calculateur!FO48*VLOOKUP('Données projet'!$B$16,Paramètres!$A$1:$I$89,3,0)*0.475*44/12</f>
        <v>9.0095760236811469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9.0095760236811469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>
        <f>VLOOKUP(A48,'Données projet'!$A$253:$I$273,2,0)</f>
        <v>205</v>
      </c>
      <c r="FX48" s="12">
        <f>VLOOKUP(A48,'Données projet'!$A$253:$I$273,9,0)</f>
        <v>8.1999999999999993</v>
      </c>
      <c r="FY48" s="12">
        <f t="array" ref="FY48">INDEX(FX:FX,MIN(IF(ISNUMBER(FX48:FX244),ROW(FX48:FX244),"")))</f>
        <v>8.1999999999999993</v>
      </c>
      <c r="FZ48" s="12">
        <f>IF('Données projet'!$A$254&gt;35,FZ47+FY48-GH47,IF(A48&lt;'Données projet'!$A$254,$FW$205^A48,IF(A48='Données projet'!$A$254,'Données projet'!$B$254,FZ47+FY48-GH47)))</f>
        <v>204.99999999999994</v>
      </c>
      <c r="GA48" s="17">
        <f>FZ48*VLOOKUP('Données projet'!$B$17,Paramètres!$A$1:$I$89,3,0)*VLOOKUP('Données projet'!$B$17,Paramètres!$A$1:$I$89,5,0)</f>
        <v>179.08799999999997</v>
      </c>
      <c r="GB48" s="13">
        <f t="shared" si="79"/>
        <v>45.119223023956835</v>
      </c>
      <c r="GC48" s="20">
        <f t="shared" si="25"/>
        <v>390.49424676672476</v>
      </c>
      <c r="GD48" s="59">
        <f t="shared" si="26"/>
        <v>683.82758010005807</v>
      </c>
      <c r="GE48" s="59">
        <f ca="1">AVERAGE(OFFSET($GD$3,0,0,'Données projet'!$E$17+1,1))-AVERAGE(OFFSET($H$3,0,0,'Données projet'!$E$17+1,1))</f>
        <v>245.1983232777614</v>
      </c>
      <c r="GF48" s="59">
        <f t="shared" si="80"/>
        <v>242.34010522344573</v>
      </c>
      <c r="GG48" s="15">
        <f>IF(ISNA(VLOOKUP(A48,'Données projet'!$A$253:$I$273,3,0)),0,VLOOKUP(A48,'Données projet'!$A$253:$I$273,3,0))</f>
        <v>7</v>
      </c>
      <c r="GH48" s="15">
        <f>IF(ISNA(VLOOKUP(A48,'Données projet'!$A$253:$I$273,4,0)),0,VLOOKUP(A48,'Données projet'!$A$253:$I$273,4,0))</f>
        <v>22</v>
      </c>
      <c r="GI48" s="16">
        <f>IF(ISNA(VLOOKUP(A48,'Données projet'!$A$253:$I$273,5,0)),0%,VLOOKUP(A48,'Données projet'!$A$253:$I$273,5,0)*VLOOKUP('Données projet'!$B$17,Paramètres!$A$1:$I$89,7,0))</f>
        <v>0.25369999999999998</v>
      </c>
      <c r="GJ48" s="16">
        <f>IF(ISNA(VLOOKUP(A48,'Données projet'!$A$253:$I$273,6,0)),0%,VLOOKUP(A48,'Données projet'!$A$253:$I$273,6,0)*VLOOKUP('Données projet'!$B$17,Paramètres!$A$1:$I$89,7,0))</f>
        <v>0.11610000000000001</v>
      </c>
      <c r="GK48" s="16">
        <f>IF(ISNA(VLOOKUP(A48,'Données projet'!$A$253:$I$273,7,0)),0%,VLOOKUP(A48,'Données projet'!$A$253:$I$273,7,0))</f>
        <v>0</v>
      </c>
      <c r="GL48" s="21">
        <f>EXP(-LN(2)/35)*GL47+(1-EXP(-LN(2)/35))/(LN(2)/35)*GH48*GI48*VLOOKUP('Données projet'!$B$17,Paramètres!$A$1:$I$89,3,0)*0.475*44/12</f>
        <v>11.559870043644668</v>
      </c>
      <c r="GM48" s="21">
        <f>EXP(-LN(2)/25)*GM47+(1-EXP(-LN(2)/25))/(LN(2)/25)*Calculateur!GH48*Calculateur!GJ48*VLOOKUP('Données projet'!$B$17,Paramètres!$A$1:$I$89,3,0)*0.475*44/12</f>
        <v>12.844929234398741</v>
      </c>
      <c r="GN48" s="21">
        <f>EXP(-LN(2)/2)*GN47+(1-EXP(-LN(2)/2))/(LN(2)/2)*GH48*GK48*VLOOKUP('Données projet'!$B$17,Paramètres!$A$1:$I$89,3,0)*0.475*44/12</f>
        <v>0</v>
      </c>
      <c r="GO48" s="21">
        <f t="shared" si="27"/>
        <v>24.404799278043409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>
        <f>VLOOKUP(A48,'Données projet'!$A$279:$I$299,2,0)</f>
        <v>548</v>
      </c>
      <c r="GS48" s="12">
        <f>VLOOKUP(A48,'Données projet'!$A$279:$I$299,9,0)</f>
        <v>19.2</v>
      </c>
      <c r="GT48" s="12">
        <f t="array" ref="GT48">INDEX(GS:GS,MIN(IF(ISNUMBER(GS48:GS244),ROW(GS48:GS244),"")))</f>
        <v>19.2</v>
      </c>
      <c r="GU48" s="12">
        <f>IF('Données projet'!$A$280&gt;35,GU47+GT48-HC47,IF(A48&lt;'Données projet'!$A$280,$GR$205^A48,IF(A48='Données projet'!$A$280,'Données projet'!$B$280,GU47+GT48-HC47)))</f>
        <v>548.00000000000023</v>
      </c>
      <c r="GV48" s="17">
        <f>GU48*VLOOKUP('Données projet'!$B$18,Paramètres!$A$1:$I$89,3,0)*VLOOKUP('Données projet'!$B$18,Paramètres!$A$1:$I$89,5,0)</f>
        <v>220.84400000000011</v>
      </c>
      <c r="GW48" s="13">
        <f t="shared" si="81"/>
        <v>54.298284051266002</v>
      </c>
      <c r="GX48" s="20">
        <f t="shared" si="28"/>
        <v>479.20614472262179</v>
      </c>
      <c r="GY48" s="59">
        <f t="shared" si="29"/>
        <v>772.5394780559551</v>
      </c>
      <c r="GZ48" s="59">
        <f ca="1">AVERAGE(OFFSET($GY$3,0,0,'Données projet'!$E$18+1,1))-AVERAGE(OFFSET($H$3,0,0,'Données projet'!$E$18+1,1))</f>
        <v>324.36162935850876</v>
      </c>
      <c r="HA48" s="59">
        <f t="shared" si="82"/>
        <v>265.23571072429735</v>
      </c>
      <c r="HB48" s="15">
        <f>IF(ISNA(VLOOKUP(A48,'Données projet'!$A$279:$I$299,3,0)),0,VLOOKUP(A48,'Données projet'!$A$279:$I$299,3,0))</f>
        <v>6</v>
      </c>
      <c r="HC48" s="15">
        <f>IF(ISNA(VLOOKUP(A48,'Données projet'!$A$279:$I$299,4,0)),0,VLOOKUP(A48,'Données projet'!$A$279:$I$299,4,0))</f>
        <v>35</v>
      </c>
      <c r="HD48" s="16">
        <f>IF(ISNA(VLOOKUP(A48,'Données projet'!$A$279:$I$299,5,0)),0%,VLOOKUP(A48,'Données projet'!$A$279:$I$299,5,0)*VLOOKUP('Données projet'!$B$18,Paramètres!$A$1:$I$89,7,0))</f>
        <v>0.16500000000000001</v>
      </c>
      <c r="HE48" s="16">
        <f>IF(ISNA(VLOOKUP(A48,'Données projet'!$A$279:$I$299,6,0)),0%,VLOOKUP(A48,'Données projet'!$A$279:$I$299,6,0)*VLOOKUP('Données projet'!$B$18,Paramètres!$A$1:$I$89,7,0))</f>
        <v>0.2278571428571429</v>
      </c>
      <c r="HF48" s="16">
        <f>IF(ISNA(VLOOKUP($A48,'Données projet'!$A$279:$I$299,7,0)),0%,VLOOKUP($A48,'Données projet'!$A$279:$I$299,7,0))</f>
        <v>0.14285714285714285</v>
      </c>
      <c r="HG48" s="21">
        <f>EXP(-LN(2)/35)*HG47+(1-EXP(-LN(2)/35))/(LN(2)/35)*HC48*HD48*VLOOKUP('Données projet'!$B$18,Paramètres!$A$1:$I$89,3,0)*0.475*44/12</f>
        <v>4.7807184172352004</v>
      </c>
      <c r="HH48" s="21">
        <f>EXP(-LN(2)/25)*HH47+(1-EXP(-LN(2)/25))/(LN(2)/25)*Calculateur!HC48*Calculateur!HE48*VLOOKUP('Données projet'!$B$18,Paramètres!$A$1:$I$89,3,0)*0.475*44/12</f>
        <v>11.937713874142464</v>
      </c>
      <c r="HI48" s="21">
        <f>EXP(-LN(2)/2)*HI47+(1-EXP(-LN(2)/2))/(LN(2)/2)*HC48*HF48*VLOOKUP('Données projet'!$B$18,Paramètres!$A$1:$I$89,3,0)*0.475*44/12</f>
        <v>3.1161854148412331</v>
      </c>
      <c r="HJ48" s="22">
        <f t="shared" si="30"/>
        <v>19.834617706218896</v>
      </c>
      <c r="HK48" s="74">
        <f>('Scénario référence'!$F$8+'Scénario référence'!$F$9+'Scénario référence'!$B$17+'Scénario référence'!$B$9+'Scénario référence'!$B$10)*70+IF((45+25*(1-EXP(-0.0175*$A48)))&lt;70,'Scénario référence'!$B$16*(45+25*(1-EXP(-0.0175*$A48))),70*'Scénario référence'!$B$16)+IF((32+38*(1-EXP(-0.0175*$A48)))&lt;70,'Scénario référence'!$B$18*(32+38*(1-EXP(-0.0175*$A48))),70*'Scénario référence'!$B$18)</f>
        <v>70</v>
      </c>
      <c r="HL48" s="12">
        <f>IF($A48&gt;30,10,('Scénario référence'!$B$16+'Scénario référence'!$B$17+'Scénario référence'!$B$18+'Scénario référence'!$B$9+'Scénario référence'!$B$10)*$A48*10/30+('Scénario référence'!$F$8+'Scénario référence'!$F$9)*10)</f>
        <v>10</v>
      </c>
      <c r="HM48" s="12" t="e">
        <f>VLOOKUP($A48,'Données projet'!$A$304:$I$324,2,0)</f>
        <v>#N/A</v>
      </c>
      <c r="HN48" s="12" t="e">
        <f>VLOOKUP($A48,'Données projet'!$A$304:$I$324,9,0)</f>
        <v>#N/A</v>
      </c>
      <c r="HO48" s="12">
        <f t="array" ref="HO48">INDEX(HN:HN,MIN(IF(ISNUMBER(HN48:HN244),ROW(HN48:HN244),"")))</f>
        <v>0</v>
      </c>
      <c r="HP48" s="12">
        <f>IF('Données projet'!$A$304&gt;35,HP47+HO48-HX47,IF($A48&lt;'Données projet'!$A$304,$CQ$205^$A48,IF($A48='Données projet'!$A$304,'Données projet'!$B$304,HP47+HO48-HX47)))</f>
        <v>0</v>
      </c>
      <c r="HQ48" s="17">
        <f>HP48*VLOOKUP('Données projet'!$B$19,Paramètres!$A$1:$I$89,3,0)*VLOOKUP('Données projet'!$B$19,Paramètres!$A$1:$I$89,5,0)</f>
        <v>0</v>
      </c>
      <c r="HR48" s="13" t="e">
        <f t="shared" si="83"/>
        <v>#NUM!</v>
      </c>
      <c r="HS48" s="14" t="e">
        <f t="shared" si="31"/>
        <v>#NUM!</v>
      </c>
      <c r="HT48" s="59" t="e">
        <f t="shared" si="32"/>
        <v>#NUM!</v>
      </c>
      <c r="HU48" s="59">
        <f ca="1">AVERAGE(OFFSET(HT$3,0,0,'Données projet'!$E$19+1,1))-AVERAGE(OFFSET($H$3,0,0,'Données projet'!$E$19+1,1))</f>
        <v>91.60721429656013</v>
      </c>
      <c r="HV48" s="59">
        <f t="shared" si="84"/>
        <v>258.94957804210856</v>
      </c>
      <c r="HW48" s="15">
        <f>IF(ISNA(VLOOKUP($A48,'Données projet'!$A$304:$I$324,3,0)),0,VLOOKUP($A48,'Données projet'!$A$304:$I$324,3,0))</f>
        <v>0</v>
      </c>
      <c r="HX48" s="15">
        <f>IF(ISNA(VLOOKUP($A48,'Données projet'!$A$304:$I$324,4,0)),0,VLOOKUP($A48,'Données projet'!$A$304:$I$324,4,0))</f>
        <v>0</v>
      </c>
      <c r="HY48" s="16">
        <f>IF(ISNA(VLOOKUP($A48,'Données projet'!$A$304:$I$324,5,0)),0%,VLOOKUP($A48,'Données projet'!$A$304:$I$324,5,0)*VLOOKUP('Données projet'!$B$19,Paramètres!$A$1:$I$89,7,0))</f>
        <v>0</v>
      </c>
      <c r="HZ48" s="16">
        <f>IF(ISNA(VLOOKUP($A48,'Données projet'!$A$304:$I$324,6,0)),0%,VLOOKUP($A48,'Données projet'!$A$304:$I$324,6,0)*VLOOKUP('Données projet'!$B$19,Paramètres!$A$1:$I$89,7,0))</f>
        <v>0</v>
      </c>
      <c r="IA48" s="16">
        <f>IF(ISNA(VLOOKUP($A48,'Données projet'!$A$304:$I$324,7,0)),0%,VLOOKUP($A48,'Données projet'!$A$304:$I$324,7,0))</f>
        <v>0</v>
      </c>
      <c r="IB48" s="21">
        <f>EXP(-LN(2)/35)*IB47+(1-EXP(-LN(2)/35))/(LN(2)/35)*HX48*HY48*VLOOKUP('Données projet'!$B$19,Paramètres!$A$1:$I$89,3,0)*0.475*44/12</f>
        <v>36.65405873592325</v>
      </c>
      <c r="IC48" s="21">
        <f>EXP(-LN(2)/25)*IC47+(1-EXP(-LN(2)/25))/(LN(2)/25)*Calculateur!HX48*Calculateur!HZ48*VLOOKUP('Données projet'!$B$19,Paramètres!$A$1:$I$89,3,0)*0.475*44/12</f>
        <v>6.4179061515015476</v>
      </c>
      <c r="ID48" s="21">
        <f>EXP(-LN(2)/2)*ID47+(1-EXP(-LN(2)/2))/(LN(2)/2)*HX48*IA48*VLOOKUP('Données projet'!$B$19,Paramètres!$A$1:$I$89,3,0)*0.475*44/12</f>
        <v>3.1645918300980988E-3</v>
      </c>
      <c r="IE48" s="22">
        <f t="shared" si="33"/>
        <v>43.075129479254898</v>
      </c>
      <c r="IF48" s="74">
        <f>('Scénario référence'!$F$8+'Scénario référence'!$F$9+'Scénario référence'!$B$17+'Scénario référence'!$B$9+'Scénario référence'!$B$10)*70+IF((45+25*(1-EXP(-0.0175*$A48)))&lt;70,'Scénario référence'!$B$16*(45+25*(1-EXP(-0.0175*$A48))),70*'Scénario référence'!$B$16)+IF((32+38*(1-EXP(-0.0175*$A48)))&lt;70,'Scénario référence'!$B$18*(32+38*(1-EXP(-0.0175*$A48))),70*'Scénario référence'!$B$18)</f>
        <v>70</v>
      </c>
      <c r="IG48" s="12">
        <f>IF($A48&gt;30,10,('Scénario référence'!$B$16+'Scénario référence'!$B$17+'Scénario référence'!$B$18+'Scénario référence'!$B$9+'Scénario référence'!$B$10)*$A48*10/30+('Scénario référence'!$F$8+'Scénario référence'!$F$9)*10)</f>
        <v>10</v>
      </c>
      <c r="IH48" s="12" t="e">
        <f>VLOOKUP($A48,'Données projet'!$A$330:$I$350,2,0)</f>
        <v>#N/A</v>
      </c>
      <c r="II48" s="12" t="e">
        <f>VLOOKUP($A48,'Données projet'!$A$330:$I$350,9,0)</f>
        <v>#N/A</v>
      </c>
      <c r="IJ48" s="12">
        <f t="array" ref="IJ48">INDEX(II:II,MIN(IF(ISNUMBER(II48:II244),ROW(II48:II244),"")))</f>
        <v>0</v>
      </c>
      <c r="IK48" s="12">
        <f>IF('Données projet'!$A$330&gt;35,IK47+IJ48-IS47,IF($A48&lt;'Données projet'!$A$330,$CQ$205^$A48,IF($A48='Données projet'!$A$330,'Données projet'!$B$330,IK47+IJ48-IS47)))</f>
        <v>0</v>
      </c>
      <c r="IL48" s="17">
        <f>IK48*VLOOKUP('Données projet'!$B$20,Paramètres!$A$1:$I$89,3,0)*VLOOKUP('Données projet'!$B$20,Paramètres!$A$1:$I$89,5,0)</f>
        <v>0</v>
      </c>
      <c r="IM48" s="13" t="e">
        <f t="shared" si="85"/>
        <v>#NUM!</v>
      </c>
      <c r="IN48" s="20" t="e">
        <f t="shared" si="86"/>
        <v>#NUM!</v>
      </c>
      <c r="IO48" s="59" t="e">
        <f t="shared" si="87"/>
        <v>#NUM!</v>
      </c>
      <c r="IP48" s="59">
        <f ca="1">AVERAGE(OFFSET(IO$3,0,0,'Données projet'!$E$20+1,1))-AVERAGE(OFFSET($H$3,0,0,'Données projet'!$E$20+1,1))</f>
        <v>91.60721429656013</v>
      </c>
      <c r="IQ48" s="59">
        <f t="shared" si="88"/>
        <v>258.94957804210856</v>
      </c>
      <c r="IR48" s="15">
        <f>IF(ISNA(VLOOKUP($A48,'Données projet'!$A$330:$I$350,3,0)),0,VLOOKUP($A48,'Données projet'!$A$330:$I$350,3,0))</f>
        <v>0</v>
      </c>
      <c r="IS48" s="15">
        <f>IF(ISNA(VLOOKUP($A48,'Données projet'!$A$330:$I$350,4,0)),0,VLOOKUP($A48,'Données projet'!$A$330:$I$350,4,0))</f>
        <v>0</v>
      </c>
      <c r="IT48" s="16">
        <f>IF(ISNA(VLOOKUP($A48,'Données projet'!$A$330:$I$350,5,0)),0%,VLOOKUP($A48,'Données projet'!$A$330:$I$350,5,0)*VLOOKUP('Données projet'!$B$20,Paramètres!$A$1:$I$89,7,0))</f>
        <v>0</v>
      </c>
      <c r="IU48" s="16">
        <f>IF(ISNA(VLOOKUP($A48,'Données projet'!$A$330:$I$350,6,0)),0%,VLOOKUP($A48,'Données projet'!$A$330:$I$350,6,0)*VLOOKUP('Données projet'!$B$20,Paramètres!$A$1:$I$89,7,0))</f>
        <v>0</v>
      </c>
      <c r="IV48" s="16">
        <f>IF(ISNA(VLOOKUP($A48,'Données projet'!$A$330:$I$350,7,0)),0%,VLOOKUP($A48,'Données projet'!$A$330:$I$350,7,0))</f>
        <v>0</v>
      </c>
      <c r="IW48" s="21">
        <f>EXP(-LN(2)/35)*IW47+(1-EXP(-LN(2)/35))/(LN(2)/35)*IS48*IT48*VLOOKUP('Données projet'!$B$20,Paramètres!$A$1:$I$89,3,0)*0.475*44/12</f>
        <v>36.65405873592325</v>
      </c>
      <c r="IX48" s="21">
        <f>EXP(-LN(2)/25)*IX47+(1-EXP(-LN(2)/25))/(LN(2)/25)*Calculateur!IS48*Calculateur!IU48*VLOOKUP('Données projet'!$B$20,Paramètres!$A$1:$I$89,3,0)*0.475*44/12</f>
        <v>6.4179061515015476</v>
      </c>
      <c r="IY48" s="21">
        <f>EXP(-LN(2)/2)*IY47+(1-EXP(-LN(2)/2))/(LN(2)/2)*IS48*IV48*VLOOKUP('Données projet'!$B$20,Paramètres!$A$1:$I$89,3,0)*0.475*44/12</f>
        <v>3.1645918300980988E-3</v>
      </c>
      <c r="IZ48" s="22">
        <f t="shared" si="89"/>
        <v>43.075129479254898</v>
      </c>
      <c r="JA48" s="74">
        <f>('Scénario référence'!$F$8+'Scénario référence'!$F$9+'Scénario référence'!$B$17+'Scénario référence'!$B$9+'Scénario référence'!$B$10)*70+IF((45+25*(1-EXP(-0.0175*$A48)))&lt;70,'Scénario référence'!$B$16*(45+25*(1-EXP(-0.0175*$A48))),70*'Scénario référence'!$B$16)+IF((32+38*(1-EXP(-0.0175*$A48)))&lt;70,'Scénario référence'!$B$18*(32+38*(1-EXP(-0.0175*$A48))),70*'Scénario référence'!$B$18)</f>
        <v>70</v>
      </c>
      <c r="JB48" s="12">
        <f>IF($A48&gt;30,10,('Scénario référence'!$B$16+'Scénario référence'!$B$17+'Scénario référence'!$B$18+'Scénario référence'!$B$9+'Scénario référence'!$B$10)*$A48*10/30+('Scénario référence'!$F$8+'Scénario référence'!$F$9)*10)</f>
        <v>10</v>
      </c>
      <c r="JC48" s="12">
        <f>VLOOKUP($A48,'Données projet'!$A$356:$I$376,2,0)</f>
        <v>190</v>
      </c>
      <c r="JD48" s="12">
        <f>VLOOKUP($A48,'Données projet'!$A$356:$I$376,9,0)</f>
        <v>11</v>
      </c>
      <c r="JE48" s="12">
        <f t="array" ref="JE48">INDEX(JD:JD,MIN(IF(ISNUMBER(JD48:JD244),ROW(JD48:JD244),"")))</f>
        <v>11</v>
      </c>
      <c r="JF48" s="12">
        <f>IF('Données projet'!$A$356&gt;35,JF47+JE48-JN47,IF($A48&lt;'Données projet'!$A$356,$CQ$205^$A48,IF($A48='Données projet'!$A$356,'Données projet'!$B$356,JF47+JE48-JN47)))</f>
        <v>190.00000000000009</v>
      </c>
      <c r="JG48" s="17">
        <f>JF48*VLOOKUP('Données projet'!$B$21,Paramètres!$A$1:$I$89,3,0)*VLOOKUP('Données projet'!$B$21,Paramètres!$A$1:$I$89,5,0)</f>
        <v>154.1280000000001</v>
      </c>
      <c r="JH48" s="13">
        <f t="shared" si="90"/>
        <v>39.51520107536119</v>
      </c>
      <c r="JI48" s="20">
        <f t="shared" si="91"/>
        <v>337.26190853958752</v>
      </c>
      <c r="JJ48" s="59">
        <f t="shared" si="92"/>
        <v>630.59524187292084</v>
      </c>
      <c r="JK48" s="59">
        <f ca="1">AVERAGE(OFFSET($JJ$3,0,0,'Données projet'!$E$22+1,1))-AVERAGE(OFFSET($H$3,0,0,'Données projet'!$E$22+1,1))</f>
        <v>353.35574633294613</v>
      </c>
      <c r="JL48" s="59">
        <f t="shared" si="93"/>
        <v>170.36796666474726</v>
      </c>
      <c r="JM48" s="15">
        <f>IF(ISNA(VLOOKUP($A48,'Données projet'!$A$356:$I$376,3,0)),0,VLOOKUP($A48,'Données projet'!$A$356:$I$376,3,0))</f>
        <v>5</v>
      </c>
      <c r="JN48" s="15">
        <f>IF(ISNA(VLOOKUP($A48,'Données projet'!$A$356:$I$376,4,0)),0,VLOOKUP($A48,'Données projet'!$A$356:$I$376,4,0))</f>
        <v>28</v>
      </c>
      <c r="JO48" s="16">
        <f>IF(ISNA(VLOOKUP($A48,'Données projet'!$A$356:$I$376,5,0)),0%,VLOOKUP($A48,'Données projet'!$A$356:$I$376,5,0)*VLOOKUP('Données projet'!$B$21,Paramètres!$A$1:$I$89,7,0))</f>
        <v>0</v>
      </c>
      <c r="JP48" s="16">
        <f>IF(ISNA(VLOOKUP($A48,'Données projet'!$A$356:$I$376,6,0)),0%,VLOOKUP($A48,'Données projet'!$A$356:$I$376,6,0)*VLOOKUP('Données projet'!$B$21,Paramètres!$A$1:$I$89,7,0))</f>
        <v>4.3000000000000003E-2</v>
      </c>
      <c r="JQ48" s="16">
        <f>IF(ISNA(VLOOKUP($A48,'Données projet'!$A$356:$I$376,7,0)),0%,VLOOKUP($A48,'Données projet'!$A$356:$I$376,7,0))</f>
        <v>0.3</v>
      </c>
      <c r="JR48" s="21">
        <f>EXP(-LN(2)/35)*JR47+(1-EXP(-LN(2)/35))/(LN(2)/35)*JN48*JO48*VLOOKUP('Données projet'!$B$21,Paramètres!$A$1:$I$89,3,0)*0.475*44/12</f>
        <v>0</v>
      </c>
      <c r="JS48" s="21">
        <f>EXP(-LN(2)/25)*JS47+(1-EXP(-LN(2)/25))/(LN(2)/25)*Calculateur!JN48*Calculateur!JP48*VLOOKUP('Données projet'!$B$21,Paramètres!$A$1:$I$89,3,0)*0.475*44/12</f>
        <v>2.8267089983036087</v>
      </c>
      <c r="JT48" s="21">
        <f>EXP(-LN(2)/2)*JT47+(1-EXP(-LN(2)/2))/(LN(2)/2)*JN48*JQ48*VLOOKUP('Données projet'!$B$21,Paramètres!$A$1:$I$89,3,0)*0.475*44/12</f>
        <v>7.8022442509403209</v>
      </c>
      <c r="JU48" s="18">
        <f t="shared" si="39"/>
        <v>10.62895324924393</v>
      </c>
      <c r="JV48" s="74">
        <f>('Scénario référence'!$F$8+'Scénario référence'!$F$9+'Scénario référence'!$B$17+'Scénario référence'!$B$9+'Scénario référence'!$B$10)*70+IF((45+25*(1-EXP(-0.0175*$A48)))&lt;70,'Scénario référence'!$B$16*(45+25*(1-EXP(-0.0175*$A48))),70*'Scénario référence'!$B$16)+IF((32+38*(1-EXP(-0.0175*$A48)))&lt;70,'Scénario référence'!$B$18*(32+38*(1-EXP(-0.0175*$A48))),70*'Scénario référence'!$B$18)</f>
        <v>70</v>
      </c>
      <c r="JW48" s="12">
        <f>IF($A48&gt;30,10,('Scénario référence'!$B$16+'Scénario référence'!$B$17+'Scénario référence'!$B$18+'Scénario référence'!$B$9+'Scénario référence'!$B$10)*$A48*10/30+('Scénario référence'!$F$8+'Scénario référence'!$F$9)*10)</f>
        <v>10</v>
      </c>
      <c r="JX48" s="12" t="e">
        <f>VLOOKUP($A48,'Données projet'!$A$382:$I$402,2,0)</f>
        <v>#N/A</v>
      </c>
      <c r="JY48" s="12" t="e">
        <f>VLOOKUP($A48,'Données projet'!$A$382:$I$402,9,0)</f>
        <v>#N/A</v>
      </c>
      <c r="JZ48" s="12">
        <f t="array" ref="JZ48">INDEX(JY:JY,MIN(IF(ISNUMBER(JY48:JY244),ROW(JY48:JY244),"")))</f>
        <v>9.3452380952380913</v>
      </c>
      <c r="KA48" s="12">
        <f>IF('Données projet'!$A$382&gt;35,KA47+JZ48-KI47,IF($A48&lt;'Données projet'!$A$382,$CQ$205^$A48,IF($A48='Données projet'!$A$382,'Données projet'!$B$382,KA47+JZ48-KI47)))</f>
        <v>156.31684981684984</v>
      </c>
      <c r="KB48" s="17">
        <f>KA48*VLOOKUP('Données projet'!$B$22,Paramètres!$A$1:$I$89,3,0)*VLOOKUP('Données projet'!$B$22,Paramètres!$A$1:$I$89,5,0)</f>
        <v>104.85734285714288</v>
      </c>
      <c r="KC48" s="13">
        <f t="shared" si="94"/>
        <v>28.115978800652073</v>
      </c>
      <c r="KD48" s="20">
        <f t="shared" si="95"/>
        <v>231.5952018873262</v>
      </c>
      <c r="KE48" s="59">
        <f t="shared" si="96"/>
        <v>524.92853522065957</v>
      </c>
      <c r="KF48" s="59">
        <f ca="1">AVERAGE(OFFSET($KE$3,0,0,'Données projet'!$E$22+1,1))-AVERAGE(OFFSET($H$3,0,0,'Données projet'!$E$22+1,1))</f>
        <v>193.91714772848269</v>
      </c>
      <c r="KG48" s="59">
        <f t="shared" si="97"/>
        <v>159.20429420478047</v>
      </c>
      <c r="KH48" s="15">
        <f>IF(ISNA(VLOOKUP($A48,'Données projet'!$A$382:$I$402,3,0)),0,VLOOKUP($A48,'Données projet'!$A$382:$I$402,3,0))</f>
        <v>0</v>
      </c>
      <c r="KI48" s="15">
        <f>IF(ISNA(VLOOKUP($A48,'Données projet'!$A$382:$I$402,4,0)),0,VLOOKUP($A48,'Données projet'!$A$382:$I$402,4,0))</f>
        <v>0</v>
      </c>
      <c r="KJ48" s="16">
        <f>IF(ISNA(VLOOKUP($A48,'Données projet'!$A$382:$I$402,5,0)),0%,VLOOKUP($A48,'Données projet'!$A$382:$I$402,5,0)*VLOOKUP('Données projet'!$B$22,Paramètres!$A$1:$I$89,7,0))</f>
        <v>0</v>
      </c>
      <c r="KK48" s="16">
        <f>IF(ISNA(VLOOKUP($A48,'Données projet'!$A$382:$I$402,6,0)),0%,VLOOKUP($A48,'Données projet'!$A$382:$I$402,6,0)*VLOOKUP('Données projet'!$B$22,Paramètres!$A$1:$I$89,7,0))</f>
        <v>0</v>
      </c>
      <c r="KL48" s="16">
        <f>IF(ISNA(VLOOKUP($A48,'Données projet'!$A$382:$I$402,7,0)),0%,VLOOKUP($A48,'Données projet'!$A$382:$I$402,7,0))</f>
        <v>0</v>
      </c>
      <c r="KM48" s="21">
        <f>EXP(-LN(2)/35)*KM47+(1-EXP(-LN(2)/35))/(LN(2)/35)*KI48*KJ48*VLOOKUP('Données projet'!$B$22,Paramètres!$A$1:$I$89,3,0)*0.475*44/12</f>
        <v>0</v>
      </c>
      <c r="KN48" s="21">
        <f>EXP(-LN(2)/25)*KN47+(1-EXP(-LN(2)/25))/(LN(2)/25)*Calculateur!KI48*Calculateur!KK48*VLOOKUP('Données projet'!$B$22,Paramètres!$A$1:$I$89,3,0)*0.475*44/12</f>
        <v>0</v>
      </c>
      <c r="KO48" s="21">
        <f>EXP(-LN(2)/2)*KO47+(1-EXP(-LN(2)/2))/(LN(2)/2)*KI48*KL48*VLOOKUP('Données projet'!$B$22,Paramètres!$A$1:$I$89,3,0)*0.475*44/12</f>
        <v>0</v>
      </c>
      <c r="KP48" s="22">
        <f t="shared" si="98"/>
        <v>0</v>
      </c>
      <c r="KQ48" s="74">
        <f>('Scénario référence'!$F$8+'Scénario référence'!$F$9+'Scénario référence'!$B$17+'Scénario référence'!$B$9+'Scénario référence'!$B$10)*70+IF((45+25*(1-EXP(-0.0175*$A48)))&lt;70,'Scénario référence'!$B$16*(45+25*(1-EXP(-0.0175*$A48))),70*'Scénario référence'!$B$16)+IF((32+38*(1-EXP(-0.0175*$A48)))&lt;70,'Scénario référence'!$B$18*(32+38*(1-EXP(-0.0175*$A48))),70*'Scénario référence'!$B$18)</f>
        <v>70</v>
      </c>
      <c r="KR48" s="12">
        <f>IF($A48&gt;30,10,('Scénario référence'!$B$16+'Scénario référence'!$B$17+'Scénario référence'!$B$18+'Scénario référence'!$B$9+'Scénario référence'!$B$10)*$A48*10/30+('Scénario référence'!$F$8+'Scénario référence'!$F$9)*10)</f>
        <v>10</v>
      </c>
      <c r="KS48" s="12">
        <f>VLOOKUP($A48,'Données projet'!$A$408:$I$428,2,0)</f>
        <v>205</v>
      </c>
      <c r="KT48" s="12">
        <f>VLOOKUP($A48,'Données projet'!$A$408:$I$428,9,0)</f>
        <v>8.1999999999999993</v>
      </c>
      <c r="KU48" s="12">
        <f t="array" ref="KU48">INDEX(KT:KT,MIN(IF(ISNUMBER(KT48:KT244),ROW(KT48:KT244),"")))</f>
        <v>8.1999999999999993</v>
      </c>
      <c r="KV48" s="12">
        <f>IF('Données projet'!$A$408&gt;35,KV47+KU48-LD47,IF($A48&lt;'Données projet'!$A$408,$CQ$205^$A48,IF($A48='Données projet'!$A$408,'Données projet'!$B$408,KV47+KU48-LD47)))</f>
        <v>204.99999999999997</v>
      </c>
      <c r="KW48" s="17">
        <f>KV48*VLOOKUP('Données projet'!$B$23,Paramètres!$A$1:$I$89,3,0)*VLOOKUP('Données projet'!$B$23,Paramètres!$A$1:$I$89,5,0)</f>
        <v>179.08799999999999</v>
      </c>
      <c r="KX48" s="13">
        <f t="shared" si="99"/>
        <v>45.119223023956835</v>
      </c>
      <c r="KY48" s="14">
        <f t="shared" si="43"/>
        <v>390.49424676672476</v>
      </c>
      <c r="KZ48" s="59">
        <f t="shared" si="44"/>
        <v>683.82758010005807</v>
      </c>
      <c r="LA48" s="59">
        <f ca="1">AVERAGE(OFFSET($KZ$3,0,0,'Données projet'!$E$23+1,1))-AVERAGE(OFFSET($H$3,0,0,'Données projet'!$E$23+1,1))</f>
        <v>248.33596943633819</v>
      </c>
      <c r="LB48" s="59">
        <f t="shared" si="100"/>
        <v>242.34010522344573</v>
      </c>
      <c r="LC48" s="15">
        <f>IF(ISNA(VLOOKUP($A48,'Données projet'!$A$408:$I$428,3,0)),0,VLOOKUP($A48,'Données projet'!$A$408:$I$428,3,0))</f>
        <v>7</v>
      </c>
      <c r="LD48" s="15">
        <f>IF(ISNA(VLOOKUP($A48,'Données projet'!$A$408:$I$428,4,0)),0,VLOOKUP($A48,'Données projet'!$A$408:$I$428,4,0))</f>
        <v>22</v>
      </c>
      <c r="LE48" s="16">
        <f>IF(ISNA(VLOOKUP($A48,'Données projet'!$A$408:$I$428,5,0)),0%,VLOOKUP($A48,'Données projet'!$A$408:$I$428,5,0)*VLOOKUP('Données projet'!$B$23,Paramètres!$A$1:$I$89,7,0))</f>
        <v>0.25369999999999998</v>
      </c>
      <c r="LF48" s="16">
        <f>IF(ISNA(VLOOKUP($A48,'Données projet'!$A$408:$I$428,6,0)),0%,VLOOKUP($A48,'Données projet'!$A$408:$I$428,6,0)*VLOOKUP('Données projet'!$B$23,Paramètres!$A$1:$I$89,7,0))</f>
        <v>0.11610000000000001</v>
      </c>
      <c r="LG48" s="16">
        <f>IF(ISNA(VLOOKUP($A48,'Données projet'!$A$408:$I$428,7,0)),0%,VLOOKUP($A48,'Données projet'!$A$408:$I$428,7,0))</f>
        <v>0</v>
      </c>
      <c r="LH48" s="21">
        <f>EXP(-LN(2)/35)*LH47+(1-EXP(-LN(2)/35))/(LN(2)/35)*LD48*LE48*VLOOKUP('Données projet'!$B$23,Paramètres!$A$1:$I$89,3,0)*0.475*44/12</f>
        <v>11.559870043644668</v>
      </c>
      <c r="LI48" s="21">
        <f>EXP(-LN(2)/25)*LI47+(1-EXP(-LN(2)/25))/(LN(2)/25)*Calculateur!LD48*Calculateur!LF48*VLOOKUP('Données projet'!$B$23,Paramètres!$A$1:$I$89,3,0)*0.475*44/12</f>
        <v>12.844929234398741</v>
      </c>
      <c r="LJ48" s="21">
        <f>EXP(-LN(2)/2)*LJ47+(1-EXP(-LN(2)/2))/(LN(2)/2)*LD48*LG48*VLOOKUP('Données projet'!$B$23,Paramètres!$A$1:$I$89,3,0)*0.475*44/12</f>
        <v>0</v>
      </c>
      <c r="LK48" s="22">
        <f t="shared" si="101"/>
        <v>24.404799278043409</v>
      </c>
      <c r="LL48" s="74">
        <f>('Scénario référence'!$F$8+'Scénario référence'!$F$9+'Scénario référence'!$B$17+'Scénario référence'!$B$9+'Scénario référence'!$B$10)*70+IF((45+25*(1-EXP(-0.0175*$A48)))&lt;70,'Scénario référence'!$B$16*(45+25*(1-EXP(-0.0175*$A48))),70*'Scénario référence'!$B$16)+IF((32+38*(1-EXP(-0.0175*$A48)))&lt;70,'Scénario référence'!$B$18*(32+38*(1-EXP(-0.0175*$A48))),70*'Scénario référence'!$B$18)</f>
        <v>70</v>
      </c>
      <c r="LM48" s="12">
        <f>IF($A48&gt;30,10,('Scénario référence'!$B$16+'Scénario référence'!$B$17+'Scénario référence'!$B$18+'Scénario référence'!$B$9+'Scénario référence'!$B$10)*$A48*10/30+('Scénario référence'!$F$8+'Scénario référence'!$F$9)*10)</f>
        <v>10</v>
      </c>
      <c r="LN48" s="12" t="e">
        <f>VLOOKUP($A48,'Données projet'!$A$434:$I$454,2,0)</f>
        <v>#N/A</v>
      </c>
      <c r="LO48" s="12" t="e">
        <f>VLOOKUP($A48,'Données projet'!$A$434:$I$454,9,0)</f>
        <v>#N/A</v>
      </c>
      <c r="LP48" s="12">
        <f t="array" ref="LP48">INDEX(LO:LO,MIN(IF(ISNUMBER(LO48:LO244),ROW(LO48:LO244),"")))</f>
        <v>6.826007326007324</v>
      </c>
      <c r="LQ48" s="12">
        <f>IF('Données projet'!$A$434&gt;35,LQ47+LP48-LY47,IF($A48&lt;'Données projet'!$A$434,$CQ$205^$A48,IF($A48='Données projet'!$A$434,'Données projet'!$B$434,LQ47+LP48-LY47)))</f>
        <v>104.83241758241752</v>
      </c>
      <c r="LR48" s="17">
        <f>LQ48*VLOOKUP('Données projet'!$B$24,Paramètres!$A$1:$I$89,3,0)*VLOOKUP('Données projet'!$B$24,Paramètres!$A$1:$I$89,5,0)</f>
        <v>106.30007142857137</v>
      </c>
      <c r="LS48" s="13">
        <f t="shared" si="102"/>
        <v>28.457524292851215</v>
      </c>
      <c r="LT48" s="14">
        <f t="shared" si="46"/>
        <v>234.70281254814427</v>
      </c>
      <c r="LU48" s="59">
        <f t="shared" si="103"/>
        <v>528.03614588147752</v>
      </c>
      <c r="LV48" s="59">
        <f ca="1">AVERAGE(OFFSET($LU$3,0,0,'Données projet'!$E$24+1,1))-AVERAGE(OFFSET($H$3,0,0,'Données projet'!$E$24+1,1))</f>
        <v>260.52627655062872</v>
      </c>
      <c r="LW48" s="59">
        <f t="shared" si="104"/>
        <v>159.20429420478047</v>
      </c>
      <c r="LX48" s="15">
        <f>IF(ISNA(VLOOKUP($A48,'Données projet'!$A$434:$I$454,3,0)),0,VLOOKUP($A48,'Données projet'!$A$434:$I$454,3,0))</f>
        <v>0</v>
      </c>
      <c r="LY48" s="15">
        <f>IF(ISNA(VLOOKUP($A48,'Données projet'!$A$434:$I$454,4,0)),0,VLOOKUP($A48,'Données projet'!$A$434:$I$454,4,0))</f>
        <v>0</v>
      </c>
      <c r="LZ48" s="16">
        <f>IF(ISNA(VLOOKUP($A48,'Données projet'!$A$434:$I$454,5,0)),0%,VLOOKUP($A48,'Données projet'!$A$434:$I$454,5,0)*VLOOKUP('Données projet'!$B$24,Paramètres!$A$1:$I$89,7,0))</f>
        <v>0</v>
      </c>
      <c r="MA48" s="16">
        <f>IF(ISNA(VLOOKUP($A48,'Données projet'!$A$434:$I$454,6,0)),0%,VLOOKUP($A48,'Données projet'!$A$434:$I$454,6,0)*VLOOKUP('Données projet'!$B$24,Paramètres!$A$1:$I$89,7,0))</f>
        <v>0</v>
      </c>
      <c r="MB48" s="16">
        <f>IF(ISNA(VLOOKUP($A48,'Données projet'!$A$434:$I$454,7,0)),0%,VLOOKUP($A48,'Données projet'!$A$434:$I$454,7,0))</f>
        <v>0</v>
      </c>
      <c r="MC48" s="21">
        <f>EXP(-LN(2)/35)*MC47+(1-EXP(-LN(2)/35))/(LN(2)/35)*LY48*LZ48*VLOOKUP('Données projet'!$B$24,Paramètres!$A$1:$I$89,3,0)*0.475*44/12</f>
        <v>0</v>
      </c>
      <c r="MD48" s="21">
        <f>EXP(-LN(2)/25)*MD47+(1-EXP(-LN(2)/25))/(LN(2)/25)*Calculateur!LY48*Calculateur!MA48*VLOOKUP('Données projet'!$B$24,Paramètres!$A$1:$I$89,3,0)*0.475*44/12</f>
        <v>0</v>
      </c>
      <c r="ME48" s="21">
        <f>EXP(-LN(2)/2)*ME47+(1-EXP(-LN(2)/2))/(LN(2)/2)*LY48*MB48*VLOOKUP('Données projet'!$B$24,Paramètres!$A$1:$I$89,3,0)*0.475*44/12</f>
        <v>0</v>
      </c>
      <c r="MF48" s="22">
        <f t="shared" si="105"/>
        <v>0</v>
      </c>
      <c r="MG48" s="74">
        <f>('Scénario référence'!$F$8+'Scénario référence'!$F$9+'Scénario référence'!$B$17+'Scénario référence'!$B$9+'Scénario référence'!$B$10)*70+IF((45+25*(1-EXP(-0.0175*$A48)))&lt;70,'Scénario référence'!$B$16*(45+25*(1-EXP(-0.0175*$A48))),70*'Scénario référence'!$B$16)+IF((32+38*(1-EXP(-0.0175*$A48)))&lt;70,'Scénario référence'!$B$18*(32+38*(1-EXP(-0.0175*$A48))),70*'Scénario référence'!$B$18)</f>
        <v>70</v>
      </c>
      <c r="MH48" s="12">
        <f>IF($A48&gt;30,10,('Scénario référence'!$B$16+'Scénario référence'!$B$17+'Scénario référence'!$B$18+'Scénario référence'!$B$9+'Scénario référence'!$B$10)*$A48*10/30+('Scénario référence'!$F$8+'Scénario référence'!$F$9)*10)</f>
        <v>10</v>
      </c>
      <c r="MI48" s="12" t="e">
        <f>VLOOKUP($A48,'Données projet'!$A$460:$I$480,2,0)</f>
        <v>#N/A</v>
      </c>
      <c r="MJ48" s="12" t="e">
        <f>VLOOKUP($A48,'Données projet'!$A$460:$I$480,9,0)</f>
        <v>#N/A</v>
      </c>
      <c r="MK48" s="12">
        <f t="array" ref="MK48">INDEX(MJ:MJ,MIN(IF(ISNUMBER(MJ48:MJ244),ROW(MJ48:MJ244),"")))</f>
        <v>0</v>
      </c>
      <c r="ML48" s="12">
        <f>IF('Données projet'!$A$460&gt;35,ML47+MK48-MT47,IF($A48&lt;'Données projet'!$A$460,$CQ$205^$A48,IF($A48='Données projet'!$A$460,'Données projet'!$B$460,ML47+MK48-MT47)))</f>
        <v>0</v>
      </c>
      <c r="MM48" s="17" t="e">
        <f>ML48*VLOOKUP('Données projet'!$B$25,Paramètres!$A$1:$I$89,3,0)*VLOOKUP('Données projet'!$B$25,Paramètres!$A$1:$I$89,5,0)</f>
        <v>#N/A</v>
      </c>
      <c r="MN48" s="13" t="e">
        <f t="shared" si="106"/>
        <v>#N/A</v>
      </c>
      <c r="MO48" s="14" t="e">
        <f t="shared" si="49"/>
        <v>#N/A</v>
      </c>
      <c r="MP48" s="59" t="e">
        <f t="shared" si="50"/>
        <v>#N/A</v>
      </c>
      <c r="MQ48" s="20" t="e">
        <f ca="1">AVERAGE(OFFSET($MP$3,0,0,'Données projet'!$E$25+1,1))-AVERAGE(OFFSET($H$3,0,0,'Données projet'!$E$25+1,1))</f>
        <v>#N/A</v>
      </c>
      <c r="MR48" s="59" t="e">
        <f t="shared" si="107"/>
        <v>#N/A</v>
      </c>
      <c r="MS48" s="15">
        <f>IF(ISNA(VLOOKUP($A48,'Données projet'!$A$460:$I$480,3,0)),0,VLOOKUP($A48,'Données projet'!$A$460:$I$480,3,0))</f>
        <v>0</v>
      </c>
      <c r="MT48" s="15">
        <f>IF(ISNA(VLOOKUP($A48,'Données projet'!$A$460:$I$480,4,0)),0,VLOOKUP($A48,'Données projet'!$A$460:$I$480,4,0))</f>
        <v>0</v>
      </c>
      <c r="MU48" s="16">
        <f>IF(ISNA(VLOOKUP($A48,'Données projet'!$A$460:$I$480,5,0)),0%,VLOOKUP($A48,'Données projet'!$A$460:$I$480,5,0)*VLOOKUP('Données projet'!$B$25,Paramètres!$A$1:$I$89,7,0))</f>
        <v>0</v>
      </c>
      <c r="MV48" s="16">
        <f>IF(ISNA(VLOOKUP($A48,'Données projet'!$A$460:$I$480,6,0)),0%,VLOOKUP($A48,'Données projet'!$A$460:$I$480,6,0)*VLOOKUP('Données projet'!$B$25,Paramètres!$A$1:$I$89,7,0))</f>
        <v>0</v>
      </c>
      <c r="MW48" s="16">
        <f>IF(ISNA(VLOOKUP($A48,'Données projet'!$A$460:$I$480,7,0)),0%,VLOOKUP($A48,'Données projet'!$A$460:$I$480,7,0))</f>
        <v>0</v>
      </c>
      <c r="MX48" s="21" t="e">
        <f>EXP(-LN(2)/35)*MX47+(1-EXP(-LN(2)/35))/(LN(2)/35)*MT48*MU48*VLOOKUP('Données projet'!$B$25,Paramètres!$A$1:$I$89,3,0)*0.475*44/12</f>
        <v>#N/A</v>
      </c>
      <c r="MY48" s="21" t="e">
        <f>EXP(-LN(2)/25)*MY47+(1-EXP(-LN(2)/25))/(LN(2)/25)*Calculateur!MT48*Calculateur!MV48*VLOOKUP('Données projet'!$B$25,Paramètres!$A$1:$I$89,3,0)*0.475*44/12</f>
        <v>#N/A</v>
      </c>
      <c r="MZ48" s="21" t="e">
        <f>EXP(-LN(2)/2)*MZ47+(1-EXP(-LN(2)/2))/(LN(2)/2)*MT48*MW48*VLOOKUP('Données projet'!$B$25,Paramètres!$A$1:$I$89,3,0)*0.475*44/12</f>
        <v>#N/A</v>
      </c>
      <c r="NA48" s="22" t="e">
        <f t="shared" si="108"/>
        <v>#N/A</v>
      </c>
      <c r="NB48" s="74">
        <f>('Scénario référence'!$F$8+'Scénario référence'!$F$9+'Scénario référence'!$B$17+'Scénario référence'!$B$9+'Scénario référence'!$B$10)*70+IF((45+25*(1-EXP(-0.0175*$A48)))&lt;70,'Scénario référence'!$B$16*(45+25*(1-EXP(-0.0175*$A48))),70*'Scénario référence'!$B$16)+IF((32+38*(1-EXP(-0.0175*$A48)))&lt;70,'Scénario référence'!$B$18*(32+38*(1-EXP(-0.0175*$A48))),70*'Scénario référence'!$B$18)</f>
        <v>70</v>
      </c>
      <c r="NC48" s="12">
        <f>IF($A48&gt;30,10,('Scénario référence'!$B$16+'Scénario référence'!$B$17+'Scénario référence'!$B$18+'Scénario référence'!$B$9+'Scénario référence'!$B$10)*$A48*10/30+('Scénario référence'!$F$8+'Scénario référence'!$F$9)*10)</f>
        <v>10</v>
      </c>
      <c r="ND48" s="12" t="e">
        <f>VLOOKUP($A48,'Données projet'!$A$486:$I$506,2,0)</f>
        <v>#N/A</v>
      </c>
      <c r="NE48" s="12" t="e">
        <f>VLOOKUP($A48,'Données projet'!$A$486:$I$506,9,0)</f>
        <v>#N/A</v>
      </c>
      <c r="NF48" s="12">
        <f t="array" ref="NF48">INDEX(NE:NE,MIN(IF(ISNUMBER(NE48:NE244),ROW(NE48:NE244),"")))</f>
        <v>0</v>
      </c>
      <c r="NG48" s="12">
        <f>IF('Données projet'!$A$486&gt;35,NG47+NF48-NO47,IF($A48&lt;'Données projet'!$A$486,$CQ$205^$A48,IF($A48='Données projet'!$A$486,'Données projet'!$B$486,NG47+NF48-NO47)))</f>
        <v>0</v>
      </c>
      <c r="NH48" s="17" t="e">
        <f>NG48*VLOOKUP('Données projet'!$B$26,Paramètres!$A$1:$I$89,3,0)*VLOOKUP('Données projet'!$B$26,Paramètres!$A$1:$I$89,5,0)</f>
        <v>#N/A</v>
      </c>
      <c r="NI48" s="13" t="e">
        <f t="shared" si="109"/>
        <v>#N/A</v>
      </c>
      <c r="NJ48" s="14" t="e">
        <f t="shared" si="52"/>
        <v>#N/A</v>
      </c>
      <c r="NK48" s="59" t="e">
        <f t="shared" si="53"/>
        <v>#N/A</v>
      </c>
      <c r="NL48" s="20" t="e">
        <f ca="1">AVERAGE(OFFSET($NK$3,0,0,'Données projet'!$E$26+1,1))-AVERAGE(OFFSET($H$3,0,0,'Données projet'!$E$26+1,1))</f>
        <v>#N/A</v>
      </c>
      <c r="NM48" s="59" t="e">
        <f t="shared" si="110"/>
        <v>#N/A</v>
      </c>
      <c r="NN48" s="15">
        <f>IF(ISNA(VLOOKUP($A48,'Données projet'!$A$486:$I$506,3,0)),0,VLOOKUP($A48,'Données projet'!$A$486:$I$506,3,0))</f>
        <v>0</v>
      </c>
      <c r="NO48" s="15">
        <f>IF(ISNA(VLOOKUP($A48,'Données projet'!$A$486:$I$506,4,0)),0,VLOOKUP($A48,'Données projet'!$A$486:$I$506,4,0))</f>
        <v>0</v>
      </c>
      <c r="NP48" s="16">
        <f>IF(ISNA(VLOOKUP($A48,'Données projet'!$A$486:$I$506,5,0)),0%,VLOOKUP($A48,'Données projet'!$A$486:$I$506,5,0)*VLOOKUP('Données projet'!$B$26,Paramètres!$A$1:$I$89,7,0))</f>
        <v>0</v>
      </c>
      <c r="NQ48" s="16">
        <f>IF(ISNA(VLOOKUP($A48,'Données projet'!$A$486:$I$506,6,0)),0%,VLOOKUP($A48,'Données projet'!$A$486:$I$506,6,0)*VLOOKUP('Données projet'!$B$26,Paramètres!$A$1:$I$89,7,0))</f>
        <v>0</v>
      </c>
      <c r="NR48" s="16">
        <f>IF(ISNA(VLOOKUP($A48,'Données projet'!$A$486:$I$506,7,0)),0%,VLOOKUP($A48,'Données projet'!$A$486:$I$506,7,0))</f>
        <v>0</v>
      </c>
      <c r="NS48" s="21" t="e">
        <f>EXP(-LN(2)/35)*NS47+(1-EXP(-LN(2)/35))/(LN(2)/35)*NO48*NP48*VLOOKUP('Données projet'!$B$26,Paramètres!$A$1:$I$89,3,0)*0.475*44/12</f>
        <v>#N/A</v>
      </c>
      <c r="NT48" s="21" t="e">
        <f>EXP(-LN(2)/25)*NT47+(1-EXP(-LN(2)/25))/(LN(2)/25)*Calculateur!NO48*Calculateur!NQ48*VLOOKUP('Données projet'!$B$26,Paramètres!$A$1:$I$89,3,0)*0.475*44/12</f>
        <v>#N/A</v>
      </c>
      <c r="NU48" s="21" t="e">
        <f>EXP(-LN(2)/2)*NU47+(1-EXP(-LN(2)/2))/(LN(2)/2)*NO48*NR48*VLOOKUP('Données projet'!$B$26,Paramètres!$A$1:$I$89,3,0)*0.475*44/12</f>
        <v>#N/A</v>
      </c>
      <c r="NV48" s="22" t="e">
        <f t="shared" si="111"/>
        <v>#N/A</v>
      </c>
      <c r="NW48" s="74">
        <f>('Scénario référence'!$F$8+'Scénario référence'!$F$9+'Scénario référence'!$B$17+'Scénario référence'!$B$9+'Scénario référence'!$B$10)*70+IF((45+25*(1-EXP(-0.0175*$A48)))&lt;70,'Scénario référence'!$B$16*(45+25*(1-EXP(-0.0175*$A48))),70*'Scénario référence'!$B$16)+IF((32+38*(1-EXP(-0.0175*$A48)))&lt;70,'Scénario référence'!$B$18*(32+38*(1-EXP(-0.0175*$A48))),70*'Scénario référence'!$B$18)</f>
        <v>70</v>
      </c>
      <c r="NX48" s="12">
        <f>IF($A48&gt;30,10,('Scénario référence'!$B$16+'Scénario référence'!$B$17+'Scénario référence'!$B$18+'Scénario référence'!$B$9+'Scénario référence'!$B$10)*$A48*10/30+('Scénario référence'!$F$8+'Scénario référence'!$F$9)*10)</f>
        <v>10</v>
      </c>
      <c r="NY48" s="12" t="e">
        <f>VLOOKUP($A48,'Données projet'!$A$512:$I$532,2,0)</f>
        <v>#N/A</v>
      </c>
      <c r="NZ48" s="12" t="e">
        <f>VLOOKUP($A48,'Données projet'!$A$512:$I$532,9,0)</f>
        <v>#N/A</v>
      </c>
      <c r="OA48" s="12">
        <f t="array" ref="OA48">INDEX(NZ:NZ,MIN(IF(ISNUMBER(NZ48:NZ244),ROW(NZ48:NZ244),"")))</f>
        <v>0</v>
      </c>
      <c r="OB48" s="12">
        <f>IF('Données projet'!$A$512&gt;35,OB47+OA48-OJ47,IF($A48&lt;'Données projet'!$A$512,$CQ$205^$A48,IF($A48='Données projet'!$A$512,'Données projet'!$B$512,OB47+OA48-OJ47)))</f>
        <v>0</v>
      </c>
      <c r="OC48" s="17" t="e">
        <f>OB48*VLOOKUP('Données projet'!$B$27,Paramètres!$A$1:$I$89,3,0)*VLOOKUP('Données projet'!$B$27,Paramètres!$A$1:$I$89,5,0)</f>
        <v>#N/A</v>
      </c>
      <c r="OD48" s="13" t="e">
        <f t="shared" si="112"/>
        <v>#N/A</v>
      </c>
      <c r="OE48" s="14" t="e">
        <f t="shared" si="55"/>
        <v>#N/A</v>
      </c>
      <c r="OF48" s="59" t="e">
        <f t="shared" si="56"/>
        <v>#N/A</v>
      </c>
      <c r="OG48" s="20" t="e">
        <f ca="1">AVERAGE(OFFSET($OF$3,0,0,'Données projet'!$E$27+1,1))-AVERAGE(OFFSET($H$3,0,0,'Données projet'!$E$27+1,1))</f>
        <v>#N/A</v>
      </c>
      <c r="OH48" s="59" t="e">
        <f t="shared" si="113"/>
        <v>#N/A</v>
      </c>
      <c r="OI48" s="15">
        <f>IF(ISNA(VLOOKUP($A48,'Données projet'!$A$512:$I$532,3,0)),0,VLOOKUP($A48,'Données projet'!$A$512:$I$532,3,0))</f>
        <v>0</v>
      </c>
      <c r="OJ48" s="15">
        <f>IF(ISNA(VLOOKUP($A48,'Données projet'!$A$512:$I$532,4,0)),0,VLOOKUP($A48,'Données projet'!$A$512:$I$532,4,0))</f>
        <v>0</v>
      </c>
      <c r="OK48" s="16">
        <f>IF(ISNA(VLOOKUP($A48,'Données projet'!$A$512:$I$532,5,0)),0%,VLOOKUP($A48,'Données projet'!$A$512:$I$532,5,0)*VLOOKUP('Données projet'!$B$27,Paramètres!$A$1:$I$89,7,0))</f>
        <v>0</v>
      </c>
      <c r="OL48" s="16">
        <f>IF(ISNA(VLOOKUP($A48,'Données projet'!$A$512:$I$532,6,0)),0%,VLOOKUP($A48,'Données projet'!$A$512:$I$532,6,0)*VLOOKUP('Données projet'!$B$27,Paramètres!$A$1:$I$89,7,0))</f>
        <v>0</v>
      </c>
      <c r="OM48" s="16">
        <f>IF(ISNA(VLOOKUP($A48,'Données projet'!$A$512:$I$532,7,0)),0%,VLOOKUP($A48,'Données projet'!$A$512:$I$532,7,0))</f>
        <v>0</v>
      </c>
      <c r="ON48" s="21" t="e">
        <f>EXP(-LN(2)/35)*ON47+(1-EXP(-LN(2)/35))/(LN(2)/35)*OJ48*OK48*VLOOKUP('Données projet'!$B$27,Paramètres!$A$1:$I$89,3,0)*0.475*44/12</f>
        <v>#N/A</v>
      </c>
      <c r="OO48" s="21" t="e">
        <f>EXP(-LN(2)/25)*OO47+(1-EXP(-LN(2)/25))/(LN(2)/25)*Calculateur!OJ48*Calculateur!OL48*VLOOKUP('Données projet'!$B$27,Paramètres!$A$1:$I$89,3,0)*0.475*44/12</f>
        <v>#N/A</v>
      </c>
      <c r="OP48" s="21" t="e">
        <f>EXP(-LN(2)/2)*OP47+(1-EXP(-LN(2)/2))/(LN(2)/2)*OJ48*OM48*VLOOKUP('Données projet'!$B$27,Paramètres!$A$1:$I$89,3,0)*0.475*44/12</f>
        <v>#N/A</v>
      </c>
      <c r="OQ48" s="22" t="e">
        <f t="shared" si="114"/>
        <v>#N/A</v>
      </c>
      <c r="OR48" s="74">
        <f>('Scénario référence'!$F$8+'Scénario référence'!$F$9+'Scénario référence'!$B$17+'Scénario référence'!$B$9+'Scénario référence'!$B$10)*70+IF((45+25*(1-EXP(-0.0175*$A48)))&lt;70,'Scénario référence'!$B$16*(45+25*(1-EXP(-0.0175*$A48))),70*'Scénario référence'!$B$16)+IF((32+38*(1-EXP(-0.0175*$A48)))&lt;70,'Scénario référence'!$B$18*(32+38*(1-EXP(-0.0175*$A48))),70*'Scénario référence'!$B$18)</f>
        <v>70</v>
      </c>
      <c r="OS48" s="12">
        <f>IF($A48&gt;30,10,('Scénario référence'!$B$16+'Scénario référence'!$B$17+'Scénario référence'!$B$18+'Scénario référence'!$B$9+'Scénario référence'!$B$10)*$A48*10/30+('Scénario référence'!$F$8+'Scénario référence'!$F$9)*10)</f>
        <v>10</v>
      </c>
      <c r="OT48" s="12" t="e">
        <f>VLOOKUP($A48,'Données projet'!$A$538:$I$558,2,0)</f>
        <v>#N/A</v>
      </c>
      <c r="OU48" s="12" t="e">
        <f>VLOOKUP($A48,'Données projet'!$A$538:$I$558,9,0)</f>
        <v>#N/A</v>
      </c>
      <c r="OV48" s="12">
        <f t="array" ref="OV48">INDEX(OU:OU,MIN(IF(ISNUMBER(OU48:OU244),ROW(OU48:OU244),"")))</f>
        <v>0</v>
      </c>
      <c r="OW48" s="12">
        <f>IF('Données projet'!$A$538&gt;35,OW47+OV48-PE47,IF($A48&lt;'Données projet'!$A$538,$CQ$205^$A48,IF($A48='Données projet'!$A$538,'Données projet'!$B$538,OW47+OV48-PE47)))</f>
        <v>0</v>
      </c>
      <c r="OX48" s="17" t="e">
        <f>OW48*VLOOKUP('Données projet'!$B$28,Paramètres!$A$1:$I$89,3,0)*VLOOKUP('Données projet'!$B$28,Paramètres!$A$1:$I$89,5,0)</f>
        <v>#N/A</v>
      </c>
      <c r="OY48" s="13" t="e">
        <f t="shared" si="115"/>
        <v>#N/A</v>
      </c>
      <c r="OZ48" s="14" t="e">
        <f t="shared" si="58"/>
        <v>#N/A</v>
      </c>
      <c r="PA48" s="59" t="e">
        <f t="shared" si="59"/>
        <v>#N/A</v>
      </c>
      <c r="PB48" s="20" t="e">
        <f ca="1">AVERAGE(OFFSET($PA$3,0,0,'Données projet'!$E$28+1,1))-AVERAGE(OFFSET($H$3,0,0,'Données projet'!$E$28+1,1))</f>
        <v>#N/A</v>
      </c>
      <c r="PC48" s="59" t="e">
        <f t="shared" si="116"/>
        <v>#N/A</v>
      </c>
      <c r="PD48" s="15">
        <f>IF(ISNA(VLOOKUP($A48,'Données projet'!$A$538:$I$558,3,0)),0,VLOOKUP($A48,'Données projet'!$A$538:$I$558,3,0))</f>
        <v>0</v>
      </c>
      <c r="PE48" s="15">
        <f>IF(ISNA(VLOOKUP($A48,'Données projet'!$A$538:$I$558,4,0)),0,VLOOKUP($A48,'Données projet'!$A$538:$I$558,4,0))</f>
        <v>0</v>
      </c>
      <c r="PF48" s="16">
        <f>IF(ISNA(VLOOKUP($A48,'Données projet'!$A$538:$I$558,5,0)),0%,VLOOKUP($A48,'Données projet'!$A$538:$I$558,5,0)*VLOOKUP('Données projet'!$B$28,Paramètres!$A$1:$I$89,7,0))</f>
        <v>0</v>
      </c>
      <c r="PG48" s="16">
        <f>IF(ISNA(VLOOKUP($A48,'Données projet'!$A$538:$I$558,6,0)),0%,VLOOKUP($A48,'Données projet'!$A$538:$I$558,6,0)*VLOOKUP('Données projet'!$B$28,Paramètres!$A$1:$I$89,7,0))</f>
        <v>0</v>
      </c>
      <c r="PH48" s="16">
        <f>IF(ISNA(VLOOKUP($A48,'Données projet'!$A$538:$I$558,7,0)),0%,VLOOKUP($A48,'Données projet'!$A$538:$I$558,7,0))</f>
        <v>0</v>
      </c>
      <c r="PI48" s="21" t="e">
        <f>EXP(-LN(2)/35)*PI47+(1-EXP(-LN(2)/35))/(LN(2)/35)*PE48*PF48*VLOOKUP('Données projet'!$B$28,Paramètres!$A$1:$I$89,3,0)*0.475*44/12</f>
        <v>#N/A</v>
      </c>
      <c r="PJ48" s="21" t="e">
        <f>EXP(-LN(2)/25)*PJ47+(1-EXP(-LN(2)/25))/(LN(2)/25)*Calculateur!PE48*Calculateur!PG48*VLOOKUP('Données projet'!$B$28,Paramètres!$A$1:$I$89,3,0)*0.475*44/12</f>
        <v>#N/A</v>
      </c>
      <c r="PK48" s="21" t="e">
        <f>EXP(-LN(2)/2)*PK47+(1-EXP(-LN(2)/2))/(LN(2)/2)*PE48*PH48*VLOOKUP('Données projet'!$B$28,Paramètres!$A$1:$I$89,3,0)*0.475*44/12</f>
        <v>#N/A</v>
      </c>
      <c r="PL48" s="22" t="e">
        <f t="shared" si="117"/>
        <v>#N/A</v>
      </c>
    </row>
    <row r="49" spans="1:428" x14ac:dyDescent="0.35">
      <c r="A49" s="10">
        <f t="shared" si="6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6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projet'!$A$45:$I$65,2,0)</f>
        <v>#N/A</v>
      </c>
      <c r="L49" s="12" t="e">
        <f>VLOOKUP(A49,'Données projet'!$A$45:$I$65,9,0)</f>
        <v>#N/A</v>
      </c>
      <c r="M49" s="12">
        <f t="array" ref="M49">INDEX(L:L,MIN(IF(ISNUMBER(L49:L245),ROW(L49:L245),"")))</f>
        <v>21.625641025641034</v>
      </c>
      <c r="N49" s="13">
        <f>IF('Données projet'!$A$46&gt;35,N48+M49-V48,IF(A49&lt;'Données projet'!$A$46,$K$205^A49,IF(A49='Données projet'!$A$46,'Données projet'!$B$46,N48+M49-V48)))</f>
        <v>481.83333333333326</v>
      </c>
      <c r="O49" s="13">
        <f>N49*VLOOKUP('Données projet'!$B$9,Paramètres!$A$1:$I$89,3,0)*VLOOKUP('Données projet'!$B$9,Paramètres!$A$1:$I$89,5,0)</f>
        <v>269.34483333333333</v>
      </c>
      <c r="P49" s="13">
        <f t="shared" si="63"/>
        <v>64.710206731812576</v>
      </c>
      <c r="Q49" s="20">
        <f t="shared" si="118"/>
        <v>581.81252811346246</v>
      </c>
      <c r="R49" s="59">
        <f t="shared" si="0"/>
        <v>875.14586144679583</v>
      </c>
      <c r="S49" s="59">
        <f ca="1">AVERAGE(OFFSET($R$3,0,0,'Données projet'!$E$9+1,1))-AVERAGE(OFFSET($H$3,0,0,'Données projet'!$E$9+1,1))</f>
        <v>274.57619581652199</v>
      </c>
      <c r="T49" s="59">
        <f t="shared" si="64"/>
        <v>366.15117322598775</v>
      </c>
      <c r="U49" s="15">
        <f>IF(ISNA(VLOOKUP(A49,'Données projet'!$A$45:$I$65,3,0)),0,VLOOKUP(A49,'Données projet'!$A$45:$I$65,3,0))</f>
        <v>0</v>
      </c>
      <c r="V49" s="15">
        <f>IF(ISNA(VLOOKUP(A49,'Données projet'!$A$45:$I$65,4,0)),0,VLOOKUP(A49,'Données projet'!$A$45:$I$65,4,0))</f>
        <v>0</v>
      </c>
      <c r="W49" s="16">
        <f>IF(ISNA(VLOOKUP(A49,'Données projet'!$A$45:$I$65,5,0)),0%,VLOOKUP(A49,'Données projet'!$A$45:$I$65,5,0)*VLOOKUP('Données projet'!$B$9,Paramètres!$A$1:$I$89,7,0))</f>
        <v>0</v>
      </c>
      <c r="X49" s="16">
        <f>IF(ISNA(VLOOKUP(A49,'Données projet'!$A$45:$I$65,6,0)),0%,VLOOKUP(A49,'Données projet'!$A$45:$I$65,6,0)*VLOOKUP('Données projet'!$B$9,Paramètres!$A$1:$I$89,7,0))</f>
        <v>0</v>
      </c>
      <c r="Y49" s="16">
        <f>IF(ISNA(VLOOKUP(A49,'Données projet'!$A$45:$I$65,7,0)),0%,VLOOKUP(A49,'Données projet'!$A$45:$I$65,7,0))</f>
        <v>0</v>
      </c>
      <c r="Z49" s="21">
        <f>EXP(-LN(2)/35)*Z48+(1-EXP(-LN(2)/35))/(LN(2)/35)*V49*W49*VLOOKUP('Données projet'!$B$9,Paramètres!$A$1:$I$89,3,0)*0.475*44/12</f>
        <v>57.122558733194019</v>
      </c>
      <c r="AA49" s="21">
        <f>EXP(-LN(2)/25)*AA48+(1-EXP(-LN(2)/25))/(LN(2)/25)*Calculateur!V49*Calculateur!X49*VLOOKUP('Données projet'!$B$9,Paramètres!$A$1:$I$89,3,0)*0.475*44/12</f>
        <v>19.77780659244711</v>
      </c>
      <c r="AB49" s="21">
        <f>EXP(-LN(2)/2)*AB48+(1-EXP(-LN(2)/2))/(LN(2)/2)*V49*Y49*VLOOKUP('Données projet'!$B$9,Paramètres!$A$1:$I$89,3,0)*0.475*44/12</f>
        <v>1.7381694495449156</v>
      </c>
      <c r="AC49" s="22">
        <f t="shared" si="3"/>
        <v>78.638534775186045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projet'!$A$71:$I$91,2,0)</f>
        <v>#N/A</v>
      </c>
      <c r="AG49" s="12" t="e">
        <f>VLOOKUP(A49,'Données projet'!$A$71:$I$91,9,0)</f>
        <v>#N/A</v>
      </c>
      <c r="AH49" s="12">
        <f t="array" ref="AH49">INDEX(AG:AG,MIN(IF(ISNUMBER(AG49:AG245),ROW(AG49:AG245),"")))</f>
        <v>9.3452380952380913</v>
      </c>
      <c r="AI49" s="13">
        <f>IF('Données projet'!$A$72&gt;35,AI48+AH49-AQ48,IF(A49&lt;'Données projet'!$A$72,$AF$205^A49,IF(A49='Données projet'!$A$72,'Données projet'!$B$72,AI48+AH49-AQ48)))</f>
        <v>165.662087912088</v>
      </c>
      <c r="AJ49" s="13">
        <f>AI49*VLOOKUP('Données projet'!$B$10,Paramètres!$A$1:$I$89,3,0)*VLOOKUP('Données projet'!$B$10,Paramètres!$A$1:$I$89,5,0)</f>
        <v>149.89105714285722</v>
      </c>
      <c r="AK49" s="13">
        <f t="shared" si="65"/>
        <v>38.553826918856579</v>
      </c>
      <c r="AL49" s="20">
        <f t="shared" si="4"/>
        <v>328.20817307415149</v>
      </c>
      <c r="AM49" s="59">
        <f t="shared" si="5"/>
        <v>621.5415064074848</v>
      </c>
      <c r="AN49" s="59">
        <f ca="1">AVERAGE(OFFSET($AM$3,0,0,'Données projet'!$E$10+1,1))-AVERAGE(OFFSET($H$3,0,0,'Données projet'!$E$10+1,1))</f>
        <v>270.87836509222456</v>
      </c>
      <c r="AO49" s="59">
        <f t="shared" si="66"/>
        <v>205.24998237949734</v>
      </c>
      <c r="AP49" s="15">
        <f>IF(ISNA(VLOOKUP(A49,'Données projet'!$A$71:$I$91,3,0)),0,VLOOKUP(A49,'Données projet'!$A$71:$I$91,3,0))</f>
        <v>0</v>
      </c>
      <c r="AQ49" s="15">
        <f>IF(ISNA(VLOOKUP(A49,'Données projet'!$A$71:$I$91,4,0)),0,VLOOKUP(A49,'Données projet'!$A$71:$I$91,4,0))</f>
        <v>0</v>
      </c>
      <c r="AR49" s="16">
        <f>IF(ISNA(VLOOKUP(A49,'Données projet'!$A$71:$I$91,5,0)),0%,VLOOKUP(A49,'Données projet'!$A$71:$I$91,5,0)*VLOOKUP('Données projet'!$B$10,Paramètres!$A$1:$I$89,7,0))</f>
        <v>0</v>
      </c>
      <c r="AS49" s="16">
        <f>IF(ISNA(VLOOKUP(A49,'Données projet'!$A$71:$I$91,6,0)),0%,VLOOKUP(A49,'Données projet'!$A$71:$I$91,6,0)*VLOOKUP('Données projet'!$B$10,Paramètres!$A$1:$I$89,7,0))</f>
        <v>0</v>
      </c>
      <c r="AT49" s="16">
        <f>IF(ISNA(VLOOKUP(A49,'Données projet'!$A$71:$I$91,7,0)),0%,VLOOKUP(A49,'Données projet'!$A$71:$I$91,7,0))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projet'!$A$97:$I$117,2,0)</f>
        <v>#N/A</v>
      </c>
      <c r="BB49" s="12" t="e">
        <f>VLOOKUP(A49,'Données projet'!$A$97:$I$117,9,0)</f>
        <v>#N/A</v>
      </c>
      <c r="BC49" s="12">
        <f t="array" ref="BC49">INDEX(BB:BB,MIN(IF(ISNUMBER(BB49:BB245),ROW(BB49:BB245),"")))</f>
        <v>21.625641025641034</v>
      </c>
      <c r="BD49" s="12">
        <f>IF('Données projet'!$A$98&gt;35,BD48+BC49-BL48,IF(A49&lt;'Données projet'!$A$98,$BA$205^A49,IF(A49='Données projet'!$A$98,'Données projet'!$B$98,BD48+BC49-BL48)))</f>
        <v>481.83333333333326</v>
      </c>
      <c r="BE49" s="13">
        <f>BD49*VLOOKUP('Données projet'!$B$11,Paramètres!$A$1:$I$89,3,0)*VLOOKUP('Données projet'!$B$11,Paramètres!$A$1:$I$89,5,0)</f>
        <v>212.97033333333331</v>
      </c>
      <c r="BF49" s="13">
        <f t="shared" si="67"/>
        <v>52.584146718488022</v>
      </c>
      <c r="BG49" s="20">
        <f t="shared" si="7"/>
        <v>462.50738609025547</v>
      </c>
      <c r="BH49" s="59">
        <f t="shared" si="8"/>
        <v>755.84071942358878</v>
      </c>
      <c r="BI49" s="59">
        <f ca="1">AVERAGE(OFFSET($BH$3,0,0,'Données projet'!$E$11+1,1))-AVERAGE(OFFSET($H$3,0,0,'Données projet'!$E$11+1,1))</f>
        <v>211.31057120485542</v>
      </c>
      <c r="BJ49" s="59">
        <f t="shared" si="68"/>
        <v>283.33292006714777</v>
      </c>
      <c r="BK49" s="15">
        <f>IF(ISNA(VLOOKUP(A49,'Données projet'!$A$97:$I$117,3,0)),0,VLOOKUP(A49,'Données projet'!$A$97:$I$117,3,0))</f>
        <v>0</v>
      </c>
      <c r="BL49" s="15">
        <f>IF(ISNA(VLOOKUP(A49,'Données projet'!$A$97:$I$117,4,0)),0,VLOOKUP(A49,'Données projet'!$A$97:$I$117,4,0))</f>
        <v>0</v>
      </c>
      <c r="BM49" s="16">
        <f>IF(ISNA(VLOOKUP(A49,'Données projet'!$A$97:$I$117,5,0)),0%,VLOOKUP(A49,'Données projet'!$A$97:$I$117,5,0)*VLOOKUP('Données projet'!$B$11,Paramètres!$A$1:$I$89,7,0))</f>
        <v>0</v>
      </c>
      <c r="BN49" s="16">
        <f>IF(ISNA(VLOOKUP(A49,'Données projet'!$A$97:$I$117,6,0)),0%,VLOOKUP(A49,'Données projet'!$A$97:$I$117,6,0)*VLOOKUP('Données projet'!$B$11,Paramètres!$A$1:$I$89,7,0))</f>
        <v>0</v>
      </c>
      <c r="BO49" s="16">
        <f>IF(ISNA(VLOOKUP(A49,'Données projet'!$A$97:$I$117,7,0)),0%,VLOOKUP(A49,'Données projet'!$A$97:$I$117,7,0))</f>
        <v>0</v>
      </c>
      <c r="BP49" s="21">
        <f>EXP(-LN(2)/35)*BP48+(1-EXP(-LN(2)/35))/(LN(2)/35)*BL49*BM49*VLOOKUP('Données projet'!$B$11,Paramètres!$A$1:$I$89,3,0)*0.475*44/12</f>
        <v>45.166674347176667</v>
      </c>
      <c r="BQ49" s="21">
        <f>EXP(-LN(2)/25)*BQ48+(1-EXP(-LN(2)/25))/(LN(2)/25)*Calculateur!BL49*Calculateur!BN49*VLOOKUP('Données projet'!$B$11,Paramètres!$A$1:$I$89,3,0)*0.475*44/12</f>
        <v>15.638265677748876</v>
      </c>
      <c r="BR49" s="21">
        <f>EXP(-LN(2)/2)*BR48+(1-EXP(-LN(2)/2))/(LN(2)/2)*BL49*BO49*VLOOKUP('Données projet'!$B$11,Paramètres!$A$1:$I$89,3,0)*0.475*44/12</f>
        <v>1.3743665415006314</v>
      </c>
      <c r="BS49" s="22">
        <f t="shared" si="9"/>
        <v>62.179306566426177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projet'!$A$123:$I$143,2,0)</f>
        <v>#N/A</v>
      </c>
      <c r="BW49" s="12" t="e">
        <f>VLOOKUP(A49,'Données projet'!$A$123:$I$143,9,0)</f>
        <v>#N/A</v>
      </c>
      <c r="BX49" s="12">
        <f t="array" ref="BX49">INDEX(BW:BW,MIN(IF(ISNUMBER(BW49:BW245),ROW(BW49:BW245),"")))</f>
        <v>7.4</v>
      </c>
      <c r="BY49" s="12">
        <f>IF('Données projet'!$A$124&gt;35,BY48+BX49-CG48,IF(A49&lt;'Données projet'!$A$124,$BV$205^A49,IF(A49='Données projet'!$A$124,'Données projet'!$B$124,BY48+BX49-CG48)))</f>
        <v>179.40000000000003</v>
      </c>
      <c r="BZ49" s="13">
        <f>BY49*VLOOKUP('Données projet'!$B$12,Paramètres!$A$1:$I$89,3,0)*VLOOKUP('Données projet'!$B$12,Paramètres!$A$1:$I$89,5,0)</f>
        <v>187.50888000000006</v>
      </c>
      <c r="CA49" s="13">
        <f t="shared" si="69"/>
        <v>46.988779262414276</v>
      </c>
      <c r="CB49" s="20">
        <f t="shared" si="10"/>
        <v>408.416756548705</v>
      </c>
      <c r="CC49" s="59">
        <f t="shared" si="11"/>
        <v>701.75008988203831</v>
      </c>
      <c r="CD49" s="59">
        <f ca="1">AVERAGE(OFFSET($CC$3,0,0,'Données projet'!$E$12+1,1))-AVERAGE(OFFSET($H$3,0,0,'Données projet'!$E$12+1,1))</f>
        <v>322.93502595881938</v>
      </c>
      <c r="CE49" s="59">
        <f t="shared" si="70"/>
        <v>302.67072119588164</v>
      </c>
      <c r="CF49" s="15">
        <f>IF(ISNA(VLOOKUP(A49,'Données projet'!$A$123:$I$143,3,0)),0,VLOOKUP(A49,'Données projet'!$A$123:$I$143,3,0))</f>
        <v>0</v>
      </c>
      <c r="CG49" s="15">
        <f>IF(ISNA(VLOOKUP(A49,'Données projet'!$A$123:$I$143,4,0)),0,VLOOKUP(A49,'Données projet'!$A$123:$I$143,4,0))</f>
        <v>0</v>
      </c>
      <c r="CH49" s="16">
        <f>IF(ISNA(VLOOKUP(A49,'Données projet'!$A$123:$I$143,5,0)),0%,VLOOKUP(A49,'Données projet'!$A$123:$I$143,5,0)*VLOOKUP('Données projet'!$B$12,Paramètres!$A$1:$I$89,7,0))</f>
        <v>0</v>
      </c>
      <c r="CI49" s="16">
        <f>IF(ISNA(VLOOKUP(A49,'Données projet'!$A$123:$I$143,6,0)),0%,VLOOKUP(A49,'Données projet'!$A$123:$I$143,6,0)*VLOOKUP('Données projet'!$B$12,Paramètres!$A$1:$I$89,7,0))</f>
        <v>0</v>
      </c>
      <c r="CJ49" s="16">
        <f>IF(ISNA(VLOOKUP(A49,'Données projet'!$A$123:$I$143,7,0)),0%,VLOOKUP(A49,'Données projet'!$A$123:$I$143,7,0))</f>
        <v>0</v>
      </c>
      <c r="CK49" s="21">
        <f>EXP(-LN(2)/35)*CK48+(1-EXP(-LN(2)/35))/(LN(2)/35)*CG49*CH49*VLOOKUP('Données projet'!$B$12,Paramètres!$A$1:$I$89,3,0)*0.475*44/12</f>
        <v>5.0657931138835206</v>
      </c>
      <c r="CL49" s="21">
        <f>EXP(-LN(2)/25)*CL48+(1-EXP(-LN(2)/25))/(LN(2)/25)*Calculateur!CG49*Calculateur!CI49*VLOOKUP('Données projet'!$B$12,Paramètres!$A$1:$I$89,3,0)*0.475*44/12</f>
        <v>15.587786722513773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20.653579836397292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projet'!$A$149:$I$169,2,0)</f>
        <v>#N/A</v>
      </c>
      <c r="CR49" s="12" t="e">
        <f>VLOOKUP(A49,'Données projet'!$A$149:$I$169,9,0)</f>
        <v>#N/A</v>
      </c>
      <c r="CS49" s="12">
        <f t="array" ref="CS49">INDEX(CR:CR,MIN(IF(ISNUMBER(CR49:CR245),ROW(CR49:CR245),"")))</f>
        <v>6.826007326007324</v>
      </c>
      <c r="CT49" s="12">
        <f>IF('Données projet'!$A$150&gt;35,CT48+CS49-DB48,IF(A49&lt;'Données projet'!$A$150,$CQ$205^A49,IF(A49='Données projet'!$A$150,'Données projet'!$B$150,CT48+CS49-DB48)))</f>
        <v>111.65842490842485</v>
      </c>
      <c r="CU49" s="17">
        <f>CT49*VLOOKUP('Données projet'!$B$13,Paramètres!$A$1:$I$89,3,0)*VLOOKUP('Données projet'!$B$13,Paramètres!$A$1:$I$89,5,0)</f>
        <v>113.2216428571428</v>
      </c>
      <c r="CV49" s="13">
        <f t="shared" si="71"/>
        <v>30.088748821593761</v>
      </c>
      <c r="CW49" s="20">
        <f t="shared" si="13"/>
        <v>249.59893217379951</v>
      </c>
      <c r="CX49" s="59">
        <f t="shared" si="14"/>
        <v>542.9322655071328</v>
      </c>
      <c r="CY49" s="59">
        <f ca="1">AVERAGE(OFFSET($CX$3,0,0,'Données projet'!$E$13+1,1))-AVERAGE(OFFSET($H$3,0,0,'Données projet'!$E$13+1,1))</f>
        <v>250.31277422753283</v>
      </c>
      <c r="CZ49" s="59">
        <f t="shared" si="72"/>
        <v>159.20429420478047</v>
      </c>
      <c r="DA49" s="15">
        <f>IF(ISNA(VLOOKUP(A49,'Données projet'!$A$149:$I$169,3,0)),0,VLOOKUP(A49,'Données projet'!$A$149:$I$169,3,0))</f>
        <v>0</v>
      </c>
      <c r="DB49" s="15">
        <f>IF(ISNA(VLOOKUP(A49,'Données projet'!$A$149:$I$169,4,0)),0,VLOOKUP(A49,'Données projet'!$A$149:$I$169,4,0))</f>
        <v>0</v>
      </c>
      <c r="DC49" s="16">
        <f>IF(ISNA(VLOOKUP(A49,'Données projet'!$A$149:$I$169,5,0)),0%,VLOOKUP(A49,'Données projet'!$A$149:$I$169,5,0)*VLOOKUP('Données projet'!$B$13,Paramètres!$A$1:$I$89,7,0))</f>
        <v>0</v>
      </c>
      <c r="DD49" s="16">
        <f>IF(ISNA(VLOOKUP(A49,'Données projet'!$A$149:$I$169,6,0)),0%,VLOOKUP(A49,'Données projet'!$A$149:$I$169,6,0)*VLOOKUP('Données projet'!$B$13,Paramètres!$A$1:$I$89,7,0))</f>
        <v>0</v>
      </c>
      <c r="DE49" s="16">
        <f>IF(ISNA(VLOOKUP(A49,'Données projet'!$A$149:$I$169,7,0)),0%,VLOOKUP(A49,'Données projet'!$A$149:$I$169,7,0))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0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projet'!$A$175:$I$195,2,0)</f>
        <v>#N/A</v>
      </c>
      <c r="DM49" s="12" t="e">
        <f>VLOOKUP(A49,'Données projet'!$A$175:$I$195,9,0)</f>
        <v>#N/A</v>
      </c>
      <c r="DN49" s="12">
        <f t="array" ref="DN49">INDEX(DM:DM,MIN(IF(ISNUMBER(DM49:DM245),ROW(DM49:DM245),"")))</f>
        <v>9.8000000000000007</v>
      </c>
      <c r="DO49" s="12">
        <f>IF('Données projet'!$A$176&gt;35,DO48+DN49-DW48,IF(A49&lt;'Données projet'!$A$176,$DL$205^A49,IF(A49='Données projet'!$A$176,'Données projet'!$B$176,DO48+DN49-DW48)))</f>
        <v>263.7999999999999</v>
      </c>
      <c r="DP49" s="17">
        <f>DO49*VLOOKUP('Données projet'!$B$14,Paramètres!$A$1:$I$89,3,0)*VLOOKUP('Données projet'!$B$14,Paramètres!$A$1:$I$89,5,0)</f>
        <v>193.41815999999992</v>
      </c>
      <c r="DQ49" s="13">
        <f t="shared" si="73"/>
        <v>48.294873490521283</v>
      </c>
      <c r="DR49" s="20">
        <f t="shared" si="16"/>
        <v>420.98353332932442</v>
      </c>
      <c r="DS49" s="59">
        <f t="shared" si="17"/>
        <v>714.31686666265773</v>
      </c>
      <c r="DT49" s="59">
        <f ca="1">AVERAGE(OFFSET($DS$3,0,0,'Données projet'!$E$14+1,1))-AVERAGE(OFFSET($H$3,0,0,'Données projet'!$E$14+1,1))</f>
        <v>296.91321813251051</v>
      </c>
      <c r="DU49" s="59">
        <f t="shared" si="74"/>
        <v>291.0718079639509</v>
      </c>
      <c r="DV49" s="15">
        <f>IF(ISNA(VLOOKUP(A49,'Données projet'!$A$175:$I$195,3,0)),0,VLOOKUP(A49,'Données projet'!$A$175:$I$195,3,0))</f>
        <v>0</v>
      </c>
      <c r="DW49" s="15">
        <f>IF(ISNA(VLOOKUP(A49,'Données projet'!$A$175:$I$195,4,0)),0,VLOOKUP(A49,'Données projet'!$A$175:$I$195,4,0))</f>
        <v>0</v>
      </c>
      <c r="DX49" s="16">
        <f>IF(ISNA(VLOOKUP(A49,'Données projet'!$A$175:$I$195,5,0)),0%,VLOOKUP(A49,'Données projet'!$A$175:$I$195,5,0)*VLOOKUP('Données projet'!$B$14,Paramètres!$A$1:$I$89,7,0))</f>
        <v>0</v>
      </c>
      <c r="DY49" s="16">
        <f>IF(ISNA(VLOOKUP(A49,'Données projet'!$A$175:$I$195,6,0)),0%,VLOOKUP(A49,'Données projet'!$A$175:$I$195,6,0)*VLOOKUP('Données projet'!$B$14,Paramètres!$A$1:$I$89,7,0))</f>
        <v>0</v>
      </c>
      <c r="DZ49" s="16">
        <f>IF(ISNA(VLOOKUP(A49,'Données projet'!$A$175:$I$195,7,0)),0%,VLOOKUP(A49,'Données projet'!$A$175:$I$195,7,0))</f>
        <v>0</v>
      </c>
      <c r="EA49" s="21">
        <f>EXP(-LN(2)/35)*EA48+(1-EXP(-LN(2)/35))/(LN(2)/35)*DW49*DX49*VLOOKUP('Données projet'!$B$14,Paramètres!$A$1:$I$89,3,0)*0.475*44/12</f>
        <v>34.304228449960462</v>
      </c>
      <c r="EB49" s="21">
        <f>EXP(-LN(2)/25)*EB48+(1-EXP(-LN(2)/25))/(LN(2)/25)*Calculateur!DW49*Calculateur!DY49*VLOOKUP('Données projet'!$B$14,Paramètres!$A$1:$I$89,3,0)*0.475*44/12</f>
        <v>10.822995048017521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45.12722349797798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projet'!$A$201:$I$221,2,0)</f>
        <v>#N/A</v>
      </c>
      <c r="EH49" s="12" t="e">
        <f>VLOOKUP(A49,'Données projet'!$A$201:$I$221,9,0)</f>
        <v>#N/A</v>
      </c>
      <c r="EI49" s="12">
        <f t="array" ref="EI49">INDEX(EH:EH,MIN(IF(ISNUMBER(EH49:EH245),ROW(EH49:EH245),"")))</f>
        <v>10.407692307692306</v>
      </c>
      <c r="EJ49" s="12">
        <f>IF('Données projet'!$A$202&gt;35,EJ48+EI49-ER48,IF(A49&lt;'Données projet'!$A$202,$EG$205^A49,IF(A49='Données projet'!$A$202,'Données projet'!$B$202,EJ48+EI49-ER48)))</f>
        <v>269.8</v>
      </c>
      <c r="EK49" s="17">
        <f>EJ49*VLOOKUP('Données projet'!$B$15,Paramètres!$A$1:$I$89,3,0)*VLOOKUP('Données projet'!$B$15,Paramètres!$A$1:$I$89,5,0)</f>
        <v>126.2664</v>
      </c>
      <c r="EL49" s="13">
        <f t="shared" si="75"/>
        <v>33.132176294071812</v>
      </c>
      <c r="EM49" s="20">
        <f t="shared" si="19"/>
        <v>277.6191870455084</v>
      </c>
      <c r="EN49" s="59">
        <f t="shared" si="20"/>
        <v>570.95252037884165</v>
      </c>
      <c r="EO49" s="59">
        <f ca="1">AVERAGE(OFFSET($EN$3,0,0,'Données projet'!$E$15+1,1))-AVERAGE(OFFSET($H$3,0,0,'Données projet'!$E$15+1,1))</f>
        <v>147.64256291235483</v>
      </c>
      <c r="EP49" s="59">
        <f t="shared" si="76"/>
        <v>70.859031694091868</v>
      </c>
      <c r="EQ49" s="15">
        <f>IF(ISNA(VLOOKUP(A49,'Données projet'!$A$201:$I$221,3,0)),0,VLOOKUP(A49,'Données projet'!$A$201:$I$221,3,0))</f>
        <v>0</v>
      </c>
      <c r="ER49" s="15">
        <f>IF(ISNA(VLOOKUP(A49,'Données projet'!$A$201:$I$221,4,0)),0,VLOOKUP(A49,'Données projet'!$A$201:$I$221,4,0))</f>
        <v>0</v>
      </c>
      <c r="ES49" s="16">
        <f>IF(ISNA(VLOOKUP(A49,'Données projet'!$A$201:$I$221,5,0)),0%,VLOOKUP(A49,'Données projet'!$A$201:$I$221,5,0)*VLOOKUP('Données projet'!$B$15,Paramètres!$A$1:$I$89,7,0))</f>
        <v>0</v>
      </c>
      <c r="ET49" s="16">
        <f>IF(ISNA(VLOOKUP(A49,'Données projet'!$A$201:$I$221,6,0)),0%,VLOOKUP(A49,'Données projet'!$A$201:$I$221,6,0)*VLOOKUP('Données projet'!$B$15,Paramètres!$A$1:$I$89,7,0))</f>
        <v>0</v>
      </c>
      <c r="EU49" s="16">
        <f>IF(ISNA(VLOOKUP(A49,'Données projet'!$A$201:$I$221,7,0)),0%,VLOOKUP(A49,'Données projet'!$A$201:$I$221,7,0))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0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projet'!$A$227:$I$247,2,0)</f>
        <v>#N/A</v>
      </c>
      <c r="FC49" s="12" t="e">
        <f>VLOOKUP(A49,'Données projet'!$A$227:$I$247,9,0)</f>
        <v>#N/A</v>
      </c>
      <c r="FD49" s="12">
        <f t="array" ref="FD49">INDEX(FC:FC,MIN(IF(ISNUMBER(FC49:FC245),ROW(FC49:FC245),"")))</f>
        <v>6</v>
      </c>
      <c r="FE49" s="12">
        <f>IF('Données projet'!$A$228&gt;35,FE48+FD49-FM48,IF(A49&lt;'Données projet'!$A$228,$FB$205^A49,IF(A49='Données projet'!$A$228,'Données projet'!$B$228,FE48+FD49-FM48)))</f>
        <v>149.00000000000003</v>
      </c>
      <c r="FF49" s="17">
        <f>FE49*VLOOKUP('Données projet'!$B$16,Paramètres!$A$1:$I$89,3,0)*VLOOKUP('Données projet'!$B$16,Paramètres!$A$1:$I$89,5,0)</f>
        <v>155.73480000000004</v>
      </c>
      <c r="FG49" s="13">
        <f t="shared" si="77"/>
        <v>39.878980068529806</v>
      </c>
      <c r="FH49" s="20">
        <f t="shared" si="22"/>
        <v>340.6940002860228</v>
      </c>
      <c r="FI49" s="59">
        <f t="shared" si="23"/>
        <v>634.02733361935611</v>
      </c>
      <c r="FJ49" s="59">
        <f ca="1">AVERAGE(OFFSET($FI$3,0,0,'Données projet'!$E$16+1,1))-AVERAGE(OFFSET($H$3,0,0,'Données projet'!$E$16+1,1))</f>
        <v>259.03906550253788</v>
      </c>
      <c r="FK49" s="59">
        <f t="shared" si="78"/>
        <v>235.54542903570831</v>
      </c>
      <c r="FL49" s="15">
        <f>IF(ISNA(VLOOKUP(A49,'Données projet'!$A$227:$I$247,3,0)),0,VLOOKUP(A49,'Données projet'!$A$227:$I$247,3,0))</f>
        <v>0</v>
      </c>
      <c r="FM49" s="15">
        <f>IF(ISNA(VLOOKUP(A49,'Données projet'!$A$227:$I$247,4,0)),0,VLOOKUP(A49,'Données projet'!$A$227:$I$247,4,0))</f>
        <v>0</v>
      </c>
      <c r="FN49" s="16">
        <f>IF(ISNA(VLOOKUP(A49,'Données projet'!$A$227:$I$247,5,0)),0%,VLOOKUP(A49,'Données projet'!$A$227:$I$247,5,0)*VLOOKUP('Données projet'!$B$16,Paramètres!$A$1:$I$89,7,0))</f>
        <v>0</v>
      </c>
      <c r="FO49" s="16">
        <f>IF(ISNA(VLOOKUP(A49,'Données projet'!$A$227:$I$247,6,0)),0%,VLOOKUP(A49,'Données projet'!$A$227:$I$247,6,0)*VLOOKUP('Données projet'!$B$16,Paramètres!$A$1:$I$89,7,0))</f>
        <v>0</v>
      </c>
      <c r="FP49" s="16">
        <f>IF(ISNA(VLOOKUP(A49,'Données projet'!$A$227:$I$247,7,0)),0%,VLOOKUP(A49,'Données projet'!$A$227:$I$247,7,0))</f>
        <v>0</v>
      </c>
      <c r="FQ49" s="21">
        <f>EXP(-LN(2)/35)*FQ48+(1-EXP(-LN(2)/35))/(LN(2)/35)*FM49*FN49*VLOOKUP('Données projet'!$B$16,Paramètres!$A$1:$I$89,3,0)*0.475*44/12</f>
        <v>0</v>
      </c>
      <c r="FR49" s="21">
        <f>EXP(-LN(2)/25)*FR48+(1-EXP(-LN(2)/25))/(LN(2)/25)*Calculateur!FM49*Calculateur!FO49*VLOOKUP('Données projet'!$B$16,Paramètres!$A$1:$I$89,3,0)*0.475*44/12</f>
        <v>8.7632086935205749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8.7632086935205749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projet'!$A$253:$I$273,2,0)</f>
        <v>#N/A</v>
      </c>
      <c r="FX49" s="12" t="e">
        <f>VLOOKUP(A49,'Données projet'!$A$253:$I$273,9,0)</f>
        <v>#N/A</v>
      </c>
      <c r="FY49" s="12">
        <f t="array" ref="FY49">INDEX(FX:FX,MIN(IF(ISNUMBER(FX49:FX245),ROW(FX49:FX245),"")))</f>
        <v>7.2</v>
      </c>
      <c r="FZ49" s="12">
        <f>IF('Données projet'!$A$254&gt;35,FZ48+FY49-GH48,IF(A49&lt;'Données projet'!$A$254,$FW$205^A49,IF(A49='Données projet'!$A$254,'Données projet'!$B$254,FZ48+FY49-GH48)))</f>
        <v>190.19999999999993</v>
      </c>
      <c r="GA49" s="17">
        <f>FZ49*VLOOKUP('Données projet'!$B$17,Paramètres!$A$1:$I$89,3,0)*VLOOKUP('Données projet'!$B$17,Paramètres!$A$1:$I$89,5,0)</f>
        <v>166.15871999999996</v>
      </c>
      <c r="GB49" s="13">
        <f t="shared" si="79"/>
        <v>42.228563636586387</v>
      </c>
      <c r="GC49" s="20">
        <f t="shared" si="25"/>
        <v>362.94118566705453</v>
      </c>
      <c r="GD49" s="59">
        <f t="shared" si="26"/>
        <v>656.27451900038784</v>
      </c>
      <c r="GE49" s="59">
        <f ca="1">AVERAGE(OFFSET($GD$3,0,0,'Données projet'!$E$17+1,1))-AVERAGE(OFFSET($H$3,0,0,'Données projet'!$E$17+1,1))</f>
        <v>245.1983232777614</v>
      </c>
      <c r="GF49" s="59">
        <f t="shared" si="80"/>
        <v>242.34010522344573</v>
      </c>
      <c r="GG49" s="15">
        <f>IF(ISNA(VLOOKUP(A49,'Données projet'!$A$253:$I$273,3,0)),0,VLOOKUP(A49,'Données projet'!$A$253:$I$273,3,0))</f>
        <v>0</v>
      </c>
      <c r="GH49" s="15">
        <f>IF(ISNA(VLOOKUP(A49,'Données projet'!$A$253:$I$273,4,0)),0,VLOOKUP(A49,'Données projet'!$A$253:$I$273,4,0))</f>
        <v>0</v>
      </c>
      <c r="GI49" s="16">
        <f>IF(ISNA(VLOOKUP(A49,'Données projet'!$A$253:$I$273,5,0)),0%,VLOOKUP(A49,'Données projet'!$A$253:$I$273,5,0)*VLOOKUP('Données projet'!$B$17,Paramètres!$A$1:$I$89,7,0))</f>
        <v>0</v>
      </c>
      <c r="GJ49" s="16">
        <f>IF(ISNA(VLOOKUP(A49,'Données projet'!$A$253:$I$273,6,0)),0%,VLOOKUP(A49,'Données projet'!$A$253:$I$273,6,0)*VLOOKUP('Données projet'!$B$17,Paramètres!$A$1:$I$89,7,0))</f>
        <v>0</v>
      </c>
      <c r="GK49" s="16">
        <f>IF(ISNA(VLOOKUP(A49,'Données projet'!$A$253:$I$273,7,0)),0%,VLOOKUP(A49,'Données projet'!$A$253:$I$273,7,0))</f>
        <v>0</v>
      </c>
      <c r="GL49" s="21">
        <f>EXP(-LN(2)/35)*GL48+(1-EXP(-LN(2)/35))/(LN(2)/35)*GH49*GI49*VLOOKUP('Données projet'!$B$17,Paramètres!$A$1:$I$89,3,0)*0.475*44/12</f>
        <v>11.333188042913312</v>
      </c>
      <c r="GM49" s="21">
        <f>EXP(-LN(2)/25)*GM48+(1-EXP(-LN(2)/25))/(LN(2)/25)*Calculateur!GH49*Calculateur!GJ49*VLOOKUP('Données projet'!$B$17,Paramètres!$A$1:$I$89,3,0)*0.475*44/12</f>
        <v>12.493683968998637</v>
      </c>
      <c r="GN49" s="21">
        <f>EXP(-LN(2)/2)*GN48+(1-EXP(-LN(2)/2))/(LN(2)/2)*GH49*GK49*VLOOKUP('Données projet'!$B$17,Paramètres!$A$1:$I$89,3,0)*0.475*44/12</f>
        <v>0</v>
      </c>
      <c r="GO49" s="21">
        <f t="shared" si="27"/>
        <v>23.826872011911949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projet'!$A$279:$I$299,2,0)</f>
        <v>#N/A</v>
      </c>
      <c r="GS49" s="12" t="e">
        <f>VLOOKUP(A49,'Données projet'!$A$279:$I$299,9,0)</f>
        <v>#N/A</v>
      </c>
      <c r="GT49" s="12">
        <f t="array" ref="GT49">INDEX(GS:GS,MIN(IF(ISNUMBER(GS49:GS245),ROW(GS49:GS245),"")))</f>
        <v>17.600000000000001</v>
      </c>
      <c r="GU49" s="12">
        <f>IF('Données projet'!$A$280&gt;35,GU48+GT49-HC48,IF(A49&lt;'Données projet'!$A$280,$GR$205^A49,IF(A49='Données projet'!$A$280,'Données projet'!$B$280,GU48+GT49-HC48)))</f>
        <v>530.60000000000025</v>
      </c>
      <c r="GV49" s="17">
        <f>GU49*VLOOKUP('Données projet'!$B$18,Paramètres!$A$1:$I$89,3,0)*VLOOKUP('Données projet'!$B$18,Paramètres!$A$1:$I$89,5,0)</f>
        <v>213.8318000000001</v>
      </c>
      <c r="GW49" s="13">
        <f t="shared" si="81"/>
        <v>52.772047162108358</v>
      </c>
      <c r="GX49" s="20">
        <f t="shared" si="28"/>
        <v>464.3350338073389</v>
      </c>
      <c r="GY49" s="59">
        <f t="shared" si="29"/>
        <v>757.66836714067222</v>
      </c>
      <c r="GZ49" s="59">
        <f ca="1">AVERAGE(OFFSET($GY$3,0,0,'Données projet'!$E$18+1,1))-AVERAGE(OFFSET($H$3,0,0,'Données projet'!$E$18+1,1))</f>
        <v>324.36162935850876</v>
      </c>
      <c r="HA49" s="59">
        <f t="shared" si="82"/>
        <v>265.23571072429735</v>
      </c>
      <c r="HB49" s="15">
        <f>IF(ISNA(VLOOKUP(A49,'Données projet'!$A$279:$I$299,3,0)),0,VLOOKUP(A49,'Données projet'!$A$279:$I$299,3,0))</f>
        <v>0</v>
      </c>
      <c r="HC49" s="15">
        <f>IF(ISNA(VLOOKUP(A49,'Données projet'!$A$279:$I$299,4,0)),0,VLOOKUP(A49,'Données projet'!$A$279:$I$299,4,0))</f>
        <v>0</v>
      </c>
      <c r="HD49" s="16">
        <f>IF(ISNA(VLOOKUP(A49,'Données projet'!$A$279:$I$299,5,0)),0%,VLOOKUP(A49,'Données projet'!$A$279:$I$299,5,0)*VLOOKUP('Données projet'!$B$18,Paramètres!$A$1:$I$89,7,0))</f>
        <v>0</v>
      </c>
      <c r="HE49" s="16">
        <f>IF(ISNA(VLOOKUP(A49,'Données projet'!$A$279:$I$299,6,0)),0%,VLOOKUP(A49,'Données projet'!$A$279:$I$299,6,0)*VLOOKUP('Données projet'!$B$18,Paramètres!$A$1:$I$89,7,0))</f>
        <v>0</v>
      </c>
      <c r="HF49" s="16">
        <f>IF(ISNA(VLOOKUP($A49,'Données projet'!$A$279:$I$299,7,0)),0%,VLOOKUP($A49,'Données projet'!$A$279:$I$299,7,0))</f>
        <v>0</v>
      </c>
      <c r="HG49" s="21">
        <f>EXP(-LN(2)/35)*HG48+(1-EXP(-LN(2)/35))/(LN(2)/35)*HC49*HD49*VLOOKUP('Données projet'!$B$18,Paramètres!$A$1:$I$89,3,0)*0.475*44/12</f>
        <v>4.6869714450235263</v>
      </c>
      <c r="HH49" s="21">
        <f>EXP(-LN(2)/25)*HH48+(1-EXP(-LN(2)/25))/(LN(2)/25)*Calculateur!HC49*Calculateur!HE49*VLOOKUP('Données projet'!$B$18,Paramètres!$A$1:$I$89,3,0)*0.475*44/12</f>
        <v>11.611276460476949</v>
      </c>
      <c r="HI49" s="21">
        <f>EXP(-LN(2)/2)*HI48+(1-EXP(-LN(2)/2))/(LN(2)/2)*HC49*HF49*VLOOKUP('Données projet'!$B$18,Paramètres!$A$1:$I$89,3,0)*0.475*44/12</f>
        <v>2.2034758382688509</v>
      </c>
      <c r="HJ49" s="22">
        <f t="shared" si="30"/>
        <v>18.501723743769325</v>
      </c>
      <c r="HK49" s="74">
        <f>('Scénario référence'!$F$8+'Scénario référence'!$F$9+'Scénario référence'!$B$17+'Scénario référence'!$B$9+'Scénario référence'!$B$10)*70+IF((45+25*(1-EXP(-0.0175*$A49)))&lt;70,'Scénario référence'!$B$16*(45+25*(1-EXP(-0.0175*$A49))),70*'Scénario référence'!$B$16)+IF((32+38*(1-EXP(-0.0175*$A49)))&lt;70,'Scénario référence'!$B$18*(32+38*(1-EXP(-0.0175*$A49))),70*'Scénario référence'!$B$18)</f>
        <v>70</v>
      </c>
      <c r="HL49" s="12">
        <f>IF($A49&gt;30,10,('Scénario référence'!$B$16+'Scénario référence'!$B$17+'Scénario référence'!$B$18+'Scénario référence'!$B$9+'Scénario référence'!$B$10)*$A49*10/30+('Scénario référence'!$F$8+'Scénario référence'!$F$9)*10)</f>
        <v>10</v>
      </c>
      <c r="HM49" s="12" t="e">
        <f>VLOOKUP($A49,'Données projet'!$A$304:$I$324,2,0)</f>
        <v>#N/A</v>
      </c>
      <c r="HN49" s="12" t="e">
        <f>VLOOKUP($A49,'Données projet'!$A$304:$I$324,9,0)</f>
        <v>#N/A</v>
      </c>
      <c r="HO49" s="12">
        <f t="array" ref="HO49">INDEX(HN:HN,MIN(IF(ISNUMBER(HN49:HN245),ROW(HN49:HN245),"")))</f>
        <v>0</v>
      </c>
      <c r="HP49" s="12">
        <f>IF('Données projet'!$A$304&gt;35,HP48+HO49-HX48,IF($A49&lt;'Données projet'!$A$304,$CQ$205^$A49,IF($A49='Données projet'!$A$304,'Données projet'!$B$304,HP48+HO49-HX48)))</f>
        <v>0</v>
      </c>
      <c r="HQ49" s="17">
        <f>HP49*VLOOKUP('Données projet'!$B$19,Paramètres!$A$1:$I$89,3,0)*VLOOKUP('Données projet'!$B$19,Paramètres!$A$1:$I$89,5,0)</f>
        <v>0</v>
      </c>
      <c r="HR49" s="13" t="e">
        <f t="shared" si="83"/>
        <v>#NUM!</v>
      </c>
      <c r="HS49" s="14" t="e">
        <f t="shared" si="31"/>
        <v>#NUM!</v>
      </c>
      <c r="HT49" s="59" t="e">
        <f t="shared" si="32"/>
        <v>#NUM!</v>
      </c>
      <c r="HU49" s="59">
        <f ca="1">AVERAGE(OFFSET(HT$3,0,0,'Données projet'!$E$19+1,1))-AVERAGE(OFFSET($H$3,0,0,'Données projet'!$E$19+1,1))</f>
        <v>91.60721429656013</v>
      </c>
      <c r="HV49" s="59">
        <f t="shared" si="84"/>
        <v>258.94957804210856</v>
      </c>
      <c r="HW49" s="15">
        <f>IF(ISNA(VLOOKUP($A49,'Données projet'!$A$304:$I$324,3,0)),0,VLOOKUP($A49,'Données projet'!$A$304:$I$324,3,0))</f>
        <v>0</v>
      </c>
      <c r="HX49" s="15">
        <f>IF(ISNA(VLOOKUP($A49,'Données projet'!$A$304:$I$324,4,0)),0,VLOOKUP($A49,'Données projet'!$A$304:$I$324,4,0))</f>
        <v>0</v>
      </c>
      <c r="HY49" s="16">
        <f>IF(ISNA(VLOOKUP($A49,'Données projet'!$A$304:$I$324,5,0)),0%,VLOOKUP($A49,'Données projet'!$A$304:$I$324,5,0)*VLOOKUP('Données projet'!$B$19,Paramètres!$A$1:$I$89,7,0))</f>
        <v>0</v>
      </c>
      <c r="HZ49" s="16">
        <f>IF(ISNA(VLOOKUP($A49,'Données projet'!$A$304:$I$324,6,0)),0%,VLOOKUP($A49,'Données projet'!$A$304:$I$324,6,0)*VLOOKUP('Données projet'!$B$19,Paramètres!$A$1:$I$89,7,0))</f>
        <v>0</v>
      </c>
      <c r="IA49" s="16">
        <f>IF(ISNA(VLOOKUP($A49,'Données projet'!$A$304:$I$324,7,0)),0%,VLOOKUP($A49,'Données projet'!$A$304:$I$324,7,0))</f>
        <v>0</v>
      </c>
      <c r="IB49" s="21">
        <f>EXP(-LN(2)/35)*IB48+(1-EXP(-LN(2)/35))/(LN(2)/35)*HX49*HY49*VLOOKUP('Données projet'!$B$19,Paramètres!$A$1:$I$89,3,0)*0.475*44/12</f>
        <v>35.935295000880075</v>
      </c>
      <c r="IC49" s="21">
        <f>EXP(-LN(2)/25)*IC48+(1-EXP(-LN(2)/25))/(LN(2)/25)*Calculateur!HX49*Calculateur!HZ49*VLOOKUP('Données projet'!$B$19,Paramètres!$A$1:$I$89,3,0)*0.475*44/12</f>
        <v>6.2424081702857217</v>
      </c>
      <c r="ID49" s="21">
        <f>EXP(-LN(2)/2)*ID48+(1-EXP(-LN(2)/2))/(LN(2)/2)*HX49*IA49*VLOOKUP('Données projet'!$B$19,Paramètres!$A$1:$I$89,3,0)*0.475*44/12</f>
        <v>2.2377043427499123E-3</v>
      </c>
      <c r="IE49" s="22">
        <f t="shared" si="33"/>
        <v>42.179940875508542</v>
      </c>
      <c r="IF49" s="74">
        <f>('Scénario référence'!$F$8+'Scénario référence'!$F$9+'Scénario référence'!$B$17+'Scénario référence'!$B$9+'Scénario référence'!$B$10)*70+IF((45+25*(1-EXP(-0.0175*$A49)))&lt;70,'Scénario référence'!$B$16*(45+25*(1-EXP(-0.0175*$A49))),70*'Scénario référence'!$B$16)+IF((32+38*(1-EXP(-0.0175*$A49)))&lt;70,'Scénario référence'!$B$18*(32+38*(1-EXP(-0.0175*$A49))),70*'Scénario référence'!$B$18)</f>
        <v>70</v>
      </c>
      <c r="IG49" s="12">
        <f>IF($A49&gt;30,10,('Scénario référence'!$B$16+'Scénario référence'!$B$17+'Scénario référence'!$B$18+'Scénario référence'!$B$9+'Scénario référence'!$B$10)*$A49*10/30+('Scénario référence'!$F$8+'Scénario référence'!$F$9)*10)</f>
        <v>10</v>
      </c>
      <c r="IH49" s="12" t="e">
        <f>VLOOKUP($A49,'Données projet'!$A$330:$I$350,2,0)</f>
        <v>#N/A</v>
      </c>
      <c r="II49" s="12" t="e">
        <f>VLOOKUP($A49,'Données projet'!$A$330:$I$350,9,0)</f>
        <v>#N/A</v>
      </c>
      <c r="IJ49" s="12">
        <f t="array" ref="IJ49">INDEX(II:II,MIN(IF(ISNUMBER(II49:II245),ROW(II49:II245),"")))</f>
        <v>0</v>
      </c>
      <c r="IK49" s="12">
        <f>IF('Données projet'!$A$330&gt;35,IK48+IJ49-IS48,IF($A49&lt;'Données projet'!$A$330,$CQ$205^$A49,IF($A49='Données projet'!$A$330,'Données projet'!$B$330,IK48+IJ49-IS48)))</f>
        <v>0</v>
      </c>
      <c r="IL49" s="17">
        <f>IK49*VLOOKUP('Données projet'!$B$20,Paramètres!$A$1:$I$89,3,0)*VLOOKUP('Données projet'!$B$20,Paramètres!$A$1:$I$89,5,0)</f>
        <v>0</v>
      </c>
      <c r="IM49" s="13" t="e">
        <f t="shared" si="85"/>
        <v>#NUM!</v>
      </c>
      <c r="IN49" s="20" t="e">
        <f t="shared" si="86"/>
        <v>#NUM!</v>
      </c>
      <c r="IO49" s="59" t="e">
        <f t="shared" si="87"/>
        <v>#NUM!</v>
      </c>
      <c r="IP49" s="59">
        <f ca="1">AVERAGE(OFFSET(IO$3,0,0,'Données projet'!$E$20+1,1))-AVERAGE(OFFSET($H$3,0,0,'Données projet'!$E$20+1,1))</f>
        <v>91.60721429656013</v>
      </c>
      <c r="IQ49" s="59">
        <f t="shared" si="88"/>
        <v>258.94957804210856</v>
      </c>
      <c r="IR49" s="15">
        <f>IF(ISNA(VLOOKUP($A49,'Données projet'!$A$330:$I$350,3,0)),0,VLOOKUP($A49,'Données projet'!$A$330:$I$350,3,0))</f>
        <v>0</v>
      </c>
      <c r="IS49" s="15">
        <f>IF(ISNA(VLOOKUP($A49,'Données projet'!$A$330:$I$350,4,0)),0,VLOOKUP($A49,'Données projet'!$A$330:$I$350,4,0))</f>
        <v>0</v>
      </c>
      <c r="IT49" s="16">
        <f>IF(ISNA(VLOOKUP($A49,'Données projet'!$A$330:$I$350,5,0)),0%,VLOOKUP($A49,'Données projet'!$A$330:$I$350,5,0)*VLOOKUP('Données projet'!$B$20,Paramètres!$A$1:$I$89,7,0))</f>
        <v>0</v>
      </c>
      <c r="IU49" s="16">
        <f>IF(ISNA(VLOOKUP($A49,'Données projet'!$A$330:$I$350,6,0)),0%,VLOOKUP($A49,'Données projet'!$A$330:$I$350,6,0)*VLOOKUP('Données projet'!$B$20,Paramètres!$A$1:$I$89,7,0))</f>
        <v>0</v>
      </c>
      <c r="IV49" s="16">
        <f>IF(ISNA(VLOOKUP($A49,'Données projet'!$A$330:$I$350,7,0)),0%,VLOOKUP($A49,'Données projet'!$A$330:$I$350,7,0))</f>
        <v>0</v>
      </c>
      <c r="IW49" s="21">
        <f>EXP(-LN(2)/35)*IW48+(1-EXP(-LN(2)/35))/(LN(2)/35)*IS49*IT49*VLOOKUP('Données projet'!$B$20,Paramètres!$A$1:$I$89,3,0)*0.475*44/12</f>
        <v>35.935295000880075</v>
      </c>
      <c r="IX49" s="21">
        <f>EXP(-LN(2)/25)*IX48+(1-EXP(-LN(2)/25))/(LN(2)/25)*Calculateur!IS49*Calculateur!IU49*VLOOKUP('Données projet'!$B$20,Paramètres!$A$1:$I$89,3,0)*0.475*44/12</f>
        <v>6.2424081702857217</v>
      </c>
      <c r="IY49" s="21">
        <f>EXP(-LN(2)/2)*IY48+(1-EXP(-LN(2)/2))/(LN(2)/2)*IS49*IV49*VLOOKUP('Données projet'!$B$20,Paramètres!$A$1:$I$89,3,0)*0.475*44/12</f>
        <v>2.2377043427499123E-3</v>
      </c>
      <c r="IZ49" s="22">
        <f t="shared" si="89"/>
        <v>42.179940875508542</v>
      </c>
      <c r="JA49" s="74">
        <f>('Scénario référence'!$F$8+'Scénario référence'!$F$9+'Scénario référence'!$B$17+'Scénario référence'!$B$9+'Scénario référence'!$B$10)*70+IF((45+25*(1-EXP(-0.0175*$A49)))&lt;70,'Scénario référence'!$B$16*(45+25*(1-EXP(-0.0175*$A49))),70*'Scénario référence'!$B$16)+IF((32+38*(1-EXP(-0.0175*$A49)))&lt;70,'Scénario référence'!$B$18*(32+38*(1-EXP(-0.0175*$A49))),70*'Scénario référence'!$B$18)</f>
        <v>70</v>
      </c>
      <c r="JB49" s="12">
        <f>IF($A49&gt;30,10,('Scénario référence'!$B$16+'Scénario référence'!$B$17+'Scénario référence'!$B$18+'Scénario référence'!$B$9+'Scénario référence'!$B$10)*$A49*10/30+('Scénario référence'!$F$8+'Scénario référence'!$F$9)*10)</f>
        <v>10</v>
      </c>
      <c r="JC49" s="12" t="e">
        <f>VLOOKUP($A49,'Données projet'!$A$356:$I$376,2,0)</f>
        <v>#N/A</v>
      </c>
      <c r="JD49" s="12" t="e">
        <f>VLOOKUP($A49,'Données projet'!$A$356:$I$376,9,0)</f>
        <v>#N/A</v>
      </c>
      <c r="JE49" s="12">
        <f t="array" ref="JE49">INDEX(JD:JD,MIN(IF(ISNUMBER(JD49:JD245),ROW(JD49:JD245),"")))</f>
        <v>11</v>
      </c>
      <c r="JF49" s="12">
        <f>IF('Données projet'!$A$356&gt;35,JF48+JE49-JN48,IF($A49&lt;'Données projet'!$A$356,$CQ$205^$A49,IF($A49='Données projet'!$A$356,'Données projet'!$B$356,JF48+JE49-JN48)))</f>
        <v>173.00000000000009</v>
      </c>
      <c r="JG49" s="17">
        <f>JF49*VLOOKUP('Données projet'!$B$21,Paramètres!$A$1:$I$89,3,0)*VLOOKUP('Données projet'!$B$21,Paramètres!$A$1:$I$89,5,0)</f>
        <v>140.33760000000009</v>
      </c>
      <c r="JH49" s="13">
        <f t="shared" si="90"/>
        <v>36.374334069789043</v>
      </c>
      <c r="JI49" s="20">
        <f t="shared" si="91"/>
        <v>307.77328517154939</v>
      </c>
      <c r="JJ49" s="59">
        <f t="shared" si="92"/>
        <v>601.1066185048827</v>
      </c>
      <c r="JK49" s="59">
        <f ca="1">AVERAGE(OFFSET($JJ$3,0,0,'Données projet'!$E$22+1,1))-AVERAGE(OFFSET($H$3,0,0,'Données projet'!$E$22+1,1))</f>
        <v>353.35574633294613</v>
      </c>
      <c r="JL49" s="59">
        <f t="shared" si="93"/>
        <v>170.36796666474726</v>
      </c>
      <c r="JM49" s="15">
        <f>IF(ISNA(VLOOKUP($A49,'Données projet'!$A$356:$I$376,3,0)),0,VLOOKUP($A49,'Données projet'!$A$356:$I$376,3,0))</f>
        <v>0</v>
      </c>
      <c r="JN49" s="15">
        <f>IF(ISNA(VLOOKUP($A49,'Données projet'!$A$356:$I$376,4,0)),0,VLOOKUP($A49,'Données projet'!$A$356:$I$376,4,0))</f>
        <v>0</v>
      </c>
      <c r="JO49" s="16">
        <f>IF(ISNA(VLOOKUP($A49,'Données projet'!$A$356:$I$376,5,0)),0%,VLOOKUP($A49,'Données projet'!$A$356:$I$376,5,0)*VLOOKUP('Données projet'!$B$21,Paramètres!$A$1:$I$89,7,0))</f>
        <v>0</v>
      </c>
      <c r="JP49" s="16">
        <f>IF(ISNA(VLOOKUP($A49,'Données projet'!$A$356:$I$376,6,0)),0%,VLOOKUP($A49,'Données projet'!$A$356:$I$376,6,0)*VLOOKUP('Données projet'!$B$21,Paramètres!$A$1:$I$89,7,0))</f>
        <v>0</v>
      </c>
      <c r="JQ49" s="16">
        <f>IF(ISNA(VLOOKUP($A49,'Données projet'!$A$356:$I$376,7,0)),0%,VLOOKUP($A49,'Données projet'!$A$356:$I$376,7,0))</f>
        <v>0</v>
      </c>
      <c r="JR49" s="21">
        <f>EXP(-LN(2)/35)*JR48+(1-EXP(-LN(2)/35))/(LN(2)/35)*JN49*JO49*VLOOKUP('Données projet'!$B$21,Paramètres!$A$1:$I$89,3,0)*0.475*44/12</f>
        <v>0</v>
      </c>
      <c r="JS49" s="21">
        <f>EXP(-LN(2)/25)*JS48+(1-EXP(-LN(2)/25))/(LN(2)/25)*Calculateur!JN49*Calculateur!JP49*VLOOKUP('Données projet'!$B$21,Paramètres!$A$1:$I$89,3,0)*0.475*44/12</f>
        <v>2.7494124920948306</v>
      </c>
      <c r="JT49" s="21">
        <f>EXP(-LN(2)/2)*JT48+(1-EXP(-LN(2)/2))/(LN(2)/2)*JN49*JQ49*VLOOKUP('Données projet'!$B$21,Paramètres!$A$1:$I$89,3,0)*0.475*44/12</f>
        <v>5.5170198183136563</v>
      </c>
      <c r="JU49" s="18">
        <f t="shared" si="39"/>
        <v>8.2664323104084865</v>
      </c>
      <c r="JV49" s="74">
        <f>('Scénario référence'!$F$8+'Scénario référence'!$F$9+'Scénario référence'!$B$17+'Scénario référence'!$B$9+'Scénario référence'!$B$10)*70+IF((45+25*(1-EXP(-0.0175*$A49)))&lt;70,'Scénario référence'!$B$16*(45+25*(1-EXP(-0.0175*$A49))),70*'Scénario référence'!$B$16)+IF((32+38*(1-EXP(-0.0175*$A49)))&lt;70,'Scénario référence'!$B$18*(32+38*(1-EXP(-0.0175*$A49))),70*'Scénario référence'!$B$18)</f>
        <v>70</v>
      </c>
      <c r="JW49" s="12">
        <f>IF($A49&gt;30,10,('Scénario référence'!$B$16+'Scénario référence'!$B$17+'Scénario référence'!$B$18+'Scénario référence'!$B$9+'Scénario référence'!$B$10)*$A49*10/30+('Scénario référence'!$F$8+'Scénario référence'!$F$9)*10)</f>
        <v>10</v>
      </c>
      <c r="JX49" s="12" t="e">
        <f>VLOOKUP($A49,'Données projet'!$A$382:$I$402,2,0)</f>
        <v>#N/A</v>
      </c>
      <c r="JY49" s="12" t="e">
        <f>VLOOKUP($A49,'Données projet'!$A$382:$I$402,9,0)</f>
        <v>#N/A</v>
      </c>
      <c r="JZ49" s="12">
        <f t="array" ref="JZ49">INDEX(JY:JY,MIN(IF(ISNUMBER(JY49:JY245),ROW(JY49:JY245),"")))</f>
        <v>9.3452380952380913</v>
      </c>
      <c r="KA49" s="12">
        <f>IF('Données projet'!$A$382&gt;35,KA48+JZ49-KI48,IF($A49&lt;'Données projet'!$A$382,$CQ$205^$A49,IF($A49='Données projet'!$A$382,'Données projet'!$B$382,KA48+JZ49-KI48)))</f>
        <v>165.66208791208794</v>
      </c>
      <c r="KB49" s="17">
        <f>KA49*VLOOKUP('Données projet'!$B$22,Paramètres!$A$1:$I$89,3,0)*VLOOKUP('Données projet'!$B$22,Paramètres!$A$1:$I$89,5,0)</f>
        <v>111.12612857142859</v>
      </c>
      <c r="KC49" s="13">
        <f t="shared" si="94"/>
        <v>29.596151759579989</v>
      </c>
      <c r="KD49" s="20">
        <f t="shared" si="95"/>
        <v>245.09130490983992</v>
      </c>
      <c r="KE49" s="59">
        <f t="shared" si="96"/>
        <v>538.42463824317326</v>
      </c>
      <c r="KF49" s="59">
        <f ca="1">AVERAGE(OFFSET($KE$3,0,0,'Données projet'!$E$22+1,1))-AVERAGE(OFFSET($H$3,0,0,'Données projet'!$E$22+1,1))</f>
        <v>193.91714772848269</v>
      </c>
      <c r="KG49" s="59">
        <f t="shared" si="97"/>
        <v>159.20429420478047</v>
      </c>
      <c r="KH49" s="15">
        <f>IF(ISNA(VLOOKUP($A49,'Données projet'!$A$382:$I$402,3,0)),0,VLOOKUP($A49,'Données projet'!$A$382:$I$402,3,0))</f>
        <v>0</v>
      </c>
      <c r="KI49" s="15">
        <f>IF(ISNA(VLOOKUP($A49,'Données projet'!$A$382:$I$402,4,0)),0,VLOOKUP($A49,'Données projet'!$A$382:$I$402,4,0))</f>
        <v>0</v>
      </c>
      <c r="KJ49" s="16">
        <f>IF(ISNA(VLOOKUP($A49,'Données projet'!$A$382:$I$402,5,0)),0%,VLOOKUP($A49,'Données projet'!$A$382:$I$402,5,0)*VLOOKUP('Données projet'!$B$22,Paramètres!$A$1:$I$89,7,0))</f>
        <v>0</v>
      </c>
      <c r="KK49" s="16">
        <f>IF(ISNA(VLOOKUP($A49,'Données projet'!$A$382:$I$402,6,0)),0%,VLOOKUP($A49,'Données projet'!$A$382:$I$402,6,0)*VLOOKUP('Données projet'!$B$22,Paramètres!$A$1:$I$89,7,0))</f>
        <v>0</v>
      </c>
      <c r="KL49" s="16">
        <f>IF(ISNA(VLOOKUP($A49,'Données projet'!$A$382:$I$402,7,0)),0%,VLOOKUP($A49,'Données projet'!$A$382:$I$402,7,0))</f>
        <v>0</v>
      </c>
      <c r="KM49" s="21">
        <f>EXP(-LN(2)/35)*KM48+(1-EXP(-LN(2)/35))/(LN(2)/35)*KI49*KJ49*VLOOKUP('Données projet'!$B$22,Paramètres!$A$1:$I$89,3,0)*0.475*44/12</f>
        <v>0</v>
      </c>
      <c r="KN49" s="21">
        <f>EXP(-LN(2)/25)*KN48+(1-EXP(-LN(2)/25))/(LN(2)/25)*Calculateur!KI49*Calculateur!KK49*VLOOKUP('Données projet'!$B$22,Paramètres!$A$1:$I$89,3,0)*0.475*44/12</f>
        <v>0</v>
      </c>
      <c r="KO49" s="21">
        <f>EXP(-LN(2)/2)*KO48+(1-EXP(-LN(2)/2))/(LN(2)/2)*KI49*KL49*VLOOKUP('Données projet'!$B$22,Paramètres!$A$1:$I$89,3,0)*0.475*44/12</f>
        <v>0</v>
      </c>
      <c r="KP49" s="22">
        <f t="shared" si="98"/>
        <v>0</v>
      </c>
      <c r="KQ49" s="74">
        <f>('Scénario référence'!$F$8+'Scénario référence'!$F$9+'Scénario référence'!$B$17+'Scénario référence'!$B$9+'Scénario référence'!$B$10)*70+IF((45+25*(1-EXP(-0.0175*$A49)))&lt;70,'Scénario référence'!$B$16*(45+25*(1-EXP(-0.0175*$A49))),70*'Scénario référence'!$B$16)+IF((32+38*(1-EXP(-0.0175*$A49)))&lt;70,'Scénario référence'!$B$18*(32+38*(1-EXP(-0.0175*$A49))),70*'Scénario référence'!$B$18)</f>
        <v>70</v>
      </c>
      <c r="KR49" s="12">
        <f>IF($A49&gt;30,10,('Scénario référence'!$B$16+'Scénario référence'!$B$17+'Scénario référence'!$B$18+'Scénario référence'!$B$9+'Scénario référence'!$B$10)*$A49*10/30+('Scénario référence'!$F$8+'Scénario référence'!$F$9)*10)</f>
        <v>10</v>
      </c>
      <c r="KS49" s="12" t="e">
        <f>VLOOKUP($A49,'Données projet'!$A$408:$I$428,2,0)</f>
        <v>#N/A</v>
      </c>
      <c r="KT49" s="12" t="e">
        <f>VLOOKUP($A49,'Données projet'!$A$408:$I$428,9,0)</f>
        <v>#N/A</v>
      </c>
      <c r="KU49" s="12">
        <f t="array" ref="KU49">INDEX(KT:KT,MIN(IF(ISNUMBER(KT49:KT245),ROW(KT49:KT245),"")))</f>
        <v>7.2</v>
      </c>
      <c r="KV49" s="12">
        <f>IF('Données projet'!$A$408&gt;35,KV48+KU49-LD48,IF($A49&lt;'Données projet'!$A$408,$CQ$205^$A49,IF($A49='Données projet'!$A$408,'Données projet'!$B$408,KV48+KU49-LD48)))</f>
        <v>190.19999999999996</v>
      </c>
      <c r="KW49" s="17">
        <f>KV49*VLOOKUP('Données projet'!$B$23,Paramètres!$A$1:$I$89,3,0)*VLOOKUP('Données projet'!$B$23,Paramètres!$A$1:$I$89,5,0)</f>
        <v>166.15871999999999</v>
      </c>
      <c r="KX49" s="13">
        <f t="shared" si="99"/>
        <v>42.228563636586422</v>
      </c>
      <c r="KY49" s="14">
        <f t="shared" si="43"/>
        <v>362.94118566705464</v>
      </c>
      <c r="KZ49" s="59">
        <f t="shared" si="44"/>
        <v>656.27451900038795</v>
      </c>
      <c r="LA49" s="59">
        <f ca="1">AVERAGE(OFFSET($KZ$3,0,0,'Données projet'!$E$23+1,1))-AVERAGE(OFFSET($H$3,0,0,'Données projet'!$E$23+1,1))</f>
        <v>248.33596943633819</v>
      </c>
      <c r="LB49" s="59">
        <f t="shared" si="100"/>
        <v>242.34010522344573</v>
      </c>
      <c r="LC49" s="15">
        <f>IF(ISNA(VLOOKUP($A49,'Données projet'!$A$408:$I$428,3,0)),0,VLOOKUP($A49,'Données projet'!$A$408:$I$428,3,0))</f>
        <v>0</v>
      </c>
      <c r="LD49" s="15">
        <f>IF(ISNA(VLOOKUP($A49,'Données projet'!$A$408:$I$428,4,0)),0,VLOOKUP($A49,'Données projet'!$A$408:$I$428,4,0))</f>
        <v>0</v>
      </c>
      <c r="LE49" s="16">
        <f>IF(ISNA(VLOOKUP($A49,'Données projet'!$A$408:$I$428,5,0)),0%,VLOOKUP($A49,'Données projet'!$A$408:$I$428,5,0)*VLOOKUP('Données projet'!$B$23,Paramètres!$A$1:$I$89,7,0))</f>
        <v>0</v>
      </c>
      <c r="LF49" s="16">
        <f>IF(ISNA(VLOOKUP($A49,'Données projet'!$A$408:$I$428,6,0)),0%,VLOOKUP($A49,'Données projet'!$A$408:$I$428,6,0)*VLOOKUP('Données projet'!$B$23,Paramètres!$A$1:$I$89,7,0))</f>
        <v>0</v>
      </c>
      <c r="LG49" s="16">
        <f>IF(ISNA(VLOOKUP($A49,'Données projet'!$A$408:$I$428,7,0)),0%,VLOOKUP($A49,'Données projet'!$A$408:$I$428,7,0))</f>
        <v>0</v>
      </c>
      <c r="LH49" s="21">
        <f>EXP(-LN(2)/35)*LH48+(1-EXP(-LN(2)/35))/(LN(2)/35)*LD49*LE49*VLOOKUP('Données projet'!$B$23,Paramètres!$A$1:$I$89,3,0)*0.475*44/12</f>
        <v>11.333188042913312</v>
      </c>
      <c r="LI49" s="21">
        <f>EXP(-LN(2)/25)*LI48+(1-EXP(-LN(2)/25))/(LN(2)/25)*Calculateur!LD49*Calculateur!LF49*VLOOKUP('Données projet'!$B$23,Paramètres!$A$1:$I$89,3,0)*0.475*44/12</f>
        <v>12.493683968998637</v>
      </c>
      <c r="LJ49" s="21">
        <f>EXP(-LN(2)/2)*LJ48+(1-EXP(-LN(2)/2))/(LN(2)/2)*LD49*LG49*VLOOKUP('Données projet'!$B$23,Paramètres!$A$1:$I$89,3,0)*0.475*44/12</f>
        <v>0</v>
      </c>
      <c r="LK49" s="22">
        <f t="shared" si="101"/>
        <v>23.826872011911949</v>
      </c>
      <c r="LL49" s="74">
        <f>('Scénario référence'!$F$8+'Scénario référence'!$F$9+'Scénario référence'!$B$17+'Scénario référence'!$B$9+'Scénario référence'!$B$10)*70+IF((45+25*(1-EXP(-0.0175*$A49)))&lt;70,'Scénario référence'!$B$16*(45+25*(1-EXP(-0.0175*$A49))),70*'Scénario référence'!$B$16)+IF((32+38*(1-EXP(-0.0175*$A49)))&lt;70,'Scénario référence'!$B$18*(32+38*(1-EXP(-0.0175*$A49))),70*'Scénario référence'!$B$18)</f>
        <v>70</v>
      </c>
      <c r="LM49" s="12">
        <f>IF($A49&gt;30,10,('Scénario référence'!$B$16+'Scénario référence'!$B$17+'Scénario référence'!$B$18+'Scénario référence'!$B$9+'Scénario référence'!$B$10)*$A49*10/30+('Scénario référence'!$F$8+'Scénario référence'!$F$9)*10)</f>
        <v>10</v>
      </c>
      <c r="LN49" s="12" t="e">
        <f>VLOOKUP($A49,'Données projet'!$A$434:$I$454,2,0)</f>
        <v>#N/A</v>
      </c>
      <c r="LO49" s="12" t="e">
        <f>VLOOKUP($A49,'Données projet'!$A$434:$I$454,9,0)</f>
        <v>#N/A</v>
      </c>
      <c r="LP49" s="12">
        <f t="array" ref="LP49">INDEX(LO:LO,MIN(IF(ISNUMBER(LO49:LO245),ROW(LO49:LO245),"")))</f>
        <v>6.826007326007324</v>
      </c>
      <c r="LQ49" s="12">
        <f>IF('Données projet'!$A$434&gt;35,LQ48+LP49-LY48,IF($A49&lt;'Données projet'!$A$434,$CQ$205^$A49,IF($A49='Données projet'!$A$434,'Données projet'!$B$434,LQ48+LP49-LY48)))</f>
        <v>111.65842490842485</v>
      </c>
      <c r="LR49" s="17">
        <f>LQ49*VLOOKUP('Données projet'!$B$24,Paramètres!$A$1:$I$89,3,0)*VLOOKUP('Données projet'!$B$24,Paramètres!$A$1:$I$89,5,0)</f>
        <v>113.2216428571428</v>
      </c>
      <c r="LS49" s="13">
        <f t="shared" si="102"/>
        <v>30.088748821593761</v>
      </c>
      <c r="LT49" s="14">
        <f t="shared" si="46"/>
        <v>249.59893217379951</v>
      </c>
      <c r="LU49" s="59">
        <f t="shared" si="103"/>
        <v>542.9322655071328</v>
      </c>
      <c r="LV49" s="59">
        <f ca="1">AVERAGE(OFFSET($LU$3,0,0,'Données projet'!$E$24+1,1))-AVERAGE(OFFSET($H$3,0,0,'Données projet'!$E$24+1,1))</f>
        <v>260.52627655062872</v>
      </c>
      <c r="LW49" s="59">
        <f t="shared" si="104"/>
        <v>159.20429420478047</v>
      </c>
      <c r="LX49" s="15">
        <f>IF(ISNA(VLOOKUP($A49,'Données projet'!$A$434:$I$454,3,0)),0,VLOOKUP($A49,'Données projet'!$A$434:$I$454,3,0))</f>
        <v>0</v>
      </c>
      <c r="LY49" s="15">
        <f>IF(ISNA(VLOOKUP($A49,'Données projet'!$A$434:$I$454,4,0)),0,VLOOKUP($A49,'Données projet'!$A$434:$I$454,4,0))</f>
        <v>0</v>
      </c>
      <c r="LZ49" s="16">
        <f>IF(ISNA(VLOOKUP($A49,'Données projet'!$A$434:$I$454,5,0)),0%,VLOOKUP($A49,'Données projet'!$A$434:$I$454,5,0)*VLOOKUP('Données projet'!$B$24,Paramètres!$A$1:$I$89,7,0))</f>
        <v>0</v>
      </c>
      <c r="MA49" s="16">
        <f>IF(ISNA(VLOOKUP($A49,'Données projet'!$A$434:$I$454,6,0)),0%,VLOOKUP($A49,'Données projet'!$A$434:$I$454,6,0)*VLOOKUP('Données projet'!$B$24,Paramètres!$A$1:$I$89,7,0))</f>
        <v>0</v>
      </c>
      <c r="MB49" s="16">
        <f>IF(ISNA(VLOOKUP($A49,'Données projet'!$A$434:$I$454,7,0)),0%,VLOOKUP($A49,'Données projet'!$A$434:$I$454,7,0))</f>
        <v>0</v>
      </c>
      <c r="MC49" s="21">
        <f>EXP(-LN(2)/35)*MC48+(1-EXP(-LN(2)/35))/(LN(2)/35)*LY49*LZ49*VLOOKUP('Données projet'!$B$24,Paramètres!$A$1:$I$89,3,0)*0.475*44/12</f>
        <v>0</v>
      </c>
      <c r="MD49" s="21">
        <f>EXP(-LN(2)/25)*MD48+(1-EXP(-LN(2)/25))/(LN(2)/25)*Calculateur!LY49*Calculateur!MA49*VLOOKUP('Données projet'!$B$24,Paramètres!$A$1:$I$89,3,0)*0.475*44/12</f>
        <v>0</v>
      </c>
      <c r="ME49" s="21">
        <f>EXP(-LN(2)/2)*ME48+(1-EXP(-LN(2)/2))/(LN(2)/2)*LY49*MB49*VLOOKUP('Données projet'!$B$24,Paramètres!$A$1:$I$89,3,0)*0.475*44/12</f>
        <v>0</v>
      </c>
      <c r="MF49" s="22">
        <f t="shared" si="105"/>
        <v>0</v>
      </c>
      <c r="MG49" s="74">
        <f>('Scénario référence'!$F$8+'Scénario référence'!$F$9+'Scénario référence'!$B$17+'Scénario référence'!$B$9+'Scénario référence'!$B$10)*70+IF((45+25*(1-EXP(-0.0175*$A49)))&lt;70,'Scénario référence'!$B$16*(45+25*(1-EXP(-0.0175*$A49))),70*'Scénario référence'!$B$16)+IF((32+38*(1-EXP(-0.0175*$A49)))&lt;70,'Scénario référence'!$B$18*(32+38*(1-EXP(-0.0175*$A49))),70*'Scénario référence'!$B$18)</f>
        <v>70</v>
      </c>
      <c r="MH49" s="12">
        <f>IF($A49&gt;30,10,('Scénario référence'!$B$16+'Scénario référence'!$B$17+'Scénario référence'!$B$18+'Scénario référence'!$B$9+'Scénario référence'!$B$10)*$A49*10/30+('Scénario référence'!$F$8+'Scénario référence'!$F$9)*10)</f>
        <v>10</v>
      </c>
      <c r="MI49" s="12" t="e">
        <f>VLOOKUP($A49,'Données projet'!$A$460:$I$480,2,0)</f>
        <v>#N/A</v>
      </c>
      <c r="MJ49" s="12" t="e">
        <f>VLOOKUP($A49,'Données projet'!$A$460:$I$480,9,0)</f>
        <v>#N/A</v>
      </c>
      <c r="MK49" s="12">
        <f t="array" ref="MK49">INDEX(MJ:MJ,MIN(IF(ISNUMBER(MJ49:MJ245),ROW(MJ49:MJ245),"")))</f>
        <v>0</v>
      </c>
      <c r="ML49" s="12">
        <f>IF('Données projet'!$A$460&gt;35,ML48+MK49-MT48,IF($A49&lt;'Données projet'!$A$460,$CQ$205^$A49,IF($A49='Données projet'!$A$460,'Données projet'!$B$460,ML48+MK49-MT48)))</f>
        <v>0</v>
      </c>
      <c r="MM49" s="17" t="e">
        <f>ML49*VLOOKUP('Données projet'!$B$25,Paramètres!$A$1:$I$89,3,0)*VLOOKUP('Données projet'!$B$25,Paramètres!$A$1:$I$89,5,0)</f>
        <v>#N/A</v>
      </c>
      <c r="MN49" s="13" t="e">
        <f t="shared" si="106"/>
        <v>#N/A</v>
      </c>
      <c r="MO49" s="14" t="e">
        <f t="shared" si="49"/>
        <v>#N/A</v>
      </c>
      <c r="MP49" s="59" t="e">
        <f t="shared" si="50"/>
        <v>#N/A</v>
      </c>
      <c r="MQ49" s="20" t="e">
        <f ca="1">AVERAGE(OFFSET($MP$3,0,0,'Données projet'!$E$25+1,1))-AVERAGE(OFFSET($H$3,0,0,'Données projet'!$E$25+1,1))</f>
        <v>#N/A</v>
      </c>
      <c r="MR49" s="59" t="e">
        <f t="shared" si="107"/>
        <v>#N/A</v>
      </c>
      <c r="MS49" s="15">
        <f>IF(ISNA(VLOOKUP($A49,'Données projet'!$A$460:$I$480,3,0)),0,VLOOKUP($A49,'Données projet'!$A$460:$I$480,3,0))</f>
        <v>0</v>
      </c>
      <c r="MT49" s="15">
        <f>IF(ISNA(VLOOKUP($A49,'Données projet'!$A$460:$I$480,4,0)),0,VLOOKUP($A49,'Données projet'!$A$460:$I$480,4,0))</f>
        <v>0</v>
      </c>
      <c r="MU49" s="16">
        <f>IF(ISNA(VLOOKUP($A49,'Données projet'!$A$460:$I$480,5,0)),0%,VLOOKUP($A49,'Données projet'!$A$460:$I$480,5,0)*VLOOKUP('Données projet'!$B$25,Paramètres!$A$1:$I$89,7,0))</f>
        <v>0</v>
      </c>
      <c r="MV49" s="16">
        <f>IF(ISNA(VLOOKUP($A49,'Données projet'!$A$460:$I$480,6,0)),0%,VLOOKUP($A49,'Données projet'!$A$460:$I$480,6,0)*VLOOKUP('Données projet'!$B$25,Paramètres!$A$1:$I$89,7,0))</f>
        <v>0</v>
      </c>
      <c r="MW49" s="16">
        <f>IF(ISNA(VLOOKUP($A49,'Données projet'!$A$460:$I$480,7,0)),0%,VLOOKUP($A49,'Données projet'!$A$460:$I$480,7,0))</f>
        <v>0</v>
      </c>
      <c r="MX49" s="21" t="e">
        <f>EXP(-LN(2)/35)*MX48+(1-EXP(-LN(2)/35))/(LN(2)/35)*MT49*MU49*VLOOKUP('Données projet'!$B$25,Paramètres!$A$1:$I$89,3,0)*0.475*44/12</f>
        <v>#N/A</v>
      </c>
      <c r="MY49" s="21" t="e">
        <f>EXP(-LN(2)/25)*MY48+(1-EXP(-LN(2)/25))/(LN(2)/25)*Calculateur!MT49*Calculateur!MV49*VLOOKUP('Données projet'!$B$25,Paramètres!$A$1:$I$89,3,0)*0.475*44/12</f>
        <v>#N/A</v>
      </c>
      <c r="MZ49" s="21" t="e">
        <f>EXP(-LN(2)/2)*MZ48+(1-EXP(-LN(2)/2))/(LN(2)/2)*MT49*MW49*VLOOKUP('Données projet'!$B$25,Paramètres!$A$1:$I$89,3,0)*0.475*44/12</f>
        <v>#N/A</v>
      </c>
      <c r="NA49" s="22" t="e">
        <f t="shared" si="108"/>
        <v>#N/A</v>
      </c>
      <c r="NB49" s="74">
        <f>('Scénario référence'!$F$8+'Scénario référence'!$F$9+'Scénario référence'!$B$17+'Scénario référence'!$B$9+'Scénario référence'!$B$10)*70+IF((45+25*(1-EXP(-0.0175*$A49)))&lt;70,'Scénario référence'!$B$16*(45+25*(1-EXP(-0.0175*$A49))),70*'Scénario référence'!$B$16)+IF((32+38*(1-EXP(-0.0175*$A49)))&lt;70,'Scénario référence'!$B$18*(32+38*(1-EXP(-0.0175*$A49))),70*'Scénario référence'!$B$18)</f>
        <v>70</v>
      </c>
      <c r="NC49" s="12">
        <f>IF($A49&gt;30,10,('Scénario référence'!$B$16+'Scénario référence'!$B$17+'Scénario référence'!$B$18+'Scénario référence'!$B$9+'Scénario référence'!$B$10)*$A49*10/30+('Scénario référence'!$F$8+'Scénario référence'!$F$9)*10)</f>
        <v>10</v>
      </c>
      <c r="ND49" s="12" t="e">
        <f>VLOOKUP($A49,'Données projet'!$A$486:$I$506,2,0)</f>
        <v>#N/A</v>
      </c>
      <c r="NE49" s="12" t="e">
        <f>VLOOKUP($A49,'Données projet'!$A$486:$I$506,9,0)</f>
        <v>#N/A</v>
      </c>
      <c r="NF49" s="12">
        <f t="array" ref="NF49">INDEX(NE:NE,MIN(IF(ISNUMBER(NE49:NE245),ROW(NE49:NE245),"")))</f>
        <v>0</v>
      </c>
      <c r="NG49" s="12">
        <f>IF('Données projet'!$A$486&gt;35,NG48+NF49-NO48,IF($A49&lt;'Données projet'!$A$486,$CQ$205^$A49,IF($A49='Données projet'!$A$486,'Données projet'!$B$486,NG48+NF49-NO48)))</f>
        <v>0</v>
      </c>
      <c r="NH49" s="17" t="e">
        <f>NG49*VLOOKUP('Données projet'!$B$26,Paramètres!$A$1:$I$89,3,0)*VLOOKUP('Données projet'!$B$26,Paramètres!$A$1:$I$89,5,0)</f>
        <v>#N/A</v>
      </c>
      <c r="NI49" s="13" t="e">
        <f t="shared" si="109"/>
        <v>#N/A</v>
      </c>
      <c r="NJ49" s="14" t="e">
        <f t="shared" si="52"/>
        <v>#N/A</v>
      </c>
      <c r="NK49" s="59" t="e">
        <f t="shared" si="53"/>
        <v>#N/A</v>
      </c>
      <c r="NL49" s="20" t="e">
        <f ca="1">AVERAGE(OFFSET($NK$3,0,0,'Données projet'!$E$26+1,1))-AVERAGE(OFFSET($H$3,0,0,'Données projet'!$E$26+1,1))</f>
        <v>#N/A</v>
      </c>
      <c r="NM49" s="59" t="e">
        <f t="shared" si="110"/>
        <v>#N/A</v>
      </c>
      <c r="NN49" s="15">
        <f>IF(ISNA(VLOOKUP($A49,'Données projet'!$A$486:$I$506,3,0)),0,VLOOKUP($A49,'Données projet'!$A$486:$I$506,3,0))</f>
        <v>0</v>
      </c>
      <c r="NO49" s="15">
        <f>IF(ISNA(VLOOKUP($A49,'Données projet'!$A$486:$I$506,4,0)),0,VLOOKUP($A49,'Données projet'!$A$486:$I$506,4,0))</f>
        <v>0</v>
      </c>
      <c r="NP49" s="16">
        <f>IF(ISNA(VLOOKUP($A49,'Données projet'!$A$486:$I$506,5,0)),0%,VLOOKUP($A49,'Données projet'!$A$486:$I$506,5,0)*VLOOKUP('Données projet'!$B$26,Paramètres!$A$1:$I$89,7,0))</f>
        <v>0</v>
      </c>
      <c r="NQ49" s="16">
        <f>IF(ISNA(VLOOKUP($A49,'Données projet'!$A$486:$I$506,6,0)),0%,VLOOKUP($A49,'Données projet'!$A$486:$I$506,6,0)*VLOOKUP('Données projet'!$B$26,Paramètres!$A$1:$I$89,7,0))</f>
        <v>0</v>
      </c>
      <c r="NR49" s="16">
        <f>IF(ISNA(VLOOKUP($A49,'Données projet'!$A$486:$I$506,7,0)),0%,VLOOKUP($A49,'Données projet'!$A$486:$I$506,7,0))</f>
        <v>0</v>
      </c>
      <c r="NS49" s="21" t="e">
        <f>EXP(-LN(2)/35)*NS48+(1-EXP(-LN(2)/35))/(LN(2)/35)*NO49*NP49*VLOOKUP('Données projet'!$B$26,Paramètres!$A$1:$I$89,3,0)*0.475*44/12</f>
        <v>#N/A</v>
      </c>
      <c r="NT49" s="21" t="e">
        <f>EXP(-LN(2)/25)*NT48+(1-EXP(-LN(2)/25))/(LN(2)/25)*Calculateur!NO49*Calculateur!NQ49*VLOOKUP('Données projet'!$B$26,Paramètres!$A$1:$I$89,3,0)*0.475*44/12</f>
        <v>#N/A</v>
      </c>
      <c r="NU49" s="21" t="e">
        <f>EXP(-LN(2)/2)*NU48+(1-EXP(-LN(2)/2))/(LN(2)/2)*NO49*NR49*VLOOKUP('Données projet'!$B$26,Paramètres!$A$1:$I$89,3,0)*0.475*44/12</f>
        <v>#N/A</v>
      </c>
      <c r="NV49" s="22" t="e">
        <f t="shared" si="111"/>
        <v>#N/A</v>
      </c>
      <c r="NW49" s="74">
        <f>('Scénario référence'!$F$8+'Scénario référence'!$F$9+'Scénario référence'!$B$17+'Scénario référence'!$B$9+'Scénario référence'!$B$10)*70+IF((45+25*(1-EXP(-0.0175*$A49)))&lt;70,'Scénario référence'!$B$16*(45+25*(1-EXP(-0.0175*$A49))),70*'Scénario référence'!$B$16)+IF((32+38*(1-EXP(-0.0175*$A49)))&lt;70,'Scénario référence'!$B$18*(32+38*(1-EXP(-0.0175*$A49))),70*'Scénario référence'!$B$18)</f>
        <v>70</v>
      </c>
      <c r="NX49" s="12">
        <f>IF($A49&gt;30,10,('Scénario référence'!$B$16+'Scénario référence'!$B$17+'Scénario référence'!$B$18+'Scénario référence'!$B$9+'Scénario référence'!$B$10)*$A49*10/30+('Scénario référence'!$F$8+'Scénario référence'!$F$9)*10)</f>
        <v>10</v>
      </c>
      <c r="NY49" s="12" t="e">
        <f>VLOOKUP($A49,'Données projet'!$A$512:$I$532,2,0)</f>
        <v>#N/A</v>
      </c>
      <c r="NZ49" s="12" t="e">
        <f>VLOOKUP($A49,'Données projet'!$A$512:$I$532,9,0)</f>
        <v>#N/A</v>
      </c>
      <c r="OA49" s="12">
        <f t="array" ref="OA49">INDEX(NZ:NZ,MIN(IF(ISNUMBER(NZ49:NZ245),ROW(NZ49:NZ245),"")))</f>
        <v>0</v>
      </c>
      <c r="OB49" s="12">
        <f>IF('Données projet'!$A$512&gt;35,OB48+OA49-OJ48,IF($A49&lt;'Données projet'!$A$512,$CQ$205^$A49,IF($A49='Données projet'!$A$512,'Données projet'!$B$512,OB48+OA49-OJ48)))</f>
        <v>0</v>
      </c>
      <c r="OC49" s="17" t="e">
        <f>OB49*VLOOKUP('Données projet'!$B$27,Paramètres!$A$1:$I$89,3,0)*VLOOKUP('Données projet'!$B$27,Paramètres!$A$1:$I$89,5,0)</f>
        <v>#N/A</v>
      </c>
      <c r="OD49" s="13" t="e">
        <f t="shared" si="112"/>
        <v>#N/A</v>
      </c>
      <c r="OE49" s="14" t="e">
        <f t="shared" si="55"/>
        <v>#N/A</v>
      </c>
      <c r="OF49" s="59" t="e">
        <f t="shared" si="56"/>
        <v>#N/A</v>
      </c>
      <c r="OG49" s="20" t="e">
        <f ca="1">AVERAGE(OFFSET($OF$3,0,0,'Données projet'!$E$27+1,1))-AVERAGE(OFFSET($H$3,0,0,'Données projet'!$E$27+1,1))</f>
        <v>#N/A</v>
      </c>
      <c r="OH49" s="59" t="e">
        <f t="shared" si="113"/>
        <v>#N/A</v>
      </c>
      <c r="OI49" s="15">
        <f>IF(ISNA(VLOOKUP($A49,'Données projet'!$A$512:$I$532,3,0)),0,VLOOKUP($A49,'Données projet'!$A$512:$I$532,3,0))</f>
        <v>0</v>
      </c>
      <c r="OJ49" s="15">
        <f>IF(ISNA(VLOOKUP($A49,'Données projet'!$A$512:$I$532,4,0)),0,VLOOKUP($A49,'Données projet'!$A$512:$I$532,4,0))</f>
        <v>0</v>
      </c>
      <c r="OK49" s="16">
        <f>IF(ISNA(VLOOKUP($A49,'Données projet'!$A$512:$I$532,5,0)),0%,VLOOKUP($A49,'Données projet'!$A$512:$I$532,5,0)*VLOOKUP('Données projet'!$B$27,Paramètres!$A$1:$I$89,7,0))</f>
        <v>0</v>
      </c>
      <c r="OL49" s="16">
        <f>IF(ISNA(VLOOKUP($A49,'Données projet'!$A$512:$I$532,6,0)),0%,VLOOKUP($A49,'Données projet'!$A$512:$I$532,6,0)*VLOOKUP('Données projet'!$B$27,Paramètres!$A$1:$I$89,7,0))</f>
        <v>0</v>
      </c>
      <c r="OM49" s="16">
        <f>IF(ISNA(VLOOKUP($A49,'Données projet'!$A$512:$I$532,7,0)),0%,VLOOKUP($A49,'Données projet'!$A$512:$I$532,7,0))</f>
        <v>0</v>
      </c>
      <c r="ON49" s="21" t="e">
        <f>EXP(-LN(2)/35)*ON48+(1-EXP(-LN(2)/35))/(LN(2)/35)*OJ49*OK49*VLOOKUP('Données projet'!$B$27,Paramètres!$A$1:$I$89,3,0)*0.475*44/12</f>
        <v>#N/A</v>
      </c>
      <c r="OO49" s="21" t="e">
        <f>EXP(-LN(2)/25)*OO48+(1-EXP(-LN(2)/25))/(LN(2)/25)*Calculateur!OJ49*Calculateur!OL49*VLOOKUP('Données projet'!$B$27,Paramètres!$A$1:$I$89,3,0)*0.475*44/12</f>
        <v>#N/A</v>
      </c>
      <c r="OP49" s="21" t="e">
        <f>EXP(-LN(2)/2)*OP48+(1-EXP(-LN(2)/2))/(LN(2)/2)*OJ49*OM49*VLOOKUP('Données projet'!$B$27,Paramètres!$A$1:$I$89,3,0)*0.475*44/12</f>
        <v>#N/A</v>
      </c>
      <c r="OQ49" s="22" t="e">
        <f t="shared" si="114"/>
        <v>#N/A</v>
      </c>
      <c r="OR49" s="74">
        <f>('Scénario référence'!$F$8+'Scénario référence'!$F$9+'Scénario référence'!$B$17+'Scénario référence'!$B$9+'Scénario référence'!$B$10)*70+IF((45+25*(1-EXP(-0.0175*$A49)))&lt;70,'Scénario référence'!$B$16*(45+25*(1-EXP(-0.0175*$A49))),70*'Scénario référence'!$B$16)+IF((32+38*(1-EXP(-0.0175*$A49)))&lt;70,'Scénario référence'!$B$18*(32+38*(1-EXP(-0.0175*$A49))),70*'Scénario référence'!$B$18)</f>
        <v>70</v>
      </c>
      <c r="OS49" s="12">
        <f>IF($A49&gt;30,10,('Scénario référence'!$B$16+'Scénario référence'!$B$17+'Scénario référence'!$B$18+'Scénario référence'!$B$9+'Scénario référence'!$B$10)*$A49*10/30+('Scénario référence'!$F$8+'Scénario référence'!$F$9)*10)</f>
        <v>10</v>
      </c>
      <c r="OT49" s="12" t="e">
        <f>VLOOKUP($A49,'Données projet'!$A$538:$I$558,2,0)</f>
        <v>#N/A</v>
      </c>
      <c r="OU49" s="12" t="e">
        <f>VLOOKUP($A49,'Données projet'!$A$538:$I$558,9,0)</f>
        <v>#N/A</v>
      </c>
      <c r="OV49" s="12">
        <f t="array" ref="OV49">INDEX(OU:OU,MIN(IF(ISNUMBER(OU49:OU245),ROW(OU49:OU245),"")))</f>
        <v>0</v>
      </c>
      <c r="OW49" s="12">
        <f>IF('Données projet'!$A$538&gt;35,OW48+OV49-PE48,IF($A49&lt;'Données projet'!$A$538,$CQ$205^$A49,IF($A49='Données projet'!$A$538,'Données projet'!$B$538,OW48+OV49-PE48)))</f>
        <v>0</v>
      </c>
      <c r="OX49" s="17" t="e">
        <f>OW49*VLOOKUP('Données projet'!$B$28,Paramètres!$A$1:$I$89,3,0)*VLOOKUP('Données projet'!$B$28,Paramètres!$A$1:$I$89,5,0)</f>
        <v>#N/A</v>
      </c>
      <c r="OY49" s="13" t="e">
        <f t="shared" si="115"/>
        <v>#N/A</v>
      </c>
      <c r="OZ49" s="14" t="e">
        <f t="shared" si="58"/>
        <v>#N/A</v>
      </c>
      <c r="PA49" s="59" t="e">
        <f t="shared" si="59"/>
        <v>#N/A</v>
      </c>
      <c r="PB49" s="20" t="e">
        <f ca="1">AVERAGE(OFFSET($PA$3,0,0,'Données projet'!$E$28+1,1))-AVERAGE(OFFSET($H$3,0,0,'Données projet'!$E$28+1,1))</f>
        <v>#N/A</v>
      </c>
      <c r="PC49" s="59" t="e">
        <f t="shared" si="116"/>
        <v>#N/A</v>
      </c>
      <c r="PD49" s="15">
        <f>IF(ISNA(VLOOKUP($A49,'Données projet'!$A$538:$I$558,3,0)),0,VLOOKUP($A49,'Données projet'!$A$538:$I$558,3,0))</f>
        <v>0</v>
      </c>
      <c r="PE49" s="15">
        <f>IF(ISNA(VLOOKUP($A49,'Données projet'!$A$538:$I$558,4,0)),0,VLOOKUP($A49,'Données projet'!$A$538:$I$558,4,0))</f>
        <v>0</v>
      </c>
      <c r="PF49" s="16">
        <f>IF(ISNA(VLOOKUP($A49,'Données projet'!$A$538:$I$558,5,0)),0%,VLOOKUP($A49,'Données projet'!$A$538:$I$558,5,0)*VLOOKUP('Données projet'!$B$28,Paramètres!$A$1:$I$89,7,0))</f>
        <v>0</v>
      </c>
      <c r="PG49" s="16">
        <f>IF(ISNA(VLOOKUP($A49,'Données projet'!$A$538:$I$558,6,0)),0%,VLOOKUP($A49,'Données projet'!$A$538:$I$558,6,0)*VLOOKUP('Données projet'!$B$28,Paramètres!$A$1:$I$89,7,0))</f>
        <v>0</v>
      </c>
      <c r="PH49" s="16">
        <f>IF(ISNA(VLOOKUP($A49,'Données projet'!$A$538:$I$558,7,0)),0%,VLOOKUP($A49,'Données projet'!$A$538:$I$558,7,0))</f>
        <v>0</v>
      </c>
      <c r="PI49" s="21" t="e">
        <f>EXP(-LN(2)/35)*PI48+(1-EXP(-LN(2)/35))/(LN(2)/35)*PE49*PF49*VLOOKUP('Données projet'!$B$28,Paramètres!$A$1:$I$89,3,0)*0.475*44/12</f>
        <v>#N/A</v>
      </c>
      <c r="PJ49" s="21" t="e">
        <f>EXP(-LN(2)/25)*PJ48+(1-EXP(-LN(2)/25))/(LN(2)/25)*Calculateur!PE49*Calculateur!PG49*VLOOKUP('Données projet'!$B$28,Paramètres!$A$1:$I$89,3,0)*0.475*44/12</f>
        <v>#N/A</v>
      </c>
      <c r="PK49" s="21" t="e">
        <f>EXP(-LN(2)/2)*PK48+(1-EXP(-LN(2)/2))/(LN(2)/2)*PE49*PH49*VLOOKUP('Données projet'!$B$28,Paramètres!$A$1:$I$89,3,0)*0.475*44/12</f>
        <v>#N/A</v>
      </c>
      <c r="PL49" s="22" t="e">
        <f t="shared" si="117"/>
        <v>#N/A</v>
      </c>
    </row>
    <row r="50" spans="1:428" x14ac:dyDescent="0.35">
      <c r="A50" s="10">
        <f t="shared" si="6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6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projet'!$A$45:$I$65,2,0)</f>
        <v>#N/A</v>
      </c>
      <c r="L50" s="12" t="e">
        <f>VLOOKUP(A50,'Données projet'!$A$45:$I$65,9,0)</f>
        <v>#N/A</v>
      </c>
      <c r="M50" s="12">
        <f t="array" ref="M50">INDEX(L:L,MIN(IF(ISNUMBER(L50:L246),ROW(L50:L246),"")))</f>
        <v>21.625641025641034</v>
      </c>
      <c r="N50" s="13">
        <f>IF('Données projet'!$A$46&gt;35,N49+M50-V49,IF(A50&lt;'Données projet'!$A$46,$K$205^A50,IF(A50='Données projet'!$A$46,'Données projet'!$B$46,N49+M50-V49)))</f>
        <v>503.45897435897427</v>
      </c>
      <c r="O50" s="13">
        <f>N50*VLOOKUP('Données projet'!$B$9,Paramètres!$A$1:$I$89,3,0)*VLOOKUP('Données projet'!$B$9,Paramètres!$A$1:$I$89,5,0)</f>
        <v>281.43356666666659</v>
      </c>
      <c r="P50" s="13">
        <f t="shared" si="63"/>
        <v>67.26987262617007</v>
      </c>
      <c r="Q50" s="20">
        <f t="shared" si="118"/>
        <v>607.32515676835726</v>
      </c>
      <c r="R50" s="59">
        <f t="shared" si="0"/>
        <v>900.65849010169063</v>
      </c>
      <c r="S50" s="59">
        <f ca="1">AVERAGE(OFFSET($R$3,0,0,'Données projet'!$E$9+1,1))-AVERAGE(OFFSET($H$3,0,0,'Données projet'!$E$9+1,1))</f>
        <v>274.57619581652199</v>
      </c>
      <c r="T50" s="59">
        <f t="shared" si="64"/>
        <v>366.15117322598775</v>
      </c>
      <c r="U50" s="15">
        <f>IF(ISNA(VLOOKUP(A50,'Données projet'!$A$45:$I$65,3,0)),0,VLOOKUP(A50,'Données projet'!$A$45:$I$65,3,0))</f>
        <v>0</v>
      </c>
      <c r="V50" s="15">
        <f>IF(ISNA(VLOOKUP(A50,'Données projet'!$A$45:$I$65,4,0)),0,VLOOKUP(A50,'Données projet'!$A$45:$I$65,4,0))</f>
        <v>0</v>
      </c>
      <c r="W50" s="16">
        <f>IF(ISNA(VLOOKUP(A50,'Données projet'!$A$45:$I$65,5,0)),0%,VLOOKUP(A50,'Données projet'!$A$45:$I$65,5,0)*VLOOKUP('Données projet'!$B$9,Paramètres!$A$1:$I$89,7,0))</f>
        <v>0</v>
      </c>
      <c r="X50" s="16">
        <f>IF(ISNA(VLOOKUP(A50,'Données projet'!$A$45:$I$65,6,0)),0%,VLOOKUP(A50,'Données projet'!$A$45:$I$65,6,0)*VLOOKUP('Données projet'!$B$9,Paramètres!$A$1:$I$89,7,0))</f>
        <v>0</v>
      </c>
      <c r="Y50" s="16">
        <f>IF(ISNA(VLOOKUP(A50,'Données projet'!$A$45:$I$65,7,0)),0%,VLOOKUP(A50,'Données projet'!$A$45:$I$65,7,0))</f>
        <v>0</v>
      </c>
      <c r="Z50" s="21">
        <f>EXP(-LN(2)/35)*Z49+(1-EXP(-LN(2)/35))/(LN(2)/35)*V50*W50*VLOOKUP('Données projet'!$B$9,Paramètres!$A$1:$I$89,3,0)*0.475*44/12</f>
        <v>56.002420197756614</v>
      </c>
      <c r="AA50" s="21">
        <f>EXP(-LN(2)/25)*AA49+(1-EXP(-LN(2)/25))/(LN(2)/25)*Calculateur!V50*Calculateur!X50*VLOOKUP('Données projet'!$B$9,Paramètres!$A$1:$I$89,3,0)*0.475*44/12</f>
        <v>19.236981431106997</v>
      </c>
      <c r="AB50" s="21">
        <f>EXP(-LN(2)/2)*AB49+(1-EXP(-LN(2)/2))/(LN(2)/2)*V50*Y50*VLOOKUP('Données projet'!$B$9,Paramètres!$A$1:$I$89,3,0)*0.475*44/12</f>
        <v>1.2290714046244984</v>
      </c>
      <c r="AC50" s="22">
        <f t="shared" si="3"/>
        <v>76.46847303348811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projet'!$A$71:$I$91,2,0)</f>
        <v>#N/A</v>
      </c>
      <c r="AG50" s="12" t="e">
        <f>VLOOKUP(A50,'Données projet'!$A$71:$I$91,9,0)</f>
        <v>#N/A</v>
      </c>
      <c r="AH50" s="12">
        <f t="array" ref="AH50">INDEX(AG:AG,MIN(IF(ISNUMBER(AG50:AG246),ROW(AG50:AG246),"")))</f>
        <v>9.3452380952380913</v>
      </c>
      <c r="AI50" s="13">
        <f>IF('Données projet'!$A$72&gt;35,AI49+AH50-AQ49,IF(A50&lt;'Données projet'!$A$72,$AF$205^A50,IF(A50='Données projet'!$A$72,'Données projet'!$B$72,AI49+AH50-AQ49)))</f>
        <v>175.0073260073261</v>
      </c>
      <c r="AJ50" s="13">
        <f>AI50*VLOOKUP('Données projet'!$B$10,Paramètres!$A$1:$I$89,3,0)*VLOOKUP('Données projet'!$B$10,Paramètres!$A$1:$I$89,5,0)</f>
        <v>158.34662857142865</v>
      </c>
      <c r="AK50" s="13">
        <f t="shared" si="65"/>
        <v>40.469367717876509</v>
      </c>
      <c r="AL50" s="20">
        <f t="shared" si="4"/>
        <v>346.2711935372065</v>
      </c>
      <c r="AM50" s="59">
        <f t="shared" si="5"/>
        <v>639.60452687053976</v>
      </c>
      <c r="AN50" s="59">
        <f ca="1">AVERAGE(OFFSET($AM$3,0,0,'Données projet'!$E$10+1,1))-AVERAGE(OFFSET($H$3,0,0,'Données projet'!$E$10+1,1))</f>
        <v>270.87836509222456</v>
      </c>
      <c r="AO50" s="59">
        <f t="shared" si="66"/>
        <v>205.24998237949734</v>
      </c>
      <c r="AP50" s="15">
        <f>IF(ISNA(VLOOKUP(A50,'Données projet'!$A$71:$I$91,3,0)),0,VLOOKUP(A50,'Données projet'!$A$71:$I$91,3,0))</f>
        <v>0</v>
      </c>
      <c r="AQ50" s="15">
        <f>IF(ISNA(VLOOKUP(A50,'Données projet'!$A$71:$I$91,4,0)),0,VLOOKUP(A50,'Données projet'!$A$71:$I$91,4,0))</f>
        <v>0</v>
      </c>
      <c r="AR50" s="16">
        <f>IF(ISNA(VLOOKUP(A50,'Données projet'!$A$71:$I$91,5,0)),0%,VLOOKUP(A50,'Données projet'!$A$71:$I$91,5,0)*VLOOKUP('Données projet'!$B$10,Paramètres!$A$1:$I$89,7,0))</f>
        <v>0</v>
      </c>
      <c r="AS50" s="16">
        <f>IF(ISNA(VLOOKUP(A50,'Données projet'!$A$71:$I$91,6,0)),0%,VLOOKUP(A50,'Données projet'!$A$71:$I$91,6,0)*VLOOKUP('Données projet'!$B$10,Paramètres!$A$1:$I$89,7,0))</f>
        <v>0</v>
      </c>
      <c r="AT50" s="16">
        <f>IF(ISNA(VLOOKUP(A50,'Données projet'!$A$71:$I$91,7,0)),0%,VLOOKUP(A50,'Données projet'!$A$71:$I$91,7,0))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projet'!$A$97:$I$117,2,0)</f>
        <v>#N/A</v>
      </c>
      <c r="BB50" s="12" t="e">
        <f>VLOOKUP(A50,'Données projet'!$A$97:$I$117,9,0)</f>
        <v>#N/A</v>
      </c>
      <c r="BC50" s="12">
        <f t="array" ref="BC50">INDEX(BB:BB,MIN(IF(ISNUMBER(BB50:BB246),ROW(BB50:BB246),"")))</f>
        <v>21.625641025641034</v>
      </c>
      <c r="BD50" s="12">
        <f>IF('Données projet'!$A$98&gt;35,BD49+BC50-BL49,IF(A50&lt;'Données projet'!$A$98,$BA$205^A50,IF(A50='Données projet'!$A$98,'Données projet'!$B$98,BD49+BC50-BL49)))</f>
        <v>503.45897435897427</v>
      </c>
      <c r="BE50" s="13">
        <f>BD50*VLOOKUP('Données projet'!$B$11,Paramètres!$A$1:$I$89,3,0)*VLOOKUP('Données projet'!$B$11,Paramètres!$A$1:$I$89,5,0)</f>
        <v>222.52886666666666</v>
      </c>
      <c r="BF50" s="13">
        <f t="shared" si="67"/>
        <v>54.664156252332397</v>
      </c>
      <c r="BG50" s="20">
        <f t="shared" si="7"/>
        <v>482.77784825059007</v>
      </c>
      <c r="BH50" s="59">
        <f t="shared" si="8"/>
        <v>776.11118158392333</v>
      </c>
      <c r="BI50" s="59">
        <f ca="1">AVERAGE(OFFSET($BH$3,0,0,'Données projet'!$E$11+1,1))-AVERAGE(OFFSET($H$3,0,0,'Données projet'!$E$11+1,1))</f>
        <v>211.31057120485542</v>
      </c>
      <c r="BJ50" s="59">
        <f t="shared" si="68"/>
        <v>283.33292006714777</v>
      </c>
      <c r="BK50" s="15">
        <f>IF(ISNA(VLOOKUP(A50,'Données projet'!$A$97:$I$117,3,0)),0,VLOOKUP(A50,'Données projet'!$A$97:$I$117,3,0))</f>
        <v>0</v>
      </c>
      <c r="BL50" s="15">
        <f>IF(ISNA(VLOOKUP(A50,'Données projet'!$A$97:$I$117,4,0)),0,VLOOKUP(A50,'Données projet'!$A$97:$I$117,4,0))</f>
        <v>0</v>
      </c>
      <c r="BM50" s="16">
        <f>IF(ISNA(VLOOKUP(A50,'Données projet'!$A$97:$I$117,5,0)),0%,VLOOKUP(A50,'Données projet'!$A$97:$I$117,5,0)*VLOOKUP('Données projet'!$B$11,Paramètres!$A$1:$I$89,7,0))</f>
        <v>0</v>
      </c>
      <c r="BN50" s="16">
        <f>IF(ISNA(VLOOKUP(A50,'Données projet'!$A$97:$I$117,6,0)),0%,VLOOKUP(A50,'Données projet'!$A$97:$I$117,6,0)*VLOOKUP('Données projet'!$B$11,Paramètres!$A$1:$I$89,7,0))</f>
        <v>0</v>
      </c>
      <c r="BO50" s="16">
        <f>IF(ISNA(VLOOKUP(A50,'Données projet'!$A$97:$I$117,7,0)),0%,VLOOKUP(A50,'Données projet'!$A$97:$I$117,7,0))</f>
        <v>0</v>
      </c>
      <c r="BP50" s="21">
        <f>EXP(-LN(2)/35)*BP49+(1-EXP(-LN(2)/35))/(LN(2)/35)*BL50*BM50*VLOOKUP('Données projet'!$B$11,Paramètres!$A$1:$I$89,3,0)*0.475*44/12</f>
        <v>44.280983412179651</v>
      </c>
      <c r="BQ50" s="21">
        <f>EXP(-LN(2)/25)*BQ49+(1-EXP(-LN(2)/25))/(LN(2)/25)*Calculateur!BL50*Calculateur!BN50*VLOOKUP('Données projet'!$B$11,Paramètres!$A$1:$I$89,3,0)*0.475*44/12</f>
        <v>15.210636480410184</v>
      </c>
      <c r="BR50" s="21">
        <f>EXP(-LN(2)/2)*BR49+(1-EXP(-LN(2)/2))/(LN(2)/2)*BL50*BO50*VLOOKUP('Données projet'!$B$11,Paramètres!$A$1:$I$89,3,0)*0.475*44/12</f>
        <v>0.97182390133099916</v>
      </c>
      <c r="BS50" s="22">
        <f t="shared" si="9"/>
        <v>60.463443793920838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projet'!$A$123:$I$143,2,0)</f>
        <v>#N/A</v>
      </c>
      <c r="BW50" s="12" t="e">
        <f>VLOOKUP(A50,'Données projet'!$A$123:$I$143,9,0)</f>
        <v>#N/A</v>
      </c>
      <c r="BX50" s="12">
        <f t="array" ref="BX50">INDEX(BW:BW,MIN(IF(ISNUMBER(BW50:BW246),ROW(BW50:BW246),"")))</f>
        <v>7.4</v>
      </c>
      <c r="BY50" s="12">
        <f>IF('Données projet'!$A$124&gt;35,BY49+BX50-CG49,IF(A50&lt;'Données projet'!$A$124,$BV$205^A50,IF(A50='Données projet'!$A$124,'Données projet'!$B$124,BY49+BX50-CG49)))</f>
        <v>186.80000000000004</v>
      </c>
      <c r="BZ50" s="13">
        <f>BY50*VLOOKUP('Données projet'!$B$12,Paramètres!$A$1:$I$89,3,0)*VLOOKUP('Données projet'!$B$12,Paramètres!$A$1:$I$89,5,0)</f>
        <v>195.24336000000005</v>
      </c>
      <c r="CA50" s="13">
        <f t="shared" si="69"/>
        <v>48.697342276114703</v>
      </c>
      <c r="CB50" s="20">
        <f t="shared" si="10"/>
        <v>424.86338979756653</v>
      </c>
      <c r="CC50" s="59">
        <f t="shared" si="11"/>
        <v>718.19672313089984</v>
      </c>
      <c r="CD50" s="59">
        <f ca="1">AVERAGE(OFFSET($CC$3,0,0,'Données projet'!$E$12+1,1))-AVERAGE(OFFSET($H$3,0,0,'Données projet'!$E$12+1,1))</f>
        <v>322.93502595881938</v>
      </c>
      <c r="CE50" s="59">
        <f t="shared" si="70"/>
        <v>302.67072119588164</v>
      </c>
      <c r="CF50" s="15">
        <f>IF(ISNA(VLOOKUP(A50,'Données projet'!$A$123:$I$143,3,0)),0,VLOOKUP(A50,'Données projet'!$A$123:$I$143,3,0))</f>
        <v>0</v>
      </c>
      <c r="CG50" s="15">
        <f>IF(ISNA(VLOOKUP(A50,'Données projet'!$A$123:$I$143,4,0)),0,VLOOKUP(A50,'Données projet'!$A$123:$I$143,4,0))</f>
        <v>0</v>
      </c>
      <c r="CH50" s="16">
        <f>IF(ISNA(VLOOKUP(A50,'Données projet'!$A$123:$I$143,5,0)),0%,VLOOKUP(A50,'Données projet'!$A$123:$I$143,5,0)*VLOOKUP('Données projet'!$B$12,Paramètres!$A$1:$I$89,7,0))</f>
        <v>0</v>
      </c>
      <c r="CI50" s="16">
        <f>IF(ISNA(VLOOKUP(A50,'Données projet'!$A$123:$I$143,6,0)),0%,VLOOKUP(A50,'Données projet'!$A$123:$I$143,6,0)*VLOOKUP('Données projet'!$B$12,Paramètres!$A$1:$I$89,7,0))</f>
        <v>0</v>
      </c>
      <c r="CJ50" s="16">
        <f>IF(ISNA(VLOOKUP(A50,'Données projet'!$A$123:$I$143,7,0)),0%,VLOOKUP(A50,'Données projet'!$A$123:$I$143,7,0))</f>
        <v>0</v>
      </c>
      <c r="CK50" s="21">
        <f>EXP(-LN(2)/35)*CK49+(1-EXP(-LN(2)/35))/(LN(2)/35)*CG50*CH50*VLOOKUP('Données projet'!$B$12,Paramètres!$A$1:$I$89,3,0)*0.475*44/12</f>
        <v>4.9664560007489689</v>
      </c>
      <c r="CL50" s="21">
        <f>EXP(-LN(2)/25)*CL49+(1-EXP(-LN(2)/25))/(LN(2)/25)*Calculateur!CG50*Calculateur!CI50*VLOOKUP('Données projet'!$B$12,Paramètres!$A$1:$I$89,3,0)*0.475*44/12</f>
        <v>15.161537874860556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20.127993875609526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projet'!$A$149:$I$169,2,0)</f>
        <v>#N/A</v>
      </c>
      <c r="CR50" s="12" t="e">
        <f>VLOOKUP(A50,'Données projet'!$A$149:$I$169,9,0)</f>
        <v>#N/A</v>
      </c>
      <c r="CS50" s="12">
        <f t="array" ref="CS50">INDEX(CR:CR,MIN(IF(ISNUMBER(CR50:CR246),ROW(CR50:CR246),"")))</f>
        <v>6.826007326007324</v>
      </c>
      <c r="CT50" s="12">
        <f>IF('Données projet'!$A$150&gt;35,CT49+CS50-DB49,IF(A50&lt;'Données projet'!$A$150,$CQ$205^A50,IF(A50='Données projet'!$A$150,'Données projet'!$B$150,CT49+CS50-DB49)))</f>
        <v>118.48443223443218</v>
      </c>
      <c r="CU50" s="17">
        <f>CT50*VLOOKUP('Données projet'!$B$13,Paramètres!$A$1:$I$89,3,0)*VLOOKUP('Données projet'!$B$13,Paramètres!$A$1:$I$89,5,0)</f>
        <v>120.14321428571424</v>
      </c>
      <c r="CV50" s="13">
        <f t="shared" si="71"/>
        <v>31.708399355356544</v>
      </c>
      <c r="CW50" s="20">
        <f t="shared" si="13"/>
        <v>264.47489375819822</v>
      </c>
      <c r="CX50" s="59">
        <f t="shared" si="14"/>
        <v>557.80822709153153</v>
      </c>
      <c r="CY50" s="59">
        <f ca="1">AVERAGE(OFFSET($CX$3,0,0,'Données projet'!$E$13+1,1))-AVERAGE(OFFSET($H$3,0,0,'Données projet'!$E$13+1,1))</f>
        <v>250.31277422753283</v>
      </c>
      <c r="CZ50" s="59">
        <f t="shared" si="72"/>
        <v>159.20429420478047</v>
      </c>
      <c r="DA50" s="15">
        <f>IF(ISNA(VLOOKUP(A50,'Données projet'!$A$149:$I$169,3,0)),0,VLOOKUP(A50,'Données projet'!$A$149:$I$169,3,0))</f>
        <v>0</v>
      </c>
      <c r="DB50" s="15">
        <f>IF(ISNA(VLOOKUP(A50,'Données projet'!$A$149:$I$169,4,0)),0,VLOOKUP(A50,'Données projet'!$A$149:$I$169,4,0))</f>
        <v>0</v>
      </c>
      <c r="DC50" s="16">
        <f>IF(ISNA(VLOOKUP(A50,'Données projet'!$A$149:$I$169,5,0)),0%,VLOOKUP(A50,'Données projet'!$A$149:$I$169,5,0)*VLOOKUP('Données projet'!$B$13,Paramètres!$A$1:$I$89,7,0))</f>
        <v>0</v>
      </c>
      <c r="DD50" s="16">
        <f>IF(ISNA(VLOOKUP(A50,'Données projet'!$A$149:$I$169,6,0)),0%,VLOOKUP(A50,'Données projet'!$A$149:$I$169,6,0)*VLOOKUP('Données projet'!$B$13,Paramètres!$A$1:$I$89,7,0))</f>
        <v>0</v>
      </c>
      <c r="DE50" s="16">
        <f>IF(ISNA(VLOOKUP(A50,'Données projet'!$A$149:$I$169,7,0)),0%,VLOOKUP(A50,'Données projet'!$A$149:$I$169,7,0))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0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projet'!$A$175:$I$195,2,0)</f>
        <v>#N/A</v>
      </c>
      <c r="DM50" s="12" t="e">
        <f>VLOOKUP(A50,'Données projet'!$A$175:$I$195,9,0)</f>
        <v>#N/A</v>
      </c>
      <c r="DN50" s="12">
        <f t="array" ref="DN50">INDEX(DM:DM,MIN(IF(ISNUMBER(DM50:DM246),ROW(DM50:DM246),"")))</f>
        <v>9.8000000000000007</v>
      </c>
      <c r="DO50" s="12">
        <f>IF('Données projet'!$A$176&gt;35,DO49+DN50-DW49,IF(A50&lt;'Données projet'!$A$176,$DL$205^A50,IF(A50='Données projet'!$A$176,'Données projet'!$B$176,DO49+DN50-DW49)))</f>
        <v>273.59999999999991</v>
      </c>
      <c r="DP50" s="17">
        <f>DO50*VLOOKUP('Données projet'!$B$14,Paramètres!$A$1:$I$89,3,0)*VLOOKUP('Données projet'!$B$14,Paramètres!$A$1:$I$89,5,0)</f>
        <v>200.60351999999995</v>
      </c>
      <c r="DQ50" s="13">
        <f t="shared" si="73"/>
        <v>49.87677988675906</v>
      </c>
      <c r="DR50" s="20">
        <f t="shared" si="16"/>
        <v>436.25318896943855</v>
      </c>
      <c r="DS50" s="59">
        <f t="shared" si="17"/>
        <v>729.58652230277187</v>
      </c>
      <c r="DT50" s="59">
        <f ca="1">AVERAGE(OFFSET($DS$3,0,0,'Données projet'!$E$14+1,1))-AVERAGE(OFFSET($H$3,0,0,'Données projet'!$E$14+1,1))</f>
        <v>296.91321813251051</v>
      </c>
      <c r="DU50" s="59">
        <f t="shared" si="74"/>
        <v>291.0718079639509</v>
      </c>
      <c r="DV50" s="15">
        <f>IF(ISNA(VLOOKUP(A50,'Données projet'!$A$175:$I$195,3,0)),0,VLOOKUP(A50,'Données projet'!$A$175:$I$195,3,0))</f>
        <v>0</v>
      </c>
      <c r="DW50" s="15">
        <f>IF(ISNA(VLOOKUP(A50,'Données projet'!$A$175:$I$195,4,0)),0,VLOOKUP(A50,'Données projet'!$A$175:$I$195,4,0))</f>
        <v>0</v>
      </c>
      <c r="DX50" s="16">
        <f>IF(ISNA(VLOOKUP(A50,'Données projet'!$A$175:$I$195,5,0)),0%,VLOOKUP(A50,'Données projet'!$A$175:$I$195,5,0)*VLOOKUP('Données projet'!$B$14,Paramètres!$A$1:$I$89,7,0))</f>
        <v>0</v>
      </c>
      <c r="DY50" s="16">
        <f>IF(ISNA(VLOOKUP(A50,'Données projet'!$A$175:$I$195,6,0)),0%,VLOOKUP(A50,'Données projet'!$A$175:$I$195,6,0)*VLOOKUP('Données projet'!$B$14,Paramètres!$A$1:$I$89,7,0))</f>
        <v>0</v>
      </c>
      <c r="DZ50" s="16">
        <f>IF(ISNA(VLOOKUP(A50,'Données projet'!$A$175:$I$195,7,0)),0%,VLOOKUP(A50,'Données projet'!$A$175:$I$195,7,0))</f>
        <v>0</v>
      </c>
      <c r="EA50" s="21">
        <f>EXP(-LN(2)/35)*EA49+(1-EXP(-LN(2)/35))/(LN(2)/35)*DW50*DX50*VLOOKUP('Données projet'!$B$14,Paramètres!$A$1:$I$89,3,0)*0.475*44/12</f>
        <v>33.631543453570067</v>
      </c>
      <c r="EB50" s="21">
        <f>EXP(-LN(2)/25)*EB49+(1-EXP(-LN(2)/25))/(LN(2)/25)*Calculateur!DW50*Calculateur!DY50*VLOOKUP('Données projet'!$B$14,Paramètres!$A$1:$I$89,3,0)*0.475*44/12</f>
        <v>10.527039679272908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44.158583132842978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projet'!$A$201:$I$221,2,0)</f>
        <v>#N/A</v>
      </c>
      <c r="EH50" s="12" t="e">
        <f>VLOOKUP(A50,'Données projet'!$A$201:$I$221,9,0)</f>
        <v>#N/A</v>
      </c>
      <c r="EI50" s="12">
        <f t="array" ref="EI50">INDEX(EH:EH,MIN(IF(ISNUMBER(EH50:EH246),ROW(EH50:EH246),"")))</f>
        <v>10.407692307692306</v>
      </c>
      <c r="EJ50" s="12">
        <f>IF('Données projet'!$A$202&gt;35,EJ49+EI50-ER49,IF(A50&lt;'Données projet'!$A$202,$EG$205^A50,IF(A50='Données projet'!$A$202,'Données projet'!$B$202,EJ49+EI50-ER49)))</f>
        <v>280.2076923076923</v>
      </c>
      <c r="EK50" s="17">
        <f>EJ50*VLOOKUP('Données projet'!$B$15,Paramètres!$A$1:$I$89,3,0)*VLOOKUP('Données projet'!$B$15,Paramètres!$A$1:$I$89,5,0)</f>
        <v>131.13719999999998</v>
      </c>
      <c r="EL50" s="13">
        <f t="shared" si="75"/>
        <v>34.258999514705152</v>
      </c>
      <c r="EM50" s="20">
        <f t="shared" si="19"/>
        <v>288.06504748811147</v>
      </c>
      <c r="EN50" s="59">
        <f t="shared" si="20"/>
        <v>581.39838082144479</v>
      </c>
      <c r="EO50" s="59">
        <f ca="1">AVERAGE(OFFSET($EN$3,0,0,'Données projet'!$E$15+1,1))-AVERAGE(OFFSET($H$3,0,0,'Données projet'!$E$15+1,1))</f>
        <v>147.64256291235483</v>
      </c>
      <c r="EP50" s="59">
        <f t="shared" si="76"/>
        <v>70.859031694091868</v>
      </c>
      <c r="EQ50" s="15">
        <f>IF(ISNA(VLOOKUP(A50,'Données projet'!$A$201:$I$221,3,0)),0,VLOOKUP(A50,'Données projet'!$A$201:$I$221,3,0))</f>
        <v>0</v>
      </c>
      <c r="ER50" s="15">
        <f>IF(ISNA(VLOOKUP(A50,'Données projet'!$A$201:$I$221,4,0)),0,VLOOKUP(A50,'Données projet'!$A$201:$I$221,4,0))</f>
        <v>0</v>
      </c>
      <c r="ES50" s="16">
        <f>IF(ISNA(VLOOKUP(A50,'Données projet'!$A$201:$I$221,5,0)),0%,VLOOKUP(A50,'Données projet'!$A$201:$I$221,5,0)*VLOOKUP('Données projet'!$B$15,Paramètres!$A$1:$I$89,7,0))</f>
        <v>0</v>
      </c>
      <c r="ET50" s="16">
        <f>IF(ISNA(VLOOKUP(A50,'Données projet'!$A$201:$I$221,6,0)),0%,VLOOKUP(A50,'Données projet'!$A$201:$I$221,6,0)*VLOOKUP('Données projet'!$B$15,Paramètres!$A$1:$I$89,7,0))</f>
        <v>0</v>
      </c>
      <c r="EU50" s="16">
        <f>IF(ISNA(VLOOKUP(A50,'Données projet'!$A$201:$I$221,7,0)),0%,VLOOKUP(A50,'Données projet'!$A$201:$I$221,7,0))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0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projet'!$A$227:$I$247,2,0)</f>
        <v>#N/A</v>
      </c>
      <c r="FC50" s="12" t="e">
        <f>VLOOKUP(A50,'Données projet'!$A$227:$I$247,9,0)</f>
        <v>#N/A</v>
      </c>
      <c r="FD50" s="12">
        <f t="array" ref="FD50">INDEX(FC:FC,MIN(IF(ISNUMBER(FC50:FC246),ROW(FC50:FC246),"")))</f>
        <v>6</v>
      </c>
      <c r="FE50" s="12">
        <f>IF('Données projet'!$A$228&gt;35,FE49+FD50-FM49,IF(A50&lt;'Données projet'!$A$228,$FB$205^A50,IF(A50='Données projet'!$A$228,'Données projet'!$B$228,FE49+FD50-FM49)))</f>
        <v>155.00000000000003</v>
      </c>
      <c r="FF50" s="17">
        <f>FE50*VLOOKUP('Données projet'!$B$16,Paramètres!$A$1:$I$89,3,0)*VLOOKUP('Données projet'!$B$16,Paramètres!$A$1:$I$89,5,0)</f>
        <v>162.00600000000003</v>
      </c>
      <c r="FG50" s="13">
        <f t="shared" si="77"/>
        <v>41.294645684992197</v>
      </c>
      <c r="FH50" s="20">
        <f t="shared" si="22"/>
        <v>354.08195790136142</v>
      </c>
      <c r="FI50" s="59">
        <f t="shared" si="23"/>
        <v>647.41529123469468</v>
      </c>
      <c r="FJ50" s="59">
        <f ca="1">AVERAGE(OFFSET($FI$3,0,0,'Données projet'!$E$16+1,1))-AVERAGE(OFFSET($H$3,0,0,'Données projet'!$E$16+1,1))</f>
        <v>259.03906550253788</v>
      </c>
      <c r="FK50" s="59">
        <f t="shared" si="78"/>
        <v>235.54542903570831</v>
      </c>
      <c r="FL50" s="15">
        <f>IF(ISNA(VLOOKUP(A50,'Données projet'!$A$227:$I$247,3,0)),0,VLOOKUP(A50,'Données projet'!$A$227:$I$247,3,0))</f>
        <v>0</v>
      </c>
      <c r="FM50" s="15">
        <f>IF(ISNA(VLOOKUP(A50,'Données projet'!$A$227:$I$247,4,0)),0,VLOOKUP(A50,'Données projet'!$A$227:$I$247,4,0))</f>
        <v>0</v>
      </c>
      <c r="FN50" s="16">
        <f>IF(ISNA(VLOOKUP(A50,'Données projet'!$A$227:$I$247,5,0)),0%,VLOOKUP(A50,'Données projet'!$A$227:$I$247,5,0)*VLOOKUP('Données projet'!$B$16,Paramètres!$A$1:$I$89,7,0))</f>
        <v>0</v>
      </c>
      <c r="FO50" s="16">
        <f>IF(ISNA(VLOOKUP(A50,'Données projet'!$A$227:$I$247,6,0)),0%,VLOOKUP(A50,'Données projet'!$A$227:$I$247,6,0)*VLOOKUP('Données projet'!$B$16,Paramètres!$A$1:$I$89,7,0))</f>
        <v>0</v>
      </c>
      <c r="FP50" s="16">
        <f>IF(ISNA(VLOOKUP(A50,'Données projet'!$A$227:$I$247,7,0)),0%,VLOOKUP(A50,'Données projet'!$A$227:$I$247,7,0))</f>
        <v>0</v>
      </c>
      <c r="FQ50" s="21">
        <f>EXP(-LN(2)/35)*FQ49+(1-EXP(-LN(2)/35))/(LN(2)/35)*FM50*FN50*VLOOKUP('Données projet'!$B$16,Paramètres!$A$1:$I$89,3,0)*0.475*44/12</f>
        <v>0</v>
      </c>
      <c r="FR50" s="21">
        <f>EXP(-LN(2)/25)*FR49+(1-EXP(-LN(2)/25))/(LN(2)/25)*Calculateur!FM50*Calculateur!FO50*VLOOKUP('Données projet'!$B$16,Paramètres!$A$1:$I$89,3,0)*0.475*44/12</f>
        <v>8.5235782909591382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8.5235782909591382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projet'!$A$253:$I$273,2,0)</f>
        <v>#N/A</v>
      </c>
      <c r="FX50" s="12" t="e">
        <f>VLOOKUP(A50,'Données projet'!$A$253:$I$273,9,0)</f>
        <v>#N/A</v>
      </c>
      <c r="FY50" s="12">
        <f t="array" ref="FY50">INDEX(FX:FX,MIN(IF(ISNUMBER(FX50:FX246),ROW(FX50:FX246),"")))</f>
        <v>7.2</v>
      </c>
      <c r="FZ50" s="12">
        <f>IF('Données projet'!$A$254&gt;35,FZ49+FY50-GH49,IF(A50&lt;'Données projet'!$A$254,$FW$205^A50,IF(A50='Données projet'!$A$254,'Données projet'!$B$254,FZ49+FY50-GH49)))</f>
        <v>197.39999999999992</v>
      </c>
      <c r="GA50" s="17">
        <f>FZ50*VLOOKUP('Données projet'!$B$17,Paramètres!$A$1:$I$89,3,0)*VLOOKUP('Données projet'!$B$17,Paramètres!$A$1:$I$89,5,0)</f>
        <v>172.44863999999995</v>
      </c>
      <c r="GB50" s="13">
        <f t="shared" si="79"/>
        <v>43.637980200453676</v>
      </c>
      <c r="GC50" s="20">
        <f t="shared" si="25"/>
        <v>376.35086351579008</v>
      </c>
      <c r="GD50" s="59">
        <f t="shared" si="26"/>
        <v>669.6841968491234</v>
      </c>
      <c r="GE50" s="59">
        <f ca="1">AVERAGE(OFFSET($GD$3,0,0,'Données projet'!$E$17+1,1))-AVERAGE(OFFSET($H$3,0,0,'Données projet'!$E$17+1,1))</f>
        <v>245.1983232777614</v>
      </c>
      <c r="GF50" s="59">
        <f t="shared" si="80"/>
        <v>242.34010522344573</v>
      </c>
      <c r="GG50" s="15">
        <f>IF(ISNA(VLOOKUP(A50,'Données projet'!$A$253:$I$273,3,0)),0,VLOOKUP(A50,'Données projet'!$A$253:$I$273,3,0))</f>
        <v>0</v>
      </c>
      <c r="GH50" s="15">
        <f>IF(ISNA(VLOOKUP(A50,'Données projet'!$A$253:$I$273,4,0)),0,VLOOKUP(A50,'Données projet'!$A$253:$I$273,4,0))</f>
        <v>0</v>
      </c>
      <c r="GI50" s="16">
        <f>IF(ISNA(VLOOKUP(A50,'Données projet'!$A$253:$I$273,5,0)),0%,VLOOKUP(A50,'Données projet'!$A$253:$I$273,5,0)*VLOOKUP('Données projet'!$B$17,Paramètres!$A$1:$I$89,7,0))</f>
        <v>0</v>
      </c>
      <c r="GJ50" s="16">
        <f>IF(ISNA(VLOOKUP(A50,'Données projet'!$A$253:$I$273,6,0)),0%,VLOOKUP(A50,'Données projet'!$A$253:$I$273,6,0)*VLOOKUP('Données projet'!$B$17,Paramètres!$A$1:$I$89,7,0))</f>
        <v>0</v>
      </c>
      <c r="GK50" s="16">
        <f>IF(ISNA(VLOOKUP(A50,'Données projet'!$A$253:$I$273,7,0)),0%,VLOOKUP(A50,'Données projet'!$A$253:$I$273,7,0))</f>
        <v>0</v>
      </c>
      <c r="GL50" s="21">
        <f>EXP(-LN(2)/35)*GL49+(1-EXP(-LN(2)/35))/(LN(2)/35)*GH50*GI50*VLOOKUP('Données projet'!$B$17,Paramètres!$A$1:$I$89,3,0)*0.475*44/12</f>
        <v>11.110951137953929</v>
      </c>
      <c r="GM50" s="21">
        <f>EXP(-LN(2)/25)*GM49+(1-EXP(-LN(2)/25))/(LN(2)/25)*Calculateur!GH50*Calculateur!GJ50*VLOOKUP('Données projet'!$B$17,Paramètres!$A$1:$I$89,3,0)*0.475*44/12</f>
        <v>12.152043523852084</v>
      </c>
      <c r="GN50" s="21">
        <f>EXP(-LN(2)/2)*GN49+(1-EXP(-LN(2)/2))/(LN(2)/2)*GH50*GK50*VLOOKUP('Données projet'!$B$17,Paramètres!$A$1:$I$89,3,0)*0.475*44/12</f>
        <v>0</v>
      </c>
      <c r="GO50" s="21">
        <f t="shared" si="27"/>
        <v>23.262994661806012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projet'!$A$279:$I$299,2,0)</f>
        <v>#N/A</v>
      </c>
      <c r="GS50" s="12" t="e">
        <f>VLOOKUP(A50,'Données projet'!$A$279:$I$299,9,0)</f>
        <v>#N/A</v>
      </c>
      <c r="GT50" s="12">
        <f t="array" ref="GT50">INDEX(GS:GS,MIN(IF(ISNUMBER(GS50:GS246),ROW(GS50:GS246),"")))</f>
        <v>17.600000000000001</v>
      </c>
      <c r="GU50" s="12">
        <f>IF('Données projet'!$A$280&gt;35,GU49+GT50-HC49,IF(A50&lt;'Données projet'!$A$280,$GR$205^A50,IF(A50='Données projet'!$A$280,'Données projet'!$B$280,GU49+GT50-HC49)))</f>
        <v>548.20000000000027</v>
      </c>
      <c r="GV50" s="17">
        <f>GU50*VLOOKUP('Données projet'!$B$18,Paramètres!$A$1:$I$89,3,0)*VLOOKUP('Données projet'!$B$18,Paramètres!$A$1:$I$89,5,0)</f>
        <v>220.92460000000014</v>
      </c>
      <c r="GW50" s="13">
        <f t="shared" si="81"/>
        <v>54.315793885146327</v>
      </c>
      <c r="GX50" s="20">
        <f t="shared" si="28"/>
        <v>479.3770193499634</v>
      </c>
      <c r="GY50" s="59">
        <f t="shared" si="29"/>
        <v>772.71035268329672</v>
      </c>
      <c r="GZ50" s="59">
        <f ca="1">AVERAGE(OFFSET($GY$3,0,0,'Données projet'!$E$18+1,1))-AVERAGE(OFFSET($H$3,0,0,'Données projet'!$E$18+1,1))</f>
        <v>324.36162935850876</v>
      </c>
      <c r="HA50" s="59">
        <f t="shared" si="82"/>
        <v>265.23571072429735</v>
      </c>
      <c r="HB50" s="15">
        <f>IF(ISNA(VLOOKUP(A50,'Données projet'!$A$279:$I$299,3,0)),0,VLOOKUP(A50,'Données projet'!$A$279:$I$299,3,0))</f>
        <v>0</v>
      </c>
      <c r="HC50" s="15">
        <f>IF(ISNA(VLOOKUP(A50,'Données projet'!$A$279:$I$299,4,0)),0,VLOOKUP(A50,'Données projet'!$A$279:$I$299,4,0))</f>
        <v>0</v>
      </c>
      <c r="HD50" s="16">
        <f>IF(ISNA(VLOOKUP(A50,'Données projet'!$A$279:$I$299,5,0)),0%,VLOOKUP(A50,'Données projet'!$A$279:$I$299,5,0)*VLOOKUP('Données projet'!$B$18,Paramètres!$A$1:$I$89,7,0))</f>
        <v>0</v>
      </c>
      <c r="HE50" s="16">
        <f>IF(ISNA(VLOOKUP(A50,'Données projet'!$A$279:$I$299,6,0)),0%,VLOOKUP(A50,'Données projet'!$A$279:$I$299,6,0)*VLOOKUP('Données projet'!$B$18,Paramètres!$A$1:$I$89,7,0))</f>
        <v>0</v>
      </c>
      <c r="HF50" s="16">
        <f>IF(ISNA(VLOOKUP($A50,'Données projet'!$A$279:$I$299,7,0)),0%,VLOOKUP($A50,'Données projet'!$A$279:$I$299,7,0))</f>
        <v>0</v>
      </c>
      <c r="HG50" s="21">
        <f>EXP(-LN(2)/35)*HG49+(1-EXP(-LN(2)/35))/(LN(2)/35)*HC50*HD50*VLOOKUP('Données projet'!$B$18,Paramètres!$A$1:$I$89,3,0)*0.475*44/12</f>
        <v>4.5950627937569166</v>
      </c>
      <c r="HH50" s="21">
        <f>EXP(-LN(2)/25)*HH49+(1-EXP(-LN(2)/25))/(LN(2)/25)*Calculateur!HC50*Calculateur!HE50*VLOOKUP('Données projet'!$B$18,Paramètres!$A$1:$I$89,3,0)*0.475*44/12</f>
        <v>11.293765495054716</v>
      </c>
      <c r="HI50" s="21">
        <f>EXP(-LN(2)/2)*HI49+(1-EXP(-LN(2)/2))/(LN(2)/2)*HC50*HF50*VLOOKUP('Données projet'!$B$18,Paramètres!$A$1:$I$89,3,0)*0.475*44/12</f>
        <v>1.5580927074206168</v>
      </c>
      <c r="HJ50" s="22">
        <f t="shared" si="30"/>
        <v>17.446920996232251</v>
      </c>
      <c r="HK50" s="74">
        <f>('Scénario référence'!$F$8+'Scénario référence'!$F$9+'Scénario référence'!$B$17+'Scénario référence'!$B$9+'Scénario référence'!$B$10)*70+IF((45+25*(1-EXP(-0.0175*$A50)))&lt;70,'Scénario référence'!$B$16*(45+25*(1-EXP(-0.0175*$A50))),70*'Scénario référence'!$B$16)+IF((32+38*(1-EXP(-0.0175*$A50)))&lt;70,'Scénario référence'!$B$18*(32+38*(1-EXP(-0.0175*$A50))),70*'Scénario référence'!$B$18)</f>
        <v>70</v>
      </c>
      <c r="HL50" s="12">
        <f>IF($A50&gt;30,10,('Scénario référence'!$B$16+'Scénario référence'!$B$17+'Scénario référence'!$B$18+'Scénario référence'!$B$9+'Scénario référence'!$B$10)*$A50*10/30+('Scénario référence'!$F$8+'Scénario référence'!$F$9)*10)</f>
        <v>10</v>
      </c>
      <c r="HM50" s="12" t="e">
        <f>VLOOKUP($A50,'Données projet'!$A$304:$I$324,2,0)</f>
        <v>#N/A</v>
      </c>
      <c r="HN50" s="12" t="e">
        <f>VLOOKUP($A50,'Données projet'!$A$304:$I$324,9,0)</f>
        <v>#N/A</v>
      </c>
      <c r="HO50" s="12">
        <f t="array" ref="HO50">INDEX(HN:HN,MIN(IF(ISNUMBER(HN50:HN246),ROW(HN50:HN246),"")))</f>
        <v>0</v>
      </c>
      <c r="HP50" s="12">
        <f>IF('Données projet'!$A$304&gt;35,HP49+HO50-HX49,IF($A50&lt;'Données projet'!$A$304,$CQ$205^$A50,IF($A50='Données projet'!$A$304,'Données projet'!$B$304,HP49+HO50-HX49)))</f>
        <v>0</v>
      </c>
      <c r="HQ50" s="17">
        <f>HP50*VLOOKUP('Données projet'!$B$19,Paramètres!$A$1:$I$89,3,0)*VLOOKUP('Données projet'!$B$19,Paramètres!$A$1:$I$89,5,0)</f>
        <v>0</v>
      </c>
      <c r="HR50" s="13" t="e">
        <f t="shared" si="83"/>
        <v>#NUM!</v>
      </c>
      <c r="HS50" s="14" t="e">
        <f t="shared" si="31"/>
        <v>#NUM!</v>
      </c>
      <c r="HT50" s="59" t="e">
        <f t="shared" si="32"/>
        <v>#NUM!</v>
      </c>
      <c r="HU50" s="59">
        <f ca="1">AVERAGE(OFFSET(HT$3,0,0,'Données projet'!$E$19+1,1))-AVERAGE(OFFSET($H$3,0,0,'Données projet'!$E$19+1,1))</f>
        <v>91.60721429656013</v>
      </c>
      <c r="HV50" s="59">
        <f t="shared" si="84"/>
        <v>258.94957804210856</v>
      </c>
      <c r="HW50" s="15">
        <f>IF(ISNA(VLOOKUP($A50,'Données projet'!$A$304:$I$324,3,0)),0,VLOOKUP($A50,'Données projet'!$A$304:$I$324,3,0))</f>
        <v>0</v>
      </c>
      <c r="HX50" s="15">
        <f>IF(ISNA(VLOOKUP($A50,'Données projet'!$A$304:$I$324,4,0)),0,VLOOKUP($A50,'Données projet'!$A$304:$I$324,4,0))</f>
        <v>0</v>
      </c>
      <c r="HY50" s="16">
        <f>IF(ISNA(VLOOKUP($A50,'Données projet'!$A$304:$I$324,5,0)),0%,VLOOKUP($A50,'Données projet'!$A$304:$I$324,5,0)*VLOOKUP('Données projet'!$B$19,Paramètres!$A$1:$I$89,7,0))</f>
        <v>0</v>
      </c>
      <c r="HZ50" s="16">
        <f>IF(ISNA(VLOOKUP($A50,'Données projet'!$A$304:$I$324,6,0)),0%,VLOOKUP($A50,'Données projet'!$A$304:$I$324,6,0)*VLOOKUP('Données projet'!$B$19,Paramètres!$A$1:$I$89,7,0))</f>
        <v>0</v>
      </c>
      <c r="IA50" s="16">
        <f>IF(ISNA(VLOOKUP($A50,'Données projet'!$A$304:$I$324,7,0)),0%,VLOOKUP($A50,'Données projet'!$A$304:$I$324,7,0))</f>
        <v>0</v>
      </c>
      <c r="IB50" s="21">
        <f>EXP(-LN(2)/35)*IB49+(1-EXP(-LN(2)/35))/(LN(2)/35)*HX50*HY50*VLOOKUP('Données projet'!$B$19,Paramètres!$A$1:$I$89,3,0)*0.475*44/12</f>
        <v>35.230625784278509</v>
      </c>
      <c r="IC50" s="21">
        <f>EXP(-LN(2)/25)*IC49+(1-EXP(-LN(2)/25))/(LN(2)/25)*Calculateur!HX50*Calculateur!HZ50*VLOOKUP('Données projet'!$B$19,Paramètres!$A$1:$I$89,3,0)*0.475*44/12</f>
        <v>6.0717091905952802</v>
      </c>
      <c r="ID50" s="21">
        <f>EXP(-LN(2)/2)*ID49+(1-EXP(-LN(2)/2))/(LN(2)/2)*HX50*IA50*VLOOKUP('Données projet'!$B$19,Paramètres!$A$1:$I$89,3,0)*0.475*44/12</f>
        <v>1.5822959150490494E-3</v>
      </c>
      <c r="IE50" s="22">
        <f t="shared" si="33"/>
        <v>41.303917270788837</v>
      </c>
      <c r="IF50" s="74">
        <f>('Scénario référence'!$F$8+'Scénario référence'!$F$9+'Scénario référence'!$B$17+'Scénario référence'!$B$9+'Scénario référence'!$B$10)*70+IF((45+25*(1-EXP(-0.0175*$A50)))&lt;70,'Scénario référence'!$B$16*(45+25*(1-EXP(-0.0175*$A50))),70*'Scénario référence'!$B$16)+IF((32+38*(1-EXP(-0.0175*$A50)))&lt;70,'Scénario référence'!$B$18*(32+38*(1-EXP(-0.0175*$A50))),70*'Scénario référence'!$B$18)</f>
        <v>70</v>
      </c>
      <c r="IG50" s="12">
        <f>IF($A50&gt;30,10,('Scénario référence'!$B$16+'Scénario référence'!$B$17+'Scénario référence'!$B$18+'Scénario référence'!$B$9+'Scénario référence'!$B$10)*$A50*10/30+('Scénario référence'!$F$8+'Scénario référence'!$F$9)*10)</f>
        <v>10</v>
      </c>
      <c r="IH50" s="12" t="e">
        <f>VLOOKUP($A50,'Données projet'!$A$330:$I$350,2,0)</f>
        <v>#N/A</v>
      </c>
      <c r="II50" s="12" t="e">
        <f>VLOOKUP($A50,'Données projet'!$A$330:$I$350,9,0)</f>
        <v>#N/A</v>
      </c>
      <c r="IJ50" s="12">
        <f t="array" ref="IJ50">INDEX(II:II,MIN(IF(ISNUMBER(II50:II246),ROW(II50:II246),"")))</f>
        <v>0</v>
      </c>
      <c r="IK50" s="12">
        <f>IF('Données projet'!$A$330&gt;35,IK49+IJ50-IS49,IF($A50&lt;'Données projet'!$A$330,$CQ$205^$A50,IF($A50='Données projet'!$A$330,'Données projet'!$B$330,IK49+IJ50-IS49)))</f>
        <v>0</v>
      </c>
      <c r="IL50" s="17">
        <f>IK50*VLOOKUP('Données projet'!$B$20,Paramètres!$A$1:$I$89,3,0)*VLOOKUP('Données projet'!$B$20,Paramètres!$A$1:$I$89,5,0)</f>
        <v>0</v>
      </c>
      <c r="IM50" s="13" t="e">
        <f t="shared" si="85"/>
        <v>#NUM!</v>
      </c>
      <c r="IN50" s="20" t="e">
        <f t="shared" si="86"/>
        <v>#NUM!</v>
      </c>
      <c r="IO50" s="59" t="e">
        <f t="shared" si="87"/>
        <v>#NUM!</v>
      </c>
      <c r="IP50" s="59">
        <f ca="1">AVERAGE(OFFSET(IO$3,0,0,'Données projet'!$E$20+1,1))-AVERAGE(OFFSET($H$3,0,0,'Données projet'!$E$20+1,1))</f>
        <v>91.60721429656013</v>
      </c>
      <c r="IQ50" s="59">
        <f t="shared" si="88"/>
        <v>258.94957804210856</v>
      </c>
      <c r="IR50" s="15">
        <f>IF(ISNA(VLOOKUP($A50,'Données projet'!$A$330:$I$350,3,0)),0,VLOOKUP($A50,'Données projet'!$A$330:$I$350,3,0))</f>
        <v>0</v>
      </c>
      <c r="IS50" s="15">
        <f>IF(ISNA(VLOOKUP($A50,'Données projet'!$A$330:$I$350,4,0)),0,VLOOKUP($A50,'Données projet'!$A$330:$I$350,4,0))</f>
        <v>0</v>
      </c>
      <c r="IT50" s="16">
        <f>IF(ISNA(VLOOKUP($A50,'Données projet'!$A$330:$I$350,5,0)),0%,VLOOKUP($A50,'Données projet'!$A$330:$I$350,5,0)*VLOOKUP('Données projet'!$B$20,Paramètres!$A$1:$I$89,7,0))</f>
        <v>0</v>
      </c>
      <c r="IU50" s="16">
        <f>IF(ISNA(VLOOKUP($A50,'Données projet'!$A$330:$I$350,6,0)),0%,VLOOKUP($A50,'Données projet'!$A$330:$I$350,6,0)*VLOOKUP('Données projet'!$B$20,Paramètres!$A$1:$I$89,7,0))</f>
        <v>0</v>
      </c>
      <c r="IV50" s="16">
        <f>IF(ISNA(VLOOKUP($A50,'Données projet'!$A$330:$I$350,7,0)),0%,VLOOKUP($A50,'Données projet'!$A$330:$I$350,7,0))</f>
        <v>0</v>
      </c>
      <c r="IW50" s="21">
        <f>EXP(-LN(2)/35)*IW49+(1-EXP(-LN(2)/35))/(LN(2)/35)*IS50*IT50*VLOOKUP('Données projet'!$B$20,Paramètres!$A$1:$I$89,3,0)*0.475*44/12</f>
        <v>35.230625784278509</v>
      </c>
      <c r="IX50" s="21">
        <f>EXP(-LN(2)/25)*IX49+(1-EXP(-LN(2)/25))/(LN(2)/25)*Calculateur!IS50*Calculateur!IU50*VLOOKUP('Données projet'!$B$20,Paramètres!$A$1:$I$89,3,0)*0.475*44/12</f>
        <v>6.0717091905952802</v>
      </c>
      <c r="IY50" s="21">
        <f>EXP(-LN(2)/2)*IY49+(1-EXP(-LN(2)/2))/(LN(2)/2)*IS50*IV50*VLOOKUP('Données projet'!$B$20,Paramètres!$A$1:$I$89,3,0)*0.475*44/12</f>
        <v>1.5822959150490494E-3</v>
      </c>
      <c r="IZ50" s="22">
        <f t="shared" si="89"/>
        <v>41.303917270788837</v>
      </c>
      <c r="JA50" s="74">
        <f>('Scénario référence'!$F$8+'Scénario référence'!$F$9+'Scénario référence'!$B$17+'Scénario référence'!$B$9+'Scénario référence'!$B$10)*70+IF((45+25*(1-EXP(-0.0175*$A50)))&lt;70,'Scénario référence'!$B$16*(45+25*(1-EXP(-0.0175*$A50))),70*'Scénario référence'!$B$16)+IF((32+38*(1-EXP(-0.0175*$A50)))&lt;70,'Scénario référence'!$B$18*(32+38*(1-EXP(-0.0175*$A50))),70*'Scénario référence'!$B$18)</f>
        <v>70</v>
      </c>
      <c r="JB50" s="12">
        <f>IF($A50&gt;30,10,('Scénario référence'!$B$16+'Scénario référence'!$B$17+'Scénario référence'!$B$18+'Scénario référence'!$B$9+'Scénario référence'!$B$10)*$A50*10/30+('Scénario référence'!$F$8+'Scénario référence'!$F$9)*10)</f>
        <v>10</v>
      </c>
      <c r="JC50" s="12" t="e">
        <f>VLOOKUP($A50,'Données projet'!$A$356:$I$376,2,0)</f>
        <v>#N/A</v>
      </c>
      <c r="JD50" s="12" t="e">
        <f>VLOOKUP($A50,'Données projet'!$A$356:$I$376,9,0)</f>
        <v>#N/A</v>
      </c>
      <c r="JE50" s="12">
        <f t="array" ref="JE50">INDEX(JD:JD,MIN(IF(ISNUMBER(JD50:JD246),ROW(JD50:JD246),"")))</f>
        <v>11</v>
      </c>
      <c r="JF50" s="12">
        <f>IF('Données projet'!$A$356&gt;35,JF49+JE50-JN49,IF($A50&lt;'Données projet'!$A$356,$CQ$205^$A50,IF($A50='Données projet'!$A$356,'Données projet'!$B$356,JF49+JE50-JN49)))</f>
        <v>184.00000000000009</v>
      </c>
      <c r="JG50" s="17">
        <f>JF50*VLOOKUP('Données projet'!$B$21,Paramètres!$A$1:$I$89,3,0)*VLOOKUP('Données projet'!$B$21,Paramètres!$A$1:$I$89,5,0)</f>
        <v>149.26080000000007</v>
      </c>
      <c r="JH50" s="13">
        <f t="shared" si="90"/>
        <v>38.410551499792945</v>
      </c>
      <c r="JI50" s="20">
        <f t="shared" si="91"/>
        <v>326.86093719547284</v>
      </c>
      <c r="JJ50" s="59">
        <f t="shared" si="92"/>
        <v>620.1942705288061</v>
      </c>
      <c r="JK50" s="59">
        <f ca="1">AVERAGE(OFFSET($JJ$3,0,0,'Données projet'!$E$22+1,1))-AVERAGE(OFFSET($H$3,0,0,'Données projet'!$E$22+1,1))</f>
        <v>353.35574633294613</v>
      </c>
      <c r="JL50" s="59">
        <f t="shared" si="93"/>
        <v>170.36796666474726</v>
      </c>
      <c r="JM50" s="15">
        <f>IF(ISNA(VLOOKUP($A50,'Données projet'!$A$356:$I$376,3,0)),0,VLOOKUP($A50,'Données projet'!$A$356:$I$376,3,0))</f>
        <v>0</v>
      </c>
      <c r="JN50" s="15">
        <f>IF(ISNA(VLOOKUP($A50,'Données projet'!$A$356:$I$376,4,0)),0,VLOOKUP($A50,'Données projet'!$A$356:$I$376,4,0))</f>
        <v>0</v>
      </c>
      <c r="JO50" s="16">
        <f>IF(ISNA(VLOOKUP($A50,'Données projet'!$A$356:$I$376,5,0)),0%,VLOOKUP($A50,'Données projet'!$A$356:$I$376,5,0)*VLOOKUP('Données projet'!$B$21,Paramètres!$A$1:$I$89,7,0))</f>
        <v>0</v>
      </c>
      <c r="JP50" s="16">
        <f>IF(ISNA(VLOOKUP($A50,'Données projet'!$A$356:$I$376,6,0)),0%,VLOOKUP($A50,'Données projet'!$A$356:$I$376,6,0)*VLOOKUP('Données projet'!$B$21,Paramètres!$A$1:$I$89,7,0))</f>
        <v>0</v>
      </c>
      <c r="JQ50" s="16">
        <f>IF(ISNA(VLOOKUP($A50,'Données projet'!$A$356:$I$376,7,0)),0%,VLOOKUP($A50,'Données projet'!$A$356:$I$376,7,0))</f>
        <v>0</v>
      </c>
      <c r="JR50" s="21">
        <f>EXP(-LN(2)/35)*JR49+(1-EXP(-LN(2)/35))/(LN(2)/35)*JN50*JO50*VLOOKUP('Données projet'!$B$21,Paramètres!$A$1:$I$89,3,0)*0.475*44/12</f>
        <v>0</v>
      </c>
      <c r="JS50" s="21">
        <f>EXP(-LN(2)/25)*JS49+(1-EXP(-LN(2)/25))/(LN(2)/25)*Calculateur!JN50*Calculateur!JP50*VLOOKUP('Données projet'!$B$21,Paramètres!$A$1:$I$89,3,0)*0.475*44/12</f>
        <v>2.6742296629131785</v>
      </c>
      <c r="JT50" s="21">
        <f>EXP(-LN(2)/2)*JT49+(1-EXP(-LN(2)/2))/(LN(2)/2)*JN50*JQ50*VLOOKUP('Données projet'!$B$21,Paramètres!$A$1:$I$89,3,0)*0.475*44/12</f>
        <v>3.9011221254701609</v>
      </c>
      <c r="JU50" s="18">
        <f t="shared" si="39"/>
        <v>6.5753517883833394</v>
      </c>
      <c r="JV50" s="74">
        <f>('Scénario référence'!$F$8+'Scénario référence'!$F$9+'Scénario référence'!$B$17+'Scénario référence'!$B$9+'Scénario référence'!$B$10)*70+IF((45+25*(1-EXP(-0.0175*$A50)))&lt;70,'Scénario référence'!$B$16*(45+25*(1-EXP(-0.0175*$A50))),70*'Scénario référence'!$B$16)+IF((32+38*(1-EXP(-0.0175*$A50)))&lt;70,'Scénario référence'!$B$18*(32+38*(1-EXP(-0.0175*$A50))),70*'Scénario référence'!$B$18)</f>
        <v>70</v>
      </c>
      <c r="JW50" s="12">
        <f>IF($A50&gt;30,10,('Scénario référence'!$B$16+'Scénario référence'!$B$17+'Scénario référence'!$B$18+'Scénario référence'!$B$9+'Scénario référence'!$B$10)*$A50*10/30+('Scénario référence'!$F$8+'Scénario référence'!$F$9)*10)</f>
        <v>10</v>
      </c>
      <c r="JX50" s="12" t="e">
        <f>VLOOKUP($A50,'Données projet'!$A$382:$I$402,2,0)</f>
        <v>#N/A</v>
      </c>
      <c r="JY50" s="12" t="e">
        <f>VLOOKUP($A50,'Données projet'!$A$382:$I$402,9,0)</f>
        <v>#N/A</v>
      </c>
      <c r="JZ50" s="12">
        <f t="array" ref="JZ50">INDEX(JY:JY,MIN(IF(ISNUMBER(JY50:JY246),ROW(JY50:JY246),"")))</f>
        <v>9.3452380952380913</v>
      </c>
      <c r="KA50" s="12">
        <f>IF('Données projet'!$A$382&gt;35,KA49+JZ50-KI49,IF($A50&lt;'Données projet'!$A$382,$CQ$205^$A50,IF($A50='Données projet'!$A$382,'Données projet'!$B$382,KA49+JZ50-KI49)))</f>
        <v>175.00732600732604</v>
      </c>
      <c r="KB50" s="17">
        <f>KA50*VLOOKUP('Données projet'!$B$22,Paramètres!$A$1:$I$89,3,0)*VLOOKUP('Données projet'!$B$22,Paramètres!$A$1:$I$89,5,0)</f>
        <v>117.39491428571431</v>
      </c>
      <c r="KC50" s="13">
        <f t="shared" si="94"/>
        <v>31.066631883609716</v>
      </c>
      <c r="KD50" s="20">
        <f t="shared" si="95"/>
        <v>258.57052624490603</v>
      </c>
      <c r="KE50" s="59">
        <f t="shared" si="96"/>
        <v>551.90385957823935</v>
      </c>
      <c r="KF50" s="59">
        <f ca="1">AVERAGE(OFFSET($KE$3,0,0,'Données projet'!$E$22+1,1))-AVERAGE(OFFSET($H$3,0,0,'Données projet'!$E$22+1,1))</f>
        <v>193.91714772848269</v>
      </c>
      <c r="KG50" s="59">
        <f t="shared" si="97"/>
        <v>159.20429420478047</v>
      </c>
      <c r="KH50" s="15">
        <f>IF(ISNA(VLOOKUP($A50,'Données projet'!$A$382:$I$402,3,0)),0,VLOOKUP($A50,'Données projet'!$A$382:$I$402,3,0))</f>
        <v>0</v>
      </c>
      <c r="KI50" s="15">
        <f>IF(ISNA(VLOOKUP($A50,'Données projet'!$A$382:$I$402,4,0)),0,VLOOKUP($A50,'Données projet'!$A$382:$I$402,4,0))</f>
        <v>0</v>
      </c>
      <c r="KJ50" s="16">
        <f>IF(ISNA(VLOOKUP($A50,'Données projet'!$A$382:$I$402,5,0)),0%,VLOOKUP($A50,'Données projet'!$A$382:$I$402,5,0)*VLOOKUP('Données projet'!$B$22,Paramètres!$A$1:$I$89,7,0))</f>
        <v>0</v>
      </c>
      <c r="KK50" s="16">
        <f>IF(ISNA(VLOOKUP($A50,'Données projet'!$A$382:$I$402,6,0)),0%,VLOOKUP($A50,'Données projet'!$A$382:$I$402,6,0)*VLOOKUP('Données projet'!$B$22,Paramètres!$A$1:$I$89,7,0))</f>
        <v>0</v>
      </c>
      <c r="KL50" s="16">
        <f>IF(ISNA(VLOOKUP($A50,'Données projet'!$A$382:$I$402,7,0)),0%,VLOOKUP($A50,'Données projet'!$A$382:$I$402,7,0))</f>
        <v>0</v>
      </c>
      <c r="KM50" s="21">
        <f>EXP(-LN(2)/35)*KM49+(1-EXP(-LN(2)/35))/(LN(2)/35)*KI50*KJ50*VLOOKUP('Données projet'!$B$22,Paramètres!$A$1:$I$89,3,0)*0.475*44/12</f>
        <v>0</v>
      </c>
      <c r="KN50" s="21">
        <f>EXP(-LN(2)/25)*KN49+(1-EXP(-LN(2)/25))/(LN(2)/25)*Calculateur!KI50*Calculateur!KK50*VLOOKUP('Données projet'!$B$22,Paramètres!$A$1:$I$89,3,0)*0.475*44/12</f>
        <v>0</v>
      </c>
      <c r="KO50" s="21">
        <f>EXP(-LN(2)/2)*KO49+(1-EXP(-LN(2)/2))/(LN(2)/2)*KI50*KL50*VLOOKUP('Données projet'!$B$22,Paramètres!$A$1:$I$89,3,0)*0.475*44/12</f>
        <v>0</v>
      </c>
      <c r="KP50" s="22">
        <f t="shared" si="98"/>
        <v>0</v>
      </c>
      <c r="KQ50" s="74">
        <f>('Scénario référence'!$F$8+'Scénario référence'!$F$9+'Scénario référence'!$B$17+'Scénario référence'!$B$9+'Scénario référence'!$B$10)*70+IF((45+25*(1-EXP(-0.0175*$A50)))&lt;70,'Scénario référence'!$B$16*(45+25*(1-EXP(-0.0175*$A50))),70*'Scénario référence'!$B$16)+IF((32+38*(1-EXP(-0.0175*$A50)))&lt;70,'Scénario référence'!$B$18*(32+38*(1-EXP(-0.0175*$A50))),70*'Scénario référence'!$B$18)</f>
        <v>70</v>
      </c>
      <c r="KR50" s="12">
        <f>IF($A50&gt;30,10,('Scénario référence'!$B$16+'Scénario référence'!$B$17+'Scénario référence'!$B$18+'Scénario référence'!$B$9+'Scénario référence'!$B$10)*$A50*10/30+('Scénario référence'!$F$8+'Scénario référence'!$F$9)*10)</f>
        <v>10</v>
      </c>
      <c r="KS50" s="12" t="e">
        <f>VLOOKUP($A50,'Données projet'!$A$408:$I$428,2,0)</f>
        <v>#N/A</v>
      </c>
      <c r="KT50" s="12" t="e">
        <f>VLOOKUP($A50,'Données projet'!$A$408:$I$428,9,0)</f>
        <v>#N/A</v>
      </c>
      <c r="KU50" s="12">
        <f t="array" ref="KU50">INDEX(KT:KT,MIN(IF(ISNUMBER(KT50:KT246),ROW(KT50:KT246),"")))</f>
        <v>7.2</v>
      </c>
      <c r="KV50" s="12">
        <f>IF('Données projet'!$A$408&gt;35,KV49+KU50-LD49,IF($A50&lt;'Données projet'!$A$408,$CQ$205^$A50,IF($A50='Données projet'!$A$408,'Données projet'!$B$408,KV49+KU50-LD49)))</f>
        <v>197.39999999999995</v>
      </c>
      <c r="KW50" s="17">
        <f>KV50*VLOOKUP('Données projet'!$B$23,Paramètres!$A$1:$I$89,3,0)*VLOOKUP('Données projet'!$B$23,Paramètres!$A$1:$I$89,5,0)</f>
        <v>172.44863999999998</v>
      </c>
      <c r="KX50" s="13">
        <f t="shared" si="99"/>
        <v>43.637980200453676</v>
      </c>
      <c r="KY50" s="14">
        <f t="shared" si="43"/>
        <v>376.35086351579019</v>
      </c>
      <c r="KZ50" s="59">
        <f t="shared" si="44"/>
        <v>669.68419684912351</v>
      </c>
      <c r="LA50" s="59">
        <f ca="1">AVERAGE(OFFSET($KZ$3,0,0,'Données projet'!$E$23+1,1))-AVERAGE(OFFSET($H$3,0,0,'Données projet'!$E$23+1,1))</f>
        <v>248.33596943633819</v>
      </c>
      <c r="LB50" s="59">
        <f t="shared" si="100"/>
        <v>242.34010522344573</v>
      </c>
      <c r="LC50" s="15">
        <f>IF(ISNA(VLOOKUP($A50,'Données projet'!$A$408:$I$428,3,0)),0,VLOOKUP($A50,'Données projet'!$A$408:$I$428,3,0))</f>
        <v>0</v>
      </c>
      <c r="LD50" s="15">
        <f>IF(ISNA(VLOOKUP($A50,'Données projet'!$A$408:$I$428,4,0)),0,VLOOKUP($A50,'Données projet'!$A$408:$I$428,4,0))</f>
        <v>0</v>
      </c>
      <c r="LE50" s="16">
        <f>IF(ISNA(VLOOKUP($A50,'Données projet'!$A$408:$I$428,5,0)),0%,VLOOKUP($A50,'Données projet'!$A$408:$I$428,5,0)*VLOOKUP('Données projet'!$B$23,Paramètres!$A$1:$I$89,7,0))</f>
        <v>0</v>
      </c>
      <c r="LF50" s="16">
        <f>IF(ISNA(VLOOKUP($A50,'Données projet'!$A$408:$I$428,6,0)),0%,VLOOKUP($A50,'Données projet'!$A$408:$I$428,6,0)*VLOOKUP('Données projet'!$B$23,Paramètres!$A$1:$I$89,7,0))</f>
        <v>0</v>
      </c>
      <c r="LG50" s="16">
        <f>IF(ISNA(VLOOKUP($A50,'Données projet'!$A$408:$I$428,7,0)),0%,VLOOKUP($A50,'Données projet'!$A$408:$I$428,7,0))</f>
        <v>0</v>
      </c>
      <c r="LH50" s="21">
        <f>EXP(-LN(2)/35)*LH49+(1-EXP(-LN(2)/35))/(LN(2)/35)*LD50*LE50*VLOOKUP('Données projet'!$B$23,Paramètres!$A$1:$I$89,3,0)*0.475*44/12</f>
        <v>11.110951137953929</v>
      </c>
      <c r="LI50" s="21">
        <f>EXP(-LN(2)/25)*LI49+(1-EXP(-LN(2)/25))/(LN(2)/25)*Calculateur!LD50*Calculateur!LF50*VLOOKUP('Données projet'!$B$23,Paramètres!$A$1:$I$89,3,0)*0.475*44/12</f>
        <v>12.152043523852084</v>
      </c>
      <c r="LJ50" s="21">
        <f>EXP(-LN(2)/2)*LJ49+(1-EXP(-LN(2)/2))/(LN(2)/2)*LD50*LG50*VLOOKUP('Données projet'!$B$23,Paramètres!$A$1:$I$89,3,0)*0.475*44/12</f>
        <v>0</v>
      </c>
      <c r="LK50" s="22">
        <f t="shared" si="101"/>
        <v>23.262994661806012</v>
      </c>
      <c r="LL50" s="74">
        <f>('Scénario référence'!$F$8+'Scénario référence'!$F$9+'Scénario référence'!$B$17+'Scénario référence'!$B$9+'Scénario référence'!$B$10)*70+IF((45+25*(1-EXP(-0.0175*$A50)))&lt;70,'Scénario référence'!$B$16*(45+25*(1-EXP(-0.0175*$A50))),70*'Scénario référence'!$B$16)+IF((32+38*(1-EXP(-0.0175*$A50)))&lt;70,'Scénario référence'!$B$18*(32+38*(1-EXP(-0.0175*$A50))),70*'Scénario référence'!$B$18)</f>
        <v>70</v>
      </c>
      <c r="LM50" s="12">
        <f>IF($A50&gt;30,10,('Scénario référence'!$B$16+'Scénario référence'!$B$17+'Scénario référence'!$B$18+'Scénario référence'!$B$9+'Scénario référence'!$B$10)*$A50*10/30+('Scénario référence'!$F$8+'Scénario référence'!$F$9)*10)</f>
        <v>10</v>
      </c>
      <c r="LN50" s="12" t="e">
        <f>VLOOKUP($A50,'Données projet'!$A$434:$I$454,2,0)</f>
        <v>#N/A</v>
      </c>
      <c r="LO50" s="12" t="e">
        <f>VLOOKUP($A50,'Données projet'!$A$434:$I$454,9,0)</f>
        <v>#N/A</v>
      </c>
      <c r="LP50" s="12">
        <f t="array" ref="LP50">INDEX(LO:LO,MIN(IF(ISNUMBER(LO50:LO246),ROW(LO50:LO246),"")))</f>
        <v>6.826007326007324</v>
      </c>
      <c r="LQ50" s="12">
        <f>IF('Données projet'!$A$434&gt;35,LQ49+LP50-LY49,IF($A50&lt;'Données projet'!$A$434,$CQ$205^$A50,IF($A50='Données projet'!$A$434,'Données projet'!$B$434,LQ49+LP50-LY49)))</f>
        <v>118.48443223443218</v>
      </c>
      <c r="LR50" s="17">
        <f>LQ50*VLOOKUP('Données projet'!$B$24,Paramètres!$A$1:$I$89,3,0)*VLOOKUP('Données projet'!$B$24,Paramètres!$A$1:$I$89,5,0)</f>
        <v>120.14321428571424</v>
      </c>
      <c r="LS50" s="13">
        <f t="shared" si="102"/>
        <v>31.708399355356544</v>
      </c>
      <c r="LT50" s="14">
        <f t="shared" si="46"/>
        <v>264.47489375819822</v>
      </c>
      <c r="LU50" s="59">
        <f t="shared" si="103"/>
        <v>557.80822709153153</v>
      </c>
      <c r="LV50" s="59">
        <f ca="1">AVERAGE(OFFSET($LU$3,0,0,'Données projet'!$E$24+1,1))-AVERAGE(OFFSET($H$3,0,0,'Données projet'!$E$24+1,1))</f>
        <v>260.52627655062872</v>
      </c>
      <c r="LW50" s="59">
        <f t="shared" si="104"/>
        <v>159.20429420478047</v>
      </c>
      <c r="LX50" s="15">
        <f>IF(ISNA(VLOOKUP($A50,'Données projet'!$A$434:$I$454,3,0)),0,VLOOKUP($A50,'Données projet'!$A$434:$I$454,3,0))</f>
        <v>0</v>
      </c>
      <c r="LY50" s="15">
        <f>IF(ISNA(VLOOKUP($A50,'Données projet'!$A$434:$I$454,4,0)),0,VLOOKUP($A50,'Données projet'!$A$434:$I$454,4,0))</f>
        <v>0</v>
      </c>
      <c r="LZ50" s="16">
        <f>IF(ISNA(VLOOKUP($A50,'Données projet'!$A$434:$I$454,5,0)),0%,VLOOKUP($A50,'Données projet'!$A$434:$I$454,5,0)*VLOOKUP('Données projet'!$B$24,Paramètres!$A$1:$I$89,7,0))</f>
        <v>0</v>
      </c>
      <c r="MA50" s="16">
        <f>IF(ISNA(VLOOKUP($A50,'Données projet'!$A$434:$I$454,6,0)),0%,VLOOKUP($A50,'Données projet'!$A$434:$I$454,6,0)*VLOOKUP('Données projet'!$B$24,Paramètres!$A$1:$I$89,7,0))</f>
        <v>0</v>
      </c>
      <c r="MB50" s="16">
        <f>IF(ISNA(VLOOKUP($A50,'Données projet'!$A$434:$I$454,7,0)),0%,VLOOKUP($A50,'Données projet'!$A$434:$I$454,7,0))</f>
        <v>0</v>
      </c>
      <c r="MC50" s="21">
        <f>EXP(-LN(2)/35)*MC49+(1-EXP(-LN(2)/35))/(LN(2)/35)*LY50*LZ50*VLOOKUP('Données projet'!$B$24,Paramètres!$A$1:$I$89,3,0)*0.475*44/12</f>
        <v>0</v>
      </c>
      <c r="MD50" s="21">
        <f>EXP(-LN(2)/25)*MD49+(1-EXP(-LN(2)/25))/(LN(2)/25)*Calculateur!LY50*Calculateur!MA50*VLOOKUP('Données projet'!$B$24,Paramètres!$A$1:$I$89,3,0)*0.475*44/12</f>
        <v>0</v>
      </c>
      <c r="ME50" s="21">
        <f>EXP(-LN(2)/2)*ME49+(1-EXP(-LN(2)/2))/(LN(2)/2)*LY50*MB50*VLOOKUP('Données projet'!$B$24,Paramètres!$A$1:$I$89,3,0)*0.475*44/12</f>
        <v>0</v>
      </c>
      <c r="MF50" s="22">
        <f t="shared" si="105"/>
        <v>0</v>
      </c>
      <c r="MG50" s="74">
        <f>('Scénario référence'!$F$8+'Scénario référence'!$F$9+'Scénario référence'!$B$17+'Scénario référence'!$B$9+'Scénario référence'!$B$10)*70+IF((45+25*(1-EXP(-0.0175*$A50)))&lt;70,'Scénario référence'!$B$16*(45+25*(1-EXP(-0.0175*$A50))),70*'Scénario référence'!$B$16)+IF((32+38*(1-EXP(-0.0175*$A50)))&lt;70,'Scénario référence'!$B$18*(32+38*(1-EXP(-0.0175*$A50))),70*'Scénario référence'!$B$18)</f>
        <v>70</v>
      </c>
      <c r="MH50" s="12">
        <f>IF($A50&gt;30,10,('Scénario référence'!$B$16+'Scénario référence'!$B$17+'Scénario référence'!$B$18+'Scénario référence'!$B$9+'Scénario référence'!$B$10)*$A50*10/30+('Scénario référence'!$F$8+'Scénario référence'!$F$9)*10)</f>
        <v>10</v>
      </c>
      <c r="MI50" s="12" t="e">
        <f>VLOOKUP($A50,'Données projet'!$A$460:$I$480,2,0)</f>
        <v>#N/A</v>
      </c>
      <c r="MJ50" s="12" t="e">
        <f>VLOOKUP($A50,'Données projet'!$A$460:$I$480,9,0)</f>
        <v>#N/A</v>
      </c>
      <c r="MK50" s="12">
        <f t="array" ref="MK50">INDEX(MJ:MJ,MIN(IF(ISNUMBER(MJ50:MJ246),ROW(MJ50:MJ246),"")))</f>
        <v>0</v>
      </c>
      <c r="ML50" s="12">
        <f>IF('Données projet'!$A$460&gt;35,ML49+MK50-MT49,IF($A50&lt;'Données projet'!$A$460,$CQ$205^$A50,IF($A50='Données projet'!$A$460,'Données projet'!$B$460,ML49+MK50-MT49)))</f>
        <v>0</v>
      </c>
      <c r="MM50" s="17" t="e">
        <f>ML50*VLOOKUP('Données projet'!$B$25,Paramètres!$A$1:$I$89,3,0)*VLOOKUP('Données projet'!$B$25,Paramètres!$A$1:$I$89,5,0)</f>
        <v>#N/A</v>
      </c>
      <c r="MN50" s="13" t="e">
        <f t="shared" si="106"/>
        <v>#N/A</v>
      </c>
      <c r="MO50" s="14" t="e">
        <f t="shared" si="49"/>
        <v>#N/A</v>
      </c>
      <c r="MP50" s="59" t="e">
        <f t="shared" si="50"/>
        <v>#N/A</v>
      </c>
      <c r="MQ50" s="20" t="e">
        <f ca="1">AVERAGE(OFFSET($MP$3,0,0,'Données projet'!$E$25+1,1))-AVERAGE(OFFSET($H$3,0,0,'Données projet'!$E$25+1,1))</f>
        <v>#N/A</v>
      </c>
      <c r="MR50" s="59" t="e">
        <f t="shared" si="107"/>
        <v>#N/A</v>
      </c>
      <c r="MS50" s="15">
        <f>IF(ISNA(VLOOKUP($A50,'Données projet'!$A$460:$I$480,3,0)),0,VLOOKUP($A50,'Données projet'!$A$460:$I$480,3,0))</f>
        <v>0</v>
      </c>
      <c r="MT50" s="15">
        <f>IF(ISNA(VLOOKUP($A50,'Données projet'!$A$460:$I$480,4,0)),0,VLOOKUP($A50,'Données projet'!$A$460:$I$480,4,0))</f>
        <v>0</v>
      </c>
      <c r="MU50" s="16">
        <f>IF(ISNA(VLOOKUP($A50,'Données projet'!$A$460:$I$480,5,0)),0%,VLOOKUP($A50,'Données projet'!$A$460:$I$480,5,0)*VLOOKUP('Données projet'!$B$25,Paramètres!$A$1:$I$89,7,0))</f>
        <v>0</v>
      </c>
      <c r="MV50" s="16">
        <f>IF(ISNA(VLOOKUP($A50,'Données projet'!$A$460:$I$480,6,0)),0%,VLOOKUP($A50,'Données projet'!$A$460:$I$480,6,0)*VLOOKUP('Données projet'!$B$25,Paramètres!$A$1:$I$89,7,0))</f>
        <v>0</v>
      </c>
      <c r="MW50" s="16">
        <f>IF(ISNA(VLOOKUP($A50,'Données projet'!$A$460:$I$480,7,0)),0%,VLOOKUP($A50,'Données projet'!$A$460:$I$480,7,0))</f>
        <v>0</v>
      </c>
      <c r="MX50" s="21" t="e">
        <f>EXP(-LN(2)/35)*MX49+(1-EXP(-LN(2)/35))/(LN(2)/35)*MT50*MU50*VLOOKUP('Données projet'!$B$25,Paramètres!$A$1:$I$89,3,0)*0.475*44/12</f>
        <v>#N/A</v>
      </c>
      <c r="MY50" s="21" t="e">
        <f>EXP(-LN(2)/25)*MY49+(1-EXP(-LN(2)/25))/(LN(2)/25)*Calculateur!MT50*Calculateur!MV50*VLOOKUP('Données projet'!$B$25,Paramètres!$A$1:$I$89,3,0)*0.475*44/12</f>
        <v>#N/A</v>
      </c>
      <c r="MZ50" s="21" t="e">
        <f>EXP(-LN(2)/2)*MZ49+(1-EXP(-LN(2)/2))/(LN(2)/2)*MT50*MW50*VLOOKUP('Données projet'!$B$25,Paramètres!$A$1:$I$89,3,0)*0.475*44/12</f>
        <v>#N/A</v>
      </c>
      <c r="NA50" s="22" t="e">
        <f t="shared" si="108"/>
        <v>#N/A</v>
      </c>
      <c r="NB50" s="74">
        <f>('Scénario référence'!$F$8+'Scénario référence'!$F$9+'Scénario référence'!$B$17+'Scénario référence'!$B$9+'Scénario référence'!$B$10)*70+IF((45+25*(1-EXP(-0.0175*$A50)))&lt;70,'Scénario référence'!$B$16*(45+25*(1-EXP(-0.0175*$A50))),70*'Scénario référence'!$B$16)+IF((32+38*(1-EXP(-0.0175*$A50)))&lt;70,'Scénario référence'!$B$18*(32+38*(1-EXP(-0.0175*$A50))),70*'Scénario référence'!$B$18)</f>
        <v>70</v>
      </c>
      <c r="NC50" s="12">
        <f>IF($A50&gt;30,10,('Scénario référence'!$B$16+'Scénario référence'!$B$17+'Scénario référence'!$B$18+'Scénario référence'!$B$9+'Scénario référence'!$B$10)*$A50*10/30+('Scénario référence'!$F$8+'Scénario référence'!$F$9)*10)</f>
        <v>10</v>
      </c>
      <c r="ND50" s="12" t="e">
        <f>VLOOKUP($A50,'Données projet'!$A$486:$I$506,2,0)</f>
        <v>#N/A</v>
      </c>
      <c r="NE50" s="12" t="e">
        <f>VLOOKUP($A50,'Données projet'!$A$486:$I$506,9,0)</f>
        <v>#N/A</v>
      </c>
      <c r="NF50" s="12">
        <f t="array" ref="NF50">INDEX(NE:NE,MIN(IF(ISNUMBER(NE50:NE246),ROW(NE50:NE246),"")))</f>
        <v>0</v>
      </c>
      <c r="NG50" s="12">
        <f>IF('Données projet'!$A$486&gt;35,NG49+NF50-NO49,IF($A50&lt;'Données projet'!$A$486,$CQ$205^$A50,IF($A50='Données projet'!$A$486,'Données projet'!$B$486,NG49+NF50-NO49)))</f>
        <v>0</v>
      </c>
      <c r="NH50" s="17" t="e">
        <f>NG50*VLOOKUP('Données projet'!$B$26,Paramètres!$A$1:$I$89,3,0)*VLOOKUP('Données projet'!$B$26,Paramètres!$A$1:$I$89,5,0)</f>
        <v>#N/A</v>
      </c>
      <c r="NI50" s="13" t="e">
        <f t="shared" si="109"/>
        <v>#N/A</v>
      </c>
      <c r="NJ50" s="14" t="e">
        <f t="shared" si="52"/>
        <v>#N/A</v>
      </c>
      <c r="NK50" s="59" t="e">
        <f t="shared" si="53"/>
        <v>#N/A</v>
      </c>
      <c r="NL50" s="20" t="e">
        <f ca="1">AVERAGE(OFFSET($NK$3,0,0,'Données projet'!$E$26+1,1))-AVERAGE(OFFSET($H$3,0,0,'Données projet'!$E$26+1,1))</f>
        <v>#N/A</v>
      </c>
      <c r="NM50" s="59" t="e">
        <f t="shared" si="110"/>
        <v>#N/A</v>
      </c>
      <c r="NN50" s="15">
        <f>IF(ISNA(VLOOKUP($A50,'Données projet'!$A$486:$I$506,3,0)),0,VLOOKUP($A50,'Données projet'!$A$486:$I$506,3,0))</f>
        <v>0</v>
      </c>
      <c r="NO50" s="15">
        <f>IF(ISNA(VLOOKUP($A50,'Données projet'!$A$486:$I$506,4,0)),0,VLOOKUP($A50,'Données projet'!$A$486:$I$506,4,0))</f>
        <v>0</v>
      </c>
      <c r="NP50" s="16">
        <f>IF(ISNA(VLOOKUP($A50,'Données projet'!$A$486:$I$506,5,0)),0%,VLOOKUP($A50,'Données projet'!$A$486:$I$506,5,0)*VLOOKUP('Données projet'!$B$26,Paramètres!$A$1:$I$89,7,0))</f>
        <v>0</v>
      </c>
      <c r="NQ50" s="16">
        <f>IF(ISNA(VLOOKUP($A50,'Données projet'!$A$486:$I$506,6,0)),0%,VLOOKUP($A50,'Données projet'!$A$486:$I$506,6,0)*VLOOKUP('Données projet'!$B$26,Paramètres!$A$1:$I$89,7,0))</f>
        <v>0</v>
      </c>
      <c r="NR50" s="16">
        <f>IF(ISNA(VLOOKUP($A50,'Données projet'!$A$486:$I$506,7,0)),0%,VLOOKUP($A50,'Données projet'!$A$486:$I$506,7,0))</f>
        <v>0</v>
      </c>
      <c r="NS50" s="21" t="e">
        <f>EXP(-LN(2)/35)*NS49+(1-EXP(-LN(2)/35))/(LN(2)/35)*NO50*NP50*VLOOKUP('Données projet'!$B$26,Paramètres!$A$1:$I$89,3,0)*0.475*44/12</f>
        <v>#N/A</v>
      </c>
      <c r="NT50" s="21" t="e">
        <f>EXP(-LN(2)/25)*NT49+(1-EXP(-LN(2)/25))/(LN(2)/25)*Calculateur!NO50*Calculateur!NQ50*VLOOKUP('Données projet'!$B$26,Paramètres!$A$1:$I$89,3,0)*0.475*44/12</f>
        <v>#N/A</v>
      </c>
      <c r="NU50" s="21" t="e">
        <f>EXP(-LN(2)/2)*NU49+(1-EXP(-LN(2)/2))/(LN(2)/2)*NO50*NR50*VLOOKUP('Données projet'!$B$26,Paramètres!$A$1:$I$89,3,0)*0.475*44/12</f>
        <v>#N/A</v>
      </c>
      <c r="NV50" s="22" t="e">
        <f t="shared" si="111"/>
        <v>#N/A</v>
      </c>
      <c r="NW50" s="74">
        <f>('Scénario référence'!$F$8+'Scénario référence'!$F$9+'Scénario référence'!$B$17+'Scénario référence'!$B$9+'Scénario référence'!$B$10)*70+IF((45+25*(1-EXP(-0.0175*$A50)))&lt;70,'Scénario référence'!$B$16*(45+25*(1-EXP(-0.0175*$A50))),70*'Scénario référence'!$B$16)+IF((32+38*(1-EXP(-0.0175*$A50)))&lt;70,'Scénario référence'!$B$18*(32+38*(1-EXP(-0.0175*$A50))),70*'Scénario référence'!$B$18)</f>
        <v>70</v>
      </c>
      <c r="NX50" s="12">
        <f>IF($A50&gt;30,10,('Scénario référence'!$B$16+'Scénario référence'!$B$17+'Scénario référence'!$B$18+'Scénario référence'!$B$9+'Scénario référence'!$B$10)*$A50*10/30+('Scénario référence'!$F$8+'Scénario référence'!$F$9)*10)</f>
        <v>10</v>
      </c>
      <c r="NY50" s="12" t="e">
        <f>VLOOKUP($A50,'Données projet'!$A$512:$I$532,2,0)</f>
        <v>#N/A</v>
      </c>
      <c r="NZ50" s="12" t="e">
        <f>VLOOKUP($A50,'Données projet'!$A$512:$I$532,9,0)</f>
        <v>#N/A</v>
      </c>
      <c r="OA50" s="12">
        <f t="array" ref="OA50">INDEX(NZ:NZ,MIN(IF(ISNUMBER(NZ50:NZ246),ROW(NZ50:NZ246),"")))</f>
        <v>0</v>
      </c>
      <c r="OB50" s="12">
        <f>IF('Données projet'!$A$512&gt;35,OB49+OA50-OJ49,IF($A50&lt;'Données projet'!$A$512,$CQ$205^$A50,IF($A50='Données projet'!$A$512,'Données projet'!$B$512,OB49+OA50-OJ49)))</f>
        <v>0</v>
      </c>
      <c r="OC50" s="17" t="e">
        <f>OB50*VLOOKUP('Données projet'!$B$27,Paramètres!$A$1:$I$89,3,0)*VLOOKUP('Données projet'!$B$27,Paramètres!$A$1:$I$89,5,0)</f>
        <v>#N/A</v>
      </c>
      <c r="OD50" s="13" t="e">
        <f t="shared" si="112"/>
        <v>#N/A</v>
      </c>
      <c r="OE50" s="14" t="e">
        <f t="shared" si="55"/>
        <v>#N/A</v>
      </c>
      <c r="OF50" s="59" t="e">
        <f t="shared" si="56"/>
        <v>#N/A</v>
      </c>
      <c r="OG50" s="20" t="e">
        <f ca="1">AVERAGE(OFFSET($OF$3,0,0,'Données projet'!$E$27+1,1))-AVERAGE(OFFSET($H$3,0,0,'Données projet'!$E$27+1,1))</f>
        <v>#N/A</v>
      </c>
      <c r="OH50" s="59" t="e">
        <f t="shared" si="113"/>
        <v>#N/A</v>
      </c>
      <c r="OI50" s="15">
        <f>IF(ISNA(VLOOKUP($A50,'Données projet'!$A$512:$I$532,3,0)),0,VLOOKUP($A50,'Données projet'!$A$512:$I$532,3,0))</f>
        <v>0</v>
      </c>
      <c r="OJ50" s="15">
        <f>IF(ISNA(VLOOKUP($A50,'Données projet'!$A$512:$I$532,4,0)),0,VLOOKUP($A50,'Données projet'!$A$512:$I$532,4,0))</f>
        <v>0</v>
      </c>
      <c r="OK50" s="16">
        <f>IF(ISNA(VLOOKUP($A50,'Données projet'!$A$512:$I$532,5,0)),0%,VLOOKUP($A50,'Données projet'!$A$512:$I$532,5,0)*VLOOKUP('Données projet'!$B$27,Paramètres!$A$1:$I$89,7,0))</f>
        <v>0</v>
      </c>
      <c r="OL50" s="16">
        <f>IF(ISNA(VLOOKUP($A50,'Données projet'!$A$512:$I$532,6,0)),0%,VLOOKUP($A50,'Données projet'!$A$512:$I$532,6,0)*VLOOKUP('Données projet'!$B$27,Paramètres!$A$1:$I$89,7,0))</f>
        <v>0</v>
      </c>
      <c r="OM50" s="16">
        <f>IF(ISNA(VLOOKUP($A50,'Données projet'!$A$512:$I$532,7,0)),0%,VLOOKUP($A50,'Données projet'!$A$512:$I$532,7,0))</f>
        <v>0</v>
      </c>
      <c r="ON50" s="21" t="e">
        <f>EXP(-LN(2)/35)*ON49+(1-EXP(-LN(2)/35))/(LN(2)/35)*OJ50*OK50*VLOOKUP('Données projet'!$B$27,Paramètres!$A$1:$I$89,3,0)*0.475*44/12</f>
        <v>#N/A</v>
      </c>
      <c r="OO50" s="21" t="e">
        <f>EXP(-LN(2)/25)*OO49+(1-EXP(-LN(2)/25))/(LN(2)/25)*Calculateur!OJ50*Calculateur!OL50*VLOOKUP('Données projet'!$B$27,Paramètres!$A$1:$I$89,3,0)*0.475*44/12</f>
        <v>#N/A</v>
      </c>
      <c r="OP50" s="21" t="e">
        <f>EXP(-LN(2)/2)*OP49+(1-EXP(-LN(2)/2))/(LN(2)/2)*OJ50*OM50*VLOOKUP('Données projet'!$B$27,Paramètres!$A$1:$I$89,3,0)*0.475*44/12</f>
        <v>#N/A</v>
      </c>
      <c r="OQ50" s="22" t="e">
        <f t="shared" si="114"/>
        <v>#N/A</v>
      </c>
      <c r="OR50" s="74">
        <f>('Scénario référence'!$F$8+'Scénario référence'!$F$9+'Scénario référence'!$B$17+'Scénario référence'!$B$9+'Scénario référence'!$B$10)*70+IF((45+25*(1-EXP(-0.0175*$A50)))&lt;70,'Scénario référence'!$B$16*(45+25*(1-EXP(-0.0175*$A50))),70*'Scénario référence'!$B$16)+IF((32+38*(1-EXP(-0.0175*$A50)))&lt;70,'Scénario référence'!$B$18*(32+38*(1-EXP(-0.0175*$A50))),70*'Scénario référence'!$B$18)</f>
        <v>70</v>
      </c>
      <c r="OS50" s="12">
        <f>IF($A50&gt;30,10,('Scénario référence'!$B$16+'Scénario référence'!$B$17+'Scénario référence'!$B$18+'Scénario référence'!$B$9+'Scénario référence'!$B$10)*$A50*10/30+('Scénario référence'!$F$8+'Scénario référence'!$F$9)*10)</f>
        <v>10</v>
      </c>
      <c r="OT50" s="12" t="e">
        <f>VLOOKUP($A50,'Données projet'!$A$538:$I$558,2,0)</f>
        <v>#N/A</v>
      </c>
      <c r="OU50" s="12" t="e">
        <f>VLOOKUP($A50,'Données projet'!$A$538:$I$558,9,0)</f>
        <v>#N/A</v>
      </c>
      <c r="OV50" s="12">
        <f t="array" ref="OV50">INDEX(OU:OU,MIN(IF(ISNUMBER(OU50:OU246),ROW(OU50:OU246),"")))</f>
        <v>0</v>
      </c>
      <c r="OW50" s="12">
        <f>IF('Données projet'!$A$538&gt;35,OW49+OV50-PE49,IF($A50&lt;'Données projet'!$A$538,$CQ$205^$A50,IF($A50='Données projet'!$A$538,'Données projet'!$B$538,OW49+OV50-PE49)))</f>
        <v>0</v>
      </c>
      <c r="OX50" s="17" t="e">
        <f>OW50*VLOOKUP('Données projet'!$B$28,Paramètres!$A$1:$I$89,3,0)*VLOOKUP('Données projet'!$B$28,Paramètres!$A$1:$I$89,5,0)</f>
        <v>#N/A</v>
      </c>
      <c r="OY50" s="13" t="e">
        <f t="shared" si="115"/>
        <v>#N/A</v>
      </c>
      <c r="OZ50" s="14" t="e">
        <f t="shared" si="58"/>
        <v>#N/A</v>
      </c>
      <c r="PA50" s="59" t="e">
        <f t="shared" si="59"/>
        <v>#N/A</v>
      </c>
      <c r="PB50" s="20" t="e">
        <f ca="1">AVERAGE(OFFSET($PA$3,0,0,'Données projet'!$E$28+1,1))-AVERAGE(OFFSET($H$3,0,0,'Données projet'!$E$28+1,1))</f>
        <v>#N/A</v>
      </c>
      <c r="PC50" s="59" t="e">
        <f t="shared" si="116"/>
        <v>#N/A</v>
      </c>
      <c r="PD50" s="15">
        <f>IF(ISNA(VLOOKUP($A50,'Données projet'!$A$538:$I$558,3,0)),0,VLOOKUP($A50,'Données projet'!$A$538:$I$558,3,0))</f>
        <v>0</v>
      </c>
      <c r="PE50" s="15">
        <f>IF(ISNA(VLOOKUP($A50,'Données projet'!$A$538:$I$558,4,0)),0,VLOOKUP($A50,'Données projet'!$A$538:$I$558,4,0))</f>
        <v>0</v>
      </c>
      <c r="PF50" s="16">
        <f>IF(ISNA(VLOOKUP($A50,'Données projet'!$A$538:$I$558,5,0)),0%,VLOOKUP($A50,'Données projet'!$A$538:$I$558,5,0)*VLOOKUP('Données projet'!$B$28,Paramètres!$A$1:$I$89,7,0))</f>
        <v>0</v>
      </c>
      <c r="PG50" s="16">
        <f>IF(ISNA(VLOOKUP($A50,'Données projet'!$A$538:$I$558,6,0)),0%,VLOOKUP($A50,'Données projet'!$A$538:$I$558,6,0)*VLOOKUP('Données projet'!$B$28,Paramètres!$A$1:$I$89,7,0))</f>
        <v>0</v>
      </c>
      <c r="PH50" s="16">
        <f>IF(ISNA(VLOOKUP($A50,'Données projet'!$A$538:$I$558,7,0)),0%,VLOOKUP($A50,'Données projet'!$A$538:$I$558,7,0))</f>
        <v>0</v>
      </c>
      <c r="PI50" s="21" t="e">
        <f>EXP(-LN(2)/35)*PI49+(1-EXP(-LN(2)/35))/(LN(2)/35)*PE50*PF50*VLOOKUP('Données projet'!$B$28,Paramètres!$A$1:$I$89,3,0)*0.475*44/12</f>
        <v>#N/A</v>
      </c>
      <c r="PJ50" s="21" t="e">
        <f>EXP(-LN(2)/25)*PJ49+(1-EXP(-LN(2)/25))/(LN(2)/25)*Calculateur!PE50*Calculateur!PG50*VLOOKUP('Données projet'!$B$28,Paramètres!$A$1:$I$89,3,0)*0.475*44/12</f>
        <v>#N/A</v>
      </c>
      <c r="PK50" s="21" t="e">
        <f>EXP(-LN(2)/2)*PK49+(1-EXP(-LN(2)/2))/(LN(2)/2)*PE50*PH50*VLOOKUP('Données projet'!$B$28,Paramètres!$A$1:$I$89,3,0)*0.475*44/12</f>
        <v>#N/A</v>
      </c>
      <c r="PL50" s="22" t="e">
        <f t="shared" si="117"/>
        <v>#N/A</v>
      </c>
    </row>
    <row r="51" spans="1:428" x14ac:dyDescent="0.35">
      <c r="A51" s="10">
        <f t="shared" si="6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6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projet'!$A$45:$I$65,2,0)</f>
        <v>525.0846153846154</v>
      </c>
      <c r="L51" s="12">
        <f>VLOOKUP(A51,'Données projet'!$A$45:$I$65,9,0)</f>
        <v>21.625641025641034</v>
      </c>
      <c r="M51" s="12">
        <f t="array" ref="M51">INDEX(L:L,MIN(IF(ISNUMBER(L51:L247),ROW(L51:L247),"")))</f>
        <v>21.625641025641034</v>
      </c>
      <c r="N51" s="13">
        <f>IF('Données projet'!$A$46&gt;35,N50+M51-V50,IF(A51&lt;'Données projet'!$A$46,$K$205^A51,IF(A51='Données projet'!$A$46,'Données projet'!$B$46,N50+M51-V50)))</f>
        <v>525.08461538461529</v>
      </c>
      <c r="O51" s="13">
        <f>N51*VLOOKUP('Données projet'!$B$9,Paramètres!$A$1:$I$89,3,0)*VLOOKUP('Données projet'!$B$9,Paramètres!$A$1:$I$89,5,0)</f>
        <v>293.52229999999997</v>
      </c>
      <c r="P51" s="13">
        <f t="shared" si="63"/>
        <v>69.816768342057628</v>
      </c>
      <c r="Q51" s="20">
        <f t="shared" si="118"/>
        <v>632.81554402908364</v>
      </c>
      <c r="R51" s="59">
        <f t="shared" si="0"/>
        <v>926.1488773624169</v>
      </c>
      <c r="S51" s="59">
        <f ca="1">AVERAGE(OFFSET($R$3,0,0,'Données projet'!$E$9+1,1))-AVERAGE(OFFSET($H$3,0,0,'Données projet'!$E$9+1,1))</f>
        <v>274.57619581652199</v>
      </c>
      <c r="T51" s="59">
        <f t="shared" si="64"/>
        <v>366.15117322598775</v>
      </c>
      <c r="U51" s="15">
        <f>IF(ISNA(VLOOKUP(A51,'Données projet'!$A$45:$I$65,3,0)),0,VLOOKUP(A51,'Données projet'!$A$45:$I$65,3,0))</f>
        <v>6</v>
      </c>
      <c r="V51" s="15">
        <f>IF(ISNA(VLOOKUP(A51,'Données projet'!$A$45:$I$65,4,0)),0,VLOOKUP(A51,'Données projet'!$A$45:$I$65,4,0))</f>
        <v>81.330769230769235</v>
      </c>
      <c r="W51" s="16">
        <f>IF(ISNA(VLOOKUP(A51,'Données projet'!$A$45:$I$65,5,0)),0%,VLOOKUP(A51,'Données projet'!$A$45:$I$65,5,0)*VLOOKUP('Données projet'!$B$9,Paramètres!$A$1:$I$89,7,0))</f>
        <v>0.38500000000000001</v>
      </c>
      <c r="X51" s="16">
        <f>IF(ISNA(VLOOKUP(A51,'Données projet'!$A$45:$I$65,6,0)),0%,VLOOKUP(A51,'Données projet'!$A$45:$I$65,6,0)*VLOOKUP('Données projet'!$B$9,Paramètres!$A$1:$I$89,7,0))</f>
        <v>9.240000000000001E-2</v>
      </c>
      <c r="Y51" s="16">
        <f>IF(ISNA(VLOOKUP(A51,'Données projet'!$A$45:$I$65,7,0)),0%,VLOOKUP(A51,'Données projet'!$A$45:$I$65,7,0))</f>
        <v>0.13200000000000001</v>
      </c>
      <c r="Z51" s="21">
        <f>EXP(-LN(2)/35)*Z50+(1-EXP(-LN(2)/35))/(LN(2)/35)*V51*W51*VLOOKUP('Données projet'!$B$9,Paramètres!$A$1:$I$89,3,0)*0.475*44/12</f>
        <v>78.12390248786032</v>
      </c>
      <c r="AA51" s="21">
        <f>EXP(-LN(2)/25)*AA50+(1-EXP(-LN(2)/25))/(LN(2)/25)*Calculateur!V51*Calculateur!X51*VLOOKUP('Données projet'!$B$9,Paramètres!$A$1:$I$89,3,0)*0.475*44/12</f>
        <v>24.261720592795644</v>
      </c>
      <c r="AB51" s="21">
        <f>EXP(-LN(2)/2)*AB50+(1-EXP(-LN(2)/2))/(LN(2)/2)*V51*Y51*VLOOKUP('Données projet'!$B$9,Paramètres!$A$1:$I$89,3,0)*0.475*44/12</f>
        <v>7.6638765903722392</v>
      </c>
      <c r="AC51" s="22">
        <f t="shared" si="3"/>
        <v>110.0494996710282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projet'!$A$71:$I$91,2,0)</f>
        <v>184.35256410256409</v>
      </c>
      <c r="AG51" s="12">
        <f>VLOOKUP(A51,'Données projet'!$A$71:$I$91,9,0)</f>
        <v>9.3452380952380913</v>
      </c>
      <c r="AH51" s="12">
        <f t="array" ref="AH51">INDEX(AG:AG,MIN(IF(ISNUMBER(AG51:AG247),ROW(AG51:AG247),"")))</f>
        <v>9.3452380952380913</v>
      </c>
      <c r="AI51" s="13">
        <f>IF('Données projet'!$A$72&gt;35,AI50+AH51-AQ50,IF(A51&lt;'Données projet'!$A$72,$AF$205^A51,IF(A51='Données projet'!$A$72,'Données projet'!$B$72,AI50+AH51-AQ50)))</f>
        <v>184.3525641025642</v>
      </c>
      <c r="AJ51" s="13">
        <f>AI51*VLOOKUP('Données projet'!$B$10,Paramètres!$A$1:$I$89,3,0)*VLOOKUP('Données projet'!$B$10,Paramètres!$A$1:$I$89,5,0)</f>
        <v>166.80220000000008</v>
      </c>
      <c r="AK51" s="13">
        <f t="shared" si="65"/>
        <v>42.373033138688463</v>
      </c>
      <c r="AL51" s="20">
        <f t="shared" si="4"/>
        <v>364.31353104988256</v>
      </c>
      <c r="AM51" s="59">
        <f t="shared" si="5"/>
        <v>657.64686438321587</v>
      </c>
      <c r="AN51" s="59">
        <f ca="1">AVERAGE(OFFSET($AM$3,0,0,'Données projet'!$E$10+1,1))-AVERAGE(OFFSET($H$3,0,0,'Données projet'!$E$10+1,1))</f>
        <v>270.87836509222456</v>
      </c>
      <c r="AO51" s="59">
        <f t="shared" si="66"/>
        <v>205.24998237949734</v>
      </c>
      <c r="AP51" s="15">
        <f>IF(ISNA(VLOOKUP(A51,'Données projet'!$A$71:$I$91,3,0)),0,VLOOKUP(A51,'Données projet'!$A$71:$I$91,3,0))</f>
        <v>3</v>
      </c>
      <c r="AQ51" s="15">
        <f>IF(ISNA(VLOOKUP(A51,'Données projet'!$A$71:$I$91,4,0)),0,VLOOKUP(A51,'Données projet'!$A$71:$I$91,4,0))</f>
        <v>48.025641025641022</v>
      </c>
      <c r="AR51" s="16">
        <f>IF(ISNA(VLOOKUP(A51,'Données projet'!$A$71:$I$91,5,0)),0%,VLOOKUP(A51,'Données projet'!$A$71:$I$91,5,0)*VLOOKUP('Données projet'!$B$10,Paramètres!$A$1:$I$89,7,0))</f>
        <v>0</v>
      </c>
      <c r="AS51" s="16">
        <f>IF(ISNA(VLOOKUP(A51,'Données projet'!$A$71:$I$91,6,0)),0%,VLOOKUP(A51,'Données projet'!$A$71:$I$91,6,0)*VLOOKUP('Données projet'!$B$10,Paramètres!$A$1:$I$89,7,0))</f>
        <v>0</v>
      </c>
      <c r="AT51" s="16">
        <f>IF(ISNA(VLOOKUP(A51,'Données projet'!$A$71:$I$91,7,0)),0%,VLOOKUP(A51,'Données projet'!$A$71:$I$91,7,0))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>
        <f>VLOOKUP(A51,'Données projet'!$A$97:$I$117,2,0)</f>
        <v>525.0846153846154</v>
      </c>
      <c r="BB51" s="12">
        <f>VLOOKUP(A51,'Données projet'!$A$97:$I$117,9,0)</f>
        <v>21.625641025641034</v>
      </c>
      <c r="BC51" s="12">
        <f t="array" ref="BC51">INDEX(BB:BB,MIN(IF(ISNUMBER(BB51:BB247),ROW(BB51:BB247),"")))</f>
        <v>21.625641025641034</v>
      </c>
      <c r="BD51" s="12">
        <f>IF('Données projet'!$A$98&gt;35,BD50+BC51-BL50,IF(A51&lt;'Données projet'!$A$98,$BA$205^A51,IF(A51='Données projet'!$A$98,'Données projet'!$B$98,BD50+BC51-BL50)))</f>
        <v>525.08461538461529</v>
      </c>
      <c r="BE51" s="13">
        <f>BD51*VLOOKUP('Données projet'!$B$11,Paramètres!$A$1:$I$89,3,0)*VLOOKUP('Données projet'!$B$11,Paramètres!$A$1:$I$89,5,0)</f>
        <v>232.08739999999997</v>
      </c>
      <c r="BF51" s="13">
        <f t="shared" si="67"/>
        <v>56.733788614286766</v>
      </c>
      <c r="BG51" s="20">
        <f t="shared" si="7"/>
        <v>503.03023683654936</v>
      </c>
      <c r="BH51" s="59">
        <f t="shared" si="8"/>
        <v>796.36357016988268</v>
      </c>
      <c r="BI51" s="59">
        <f ca="1">AVERAGE(OFFSET($BH$3,0,0,'Données projet'!$E$11+1,1))-AVERAGE(OFFSET($H$3,0,0,'Données projet'!$E$11+1,1))</f>
        <v>211.31057120485542</v>
      </c>
      <c r="BJ51" s="59">
        <f t="shared" si="68"/>
        <v>283.33292006714777</v>
      </c>
      <c r="BK51" s="15">
        <f>IF(ISNA(VLOOKUP(A51,'Données projet'!$A$97:$I$117,3,0)),0,VLOOKUP(A51,'Données projet'!$A$97:$I$117,3,0))</f>
        <v>6</v>
      </c>
      <c r="BL51" s="15">
        <f>IF(ISNA(VLOOKUP(A51,'Données projet'!$A$97:$I$117,4,0)),0,VLOOKUP(A51,'Données projet'!$A$97:$I$117,4,0))</f>
        <v>81.330769230769235</v>
      </c>
      <c r="BM51" s="16">
        <f>IF(ISNA(VLOOKUP(A51,'Données projet'!$A$97:$I$117,5,0)),0%,VLOOKUP(A51,'Données projet'!$A$97:$I$117,5,0)*VLOOKUP('Données projet'!$B$11,Paramètres!$A$1:$I$89,7,0))</f>
        <v>0.38500000000000001</v>
      </c>
      <c r="BN51" s="16">
        <f>IF(ISNA(VLOOKUP(A51,'Données projet'!$A$97:$I$117,6,0)),0%,VLOOKUP(A51,'Données projet'!$A$97:$I$117,6,0)*VLOOKUP('Données projet'!$B$11,Paramètres!$A$1:$I$89,7,0))</f>
        <v>9.240000000000001E-2</v>
      </c>
      <c r="BO51" s="16">
        <f>IF(ISNA(VLOOKUP(A51,'Données projet'!$A$97:$I$117,7,0)),0%,VLOOKUP(A51,'Données projet'!$A$97:$I$117,7,0))</f>
        <v>0.13200000000000001</v>
      </c>
      <c r="BP51" s="21">
        <f>EXP(-LN(2)/35)*BP50+(1-EXP(-LN(2)/35))/(LN(2)/35)*BL51*BM51*VLOOKUP('Données projet'!$B$11,Paramètres!$A$1:$I$89,3,0)*0.475*44/12</f>
        <v>61.772388013656993</v>
      </c>
      <c r="BQ51" s="21">
        <f>EXP(-LN(2)/25)*BQ50+(1-EXP(-LN(2)/25))/(LN(2)/25)*Calculateur!BL51*Calculateur!BN51*VLOOKUP('Données projet'!$B$11,Paramètres!$A$1:$I$89,3,0)*0.475*44/12</f>
        <v>19.183686050117487</v>
      </c>
      <c r="BR51" s="21">
        <f>EXP(-LN(2)/2)*BR50+(1-EXP(-LN(2)/2))/(LN(2)/2)*BL51*BO51*VLOOKUP('Données projet'!$B$11,Paramètres!$A$1:$I$89,3,0)*0.475*44/12</f>
        <v>6.0598093970385154</v>
      </c>
      <c r="BS51" s="22">
        <f t="shared" si="9"/>
        <v>87.015883460813001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projet'!$A$123:$I$143,2,0)</f>
        <v>#N/A</v>
      </c>
      <c r="BW51" s="12" t="e">
        <f>VLOOKUP(A51,'Données projet'!$A$123:$I$143,9,0)</f>
        <v>#N/A</v>
      </c>
      <c r="BX51" s="12">
        <f t="array" ref="BX51">INDEX(BW:BW,MIN(IF(ISNUMBER(BW51:BW247),ROW(BW51:BW247),"")))</f>
        <v>7.4</v>
      </c>
      <c r="BY51" s="12">
        <f>IF('Données projet'!$A$124&gt;35,BY50+BX51-CG50,IF(A51&lt;'Données projet'!$A$124,$BV$205^A51,IF(A51='Données projet'!$A$124,'Données projet'!$B$124,BY50+BX51-CG50)))</f>
        <v>194.20000000000005</v>
      </c>
      <c r="BZ51" s="13">
        <f>BY51*VLOOKUP('Données projet'!$B$12,Paramètres!$A$1:$I$89,3,0)*VLOOKUP('Données projet'!$B$12,Paramètres!$A$1:$I$89,5,0)</f>
        <v>202.97784000000007</v>
      </c>
      <c r="CA51" s="13">
        <f t="shared" si="69"/>
        <v>50.398042839657315</v>
      </c>
      <c r="CB51" s="20">
        <f t="shared" si="10"/>
        <v>441.29632927906988</v>
      </c>
      <c r="CC51" s="59">
        <f t="shared" si="11"/>
        <v>734.62966261240319</v>
      </c>
      <c r="CD51" s="59">
        <f ca="1">AVERAGE(OFFSET($CC$3,0,0,'Données projet'!$E$12+1,1))-AVERAGE(OFFSET($H$3,0,0,'Données projet'!$E$12+1,1))</f>
        <v>322.93502595881938</v>
      </c>
      <c r="CE51" s="59">
        <f t="shared" si="70"/>
        <v>302.67072119588164</v>
      </c>
      <c r="CF51" s="15">
        <f>IF(ISNA(VLOOKUP(A51,'Données projet'!$A$123:$I$143,3,0)),0,VLOOKUP(A51,'Données projet'!$A$123:$I$143,3,0))</f>
        <v>0</v>
      </c>
      <c r="CG51" s="15">
        <f>IF(ISNA(VLOOKUP(A51,'Données projet'!$A$123:$I$143,4,0)),0,VLOOKUP(A51,'Données projet'!$A$123:$I$143,4,0))</f>
        <v>0</v>
      </c>
      <c r="CH51" s="16">
        <f>IF(ISNA(VLOOKUP(A51,'Données projet'!$A$123:$I$143,5,0)),0%,VLOOKUP(A51,'Données projet'!$A$123:$I$143,5,0)*VLOOKUP('Données projet'!$B$12,Paramètres!$A$1:$I$89,7,0))</f>
        <v>0</v>
      </c>
      <c r="CI51" s="16">
        <f>IF(ISNA(VLOOKUP(A51,'Données projet'!$A$123:$I$143,6,0)),0%,VLOOKUP(A51,'Données projet'!$A$123:$I$143,6,0)*VLOOKUP('Données projet'!$B$12,Paramètres!$A$1:$I$89,7,0))</f>
        <v>0</v>
      </c>
      <c r="CJ51" s="16">
        <f>IF(ISNA(VLOOKUP(A51,'Données projet'!$A$123:$I$143,7,0)),0%,VLOOKUP(A51,'Données projet'!$A$123:$I$143,7,0))</f>
        <v>0</v>
      </c>
      <c r="CK51" s="21">
        <f>EXP(-LN(2)/35)*CK50+(1-EXP(-LN(2)/35))/(LN(2)/35)*CG51*CH51*VLOOKUP('Données projet'!$B$12,Paramètres!$A$1:$I$89,3,0)*0.475*44/12</f>
        <v>4.8690668278133291</v>
      </c>
      <c r="CL51" s="21">
        <f>EXP(-LN(2)/25)*CL50+(1-EXP(-LN(2)/25))/(LN(2)/25)*Calculateur!CG51*Calculateur!CI51*VLOOKUP('Données projet'!$B$12,Paramètres!$A$1:$I$89,3,0)*0.475*44/12</f>
        <v>14.74694482436187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19.616011652175199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projet'!$A$149:$I$169,2,0)</f>
        <v>#N/A</v>
      </c>
      <c r="CR51" s="12" t="e">
        <f>VLOOKUP(A51,'Données projet'!$A$149:$I$169,9,0)</f>
        <v>#N/A</v>
      </c>
      <c r="CS51" s="12">
        <f t="array" ref="CS51">INDEX(CR:CR,MIN(IF(ISNUMBER(CR51:CR247),ROW(CR51:CR247),"")))</f>
        <v>6.826007326007324</v>
      </c>
      <c r="CT51" s="12">
        <f>IF('Données projet'!$A$150&gt;35,CT50+CS51-DB50,IF(A51&lt;'Données projet'!$A$150,$CQ$205^A51,IF(A51='Données projet'!$A$150,'Données projet'!$B$150,CT50+CS51-DB50)))</f>
        <v>125.31043956043951</v>
      </c>
      <c r="CU51" s="17">
        <f>CT51*VLOOKUP('Données projet'!$B$13,Paramètres!$A$1:$I$89,3,0)*VLOOKUP('Données projet'!$B$13,Paramètres!$A$1:$I$89,5,0)</f>
        <v>127.06478571428566</v>
      </c>
      <c r="CV51" s="13">
        <f t="shared" si="71"/>
        <v>33.317218652426654</v>
      </c>
      <c r="CW51" s="20">
        <f t="shared" si="13"/>
        <v>279.33199093869058</v>
      </c>
      <c r="CX51" s="59">
        <f t="shared" si="14"/>
        <v>572.66532427202389</v>
      </c>
      <c r="CY51" s="59">
        <f ca="1">AVERAGE(OFFSET($CX$3,0,0,'Données projet'!$E$13+1,1))-AVERAGE(OFFSET($H$3,0,0,'Données projet'!$E$13+1,1))</f>
        <v>250.31277422753283</v>
      </c>
      <c r="CZ51" s="59">
        <f t="shared" si="72"/>
        <v>159.20429420478047</v>
      </c>
      <c r="DA51" s="15">
        <f>IF(ISNA(VLOOKUP(A51,'Données projet'!$A$149:$I$169,3,0)),0,VLOOKUP(A51,'Données projet'!$A$149:$I$169,3,0))</f>
        <v>0</v>
      </c>
      <c r="DB51" s="15">
        <f>IF(ISNA(VLOOKUP(A51,'Données projet'!$A$149:$I$169,4,0)),0,VLOOKUP(A51,'Données projet'!$A$149:$I$169,4,0))</f>
        <v>0</v>
      </c>
      <c r="DC51" s="16">
        <f>IF(ISNA(VLOOKUP(A51,'Données projet'!$A$149:$I$169,5,0)),0%,VLOOKUP(A51,'Données projet'!$A$149:$I$169,5,0)*VLOOKUP('Données projet'!$B$13,Paramètres!$A$1:$I$89,7,0))</f>
        <v>0</v>
      </c>
      <c r="DD51" s="16">
        <f>IF(ISNA(VLOOKUP(A51,'Données projet'!$A$149:$I$169,6,0)),0%,VLOOKUP(A51,'Données projet'!$A$149:$I$169,6,0)*VLOOKUP('Données projet'!$B$13,Paramètres!$A$1:$I$89,7,0))</f>
        <v>0</v>
      </c>
      <c r="DE51" s="16">
        <f>IF(ISNA(VLOOKUP(A51,'Données projet'!$A$149:$I$169,7,0)),0%,VLOOKUP(A51,'Données projet'!$A$149:$I$169,7,0))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0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projet'!$A$175:$I$195,2,0)</f>
        <v>#N/A</v>
      </c>
      <c r="DM51" s="12" t="e">
        <f>VLOOKUP(A51,'Données projet'!$A$175:$I$195,9,0)</f>
        <v>#N/A</v>
      </c>
      <c r="DN51" s="12">
        <f t="array" ref="DN51">INDEX(DM:DM,MIN(IF(ISNUMBER(DM51:DM247),ROW(DM51:DM247),"")))</f>
        <v>9.8000000000000007</v>
      </c>
      <c r="DO51" s="12">
        <f>IF('Données projet'!$A$176&gt;35,DO50+DN51-DW50,IF(A51&lt;'Données projet'!$A$176,$DL$205^A51,IF(A51='Données projet'!$A$176,'Données projet'!$B$176,DO50+DN51-DW50)))</f>
        <v>283.39999999999992</v>
      </c>
      <c r="DP51" s="17">
        <f>DO51*VLOOKUP('Données projet'!$B$14,Paramètres!$A$1:$I$89,3,0)*VLOOKUP('Données projet'!$B$14,Paramètres!$A$1:$I$89,5,0)</f>
        <v>207.78887999999992</v>
      </c>
      <c r="DQ51" s="13">
        <f t="shared" si="73"/>
        <v>51.452103086551489</v>
      </c>
      <c r="DR51" s="20">
        <f t="shared" si="16"/>
        <v>451.51137887574367</v>
      </c>
      <c r="DS51" s="59">
        <f t="shared" si="17"/>
        <v>744.84471220907699</v>
      </c>
      <c r="DT51" s="59">
        <f ca="1">AVERAGE(OFFSET($DS$3,0,0,'Données projet'!$E$14+1,1))-AVERAGE(OFFSET($H$3,0,0,'Données projet'!$E$14+1,1))</f>
        <v>296.91321813251051</v>
      </c>
      <c r="DU51" s="59">
        <f t="shared" si="74"/>
        <v>291.0718079639509</v>
      </c>
      <c r="DV51" s="15">
        <f>IF(ISNA(VLOOKUP(A51,'Données projet'!$A$175:$I$195,3,0)),0,VLOOKUP(A51,'Données projet'!$A$175:$I$195,3,0))</f>
        <v>0</v>
      </c>
      <c r="DW51" s="15">
        <f>IF(ISNA(VLOOKUP(A51,'Données projet'!$A$175:$I$195,4,0)),0,VLOOKUP(A51,'Données projet'!$A$175:$I$195,4,0))</f>
        <v>0</v>
      </c>
      <c r="DX51" s="16">
        <f>IF(ISNA(VLOOKUP(A51,'Données projet'!$A$175:$I$195,5,0)),0%,VLOOKUP(A51,'Données projet'!$A$175:$I$195,5,0)*VLOOKUP('Données projet'!$B$14,Paramètres!$A$1:$I$89,7,0))</f>
        <v>0</v>
      </c>
      <c r="DY51" s="16">
        <f>IF(ISNA(VLOOKUP(A51,'Données projet'!$A$175:$I$195,6,0)),0%,VLOOKUP(A51,'Données projet'!$A$175:$I$195,6,0)*VLOOKUP('Données projet'!$B$14,Paramètres!$A$1:$I$89,7,0))</f>
        <v>0</v>
      </c>
      <c r="DZ51" s="16">
        <f>IF(ISNA(VLOOKUP(A51,'Données projet'!$A$175:$I$195,7,0)),0%,VLOOKUP(A51,'Données projet'!$A$175:$I$195,7,0))</f>
        <v>0</v>
      </c>
      <c r="EA51" s="21">
        <f>EXP(-LN(2)/35)*EA50+(1-EXP(-LN(2)/35))/(LN(2)/35)*DW51*DX51*VLOOKUP('Données projet'!$B$14,Paramètres!$A$1:$I$89,3,0)*0.475*44/12</f>
        <v>32.97204939966155</v>
      </c>
      <c r="EB51" s="21">
        <f>EXP(-LN(2)/25)*EB50+(1-EXP(-LN(2)/25))/(LN(2)/25)*Calculateur!DW51*Calculateur!DY51*VLOOKUP('Données projet'!$B$14,Paramètres!$A$1:$I$89,3,0)*0.475*44/12</f>
        <v>10.239177225650234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43.211226625311781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projet'!$A$201:$I$221,2,0)</f>
        <v>#N/A</v>
      </c>
      <c r="EH51" s="12" t="e">
        <f>VLOOKUP(A51,'Données projet'!$A$201:$I$221,9,0)</f>
        <v>#N/A</v>
      </c>
      <c r="EI51" s="12">
        <f t="array" ref="EI51">INDEX(EH:EH,MIN(IF(ISNUMBER(EH51:EH247),ROW(EH51:EH247),"")))</f>
        <v>10.407692307692306</v>
      </c>
      <c r="EJ51" s="12">
        <f>IF('Données projet'!$A$202&gt;35,EJ50+EI51-ER50,IF(A51&lt;'Données projet'!$A$202,$EG$205^A51,IF(A51='Données projet'!$A$202,'Données projet'!$B$202,EJ50+EI51-ER50)))</f>
        <v>290.61538461538458</v>
      </c>
      <c r="EK51" s="17">
        <f>EJ51*VLOOKUP('Données projet'!$B$15,Paramètres!$A$1:$I$89,3,0)*VLOOKUP('Données projet'!$B$15,Paramètres!$A$1:$I$89,5,0)</f>
        <v>136.00799999999998</v>
      </c>
      <c r="EL51" s="13">
        <f t="shared" si="75"/>
        <v>35.380960341100334</v>
      </c>
      <c r="EM51" s="20">
        <f t="shared" si="19"/>
        <v>298.50243926074967</v>
      </c>
      <c r="EN51" s="59">
        <f t="shared" si="20"/>
        <v>591.83577259408298</v>
      </c>
      <c r="EO51" s="59">
        <f ca="1">AVERAGE(OFFSET($EN$3,0,0,'Données projet'!$E$15+1,1))-AVERAGE(OFFSET($H$3,0,0,'Données projet'!$E$15+1,1))</f>
        <v>147.64256291235483</v>
      </c>
      <c r="EP51" s="59">
        <f t="shared" si="76"/>
        <v>70.859031694091868</v>
      </c>
      <c r="EQ51" s="15">
        <f>IF(ISNA(VLOOKUP(A51,'Données projet'!$A$201:$I$221,3,0)),0,VLOOKUP(A51,'Données projet'!$A$201:$I$221,3,0))</f>
        <v>0</v>
      </c>
      <c r="ER51" s="15">
        <f>IF(ISNA(VLOOKUP(A51,'Données projet'!$A$201:$I$221,4,0)),0,VLOOKUP(A51,'Données projet'!$A$201:$I$221,4,0))</f>
        <v>0</v>
      </c>
      <c r="ES51" s="16">
        <f>IF(ISNA(VLOOKUP(A51,'Données projet'!$A$201:$I$221,5,0)),0%,VLOOKUP(A51,'Données projet'!$A$201:$I$221,5,0)*VLOOKUP('Données projet'!$B$15,Paramètres!$A$1:$I$89,7,0))</f>
        <v>0</v>
      </c>
      <c r="ET51" s="16">
        <f>IF(ISNA(VLOOKUP(A51,'Données projet'!$A$201:$I$221,6,0)),0%,VLOOKUP(A51,'Données projet'!$A$201:$I$221,6,0)*VLOOKUP('Données projet'!$B$15,Paramètres!$A$1:$I$89,7,0))</f>
        <v>0</v>
      </c>
      <c r="EU51" s="16">
        <f>IF(ISNA(VLOOKUP(A51,'Données projet'!$A$201:$I$221,7,0)),0%,VLOOKUP(A51,'Données projet'!$A$201:$I$221,7,0))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0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projet'!$A$227:$I$247,2,0)</f>
        <v>#N/A</v>
      </c>
      <c r="FC51" s="12" t="e">
        <f>VLOOKUP(A51,'Données projet'!$A$227:$I$247,9,0)</f>
        <v>#N/A</v>
      </c>
      <c r="FD51" s="12">
        <f t="array" ref="FD51">INDEX(FC:FC,MIN(IF(ISNUMBER(FC51:FC247),ROW(FC51:FC247),"")))</f>
        <v>6</v>
      </c>
      <c r="FE51" s="12">
        <f>IF('Données projet'!$A$228&gt;35,FE50+FD51-FM50,IF(A51&lt;'Données projet'!$A$228,$FB$205^A51,IF(A51='Données projet'!$A$228,'Données projet'!$B$228,FE50+FD51-FM50)))</f>
        <v>161.00000000000003</v>
      </c>
      <c r="FF51" s="17">
        <f>FE51*VLOOKUP('Données projet'!$B$16,Paramètres!$A$1:$I$89,3,0)*VLOOKUP('Données projet'!$B$16,Paramètres!$A$1:$I$89,5,0)</f>
        <v>168.27720000000002</v>
      </c>
      <c r="FG51" s="13">
        <f t="shared" si="77"/>
        <v>42.703945256047824</v>
      </c>
      <c r="FH51" s="20">
        <f t="shared" si="22"/>
        <v>367.45882798761664</v>
      </c>
      <c r="FI51" s="59">
        <f t="shared" si="23"/>
        <v>660.79216132094996</v>
      </c>
      <c r="FJ51" s="59">
        <f ca="1">AVERAGE(OFFSET($FI$3,0,0,'Données projet'!$E$16+1,1))-AVERAGE(OFFSET($H$3,0,0,'Données projet'!$E$16+1,1))</f>
        <v>259.03906550253788</v>
      </c>
      <c r="FK51" s="59">
        <f t="shared" si="78"/>
        <v>235.54542903570831</v>
      </c>
      <c r="FL51" s="15">
        <f>IF(ISNA(VLOOKUP(A51,'Données projet'!$A$227:$I$247,3,0)),0,VLOOKUP(A51,'Données projet'!$A$227:$I$247,3,0))</f>
        <v>0</v>
      </c>
      <c r="FM51" s="15">
        <f>IF(ISNA(VLOOKUP(A51,'Données projet'!$A$227:$I$247,4,0)),0,VLOOKUP(A51,'Données projet'!$A$227:$I$247,4,0))</f>
        <v>0</v>
      </c>
      <c r="FN51" s="16">
        <f>IF(ISNA(VLOOKUP(A51,'Données projet'!$A$227:$I$247,5,0)),0%,VLOOKUP(A51,'Données projet'!$A$227:$I$247,5,0)*VLOOKUP('Données projet'!$B$16,Paramètres!$A$1:$I$89,7,0))</f>
        <v>0</v>
      </c>
      <c r="FO51" s="16">
        <f>IF(ISNA(VLOOKUP(A51,'Données projet'!$A$227:$I$247,6,0)),0%,VLOOKUP(A51,'Données projet'!$A$227:$I$247,6,0)*VLOOKUP('Données projet'!$B$16,Paramètres!$A$1:$I$89,7,0))</f>
        <v>0</v>
      </c>
      <c r="FP51" s="16">
        <f>IF(ISNA(VLOOKUP(A51,'Données projet'!$A$227:$I$247,7,0)),0%,VLOOKUP(A51,'Données projet'!$A$227:$I$247,7,0))</f>
        <v>0</v>
      </c>
      <c r="FQ51" s="21">
        <f>EXP(-LN(2)/35)*FQ50+(1-EXP(-LN(2)/35))/(LN(2)/35)*FM51*FN51*VLOOKUP('Données projet'!$B$16,Paramètres!$A$1:$I$89,3,0)*0.475*44/12</f>
        <v>0</v>
      </c>
      <c r="FR51" s="21">
        <f>EXP(-LN(2)/25)*FR50+(1-EXP(-LN(2)/25))/(LN(2)/25)*Calculateur!FM51*Calculateur!FO51*VLOOKUP('Données projet'!$B$16,Paramètres!$A$1:$I$89,3,0)*0.475*44/12</f>
        <v>8.2905005943573595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8.2905005943573595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projet'!$A$253:$I$273,2,0)</f>
        <v>#N/A</v>
      </c>
      <c r="FX51" s="12" t="e">
        <f>VLOOKUP(A51,'Données projet'!$A$253:$I$273,9,0)</f>
        <v>#N/A</v>
      </c>
      <c r="FY51" s="12">
        <f t="array" ref="FY51">INDEX(FX:FX,MIN(IF(ISNUMBER(FX51:FX247),ROW(FX51:FX247),"")))</f>
        <v>7.2</v>
      </c>
      <c r="FZ51" s="12">
        <f>IF('Données projet'!$A$254&gt;35,FZ50+FY51-GH50,IF(A51&lt;'Données projet'!$A$254,$FW$205^A51,IF(A51='Données projet'!$A$254,'Données projet'!$B$254,FZ50+FY51-GH50)))</f>
        <v>204.59999999999991</v>
      </c>
      <c r="GA51" s="17">
        <f>FZ51*VLOOKUP('Données projet'!$B$17,Paramètres!$A$1:$I$89,3,0)*VLOOKUP('Données projet'!$B$17,Paramètres!$A$1:$I$89,5,0)</f>
        <v>178.73855999999995</v>
      </c>
      <c r="GB51" s="13">
        <f t="shared" si="79"/>
        <v>45.041424241265332</v>
      </c>
      <c r="GC51" s="20">
        <f t="shared" si="25"/>
        <v>389.75013922020366</v>
      </c>
      <c r="GD51" s="59">
        <f t="shared" si="26"/>
        <v>683.08347255353692</v>
      </c>
      <c r="GE51" s="59">
        <f ca="1">AVERAGE(OFFSET($GD$3,0,0,'Données projet'!$E$17+1,1))-AVERAGE(OFFSET($H$3,0,0,'Données projet'!$E$17+1,1))</f>
        <v>245.1983232777614</v>
      </c>
      <c r="GF51" s="59">
        <f t="shared" si="80"/>
        <v>242.34010522344573</v>
      </c>
      <c r="GG51" s="15">
        <f>IF(ISNA(VLOOKUP(A51,'Données projet'!$A$253:$I$273,3,0)),0,VLOOKUP(A51,'Données projet'!$A$253:$I$273,3,0))</f>
        <v>0</v>
      </c>
      <c r="GH51" s="15">
        <f>IF(ISNA(VLOOKUP(A51,'Données projet'!$A$253:$I$273,4,0)),0,VLOOKUP(A51,'Données projet'!$A$253:$I$273,4,0))</f>
        <v>0</v>
      </c>
      <c r="GI51" s="16">
        <f>IF(ISNA(VLOOKUP(A51,'Données projet'!$A$253:$I$273,5,0)),0%,VLOOKUP(A51,'Données projet'!$A$253:$I$273,5,0)*VLOOKUP('Données projet'!$B$17,Paramètres!$A$1:$I$89,7,0))</f>
        <v>0</v>
      </c>
      <c r="GJ51" s="16">
        <f>IF(ISNA(VLOOKUP(A51,'Données projet'!$A$253:$I$273,6,0)),0%,VLOOKUP(A51,'Données projet'!$A$253:$I$273,6,0)*VLOOKUP('Données projet'!$B$17,Paramètres!$A$1:$I$89,7,0))</f>
        <v>0</v>
      </c>
      <c r="GK51" s="16">
        <f>IF(ISNA(VLOOKUP(A51,'Données projet'!$A$253:$I$273,7,0)),0%,VLOOKUP(A51,'Données projet'!$A$253:$I$273,7,0))</f>
        <v>0</v>
      </c>
      <c r="GL51" s="21">
        <f>EXP(-LN(2)/35)*GL50+(1-EXP(-LN(2)/35))/(LN(2)/35)*GH51*GI51*VLOOKUP('Données projet'!$B$17,Paramètres!$A$1:$I$89,3,0)*0.475*44/12</f>
        <v>10.893072163149673</v>
      </c>
      <c r="GM51" s="21">
        <f>EXP(-LN(2)/25)*GM50+(1-EXP(-LN(2)/25))/(LN(2)/25)*Calculateur!GH51*Calculateur!GJ51*VLOOKUP('Données projet'!$B$17,Paramètres!$A$1:$I$89,3,0)*0.475*44/12</f>
        <v>11.819745254644154</v>
      </c>
      <c r="GN51" s="21">
        <f>EXP(-LN(2)/2)*GN50+(1-EXP(-LN(2)/2))/(LN(2)/2)*GH51*GK51*VLOOKUP('Données projet'!$B$17,Paramètres!$A$1:$I$89,3,0)*0.475*44/12</f>
        <v>0</v>
      </c>
      <c r="GO51" s="21">
        <f t="shared" si="27"/>
        <v>22.712817417793829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projet'!$A$279:$I$299,2,0)</f>
        <v>#N/A</v>
      </c>
      <c r="GS51" s="12" t="e">
        <f>VLOOKUP(A51,'Données projet'!$A$279:$I$299,9,0)</f>
        <v>#N/A</v>
      </c>
      <c r="GT51" s="12">
        <f t="array" ref="GT51">INDEX(GS:GS,MIN(IF(ISNUMBER(GS51:GS247),ROW(GS51:GS247),"")))</f>
        <v>17.600000000000001</v>
      </c>
      <c r="GU51" s="12">
        <f>IF('Données projet'!$A$280&gt;35,GU50+GT51-HC50,IF(A51&lt;'Données projet'!$A$280,$GR$205^A51,IF(A51='Données projet'!$A$280,'Données projet'!$B$280,GU50+GT51-HC50)))</f>
        <v>565.8000000000003</v>
      </c>
      <c r="GV51" s="17">
        <f>GU51*VLOOKUP('Données projet'!$B$18,Paramètres!$A$1:$I$89,3,0)*VLOOKUP('Données projet'!$B$18,Paramètres!$A$1:$I$89,5,0)</f>
        <v>228.01740000000012</v>
      </c>
      <c r="GW51" s="13">
        <f t="shared" si="81"/>
        <v>55.853781300759991</v>
      </c>
      <c r="GX51" s="20">
        <f t="shared" si="28"/>
        <v>494.40897409882382</v>
      </c>
      <c r="GY51" s="59">
        <f t="shared" si="29"/>
        <v>787.74230743215708</v>
      </c>
      <c r="GZ51" s="59">
        <f ca="1">AVERAGE(OFFSET($GY$3,0,0,'Données projet'!$E$18+1,1))-AVERAGE(OFFSET($H$3,0,0,'Données projet'!$E$18+1,1))</f>
        <v>324.36162935850876</v>
      </c>
      <c r="HA51" s="59">
        <f t="shared" si="82"/>
        <v>265.23571072429735</v>
      </c>
      <c r="HB51" s="15">
        <f>IF(ISNA(VLOOKUP(A51,'Données projet'!$A$279:$I$299,3,0)),0,VLOOKUP(A51,'Données projet'!$A$279:$I$299,3,0))</f>
        <v>0</v>
      </c>
      <c r="HC51" s="15">
        <f>IF(ISNA(VLOOKUP(A51,'Données projet'!$A$279:$I$299,4,0)),0,VLOOKUP(A51,'Données projet'!$A$279:$I$299,4,0))</f>
        <v>0</v>
      </c>
      <c r="HD51" s="16">
        <f>IF(ISNA(VLOOKUP(A51,'Données projet'!$A$279:$I$299,5,0)),0%,VLOOKUP(A51,'Données projet'!$A$279:$I$299,5,0)*VLOOKUP('Données projet'!$B$18,Paramètres!$A$1:$I$89,7,0))</f>
        <v>0</v>
      </c>
      <c r="HE51" s="16">
        <f>IF(ISNA(VLOOKUP(A51,'Données projet'!$A$279:$I$299,6,0)),0%,VLOOKUP(A51,'Données projet'!$A$279:$I$299,6,0)*VLOOKUP('Données projet'!$B$18,Paramètres!$A$1:$I$89,7,0))</f>
        <v>0</v>
      </c>
      <c r="HF51" s="16">
        <f>IF(ISNA(VLOOKUP($A51,'Données projet'!$A$279:$I$299,7,0)),0%,VLOOKUP($A51,'Données projet'!$A$279:$I$299,7,0))</f>
        <v>0</v>
      </c>
      <c r="HG51" s="21">
        <f>EXP(-LN(2)/35)*HG50+(1-EXP(-LN(2)/35))/(LN(2)/35)*HC51*HD51*VLOOKUP('Données projet'!$B$18,Paramètres!$A$1:$I$89,3,0)*0.475*44/12</f>
        <v>4.5049564150829031</v>
      </c>
      <c r="HH51" s="21">
        <f>EXP(-LN(2)/25)*HH50+(1-EXP(-LN(2)/25))/(LN(2)/25)*Calculateur!HC51*Calculateur!HE51*VLOOKUP('Données projet'!$B$18,Paramètres!$A$1:$I$89,3,0)*0.475*44/12</f>
        <v>10.984936883679129</v>
      </c>
      <c r="HI51" s="21">
        <f>EXP(-LN(2)/2)*HI50+(1-EXP(-LN(2)/2))/(LN(2)/2)*HC51*HF51*VLOOKUP('Données projet'!$B$18,Paramètres!$A$1:$I$89,3,0)*0.475*44/12</f>
        <v>1.1017379191344256</v>
      </c>
      <c r="HJ51" s="22">
        <f t="shared" si="30"/>
        <v>16.59163121789646</v>
      </c>
      <c r="HK51" s="74">
        <f>('Scénario référence'!$F$8+'Scénario référence'!$F$9+'Scénario référence'!$B$17+'Scénario référence'!$B$9+'Scénario référence'!$B$10)*70+IF((45+25*(1-EXP(-0.0175*$A51)))&lt;70,'Scénario référence'!$B$16*(45+25*(1-EXP(-0.0175*$A51))),70*'Scénario référence'!$B$16)+IF((32+38*(1-EXP(-0.0175*$A51)))&lt;70,'Scénario référence'!$B$18*(32+38*(1-EXP(-0.0175*$A51))),70*'Scénario référence'!$B$18)</f>
        <v>70</v>
      </c>
      <c r="HL51" s="12">
        <f>IF($A51&gt;30,10,('Scénario référence'!$B$16+'Scénario référence'!$B$17+'Scénario référence'!$B$18+'Scénario référence'!$B$9+'Scénario référence'!$B$10)*$A51*10/30+('Scénario référence'!$F$8+'Scénario référence'!$F$9)*10)</f>
        <v>10</v>
      </c>
      <c r="HM51" s="12" t="e">
        <f>VLOOKUP($A51,'Données projet'!$A$304:$I$324,2,0)</f>
        <v>#N/A</v>
      </c>
      <c r="HN51" s="12" t="e">
        <f>VLOOKUP($A51,'Données projet'!$A$304:$I$324,9,0)</f>
        <v>#N/A</v>
      </c>
      <c r="HO51" s="12">
        <f t="array" ref="HO51">INDEX(HN:HN,MIN(IF(ISNUMBER(HN51:HN247),ROW(HN51:HN247),"")))</f>
        <v>0</v>
      </c>
      <c r="HP51" s="12">
        <f>IF('Données projet'!$A$304&gt;35,HP50+HO51-HX50,IF($A51&lt;'Données projet'!$A$304,$CQ$205^$A51,IF($A51='Données projet'!$A$304,'Données projet'!$B$304,HP50+HO51-HX50)))</f>
        <v>0</v>
      </c>
      <c r="HQ51" s="17">
        <f>HP51*VLOOKUP('Données projet'!$B$19,Paramètres!$A$1:$I$89,3,0)*VLOOKUP('Données projet'!$B$19,Paramètres!$A$1:$I$89,5,0)</f>
        <v>0</v>
      </c>
      <c r="HR51" s="13" t="e">
        <f t="shared" si="83"/>
        <v>#NUM!</v>
      </c>
      <c r="HS51" s="14" t="e">
        <f t="shared" si="31"/>
        <v>#NUM!</v>
      </c>
      <c r="HT51" s="59" t="e">
        <f t="shared" si="32"/>
        <v>#NUM!</v>
      </c>
      <c r="HU51" s="59">
        <f ca="1">AVERAGE(OFFSET(HT$3,0,0,'Données projet'!$E$19+1,1))-AVERAGE(OFFSET($H$3,0,0,'Données projet'!$E$19+1,1))</f>
        <v>91.60721429656013</v>
      </c>
      <c r="HV51" s="59">
        <f t="shared" si="84"/>
        <v>258.94957804210856</v>
      </c>
      <c r="HW51" s="15">
        <f>IF(ISNA(VLOOKUP($A51,'Données projet'!$A$304:$I$324,3,0)),0,VLOOKUP($A51,'Données projet'!$A$304:$I$324,3,0))</f>
        <v>0</v>
      </c>
      <c r="HX51" s="15">
        <f>IF(ISNA(VLOOKUP($A51,'Données projet'!$A$304:$I$324,4,0)),0,VLOOKUP($A51,'Données projet'!$A$304:$I$324,4,0))</f>
        <v>0</v>
      </c>
      <c r="HY51" s="16">
        <f>IF(ISNA(VLOOKUP($A51,'Données projet'!$A$304:$I$324,5,0)),0%,VLOOKUP($A51,'Données projet'!$A$304:$I$324,5,0)*VLOOKUP('Données projet'!$B$19,Paramètres!$A$1:$I$89,7,0))</f>
        <v>0</v>
      </c>
      <c r="HZ51" s="16">
        <f>IF(ISNA(VLOOKUP($A51,'Données projet'!$A$304:$I$324,6,0)),0%,VLOOKUP($A51,'Données projet'!$A$304:$I$324,6,0)*VLOOKUP('Données projet'!$B$19,Paramètres!$A$1:$I$89,7,0))</f>
        <v>0</v>
      </c>
      <c r="IA51" s="16">
        <f>IF(ISNA(VLOOKUP($A51,'Données projet'!$A$304:$I$324,7,0)),0%,VLOOKUP($A51,'Données projet'!$A$304:$I$324,7,0))</f>
        <v>0</v>
      </c>
      <c r="IB51" s="21">
        <f>EXP(-LN(2)/35)*IB50+(1-EXP(-LN(2)/35))/(LN(2)/35)*HX51*HY51*VLOOKUP('Données projet'!$B$19,Paramètres!$A$1:$I$89,3,0)*0.475*44/12</f>
        <v>34.539774701208714</v>
      </c>
      <c r="IC51" s="21">
        <f>EXP(-LN(2)/25)*IC50+(1-EXP(-LN(2)/25))/(LN(2)/25)*Calculateur!HX51*Calculateur!HZ51*VLOOKUP('Données projet'!$B$19,Paramètres!$A$1:$I$89,3,0)*0.475*44/12</f>
        <v>5.9056779834811435</v>
      </c>
      <c r="ID51" s="21">
        <f>EXP(-LN(2)/2)*ID50+(1-EXP(-LN(2)/2))/(LN(2)/2)*HX51*IA51*VLOOKUP('Données projet'!$B$19,Paramètres!$A$1:$I$89,3,0)*0.475*44/12</f>
        <v>1.1188521713749562E-3</v>
      </c>
      <c r="IE51" s="22">
        <f t="shared" si="33"/>
        <v>40.446571536861228</v>
      </c>
      <c r="IF51" s="74">
        <f>('Scénario référence'!$F$8+'Scénario référence'!$F$9+'Scénario référence'!$B$17+'Scénario référence'!$B$9+'Scénario référence'!$B$10)*70+IF((45+25*(1-EXP(-0.0175*$A51)))&lt;70,'Scénario référence'!$B$16*(45+25*(1-EXP(-0.0175*$A51))),70*'Scénario référence'!$B$16)+IF((32+38*(1-EXP(-0.0175*$A51)))&lt;70,'Scénario référence'!$B$18*(32+38*(1-EXP(-0.0175*$A51))),70*'Scénario référence'!$B$18)</f>
        <v>70</v>
      </c>
      <c r="IG51" s="12">
        <f>IF($A51&gt;30,10,('Scénario référence'!$B$16+'Scénario référence'!$B$17+'Scénario référence'!$B$18+'Scénario référence'!$B$9+'Scénario référence'!$B$10)*$A51*10/30+('Scénario référence'!$F$8+'Scénario référence'!$F$9)*10)</f>
        <v>10</v>
      </c>
      <c r="IH51" s="12" t="e">
        <f>VLOOKUP($A51,'Données projet'!$A$330:$I$350,2,0)</f>
        <v>#N/A</v>
      </c>
      <c r="II51" s="12" t="e">
        <f>VLOOKUP($A51,'Données projet'!$A$330:$I$350,9,0)</f>
        <v>#N/A</v>
      </c>
      <c r="IJ51" s="12">
        <f t="array" ref="IJ51">INDEX(II:II,MIN(IF(ISNUMBER(II51:II247),ROW(II51:II247),"")))</f>
        <v>0</v>
      </c>
      <c r="IK51" s="12">
        <f>IF('Données projet'!$A$330&gt;35,IK50+IJ51-IS50,IF($A51&lt;'Données projet'!$A$330,$CQ$205^$A51,IF($A51='Données projet'!$A$330,'Données projet'!$B$330,IK50+IJ51-IS50)))</f>
        <v>0</v>
      </c>
      <c r="IL51" s="17">
        <f>IK51*VLOOKUP('Données projet'!$B$20,Paramètres!$A$1:$I$89,3,0)*VLOOKUP('Données projet'!$B$20,Paramètres!$A$1:$I$89,5,0)</f>
        <v>0</v>
      </c>
      <c r="IM51" s="13" t="e">
        <f t="shared" si="85"/>
        <v>#NUM!</v>
      </c>
      <c r="IN51" s="20" t="e">
        <f t="shared" si="86"/>
        <v>#NUM!</v>
      </c>
      <c r="IO51" s="59" t="e">
        <f t="shared" si="87"/>
        <v>#NUM!</v>
      </c>
      <c r="IP51" s="59">
        <f ca="1">AVERAGE(OFFSET(IO$3,0,0,'Données projet'!$E$20+1,1))-AVERAGE(OFFSET($H$3,0,0,'Données projet'!$E$20+1,1))</f>
        <v>91.60721429656013</v>
      </c>
      <c r="IQ51" s="59">
        <f t="shared" si="88"/>
        <v>258.94957804210856</v>
      </c>
      <c r="IR51" s="15">
        <f>IF(ISNA(VLOOKUP($A51,'Données projet'!$A$330:$I$350,3,0)),0,VLOOKUP($A51,'Données projet'!$A$330:$I$350,3,0))</f>
        <v>0</v>
      </c>
      <c r="IS51" s="15">
        <f>IF(ISNA(VLOOKUP($A51,'Données projet'!$A$330:$I$350,4,0)),0,VLOOKUP($A51,'Données projet'!$A$330:$I$350,4,0))</f>
        <v>0</v>
      </c>
      <c r="IT51" s="16">
        <f>IF(ISNA(VLOOKUP($A51,'Données projet'!$A$330:$I$350,5,0)),0%,VLOOKUP($A51,'Données projet'!$A$330:$I$350,5,0)*VLOOKUP('Données projet'!$B$20,Paramètres!$A$1:$I$89,7,0))</f>
        <v>0</v>
      </c>
      <c r="IU51" s="16">
        <f>IF(ISNA(VLOOKUP($A51,'Données projet'!$A$330:$I$350,6,0)),0%,VLOOKUP($A51,'Données projet'!$A$330:$I$350,6,0)*VLOOKUP('Données projet'!$B$20,Paramètres!$A$1:$I$89,7,0))</f>
        <v>0</v>
      </c>
      <c r="IV51" s="16">
        <f>IF(ISNA(VLOOKUP($A51,'Données projet'!$A$330:$I$350,7,0)),0%,VLOOKUP($A51,'Données projet'!$A$330:$I$350,7,0))</f>
        <v>0</v>
      </c>
      <c r="IW51" s="21">
        <f>EXP(-LN(2)/35)*IW50+(1-EXP(-LN(2)/35))/(LN(2)/35)*IS51*IT51*VLOOKUP('Données projet'!$B$20,Paramètres!$A$1:$I$89,3,0)*0.475*44/12</f>
        <v>34.539774701208714</v>
      </c>
      <c r="IX51" s="21">
        <f>EXP(-LN(2)/25)*IX50+(1-EXP(-LN(2)/25))/(LN(2)/25)*Calculateur!IS51*Calculateur!IU51*VLOOKUP('Données projet'!$B$20,Paramètres!$A$1:$I$89,3,0)*0.475*44/12</f>
        <v>5.9056779834811435</v>
      </c>
      <c r="IY51" s="21">
        <f>EXP(-LN(2)/2)*IY50+(1-EXP(-LN(2)/2))/(LN(2)/2)*IS51*IV51*VLOOKUP('Données projet'!$B$20,Paramètres!$A$1:$I$89,3,0)*0.475*44/12</f>
        <v>1.1188521713749562E-3</v>
      </c>
      <c r="IZ51" s="22">
        <f t="shared" si="89"/>
        <v>40.446571536861228</v>
      </c>
      <c r="JA51" s="74">
        <f>('Scénario référence'!$F$8+'Scénario référence'!$F$9+'Scénario référence'!$B$17+'Scénario référence'!$B$9+'Scénario référence'!$B$10)*70+IF((45+25*(1-EXP(-0.0175*$A51)))&lt;70,'Scénario référence'!$B$16*(45+25*(1-EXP(-0.0175*$A51))),70*'Scénario référence'!$B$16)+IF((32+38*(1-EXP(-0.0175*$A51)))&lt;70,'Scénario référence'!$B$18*(32+38*(1-EXP(-0.0175*$A51))),70*'Scénario référence'!$B$18)</f>
        <v>70</v>
      </c>
      <c r="JB51" s="12">
        <f>IF($A51&gt;30,10,('Scénario référence'!$B$16+'Scénario référence'!$B$17+'Scénario référence'!$B$18+'Scénario référence'!$B$9+'Scénario référence'!$B$10)*$A51*10/30+('Scénario référence'!$F$8+'Scénario référence'!$F$9)*10)</f>
        <v>10</v>
      </c>
      <c r="JC51" s="12" t="e">
        <f>VLOOKUP($A51,'Données projet'!$A$356:$I$376,2,0)</f>
        <v>#N/A</v>
      </c>
      <c r="JD51" s="12" t="e">
        <f>VLOOKUP($A51,'Données projet'!$A$356:$I$376,9,0)</f>
        <v>#N/A</v>
      </c>
      <c r="JE51" s="12">
        <f t="array" ref="JE51">INDEX(JD:JD,MIN(IF(ISNUMBER(JD51:JD247),ROW(JD51:JD247),"")))</f>
        <v>11</v>
      </c>
      <c r="JF51" s="12">
        <f>IF('Données projet'!$A$356&gt;35,JF50+JE51-JN50,IF($A51&lt;'Données projet'!$A$356,$CQ$205^$A51,IF($A51='Données projet'!$A$356,'Données projet'!$B$356,JF50+JE51-JN50)))</f>
        <v>195.00000000000009</v>
      </c>
      <c r="JG51" s="17">
        <f>JF51*VLOOKUP('Données projet'!$B$21,Paramètres!$A$1:$I$89,3,0)*VLOOKUP('Données projet'!$B$21,Paramètres!$A$1:$I$89,5,0)</f>
        <v>158.18400000000008</v>
      </c>
      <c r="JH51" s="13">
        <f t="shared" si="90"/>
        <v>40.432639815875916</v>
      </c>
      <c r="JI51" s="20">
        <f t="shared" si="91"/>
        <v>345.9239810126507</v>
      </c>
      <c r="JJ51" s="59">
        <f t="shared" si="92"/>
        <v>639.25731434598401</v>
      </c>
      <c r="JK51" s="59">
        <f ca="1">AVERAGE(OFFSET($JJ$3,0,0,'Données projet'!$E$22+1,1))-AVERAGE(OFFSET($H$3,0,0,'Données projet'!$E$22+1,1))</f>
        <v>353.35574633294613</v>
      </c>
      <c r="JL51" s="59">
        <f t="shared" si="93"/>
        <v>170.36796666474726</v>
      </c>
      <c r="JM51" s="15">
        <f>IF(ISNA(VLOOKUP($A51,'Données projet'!$A$356:$I$376,3,0)),0,VLOOKUP($A51,'Données projet'!$A$356:$I$376,3,0))</f>
        <v>0</v>
      </c>
      <c r="JN51" s="15">
        <f>IF(ISNA(VLOOKUP($A51,'Données projet'!$A$356:$I$376,4,0)),0,VLOOKUP($A51,'Données projet'!$A$356:$I$376,4,0))</f>
        <v>0</v>
      </c>
      <c r="JO51" s="16">
        <f>IF(ISNA(VLOOKUP($A51,'Données projet'!$A$356:$I$376,5,0)),0%,VLOOKUP($A51,'Données projet'!$A$356:$I$376,5,0)*VLOOKUP('Données projet'!$B$21,Paramètres!$A$1:$I$89,7,0))</f>
        <v>0</v>
      </c>
      <c r="JP51" s="16">
        <f>IF(ISNA(VLOOKUP($A51,'Données projet'!$A$356:$I$376,6,0)),0%,VLOOKUP($A51,'Données projet'!$A$356:$I$376,6,0)*VLOOKUP('Données projet'!$B$21,Paramètres!$A$1:$I$89,7,0))</f>
        <v>0</v>
      </c>
      <c r="JQ51" s="16">
        <f>IF(ISNA(VLOOKUP($A51,'Données projet'!$A$356:$I$376,7,0)),0%,VLOOKUP($A51,'Données projet'!$A$356:$I$376,7,0))</f>
        <v>0</v>
      </c>
      <c r="JR51" s="21">
        <f>EXP(-LN(2)/35)*JR50+(1-EXP(-LN(2)/35))/(LN(2)/35)*JN51*JO51*VLOOKUP('Données projet'!$B$21,Paramètres!$A$1:$I$89,3,0)*0.475*44/12</f>
        <v>0</v>
      </c>
      <c r="JS51" s="21">
        <f>EXP(-LN(2)/25)*JS50+(1-EXP(-LN(2)/25))/(LN(2)/25)*Calculateur!JN51*Calculateur!JP51*VLOOKUP('Données projet'!$B$21,Paramètres!$A$1:$I$89,3,0)*0.475*44/12</f>
        <v>2.6011027121491916</v>
      </c>
      <c r="JT51" s="21">
        <f>EXP(-LN(2)/2)*JT50+(1-EXP(-LN(2)/2))/(LN(2)/2)*JN51*JQ51*VLOOKUP('Données projet'!$B$21,Paramètres!$A$1:$I$89,3,0)*0.475*44/12</f>
        <v>2.7585099091568286</v>
      </c>
      <c r="JU51" s="18">
        <f t="shared" si="39"/>
        <v>5.3596126213060202</v>
      </c>
      <c r="JV51" s="74">
        <f>('Scénario référence'!$F$8+'Scénario référence'!$F$9+'Scénario référence'!$B$17+'Scénario référence'!$B$9+'Scénario référence'!$B$10)*70+IF((45+25*(1-EXP(-0.0175*$A51)))&lt;70,'Scénario référence'!$B$16*(45+25*(1-EXP(-0.0175*$A51))),70*'Scénario référence'!$B$16)+IF((32+38*(1-EXP(-0.0175*$A51)))&lt;70,'Scénario référence'!$B$18*(32+38*(1-EXP(-0.0175*$A51))),70*'Scénario référence'!$B$18)</f>
        <v>70</v>
      </c>
      <c r="JW51" s="12">
        <f>IF($A51&gt;30,10,('Scénario référence'!$B$16+'Scénario référence'!$B$17+'Scénario référence'!$B$18+'Scénario référence'!$B$9+'Scénario référence'!$B$10)*$A51*10/30+('Scénario référence'!$F$8+'Scénario référence'!$F$9)*10)</f>
        <v>10</v>
      </c>
      <c r="JX51" s="12">
        <f>VLOOKUP($A51,'Données projet'!$A$382:$I$402,2,0)</f>
        <v>184.35256410256409</v>
      </c>
      <c r="JY51" s="12">
        <f>VLOOKUP($A51,'Données projet'!$A$382:$I$402,9,0)</f>
        <v>9.3452380952380913</v>
      </c>
      <c r="JZ51" s="12">
        <f t="array" ref="JZ51">INDEX(JY:JY,MIN(IF(ISNUMBER(JY51:JY247),ROW(JY51:JY247),"")))</f>
        <v>9.3452380952380913</v>
      </c>
      <c r="KA51" s="12">
        <f>IF('Données projet'!$A$382&gt;35,KA50+JZ51-KI50,IF($A51&lt;'Données projet'!$A$382,$CQ$205^$A51,IF($A51='Données projet'!$A$382,'Données projet'!$B$382,KA50+JZ51-KI50)))</f>
        <v>184.35256410256414</v>
      </c>
      <c r="KB51" s="17">
        <f>KA51*VLOOKUP('Données projet'!$B$22,Paramètres!$A$1:$I$89,3,0)*VLOOKUP('Données projet'!$B$22,Paramètres!$A$1:$I$89,5,0)</f>
        <v>123.66370000000003</v>
      </c>
      <c r="KC51" s="13">
        <f t="shared" si="94"/>
        <v>32.527995779141946</v>
      </c>
      <c r="KD51" s="20">
        <f t="shared" si="95"/>
        <v>272.03387014867229</v>
      </c>
      <c r="KE51" s="59">
        <f t="shared" si="96"/>
        <v>565.36720348200561</v>
      </c>
      <c r="KF51" s="59">
        <f ca="1">AVERAGE(OFFSET($KE$3,0,0,'Données projet'!$E$22+1,1))-AVERAGE(OFFSET($H$3,0,0,'Données projet'!$E$22+1,1))</f>
        <v>193.91714772848269</v>
      </c>
      <c r="KG51" s="59">
        <f t="shared" si="97"/>
        <v>159.20429420478047</v>
      </c>
      <c r="KH51" s="15">
        <f>IF(ISNA(VLOOKUP($A51,'Données projet'!$A$382:$I$402,3,0)),0,VLOOKUP($A51,'Données projet'!$A$382:$I$402,3,0))</f>
        <v>3</v>
      </c>
      <c r="KI51" s="15">
        <f>IF(ISNA(VLOOKUP($A51,'Données projet'!$A$382:$I$402,4,0)),0,VLOOKUP($A51,'Données projet'!$A$382:$I$402,4,0))</f>
        <v>48.025641025641022</v>
      </c>
      <c r="KJ51" s="16">
        <f>IF(ISNA(VLOOKUP($A51,'Données projet'!$A$382:$I$402,5,0)),0%,VLOOKUP($A51,'Données projet'!$A$382:$I$402,5,0)*VLOOKUP('Données projet'!$B$22,Paramètres!$A$1:$I$89,7,0))</f>
        <v>0</v>
      </c>
      <c r="KK51" s="16">
        <f>IF(ISNA(VLOOKUP($A51,'Données projet'!$A$382:$I$402,6,0)),0%,VLOOKUP($A51,'Données projet'!$A$382:$I$402,6,0)*VLOOKUP('Données projet'!$B$22,Paramètres!$A$1:$I$89,7,0))</f>
        <v>0</v>
      </c>
      <c r="KL51" s="16">
        <f>IF(ISNA(VLOOKUP($A51,'Données projet'!$A$382:$I$402,7,0)),0%,VLOOKUP($A51,'Données projet'!$A$382:$I$402,7,0))</f>
        <v>0</v>
      </c>
      <c r="KM51" s="21">
        <f>EXP(-LN(2)/35)*KM50+(1-EXP(-LN(2)/35))/(LN(2)/35)*KI51*KJ51*VLOOKUP('Données projet'!$B$22,Paramètres!$A$1:$I$89,3,0)*0.475*44/12</f>
        <v>0</v>
      </c>
      <c r="KN51" s="21">
        <f>EXP(-LN(2)/25)*KN50+(1-EXP(-LN(2)/25))/(LN(2)/25)*Calculateur!KI51*Calculateur!KK51*VLOOKUP('Données projet'!$B$22,Paramètres!$A$1:$I$89,3,0)*0.475*44/12</f>
        <v>0</v>
      </c>
      <c r="KO51" s="21">
        <f>EXP(-LN(2)/2)*KO50+(1-EXP(-LN(2)/2))/(LN(2)/2)*KI51*KL51*VLOOKUP('Données projet'!$B$22,Paramètres!$A$1:$I$89,3,0)*0.475*44/12</f>
        <v>0</v>
      </c>
      <c r="KP51" s="22">
        <f t="shared" si="98"/>
        <v>0</v>
      </c>
      <c r="KQ51" s="74">
        <f>('Scénario référence'!$F$8+'Scénario référence'!$F$9+'Scénario référence'!$B$17+'Scénario référence'!$B$9+'Scénario référence'!$B$10)*70+IF((45+25*(1-EXP(-0.0175*$A51)))&lt;70,'Scénario référence'!$B$16*(45+25*(1-EXP(-0.0175*$A51))),70*'Scénario référence'!$B$16)+IF((32+38*(1-EXP(-0.0175*$A51)))&lt;70,'Scénario référence'!$B$18*(32+38*(1-EXP(-0.0175*$A51))),70*'Scénario référence'!$B$18)</f>
        <v>70</v>
      </c>
      <c r="KR51" s="12">
        <f>IF($A51&gt;30,10,('Scénario référence'!$B$16+'Scénario référence'!$B$17+'Scénario référence'!$B$18+'Scénario référence'!$B$9+'Scénario référence'!$B$10)*$A51*10/30+('Scénario référence'!$F$8+'Scénario référence'!$F$9)*10)</f>
        <v>10</v>
      </c>
      <c r="KS51" s="12" t="e">
        <f>VLOOKUP($A51,'Données projet'!$A$408:$I$428,2,0)</f>
        <v>#N/A</v>
      </c>
      <c r="KT51" s="12" t="e">
        <f>VLOOKUP($A51,'Données projet'!$A$408:$I$428,9,0)</f>
        <v>#N/A</v>
      </c>
      <c r="KU51" s="12">
        <f t="array" ref="KU51">INDEX(KT:KT,MIN(IF(ISNUMBER(KT51:KT247),ROW(KT51:KT247),"")))</f>
        <v>7.2</v>
      </c>
      <c r="KV51" s="12">
        <f>IF('Données projet'!$A$408&gt;35,KV50+KU51-LD50,IF($A51&lt;'Données projet'!$A$408,$CQ$205^$A51,IF($A51='Données projet'!$A$408,'Données projet'!$B$408,KV50+KU51-LD50)))</f>
        <v>204.59999999999994</v>
      </c>
      <c r="KW51" s="17">
        <f>KV51*VLOOKUP('Données projet'!$B$23,Paramètres!$A$1:$I$89,3,0)*VLOOKUP('Données projet'!$B$23,Paramètres!$A$1:$I$89,5,0)</f>
        <v>178.73855999999998</v>
      </c>
      <c r="KX51" s="13">
        <f t="shared" si="99"/>
        <v>45.041424241265332</v>
      </c>
      <c r="KY51" s="14">
        <f t="shared" si="43"/>
        <v>389.75013922020372</v>
      </c>
      <c r="KZ51" s="59">
        <f t="shared" si="44"/>
        <v>683.08347255353704</v>
      </c>
      <c r="LA51" s="59">
        <f ca="1">AVERAGE(OFFSET($KZ$3,0,0,'Données projet'!$E$23+1,1))-AVERAGE(OFFSET($H$3,0,0,'Données projet'!$E$23+1,1))</f>
        <v>248.33596943633819</v>
      </c>
      <c r="LB51" s="59">
        <f t="shared" si="100"/>
        <v>242.34010522344573</v>
      </c>
      <c r="LC51" s="15">
        <f>IF(ISNA(VLOOKUP($A51,'Données projet'!$A$408:$I$428,3,0)),0,VLOOKUP($A51,'Données projet'!$A$408:$I$428,3,0))</f>
        <v>0</v>
      </c>
      <c r="LD51" s="15">
        <f>IF(ISNA(VLOOKUP($A51,'Données projet'!$A$408:$I$428,4,0)),0,VLOOKUP($A51,'Données projet'!$A$408:$I$428,4,0))</f>
        <v>0</v>
      </c>
      <c r="LE51" s="16">
        <f>IF(ISNA(VLOOKUP($A51,'Données projet'!$A$408:$I$428,5,0)),0%,VLOOKUP($A51,'Données projet'!$A$408:$I$428,5,0)*VLOOKUP('Données projet'!$B$23,Paramètres!$A$1:$I$89,7,0))</f>
        <v>0</v>
      </c>
      <c r="LF51" s="16">
        <f>IF(ISNA(VLOOKUP($A51,'Données projet'!$A$408:$I$428,6,0)),0%,VLOOKUP($A51,'Données projet'!$A$408:$I$428,6,0)*VLOOKUP('Données projet'!$B$23,Paramètres!$A$1:$I$89,7,0))</f>
        <v>0</v>
      </c>
      <c r="LG51" s="16">
        <f>IF(ISNA(VLOOKUP($A51,'Données projet'!$A$408:$I$428,7,0)),0%,VLOOKUP($A51,'Données projet'!$A$408:$I$428,7,0))</f>
        <v>0</v>
      </c>
      <c r="LH51" s="21">
        <f>EXP(-LN(2)/35)*LH50+(1-EXP(-LN(2)/35))/(LN(2)/35)*LD51*LE51*VLOOKUP('Données projet'!$B$23,Paramètres!$A$1:$I$89,3,0)*0.475*44/12</f>
        <v>10.893072163149673</v>
      </c>
      <c r="LI51" s="21">
        <f>EXP(-LN(2)/25)*LI50+(1-EXP(-LN(2)/25))/(LN(2)/25)*Calculateur!LD51*Calculateur!LF51*VLOOKUP('Données projet'!$B$23,Paramètres!$A$1:$I$89,3,0)*0.475*44/12</f>
        <v>11.819745254644154</v>
      </c>
      <c r="LJ51" s="21">
        <f>EXP(-LN(2)/2)*LJ50+(1-EXP(-LN(2)/2))/(LN(2)/2)*LD51*LG51*VLOOKUP('Données projet'!$B$23,Paramètres!$A$1:$I$89,3,0)*0.475*44/12</f>
        <v>0</v>
      </c>
      <c r="LK51" s="22">
        <f t="shared" si="101"/>
        <v>22.712817417793829</v>
      </c>
      <c r="LL51" s="74">
        <f>('Scénario référence'!$F$8+'Scénario référence'!$F$9+'Scénario référence'!$B$17+'Scénario référence'!$B$9+'Scénario référence'!$B$10)*70+IF((45+25*(1-EXP(-0.0175*$A51)))&lt;70,'Scénario référence'!$B$16*(45+25*(1-EXP(-0.0175*$A51))),70*'Scénario référence'!$B$16)+IF((32+38*(1-EXP(-0.0175*$A51)))&lt;70,'Scénario référence'!$B$18*(32+38*(1-EXP(-0.0175*$A51))),70*'Scénario référence'!$B$18)</f>
        <v>70</v>
      </c>
      <c r="LM51" s="12">
        <f>IF($A51&gt;30,10,('Scénario référence'!$B$16+'Scénario référence'!$B$17+'Scénario référence'!$B$18+'Scénario référence'!$B$9+'Scénario référence'!$B$10)*$A51*10/30+('Scénario référence'!$F$8+'Scénario référence'!$F$9)*10)</f>
        <v>10</v>
      </c>
      <c r="LN51" s="12" t="e">
        <f>VLOOKUP($A51,'Données projet'!$A$434:$I$454,2,0)</f>
        <v>#N/A</v>
      </c>
      <c r="LO51" s="12" t="e">
        <f>VLOOKUP($A51,'Données projet'!$A$434:$I$454,9,0)</f>
        <v>#N/A</v>
      </c>
      <c r="LP51" s="12">
        <f t="array" ref="LP51">INDEX(LO:LO,MIN(IF(ISNUMBER(LO51:LO247),ROW(LO51:LO247),"")))</f>
        <v>6.826007326007324</v>
      </c>
      <c r="LQ51" s="12">
        <f>IF('Données projet'!$A$434&gt;35,LQ50+LP51-LY50,IF($A51&lt;'Données projet'!$A$434,$CQ$205^$A51,IF($A51='Données projet'!$A$434,'Données projet'!$B$434,LQ50+LP51-LY50)))</f>
        <v>125.31043956043951</v>
      </c>
      <c r="LR51" s="17">
        <f>LQ51*VLOOKUP('Données projet'!$B$24,Paramètres!$A$1:$I$89,3,0)*VLOOKUP('Données projet'!$B$24,Paramètres!$A$1:$I$89,5,0)</f>
        <v>127.06478571428566</v>
      </c>
      <c r="LS51" s="13">
        <f t="shared" si="102"/>
        <v>33.317218652426654</v>
      </c>
      <c r="LT51" s="14">
        <f t="shared" si="46"/>
        <v>279.33199093869058</v>
      </c>
      <c r="LU51" s="59">
        <f t="shared" si="103"/>
        <v>572.66532427202389</v>
      </c>
      <c r="LV51" s="59">
        <f ca="1">AVERAGE(OFFSET($LU$3,0,0,'Données projet'!$E$24+1,1))-AVERAGE(OFFSET($H$3,0,0,'Données projet'!$E$24+1,1))</f>
        <v>260.52627655062872</v>
      </c>
      <c r="LW51" s="59">
        <f t="shared" si="104"/>
        <v>159.20429420478047</v>
      </c>
      <c r="LX51" s="15">
        <f>IF(ISNA(VLOOKUP($A51,'Données projet'!$A$434:$I$454,3,0)),0,VLOOKUP($A51,'Données projet'!$A$434:$I$454,3,0))</f>
        <v>0</v>
      </c>
      <c r="LY51" s="15">
        <f>IF(ISNA(VLOOKUP($A51,'Données projet'!$A$434:$I$454,4,0)),0,VLOOKUP($A51,'Données projet'!$A$434:$I$454,4,0))</f>
        <v>0</v>
      </c>
      <c r="LZ51" s="16">
        <f>IF(ISNA(VLOOKUP($A51,'Données projet'!$A$434:$I$454,5,0)),0%,VLOOKUP($A51,'Données projet'!$A$434:$I$454,5,0)*VLOOKUP('Données projet'!$B$24,Paramètres!$A$1:$I$89,7,0))</f>
        <v>0</v>
      </c>
      <c r="MA51" s="16">
        <f>IF(ISNA(VLOOKUP($A51,'Données projet'!$A$434:$I$454,6,0)),0%,VLOOKUP($A51,'Données projet'!$A$434:$I$454,6,0)*VLOOKUP('Données projet'!$B$24,Paramètres!$A$1:$I$89,7,0))</f>
        <v>0</v>
      </c>
      <c r="MB51" s="16">
        <f>IF(ISNA(VLOOKUP($A51,'Données projet'!$A$434:$I$454,7,0)),0%,VLOOKUP($A51,'Données projet'!$A$434:$I$454,7,0))</f>
        <v>0</v>
      </c>
      <c r="MC51" s="21">
        <f>EXP(-LN(2)/35)*MC50+(1-EXP(-LN(2)/35))/(LN(2)/35)*LY51*LZ51*VLOOKUP('Données projet'!$B$24,Paramètres!$A$1:$I$89,3,0)*0.475*44/12</f>
        <v>0</v>
      </c>
      <c r="MD51" s="21">
        <f>EXP(-LN(2)/25)*MD50+(1-EXP(-LN(2)/25))/(LN(2)/25)*Calculateur!LY51*Calculateur!MA51*VLOOKUP('Données projet'!$B$24,Paramètres!$A$1:$I$89,3,0)*0.475*44/12</f>
        <v>0</v>
      </c>
      <c r="ME51" s="21">
        <f>EXP(-LN(2)/2)*ME50+(1-EXP(-LN(2)/2))/(LN(2)/2)*LY51*MB51*VLOOKUP('Données projet'!$B$24,Paramètres!$A$1:$I$89,3,0)*0.475*44/12</f>
        <v>0</v>
      </c>
      <c r="MF51" s="22">
        <f t="shared" si="105"/>
        <v>0</v>
      </c>
      <c r="MG51" s="74">
        <f>('Scénario référence'!$F$8+'Scénario référence'!$F$9+'Scénario référence'!$B$17+'Scénario référence'!$B$9+'Scénario référence'!$B$10)*70+IF((45+25*(1-EXP(-0.0175*$A51)))&lt;70,'Scénario référence'!$B$16*(45+25*(1-EXP(-0.0175*$A51))),70*'Scénario référence'!$B$16)+IF((32+38*(1-EXP(-0.0175*$A51)))&lt;70,'Scénario référence'!$B$18*(32+38*(1-EXP(-0.0175*$A51))),70*'Scénario référence'!$B$18)</f>
        <v>70</v>
      </c>
      <c r="MH51" s="12">
        <f>IF($A51&gt;30,10,('Scénario référence'!$B$16+'Scénario référence'!$B$17+'Scénario référence'!$B$18+'Scénario référence'!$B$9+'Scénario référence'!$B$10)*$A51*10/30+('Scénario référence'!$F$8+'Scénario référence'!$F$9)*10)</f>
        <v>10</v>
      </c>
      <c r="MI51" s="12" t="e">
        <f>VLOOKUP($A51,'Données projet'!$A$460:$I$480,2,0)</f>
        <v>#N/A</v>
      </c>
      <c r="MJ51" s="12" t="e">
        <f>VLOOKUP($A51,'Données projet'!$A$460:$I$480,9,0)</f>
        <v>#N/A</v>
      </c>
      <c r="MK51" s="12">
        <f t="array" ref="MK51">INDEX(MJ:MJ,MIN(IF(ISNUMBER(MJ51:MJ247),ROW(MJ51:MJ247),"")))</f>
        <v>0</v>
      </c>
      <c r="ML51" s="12">
        <f>IF('Données projet'!$A$460&gt;35,ML50+MK51-MT50,IF($A51&lt;'Données projet'!$A$460,$CQ$205^$A51,IF($A51='Données projet'!$A$460,'Données projet'!$B$460,ML50+MK51-MT50)))</f>
        <v>0</v>
      </c>
      <c r="MM51" s="17" t="e">
        <f>ML51*VLOOKUP('Données projet'!$B$25,Paramètres!$A$1:$I$89,3,0)*VLOOKUP('Données projet'!$B$25,Paramètres!$A$1:$I$89,5,0)</f>
        <v>#N/A</v>
      </c>
      <c r="MN51" s="13" t="e">
        <f t="shared" si="106"/>
        <v>#N/A</v>
      </c>
      <c r="MO51" s="14" t="e">
        <f t="shared" si="49"/>
        <v>#N/A</v>
      </c>
      <c r="MP51" s="59" t="e">
        <f t="shared" si="50"/>
        <v>#N/A</v>
      </c>
      <c r="MQ51" s="20" t="e">
        <f ca="1">AVERAGE(OFFSET($MP$3,0,0,'Données projet'!$E$25+1,1))-AVERAGE(OFFSET($H$3,0,0,'Données projet'!$E$25+1,1))</f>
        <v>#N/A</v>
      </c>
      <c r="MR51" s="59" t="e">
        <f t="shared" si="107"/>
        <v>#N/A</v>
      </c>
      <c r="MS51" s="15">
        <f>IF(ISNA(VLOOKUP($A51,'Données projet'!$A$460:$I$480,3,0)),0,VLOOKUP($A51,'Données projet'!$A$460:$I$480,3,0))</f>
        <v>0</v>
      </c>
      <c r="MT51" s="15">
        <f>IF(ISNA(VLOOKUP($A51,'Données projet'!$A$460:$I$480,4,0)),0,VLOOKUP($A51,'Données projet'!$A$460:$I$480,4,0))</f>
        <v>0</v>
      </c>
      <c r="MU51" s="16">
        <f>IF(ISNA(VLOOKUP($A51,'Données projet'!$A$460:$I$480,5,0)),0%,VLOOKUP($A51,'Données projet'!$A$460:$I$480,5,0)*VLOOKUP('Données projet'!$B$25,Paramètres!$A$1:$I$89,7,0))</f>
        <v>0</v>
      </c>
      <c r="MV51" s="16">
        <f>IF(ISNA(VLOOKUP($A51,'Données projet'!$A$460:$I$480,6,0)),0%,VLOOKUP($A51,'Données projet'!$A$460:$I$480,6,0)*VLOOKUP('Données projet'!$B$25,Paramètres!$A$1:$I$89,7,0))</f>
        <v>0</v>
      </c>
      <c r="MW51" s="16">
        <f>IF(ISNA(VLOOKUP($A51,'Données projet'!$A$460:$I$480,7,0)),0%,VLOOKUP($A51,'Données projet'!$A$460:$I$480,7,0))</f>
        <v>0</v>
      </c>
      <c r="MX51" s="21" t="e">
        <f>EXP(-LN(2)/35)*MX50+(1-EXP(-LN(2)/35))/(LN(2)/35)*MT51*MU51*VLOOKUP('Données projet'!$B$25,Paramètres!$A$1:$I$89,3,0)*0.475*44/12</f>
        <v>#N/A</v>
      </c>
      <c r="MY51" s="21" t="e">
        <f>EXP(-LN(2)/25)*MY50+(1-EXP(-LN(2)/25))/(LN(2)/25)*Calculateur!MT51*Calculateur!MV51*VLOOKUP('Données projet'!$B$25,Paramètres!$A$1:$I$89,3,0)*0.475*44/12</f>
        <v>#N/A</v>
      </c>
      <c r="MZ51" s="21" t="e">
        <f>EXP(-LN(2)/2)*MZ50+(1-EXP(-LN(2)/2))/(LN(2)/2)*MT51*MW51*VLOOKUP('Données projet'!$B$25,Paramètres!$A$1:$I$89,3,0)*0.475*44/12</f>
        <v>#N/A</v>
      </c>
      <c r="NA51" s="22" t="e">
        <f t="shared" si="108"/>
        <v>#N/A</v>
      </c>
      <c r="NB51" s="74">
        <f>('Scénario référence'!$F$8+'Scénario référence'!$F$9+'Scénario référence'!$B$17+'Scénario référence'!$B$9+'Scénario référence'!$B$10)*70+IF((45+25*(1-EXP(-0.0175*$A51)))&lt;70,'Scénario référence'!$B$16*(45+25*(1-EXP(-0.0175*$A51))),70*'Scénario référence'!$B$16)+IF((32+38*(1-EXP(-0.0175*$A51)))&lt;70,'Scénario référence'!$B$18*(32+38*(1-EXP(-0.0175*$A51))),70*'Scénario référence'!$B$18)</f>
        <v>70</v>
      </c>
      <c r="NC51" s="12">
        <f>IF($A51&gt;30,10,('Scénario référence'!$B$16+'Scénario référence'!$B$17+'Scénario référence'!$B$18+'Scénario référence'!$B$9+'Scénario référence'!$B$10)*$A51*10/30+('Scénario référence'!$F$8+'Scénario référence'!$F$9)*10)</f>
        <v>10</v>
      </c>
      <c r="ND51" s="12" t="e">
        <f>VLOOKUP($A51,'Données projet'!$A$486:$I$506,2,0)</f>
        <v>#N/A</v>
      </c>
      <c r="NE51" s="12" t="e">
        <f>VLOOKUP($A51,'Données projet'!$A$486:$I$506,9,0)</f>
        <v>#N/A</v>
      </c>
      <c r="NF51" s="12">
        <f t="array" ref="NF51">INDEX(NE:NE,MIN(IF(ISNUMBER(NE51:NE247),ROW(NE51:NE247),"")))</f>
        <v>0</v>
      </c>
      <c r="NG51" s="12">
        <f>IF('Données projet'!$A$486&gt;35,NG50+NF51-NO50,IF($A51&lt;'Données projet'!$A$486,$CQ$205^$A51,IF($A51='Données projet'!$A$486,'Données projet'!$B$486,NG50+NF51-NO50)))</f>
        <v>0</v>
      </c>
      <c r="NH51" s="17" t="e">
        <f>NG51*VLOOKUP('Données projet'!$B$26,Paramètres!$A$1:$I$89,3,0)*VLOOKUP('Données projet'!$B$26,Paramètres!$A$1:$I$89,5,0)</f>
        <v>#N/A</v>
      </c>
      <c r="NI51" s="13" t="e">
        <f t="shared" si="109"/>
        <v>#N/A</v>
      </c>
      <c r="NJ51" s="14" t="e">
        <f t="shared" si="52"/>
        <v>#N/A</v>
      </c>
      <c r="NK51" s="59" t="e">
        <f t="shared" si="53"/>
        <v>#N/A</v>
      </c>
      <c r="NL51" s="20" t="e">
        <f ca="1">AVERAGE(OFFSET($NK$3,0,0,'Données projet'!$E$26+1,1))-AVERAGE(OFFSET($H$3,0,0,'Données projet'!$E$26+1,1))</f>
        <v>#N/A</v>
      </c>
      <c r="NM51" s="59" t="e">
        <f t="shared" si="110"/>
        <v>#N/A</v>
      </c>
      <c r="NN51" s="15">
        <f>IF(ISNA(VLOOKUP($A51,'Données projet'!$A$486:$I$506,3,0)),0,VLOOKUP($A51,'Données projet'!$A$486:$I$506,3,0))</f>
        <v>0</v>
      </c>
      <c r="NO51" s="15">
        <f>IF(ISNA(VLOOKUP($A51,'Données projet'!$A$486:$I$506,4,0)),0,VLOOKUP($A51,'Données projet'!$A$486:$I$506,4,0))</f>
        <v>0</v>
      </c>
      <c r="NP51" s="16">
        <f>IF(ISNA(VLOOKUP($A51,'Données projet'!$A$486:$I$506,5,0)),0%,VLOOKUP($A51,'Données projet'!$A$486:$I$506,5,0)*VLOOKUP('Données projet'!$B$26,Paramètres!$A$1:$I$89,7,0))</f>
        <v>0</v>
      </c>
      <c r="NQ51" s="16">
        <f>IF(ISNA(VLOOKUP($A51,'Données projet'!$A$486:$I$506,6,0)),0%,VLOOKUP($A51,'Données projet'!$A$486:$I$506,6,0)*VLOOKUP('Données projet'!$B$26,Paramètres!$A$1:$I$89,7,0))</f>
        <v>0</v>
      </c>
      <c r="NR51" s="16">
        <f>IF(ISNA(VLOOKUP($A51,'Données projet'!$A$486:$I$506,7,0)),0%,VLOOKUP($A51,'Données projet'!$A$486:$I$506,7,0))</f>
        <v>0</v>
      </c>
      <c r="NS51" s="21" t="e">
        <f>EXP(-LN(2)/35)*NS50+(1-EXP(-LN(2)/35))/(LN(2)/35)*NO51*NP51*VLOOKUP('Données projet'!$B$26,Paramètres!$A$1:$I$89,3,0)*0.475*44/12</f>
        <v>#N/A</v>
      </c>
      <c r="NT51" s="21" t="e">
        <f>EXP(-LN(2)/25)*NT50+(1-EXP(-LN(2)/25))/(LN(2)/25)*Calculateur!NO51*Calculateur!NQ51*VLOOKUP('Données projet'!$B$26,Paramètres!$A$1:$I$89,3,0)*0.475*44/12</f>
        <v>#N/A</v>
      </c>
      <c r="NU51" s="21" t="e">
        <f>EXP(-LN(2)/2)*NU50+(1-EXP(-LN(2)/2))/(LN(2)/2)*NO51*NR51*VLOOKUP('Données projet'!$B$26,Paramètres!$A$1:$I$89,3,0)*0.475*44/12</f>
        <v>#N/A</v>
      </c>
      <c r="NV51" s="22" t="e">
        <f t="shared" si="111"/>
        <v>#N/A</v>
      </c>
      <c r="NW51" s="74">
        <f>('Scénario référence'!$F$8+'Scénario référence'!$F$9+'Scénario référence'!$B$17+'Scénario référence'!$B$9+'Scénario référence'!$B$10)*70+IF((45+25*(1-EXP(-0.0175*$A51)))&lt;70,'Scénario référence'!$B$16*(45+25*(1-EXP(-0.0175*$A51))),70*'Scénario référence'!$B$16)+IF((32+38*(1-EXP(-0.0175*$A51)))&lt;70,'Scénario référence'!$B$18*(32+38*(1-EXP(-0.0175*$A51))),70*'Scénario référence'!$B$18)</f>
        <v>70</v>
      </c>
      <c r="NX51" s="12">
        <f>IF($A51&gt;30,10,('Scénario référence'!$B$16+'Scénario référence'!$B$17+'Scénario référence'!$B$18+'Scénario référence'!$B$9+'Scénario référence'!$B$10)*$A51*10/30+('Scénario référence'!$F$8+'Scénario référence'!$F$9)*10)</f>
        <v>10</v>
      </c>
      <c r="NY51" s="12" t="e">
        <f>VLOOKUP($A51,'Données projet'!$A$512:$I$532,2,0)</f>
        <v>#N/A</v>
      </c>
      <c r="NZ51" s="12" t="e">
        <f>VLOOKUP($A51,'Données projet'!$A$512:$I$532,9,0)</f>
        <v>#N/A</v>
      </c>
      <c r="OA51" s="12">
        <f t="array" ref="OA51">INDEX(NZ:NZ,MIN(IF(ISNUMBER(NZ51:NZ247),ROW(NZ51:NZ247),"")))</f>
        <v>0</v>
      </c>
      <c r="OB51" s="12">
        <f>IF('Données projet'!$A$512&gt;35,OB50+OA51-OJ50,IF($A51&lt;'Données projet'!$A$512,$CQ$205^$A51,IF($A51='Données projet'!$A$512,'Données projet'!$B$512,OB50+OA51-OJ50)))</f>
        <v>0</v>
      </c>
      <c r="OC51" s="17" t="e">
        <f>OB51*VLOOKUP('Données projet'!$B$27,Paramètres!$A$1:$I$89,3,0)*VLOOKUP('Données projet'!$B$27,Paramètres!$A$1:$I$89,5,0)</f>
        <v>#N/A</v>
      </c>
      <c r="OD51" s="13" t="e">
        <f t="shared" si="112"/>
        <v>#N/A</v>
      </c>
      <c r="OE51" s="14" t="e">
        <f t="shared" si="55"/>
        <v>#N/A</v>
      </c>
      <c r="OF51" s="59" t="e">
        <f t="shared" si="56"/>
        <v>#N/A</v>
      </c>
      <c r="OG51" s="20" t="e">
        <f ca="1">AVERAGE(OFFSET($OF$3,0,0,'Données projet'!$E$27+1,1))-AVERAGE(OFFSET($H$3,0,0,'Données projet'!$E$27+1,1))</f>
        <v>#N/A</v>
      </c>
      <c r="OH51" s="59" t="e">
        <f t="shared" si="113"/>
        <v>#N/A</v>
      </c>
      <c r="OI51" s="15">
        <f>IF(ISNA(VLOOKUP($A51,'Données projet'!$A$512:$I$532,3,0)),0,VLOOKUP($A51,'Données projet'!$A$512:$I$532,3,0))</f>
        <v>0</v>
      </c>
      <c r="OJ51" s="15">
        <f>IF(ISNA(VLOOKUP($A51,'Données projet'!$A$512:$I$532,4,0)),0,VLOOKUP($A51,'Données projet'!$A$512:$I$532,4,0))</f>
        <v>0</v>
      </c>
      <c r="OK51" s="16">
        <f>IF(ISNA(VLOOKUP($A51,'Données projet'!$A$512:$I$532,5,0)),0%,VLOOKUP($A51,'Données projet'!$A$512:$I$532,5,0)*VLOOKUP('Données projet'!$B$27,Paramètres!$A$1:$I$89,7,0))</f>
        <v>0</v>
      </c>
      <c r="OL51" s="16">
        <f>IF(ISNA(VLOOKUP($A51,'Données projet'!$A$512:$I$532,6,0)),0%,VLOOKUP($A51,'Données projet'!$A$512:$I$532,6,0)*VLOOKUP('Données projet'!$B$27,Paramètres!$A$1:$I$89,7,0))</f>
        <v>0</v>
      </c>
      <c r="OM51" s="16">
        <f>IF(ISNA(VLOOKUP($A51,'Données projet'!$A$512:$I$532,7,0)),0%,VLOOKUP($A51,'Données projet'!$A$512:$I$532,7,0))</f>
        <v>0</v>
      </c>
      <c r="ON51" s="21" t="e">
        <f>EXP(-LN(2)/35)*ON50+(1-EXP(-LN(2)/35))/(LN(2)/35)*OJ51*OK51*VLOOKUP('Données projet'!$B$27,Paramètres!$A$1:$I$89,3,0)*0.475*44/12</f>
        <v>#N/A</v>
      </c>
      <c r="OO51" s="21" t="e">
        <f>EXP(-LN(2)/25)*OO50+(1-EXP(-LN(2)/25))/(LN(2)/25)*Calculateur!OJ51*Calculateur!OL51*VLOOKUP('Données projet'!$B$27,Paramètres!$A$1:$I$89,3,0)*0.475*44/12</f>
        <v>#N/A</v>
      </c>
      <c r="OP51" s="21" t="e">
        <f>EXP(-LN(2)/2)*OP50+(1-EXP(-LN(2)/2))/(LN(2)/2)*OJ51*OM51*VLOOKUP('Données projet'!$B$27,Paramètres!$A$1:$I$89,3,0)*0.475*44/12</f>
        <v>#N/A</v>
      </c>
      <c r="OQ51" s="22" t="e">
        <f t="shared" si="114"/>
        <v>#N/A</v>
      </c>
      <c r="OR51" s="74">
        <f>('Scénario référence'!$F$8+'Scénario référence'!$F$9+'Scénario référence'!$B$17+'Scénario référence'!$B$9+'Scénario référence'!$B$10)*70+IF((45+25*(1-EXP(-0.0175*$A51)))&lt;70,'Scénario référence'!$B$16*(45+25*(1-EXP(-0.0175*$A51))),70*'Scénario référence'!$B$16)+IF((32+38*(1-EXP(-0.0175*$A51)))&lt;70,'Scénario référence'!$B$18*(32+38*(1-EXP(-0.0175*$A51))),70*'Scénario référence'!$B$18)</f>
        <v>70</v>
      </c>
      <c r="OS51" s="12">
        <f>IF($A51&gt;30,10,('Scénario référence'!$B$16+'Scénario référence'!$B$17+'Scénario référence'!$B$18+'Scénario référence'!$B$9+'Scénario référence'!$B$10)*$A51*10/30+('Scénario référence'!$F$8+'Scénario référence'!$F$9)*10)</f>
        <v>10</v>
      </c>
      <c r="OT51" s="12" t="e">
        <f>VLOOKUP($A51,'Données projet'!$A$538:$I$558,2,0)</f>
        <v>#N/A</v>
      </c>
      <c r="OU51" s="12" t="e">
        <f>VLOOKUP($A51,'Données projet'!$A$538:$I$558,9,0)</f>
        <v>#N/A</v>
      </c>
      <c r="OV51" s="12">
        <f t="array" ref="OV51">INDEX(OU:OU,MIN(IF(ISNUMBER(OU51:OU247),ROW(OU51:OU247),"")))</f>
        <v>0</v>
      </c>
      <c r="OW51" s="12">
        <f>IF('Données projet'!$A$538&gt;35,OW50+OV51-PE50,IF($A51&lt;'Données projet'!$A$538,$CQ$205^$A51,IF($A51='Données projet'!$A$538,'Données projet'!$B$538,OW50+OV51-PE50)))</f>
        <v>0</v>
      </c>
      <c r="OX51" s="17" t="e">
        <f>OW51*VLOOKUP('Données projet'!$B$28,Paramètres!$A$1:$I$89,3,0)*VLOOKUP('Données projet'!$B$28,Paramètres!$A$1:$I$89,5,0)</f>
        <v>#N/A</v>
      </c>
      <c r="OY51" s="13" t="e">
        <f t="shared" si="115"/>
        <v>#N/A</v>
      </c>
      <c r="OZ51" s="14" t="e">
        <f t="shared" si="58"/>
        <v>#N/A</v>
      </c>
      <c r="PA51" s="59" t="e">
        <f t="shared" si="59"/>
        <v>#N/A</v>
      </c>
      <c r="PB51" s="20" t="e">
        <f ca="1">AVERAGE(OFFSET($PA$3,0,0,'Données projet'!$E$28+1,1))-AVERAGE(OFFSET($H$3,0,0,'Données projet'!$E$28+1,1))</f>
        <v>#N/A</v>
      </c>
      <c r="PC51" s="59" t="e">
        <f t="shared" si="116"/>
        <v>#N/A</v>
      </c>
      <c r="PD51" s="15">
        <f>IF(ISNA(VLOOKUP($A51,'Données projet'!$A$538:$I$558,3,0)),0,VLOOKUP($A51,'Données projet'!$A$538:$I$558,3,0))</f>
        <v>0</v>
      </c>
      <c r="PE51" s="15">
        <f>IF(ISNA(VLOOKUP($A51,'Données projet'!$A$538:$I$558,4,0)),0,VLOOKUP($A51,'Données projet'!$A$538:$I$558,4,0))</f>
        <v>0</v>
      </c>
      <c r="PF51" s="16">
        <f>IF(ISNA(VLOOKUP($A51,'Données projet'!$A$538:$I$558,5,0)),0%,VLOOKUP($A51,'Données projet'!$A$538:$I$558,5,0)*VLOOKUP('Données projet'!$B$28,Paramètres!$A$1:$I$89,7,0))</f>
        <v>0</v>
      </c>
      <c r="PG51" s="16">
        <f>IF(ISNA(VLOOKUP($A51,'Données projet'!$A$538:$I$558,6,0)),0%,VLOOKUP($A51,'Données projet'!$A$538:$I$558,6,0)*VLOOKUP('Données projet'!$B$28,Paramètres!$A$1:$I$89,7,0))</f>
        <v>0</v>
      </c>
      <c r="PH51" s="16">
        <f>IF(ISNA(VLOOKUP($A51,'Données projet'!$A$538:$I$558,7,0)),0%,VLOOKUP($A51,'Données projet'!$A$538:$I$558,7,0))</f>
        <v>0</v>
      </c>
      <c r="PI51" s="21" t="e">
        <f>EXP(-LN(2)/35)*PI50+(1-EXP(-LN(2)/35))/(LN(2)/35)*PE51*PF51*VLOOKUP('Données projet'!$B$28,Paramètres!$A$1:$I$89,3,0)*0.475*44/12</f>
        <v>#N/A</v>
      </c>
      <c r="PJ51" s="21" t="e">
        <f>EXP(-LN(2)/25)*PJ50+(1-EXP(-LN(2)/25))/(LN(2)/25)*Calculateur!PE51*Calculateur!PG51*VLOOKUP('Données projet'!$B$28,Paramètres!$A$1:$I$89,3,0)*0.475*44/12</f>
        <v>#N/A</v>
      </c>
      <c r="PK51" s="21" t="e">
        <f>EXP(-LN(2)/2)*PK50+(1-EXP(-LN(2)/2))/(LN(2)/2)*PE51*PH51*VLOOKUP('Données projet'!$B$28,Paramètres!$A$1:$I$89,3,0)*0.475*44/12</f>
        <v>#N/A</v>
      </c>
      <c r="PL51" s="22" t="e">
        <f t="shared" si="117"/>
        <v>#N/A</v>
      </c>
    </row>
    <row r="52" spans="1:428" x14ac:dyDescent="0.35">
      <c r="A52" s="10">
        <f t="shared" si="6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6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projet'!$A$45:$I$65,2,0)</f>
        <v>#N/A</v>
      </c>
      <c r="L52" s="12" t="e">
        <f>VLOOKUP(A52,'Données projet'!$A$45:$I$65,9,0)</f>
        <v>#N/A</v>
      </c>
      <c r="M52" s="12">
        <f t="array" ref="M52">INDEX(L:L,MIN(IF(ISNUMBER(L52:L248),ROW(L52:L248),"")))</f>
        <v>20.507692307692299</v>
      </c>
      <c r="N52" s="13">
        <f>IF('Données projet'!$A$46&gt;35,N51+M52-V51,IF(A52&lt;'Données projet'!$A$46,$K$205^A52,IF(A52='Données projet'!$A$46,'Données projet'!$B$46,N51+M52-V51)))</f>
        <v>464.26153846153835</v>
      </c>
      <c r="O52" s="13">
        <f>N52*VLOOKUP('Données projet'!$B$9,Paramètres!$A$1:$I$89,3,0)*VLOOKUP('Données projet'!$B$9,Paramètres!$A$1:$I$89,5,0)</f>
        <v>259.52219999999994</v>
      </c>
      <c r="P52" s="13">
        <f t="shared" si="63"/>
        <v>62.620519404058925</v>
      </c>
      <c r="Q52" s="20">
        <f t="shared" si="118"/>
        <v>561.06523629540254</v>
      </c>
      <c r="R52" s="59">
        <f t="shared" si="0"/>
        <v>854.39856962873591</v>
      </c>
      <c r="S52" s="59">
        <f ca="1">AVERAGE(OFFSET($R$3,0,0,'Données projet'!$E$9+1,1))-AVERAGE(OFFSET($H$3,0,0,'Données projet'!$E$9+1,1))</f>
        <v>274.57619581652199</v>
      </c>
      <c r="T52" s="59">
        <f t="shared" si="64"/>
        <v>366.15117322598775</v>
      </c>
      <c r="U52" s="15">
        <f>IF(ISNA(VLOOKUP(A52,'Données projet'!$A$45:$I$65,3,0)),0,VLOOKUP(A52,'Données projet'!$A$45:$I$65,3,0))</f>
        <v>0</v>
      </c>
      <c r="V52" s="15">
        <f>IF(ISNA(VLOOKUP(A52,'Données projet'!$A$45:$I$65,4,0)),0,VLOOKUP(A52,'Données projet'!$A$45:$I$65,4,0))</f>
        <v>0</v>
      </c>
      <c r="W52" s="16">
        <f>IF(ISNA(VLOOKUP(A52,'Données projet'!$A$45:$I$65,5,0)),0%,VLOOKUP(A52,'Données projet'!$A$45:$I$65,5,0)*VLOOKUP('Données projet'!$B$9,Paramètres!$A$1:$I$89,7,0))</f>
        <v>0</v>
      </c>
      <c r="X52" s="16">
        <f>IF(ISNA(VLOOKUP(A52,'Données projet'!$A$45:$I$65,6,0)),0%,VLOOKUP(A52,'Données projet'!$A$45:$I$65,6,0)*VLOOKUP('Données projet'!$B$9,Paramètres!$A$1:$I$89,7,0))</f>
        <v>0</v>
      </c>
      <c r="Y52" s="16">
        <f>IF(ISNA(VLOOKUP(A52,'Données projet'!$A$45:$I$65,7,0)),0%,VLOOKUP(A52,'Données projet'!$A$45:$I$65,7,0))</f>
        <v>0</v>
      </c>
      <c r="Z52" s="21">
        <f>EXP(-LN(2)/35)*Z51+(1-EXP(-LN(2)/35))/(LN(2)/35)*V52*W52*VLOOKUP('Données projet'!$B$9,Paramètres!$A$1:$I$89,3,0)*0.475*44/12</f>
        <v>76.591940410948766</v>
      </c>
      <c r="AA52" s="21">
        <f>EXP(-LN(2)/25)*AA51+(1-EXP(-LN(2)/25))/(LN(2)/25)*Calculateur!V52*Calculateur!X52*VLOOKUP('Données projet'!$B$9,Paramètres!$A$1:$I$89,3,0)*0.475*44/12</f>
        <v>23.598282567317213</v>
      </c>
      <c r="AB52" s="21">
        <f>EXP(-LN(2)/2)*AB51+(1-EXP(-LN(2)/2))/(LN(2)/2)*V52*Y52*VLOOKUP('Données projet'!$B$9,Paramètres!$A$1:$I$89,3,0)*0.475*44/12</f>
        <v>5.4191791072290476</v>
      </c>
      <c r="AC52" s="22">
        <f t="shared" si="3"/>
        <v>105.60940208549502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projet'!$A$71:$I$91,2,0)</f>
        <v>#N/A</v>
      </c>
      <c r="AG52" s="12" t="e">
        <f>VLOOKUP(A52,'Données projet'!$A$71:$I$91,9,0)</f>
        <v>#N/A</v>
      </c>
      <c r="AH52" s="12">
        <f t="array" ref="AH52">INDEX(AG:AG,MIN(IF(ISNUMBER(AG52:AG248),ROW(AG52:AG248),"")))</f>
        <v>8.8736263736263741</v>
      </c>
      <c r="AI52" s="13">
        <f>IF('Données projet'!$A$72&gt;35,AI51+AH52-AQ51,IF(A52&lt;'Données projet'!$A$72,$AF$205^A52,IF(A52='Données projet'!$A$72,'Données projet'!$B$72,AI51+AH52-AQ51)))</f>
        <v>145.20054945054954</v>
      </c>
      <c r="AJ52" s="13">
        <f>AI52*VLOOKUP('Données projet'!$B$10,Paramètres!$A$1:$I$89,3,0)*VLOOKUP('Données projet'!$B$10,Paramètres!$A$1:$I$89,5,0)</f>
        <v>131.37745714285722</v>
      </c>
      <c r="AK52" s="13">
        <f t="shared" si="65"/>
        <v>34.314453722516539</v>
      </c>
      <c r="AL52" s="20">
        <f t="shared" si="4"/>
        <v>288.58007809052594</v>
      </c>
      <c r="AM52" s="59">
        <f t="shared" si="5"/>
        <v>581.91341142385932</v>
      </c>
      <c r="AN52" s="59">
        <f ca="1">AVERAGE(OFFSET($AM$3,0,0,'Données projet'!$E$10+1,1))-AVERAGE(OFFSET($H$3,0,0,'Données projet'!$E$10+1,1))</f>
        <v>270.87836509222456</v>
      </c>
      <c r="AO52" s="59">
        <f t="shared" si="66"/>
        <v>205.24998237949734</v>
      </c>
      <c r="AP52" s="15">
        <f>IF(ISNA(VLOOKUP(A52,'Données projet'!$A$71:$I$91,3,0)),0,VLOOKUP(A52,'Données projet'!$A$71:$I$91,3,0))</f>
        <v>0</v>
      </c>
      <c r="AQ52" s="15">
        <f>IF(ISNA(VLOOKUP(A52,'Données projet'!$A$71:$I$91,4,0)),0,VLOOKUP(A52,'Données projet'!$A$71:$I$91,4,0))</f>
        <v>0</v>
      </c>
      <c r="AR52" s="16">
        <f>IF(ISNA(VLOOKUP(A52,'Données projet'!$A$71:$I$91,5,0)),0%,VLOOKUP(A52,'Données projet'!$A$71:$I$91,5,0)*VLOOKUP('Données projet'!$B$10,Paramètres!$A$1:$I$89,7,0))</f>
        <v>0</v>
      </c>
      <c r="AS52" s="16">
        <f>IF(ISNA(VLOOKUP(A52,'Données projet'!$A$71:$I$91,6,0)),0%,VLOOKUP(A52,'Données projet'!$A$71:$I$91,6,0)*VLOOKUP('Données projet'!$B$10,Paramètres!$A$1:$I$89,7,0))</f>
        <v>0</v>
      </c>
      <c r="AT52" s="16">
        <f>IF(ISNA(VLOOKUP(A52,'Données projet'!$A$71:$I$91,7,0)),0%,VLOOKUP(A52,'Données projet'!$A$71:$I$91,7,0))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projet'!$A$97:$I$117,2,0)</f>
        <v>#N/A</v>
      </c>
      <c r="BB52" s="12" t="e">
        <f>VLOOKUP(A52,'Données projet'!$A$97:$I$117,9,0)</f>
        <v>#N/A</v>
      </c>
      <c r="BC52" s="12">
        <f t="array" ref="BC52">INDEX(BB:BB,MIN(IF(ISNUMBER(BB52:BB248),ROW(BB52:BB248),"")))</f>
        <v>20.507692307692299</v>
      </c>
      <c r="BD52" s="12">
        <f>IF('Données projet'!$A$98&gt;35,BD51+BC52-BL51,IF(A52&lt;'Données projet'!$A$98,$BA$205^A52,IF(A52='Données projet'!$A$98,'Données projet'!$B$98,BD51+BC52-BL51)))</f>
        <v>464.26153846153835</v>
      </c>
      <c r="BE52" s="13">
        <f>BD52*VLOOKUP('Données projet'!$B$11,Paramètres!$A$1:$I$89,3,0)*VLOOKUP('Données projet'!$B$11,Paramètres!$A$1:$I$89,5,0)</f>
        <v>205.20359999999999</v>
      </c>
      <c r="BF52" s="13">
        <f t="shared" si="67"/>
        <v>50.886046363257051</v>
      </c>
      <c r="BG52" s="20">
        <f t="shared" si="7"/>
        <v>446.0228007493393</v>
      </c>
      <c r="BH52" s="59">
        <f t="shared" si="8"/>
        <v>739.35613408267261</v>
      </c>
      <c r="BI52" s="59">
        <f ca="1">AVERAGE(OFFSET($BH$3,0,0,'Données projet'!$E$11+1,1))-AVERAGE(OFFSET($H$3,0,0,'Données projet'!$E$11+1,1))</f>
        <v>211.31057120485542</v>
      </c>
      <c r="BJ52" s="59">
        <f t="shared" si="68"/>
        <v>283.33292006714777</v>
      </c>
      <c r="BK52" s="15">
        <f>IF(ISNA(VLOOKUP(A52,'Données projet'!$A$97:$I$117,3,0)),0,VLOOKUP(A52,'Données projet'!$A$97:$I$117,3,0))</f>
        <v>0</v>
      </c>
      <c r="BL52" s="15">
        <f>IF(ISNA(VLOOKUP(A52,'Données projet'!$A$97:$I$117,4,0)),0,VLOOKUP(A52,'Données projet'!$A$97:$I$117,4,0))</f>
        <v>0</v>
      </c>
      <c r="BM52" s="16">
        <f>IF(ISNA(VLOOKUP(A52,'Données projet'!$A$97:$I$117,5,0)),0%,VLOOKUP(A52,'Données projet'!$A$97:$I$117,5,0)*VLOOKUP('Données projet'!$B$11,Paramètres!$A$1:$I$89,7,0))</f>
        <v>0</v>
      </c>
      <c r="BN52" s="16">
        <f>IF(ISNA(VLOOKUP(A52,'Données projet'!$A$97:$I$117,6,0)),0%,VLOOKUP(A52,'Données projet'!$A$97:$I$117,6,0)*VLOOKUP('Données projet'!$B$11,Paramètres!$A$1:$I$89,7,0))</f>
        <v>0</v>
      </c>
      <c r="BO52" s="16">
        <f>IF(ISNA(VLOOKUP(A52,'Données projet'!$A$97:$I$117,7,0)),0%,VLOOKUP(A52,'Données projet'!$A$97:$I$117,7,0))</f>
        <v>0</v>
      </c>
      <c r="BP52" s="21">
        <f>EXP(-LN(2)/35)*BP51+(1-EXP(-LN(2)/35))/(LN(2)/35)*BL52*BM52*VLOOKUP('Données projet'!$B$11,Paramètres!$A$1:$I$89,3,0)*0.475*44/12</f>
        <v>60.561069162145529</v>
      </c>
      <c r="BQ52" s="21">
        <f>EXP(-LN(2)/25)*BQ51+(1-EXP(-LN(2)/25))/(LN(2)/25)*Calculateur!BL52*Calculateur!BN52*VLOOKUP('Données projet'!$B$11,Paramètres!$A$1:$I$89,3,0)*0.475*44/12</f>
        <v>18.659107146250818</v>
      </c>
      <c r="BR52" s="21">
        <f>EXP(-LN(2)/2)*BR51+(1-EXP(-LN(2)/2))/(LN(2)/2)*BL52*BO52*VLOOKUP('Données projet'!$B$11,Paramètres!$A$1:$I$89,3,0)*0.475*44/12</f>
        <v>4.2849323173438982</v>
      </c>
      <c r="BS52" s="22">
        <f t="shared" si="9"/>
        <v>83.505108625740249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projet'!$A$123:$I$143,2,0)</f>
        <v>#N/A</v>
      </c>
      <c r="BW52" s="12" t="e">
        <f>VLOOKUP(A52,'Données projet'!$A$123:$I$143,9,0)</f>
        <v>#N/A</v>
      </c>
      <c r="BX52" s="12">
        <f t="array" ref="BX52">INDEX(BW:BW,MIN(IF(ISNUMBER(BW52:BW248),ROW(BW52:BW248),"")))</f>
        <v>7.4</v>
      </c>
      <c r="BY52" s="12">
        <f>IF('Données projet'!$A$124&gt;35,BY51+BX52-CG51,IF(A52&lt;'Données projet'!$A$124,$BV$205^A52,IF(A52='Données projet'!$A$124,'Données projet'!$B$124,BY51+BX52-CG51)))</f>
        <v>201.60000000000005</v>
      </c>
      <c r="BZ52" s="13">
        <f>BY52*VLOOKUP('Données projet'!$B$12,Paramètres!$A$1:$I$89,3,0)*VLOOKUP('Données projet'!$B$12,Paramètres!$A$1:$I$89,5,0)</f>
        <v>210.71232000000006</v>
      </c>
      <c r="CA52" s="13">
        <f t="shared" si="69"/>
        <v>52.091214849236422</v>
      </c>
      <c r="CB52" s="20">
        <f t="shared" si="10"/>
        <v>457.71615652908685</v>
      </c>
      <c r="CC52" s="59">
        <f t="shared" si="11"/>
        <v>751.04948986242016</v>
      </c>
      <c r="CD52" s="59">
        <f ca="1">AVERAGE(OFFSET($CC$3,0,0,'Données projet'!$E$12+1,1))-AVERAGE(OFFSET($H$3,0,0,'Données projet'!$E$12+1,1))</f>
        <v>322.93502595881938</v>
      </c>
      <c r="CE52" s="59">
        <f t="shared" si="70"/>
        <v>302.67072119588164</v>
      </c>
      <c r="CF52" s="15">
        <f>IF(ISNA(VLOOKUP(A52,'Données projet'!$A$123:$I$143,3,0)),0,VLOOKUP(A52,'Données projet'!$A$123:$I$143,3,0))</f>
        <v>0</v>
      </c>
      <c r="CG52" s="15">
        <f>IF(ISNA(VLOOKUP(A52,'Données projet'!$A$123:$I$143,4,0)),0,VLOOKUP(A52,'Données projet'!$A$123:$I$143,4,0))</f>
        <v>0</v>
      </c>
      <c r="CH52" s="16">
        <f>IF(ISNA(VLOOKUP(A52,'Données projet'!$A$123:$I$143,5,0)),0%,VLOOKUP(A52,'Données projet'!$A$123:$I$143,5,0)*VLOOKUP('Données projet'!$B$12,Paramètres!$A$1:$I$89,7,0))</f>
        <v>0</v>
      </c>
      <c r="CI52" s="16">
        <f>IF(ISNA(VLOOKUP(A52,'Données projet'!$A$123:$I$143,6,0)),0%,VLOOKUP(A52,'Données projet'!$A$123:$I$143,6,0)*VLOOKUP('Données projet'!$B$12,Paramètres!$A$1:$I$89,7,0))</f>
        <v>0</v>
      </c>
      <c r="CJ52" s="16">
        <f>IF(ISNA(VLOOKUP(A52,'Données projet'!$A$123:$I$143,7,0)),0%,VLOOKUP(A52,'Données projet'!$A$123:$I$143,7,0))</f>
        <v>0</v>
      </c>
      <c r="CK52" s="21">
        <f>EXP(-LN(2)/35)*CK51+(1-EXP(-LN(2)/35))/(LN(2)/35)*CG52*CH52*VLOOKUP('Données projet'!$B$12,Paramètres!$A$1:$I$89,3,0)*0.475*44/12</f>
        <v>4.7735873971574279</v>
      </c>
      <c r="CL52" s="21">
        <f>EXP(-LN(2)/25)*CL51+(1-EXP(-LN(2)/25))/(LN(2)/25)*Calculateur!CG52*Calculateur!CI52*VLOOKUP('Données projet'!$B$12,Paramètres!$A$1:$I$89,3,0)*0.475*44/12</f>
        <v>14.343688842631572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19.117276239789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projet'!$A$149:$I$169,2,0)</f>
        <v>#N/A</v>
      </c>
      <c r="CR52" s="12" t="e">
        <f>VLOOKUP(A52,'Données projet'!$A$149:$I$169,9,0)</f>
        <v>#N/A</v>
      </c>
      <c r="CS52" s="12">
        <f t="array" ref="CS52">INDEX(CR:CR,MIN(IF(ISNUMBER(CR52:CR248),ROW(CR52:CR248),"")))</f>
        <v>6.826007326007324</v>
      </c>
      <c r="CT52" s="12">
        <f>IF('Données projet'!$A$150&gt;35,CT51+CS52-DB51,IF(A52&lt;'Données projet'!$A$150,$CQ$205^A52,IF(A52='Données projet'!$A$150,'Données projet'!$B$150,CT51+CS52-DB51)))</f>
        <v>132.13644688644683</v>
      </c>
      <c r="CU52" s="17">
        <f>CT52*VLOOKUP('Données projet'!$B$13,Paramètres!$A$1:$I$89,3,0)*VLOOKUP('Données projet'!$B$13,Paramètres!$A$1:$I$89,5,0)</f>
        <v>133.98635714285712</v>
      </c>
      <c r="CV52" s="13">
        <f t="shared" si="71"/>
        <v>34.915863980670267</v>
      </c>
      <c r="CW52" s="20">
        <f t="shared" si="13"/>
        <v>294.17136845681017</v>
      </c>
      <c r="CX52" s="59">
        <f t="shared" si="14"/>
        <v>587.50470179014349</v>
      </c>
      <c r="CY52" s="59">
        <f ca="1">AVERAGE(OFFSET($CX$3,0,0,'Données projet'!$E$13+1,1))-AVERAGE(OFFSET($H$3,0,0,'Données projet'!$E$13+1,1))</f>
        <v>250.31277422753283</v>
      </c>
      <c r="CZ52" s="59">
        <f t="shared" si="72"/>
        <v>159.20429420478047</v>
      </c>
      <c r="DA52" s="15">
        <f>IF(ISNA(VLOOKUP(A52,'Données projet'!$A$149:$I$169,3,0)),0,VLOOKUP(A52,'Données projet'!$A$149:$I$169,3,0))</f>
        <v>0</v>
      </c>
      <c r="DB52" s="15">
        <f>IF(ISNA(VLOOKUP(A52,'Données projet'!$A$149:$I$169,4,0)),0,VLOOKUP(A52,'Données projet'!$A$149:$I$169,4,0))</f>
        <v>0</v>
      </c>
      <c r="DC52" s="16">
        <f>IF(ISNA(VLOOKUP(A52,'Données projet'!$A$149:$I$169,5,0)),0%,VLOOKUP(A52,'Données projet'!$A$149:$I$169,5,0)*VLOOKUP('Données projet'!$B$13,Paramètres!$A$1:$I$89,7,0))</f>
        <v>0</v>
      </c>
      <c r="DD52" s="16">
        <f>IF(ISNA(VLOOKUP(A52,'Données projet'!$A$149:$I$169,6,0)),0%,VLOOKUP(A52,'Données projet'!$A$149:$I$169,6,0)*VLOOKUP('Données projet'!$B$13,Paramètres!$A$1:$I$89,7,0))</f>
        <v>0</v>
      </c>
      <c r="DE52" s="16">
        <f>IF(ISNA(VLOOKUP(A52,'Données projet'!$A$149:$I$169,7,0)),0%,VLOOKUP(A52,'Données projet'!$A$149:$I$169,7,0))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0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projet'!$A$175:$I$195,2,0)</f>
        <v>#N/A</v>
      </c>
      <c r="DM52" s="12" t="e">
        <f>VLOOKUP(A52,'Données projet'!$A$175:$I$195,9,0)</f>
        <v>#N/A</v>
      </c>
      <c r="DN52" s="12">
        <f t="array" ref="DN52">INDEX(DM:DM,MIN(IF(ISNUMBER(DM52:DM248),ROW(DM52:DM248),"")))</f>
        <v>9.8000000000000007</v>
      </c>
      <c r="DO52" s="12">
        <f>IF('Données projet'!$A$176&gt;35,DO51+DN52-DW51,IF(A52&lt;'Données projet'!$A$176,$DL$205^A52,IF(A52='Données projet'!$A$176,'Données projet'!$B$176,DO51+DN52-DW51)))</f>
        <v>293.19999999999993</v>
      </c>
      <c r="DP52" s="17">
        <f>DO52*VLOOKUP('Données projet'!$B$14,Paramètres!$A$1:$I$89,3,0)*VLOOKUP('Données projet'!$B$14,Paramètres!$A$1:$I$89,5,0)</f>
        <v>214.97423999999995</v>
      </c>
      <c r="DQ52" s="13">
        <f t="shared" si="73"/>
        <v>53.021096827639134</v>
      </c>
      <c r="DR52" s="20">
        <f t="shared" si="16"/>
        <v>466.75854497480481</v>
      </c>
      <c r="DS52" s="59">
        <f t="shared" si="17"/>
        <v>760.09187830813812</v>
      </c>
      <c r="DT52" s="59">
        <f ca="1">AVERAGE(OFFSET($DS$3,0,0,'Données projet'!$E$14+1,1))-AVERAGE(OFFSET($H$3,0,0,'Données projet'!$E$14+1,1))</f>
        <v>296.91321813251051</v>
      </c>
      <c r="DU52" s="59">
        <f t="shared" si="74"/>
        <v>291.0718079639509</v>
      </c>
      <c r="DV52" s="15">
        <f>IF(ISNA(VLOOKUP(A52,'Données projet'!$A$175:$I$195,3,0)),0,VLOOKUP(A52,'Données projet'!$A$175:$I$195,3,0))</f>
        <v>0</v>
      </c>
      <c r="DW52" s="15">
        <f>IF(ISNA(VLOOKUP(A52,'Données projet'!$A$175:$I$195,4,0)),0,VLOOKUP(A52,'Données projet'!$A$175:$I$195,4,0))</f>
        <v>0</v>
      </c>
      <c r="DX52" s="16">
        <f>IF(ISNA(VLOOKUP(A52,'Données projet'!$A$175:$I$195,5,0)),0%,VLOOKUP(A52,'Données projet'!$A$175:$I$195,5,0)*VLOOKUP('Données projet'!$B$14,Paramètres!$A$1:$I$89,7,0))</f>
        <v>0</v>
      </c>
      <c r="DY52" s="16">
        <f>IF(ISNA(VLOOKUP(A52,'Données projet'!$A$175:$I$195,6,0)),0%,VLOOKUP(A52,'Données projet'!$A$175:$I$195,6,0)*VLOOKUP('Données projet'!$B$14,Paramètres!$A$1:$I$89,7,0))</f>
        <v>0</v>
      </c>
      <c r="DZ52" s="16">
        <f>IF(ISNA(VLOOKUP(A52,'Données projet'!$A$175:$I$195,7,0)),0%,VLOOKUP(A52,'Données projet'!$A$175:$I$195,7,0))</f>
        <v>0</v>
      </c>
      <c r="EA52" s="21">
        <f>EXP(-LN(2)/35)*EA51+(1-EXP(-LN(2)/35))/(LN(2)/35)*DW52*DX52*VLOOKUP('Données projet'!$B$14,Paramètres!$A$1:$I$89,3,0)*0.475*44/12</f>
        <v>32.325487621898532</v>
      </c>
      <c r="EB52" s="21">
        <f>EXP(-LN(2)/25)*EB51+(1-EXP(-LN(2)/25))/(LN(2)/25)*Calculateur!DW52*Calculateur!DY52*VLOOKUP('Données projet'!$B$14,Paramètres!$A$1:$I$89,3,0)*0.475*44/12</f>
        <v>9.9591863859598995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42.284674007858428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projet'!$A$201:$I$221,2,0)</f>
        <v>#N/A</v>
      </c>
      <c r="EH52" s="12" t="e">
        <f>VLOOKUP(A52,'Données projet'!$A$201:$I$221,9,0)</f>
        <v>#N/A</v>
      </c>
      <c r="EI52" s="12">
        <f t="array" ref="EI52">INDEX(EH:EH,MIN(IF(ISNUMBER(EH52:EH248),ROW(EH52:EH248),"")))</f>
        <v>10.407692307692306</v>
      </c>
      <c r="EJ52" s="12">
        <f>IF('Données projet'!$A$202&gt;35,EJ51+EI52-ER51,IF(A52&lt;'Données projet'!$A$202,$EG$205^A52,IF(A52='Données projet'!$A$202,'Données projet'!$B$202,EJ51+EI52-ER51)))</f>
        <v>301.02307692307687</v>
      </c>
      <c r="EK52" s="17">
        <f>EJ52*VLOOKUP('Données projet'!$B$15,Paramètres!$A$1:$I$89,3,0)*VLOOKUP('Données projet'!$B$15,Paramètres!$A$1:$I$89,5,0)</f>
        <v>140.87879999999998</v>
      </c>
      <c r="EL52" s="13">
        <f t="shared" si="75"/>
        <v>36.498252857280519</v>
      </c>
      <c r="EM52" s="20">
        <f t="shared" si="19"/>
        <v>308.93170039309683</v>
      </c>
      <c r="EN52" s="59">
        <f t="shared" si="20"/>
        <v>602.26503372643015</v>
      </c>
      <c r="EO52" s="59">
        <f ca="1">AVERAGE(OFFSET($EN$3,0,0,'Données projet'!$E$15+1,1))-AVERAGE(OFFSET($H$3,0,0,'Données projet'!$E$15+1,1))</f>
        <v>147.64256291235483</v>
      </c>
      <c r="EP52" s="59">
        <f t="shared" si="76"/>
        <v>70.859031694091868</v>
      </c>
      <c r="EQ52" s="15">
        <f>IF(ISNA(VLOOKUP(A52,'Données projet'!$A$201:$I$221,3,0)),0,VLOOKUP(A52,'Données projet'!$A$201:$I$221,3,0))</f>
        <v>0</v>
      </c>
      <c r="ER52" s="15">
        <f>IF(ISNA(VLOOKUP(A52,'Données projet'!$A$201:$I$221,4,0)),0,VLOOKUP(A52,'Données projet'!$A$201:$I$221,4,0))</f>
        <v>0</v>
      </c>
      <c r="ES52" s="16">
        <f>IF(ISNA(VLOOKUP(A52,'Données projet'!$A$201:$I$221,5,0)),0%,VLOOKUP(A52,'Données projet'!$A$201:$I$221,5,0)*VLOOKUP('Données projet'!$B$15,Paramètres!$A$1:$I$89,7,0))</f>
        <v>0</v>
      </c>
      <c r="ET52" s="16">
        <f>IF(ISNA(VLOOKUP(A52,'Données projet'!$A$201:$I$221,6,0)),0%,VLOOKUP(A52,'Données projet'!$A$201:$I$221,6,0)*VLOOKUP('Données projet'!$B$15,Paramètres!$A$1:$I$89,7,0))</f>
        <v>0</v>
      </c>
      <c r="EU52" s="16">
        <f>IF(ISNA(VLOOKUP(A52,'Données projet'!$A$201:$I$221,7,0)),0%,VLOOKUP(A52,'Données projet'!$A$201:$I$221,7,0))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0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projet'!$A$227:$I$247,2,0)</f>
        <v>#N/A</v>
      </c>
      <c r="FC52" s="12" t="e">
        <f>VLOOKUP(A52,'Données projet'!$A$227:$I$247,9,0)</f>
        <v>#N/A</v>
      </c>
      <c r="FD52" s="12">
        <f t="array" ref="FD52">INDEX(FC:FC,MIN(IF(ISNUMBER(FC52:FC248),ROW(FC52:FC248),"")))</f>
        <v>6</v>
      </c>
      <c r="FE52" s="12">
        <f>IF('Données projet'!$A$228&gt;35,FE51+FD52-FM51,IF(A52&lt;'Données projet'!$A$228,$FB$205^A52,IF(A52='Données projet'!$A$228,'Données projet'!$B$228,FE51+FD52-FM51)))</f>
        <v>167.00000000000003</v>
      </c>
      <c r="FF52" s="17">
        <f>FE52*VLOOKUP('Données projet'!$B$16,Paramètres!$A$1:$I$89,3,0)*VLOOKUP('Données projet'!$B$16,Paramètres!$A$1:$I$89,5,0)</f>
        <v>174.54840000000004</v>
      </c>
      <c r="FG52" s="13">
        <f t="shared" si="77"/>
        <v>44.107143191738089</v>
      </c>
      <c r="FH52" s="20">
        <f t="shared" si="22"/>
        <v>380.82507105894388</v>
      </c>
      <c r="FI52" s="59">
        <f t="shared" si="23"/>
        <v>674.15840439227713</v>
      </c>
      <c r="FJ52" s="59">
        <f ca="1">AVERAGE(OFFSET($FI$3,0,0,'Données projet'!$E$16+1,1))-AVERAGE(OFFSET($H$3,0,0,'Données projet'!$E$16+1,1))</f>
        <v>259.03906550253788</v>
      </c>
      <c r="FK52" s="59">
        <f t="shared" si="78"/>
        <v>235.54542903570831</v>
      </c>
      <c r="FL52" s="15">
        <f>IF(ISNA(VLOOKUP(A52,'Données projet'!$A$227:$I$247,3,0)),0,VLOOKUP(A52,'Données projet'!$A$227:$I$247,3,0))</f>
        <v>0</v>
      </c>
      <c r="FM52" s="15">
        <f>IF(ISNA(VLOOKUP(A52,'Données projet'!$A$227:$I$247,4,0)),0,VLOOKUP(A52,'Données projet'!$A$227:$I$247,4,0))</f>
        <v>0</v>
      </c>
      <c r="FN52" s="16">
        <f>IF(ISNA(VLOOKUP(A52,'Données projet'!$A$227:$I$247,5,0)),0%,VLOOKUP(A52,'Données projet'!$A$227:$I$247,5,0)*VLOOKUP('Données projet'!$B$16,Paramètres!$A$1:$I$89,7,0))</f>
        <v>0</v>
      </c>
      <c r="FO52" s="16">
        <f>IF(ISNA(VLOOKUP(A52,'Données projet'!$A$227:$I$247,6,0)),0%,VLOOKUP(A52,'Données projet'!$A$227:$I$247,6,0)*VLOOKUP('Données projet'!$B$16,Paramètres!$A$1:$I$89,7,0))</f>
        <v>0</v>
      </c>
      <c r="FP52" s="16">
        <f>IF(ISNA(VLOOKUP(A52,'Données projet'!$A$227:$I$247,7,0)),0%,VLOOKUP(A52,'Données projet'!$A$227:$I$247,7,0))</f>
        <v>0</v>
      </c>
      <c r="FQ52" s="21">
        <f>EXP(-LN(2)/35)*FQ51+(1-EXP(-LN(2)/35))/(LN(2)/35)*FM52*FN52*VLOOKUP('Données projet'!$B$16,Paramètres!$A$1:$I$89,3,0)*0.475*44/12</f>
        <v>0</v>
      </c>
      <c r="FR52" s="21">
        <f>EXP(-LN(2)/25)*FR51+(1-EXP(-LN(2)/25))/(LN(2)/25)*Calculateur!FM52*Calculateur!FO52*VLOOKUP('Données projet'!$B$16,Paramètres!$A$1:$I$89,3,0)*0.475*44/12</f>
        <v>8.0637964196261791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8.0637964196261791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projet'!$A$253:$I$273,2,0)</f>
        <v>#N/A</v>
      </c>
      <c r="FX52" s="12" t="e">
        <f>VLOOKUP(A52,'Données projet'!$A$253:$I$273,9,0)</f>
        <v>#N/A</v>
      </c>
      <c r="FY52" s="12">
        <f t="array" ref="FY52">INDEX(FX:FX,MIN(IF(ISNUMBER(FX52:FX248),ROW(FX52:FX248),"")))</f>
        <v>7.2</v>
      </c>
      <c r="FZ52" s="12">
        <f>IF('Données projet'!$A$254&gt;35,FZ51+FY52-GH51,IF(A52&lt;'Données projet'!$A$254,$FW$205^A52,IF(A52='Données projet'!$A$254,'Données projet'!$B$254,FZ51+FY52-GH51)))</f>
        <v>211.7999999999999</v>
      </c>
      <c r="GA52" s="17">
        <f>FZ52*VLOOKUP('Données projet'!$B$17,Paramètres!$A$1:$I$89,3,0)*VLOOKUP('Données projet'!$B$17,Paramètres!$A$1:$I$89,5,0)</f>
        <v>185.02847999999992</v>
      </c>
      <c r="GB52" s="13">
        <f t="shared" si="79"/>
        <v>46.439130018745807</v>
      </c>
      <c r="GC52" s="20">
        <f t="shared" si="25"/>
        <v>403.13942078264876</v>
      </c>
      <c r="GD52" s="59">
        <f t="shared" si="26"/>
        <v>696.47275411598207</v>
      </c>
      <c r="GE52" s="59">
        <f ca="1">AVERAGE(OFFSET($GD$3,0,0,'Données projet'!$E$17+1,1))-AVERAGE(OFFSET($H$3,0,0,'Données projet'!$E$17+1,1))</f>
        <v>245.1983232777614</v>
      </c>
      <c r="GF52" s="59">
        <f t="shared" si="80"/>
        <v>242.34010522344573</v>
      </c>
      <c r="GG52" s="15">
        <f>IF(ISNA(VLOOKUP(A52,'Données projet'!$A$253:$I$273,3,0)),0,VLOOKUP(A52,'Données projet'!$A$253:$I$273,3,0))</f>
        <v>0</v>
      </c>
      <c r="GH52" s="15">
        <f>IF(ISNA(VLOOKUP(A52,'Données projet'!$A$253:$I$273,4,0)),0,VLOOKUP(A52,'Données projet'!$A$253:$I$273,4,0))</f>
        <v>0</v>
      </c>
      <c r="GI52" s="16">
        <f>IF(ISNA(VLOOKUP(A52,'Données projet'!$A$253:$I$273,5,0)),0%,VLOOKUP(A52,'Données projet'!$A$253:$I$273,5,0)*VLOOKUP('Données projet'!$B$17,Paramètres!$A$1:$I$89,7,0))</f>
        <v>0</v>
      </c>
      <c r="GJ52" s="16">
        <f>IF(ISNA(VLOOKUP(A52,'Données projet'!$A$253:$I$273,6,0)),0%,VLOOKUP(A52,'Données projet'!$A$253:$I$273,6,0)*VLOOKUP('Données projet'!$B$17,Paramètres!$A$1:$I$89,7,0))</f>
        <v>0</v>
      </c>
      <c r="GK52" s="16">
        <f>IF(ISNA(VLOOKUP(A52,'Données projet'!$A$253:$I$273,7,0)),0%,VLOOKUP(A52,'Données projet'!$A$253:$I$273,7,0))</f>
        <v>0</v>
      </c>
      <c r="GL52" s="21">
        <f>EXP(-LN(2)/35)*GL51+(1-EXP(-LN(2)/35))/(LN(2)/35)*GH52*GI52*VLOOKUP('Données projet'!$B$17,Paramètres!$A$1:$I$89,3,0)*0.475*44/12</f>
        <v>10.679465662148276</v>
      </c>
      <c r="GM52" s="21">
        <f>EXP(-LN(2)/25)*GM51+(1-EXP(-LN(2)/25))/(LN(2)/25)*Calculateur!GH52*Calculateur!GJ52*VLOOKUP('Données projet'!$B$17,Paramètres!$A$1:$I$89,3,0)*0.475*44/12</f>
        <v>11.496533699082521</v>
      </c>
      <c r="GN52" s="21">
        <f>EXP(-LN(2)/2)*GN51+(1-EXP(-LN(2)/2))/(LN(2)/2)*GH52*GK52*VLOOKUP('Données projet'!$B$17,Paramètres!$A$1:$I$89,3,0)*0.475*44/12</f>
        <v>0</v>
      </c>
      <c r="GO52" s="21">
        <f t="shared" si="27"/>
        <v>22.175999361230797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projet'!$A$279:$I$299,2,0)</f>
        <v>#N/A</v>
      </c>
      <c r="GS52" s="12" t="e">
        <f>VLOOKUP(A52,'Données projet'!$A$279:$I$299,9,0)</f>
        <v>#N/A</v>
      </c>
      <c r="GT52" s="12">
        <f t="array" ref="GT52">INDEX(GS:GS,MIN(IF(ISNUMBER(GS52:GS248),ROW(GS52:GS248),"")))</f>
        <v>17.600000000000001</v>
      </c>
      <c r="GU52" s="12">
        <f>IF('Données projet'!$A$280&gt;35,GU51+GT52-HC51,IF(A52&lt;'Données projet'!$A$280,$GR$205^A52,IF(A52='Données projet'!$A$280,'Données projet'!$B$280,GU51+GT52-HC51)))</f>
        <v>583.40000000000032</v>
      </c>
      <c r="GV52" s="17">
        <f>GU52*VLOOKUP('Données projet'!$B$18,Paramètres!$A$1:$I$89,3,0)*VLOOKUP('Données projet'!$B$18,Paramètres!$A$1:$I$89,5,0)</f>
        <v>235.11020000000013</v>
      </c>
      <c r="GW52" s="13">
        <f t="shared" si="81"/>
        <v>57.386209117166473</v>
      </c>
      <c r="GX52" s="20">
        <f t="shared" si="28"/>
        <v>509.4312458790651</v>
      </c>
      <c r="GY52" s="59">
        <f t="shared" si="29"/>
        <v>802.76457921239842</v>
      </c>
      <c r="GZ52" s="59">
        <f ca="1">AVERAGE(OFFSET($GY$3,0,0,'Données projet'!$E$18+1,1))-AVERAGE(OFFSET($H$3,0,0,'Données projet'!$E$18+1,1))</f>
        <v>324.36162935850876</v>
      </c>
      <c r="HA52" s="59">
        <f t="shared" si="82"/>
        <v>265.23571072429735</v>
      </c>
      <c r="HB52" s="15">
        <f>IF(ISNA(VLOOKUP(A52,'Données projet'!$A$279:$I$299,3,0)),0,VLOOKUP(A52,'Données projet'!$A$279:$I$299,3,0))</f>
        <v>0</v>
      </c>
      <c r="HC52" s="15">
        <f>IF(ISNA(VLOOKUP(A52,'Données projet'!$A$279:$I$299,4,0)),0,VLOOKUP(A52,'Données projet'!$A$279:$I$299,4,0))</f>
        <v>0</v>
      </c>
      <c r="HD52" s="16">
        <f>IF(ISNA(VLOOKUP(A52,'Données projet'!$A$279:$I$299,5,0)),0%,VLOOKUP(A52,'Données projet'!$A$279:$I$299,5,0)*VLOOKUP('Données projet'!$B$18,Paramètres!$A$1:$I$89,7,0))</f>
        <v>0</v>
      </c>
      <c r="HE52" s="16">
        <f>IF(ISNA(VLOOKUP(A52,'Données projet'!$A$279:$I$299,6,0)),0%,VLOOKUP(A52,'Données projet'!$A$279:$I$299,6,0)*VLOOKUP('Données projet'!$B$18,Paramètres!$A$1:$I$89,7,0))</f>
        <v>0</v>
      </c>
      <c r="HF52" s="16">
        <f>IF(ISNA(VLOOKUP($A52,'Données projet'!$A$279:$I$299,7,0)),0%,VLOOKUP($A52,'Données projet'!$A$279:$I$299,7,0))</f>
        <v>0</v>
      </c>
      <c r="HG52" s="21">
        <f>EXP(-LN(2)/35)*HG51+(1-EXP(-LN(2)/35))/(LN(2)/35)*HC52*HD52*VLOOKUP('Données projet'!$B$18,Paramètres!$A$1:$I$89,3,0)*0.475*44/12</f>
        <v>4.4166169675352229</v>
      </c>
      <c r="HH52" s="21">
        <f>EXP(-LN(2)/25)*HH51+(1-EXP(-LN(2)/25))/(LN(2)/25)*Calculateur!HC52*Calculateur!HE52*VLOOKUP('Données projet'!$B$18,Paramètres!$A$1:$I$89,3,0)*0.475*44/12</f>
        <v>10.6845532069222</v>
      </c>
      <c r="HI52" s="21">
        <f>EXP(-LN(2)/2)*HI51+(1-EXP(-LN(2)/2))/(LN(2)/2)*HC52*HF52*VLOOKUP('Données projet'!$B$18,Paramètres!$A$1:$I$89,3,0)*0.475*44/12</f>
        <v>0.77904635371030861</v>
      </c>
      <c r="HJ52" s="22">
        <f t="shared" si="30"/>
        <v>15.880216528167731</v>
      </c>
      <c r="HK52" s="74">
        <f>('Scénario référence'!$F$8+'Scénario référence'!$F$9+'Scénario référence'!$B$17+'Scénario référence'!$B$9+'Scénario référence'!$B$10)*70+IF((45+25*(1-EXP(-0.0175*$A52)))&lt;70,'Scénario référence'!$B$16*(45+25*(1-EXP(-0.0175*$A52))),70*'Scénario référence'!$B$16)+IF((32+38*(1-EXP(-0.0175*$A52)))&lt;70,'Scénario référence'!$B$18*(32+38*(1-EXP(-0.0175*$A52))),70*'Scénario référence'!$B$18)</f>
        <v>70</v>
      </c>
      <c r="HL52" s="12">
        <f>IF($A52&gt;30,10,('Scénario référence'!$B$16+'Scénario référence'!$B$17+'Scénario référence'!$B$18+'Scénario référence'!$B$9+'Scénario référence'!$B$10)*$A52*10/30+('Scénario référence'!$F$8+'Scénario référence'!$F$9)*10)</f>
        <v>10</v>
      </c>
      <c r="HM52" s="12" t="e">
        <f>VLOOKUP($A52,'Données projet'!$A$304:$I$324,2,0)</f>
        <v>#N/A</v>
      </c>
      <c r="HN52" s="12" t="e">
        <f>VLOOKUP($A52,'Données projet'!$A$304:$I$324,9,0)</f>
        <v>#N/A</v>
      </c>
      <c r="HO52" s="12">
        <f t="array" ref="HO52">INDEX(HN:HN,MIN(IF(ISNUMBER(HN52:HN248),ROW(HN52:HN248),"")))</f>
        <v>0</v>
      </c>
      <c r="HP52" s="12">
        <f>IF('Données projet'!$A$304&gt;35,HP51+HO52-HX51,IF($A52&lt;'Données projet'!$A$304,$CQ$205^$A52,IF($A52='Données projet'!$A$304,'Données projet'!$B$304,HP51+HO52-HX51)))</f>
        <v>0</v>
      </c>
      <c r="HQ52" s="17">
        <f>HP52*VLOOKUP('Données projet'!$B$19,Paramètres!$A$1:$I$89,3,0)*VLOOKUP('Données projet'!$B$19,Paramètres!$A$1:$I$89,5,0)</f>
        <v>0</v>
      </c>
      <c r="HR52" s="13" t="e">
        <f t="shared" si="83"/>
        <v>#NUM!</v>
      </c>
      <c r="HS52" s="14" t="e">
        <f t="shared" si="31"/>
        <v>#NUM!</v>
      </c>
      <c r="HT52" s="59" t="e">
        <f t="shared" si="32"/>
        <v>#NUM!</v>
      </c>
      <c r="HU52" s="59">
        <f ca="1">AVERAGE(OFFSET(HT$3,0,0,'Données projet'!$E$19+1,1))-AVERAGE(OFFSET($H$3,0,0,'Données projet'!$E$19+1,1))</f>
        <v>91.60721429656013</v>
      </c>
      <c r="HV52" s="59">
        <f t="shared" si="84"/>
        <v>258.94957804210856</v>
      </c>
      <c r="HW52" s="15">
        <f>IF(ISNA(VLOOKUP($A52,'Données projet'!$A$304:$I$324,3,0)),0,VLOOKUP($A52,'Données projet'!$A$304:$I$324,3,0))</f>
        <v>0</v>
      </c>
      <c r="HX52" s="15">
        <f>IF(ISNA(VLOOKUP($A52,'Données projet'!$A$304:$I$324,4,0)),0,VLOOKUP($A52,'Données projet'!$A$304:$I$324,4,0))</f>
        <v>0</v>
      </c>
      <c r="HY52" s="16">
        <f>IF(ISNA(VLOOKUP($A52,'Données projet'!$A$304:$I$324,5,0)),0%,VLOOKUP($A52,'Données projet'!$A$304:$I$324,5,0)*VLOOKUP('Données projet'!$B$19,Paramètres!$A$1:$I$89,7,0))</f>
        <v>0</v>
      </c>
      <c r="HZ52" s="16">
        <f>IF(ISNA(VLOOKUP($A52,'Données projet'!$A$304:$I$324,6,0)),0%,VLOOKUP($A52,'Données projet'!$A$304:$I$324,6,0)*VLOOKUP('Données projet'!$B$19,Paramètres!$A$1:$I$89,7,0))</f>
        <v>0</v>
      </c>
      <c r="IA52" s="16">
        <f>IF(ISNA(VLOOKUP($A52,'Données projet'!$A$304:$I$324,7,0)),0%,VLOOKUP($A52,'Données projet'!$A$304:$I$324,7,0))</f>
        <v>0</v>
      </c>
      <c r="IB52" s="21">
        <f>EXP(-LN(2)/35)*IB51+(1-EXP(-LN(2)/35))/(LN(2)/35)*HX52*HY52*VLOOKUP('Données projet'!$B$19,Paramètres!$A$1:$I$89,3,0)*0.475*44/12</f>
        <v>33.862470786500367</v>
      </c>
      <c r="IC52" s="21">
        <f>EXP(-LN(2)/25)*IC51+(1-EXP(-LN(2)/25))/(LN(2)/25)*Calculateur!HX52*Calculateur!HZ52*VLOOKUP('Données projet'!$B$19,Paramètres!$A$1:$I$89,3,0)*0.475*44/12</f>
        <v>5.7441869084567445</v>
      </c>
      <c r="ID52" s="21">
        <f>EXP(-LN(2)/2)*ID51+(1-EXP(-LN(2)/2))/(LN(2)/2)*HX52*IA52*VLOOKUP('Données projet'!$B$19,Paramètres!$A$1:$I$89,3,0)*0.475*44/12</f>
        <v>7.911479575245247E-4</v>
      </c>
      <c r="IE52" s="22">
        <f t="shared" si="33"/>
        <v>39.607448842914636</v>
      </c>
      <c r="IF52" s="74">
        <f>('Scénario référence'!$F$8+'Scénario référence'!$F$9+'Scénario référence'!$B$17+'Scénario référence'!$B$9+'Scénario référence'!$B$10)*70+IF((45+25*(1-EXP(-0.0175*$A52)))&lt;70,'Scénario référence'!$B$16*(45+25*(1-EXP(-0.0175*$A52))),70*'Scénario référence'!$B$16)+IF((32+38*(1-EXP(-0.0175*$A52)))&lt;70,'Scénario référence'!$B$18*(32+38*(1-EXP(-0.0175*$A52))),70*'Scénario référence'!$B$18)</f>
        <v>70</v>
      </c>
      <c r="IG52" s="12">
        <f>IF($A52&gt;30,10,('Scénario référence'!$B$16+'Scénario référence'!$B$17+'Scénario référence'!$B$18+'Scénario référence'!$B$9+'Scénario référence'!$B$10)*$A52*10/30+('Scénario référence'!$F$8+'Scénario référence'!$F$9)*10)</f>
        <v>10</v>
      </c>
      <c r="IH52" s="12" t="e">
        <f>VLOOKUP($A52,'Données projet'!$A$330:$I$350,2,0)</f>
        <v>#N/A</v>
      </c>
      <c r="II52" s="12" t="e">
        <f>VLOOKUP($A52,'Données projet'!$A$330:$I$350,9,0)</f>
        <v>#N/A</v>
      </c>
      <c r="IJ52" s="12">
        <f t="array" ref="IJ52">INDEX(II:II,MIN(IF(ISNUMBER(II52:II248),ROW(II52:II248),"")))</f>
        <v>0</v>
      </c>
      <c r="IK52" s="12">
        <f>IF('Données projet'!$A$330&gt;35,IK51+IJ52-IS51,IF($A52&lt;'Données projet'!$A$330,$CQ$205^$A52,IF($A52='Données projet'!$A$330,'Données projet'!$B$330,IK51+IJ52-IS51)))</f>
        <v>0</v>
      </c>
      <c r="IL52" s="17">
        <f>IK52*VLOOKUP('Données projet'!$B$20,Paramètres!$A$1:$I$89,3,0)*VLOOKUP('Données projet'!$B$20,Paramètres!$A$1:$I$89,5,0)</f>
        <v>0</v>
      </c>
      <c r="IM52" s="13" t="e">
        <f t="shared" si="85"/>
        <v>#NUM!</v>
      </c>
      <c r="IN52" s="20" t="e">
        <f t="shared" si="86"/>
        <v>#NUM!</v>
      </c>
      <c r="IO52" s="59" t="e">
        <f t="shared" si="87"/>
        <v>#NUM!</v>
      </c>
      <c r="IP52" s="59">
        <f ca="1">AVERAGE(OFFSET(IO$3,0,0,'Données projet'!$E$20+1,1))-AVERAGE(OFFSET($H$3,0,0,'Données projet'!$E$20+1,1))</f>
        <v>91.60721429656013</v>
      </c>
      <c r="IQ52" s="59">
        <f t="shared" si="88"/>
        <v>258.94957804210856</v>
      </c>
      <c r="IR52" s="15">
        <f>IF(ISNA(VLOOKUP($A52,'Données projet'!$A$330:$I$350,3,0)),0,VLOOKUP($A52,'Données projet'!$A$330:$I$350,3,0))</f>
        <v>0</v>
      </c>
      <c r="IS52" s="15">
        <f>IF(ISNA(VLOOKUP($A52,'Données projet'!$A$330:$I$350,4,0)),0,VLOOKUP($A52,'Données projet'!$A$330:$I$350,4,0))</f>
        <v>0</v>
      </c>
      <c r="IT52" s="16">
        <f>IF(ISNA(VLOOKUP($A52,'Données projet'!$A$330:$I$350,5,0)),0%,VLOOKUP($A52,'Données projet'!$A$330:$I$350,5,0)*VLOOKUP('Données projet'!$B$20,Paramètres!$A$1:$I$89,7,0))</f>
        <v>0</v>
      </c>
      <c r="IU52" s="16">
        <f>IF(ISNA(VLOOKUP($A52,'Données projet'!$A$330:$I$350,6,0)),0%,VLOOKUP($A52,'Données projet'!$A$330:$I$350,6,0)*VLOOKUP('Données projet'!$B$20,Paramètres!$A$1:$I$89,7,0))</f>
        <v>0</v>
      </c>
      <c r="IV52" s="16">
        <f>IF(ISNA(VLOOKUP($A52,'Données projet'!$A$330:$I$350,7,0)),0%,VLOOKUP($A52,'Données projet'!$A$330:$I$350,7,0))</f>
        <v>0</v>
      </c>
      <c r="IW52" s="21">
        <f>EXP(-LN(2)/35)*IW51+(1-EXP(-LN(2)/35))/(LN(2)/35)*IS52*IT52*VLOOKUP('Données projet'!$B$20,Paramètres!$A$1:$I$89,3,0)*0.475*44/12</f>
        <v>33.862470786500367</v>
      </c>
      <c r="IX52" s="21">
        <f>EXP(-LN(2)/25)*IX51+(1-EXP(-LN(2)/25))/(LN(2)/25)*Calculateur!IS52*Calculateur!IU52*VLOOKUP('Données projet'!$B$20,Paramètres!$A$1:$I$89,3,0)*0.475*44/12</f>
        <v>5.7441869084567445</v>
      </c>
      <c r="IY52" s="21">
        <f>EXP(-LN(2)/2)*IY51+(1-EXP(-LN(2)/2))/(LN(2)/2)*IS52*IV52*VLOOKUP('Données projet'!$B$20,Paramètres!$A$1:$I$89,3,0)*0.475*44/12</f>
        <v>7.911479575245247E-4</v>
      </c>
      <c r="IZ52" s="22">
        <f t="shared" si="89"/>
        <v>39.607448842914636</v>
      </c>
      <c r="JA52" s="74">
        <f>('Scénario référence'!$F$8+'Scénario référence'!$F$9+'Scénario référence'!$B$17+'Scénario référence'!$B$9+'Scénario référence'!$B$10)*70+IF((45+25*(1-EXP(-0.0175*$A52)))&lt;70,'Scénario référence'!$B$16*(45+25*(1-EXP(-0.0175*$A52))),70*'Scénario référence'!$B$16)+IF((32+38*(1-EXP(-0.0175*$A52)))&lt;70,'Scénario référence'!$B$18*(32+38*(1-EXP(-0.0175*$A52))),70*'Scénario référence'!$B$18)</f>
        <v>70</v>
      </c>
      <c r="JB52" s="12">
        <f>IF($A52&gt;30,10,('Scénario référence'!$B$16+'Scénario référence'!$B$17+'Scénario référence'!$B$18+'Scénario référence'!$B$9+'Scénario référence'!$B$10)*$A52*10/30+('Scénario référence'!$F$8+'Scénario référence'!$F$9)*10)</f>
        <v>10</v>
      </c>
      <c r="JC52" s="12" t="e">
        <f>VLOOKUP($A52,'Données projet'!$A$356:$I$376,2,0)</f>
        <v>#N/A</v>
      </c>
      <c r="JD52" s="12" t="e">
        <f>VLOOKUP($A52,'Données projet'!$A$356:$I$376,9,0)</f>
        <v>#N/A</v>
      </c>
      <c r="JE52" s="12">
        <f t="array" ref="JE52">INDEX(JD:JD,MIN(IF(ISNUMBER(JD52:JD248),ROW(JD52:JD248),"")))</f>
        <v>11</v>
      </c>
      <c r="JF52" s="12">
        <f>IF('Données projet'!$A$356&gt;35,JF51+JE52-JN51,IF($A52&lt;'Données projet'!$A$356,$CQ$205^$A52,IF($A52='Données projet'!$A$356,'Données projet'!$B$356,JF51+JE52-JN51)))</f>
        <v>206.00000000000009</v>
      </c>
      <c r="JG52" s="17">
        <f>JF52*VLOOKUP('Données projet'!$B$21,Paramètres!$A$1:$I$89,3,0)*VLOOKUP('Données projet'!$B$21,Paramètres!$A$1:$I$89,5,0)</f>
        <v>167.10720000000009</v>
      </c>
      <c r="JH52" s="13">
        <f t="shared" si="90"/>
        <v>42.441486871669696</v>
      </c>
      <c r="JI52" s="20">
        <f t="shared" si="91"/>
        <v>364.96396296815823</v>
      </c>
      <c r="JJ52" s="59">
        <f t="shared" si="92"/>
        <v>658.29729630149154</v>
      </c>
      <c r="JK52" s="59">
        <f ca="1">AVERAGE(OFFSET($JJ$3,0,0,'Données projet'!$E$22+1,1))-AVERAGE(OFFSET($H$3,0,0,'Données projet'!$E$22+1,1))</f>
        <v>353.35574633294613</v>
      </c>
      <c r="JL52" s="59">
        <f t="shared" si="93"/>
        <v>170.36796666474726</v>
      </c>
      <c r="JM52" s="15">
        <f>IF(ISNA(VLOOKUP($A52,'Données projet'!$A$356:$I$376,3,0)),0,VLOOKUP($A52,'Données projet'!$A$356:$I$376,3,0))</f>
        <v>0</v>
      </c>
      <c r="JN52" s="15">
        <f>IF(ISNA(VLOOKUP($A52,'Données projet'!$A$356:$I$376,4,0)),0,VLOOKUP($A52,'Données projet'!$A$356:$I$376,4,0))</f>
        <v>0</v>
      </c>
      <c r="JO52" s="16">
        <f>IF(ISNA(VLOOKUP($A52,'Données projet'!$A$356:$I$376,5,0)),0%,VLOOKUP($A52,'Données projet'!$A$356:$I$376,5,0)*VLOOKUP('Données projet'!$B$21,Paramètres!$A$1:$I$89,7,0))</f>
        <v>0</v>
      </c>
      <c r="JP52" s="16">
        <f>IF(ISNA(VLOOKUP($A52,'Données projet'!$A$356:$I$376,6,0)),0%,VLOOKUP($A52,'Données projet'!$A$356:$I$376,6,0)*VLOOKUP('Données projet'!$B$21,Paramètres!$A$1:$I$89,7,0))</f>
        <v>0</v>
      </c>
      <c r="JQ52" s="16">
        <f>IF(ISNA(VLOOKUP($A52,'Données projet'!$A$356:$I$376,7,0)),0%,VLOOKUP($A52,'Données projet'!$A$356:$I$376,7,0))</f>
        <v>0</v>
      </c>
      <c r="JR52" s="21">
        <f>EXP(-LN(2)/35)*JR51+(1-EXP(-LN(2)/35))/(LN(2)/35)*JN52*JO52*VLOOKUP('Données projet'!$B$21,Paramètres!$A$1:$I$89,3,0)*0.475*44/12</f>
        <v>0</v>
      </c>
      <c r="JS52" s="21">
        <f>EXP(-LN(2)/25)*JS51+(1-EXP(-LN(2)/25))/(LN(2)/25)*Calculateur!JN52*Calculateur!JP52*VLOOKUP('Données projet'!$B$21,Paramètres!$A$1:$I$89,3,0)*0.475*44/12</f>
        <v>2.5299754216994255</v>
      </c>
      <c r="JT52" s="21">
        <f>EXP(-LN(2)/2)*JT51+(1-EXP(-LN(2)/2))/(LN(2)/2)*JN52*JQ52*VLOOKUP('Données projet'!$B$21,Paramètres!$A$1:$I$89,3,0)*0.475*44/12</f>
        <v>1.9505610627350809</v>
      </c>
      <c r="JU52" s="18">
        <f t="shared" si="39"/>
        <v>4.4805364844345066</v>
      </c>
      <c r="JV52" s="74">
        <f>('Scénario référence'!$F$8+'Scénario référence'!$F$9+'Scénario référence'!$B$17+'Scénario référence'!$B$9+'Scénario référence'!$B$10)*70+IF((45+25*(1-EXP(-0.0175*$A52)))&lt;70,'Scénario référence'!$B$16*(45+25*(1-EXP(-0.0175*$A52))),70*'Scénario référence'!$B$16)+IF((32+38*(1-EXP(-0.0175*$A52)))&lt;70,'Scénario référence'!$B$18*(32+38*(1-EXP(-0.0175*$A52))),70*'Scénario référence'!$B$18)</f>
        <v>70</v>
      </c>
      <c r="JW52" s="12">
        <f>IF($A52&gt;30,10,('Scénario référence'!$B$16+'Scénario référence'!$B$17+'Scénario référence'!$B$18+'Scénario référence'!$B$9+'Scénario référence'!$B$10)*$A52*10/30+('Scénario référence'!$F$8+'Scénario référence'!$F$9)*10)</f>
        <v>10</v>
      </c>
      <c r="JX52" s="12" t="e">
        <f>VLOOKUP($A52,'Données projet'!$A$382:$I$402,2,0)</f>
        <v>#N/A</v>
      </c>
      <c r="JY52" s="12" t="e">
        <f>VLOOKUP($A52,'Données projet'!$A$382:$I$402,9,0)</f>
        <v>#N/A</v>
      </c>
      <c r="JZ52" s="12">
        <f t="array" ref="JZ52">INDEX(JY:JY,MIN(IF(ISNUMBER(JY52:JY248),ROW(JY52:JY248),"")))</f>
        <v>8.8736263736263741</v>
      </c>
      <c r="KA52" s="12">
        <f>IF('Données projet'!$A$382&gt;35,KA51+JZ52-KI51,IF($A52&lt;'Données projet'!$A$382,$CQ$205^$A52,IF($A52='Données projet'!$A$382,'Données projet'!$B$382,KA51+JZ52-KI51)))</f>
        <v>145.20054945054949</v>
      </c>
      <c r="KB52" s="17">
        <f>KA52*VLOOKUP('Données projet'!$B$22,Paramètres!$A$1:$I$89,3,0)*VLOOKUP('Données projet'!$B$22,Paramètres!$A$1:$I$89,5,0)</f>
        <v>97.400528571428595</v>
      </c>
      <c r="KC52" s="13">
        <f t="shared" si="94"/>
        <v>26.341763219929994</v>
      </c>
      <c r="KD52" s="20">
        <f t="shared" si="95"/>
        <v>215.51782486994952</v>
      </c>
      <c r="KE52" s="59">
        <f t="shared" si="96"/>
        <v>508.85115820328281</v>
      </c>
      <c r="KF52" s="59">
        <f ca="1">AVERAGE(OFFSET($KE$3,0,0,'Données projet'!$E$22+1,1))-AVERAGE(OFFSET($H$3,0,0,'Données projet'!$E$22+1,1))</f>
        <v>193.91714772848269</v>
      </c>
      <c r="KG52" s="59">
        <f t="shared" si="97"/>
        <v>159.20429420478047</v>
      </c>
      <c r="KH52" s="15">
        <f>IF(ISNA(VLOOKUP($A52,'Données projet'!$A$382:$I$402,3,0)),0,VLOOKUP($A52,'Données projet'!$A$382:$I$402,3,0))</f>
        <v>0</v>
      </c>
      <c r="KI52" s="15">
        <f>IF(ISNA(VLOOKUP($A52,'Données projet'!$A$382:$I$402,4,0)),0,VLOOKUP($A52,'Données projet'!$A$382:$I$402,4,0))</f>
        <v>0</v>
      </c>
      <c r="KJ52" s="16">
        <f>IF(ISNA(VLOOKUP($A52,'Données projet'!$A$382:$I$402,5,0)),0%,VLOOKUP($A52,'Données projet'!$A$382:$I$402,5,0)*VLOOKUP('Données projet'!$B$22,Paramètres!$A$1:$I$89,7,0))</f>
        <v>0</v>
      </c>
      <c r="KK52" s="16">
        <f>IF(ISNA(VLOOKUP($A52,'Données projet'!$A$382:$I$402,6,0)),0%,VLOOKUP($A52,'Données projet'!$A$382:$I$402,6,0)*VLOOKUP('Données projet'!$B$22,Paramètres!$A$1:$I$89,7,0))</f>
        <v>0</v>
      </c>
      <c r="KL52" s="16">
        <f>IF(ISNA(VLOOKUP($A52,'Données projet'!$A$382:$I$402,7,0)),0%,VLOOKUP($A52,'Données projet'!$A$382:$I$402,7,0))</f>
        <v>0</v>
      </c>
      <c r="KM52" s="21">
        <f>EXP(-LN(2)/35)*KM51+(1-EXP(-LN(2)/35))/(LN(2)/35)*KI52*KJ52*VLOOKUP('Données projet'!$B$22,Paramètres!$A$1:$I$89,3,0)*0.475*44/12</f>
        <v>0</v>
      </c>
      <c r="KN52" s="21">
        <f>EXP(-LN(2)/25)*KN51+(1-EXP(-LN(2)/25))/(LN(2)/25)*Calculateur!KI52*Calculateur!KK52*VLOOKUP('Données projet'!$B$22,Paramètres!$A$1:$I$89,3,0)*0.475*44/12</f>
        <v>0</v>
      </c>
      <c r="KO52" s="21">
        <f>EXP(-LN(2)/2)*KO51+(1-EXP(-LN(2)/2))/(LN(2)/2)*KI52*KL52*VLOOKUP('Données projet'!$B$22,Paramètres!$A$1:$I$89,3,0)*0.475*44/12</f>
        <v>0</v>
      </c>
      <c r="KP52" s="22">
        <f t="shared" si="98"/>
        <v>0</v>
      </c>
      <c r="KQ52" s="74">
        <f>('Scénario référence'!$F$8+'Scénario référence'!$F$9+'Scénario référence'!$B$17+'Scénario référence'!$B$9+'Scénario référence'!$B$10)*70+IF((45+25*(1-EXP(-0.0175*$A52)))&lt;70,'Scénario référence'!$B$16*(45+25*(1-EXP(-0.0175*$A52))),70*'Scénario référence'!$B$16)+IF((32+38*(1-EXP(-0.0175*$A52)))&lt;70,'Scénario référence'!$B$18*(32+38*(1-EXP(-0.0175*$A52))),70*'Scénario référence'!$B$18)</f>
        <v>70</v>
      </c>
      <c r="KR52" s="12">
        <f>IF($A52&gt;30,10,('Scénario référence'!$B$16+'Scénario référence'!$B$17+'Scénario référence'!$B$18+'Scénario référence'!$B$9+'Scénario référence'!$B$10)*$A52*10/30+('Scénario référence'!$F$8+'Scénario référence'!$F$9)*10)</f>
        <v>10</v>
      </c>
      <c r="KS52" s="12" t="e">
        <f>VLOOKUP($A52,'Données projet'!$A$408:$I$428,2,0)</f>
        <v>#N/A</v>
      </c>
      <c r="KT52" s="12" t="e">
        <f>VLOOKUP($A52,'Données projet'!$A$408:$I$428,9,0)</f>
        <v>#N/A</v>
      </c>
      <c r="KU52" s="12">
        <f t="array" ref="KU52">INDEX(KT:KT,MIN(IF(ISNUMBER(KT52:KT248),ROW(KT52:KT248),"")))</f>
        <v>7.2</v>
      </c>
      <c r="KV52" s="12">
        <f>IF('Données projet'!$A$408&gt;35,KV51+KU52-LD51,IF($A52&lt;'Données projet'!$A$408,$CQ$205^$A52,IF($A52='Données projet'!$A$408,'Données projet'!$B$408,KV51+KU52-LD51)))</f>
        <v>211.79999999999993</v>
      </c>
      <c r="KW52" s="17">
        <f>KV52*VLOOKUP('Données projet'!$B$23,Paramètres!$A$1:$I$89,3,0)*VLOOKUP('Données projet'!$B$23,Paramètres!$A$1:$I$89,5,0)</f>
        <v>185.02847999999997</v>
      </c>
      <c r="KX52" s="13">
        <f t="shared" si="99"/>
        <v>46.439130018745807</v>
      </c>
      <c r="KY52" s="14">
        <f t="shared" si="43"/>
        <v>403.13942078264887</v>
      </c>
      <c r="KZ52" s="59">
        <f t="shared" si="44"/>
        <v>696.47275411598218</v>
      </c>
      <c r="LA52" s="59">
        <f ca="1">AVERAGE(OFFSET($KZ$3,0,0,'Données projet'!$E$23+1,1))-AVERAGE(OFFSET($H$3,0,0,'Données projet'!$E$23+1,1))</f>
        <v>248.33596943633819</v>
      </c>
      <c r="LB52" s="59">
        <f t="shared" si="100"/>
        <v>242.34010522344573</v>
      </c>
      <c r="LC52" s="15">
        <f>IF(ISNA(VLOOKUP($A52,'Données projet'!$A$408:$I$428,3,0)),0,VLOOKUP($A52,'Données projet'!$A$408:$I$428,3,0))</f>
        <v>0</v>
      </c>
      <c r="LD52" s="15">
        <f>IF(ISNA(VLOOKUP($A52,'Données projet'!$A$408:$I$428,4,0)),0,VLOOKUP($A52,'Données projet'!$A$408:$I$428,4,0))</f>
        <v>0</v>
      </c>
      <c r="LE52" s="16">
        <f>IF(ISNA(VLOOKUP($A52,'Données projet'!$A$408:$I$428,5,0)),0%,VLOOKUP($A52,'Données projet'!$A$408:$I$428,5,0)*VLOOKUP('Données projet'!$B$23,Paramètres!$A$1:$I$89,7,0))</f>
        <v>0</v>
      </c>
      <c r="LF52" s="16">
        <f>IF(ISNA(VLOOKUP($A52,'Données projet'!$A$408:$I$428,6,0)),0%,VLOOKUP($A52,'Données projet'!$A$408:$I$428,6,0)*VLOOKUP('Données projet'!$B$23,Paramètres!$A$1:$I$89,7,0))</f>
        <v>0</v>
      </c>
      <c r="LG52" s="16">
        <f>IF(ISNA(VLOOKUP($A52,'Données projet'!$A$408:$I$428,7,0)),0%,VLOOKUP($A52,'Données projet'!$A$408:$I$428,7,0))</f>
        <v>0</v>
      </c>
      <c r="LH52" s="21">
        <f>EXP(-LN(2)/35)*LH51+(1-EXP(-LN(2)/35))/(LN(2)/35)*LD52*LE52*VLOOKUP('Données projet'!$B$23,Paramètres!$A$1:$I$89,3,0)*0.475*44/12</f>
        <v>10.679465662148276</v>
      </c>
      <c r="LI52" s="21">
        <f>EXP(-LN(2)/25)*LI51+(1-EXP(-LN(2)/25))/(LN(2)/25)*Calculateur!LD52*Calculateur!LF52*VLOOKUP('Données projet'!$B$23,Paramètres!$A$1:$I$89,3,0)*0.475*44/12</f>
        <v>11.496533699082521</v>
      </c>
      <c r="LJ52" s="21">
        <f>EXP(-LN(2)/2)*LJ51+(1-EXP(-LN(2)/2))/(LN(2)/2)*LD52*LG52*VLOOKUP('Données projet'!$B$23,Paramètres!$A$1:$I$89,3,0)*0.475*44/12</f>
        <v>0</v>
      </c>
      <c r="LK52" s="22">
        <f t="shared" si="101"/>
        <v>22.175999361230797</v>
      </c>
      <c r="LL52" s="74">
        <f>('Scénario référence'!$F$8+'Scénario référence'!$F$9+'Scénario référence'!$B$17+'Scénario référence'!$B$9+'Scénario référence'!$B$10)*70+IF((45+25*(1-EXP(-0.0175*$A52)))&lt;70,'Scénario référence'!$B$16*(45+25*(1-EXP(-0.0175*$A52))),70*'Scénario référence'!$B$16)+IF((32+38*(1-EXP(-0.0175*$A52)))&lt;70,'Scénario référence'!$B$18*(32+38*(1-EXP(-0.0175*$A52))),70*'Scénario référence'!$B$18)</f>
        <v>70</v>
      </c>
      <c r="LM52" s="12">
        <f>IF($A52&gt;30,10,('Scénario référence'!$B$16+'Scénario référence'!$B$17+'Scénario référence'!$B$18+'Scénario référence'!$B$9+'Scénario référence'!$B$10)*$A52*10/30+('Scénario référence'!$F$8+'Scénario référence'!$F$9)*10)</f>
        <v>10</v>
      </c>
      <c r="LN52" s="12" t="e">
        <f>VLOOKUP($A52,'Données projet'!$A$434:$I$454,2,0)</f>
        <v>#N/A</v>
      </c>
      <c r="LO52" s="12" t="e">
        <f>VLOOKUP($A52,'Données projet'!$A$434:$I$454,9,0)</f>
        <v>#N/A</v>
      </c>
      <c r="LP52" s="12">
        <f t="array" ref="LP52">INDEX(LO:LO,MIN(IF(ISNUMBER(LO52:LO248),ROW(LO52:LO248),"")))</f>
        <v>6.826007326007324</v>
      </c>
      <c r="LQ52" s="12">
        <f>IF('Données projet'!$A$434&gt;35,LQ51+LP52-LY51,IF($A52&lt;'Données projet'!$A$434,$CQ$205^$A52,IF($A52='Données projet'!$A$434,'Données projet'!$B$434,LQ51+LP52-LY51)))</f>
        <v>132.13644688644683</v>
      </c>
      <c r="LR52" s="17">
        <f>LQ52*VLOOKUP('Données projet'!$B$24,Paramètres!$A$1:$I$89,3,0)*VLOOKUP('Données projet'!$B$24,Paramètres!$A$1:$I$89,5,0)</f>
        <v>133.98635714285712</v>
      </c>
      <c r="LS52" s="13">
        <f t="shared" si="102"/>
        <v>34.915863980670267</v>
      </c>
      <c r="LT52" s="14">
        <f t="shared" si="46"/>
        <v>294.17136845681017</v>
      </c>
      <c r="LU52" s="59">
        <f t="shared" si="103"/>
        <v>587.50470179014349</v>
      </c>
      <c r="LV52" s="59">
        <f ca="1">AVERAGE(OFFSET($LU$3,0,0,'Données projet'!$E$24+1,1))-AVERAGE(OFFSET($H$3,0,0,'Données projet'!$E$24+1,1))</f>
        <v>260.52627655062872</v>
      </c>
      <c r="LW52" s="59">
        <f t="shared" si="104"/>
        <v>159.20429420478047</v>
      </c>
      <c r="LX52" s="15">
        <f>IF(ISNA(VLOOKUP($A52,'Données projet'!$A$434:$I$454,3,0)),0,VLOOKUP($A52,'Données projet'!$A$434:$I$454,3,0))</f>
        <v>0</v>
      </c>
      <c r="LY52" s="15">
        <f>IF(ISNA(VLOOKUP($A52,'Données projet'!$A$434:$I$454,4,0)),0,VLOOKUP($A52,'Données projet'!$A$434:$I$454,4,0))</f>
        <v>0</v>
      </c>
      <c r="LZ52" s="16">
        <f>IF(ISNA(VLOOKUP($A52,'Données projet'!$A$434:$I$454,5,0)),0%,VLOOKUP($A52,'Données projet'!$A$434:$I$454,5,0)*VLOOKUP('Données projet'!$B$24,Paramètres!$A$1:$I$89,7,0))</f>
        <v>0</v>
      </c>
      <c r="MA52" s="16">
        <f>IF(ISNA(VLOOKUP($A52,'Données projet'!$A$434:$I$454,6,0)),0%,VLOOKUP($A52,'Données projet'!$A$434:$I$454,6,0)*VLOOKUP('Données projet'!$B$24,Paramètres!$A$1:$I$89,7,0))</f>
        <v>0</v>
      </c>
      <c r="MB52" s="16">
        <f>IF(ISNA(VLOOKUP($A52,'Données projet'!$A$434:$I$454,7,0)),0%,VLOOKUP($A52,'Données projet'!$A$434:$I$454,7,0))</f>
        <v>0</v>
      </c>
      <c r="MC52" s="21">
        <f>EXP(-LN(2)/35)*MC51+(1-EXP(-LN(2)/35))/(LN(2)/35)*LY52*LZ52*VLOOKUP('Données projet'!$B$24,Paramètres!$A$1:$I$89,3,0)*0.475*44/12</f>
        <v>0</v>
      </c>
      <c r="MD52" s="21">
        <f>EXP(-LN(2)/25)*MD51+(1-EXP(-LN(2)/25))/(LN(2)/25)*Calculateur!LY52*Calculateur!MA52*VLOOKUP('Données projet'!$B$24,Paramètres!$A$1:$I$89,3,0)*0.475*44/12</f>
        <v>0</v>
      </c>
      <c r="ME52" s="21">
        <f>EXP(-LN(2)/2)*ME51+(1-EXP(-LN(2)/2))/(LN(2)/2)*LY52*MB52*VLOOKUP('Données projet'!$B$24,Paramètres!$A$1:$I$89,3,0)*0.475*44/12</f>
        <v>0</v>
      </c>
      <c r="MF52" s="22">
        <f t="shared" si="105"/>
        <v>0</v>
      </c>
      <c r="MG52" s="74">
        <f>('Scénario référence'!$F$8+'Scénario référence'!$F$9+'Scénario référence'!$B$17+'Scénario référence'!$B$9+'Scénario référence'!$B$10)*70+IF((45+25*(1-EXP(-0.0175*$A52)))&lt;70,'Scénario référence'!$B$16*(45+25*(1-EXP(-0.0175*$A52))),70*'Scénario référence'!$B$16)+IF((32+38*(1-EXP(-0.0175*$A52)))&lt;70,'Scénario référence'!$B$18*(32+38*(1-EXP(-0.0175*$A52))),70*'Scénario référence'!$B$18)</f>
        <v>70</v>
      </c>
      <c r="MH52" s="12">
        <f>IF($A52&gt;30,10,('Scénario référence'!$B$16+'Scénario référence'!$B$17+'Scénario référence'!$B$18+'Scénario référence'!$B$9+'Scénario référence'!$B$10)*$A52*10/30+('Scénario référence'!$F$8+'Scénario référence'!$F$9)*10)</f>
        <v>10</v>
      </c>
      <c r="MI52" s="12" t="e">
        <f>VLOOKUP($A52,'Données projet'!$A$460:$I$480,2,0)</f>
        <v>#N/A</v>
      </c>
      <c r="MJ52" s="12" t="e">
        <f>VLOOKUP($A52,'Données projet'!$A$460:$I$480,9,0)</f>
        <v>#N/A</v>
      </c>
      <c r="MK52" s="12">
        <f t="array" ref="MK52">INDEX(MJ:MJ,MIN(IF(ISNUMBER(MJ52:MJ248),ROW(MJ52:MJ248),"")))</f>
        <v>0</v>
      </c>
      <c r="ML52" s="12">
        <f>IF('Données projet'!$A$460&gt;35,ML51+MK52-MT51,IF($A52&lt;'Données projet'!$A$460,$CQ$205^$A52,IF($A52='Données projet'!$A$460,'Données projet'!$B$460,ML51+MK52-MT51)))</f>
        <v>0</v>
      </c>
      <c r="MM52" s="17" t="e">
        <f>ML52*VLOOKUP('Données projet'!$B$25,Paramètres!$A$1:$I$89,3,0)*VLOOKUP('Données projet'!$B$25,Paramètres!$A$1:$I$89,5,0)</f>
        <v>#N/A</v>
      </c>
      <c r="MN52" s="13" t="e">
        <f t="shared" si="106"/>
        <v>#N/A</v>
      </c>
      <c r="MO52" s="14" t="e">
        <f t="shared" si="49"/>
        <v>#N/A</v>
      </c>
      <c r="MP52" s="59" t="e">
        <f t="shared" si="50"/>
        <v>#N/A</v>
      </c>
      <c r="MQ52" s="20" t="e">
        <f ca="1">AVERAGE(OFFSET($MP$3,0,0,'Données projet'!$E$25+1,1))-AVERAGE(OFFSET($H$3,0,0,'Données projet'!$E$25+1,1))</f>
        <v>#N/A</v>
      </c>
      <c r="MR52" s="59" t="e">
        <f t="shared" si="107"/>
        <v>#N/A</v>
      </c>
      <c r="MS52" s="15">
        <f>IF(ISNA(VLOOKUP($A52,'Données projet'!$A$460:$I$480,3,0)),0,VLOOKUP($A52,'Données projet'!$A$460:$I$480,3,0))</f>
        <v>0</v>
      </c>
      <c r="MT52" s="15">
        <f>IF(ISNA(VLOOKUP($A52,'Données projet'!$A$460:$I$480,4,0)),0,VLOOKUP($A52,'Données projet'!$A$460:$I$480,4,0))</f>
        <v>0</v>
      </c>
      <c r="MU52" s="16">
        <f>IF(ISNA(VLOOKUP($A52,'Données projet'!$A$460:$I$480,5,0)),0%,VLOOKUP($A52,'Données projet'!$A$460:$I$480,5,0)*VLOOKUP('Données projet'!$B$25,Paramètres!$A$1:$I$89,7,0))</f>
        <v>0</v>
      </c>
      <c r="MV52" s="16">
        <f>IF(ISNA(VLOOKUP($A52,'Données projet'!$A$460:$I$480,6,0)),0%,VLOOKUP($A52,'Données projet'!$A$460:$I$480,6,0)*VLOOKUP('Données projet'!$B$25,Paramètres!$A$1:$I$89,7,0))</f>
        <v>0</v>
      </c>
      <c r="MW52" s="16">
        <f>IF(ISNA(VLOOKUP($A52,'Données projet'!$A$460:$I$480,7,0)),0%,VLOOKUP($A52,'Données projet'!$A$460:$I$480,7,0))</f>
        <v>0</v>
      </c>
      <c r="MX52" s="21" t="e">
        <f>EXP(-LN(2)/35)*MX51+(1-EXP(-LN(2)/35))/(LN(2)/35)*MT52*MU52*VLOOKUP('Données projet'!$B$25,Paramètres!$A$1:$I$89,3,0)*0.475*44/12</f>
        <v>#N/A</v>
      </c>
      <c r="MY52" s="21" t="e">
        <f>EXP(-LN(2)/25)*MY51+(1-EXP(-LN(2)/25))/(LN(2)/25)*Calculateur!MT52*Calculateur!MV52*VLOOKUP('Données projet'!$B$25,Paramètres!$A$1:$I$89,3,0)*0.475*44/12</f>
        <v>#N/A</v>
      </c>
      <c r="MZ52" s="21" t="e">
        <f>EXP(-LN(2)/2)*MZ51+(1-EXP(-LN(2)/2))/(LN(2)/2)*MT52*MW52*VLOOKUP('Données projet'!$B$25,Paramètres!$A$1:$I$89,3,0)*0.475*44/12</f>
        <v>#N/A</v>
      </c>
      <c r="NA52" s="22" t="e">
        <f t="shared" si="108"/>
        <v>#N/A</v>
      </c>
      <c r="NB52" s="74">
        <f>('Scénario référence'!$F$8+'Scénario référence'!$F$9+'Scénario référence'!$B$17+'Scénario référence'!$B$9+'Scénario référence'!$B$10)*70+IF((45+25*(1-EXP(-0.0175*$A52)))&lt;70,'Scénario référence'!$B$16*(45+25*(1-EXP(-0.0175*$A52))),70*'Scénario référence'!$B$16)+IF((32+38*(1-EXP(-0.0175*$A52)))&lt;70,'Scénario référence'!$B$18*(32+38*(1-EXP(-0.0175*$A52))),70*'Scénario référence'!$B$18)</f>
        <v>70</v>
      </c>
      <c r="NC52" s="12">
        <f>IF($A52&gt;30,10,('Scénario référence'!$B$16+'Scénario référence'!$B$17+'Scénario référence'!$B$18+'Scénario référence'!$B$9+'Scénario référence'!$B$10)*$A52*10/30+('Scénario référence'!$F$8+'Scénario référence'!$F$9)*10)</f>
        <v>10</v>
      </c>
      <c r="ND52" s="12" t="e">
        <f>VLOOKUP($A52,'Données projet'!$A$486:$I$506,2,0)</f>
        <v>#N/A</v>
      </c>
      <c r="NE52" s="12" t="e">
        <f>VLOOKUP($A52,'Données projet'!$A$486:$I$506,9,0)</f>
        <v>#N/A</v>
      </c>
      <c r="NF52" s="12">
        <f t="array" ref="NF52">INDEX(NE:NE,MIN(IF(ISNUMBER(NE52:NE248),ROW(NE52:NE248),"")))</f>
        <v>0</v>
      </c>
      <c r="NG52" s="12">
        <f>IF('Données projet'!$A$486&gt;35,NG51+NF52-NO51,IF($A52&lt;'Données projet'!$A$486,$CQ$205^$A52,IF($A52='Données projet'!$A$486,'Données projet'!$B$486,NG51+NF52-NO51)))</f>
        <v>0</v>
      </c>
      <c r="NH52" s="17" t="e">
        <f>NG52*VLOOKUP('Données projet'!$B$26,Paramètres!$A$1:$I$89,3,0)*VLOOKUP('Données projet'!$B$26,Paramètres!$A$1:$I$89,5,0)</f>
        <v>#N/A</v>
      </c>
      <c r="NI52" s="13" t="e">
        <f t="shared" si="109"/>
        <v>#N/A</v>
      </c>
      <c r="NJ52" s="14" t="e">
        <f t="shared" si="52"/>
        <v>#N/A</v>
      </c>
      <c r="NK52" s="59" t="e">
        <f t="shared" si="53"/>
        <v>#N/A</v>
      </c>
      <c r="NL52" s="20" t="e">
        <f ca="1">AVERAGE(OFFSET($NK$3,0,0,'Données projet'!$E$26+1,1))-AVERAGE(OFFSET($H$3,0,0,'Données projet'!$E$26+1,1))</f>
        <v>#N/A</v>
      </c>
      <c r="NM52" s="59" t="e">
        <f t="shared" si="110"/>
        <v>#N/A</v>
      </c>
      <c r="NN52" s="15">
        <f>IF(ISNA(VLOOKUP($A52,'Données projet'!$A$486:$I$506,3,0)),0,VLOOKUP($A52,'Données projet'!$A$486:$I$506,3,0))</f>
        <v>0</v>
      </c>
      <c r="NO52" s="15">
        <f>IF(ISNA(VLOOKUP($A52,'Données projet'!$A$486:$I$506,4,0)),0,VLOOKUP($A52,'Données projet'!$A$486:$I$506,4,0))</f>
        <v>0</v>
      </c>
      <c r="NP52" s="16">
        <f>IF(ISNA(VLOOKUP($A52,'Données projet'!$A$486:$I$506,5,0)),0%,VLOOKUP($A52,'Données projet'!$A$486:$I$506,5,0)*VLOOKUP('Données projet'!$B$26,Paramètres!$A$1:$I$89,7,0))</f>
        <v>0</v>
      </c>
      <c r="NQ52" s="16">
        <f>IF(ISNA(VLOOKUP($A52,'Données projet'!$A$486:$I$506,6,0)),0%,VLOOKUP($A52,'Données projet'!$A$486:$I$506,6,0)*VLOOKUP('Données projet'!$B$26,Paramètres!$A$1:$I$89,7,0))</f>
        <v>0</v>
      </c>
      <c r="NR52" s="16">
        <f>IF(ISNA(VLOOKUP($A52,'Données projet'!$A$486:$I$506,7,0)),0%,VLOOKUP($A52,'Données projet'!$A$486:$I$506,7,0))</f>
        <v>0</v>
      </c>
      <c r="NS52" s="21" t="e">
        <f>EXP(-LN(2)/35)*NS51+(1-EXP(-LN(2)/35))/(LN(2)/35)*NO52*NP52*VLOOKUP('Données projet'!$B$26,Paramètres!$A$1:$I$89,3,0)*0.475*44/12</f>
        <v>#N/A</v>
      </c>
      <c r="NT52" s="21" t="e">
        <f>EXP(-LN(2)/25)*NT51+(1-EXP(-LN(2)/25))/(LN(2)/25)*Calculateur!NO52*Calculateur!NQ52*VLOOKUP('Données projet'!$B$26,Paramètres!$A$1:$I$89,3,0)*0.475*44/12</f>
        <v>#N/A</v>
      </c>
      <c r="NU52" s="21" t="e">
        <f>EXP(-LN(2)/2)*NU51+(1-EXP(-LN(2)/2))/(LN(2)/2)*NO52*NR52*VLOOKUP('Données projet'!$B$26,Paramètres!$A$1:$I$89,3,0)*0.475*44/12</f>
        <v>#N/A</v>
      </c>
      <c r="NV52" s="22" t="e">
        <f t="shared" si="111"/>
        <v>#N/A</v>
      </c>
      <c r="NW52" s="74">
        <f>('Scénario référence'!$F$8+'Scénario référence'!$F$9+'Scénario référence'!$B$17+'Scénario référence'!$B$9+'Scénario référence'!$B$10)*70+IF((45+25*(1-EXP(-0.0175*$A52)))&lt;70,'Scénario référence'!$B$16*(45+25*(1-EXP(-0.0175*$A52))),70*'Scénario référence'!$B$16)+IF((32+38*(1-EXP(-0.0175*$A52)))&lt;70,'Scénario référence'!$B$18*(32+38*(1-EXP(-0.0175*$A52))),70*'Scénario référence'!$B$18)</f>
        <v>70</v>
      </c>
      <c r="NX52" s="12">
        <f>IF($A52&gt;30,10,('Scénario référence'!$B$16+'Scénario référence'!$B$17+'Scénario référence'!$B$18+'Scénario référence'!$B$9+'Scénario référence'!$B$10)*$A52*10/30+('Scénario référence'!$F$8+'Scénario référence'!$F$9)*10)</f>
        <v>10</v>
      </c>
      <c r="NY52" s="12" t="e">
        <f>VLOOKUP($A52,'Données projet'!$A$512:$I$532,2,0)</f>
        <v>#N/A</v>
      </c>
      <c r="NZ52" s="12" t="e">
        <f>VLOOKUP($A52,'Données projet'!$A$512:$I$532,9,0)</f>
        <v>#N/A</v>
      </c>
      <c r="OA52" s="12">
        <f t="array" ref="OA52">INDEX(NZ:NZ,MIN(IF(ISNUMBER(NZ52:NZ248),ROW(NZ52:NZ248),"")))</f>
        <v>0</v>
      </c>
      <c r="OB52" s="12">
        <f>IF('Données projet'!$A$512&gt;35,OB51+OA52-OJ51,IF($A52&lt;'Données projet'!$A$512,$CQ$205^$A52,IF($A52='Données projet'!$A$512,'Données projet'!$B$512,OB51+OA52-OJ51)))</f>
        <v>0</v>
      </c>
      <c r="OC52" s="17" t="e">
        <f>OB52*VLOOKUP('Données projet'!$B$27,Paramètres!$A$1:$I$89,3,0)*VLOOKUP('Données projet'!$B$27,Paramètres!$A$1:$I$89,5,0)</f>
        <v>#N/A</v>
      </c>
      <c r="OD52" s="13" t="e">
        <f t="shared" si="112"/>
        <v>#N/A</v>
      </c>
      <c r="OE52" s="14" t="e">
        <f t="shared" si="55"/>
        <v>#N/A</v>
      </c>
      <c r="OF52" s="59" t="e">
        <f t="shared" si="56"/>
        <v>#N/A</v>
      </c>
      <c r="OG52" s="20" t="e">
        <f ca="1">AVERAGE(OFFSET($OF$3,0,0,'Données projet'!$E$27+1,1))-AVERAGE(OFFSET($H$3,0,0,'Données projet'!$E$27+1,1))</f>
        <v>#N/A</v>
      </c>
      <c r="OH52" s="59" t="e">
        <f t="shared" si="113"/>
        <v>#N/A</v>
      </c>
      <c r="OI52" s="15">
        <f>IF(ISNA(VLOOKUP($A52,'Données projet'!$A$512:$I$532,3,0)),0,VLOOKUP($A52,'Données projet'!$A$512:$I$532,3,0))</f>
        <v>0</v>
      </c>
      <c r="OJ52" s="15">
        <f>IF(ISNA(VLOOKUP($A52,'Données projet'!$A$512:$I$532,4,0)),0,VLOOKUP($A52,'Données projet'!$A$512:$I$532,4,0))</f>
        <v>0</v>
      </c>
      <c r="OK52" s="16">
        <f>IF(ISNA(VLOOKUP($A52,'Données projet'!$A$512:$I$532,5,0)),0%,VLOOKUP($A52,'Données projet'!$A$512:$I$532,5,0)*VLOOKUP('Données projet'!$B$27,Paramètres!$A$1:$I$89,7,0))</f>
        <v>0</v>
      </c>
      <c r="OL52" s="16">
        <f>IF(ISNA(VLOOKUP($A52,'Données projet'!$A$512:$I$532,6,0)),0%,VLOOKUP($A52,'Données projet'!$A$512:$I$532,6,0)*VLOOKUP('Données projet'!$B$27,Paramètres!$A$1:$I$89,7,0))</f>
        <v>0</v>
      </c>
      <c r="OM52" s="16">
        <f>IF(ISNA(VLOOKUP($A52,'Données projet'!$A$512:$I$532,7,0)),0%,VLOOKUP($A52,'Données projet'!$A$512:$I$532,7,0))</f>
        <v>0</v>
      </c>
      <c r="ON52" s="21" t="e">
        <f>EXP(-LN(2)/35)*ON51+(1-EXP(-LN(2)/35))/(LN(2)/35)*OJ52*OK52*VLOOKUP('Données projet'!$B$27,Paramètres!$A$1:$I$89,3,0)*0.475*44/12</f>
        <v>#N/A</v>
      </c>
      <c r="OO52" s="21" t="e">
        <f>EXP(-LN(2)/25)*OO51+(1-EXP(-LN(2)/25))/(LN(2)/25)*Calculateur!OJ52*Calculateur!OL52*VLOOKUP('Données projet'!$B$27,Paramètres!$A$1:$I$89,3,0)*0.475*44/12</f>
        <v>#N/A</v>
      </c>
      <c r="OP52" s="21" t="e">
        <f>EXP(-LN(2)/2)*OP51+(1-EXP(-LN(2)/2))/(LN(2)/2)*OJ52*OM52*VLOOKUP('Données projet'!$B$27,Paramètres!$A$1:$I$89,3,0)*0.475*44/12</f>
        <v>#N/A</v>
      </c>
      <c r="OQ52" s="22" t="e">
        <f t="shared" si="114"/>
        <v>#N/A</v>
      </c>
      <c r="OR52" s="74">
        <f>('Scénario référence'!$F$8+'Scénario référence'!$F$9+'Scénario référence'!$B$17+'Scénario référence'!$B$9+'Scénario référence'!$B$10)*70+IF((45+25*(1-EXP(-0.0175*$A52)))&lt;70,'Scénario référence'!$B$16*(45+25*(1-EXP(-0.0175*$A52))),70*'Scénario référence'!$B$16)+IF((32+38*(1-EXP(-0.0175*$A52)))&lt;70,'Scénario référence'!$B$18*(32+38*(1-EXP(-0.0175*$A52))),70*'Scénario référence'!$B$18)</f>
        <v>70</v>
      </c>
      <c r="OS52" s="12">
        <f>IF($A52&gt;30,10,('Scénario référence'!$B$16+'Scénario référence'!$B$17+'Scénario référence'!$B$18+'Scénario référence'!$B$9+'Scénario référence'!$B$10)*$A52*10/30+('Scénario référence'!$F$8+'Scénario référence'!$F$9)*10)</f>
        <v>10</v>
      </c>
      <c r="OT52" s="12" t="e">
        <f>VLOOKUP($A52,'Données projet'!$A$538:$I$558,2,0)</f>
        <v>#N/A</v>
      </c>
      <c r="OU52" s="12" t="e">
        <f>VLOOKUP($A52,'Données projet'!$A$538:$I$558,9,0)</f>
        <v>#N/A</v>
      </c>
      <c r="OV52" s="12">
        <f t="array" ref="OV52">INDEX(OU:OU,MIN(IF(ISNUMBER(OU52:OU248),ROW(OU52:OU248),"")))</f>
        <v>0</v>
      </c>
      <c r="OW52" s="12">
        <f>IF('Données projet'!$A$538&gt;35,OW51+OV52-PE51,IF($A52&lt;'Données projet'!$A$538,$CQ$205^$A52,IF($A52='Données projet'!$A$538,'Données projet'!$B$538,OW51+OV52-PE51)))</f>
        <v>0</v>
      </c>
      <c r="OX52" s="17" t="e">
        <f>OW52*VLOOKUP('Données projet'!$B$28,Paramètres!$A$1:$I$89,3,0)*VLOOKUP('Données projet'!$B$28,Paramètres!$A$1:$I$89,5,0)</f>
        <v>#N/A</v>
      </c>
      <c r="OY52" s="13" t="e">
        <f t="shared" si="115"/>
        <v>#N/A</v>
      </c>
      <c r="OZ52" s="14" t="e">
        <f t="shared" si="58"/>
        <v>#N/A</v>
      </c>
      <c r="PA52" s="59" t="e">
        <f t="shared" si="59"/>
        <v>#N/A</v>
      </c>
      <c r="PB52" s="20" t="e">
        <f ca="1">AVERAGE(OFFSET($PA$3,0,0,'Données projet'!$E$28+1,1))-AVERAGE(OFFSET($H$3,0,0,'Données projet'!$E$28+1,1))</f>
        <v>#N/A</v>
      </c>
      <c r="PC52" s="59" t="e">
        <f t="shared" si="116"/>
        <v>#N/A</v>
      </c>
      <c r="PD52" s="15">
        <f>IF(ISNA(VLOOKUP($A52,'Données projet'!$A$538:$I$558,3,0)),0,VLOOKUP($A52,'Données projet'!$A$538:$I$558,3,0))</f>
        <v>0</v>
      </c>
      <c r="PE52" s="15">
        <f>IF(ISNA(VLOOKUP($A52,'Données projet'!$A$538:$I$558,4,0)),0,VLOOKUP($A52,'Données projet'!$A$538:$I$558,4,0))</f>
        <v>0</v>
      </c>
      <c r="PF52" s="16">
        <f>IF(ISNA(VLOOKUP($A52,'Données projet'!$A$538:$I$558,5,0)),0%,VLOOKUP($A52,'Données projet'!$A$538:$I$558,5,0)*VLOOKUP('Données projet'!$B$28,Paramètres!$A$1:$I$89,7,0))</f>
        <v>0</v>
      </c>
      <c r="PG52" s="16">
        <f>IF(ISNA(VLOOKUP($A52,'Données projet'!$A$538:$I$558,6,0)),0%,VLOOKUP($A52,'Données projet'!$A$538:$I$558,6,0)*VLOOKUP('Données projet'!$B$28,Paramètres!$A$1:$I$89,7,0))</f>
        <v>0</v>
      </c>
      <c r="PH52" s="16">
        <f>IF(ISNA(VLOOKUP($A52,'Données projet'!$A$538:$I$558,7,0)),0%,VLOOKUP($A52,'Données projet'!$A$538:$I$558,7,0))</f>
        <v>0</v>
      </c>
      <c r="PI52" s="21" t="e">
        <f>EXP(-LN(2)/35)*PI51+(1-EXP(-LN(2)/35))/(LN(2)/35)*PE52*PF52*VLOOKUP('Données projet'!$B$28,Paramètres!$A$1:$I$89,3,0)*0.475*44/12</f>
        <v>#N/A</v>
      </c>
      <c r="PJ52" s="21" t="e">
        <f>EXP(-LN(2)/25)*PJ51+(1-EXP(-LN(2)/25))/(LN(2)/25)*Calculateur!PE52*Calculateur!PG52*VLOOKUP('Données projet'!$B$28,Paramètres!$A$1:$I$89,3,0)*0.475*44/12</f>
        <v>#N/A</v>
      </c>
      <c r="PK52" s="21" t="e">
        <f>EXP(-LN(2)/2)*PK51+(1-EXP(-LN(2)/2))/(LN(2)/2)*PE52*PH52*VLOOKUP('Données projet'!$B$28,Paramètres!$A$1:$I$89,3,0)*0.475*44/12</f>
        <v>#N/A</v>
      </c>
      <c r="PL52" s="22" t="e">
        <f t="shared" si="117"/>
        <v>#N/A</v>
      </c>
    </row>
    <row r="53" spans="1:428" x14ac:dyDescent="0.35">
      <c r="A53" s="10">
        <f t="shared" si="6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6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projet'!$A$45:$I$65,2,0)</f>
        <v>#N/A</v>
      </c>
      <c r="L53" s="12" t="e">
        <f>VLOOKUP(A53,'Données projet'!$A$45:$I$65,9,0)</f>
        <v>#N/A</v>
      </c>
      <c r="M53" s="12">
        <f t="array" ref="M53">INDEX(L:L,MIN(IF(ISNUMBER(L53:L249),ROW(L53:L249),"")))</f>
        <v>20.507692307692299</v>
      </c>
      <c r="N53" s="13">
        <f>IF('Données projet'!$A$46&gt;35,N52+M53-V52,IF(A53&lt;'Données projet'!$A$46,$K$205^A53,IF(A53='Données projet'!$A$46,'Données projet'!$B$46,N52+M53-V52)))</f>
        <v>484.76923076923066</v>
      </c>
      <c r="O53" s="13">
        <f>N53*VLOOKUP('Données projet'!$B$9,Paramètres!$A$1:$I$89,3,0)*VLOOKUP('Données projet'!$B$9,Paramètres!$A$1:$I$89,5,0)</f>
        <v>270.98599999999993</v>
      </c>
      <c r="P53" s="13">
        <f t="shared" si="63"/>
        <v>65.058478958733772</v>
      </c>
      <c r="Q53" s="20">
        <f t="shared" si="118"/>
        <v>585.27746751979453</v>
      </c>
      <c r="R53" s="59">
        <f t="shared" si="0"/>
        <v>878.61080085312778</v>
      </c>
      <c r="S53" s="59">
        <f ca="1">AVERAGE(OFFSET($R$3,0,0,'Données projet'!$E$9+1,1))-AVERAGE(OFFSET($H$3,0,0,'Données projet'!$E$9+1,1))</f>
        <v>274.57619581652199</v>
      </c>
      <c r="T53" s="59">
        <f t="shared" si="64"/>
        <v>366.15117322598775</v>
      </c>
      <c r="U53" s="15">
        <f>IF(ISNA(VLOOKUP(A53,'Données projet'!$A$45:$I$65,3,0)),0,VLOOKUP(A53,'Données projet'!$A$45:$I$65,3,0))</f>
        <v>0</v>
      </c>
      <c r="V53" s="15">
        <f>IF(ISNA(VLOOKUP(A53,'Données projet'!$A$45:$I$65,4,0)),0,VLOOKUP(A53,'Données projet'!$A$45:$I$65,4,0))</f>
        <v>0</v>
      </c>
      <c r="W53" s="16">
        <f>IF(ISNA(VLOOKUP(A53,'Données projet'!$A$45:$I$65,5,0)),0%,VLOOKUP(A53,'Données projet'!$A$45:$I$65,5,0)*VLOOKUP('Données projet'!$B$9,Paramètres!$A$1:$I$89,7,0))</f>
        <v>0</v>
      </c>
      <c r="X53" s="16">
        <f>IF(ISNA(VLOOKUP(A53,'Données projet'!$A$45:$I$65,6,0)),0%,VLOOKUP(A53,'Données projet'!$A$45:$I$65,6,0)*VLOOKUP('Données projet'!$B$9,Paramètres!$A$1:$I$89,7,0))</f>
        <v>0</v>
      </c>
      <c r="Y53" s="16">
        <f>IF(ISNA(VLOOKUP(A53,'Données projet'!$A$45:$I$65,7,0)),0%,VLOOKUP(A53,'Données projet'!$A$45:$I$65,7,0))</f>
        <v>0</v>
      </c>
      <c r="Z53" s="21">
        <f>EXP(-LN(2)/35)*Z52+(1-EXP(-LN(2)/35))/(LN(2)/35)*V53*W53*VLOOKUP('Données projet'!$B$9,Paramètres!$A$1:$I$89,3,0)*0.475*44/12</f>
        <v>75.090019175960848</v>
      </c>
      <c r="AA53" s="21">
        <f>EXP(-LN(2)/25)*AA52+(1-EXP(-LN(2)/25))/(LN(2)/25)*Calculateur!V53*Calculateur!X53*VLOOKUP('Données projet'!$B$9,Paramètres!$A$1:$I$89,3,0)*0.475*44/12</f>
        <v>22.952986289534177</v>
      </c>
      <c r="AB53" s="21">
        <f>EXP(-LN(2)/2)*AB52+(1-EXP(-LN(2)/2))/(LN(2)/2)*V53*Y53*VLOOKUP('Données projet'!$B$9,Paramètres!$A$1:$I$89,3,0)*0.475*44/12</f>
        <v>3.8319382951861205</v>
      </c>
      <c r="AC53" s="22">
        <f t="shared" si="3"/>
        <v>101.87494376068115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projet'!$A$71:$I$91,2,0)</f>
        <v>#N/A</v>
      </c>
      <c r="AG53" s="12" t="e">
        <f>VLOOKUP(A53,'Données projet'!$A$71:$I$91,9,0)</f>
        <v>#N/A</v>
      </c>
      <c r="AH53" s="12">
        <f t="array" ref="AH53">INDEX(AG:AG,MIN(IF(ISNUMBER(AG53:AG249),ROW(AG53:AG249),"")))</f>
        <v>8.8736263736263741</v>
      </c>
      <c r="AI53" s="13">
        <f>IF('Données projet'!$A$72&gt;35,AI52+AH53-AQ52,IF(A53&lt;'Données projet'!$A$72,$AF$205^A53,IF(A53='Données projet'!$A$72,'Données projet'!$B$72,AI52+AH53-AQ52)))</f>
        <v>154.07417582417591</v>
      </c>
      <c r="AJ53" s="13">
        <f>AI53*VLOOKUP('Données projet'!$B$10,Paramètres!$A$1:$I$89,3,0)*VLOOKUP('Données projet'!$B$10,Paramètres!$A$1:$I$89,5,0)</f>
        <v>139.40631428571436</v>
      </c>
      <c r="AK53" s="13">
        <f t="shared" si="65"/>
        <v>36.160966815041384</v>
      </c>
      <c r="AL53" s="20">
        <f t="shared" si="4"/>
        <v>305.77968125048289</v>
      </c>
      <c r="AM53" s="59">
        <f t="shared" si="5"/>
        <v>599.11301458381627</v>
      </c>
      <c r="AN53" s="59">
        <f ca="1">AVERAGE(OFFSET($AM$3,0,0,'Données projet'!$E$10+1,1))-AVERAGE(OFFSET($H$3,0,0,'Données projet'!$E$10+1,1))</f>
        <v>270.87836509222456</v>
      </c>
      <c r="AO53" s="59">
        <f t="shared" si="66"/>
        <v>205.24998237949734</v>
      </c>
      <c r="AP53" s="15">
        <f>IF(ISNA(VLOOKUP(A53,'Données projet'!$A$71:$I$91,3,0)),0,VLOOKUP(A53,'Données projet'!$A$71:$I$91,3,0))</f>
        <v>0</v>
      </c>
      <c r="AQ53" s="15">
        <f>IF(ISNA(VLOOKUP(A53,'Données projet'!$A$71:$I$91,4,0)),0,VLOOKUP(A53,'Données projet'!$A$71:$I$91,4,0))</f>
        <v>0</v>
      </c>
      <c r="AR53" s="16">
        <f>IF(ISNA(VLOOKUP(A53,'Données projet'!$A$71:$I$91,5,0)),0%,VLOOKUP(A53,'Données projet'!$A$71:$I$91,5,0)*VLOOKUP('Données projet'!$B$10,Paramètres!$A$1:$I$89,7,0))</f>
        <v>0</v>
      </c>
      <c r="AS53" s="16">
        <f>IF(ISNA(VLOOKUP(A53,'Données projet'!$A$71:$I$91,6,0)),0%,VLOOKUP(A53,'Données projet'!$A$71:$I$91,6,0)*VLOOKUP('Données projet'!$B$10,Paramètres!$A$1:$I$89,7,0))</f>
        <v>0</v>
      </c>
      <c r="AT53" s="16">
        <f>IF(ISNA(VLOOKUP(A53,'Données projet'!$A$71:$I$91,7,0)),0%,VLOOKUP(A53,'Données projet'!$A$71:$I$91,7,0))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projet'!$A$97:$I$117,2,0)</f>
        <v>#N/A</v>
      </c>
      <c r="BB53" s="12" t="e">
        <f>VLOOKUP(A53,'Données projet'!$A$97:$I$117,9,0)</f>
        <v>#N/A</v>
      </c>
      <c r="BC53" s="12">
        <f t="array" ref="BC53">INDEX(BB:BB,MIN(IF(ISNUMBER(BB53:BB249),ROW(BB53:BB249),"")))</f>
        <v>20.507692307692299</v>
      </c>
      <c r="BD53" s="12">
        <f>IF('Données projet'!$A$98&gt;35,BD52+BC53-BL52,IF(A53&lt;'Données projet'!$A$98,$BA$205^A53,IF(A53='Données projet'!$A$98,'Données projet'!$B$98,BD52+BC53-BL52)))</f>
        <v>484.76923076923066</v>
      </c>
      <c r="BE53" s="13">
        <f>BD53*VLOOKUP('Données projet'!$B$11,Paramètres!$A$1:$I$89,3,0)*VLOOKUP('Données projet'!$B$11,Paramètres!$A$1:$I$89,5,0)</f>
        <v>214.26799999999997</v>
      </c>
      <c r="BF53" s="13">
        <f t="shared" si="67"/>
        <v>52.867156135445967</v>
      </c>
      <c r="BG53" s="20">
        <f t="shared" si="7"/>
        <v>465.26039693590161</v>
      </c>
      <c r="BH53" s="59">
        <f t="shared" si="8"/>
        <v>758.59373026923492</v>
      </c>
      <c r="BI53" s="59">
        <f ca="1">AVERAGE(OFFSET($BH$3,0,0,'Données projet'!$E$11+1,1))-AVERAGE(OFFSET($H$3,0,0,'Données projet'!$E$11+1,1))</f>
        <v>211.31057120485542</v>
      </c>
      <c r="BJ53" s="59">
        <f t="shared" si="68"/>
        <v>283.33292006714777</v>
      </c>
      <c r="BK53" s="15">
        <f>IF(ISNA(VLOOKUP(A53,'Données projet'!$A$97:$I$117,3,0)),0,VLOOKUP(A53,'Données projet'!$A$97:$I$117,3,0))</f>
        <v>0</v>
      </c>
      <c r="BL53" s="15">
        <f>IF(ISNA(VLOOKUP(A53,'Données projet'!$A$97:$I$117,4,0)),0,VLOOKUP(A53,'Données projet'!$A$97:$I$117,4,0))</f>
        <v>0</v>
      </c>
      <c r="BM53" s="16">
        <f>IF(ISNA(VLOOKUP(A53,'Données projet'!$A$97:$I$117,5,0)),0%,VLOOKUP(A53,'Données projet'!$A$97:$I$117,5,0)*VLOOKUP('Données projet'!$B$11,Paramètres!$A$1:$I$89,7,0))</f>
        <v>0</v>
      </c>
      <c r="BN53" s="16">
        <f>IF(ISNA(VLOOKUP(A53,'Données projet'!$A$97:$I$117,6,0)),0%,VLOOKUP(A53,'Données projet'!$A$97:$I$117,6,0)*VLOOKUP('Données projet'!$B$11,Paramètres!$A$1:$I$89,7,0))</f>
        <v>0</v>
      </c>
      <c r="BO53" s="16">
        <f>IF(ISNA(VLOOKUP(A53,'Données projet'!$A$97:$I$117,7,0)),0%,VLOOKUP(A53,'Données projet'!$A$97:$I$117,7,0))</f>
        <v>0</v>
      </c>
      <c r="BP53" s="21">
        <f>EXP(-LN(2)/35)*BP52+(1-EXP(-LN(2)/35))/(LN(2)/35)*BL53*BM53*VLOOKUP('Données projet'!$B$11,Paramètres!$A$1:$I$89,3,0)*0.475*44/12</f>
        <v>59.373503534480662</v>
      </c>
      <c r="BQ53" s="21">
        <f>EXP(-LN(2)/25)*BQ52+(1-EXP(-LN(2)/25))/(LN(2)/25)*Calculateur!BL53*Calculateur!BN53*VLOOKUP('Données projet'!$B$11,Paramètres!$A$1:$I$89,3,0)*0.475*44/12</f>
        <v>18.148872880096789</v>
      </c>
      <c r="BR53" s="21">
        <f>EXP(-LN(2)/2)*BR52+(1-EXP(-LN(2)/2))/(LN(2)/2)*BL53*BO53*VLOOKUP('Données projet'!$B$11,Paramètres!$A$1:$I$89,3,0)*0.475*44/12</f>
        <v>3.0299046985192581</v>
      </c>
      <c r="BS53" s="22">
        <f t="shared" si="9"/>
        <v>80.552281113096711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projet'!$A$123:$I$143,2,0)</f>
        <v>209</v>
      </c>
      <c r="BW53" s="12">
        <f>VLOOKUP(A53,'Données projet'!$A$123:$I$143,9,0)</f>
        <v>7.4</v>
      </c>
      <c r="BX53" s="12">
        <f t="array" ref="BX53">INDEX(BW:BW,MIN(IF(ISNUMBER(BW53:BW249),ROW(BW53:BW249),"")))</f>
        <v>7.4</v>
      </c>
      <c r="BY53" s="12">
        <f>IF('Données projet'!$A$124&gt;35,BY52+BX53-CG52,IF(A53&lt;'Données projet'!$A$124,$BV$205^A53,IF(A53='Données projet'!$A$124,'Données projet'!$B$124,BY52+BX53-CG52)))</f>
        <v>209.00000000000006</v>
      </c>
      <c r="BZ53" s="13">
        <f>BY53*VLOOKUP('Données projet'!$B$12,Paramètres!$A$1:$I$89,3,0)*VLOOKUP('Données projet'!$B$12,Paramètres!$A$1:$I$89,5,0)</f>
        <v>218.44680000000011</v>
      </c>
      <c r="CA53" s="13">
        <f t="shared" si="69"/>
        <v>53.777166299799873</v>
      </c>
      <c r="CB53" s="20">
        <f t="shared" si="10"/>
        <v>474.12340797215165</v>
      </c>
      <c r="CC53" s="59">
        <f t="shared" si="11"/>
        <v>767.45674130548491</v>
      </c>
      <c r="CD53" s="59">
        <f ca="1">AVERAGE(OFFSET($CC$3,0,0,'Données projet'!$E$12+1,1))-AVERAGE(OFFSET($H$3,0,0,'Données projet'!$E$12+1,1))</f>
        <v>322.93502595881938</v>
      </c>
      <c r="CE53" s="59">
        <f t="shared" si="70"/>
        <v>302.67072119588164</v>
      </c>
      <c r="CF53" s="15">
        <f>IF(ISNA(VLOOKUP(A53,'Données projet'!$A$123:$I$143,3,0)),0,VLOOKUP(A53,'Données projet'!$A$123:$I$143,3,0))</f>
        <v>7</v>
      </c>
      <c r="CG53" s="15" t="str">
        <f>IF(ISNA(VLOOKUP(A53,'Données projet'!$A$123:$I$143,4,0)),0,VLOOKUP(A53,'Données projet'!$A$123:$I$143,4,0))</f>
        <v>24</v>
      </c>
      <c r="CH53" s="16">
        <f>IF(ISNA(VLOOKUP(A53,'Données projet'!$A$123:$I$143,5,0)),0%,VLOOKUP(A53,'Données projet'!$A$123:$I$143,5,0)*VLOOKUP('Données projet'!$B$12,Paramètres!$A$1:$I$89,7,0))</f>
        <v>0.17200000000000001</v>
      </c>
      <c r="CI53" s="16">
        <f>IF(ISNA(VLOOKUP(A53,'Données projet'!$A$123:$I$143,6,0)),0%,VLOOKUP(A53,'Données projet'!$A$123:$I$143,6,0)*VLOOKUP('Données projet'!$B$12,Paramètres!$A$1:$I$89,7,0))</f>
        <v>0.17200000000000001</v>
      </c>
      <c r="CJ53" s="16">
        <f>IF(ISNA(VLOOKUP(A53,'Données projet'!$A$123:$I$143,7,0)),0%,VLOOKUP(A53,'Données projet'!$A$123:$I$143,7,0))</f>
        <v>0</v>
      </c>
      <c r="CK53" s="21">
        <f>EXP(-LN(2)/35)*CK52+(1-EXP(-LN(2)/35))/(LN(2)/35)*CG53*CH53*VLOOKUP('Données projet'!$B$12,Paramètres!$A$1:$I$89,3,0)*0.475*44/12</f>
        <v>9.4496268406593877</v>
      </c>
      <c r="CL53" s="21">
        <f>EXP(-LN(2)/25)*CL52+(1-EXP(-LN(2)/25))/(LN(2)/25)*Calculateur!CG53*Calculateur!CI53*VLOOKUP('Données projet'!$B$12,Paramètres!$A$1:$I$89,3,0)*0.475*44/12</f>
        <v>18.702326581721124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28.151953422380512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projet'!$A$149:$I$169,2,0)</f>
        <v>#N/A</v>
      </c>
      <c r="CR53" s="12" t="e">
        <f>VLOOKUP(A53,'Données projet'!$A$149:$I$169,9,0)</f>
        <v>#N/A</v>
      </c>
      <c r="CS53" s="12">
        <f t="array" ref="CS53">INDEX(CR:CR,MIN(IF(ISNUMBER(CR53:CR249),ROW(CR53:CR249),"")))</f>
        <v>6.826007326007324</v>
      </c>
      <c r="CT53" s="12">
        <f>IF('Données projet'!$A$150&gt;35,CT52+CS53-DB52,IF(A53&lt;'Données projet'!$A$150,$CQ$205^A53,IF(A53='Données projet'!$A$150,'Données projet'!$B$150,CT52+CS53-DB52)))</f>
        <v>138.96245421245416</v>
      </c>
      <c r="CU53" s="17">
        <f>CT53*VLOOKUP('Données projet'!$B$13,Paramètres!$A$1:$I$89,3,0)*VLOOKUP('Données projet'!$B$13,Paramètres!$A$1:$I$89,5,0)</f>
        <v>140.90792857142853</v>
      </c>
      <c r="CV53" s="13">
        <f t="shared" si="71"/>
        <v>36.504920865079967</v>
      </c>
      <c r="CW53" s="20">
        <f t="shared" si="13"/>
        <v>308.99404610191897</v>
      </c>
      <c r="CX53" s="59">
        <f t="shared" si="14"/>
        <v>602.32737943525228</v>
      </c>
      <c r="CY53" s="59">
        <f ca="1">AVERAGE(OFFSET($CX$3,0,0,'Données projet'!$E$13+1,1))-AVERAGE(OFFSET($H$3,0,0,'Données projet'!$E$13+1,1))</f>
        <v>250.31277422753283</v>
      </c>
      <c r="CZ53" s="59">
        <f t="shared" si="72"/>
        <v>159.20429420478047</v>
      </c>
      <c r="DA53" s="15">
        <f>IF(ISNA(VLOOKUP(A53,'Données projet'!$A$149:$I$169,3,0)),0,VLOOKUP(A53,'Données projet'!$A$149:$I$169,3,0))</f>
        <v>0</v>
      </c>
      <c r="DB53" s="15">
        <f>IF(ISNA(VLOOKUP(A53,'Données projet'!$A$149:$I$169,4,0)),0,VLOOKUP(A53,'Données projet'!$A$149:$I$169,4,0))</f>
        <v>0</v>
      </c>
      <c r="DC53" s="16">
        <f>IF(ISNA(VLOOKUP(A53,'Données projet'!$A$149:$I$169,5,0)),0%,VLOOKUP(A53,'Données projet'!$A$149:$I$169,5,0)*VLOOKUP('Données projet'!$B$13,Paramètres!$A$1:$I$89,7,0))</f>
        <v>0</v>
      </c>
      <c r="DD53" s="16">
        <f>IF(ISNA(VLOOKUP(A53,'Données projet'!$A$149:$I$169,6,0)),0%,VLOOKUP(A53,'Données projet'!$A$149:$I$169,6,0)*VLOOKUP('Données projet'!$B$13,Paramètres!$A$1:$I$89,7,0))</f>
        <v>0</v>
      </c>
      <c r="DE53" s="16">
        <f>IF(ISNA(VLOOKUP(A53,'Données projet'!$A$149:$I$169,7,0)),0%,VLOOKUP(A53,'Données projet'!$A$149:$I$169,7,0))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0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projet'!$A$175:$I$195,2,0)</f>
        <v>303</v>
      </c>
      <c r="DM53" s="12">
        <f>VLOOKUP(A53,'Données projet'!$A$175:$I$195,9,0)</f>
        <v>9.8000000000000007</v>
      </c>
      <c r="DN53" s="12">
        <f t="array" ref="DN53">INDEX(DM:DM,MIN(IF(ISNUMBER(DM53:DM249),ROW(DM53:DM249),"")))</f>
        <v>9.8000000000000007</v>
      </c>
      <c r="DO53" s="12">
        <f>IF('Données projet'!$A$176&gt;35,DO52+DN53-DW52,IF(A53&lt;'Données projet'!$A$176,$DL$205^A53,IF(A53='Données projet'!$A$176,'Données projet'!$B$176,DO52+DN53-DW52)))</f>
        <v>302.99999999999994</v>
      </c>
      <c r="DP53" s="17">
        <f>DO53*VLOOKUP('Données projet'!$B$14,Paramètres!$A$1:$I$89,3,0)*VLOOKUP('Données projet'!$B$14,Paramètres!$A$1:$I$89,5,0)</f>
        <v>222.15959999999995</v>
      </c>
      <c r="DQ53" s="13">
        <f t="shared" si="73"/>
        <v>54.583996923291004</v>
      </c>
      <c r="DR53" s="20">
        <f t="shared" si="16"/>
        <v>481.99509797473166</v>
      </c>
      <c r="DS53" s="59">
        <f t="shared" si="17"/>
        <v>775.32843130806498</v>
      </c>
      <c r="DT53" s="59">
        <f ca="1">AVERAGE(OFFSET($DS$3,0,0,'Données projet'!$E$14+1,1))-AVERAGE(OFFSET($H$3,0,0,'Données projet'!$E$14+1,1))</f>
        <v>296.91321813251051</v>
      </c>
      <c r="DU53" s="59">
        <f t="shared" si="74"/>
        <v>291.0718079639509</v>
      </c>
      <c r="DV53" s="15">
        <f>IF(ISNA(VLOOKUP(A53,'Données projet'!$A$175:$I$195,3,0)),0,VLOOKUP(A53,'Données projet'!$A$175:$I$195,3,0))</f>
        <v>9</v>
      </c>
      <c r="DW53" s="15">
        <f>IF(ISNA(VLOOKUP(A53,'Données projet'!$A$175:$I$195,4,0)),0,VLOOKUP(A53,'Données projet'!$A$175:$I$195,4,0))</f>
        <v>21</v>
      </c>
      <c r="DX53" s="16">
        <f>IF(ISNA(VLOOKUP(A53,'Données projet'!$A$175:$I$195,5,0)),0%,VLOOKUP(A53,'Données projet'!$A$175:$I$195,5,0)*VLOOKUP('Données projet'!$B$14,Paramètres!$A$1:$I$89,7,0))</f>
        <v>0.40849999999999997</v>
      </c>
      <c r="DY53" s="16">
        <f>IF(ISNA(VLOOKUP(A53,'Données projet'!$A$175:$I$195,6,0)),0%,VLOOKUP(A53,'Données projet'!$A$175:$I$195,6,0)*VLOOKUP('Données projet'!$B$14,Paramètres!$A$1:$I$89,7,0))</f>
        <v>2.1500000000000002E-2</v>
      </c>
      <c r="DZ53" s="16">
        <f>IF(ISNA(VLOOKUP(A53,'Données projet'!$A$175:$I$195,7,0)),0%,VLOOKUP(A53,'Données projet'!$A$175:$I$195,7,0))</f>
        <v>0</v>
      </c>
      <c r="EA53" s="21">
        <f>EXP(-LN(2)/35)*EA52+(1-EXP(-LN(2)/35))/(LN(2)/35)*DW53*DX53*VLOOKUP('Données projet'!$B$14,Paramètres!$A$1:$I$89,3,0)*0.475*44/12</f>
        <v>38.644743699817425</v>
      </c>
      <c r="EB53" s="21">
        <f>EXP(-LN(2)/25)*EB52+(1-EXP(-LN(2)/25))/(LN(2)/25)*Calculateur!DW53*Calculateur!DY53*VLOOKUP('Données projet'!$B$14,Paramètres!$A$1:$I$89,3,0)*0.475*44/12</f>
        <v>10.051365700784112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48.696109400601536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projet'!$A$201:$I$221,2,0)</f>
        <v>#N/A</v>
      </c>
      <c r="EH53" s="12" t="e">
        <f>VLOOKUP(A53,'Données projet'!$A$201:$I$221,9,0)</f>
        <v>#N/A</v>
      </c>
      <c r="EI53" s="12">
        <f t="array" ref="EI53">INDEX(EH:EH,MIN(IF(ISNUMBER(EH53:EH249),ROW(EH53:EH249),"")))</f>
        <v>10.407692307692306</v>
      </c>
      <c r="EJ53" s="12">
        <f>IF('Données projet'!$A$202&gt;35,EJ52+EI53-ER52,IF(A53&lt;'Données projet'!$A$202,$EG$205^A53,IF(A53='Données projet'!$A$202,'Données projet'!$B$202,EJ52+EI53-ER52)))</f>
        <v>311.43076923076916</v>
      </c>
      <c r="EK53" s="17">
        <f>EJ53*VLOOKUP('Données projet'!$B$15,Paramètres!$A$1:$I$89,3,0)*VLOOKUP('Données projet'!$B$15,Paramètres!$A$1:$I$89,5,0)</f>
        <v>145.74959999999999</v>
      </c>
      <c r="EL53" s="13">
        <f t="shared" si="75"/>
        <v>37.611056965444213</v>
      </c>
      <c r="EM53" s="20">
        <f t="shared" si="19"/>
        <v>319.3531442148153</v>
      </c>
      <c r="EN53" s="59">
        <f t="shared" si="20"/>
        <v>612.68647754814856</v>
      </c>
      <c r="EO53" s="59">
        <f ca="1">AVERAGE(OFFSET($EN$3,0,0,'Données projet'!$E$15+1,1))-AVERAGE(OFFSET($H$3,0,0,'Données projet'!$E$15+1,1))</f>
        <v>147.64256291235483</v>
      </c>
      <c r="EP53" s="59">
        <f t="shared" si="76"/>
        <v>70.859031694091868</v>
      </c>
      <c r="EQ53" s="15">
        <f>IF(ISNA(VLOOKUP(A53,'Données projet'!$A$201:$I$221,3,0)),0,VLOOKUP(A53,'Données projet'!$A$201:$I$221,3,0))</f>
        <v>0</v>
      </c>
      <c r="ER53" s="15">
        <f>IF(ISNA(VLOOKUP(A53,'Données projet'!$A$201:$I$221,4,0)),0,VLOOKUP(A53,'Données projet'!$A$201:$I$221,4,0))</f>
        <v>0</v>
      </c>
      <c r="ES53" s="16">
        <f>IF(ISNA(VLOOKUP(A53,'Données projet'!$A$201:$I$221,5,0)),0%,VLOOKUP(A53,'Données projet'!$A$201:$I$221,5,0)*VLOOKUP('Données projet'!$B$15,Paramètres!$A$1:$I$89,7,0))</f>
        <v>0</v>
      </c>
      <c r="ET53" s="16">
        <f>IF(ISNA(VLOOKUP(A53,'Données projet'!$A$201:$I$221,6,0)),0%,VLOOKUP(A53,'Données projet'!$A$201:$I$221,6,0)*VLOOKUP('Données projet'!$B$15,Paramètres!$A$1:$I$89,7,0))</f>
        <v>0</v>
      </c>
      <c r="EU53" s="16">
        <f>IF(ISNA(VLOOKUP(A53,'Données projet'!$A$201:$I$221,7,0)),0%,VLOOKUP(A53,'Données projet'!$A$201:$I$221,7,0))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0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projet'!$A$227:$I$247,2,0)</f>
        <v>173</v>
      </c>
      <c r="FC53" s="12">
        <f>VLOOKUP(A53,'Données projet'!$A$227:$I$247,9,0)</f>
        <v>6</v>
      </c>
      <c r="FD53" s="12">
        <f t="array" ref="FD53">INDEX(FC:FC,MIN(IF(ISNUMBER(FC53:FC249),ROW(FC53:FC249),"")))</f>
        <v>6</v>
      </c>
      <c r="FE53" s="12">
        <f>IF('Données projet'!$A$228&gt;35,FE52+FD53-FM52,IF(A53&lt;'Données projet'!$A$228,$FB$205^A53,IF(A53='Données projet'!$A$228,'Données projet'!$B$228,FE52+FD53-FM52)))</f>
        <v>173.00000000000003</v>
      </c>
      <c r="FF53" s="17">
        <f>FE53*VLOOKUP('Données projet'!$B$16,Paramètres!$A$1:$I$89,3,0)*VLOOKUP('Données projet'!$B$16,Paramètres!$A$1:$I$89,5,0)</f>
        <v>180.81960000000004</v>
      </c>
      <c r="FG53" s="13">
        <f t="shared" si="77"/>
        <v>45.504483825620213</v>
      </c>
      <c r="FH53" s="20">
        <f t="shared" si="22"/>
        <v>394.18111266295523</v>
      </c>
      <c r="FI53" s="59">
        <f t="shared" si="23"/>
        <v>687.51444599628849</v>
      </c>
      <c r="FJ53" s="59">
        <f ca="1">AVERAGE(OFFSET($FI$3,0,0,'Données projet'!$E$16+1,1))-AVERAGE(OFFSET($H$3,0,0,'Données projet'!$E$16+1,1))</f>
        <v>259.03906550253788</v>
      </c>
      <c r="FK53" s="59">
        <f t="shared" si="78"/>
        <v>235.54542903570831</v>
      </c>
      <c r="FL53" s="15">
        <f>IF(ISNA(VLOOKUP(A53,'Données projet'!$A$227:$I$247,3,0)),0,VLOOKUP(A53,'Données projet'!$A$227:$I$247,3,0))</f>
        <v>7</v>
      </c>
      <c r="FM53" s="15" t="str">
        <f>IF(ISNA(VLOOKUP(A53,'Données projet'!$A$227:$I$247,4,0)),0,VLOOKUP(A53,'Données projet'!$A$227:$I$247,4,0))</f>
        <v>18</v>
      </c>
      <c r="FN53" s="16">
        <f>IF(ISNA(VLOOKUP(A53,'Données projet'!$A$227:$I$247,5,0)),0%,VLOOKUP(A53,'Données projet'!$A$227:$I$247,5,0)*VLOOKUP('Données projet'!$B$16,Paramètres!$A$1:$I$89,7,0))</f>
        <v>0</v>
      </c>
      <c r="FO53" s="16">
        <f>IF(ISNA(VLOOKUP(A53,'Données projet'!$A$227:$I$247,6,0)),0%,VLOOKUP(A53,'Données projet'!$A$227:$I$247,6,0)*VLOOKUP('Données projet'!$B$16,Paramètres!$A$1:$I$89,7,0))</f>
        <v>0.215</v>
      </c>
      <c r="FP53" s="16">
        <f>IF(ISNA(VLOOKUP(A53,'Données projet'!$A$227:$I$247,7,0)),0%,VLOOKUP(A53,'Données projet'!$A$227:$I$247,7,0))</f>
        <v>0</v>
      </c>
      <c r="FQ53" s="21">
        <f>EXP(-LN(2)/35)*FQ52+(1-EXP(-LN(2)/35))/(LN(2)/35)*FM53*FN53*VLOOKUP('Données projet'!$B$16,Paramètres!$A$1:$I$89,3,0)*0.475*44/12</f>
        <v>0</v>
      </c>
      <c r="FR53" s="21">
        <f>EXP(-LN(2)/25)*FR52+(1-EXP(-LN(2)/25))/(LN(2)/25)*Calculateur!FM53*Calculateur!FO53*VLOOKUP('Données projet'!$B$16,Paramètres!$A$1:$I$89,3,0)*0.475*44/12</f>
        <v>12.297228980718433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12.297228980718433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projet'!$A$253:$I$273,2,0)</f>
        <v>219</v>
      </c>
      <c r="FX53" s="12">
        <f>VLOOKUP(A53,'Données projet'!$A$253:$I$273,9,0)</f>
        <v>7.2</v>
      </c>
      <c r="FY53" s="12">
        <f t="array" ref="FY53">INDEX(FX:FX,MIN(IF(ISNUMBER(FX53:FX249),ROW(FX53:FX249),"")))</f>
        <v>7.2</v>
      </c>
      <c r="FZ53" s="12">
        <f>IF('Données projet'!$A$254&gt;35,FZ52+FY53-GH52,IF(A53&lt;'Données projet'!$A$254,$FW$205^A53,IF(A53='Données projet'!$A$254,'Données projet'!$B$254,FZ52+FY53-GH52)))</f>
        <v>218.99999999999989</v>
      </c>
      <c r="GA53" s="17">
        <f>FZ53*VLOOKUP('Données projet'!$B$17,Paramètres!$A$1:$I$89,3,0)*VLOOKUP('Données projet'!$B$17,Paramètres!$A$1:$I$89,5,0)</f>
        <v>191.31839999999991</v>
      </c>
      <c r="GB53" s="13">
        <f t="shared" si="79"/>
        <v>47.831314962098354</v>
      </c>
      <c r="GC53" s="20">
        <f t="shared" si="25"/>
        <v>416.51908689232118</v>
      </c>
      <c r="GD53" s="59">
        <f t="shared" si="26"/>
        <v>709.85242022565444</v>
      </c>
      <c r="GE53" s="59">
        <f ca="1">AVERAGE(OFFSET($GD$3,0,0,'Données projet'!$E$17+1,1))-AVERAGE(OFFSET($H$3,0,0,'Données projet'!$E$17+1,1))</f>
        <v>245.1983232777614</v>
      </c>
      <c r="GF53" s="59">
        <f t="shared" si="80"/>
        <v>242.34010522344573</v>
      </c>
      <c r="GG53" s="15">
        <f>IF(ISNA(VLOOKUP(A53,'Données projet'!$A$253:$I$273,3,0)),0,VLOOKUP(A53,'Données projet'!$A$253:$I$273,3,0))</f>
        <v>8</v>
      </c>
      <c r="GH53" s="15">
        <f>IF(ISNA(VLOOKUP(A53,'Données projet'!$A$253:$I$273,4,0)),0,VLOOKUP(A53,'Données projet'!$A$253:$I$273,4,0))</f>
        <v>17</v>
      </c>
      <c r="GI53" s="16">
        <f>IF(ISNA(VLOOKUP(A53,'Données projet'!$A$253:$I$273,5,0)),0%,VLOOKUP(A53,'Données projet'!$A$253:$I$273,5,0)*VLOOKUP('Données projet'!$B$17,Paramètres!$A$1:$I$89,7,0))</f>
        <v>0.30529999999999996</v>
      </c>
      <c r="GJ53" s="16">
        <f>IF(ISNA(VLOOKUP(A53,'Données projet'!$A$253:$I$273,6,0)),0%,VLOOKUP(A53,'Données projet'!$A$253:$I$273,6,0)*VLOOKUP('Données projet'!$B$17,Paramètres!$A$1:$I$89,7,0))</f>
        <v>7.7399999999999997E-2</v>
      </c>
      <c r="GK53" s="16">
        <f>IF(ISNA(VLOOKUP(A53,'Données projet'!$A$253:$I$273,7,0)),0%,VLOOKUP(A53,'Données projet'!$A$253:$I$273,7,0))</f>
        <v>0</v>
      </c>
      <c r="GL53" s="21">
        <f>EXP(-LN(2)/35)*GL52+(1-EXP(-LN(2)/35))/(LN(2)/35)*GH53*GI53*VLOOKUP('Données projet'!$B$17,Paramètres!$A$1:$I$89,3,0)*0.475*44/12</f>
        <v>15.482329441513095</v>
      </c>
      <c r="GM53" s="21">
        <f>EXP(-LN(2)/25)*GM52+(1-EXP(-LN(2)/25))/(LN(2)/25)*Calculateur!GH53*Calculateur!GJ53*VLOOKUP('Données projet'!$B$17,Paramètres!$A$1:$I$89,3,0)*0.475*44/12</f>
        <v>12.447876350154786</v>
      </c>
      <c r="GN53" s="21">
        <f>EXP(-LN(2)/2)*GN52+(1-EXP(-LN(2)/2))/(LN(2)/2)*GH53*GK53*VLOOKUP('Données projet'!$B$17,Paramètres!$A$1:$I$89,3,0)*0.475*44/12</f>
        <v>0</v>
      </c>
      <c r="GO53" s="21">
        <f t="shared" si="27"/>
        <v>27.930205791667881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>
        <f>VLOOKUP(A53,'Données projet'!$A$279:$I$299,2,0)</f>
        <v>601</v>
      </c>
      <c r="GS53" s="12">
        <f>VLOOKUP(A53,'Données projet'!$A$279:$I$299,9,0)</f>
        <v>17.600000000000001</v>
      </c>
      <c r="GT53" s="12">
        <f t="array" ref="GT53">INDEX(GS:GS,MIN(IF(ISNUMBER(GS53:GS249),ROW(GS53:GS249),"")))</f>
        <v>17.600000000000001</v>
      </c>
      <c r="GU53" s="12">
        <f>IF('Données projet'!$A$280&gt;35,GU52+GT53-HC52,IF(A53&lt;'Données projet'!$A$280,$GR$205^A53,IF(A53='Données projet'!$A$280,'Données projet'!$B$280,GU52+GT53-HC52)))</f>
        <v>601.00000000000034</v>
      </c>
      <c r="GV53" s="17">
        <f>GU53*VLOOKUP('Données projet'!$B$18,Paramètres!$A$1:$I$89,3,0)*VLOOKUP('Données projet'!$B$18,Paramètres!$A$1:$I$89,5,0)</f>
        <v>242.20300000000015</v>
      </c>
      <c r="GW53" s="13">
        <f t="shared" si="81"/>
        <v>58.91326430821686</v>
      </c>
      <c r="GX53" s="20">
        <f t="shared" si="28"/>
        <v>524.44416033681125</v>
      </c>
      <c r="GY53" s="59">
        <f t="shared" si="29"/>
        <v>817.77749367014462</v>
      </c>
      <c r="GZ53" s="59">
        <f ca="1">AVERAGE(OFFSET($GY$3,0,0,'Données projet'!$E$18+1,1))-AVERAGE(OFFSET($H$3,0,0,'Données projet'!$E$18+1,1))</f>
        <v>324.36162935850876</v>
      </c>
      <c r="HA53" s="59">
        <f t="shared" si="82"/>
        <v>265.23571072429735</v>
      </c>
      <c r="HB53" s="15">
        <f>IF(ISNA(VLOOKUP(A53,'Données projet'!$A$279:$I$299,3,0)),0,VLOOKUP(A53,'Données projet'!$A$279:$I$299,3,0))</f>
        <v>7</v>
      </c>
      <c r="HC53" s="15">
        <f>IF(ISNA(VLOOKUP(A53,'Données projet'!$A$279:$I$299,4,0)),0,VLOOKUP(A53,'Données projet'!$A$279:$I$299,4,0))</f>
        <v>24</v>
      </c>
      <c r="HD53" s="16">
        <f>IF(ISNA(VLOOKUP(A53,'Données projet'!$A$279:$I$299,5,0)),0%,VLOOKUP(A53,'Données projet'!$A$279:$I$299,5,0)*VLOOKUP('Données projet'!$B$18,Paramètres!$A$1:$I$89,7,0))</f>
        <v>0.25928571428571429</v>
      </c>
      <c r="HE53" s="16">
        <f>IF(ISNA(VLOOKUP(A53,'Données projet'!$A$279:$I$299,6,0)),0%,VLOOKUP(A53,'Données projet'!$A$279:$I$299,6,0)*VLOOKUP('Données projet'!$B$18,Paramètres!$A$1:$I$89,7,0))</f>
        <v>0.18857142857142858</v>
      </c>
      <c r="HF53" s="16">
        <f>IF(ISNA(VLOOKUP($A53,'Données projet'!$A$279:$I$299,7,0)),0%,VLOOKUP($A53,'Données projet'!$A$279:$I$299,7,0))</f>
        <v>9.285714285714286E-2</v>
      </c>
      <c r="HG53" s="21">
        <f>EXP(-LN(2)/35)*HG52+(1-EXP(-LN(2)/35))/(LN(2)/35)*HC53*HD53*VLOOKUP('Données projet'!$B$18,Paramètres!$A$1:$I$89,3,0)*0.475*44/12</f>
        <v>7.6567833047601219</v>
      </c>
      <c r="HH53" s="21">
        <f>EXP(-LN(2)/25)*HH52+(1-EXP(-LN(2)/25))/(LN(2)/25)*Calculateur!HC53*Calculateur!HE53*VLOOKUP('Données projet'!$B$18,Paramètres!$A$1:$I$89,3,0)*0.475*44/12</f>
        <v>12.802328793755487</v>
      </c>
      <c r="HI53" s="21">
        <f>EXP(-LN(2)/2)*HI52+(1-EXP(-LN(2)/2))/(LN(2)/2)*HC53*HF53*VLOOKUP('Données projet'!$B$18,Paramètres!$A$1:$I$89,3,0)*0.475*44/12</f>
        <v>1.5677429607228393</v>
      </c>
      <c r="HJ53" s="22">
        <f t="shared" si="30"/>
        <v>22.02685505923845</v>
      </c>
      <c r="HK53" s="74">
        <f>('Scénario référence'!$F$8+'Scénario référence'!$F$9+'Scénario référence'!$B$17+'Scénario référence'!$B$9+'Scénario référence'!$B$10)*70+IF((45+25*(1-EXP(-0.0175*$A53)))&lt;70,'Scénario référence'!$B$16*(45+25*(1-EXP(-0.0175*$A53))),70*'Scénario référence'!$B$16)+IF((32+38*(1-EXP(-0.0175*$A53)))&lt;70,'Scénario référence'!$B$18*(32+38*(1-EXP(-0.0175*$A53))),70*'Scénario référence'!$B$18)</f>
        <v>70</v>
      </c>
      <c r="HL53" s="12">
        <f>IF($A53&gt;30,10,('Scénario référence'!$B$16+'Scénario référence'!$B$17+'Scénario référence'!$B$18+'Scénario référence'!$B$9+'Scénario référence'!$B$10)*$A53*10/30+('Scénario référence'!$F$8+'Scénario référence'!$F$9)*10)</f>
        <v>10</v>
      </c>
      <c r="HM53" s="12" t="e">
        <f>VLOOKUP($A53,'Données projet'!$A$304:$I$324,2,0)</f>
        <v>#N/A</v>
      </c>
      <c r="HN53" s="12" t="e">
        <f>VLOOKUP($A53,'Données projet'!$A$304:$I$324,9,0)</f>
        <v>#N/A</v>
      </c>
      <c r="HO53" s="12">
        <f t="array" ref="HO53">INDEX(HN:HN,MIN(IF(ISNUMBER(HN53:HN249),ROW(HN53:HN249),"")))</f>
        <v>0</v>
      </c>
      <c r="HP53" s="12">
        <f>IF('Données projet'!$A$304&gt;35,HP52+HO53-HX52,IF($A53&lt;'Données projet'!$A$304,$CQ$205^$A53,IF($A53='Données projet'!$A$304,'Données projet'!$B$304,HP52+HO53-HX52)))</f>
        <v>0</v>
      </c>
      <c r="HQ53" s="17">
        <f>HP53*VLOOKUP('Données projet'!$B$19,Paramètres!$A$1:$I$89,3,0)*VLOOKUP('Données projet'!$B$19,Paramètres!$A$1:$I$89,5,0)</f>
        <v>0</v>
      </c>
      <c r="HR53" s="13" t="e">
        <f t="shared" si="83"/>
        <v>#NUM!</v>
      </c>
      <c r="HS53" s="14" t="e">
        <f t="shared" si="31"/>
        <v>#NUM!</v>
      </c>
      <c r="HT53" s="59" t="e">
        <f t="shared" si="32"/>
        <v>#NUM!</v>
      </c>
      <c r="HU53" s="59">
        <f ca="1">AVERAGE(OFFSET(HT$3,0,0,'Données projet'!$E$19+1,1))-AVERAGE(OFFSET($H$3,0,0,'Données projet'!$E$19+1,1))</f>
        <v>91.60721429656013</v>
      </c>
      <c r="HV53" s="59">
        <f t="shared" si="84"/>
        <v>258.94957804210856</v>
      </c>
      <c r="HW53" s="15">
        <f>IF(ISNA(VLOOKUP($A53,'Données projet'!$A$304:$I$324,3,0)),0,VLOOKUP($A53,'Données projet'!$A$304:$I$324,3,0))</f>
        <v>0</v>
      </c>
      <c r="HX53" s="15">
        <f>IF(ISNA(VLOOKUP($A53,'Données projet'!$A$304:$I$324,4,0)),0,VLOOKUP($A53,'Données projet'!$A$304:$I$324,4,0))</f>
        <v>0</v>
      </c>
      <c r="HY53" s="16">
        <f>IF(ISNA(VLOOKUP($A53,'Données projet'!$A$304:$I$324,5,0)),0%,VLOOKUP($A53,'Données projet'!$A$304:$I$324,5,0)*VLOOKUP('Données projet'!$B$19,Paramètres!$A$1:$I$89,7,0))</f>
        <v>0</v>
      </c>
      <c r="HZ53" s="16">
        <f>IF(ISNA(VLOOKUP($A53,'Données projet'!$A$304:$I$324,6,0)),0%,VLOOKUP($A53,'Données projet'!$A$304:$I$324,6,0)*VLOOKUP('Données projet'!$B$19,Paramètres!$A$1:$I$89,7,0))</f>
        <v>0</v>
      </c>
      <c r="IA53" s="16">
        <f>IF(ISNA(VLOOKUP($A53,'Données projet'!$A$304:$I$324,7,0)),0%,VLOOKUP($A53,'Données projet'!$A$304:$I$324,7,0))</f>
        <v>0</v>
      </c>
      <c r="IB53" s="21">
        <f>EXP(-LN(2)/35)*IB52+(1-EXP(-LN(2)/35))/(LN(2)/35)*HX53*HY53*VLOOKUP('Données projet'!$B$19,Paramètres!$A$1:$I$89,3,0)*0.475*44/12</f>
        <v>33.198448388444852</v>
      </c>
      <c r="IC53" s="21">
        <f>EXP(-LN(2)/25)*IC52+(1-EXP(-LN(2)/25))/(LN(2)/25)*Calculateur!HX53*Calculateur!HZ53*VLOOKUP('Données projet'!$B$19,Paramètres!$A$1:$I$89,3,0)*0.475*44/12</f>
        <v>5.5871118153713342</v>
      </c>
      <c r="ID53" s="21">
        <f>EXP(-LN(2)/2)*ID52+(1-EXP(-LN(2)/2))/(LN(2)/2)*HX53*IA53*VLOOKUP('Données projet'!$B$19,Paramètres!$A$1:$I$89,3,0)*0.475*44/12</f>
        <v>5.5942608568747808E-4</v>
      </c>
      <c r="IE53" s="22">
        <f t="shared" si="33"/>
        <v>38.786119629901876</v>
      </c>
      <c r="IF53" s="74">
        <f>('Scénario référence'!$F$8+'Scénario référence'!$F$9+'Scénario référence'!$B$17+'Scénario référence'!$B$9+'Scénario référence'!$B$10)*70+IF((45+25*(1-EXP(-0.0175*$A53)))&lt;70,'Scénario référence'!$B$16*(45+25*(1-EXP(-0.0175*$A53))),70*'Scénario référence'!$B$16)+IF((32+38*(1-EXP(-0.0175*$A53)))&lt;70,'Scénario référence'!$B$18*(32+38*(1-EXP(-0.0175*$A53))),70*'Scénario référence'!$B$18)</f>
        <v>70</v>
      </c>
      <c r="IG53" s="12">
        <f>IF($A53&gt;30,10,('Scénario référence'!$B$16+'Scénario référence'!$B$17+'Scénario référence'!$B$18+'Scénario référence'!$B$9+'Scénario référence'!$B$10)*$A53*10/30+('Scénario référence'!$F$8+'Scénario référence'!$F$9)*10)</f>
        <v>10</v>
      </c>
      <c r="IH53" s="12" t="e">
        <f>VLOOKUP($A53,'Données projet'!$A$330:$I$350,2,0)</f>
        <v>#N/A</v>
      </c>
      <c r="II53" s="12" t="e">
        <f>VLOOKUP($A53,'Données projet'!$A$330:$I$350,9,0)</f>
        <v>#N/A</v>
      </c>
      <c r="IJ53" s="12">
        <f t="array" ref="IJ53">INDEX(II:II,MIN(IF(ISNUMBER(II53:II249),ROW(II53:II249),"")))</f>
        <v>0</v>
      </c>
      <c r="IK53" s="12">
        <f>IF('Données projet'!$A$330&gt;35,IK52+IJ53-IS52,IF($A53&lt;'Données projet'!$A$330,$CQ$205^$A53,IF($A53='Données projet'!$A$330,'Données projet'!$B$330,IK52+IJ53-IS52)))</f>
        <v>0</v>
      </c>
      <c r="IL53" s="17">
        <f>IK53*VLOOKUP('Données projet'!$B$20,Paramètres!$A$1:$I$89,3,0)*VLOOKUP('Données projet'!$B$20,Paramètres!$A$1:$I$89,5,0)</f>
        <v>0</v>
      </c>
      <c r="IM53" s="13" t="e">
        <f t="shared" si="85"/>
        <v>#NUM!</v>
      </c>
      <c r="IN53" s="20" t="e">
        <f t="shared" si="86"/>
        <v>#NUM!</v>
      </c>
      <c r="IO53" s="59" t="e">
        <f t="shared" si="87"/>
        <v>#NUM!</v>
      </c>
      <c r="IP53" s="59">
        <f ca="1">AVERAGE(OFFSET(IO$3,0,0,'Données projet'!$E$20+1,1))-AVERAGE(OFFSET($H$3,0,0,'Données projet'!$E$20+1,1))</f>
        <v>91.60721429656013</v>
      </c>
      <c r="IQ53" s="59">
        <f t="shared" si="88"/>
        <v>258.94957804210856</v>
      </c>
      <c r="IR53" s="15">
        <f>IF(ISNA(VLOOKUP($A53,'Données projet'!$A$330:$I$350,3,0)),0,VLOOKUP($A53,'Données projet'!$A$330:$I$350,3,0))</f>
        <v>0</v>
      </c>
      <c r="IS53" s="15">
        <f>IF(ISNA(VLOOKUP($A53,'Données projet'!$A$330:$I$350,4,0)),0,VLOOKUP($A53,'Données projet'!$A$330:$I$350,4,0))</f>
        <v>0</v>
      </c>
      <c r="IT53" s="16">
        <f>IF(ISNA(VLOOKUP($A53,'Données projet'!$A$330:$I$350,5,0)),0%,VLOOKUP($A53,'Données projet'!$A$330:$I$350,5,0)*VLOOKUP('Données projet'!$B$20,Paramètres!$A$1:$I$89,7,0))</f>
        <v>0</v>
      </c>
      <c r="IU53" s="16">
        <f>IF(ISNA(VLOOKUP($A53,'Données projet'!$A$330:$I$350,6,0)),0%,VLOOKUP($A53,'Données projet'!$A$330:$I$350,6,0)*VLOOKUP('Données projet'!$B$20,Paramètres!$A$1:$I$89,7,0))</f>
        <v>0</v>
      </c>
      <c r="IV53" s="16">
        <f>IF(ISNA(VLOOKUP($A53,'Données projet'!$A$330:$I$350,7,0)),0%,VLOOKUP($A53,'Données projet'!$A$330:$I$350,7,0))</f>
        <v>0</v>
      </c>
      <c r="IW53" s="21">
        <f>EXP(-LN(2)/35)*IW52+(1-EXP(-LN(2)/35))/(LN(2)/35)*IS53*IT53*VLOOKUP('Données projet'!$B$20,Paramètres!$A$1:$I$89,3,0)*0.475*44/12</f>
        <v>33.198448388444852</v>
      </c>
      <c r="IX53" s="21">
        <f>EXP(-LN(2)/25)*IX52+(1-EXP(-LN(2)/25))/(LN(2)/25)*Calculateur!IS53*Calculateur!IU53*VLOOKUP('Données projet'!$B$20,Paramètres!$A$1:$I$89,3,0)*0.475*44/12</f>
        <v>5.5871118153713342</v>
      </c>
      <c r="IY53" s="21">
        <f>EXP(-LN(2)/2)*IY52+(1-EXP(-LN(2)/2))/(LN(2)/2)*IS53*IV53*VLOOKUP('Données projet'!$B$20,Paramètres!$A$1:$I$89,3,0)*0.475*44/12</f>
        <v>5.5942608568747808E-4</v>
      </c>
      <c r="IZ53" s="22">
        <f t="shared" si="89"/>
        <v>38.786119629901876</v>
      </c>
      <c r="JA53" s="74">
        <f>('Scénario référence'!$F$8+'Scénario référence'!$F$9+'Scénario référence'!$B$17+'Scénario référence'!$B$9+'Scénario référence'!$B$10)*70+IF((45+25*(1-EXP(-0.0175*$A53)))&lt;70,'Scénario référence'!$B$16*(45+25*(1-EXP(-0.0175*$A53))),70*'Scénario référence'!$B$16)+IF((32+38*(1-EXP(-0.0175*$A53)))&lt;70,'Scénario référence'!$B$18*(32+38*(1-EXP(-0.0175*$A53))),70*'Scénario référence'!$B$18)</f>
        <v>70</v>
      </c>
      <c r="JB53" s="12">
        <f>IF($A53&gt;30,10,('Scénario référence'!$B$16+'Scénario référence'!$B$17+'Scénario référence'!$B$18+'Scénario référence'!$B$9+'Scénario référence'!$B$10)*$A53*10/30+('Scénario référence'!$F$8+'Scénario référence'!$F$9)*10)</f>
        <v>10</v>
      </c>
      <c r="JC53" s="12">
        <f>VLOOKUP($A53,'Données projet'!$A$356:$I$376,2,0)</f>
        <v>217</v>
      </c>
      <c r="JD53" s="12">
        <f>VLOOKUP($A53,'Données projet'!$A$356:$I$376,9,0)</f>
        <v>11</v>
      </c>
      <c r="JE53" s="12">
        <f t="array" ref="JE53">INDEX(JD:JD,MIN(IF(ISNUMBER(JD53:JD249),ROW(JD53:JD249),"")))</f>
        <v>11</v>
      </c>
      <c r="JF53" s="12">
        <f>IF('Données projet'!$A$356&gt;35,JF52+JE53-JN52,IF($A53&lt;'Données projet'!$A$356,$CQ$205^$A53,IF($A53='Données projet'!$A$356,'Données projet'!$B$356,JF52+JE53-JN52)))</f>
        <v>217.00000000000009</v>
      </c>
      <c r="JG53" s="17">
        <f>JF53*VLOOKUP('Données projet'!$B$21,Paramètres!$A$1:$I$89,3,0)*VLOOKUP('Données projet'!$B$21,Paramètres!$A$1:$I$89,5,0)</f>
        <v>176.03040000000007</v>
      </c>
      <c r="JH53" s="13">
        <f t="shared" si="90"/>
        <v>44.437880346232944</v>
      </c>
      <c r="JI53" s="20">
        <f t="shared" si="91"/>
        <v>383.98225493635579</v>
      </c>
      <c r="JJ53" s="59">
        <f t="shared" si="92"/>
        <v>677.3155882696891</v>
      </c>
      <c r="JK53" s="59">
        <f ca="1">AVERAGE(OFFSET($JJ$3,0,0,'Données projet'!$E$22+1,1))-AVERAGE(OFFSET($H$3,0,0,'Données projet'!$E$22+1,1))</f>
        <v>353.35574633294613</v>
      </c>
      <c r="JL53" s="59">
        <f t="shared" si="93"/>
        <v>170.36796666474726</v>
      </c>
      <c r="JM53" s="15">
        <f>IF(ISNA(VLOOKUP($A53,'Données projet'!$A$356:$I$376,3,0)),0,VLOOKUP($A53,'Données projet'!$A$356:$I$376,3,0))</f>
        <v>6</v>
      </c>
      <c r="JN53" s="15">
        <f>IF(ISNA(VLOOKUP($A53,'Données projet'!$A$356:$I$376,4,0)),0,VLOOKUP($A53,'Données projet'!$A$356:$I$376,4,0))</f>
        <v>28</v>
      </c>
      <c r="JO53" s="16">
        <f>IF(ISNA(VLOOKUP($A53,'Données projet'!$A$356:$I$376,5,0)),0%,VLOOKUP($A53,'Données projet'!$A$356:$I$376,5,0)*VLOOKUP('Données projet'!$B$21,Paramètres!$A$1:$I$89,7,0))</f>
        <v>0</v>
      </c>
      <c r="JP53" s="16">
        <f>IF(ISNA(VLOOKUP($A53,'Données projet'!$A$356:$I$376,6,0)),0%,VLOOKUP($A53,'Données projet'!$A$356:$I$376,6,0)*VLOOKUP('Données projet'!$B$21,Paramètres!$A$1:$I$89,7,0))</f>
        <v>4.3000000000000003E-2</v>
      </c>
      <c r="JQ53" s="16">
        <f>IF(ISNA(VLOOKUP($A53,'Données projet'!$A$356:$I$376,7,0)),0%,VLOOKUP($A53,'Données projet'!$A$356:$I$376,7,0))</f>
        <v>0.3</v>
      </c>
      <c r="JR53" s="21">
        <f>EXP(-LN(2)/35)*JR52+(1-EXP(-LN(2)/35))/(LN(2)/35)*JN53*JO53*VLOOKUP('Données projet'!$B$21,Paramètres!$A$1:$I$89,3,0)*0.475*44/12</f>
        <v>0</v>
      </c>
      <c r="JS53" s="21">
        <f>EXP(-LN(2)/25)*JS52+(1-EXP(-LN(2)/25))/(LN(2)/25)*Calculateur!JN53*Calculateur!JP53*VLOOKUP('Données projet'!$B$21,Paramètres!$A$1:$I$89,3,0)*0.475*44/12</f>
        <v>3.5362380522802015</v>
      </c>
      <c r="JT53" s="21">
        <f>EXP(-LN(2)/2)*JT52+(1-EXP(-LN(2)/2))/(LN(2)/2)*JN53*JQ53*VLOOKUP('Données projet'!$B$21,Paramètres!$A$1:$I$89,3,0)*0.475*44/12</f>
        <v>7.8085228328526988</v>
      </c>
      <c r="JU53" s="18">
        <f t="shared" si="39"/>
        <v>11.344760885132899</v>
      </c>
      <c r="JV53" s="74">
        <f>('Scénario référence'!$F$8+'Scénario référence'!$F$9+'Scénario référence'!$B$17+'Scénario référence'!$B$9+'Scénario référence'!$B$10)*70+IF((45+25*(1-EXP(-0.0175*$A53)))&lt;70,'Scénario référence'!$B$16*(45+25*(1-EXP(-0.0175*$A53))),70*'Scénario référence'!$B$16)+IF((32+38*(1-EXP(-0.0175*$A53)))&lt;70,'Scénario référence'!$B$18*(32+38*(1-EXP(-0.0175*$A53))),70*'Scénario référence'!$B$18)</f>
        <v>70</v>
      </c>
      <c r="JW53" s="12">
        <f>IF($A53&gt;30,10,('Scénario référence'!$B$16+'Scénario référence'!$B$17+'Scénario référence'!$B$18+'Scénario référence'!$B$9+'Scénario référence'!$B$10)*$A53*10/30+('Scénario référence'!$F$8+'Scénario référence'!$F$9)*10)</f>
        <v>10</v>
      </c>
      <c r="JX53" s="12" t="e">
        <f>VLOOKUP($A53,'Données projet'!$A$382:$I$402,2,0)</f>
        <v>#N/A</v>
      </c>
      <c r="JY53" s="12" t="e">
        <f>VLOOKUP($A53,'Données projet'!$A$382:$I$402,9,0)</f>
        <v>#N/A</v>
      </c>
      <c r="JZ53" s="12">
        <f t="array" ref="JZ53">INDEX(JY:JY,MIN(IF(ISNUMBER(JY53:JY249),ROW(JY53:JY249),"")))</f>
        <v>8.8736263736263741</v>
      </c>
      <c r="KA53" s="12">
        <f>IF('Données projet'!$A$382&gt;35,KA52+JZ53-KI52,IF($A53&lt;'Données projet'!$A$382,$CQ$205^$A53,IF($A53='Données projet'!$A$382,'Données projet'!$B$382,KA52+JZ53-KI52)))</f>
        <v>154.07417582417585</v>
      </c>
      <c r="KB53" s="17">
        <f>KA53*VLOOKUP('Données projet'!$B$22,Paramètres!$A$1:$I$89,3,0)*VLOOKUP('Données projet'!$B$22,Paramètres!$A$1:$I$89,5,0)</f>
        <v>103.35295714285716</v>
      </c>
      <c r="KC53" s="13">
        <f t="shared" si="94"/>
        <v>27.759253676258403</v>
      </c>
      <c r="KD53" s="20">
        <f t="shared" si="95"/>
        <v>228.35376717662629</v>
      </c>
      <c r="KE53" s="59">
        <f t="shared" si="96"/>
        <v>521.68710050995958</v>
      </c>
      <c r="KF53" s="59">
        <f ca="1">AVERAGE(OFFSET($KE$3,0,0,'Données projet'!$E$22+1,1))-AVERAGE(OFFSET($H$3,0,0,'Données projet'!$E$22+1,1))</f>
        <v>193.91714772848269</v>
      </c>
      <c r="KG53" s="59">
        <f t="shared" si="97"/>
        <v>159.20429420478047</v>
      </c>
      <c r="KH53" s="15">
        <f>IF(ISNA(VLOOKUP($A53,'Données projet'!$A$382:$I$402,3,0)),0,VLOOKUP($A53,'Données projet'!$A$382:$I$402,3,0))</f>
        <v>0</v>
      </c>
      <c r="KI53" s="15">
        <f>IF(ISNA(VLOOKUP($A53,'Données projet'!$A$382:$I$402,4,0)),0,VLOOKUP($A53,'Données projet'!$A$382:$I$402,4,0))</f>
        <v>0</v>
      </c>
      <c r="KJ53" s="16">
        <f>IF(ISNA(VLOOKUP($A53,'Données projet'!$A$382:$I$402,5,0)),0%,VLOOKUP($A53,'Données projet'!$A$382:$I$402,5,0)*VLOOKUP('Données projet'!$B$22,Paramètres!$A$1:$I$89,7,0))</f>
        <v>0</v>
      </c>
      <c r="KK53" s="16">
        <f>IF(ISNA(VLOOKUP($A53,'Données projet'!$A$382:$I$402,6,0)),0%,VLOOKUP($A53,'Données projet'!$A$382:$I$402,6,0)*VLOOKUP('Données projet'!$B$22,Paramètres!$A$1:$I$89,7,0))</f>
        <v>0</v>
      </c>
      <c r="KL53" s="16">
        <f>IF(ISNA(VLOOKUP($A53,'Données projet'!$A$382:$I$402,7,0)),0%,VLOOKUP($A53,'Données projet'!$A$382:$I$402,7,0))</f>
        <v>0</v>
      </c>
      <c r="KM53" s="21">
        <f>EXP(-LN(2)/35)*KM52+(1-EXP(-LN(2)/35))/(LN(2)/35)*KI53*KJ53*VLOOKUP('Données projet'!$B$22,Paramètres!$A$1:$I$89,3,0)*0.475*44/12</f>
        <v>0</v>
      </c>
      <c r="KN53" s="21">
        <f>EXP(-LN(2)/25)*KN52+(1-EXP(-LN(2)/25))/(LN(2)/25)*Calculateur!KI53*Calculateur!KK53*VLOOKUP('Données projet'!$B$22,Paramètres!$A$1:$I$89,3,0)*0.475*44/12</f>
        <v>0</v>
      </c>
      <c r="KO53" s="21">
        <f>EXP(-LN(2)/2)*KO52+(1-EXP(-LN(2)/2))/(LN(2)/2)*KI53*KL53*VLOOKUP('Données projet'!$B$22,Paramètres!$A$1:$I$89,3,0)*0.475*44/12</f>
        <v>0</v>
      </c>
      <c r="KP53" s="22">
        <f t="shared" si="98"/>
        <v>0</v>
      </c>
      <c r="KQ53" s="74">
        <f>('Scénario référence'!$F$8+'Scénario référence'!$F$9+'Scénario référence'!$B$17+'Scénario référence'!$B$9+'Scénario référence'!$B$10)*70+IF((45+25*(1-EXP(-0.0175*$A53)))&lt;70,'Scénario référence'!$B$16*(45+25*(1-EXP(-0.0175*$A53))),70*'Scénario référence'!$B$16)+IF((32+38*(1-EXP(-0.0175*$A53)))&lt;70,'Scénario référence'!$B$18*(32+38*(1-EXP(-0.0175*$A53))),70*'Scénario référence'!$B$18)</f>
        <v>70</v>
      </c>
      <c r="KR53" s="12">
        <f>IF($A53&gt;30,10,('Scénario référence'!$B$16+'Scénario référence'!$B$17+'Scénario référence'!$B$18+'Scénario référence'!$B$9+'Scénario référence'!$B$10)*$A53*10/30+('Scénario référence'!$F$8+'Scénario référence'!$F$9)*10)</f>
        <v>10</v>
      </c>
      <c r="KS53" s="12">
        <f>VLOOKUP($A53,'Données projet'!$A$408:$I$428,2,0)</f>
        <v>219</v>
      </c>
      <c r="KT53" s="12">
        <f>VLOOKUP($A53,'Données projet'!$A$408:$I$428,9,0)</f>
        <v>7.2</v>
      </c>
      <c r="KU53" s="12">
        <f t="array" ref="KU53">INDEX(KT:KT,MIN(IF(ISNUMBER(KT53:KT249),ROW(KT53:KT249),"")))</f>
        <v>7.2</v>
      </c>
      <c r="KV53" s="12">
        <f>IF('Données projet'!$A$408&gt;35,KV52+KU53-LD52,IF($A53&lt;'Données projet'!$A$408,$CQ$205^$A53,IF($A53='Données projet'!$A$408,'Données projet'!$B$408,KV52+KU53-LD52)))</f>
        <v>218.99999999999991</v>
      </c>
      <c r="KW53" s="17">
        <f>KV53*VLOOKUP('Données projet'!$B$23,Paramètres!$A$1:$I$89,3,0)*VLOOKUP('Données projet'!$B$23,Paramètres!$A$1:$I$89,5,0)</f>
        <v>191.31839999999994</v>
      </c>
      <c r="KX53" s="13">
        <f t="shared" si="99"/>
        <v>47.831314962098354</v>
      </c>
      <c r="KY53" s="14">
        <f t="shared" si="43"/>
        <v>416.51908689232118</v>
      </c>
      <c r="KZ53" s="59">
        <f t="shared" si="44"/>
        <v>709.85242022565444</v>
      </c>
      <c r="LA53" s="59">
        <f ca="1">AVERAGE(OFFSET($KZ$3,0,0,'Données projet'!$E$23+1,1))-AVERAGE(OFFSET($H$3,0,0,'Données projet'!$E$23+1,1))</f>
        <v>248.33596943633819</v>
      </c>
      <c r="LB53" s="59">
        <f t="shared" si="100"/>
        <v>242.34010522344573</v>
      </c>
      <c r="LC53" s="15">
        <f>IF(ISNA(VLOOKUP($A53,'Données projet'!$A$408:$I$428,3,0)),0,VLOOKUP($A53,'Données projet'!$A$408:$I$428,3,0))</f>
        <v>8</v>
      </c>
      <c r="LD53" s="15">
        <f>IF(ISNA(VLOOKUP($A53,'Données projet'!$A$408:$I$428,4,0)),0,VLOOKUP($A53,'Données projet'!$A$408:$I$428,4,0))</f>
        <v>17</v>
      </c>
      <c r="LE53" s="16">
        <f>IF(ISNA(VLOOKUP($A53,'Données projet'!$A$408:$I$428,5,0)),0%,VLOOKUP($A53,'Données projet'!$A$408:$I$428,5,0)*VLOOKUP('Données projet'!$B$23,Paramètres!$A$1:$I$89,7,0))</f>
        <v>0.30529999999999996</v>
      </c>
      <c r="LF53" s="16">
        <f>IF(ISNA(VLOOKUP($A53,'Données projet'!$A$408:$I$428,6,0)),0%,VLOOKUP($A53,'Données projet'!$A$408:$I$428,6,0)*VLOOKUP('Données projet'!$B$23,Paramètres!$A$1:$I$89,7,0))</f>
        <v>7.7399999999999997E-2</v>
      </c>
      <c r="LG53" s="16">
        <f>IF(ISNA(VLOOKUP($A53,'Données projet'!$A$408:$I$428,7,0)),0%,VLOOKUP($A53,'Données projet'!$A$408:$I$428,7,0))</f>
        <v>0</v>
      </c>
      <c r="LH53" s="21">
        <f>EXP(-LN(2)/35)*LH52+(1-EXP(-LN(2)/35))/(LN(2)/35)*LD53*LE53*VLOOKUP('Données projet'!$B$23,Paramètres!$A$1:$I$89,3,0)*0.475*44/12</f>
        <v>15.482329441513095</v>
      </c>
      <c r="LI53" s="21">
        <f>EXP(-LN(2)/25)*LI52+(1-EXP(-LN(2)/25))/(LN(2)/25)*Calculateur!LD53*Calculateur!LF53*VLOOKUP('Données projet'!$B$23,Paramètres!$A$1:$I$89,3,0)*0.475*44/12</f>
        <v>12.447876350154786</v>
      </c>
      <c r="LJ53" s="21">
        <f>EXP(-LN(2)/2)*LJ52+(1-EXP(-LN(2)/2))/(LN(2)/2)*LD53*LG53*VLOOKUP('Données projet'!$B$23,Paramètres!$A$1:$I$89,3,0)*0.475*44/12</f>
        <v>0</v>
      </c>
      <c r="LK53" s="22">
        <f t="shared" si="101"/>
        <v>27.930205791667881</v>
      </c>
      <c r="LL53" s="74">
        <f>('Scénario référence'!$F$8+'Scénario référence'!$F$9+'Scénario référence'!$B$17+'Scénario référence'!$B$9+'Scénario référence'!$B$10)*70+IF((45+25*(1-EXP(-0.0175*$A53)))&lt;70,'Scénario référence'!$B$16*(45+25*(1-EXP(-0.0175*$A53))),70*'Scénario référence'!$B$16)+IF((32+38*(1-EXP(-0.0175*$A53)))&lt;70,'Scénario référence'!$B$18*(32+38*(1-EXP(-0.0175*$A53))),70*'Scénario référence'!$B$18)</f>
        <v>70</v>
      </c>
      <c r="LM53" s="12">
        <f>IF($A53&gt;30,10,('Scénario référence'!$B$16+'Scénario référence'!$B$17+'Scénario référence'!$B$18+'Scénario référence'!$B$9+'Scénario référence'!$B$10)*$A53*10/30+('Scénario référence'!$F$8+'Scénario référence'!$F$9)*10)</f>
        <v>10</v>
      </c>
      <c r="LN53" s="12" t="e">
        <f>VLOOKUP($A53,'Données projet'!$A$434:$I$454,2,0)</f>
        <v>#N/A</v>
      </c>
      <c r="LO53" s="12" t="e">
        <f>VLOOKUP($A53,'Données projet'!$A$434:$I$454,9,0)</f>
        <v>#N/A</v>
      </c>
      <c r="LP53" s="12">
        <f t="array" ref="LP53">INDEX(LO:LO,MIN(IF(ISNUMBER(LO53:LO249),ROW(LO53:LO249),"")))</f>
        <v>6.826007326007324</v>
      </c>
      <c r="LQ53" s="12">
        <f>IF('Données projet'!$A$434&gt;35,LQ52+LP53-LY52,IF($A53&lt;'Données projet'!$A$434,$CQ$205^$A53,IF($A53='Données projet'!$A$434,'Données projet'!$B$434,LQ52+LP53-LY52)))</f>
        <v>138.96245421245416</v>
      </c>
      <c r="LR53" s="17">
        <f>LQ53*VLOOKUP('Données projet'!$B$24,Paramètres!$A$1:$I$89,3,0)*VLOOKUP('Données projet'!$B$24,Paramètres!$A$1:$I$89,5,0)</f>
        <v>140.90792857142853</v>
      </c>
      <c r="LS53" s="13">
        <f t="shared" si="102"/>
        <v>36.504920865079967</v>
      </c>
      <c r="LT53" s="14">
        <f t="shared" si="46"/>
        <v>308.99404610191897</v>
      </c>
      <c r="LU53" s="59">
        <f t="shared" si="103"/>
        <v>602.32737943525228</v>
      </c>
      <c r="LV53" s="59">
        <f ca="1">AVERAGE(OFFSET($LU$3,0,0,'Données projet'!$E$24+1,1))-AVERAGE(OFFSET($H$3,0,0,'Données projet'!$E$24+1,1))</f>
        <v>260.52627655062872</v>
      </c>
      <c r="LW53" s="59">
        <f t="shared" si="104"/>
        <v>159.20429420478047</v>
      </c>
      <c r="LX53" s="15">
        <f>IF(ISNA(VLOOKUP($A53,'Données projet'!$A$434:$I$454,3,0)),0,VLOOKUP($A53,'Données projet'!$A$434:$I$454,3,0))</f>
        <v>0</v>
      </c>
      <c r="LY53" s="15">
        <f>IF(ISNA(VLOOKUP($A53,'Données projet'!$A$434:$I$454,4,0)),0,VLOOKUP($A53,'Données projet'!$A$434:$I$454,4,0))</f>
        <v>0</v>
      </c>
      <c r="LZ53" s="16">
        <f>IF(ISNA(VLOOKUP($A53,'Données projet'!$A$434:$I$454,5,0)),0%,VLOOKUP($A53,'Données projet'!$A$434:$I$454,5,0)*VLOOKUP('Données projet'!$B$24,Paramètres!$A$1:$I$89,7,0))</f>
        <v>0</v>
      </c>
      <c r="MA53" s="16">
        <f>IF(ISNA(VLOOKUP($A53,'Données projet'!$A$434:$I$454,6,0)),0%,VLOOKUP($A53,'Données projet'!$A$434:$I$454,6,0)*VLOOKUP('Données projet'!$B$24,Paramètres!$A$1:$I$89,7,0))</f>
        <v>0</v>
      </c>
      <c r="MB53" s="16">
        <f>IF(ISNA(VLOOKUP($A53,'Données projet'!$A$434:$I$454,7,0)),0%,VLOOKUP($A53,'Données projet'!$A$434:$I$454,7,0))</f>
        <v>0</v>
      </c>
      <c r="MC53" s="21">
        <f>EXP(-LN(2)/35)*MC52+(1-EXP(-LN(2)/35))/(LN(2)/35)*LY53*LZ53*VLOOKUP('Données projet'!$B$24,Paramètres!$A$1:$I$89,3,0)*0.475*44/12</f>
        <v>0</v>
      </c>
      <c r="MD53" s="21">
        <f>EXP(-LN(2)/25)*MD52+(1-EXP(-LN(2)/25))/(LN(2)/25)*Calculateur!LY53*Calculateur!MA53*VLOOKUP('Données projet'!$B$24,Paramètres!$A$1:$I$89,3,0)*0.475*44/12</f>
        <v>0</v>
      </c>
      <c r="ME53" s="21">
        <f>EXP(-LN(2)/2)*ME52+(1-EXP(-LN(2)/2))/(LN(2)/2)*LY53*MB53*VLOOKUP('Données projet'!$B$24,Paramètres!$A$1:$I$89,3,0)*0.475*44/12</f>
        <v>0</v>
      </c>
      <c r="MF53" s="22">
        <f t="shared" si="105"/>
        <v>0</v>
      </c>
      <c r="MG53" s="74">
        <f>('Scénario référence'!$F$8+'Scénario référence'!$F$9+'Scénario référence'!$B$17+'Scénario référence'!$B$9+'Scénario référence'!$B$10)*70+IF((45+25*(1-EXP(-0.0175*$A53)))&lt;70,'Scénario référence'!$B$16*(45+25*(1-EXP(-0.0175*$A53))),70*'Scénario référence'!$B$16)+IF((32+38*(1-EXP(-0.0175*$A53)))&lt;70,'Scénario référence'!$B$18*(32+38*(1-EXP(-0.0175*$A53))),70*'Scénario référence'!$B$18)</f>
        <v>70</v>
      </c>
      <c r="MH53" s="12">
        <f>IF($A53&gt;30,10,('Scénario référence'!$B$16+'Scénario référence'!$B$17+'Scénario référence'!$B$18+'Scénario référence'!$B$9+'Scénario référence'!$B$10)*$A53*10/30+('Scénario référence'!$F$8+'Scénario référence'!$F$9)*10)</f>
        <v>10</v>
      </c>
      <c r="MI53" s="12" t="e">
        <f>VLOOKUP($A53,'Données projet'!$A$460:$I$480,2,0)</f>
        <v>#N/A</v>
      </c>
      <c r="MJ53" s="12" t="e">
        <f>VLOOKUP($A53,'Données projet'!$A$460:$I$480,9,0)</f>
        <v>#N/A</v>
      </c>
      <c r="MK53" s="12">
        <f t="array" ref="MK53">INDEX(MJ:MJ,MIN(IF(ISNUMBER(MJ53:MJ249),ROW(MJ53:MJ249),"")))</f>
        <v>0</v>
      </c>
      <c r="ML53" s="12">
        <f>IF('Données projet'!$A$460&gt;35,ML52+MK53-MT52,IF($A53&lt;'Données projet'!$A$460,$CQ$205^$A53,IF($A53='Données projet'!$A$460,'Données projet'!$B$460,ML52+MK53-MT52)))</f>
        <v>0</v>
      </c>
      <c r="MM53" s="17" t="e">
        <f>ML53*VLOOKUP('Données projet'!$B$25,Paramètres!$A$1:$I$89,3,0)*VLOOKUP('Données projet'!$B$25,Paramètres!$A$1:$I$89,5,0)</f>
        <v>#N/A</v>
      </c>
      <c r="MN53" s="13" t="e">
        <f t="shared" si="106"/>
        <v>#N/A</v>
      </c>
      <c r="MO53" s="14" t="e">
        <f t="shared" si="49"/>
        <v>#N/A</v>
      </c>
      <c r="MP53" s="59" t="e">
        <f t="shared" si="50"/>
        <v>#N/A</v>
      </c>
      <c r="MQ53" s="20" t="e">
        <f ca="1">AVERAGE(OFFSET($MP$3,0,0,'Données projet'!$E$25+1,1))-AVERAGE(OFFSET($H$3,0,0,'Données projet'!$E$25+1,1))</f>
        <v>#N/A</v>
      </c>
      <c r="MR53" s="59" t="e">
        <f t="shared" si="107"/>
        <v>#N/A</v>
      </c>
      <c r="MS53" s="15">
        <f>IF(ISNA(VLOOKUP($A53,'Données projet'!$A$460:$I$480,3,0)),0,VLOOKUP($A53,'Données projet'!$A$460:$I$480,3,0))</f>
        <v>0</v>
      </c>
      <c r="MT53" s="15">
        <f>IF(ISNA(VLOOKUP($A53,'Données projet'!$A$460:$I$480,4,0)),0,VLOOKUP($A53,'Données projet'!$A$460:$I$480,4,0))</f>
        <v>0</v>
      </c>
      <c r="MU53" s="16">
        <f>IF(ISNA(VLOOKUP($A53,'Données projet'!$A$460:$I$480,5,0)),0%,VLOOKUP($A53,'Données projet'!$A$460:$I$480,5,0)*VLOOKUP('Données projet'!$B$25,Paramètres!$A$1:$I$89,7,0))</f>
        <v>0</v>
      </c>
      <c r="MV53" s="16">
        <f>IF(ISNA(VLOOKUP($A53,'Données projet'!$A$460:$I$480,6,0)),0%,VLOOKUP($A53,'Données projet'!$A$460:$I$480,6,0)*VLOOKUP('Données projet'!$B$25,Paramètres!$A$1:$I$89,7,0))</f>
        <v>0</v>
      </c>
      <c r="MW53" s="16">
        <f>IF(ISNA(VLOOKUP($A53,'Données projet'!$A$460:$I$480,7,0)),0%,VLOOKUP($A53,'Données projet'!$A$460:$I$480,7,0))</f>
        <v>0</v>
      </c>
      <c r="MX53" s="21" t="e">
        <f>EXP(-LN(2)/35)*MX52+(1-EXP(-LN(2)/35))/(LN(2)/35)*MT53*MU53*VLOOKUP('Données projet'!$B$25,Paramètres!$A$1:$I$89,3,0)*0.475*44/12</f>
        <v>#N/A</v>
      </c>
      <c r="MY53" s="21" t="e">
        <f>EXP(-LN(2)/25)*MY52+(1-EXP(-LN(2)/25))/(LN(2)/25)*Calculateur!MT53*Calculateur!MV53*VLOOKUP('Données projet'!$B$25,Paramètres!$A$1:$I$89,3,0)*0.475*44/12</f>
        <v>#N/A</v>
      </c>
      <c r="MZ53" s="21" t="e">
        <f>EXP(-LN(2)/2)*MZ52+(1-EXP(-LN(2)/2))/(LN(2)/2)*MT53*MW53*VLOOKUP('Données projet'!$B$25,Paramètres!$A$1:$I$89,3,0)*0.475*44/12</f>
        <v>#N/A</v>
      </c>
      <c r="NA53" s="22" t="e">
        <f t="shared" si="108"/>
        <v>#N/A</v>
      </c>
      <c r="NB53" s="74">
        <f>('Scénario référence'!$F$8+'Scénario référence'!$F$9+'Scénario référence'!$B$17+'Scénario référence'!$B$9+'Scénario référence'!$B$10)*70+IF((45+25*(1-EXP(-0.0175*$A53)))&lt;70,'Scénario référence'!$B$16*(45+25*(1-EXP(-0.0175*$A53))),70*'Scénario référence'!$B$16)+IF((32+38*(1-EXP(-0.0175*$A53)))&lt;70,'Scénario référence'!$B$18*(32+38*(1-EXP(-0.0175*$A53))),70*'Scénario référence'!$B$18)</f>
        <v>70</v>
      </c>
      <c r="NC53" s="12">
        <f>IF($A53&gt;30,10,('Scénario référence'!$B$16+'Scénario référence'!$B$17+'Scénario référence'!$B$18+'Scénario référence'!$B$9+'Scénario référence'!$B$10)*$A53*10/30+('Scénario référence'!$F$8+'Scénario référence'!$F$9)*10)</f>
        <v>10</v>
      </c>
      <c r="ND53" s="12" t="e">
        <f>VLOOKUP($A53,'Données projet'!$A$486:$I$506,2,0)</f>
        <v>#N/A</v>
      </c>
      <c r="NE53" s="12" t="e">
        <f>VLOOKUP($A53,'Données projet'!$A$486:$I$506,9,0)</f>
        <v>#N/A</v>
      </c>
      <c r="NF53" s="12">
        <f t="array" ref="NF53">INDEX(NE:NE,MIN(IF(ISNUMBER(NE53:NE249),ROW(NE53:NE249),"")))</f>
        <v>0</v>
      </c>
      <c r="NG53" s="12">
        <f>IF('Données projet'!$A$486&gt;35,NG52+NF53-NO52,IF($A53&lt;'Données projet'!$A$486,$CQ$205^$A53,IF($A53='Données projet'!$A$486,'Données projet'!$B$486,NG52+NF53-NO52)))</f>
        <v>0</v>
      </c>
      <c r="NH53" s="17" t="e">
        <f>NG53*VLOOKUP('Données projet'!$B$26,Paramètres!$A$1:$I$89,3,0)*VLOOKUP('Données projet'!$B$26,Paramètres!$A$1:$I$89,5,0)</f>
        <v>#N/A</v>
      </c>
      <c r="NI53" s="13" t="e">
        <f t="shared" si="109"/>
        <v>#N/A</v>
      </c>
      <c r="NJ53" s="14" t="e">
        <f t="shared" si="52"/>
        <v>#N/A</v>
      </c>
      <c r="NK53" s="59" t="e">
        <f t="shared" si="53"/>
        <v>#N/A</v>
      </c>
      <c r="NL53" s="20" t="e">
        <f ca="1">AVERAGE(OFFSET($NK$3,0,0,'Données projet'!$E$26+1,1))-AVERAGE(OFFSET($H$3,0,0,'Données projet'!$E$26+1,1))</f>
        <v>#N/A</v>
      </c>
      <c r="NM53" s="59" t="e">
        <f t="shared" si="110"/>
        <v>#N/A</v>
      </c>
      <c r="NN53" s="15">
        <f>IF(ISNA(VLOOKUP($A53,'Données projet'!$A$486:$I$506,3,0)),0,VLOOKUP($A53,'Données projet'!$A$486:$I$506,3,0))</f>
        <v>0</v>
      </c>
      <c r="NO53" s="15">
        <f>IF(ISNA(VLOOKUP($A53,'Données projet'!$A$486:$I$506,4,0)),0,VLOOKUP($A53,'Données projet'!$A$486:$I$506,4,0))</f>
        <v>0</v>
      </c>
      <c r="NP53" s="16">
        <f>IF(ISNA(VLOOKUP($A53,'Données projet'!$A$486:$I$506,5,0)),0%,VLOOKUP($A53,'Données projet'!$A$486:$I$506,5,0)*VLOOKUP('Données projet'!$B$26,Paramètres!$A$1:$I$89,7,0))</f>
        <v>0</v>
      </c>
      <c r="NQ53" s="16">
        <f>IF(ISNA(VLOOKUP($A53,'Données projet'!$A$486:$I$506,6,0)),0%,VLOOKUP($A53,'Données projet'!$A$486:$I$506,6,0)*VLOOKUP('Données projet'!$B$26,Paramètres!$A$1:$I$89,7,0))</f>
        <v>0</v>
      </c>
      <c r="NR53" s="16">
        <f>IF(ISNA(VLOOKUP($A53,'Données projet'!$A$486:$I$506,7,0)),0%,VLOOKUP($A53,'Données projet'!$A$486:$I$506,7,0))</f>
        <v>0</v>
      </c>
      <c r="NS53" s="21" t="e">
        <f>EXP(-LN(2)/35)*NS52+(1-EXP(-LN(2)/35))/(LN(2)/35)*NO53*NP53*VLOOKUP('Données projet'!$B$26,Paramètres!$A$1:$I$89,3,0)*0.475*44/12</f>
        <v>#N/A</v>
      </c>
      <c r="NT53" s="21" t="e">
        <f>EXP(-LN(2)/25)*NT52+(1-EXP(-LN(2)/25))/(LN(2)/25)*Calculateur!NO53*Calculateur!NQ53*VLOOKUP('Données projet'!$B$26,Paramètres!$A$1:$I$89,3,0)*0.475*44/12</f>
        <v>#N/A</v>
      </c>
      <c r="NU53" s="21" t="e">
        <f>EXP(-LN(2)/2)*NU52+(1-EXP(-LN(2)/2))/(LN(2)/2)*NO53*NR53*VLOOKUP('Données projet'!$B$26,Paramètres!$A$1:$I$89,3,0)*0.475*44/12</f>
        <v>#N/A</v>
      </c>
      <c r="NV53" s="22" t="e">
        <f t="shared" si="111"/>
        <v>#N/A</v>
      </c>
      <c r="NW53" s="74">
        <f>('Scénario référence'!$F$8+'Scénario référence'!$F$9+'Scénario référence'!$B$17+'Scénario référence'!$B$9+'Scénario référence'!$B$10)*70+IF((45+25*(1-EXP(-0.0175*$A53)))&lt;70,'Scénario référence'!$B$16*(45+25*(1-EXP(-0.0175*$A53))),70*'Scénario référence'!$B$16)+IF((32+38*(1-EXP(-0.0175*$A53)))&lt;70,'Scénario référence'!$B$18*(32+38*(1-EXP(-0.0175*$A53))),70*'Scénario référence'!$B$18)</f>
        <v>70</v>
      </c>
      <c r="NX53" s="12">
        <f>IF($A53&gt;30,10,('Scénario référence'!$B$16+'Scénario référence'!$B$17+'Scénario référence'!$B$18+'Scénario référence'!$B$9+'Scénario référence'!$B$10)*$A53*10/30+('Scénario référence'!$F$8+'Scénario référence'!$F$9)*10)</f>
        <v>10</v>
      </c>
      <c r="NY53" s="12" t="e">
        <f>VLOOKUP($A53,'Données projet'!$A$512:$I$532,2,0)</f>
        <v>#N/A</v>
      </c>
      <c r="NZ53" s="12" t="e">
        <f>VLOOKUP($A53,'Données projet'!$A$512:$I$532,9,0)</f>
        <v>#N/A</v>
      </c>
      <c r="OA53" s="12">
        <f t="array" ref="OA53">INDEX(NZ:NZ,MIN(IF(ISNUMBER(NZ53:NZ249),ROW(NZ53:NZ249),"")))</f>
        <v>0</v>
      </c>
      <c r="OB53" s="12">
        <f>IF('Données projet'!$A$512&gt;35,OB52+OA53-OJ52,IF($A53&lt;'Données projet'!$A$512,$CQ$205^$A53,IF($A53='Données projet'!$A$512,'Données projet'!$B$512,OB52+OA53-OJ52)))</f>
        <v>0</v>
      </c>
      <c r="OC53" s="17" t="e">
        <f>OB53*VLOOKUP('Données projet'!$B$27,Paramètres!$A$1:$I$89,3,0)*VLOOKUP('Données projet'!$B$27,Paramètres!$A$1:$I$89,5,0)</f>
        <v>#N/A</v>
      </c>
      <c r="OD53" s="13" t="e">
        <f t="shared" si="112"/>
        <v>#N/A</v>
      </c>
      <c r="OE53" s="14" t="e">
        <f t="shared" si="55"/>
        <v>#N/A</v>
      </c>
      <c r="OF53" s="59" t="e">
        <f t="shared" si="56"/>
        <v>#N/A</v>
      </c>
      <c r="OG53" s="20" t="e">
        <f ca="1">AVERAGE(OFFSET($OF$3,0,0,'Données projet'!$E$27+1,1))-AVERAGE(OFFSET($H$3,0,0,'Données projet'!$E$27+1,1))</f>
        <v>#N/A</v>
      </c>
      <c r="OH53" s="59" t="e">
        <f t="shared" si="113"/>
        <v>#N/A</v>
      </c>
      <c r="OI53" s="15">
        <f>IF(ISNA(VLOOKUP($A53,'Données projet'!$A$512:$I$532,3,0)),0,VLOOKUP($A53,'Données projet'!$A$512:$I$532,3,0))</f>
        <v>0</v>
      </c>
      <c r="OJ53" s="15">
        <f>IF(ISNA(VLOOKUP($A53,'Données projet'!$A$512:$I$532,4,0)),0,VLOOKUP($A53,'Données projet'!$A$512:$I$532,4,0))</f>
        <v>0</v>
      </c>
      <c r="OK53" s="16">
        <f>IF(ISNA(VLOOKUP($A53,'Données projet'!$A$512:$I$532,5,0)),0%,VLOOKUP($A53,'Données projet'!$A$512:$I$532,5,0)*VLOOKUP('Données projet'!$B$27,Paramètres!$A$1:$I$89,7,0))</f>
        <v>0</v>
      </c>
      <c r="OL53" s="16">
        <f>IF(ISNA(VLOOKUP($A53,'Données projet'!$A$512:$I$532,6,0)),0%,VLOOKUP($A53,'Données projet'!$A$512:$I$532,6,0)*VLOOKUP('Données projet'!$B$27,Paramètres!$A$1:$I$89,7,0))</f>
        <v>0</v>
      </c>
      <c r="OM53" s="16">
        <f>IF(ISNA(VLOOKUP($A53,'Données projet'!$A$512:$I$532,7,0)),0%,VLOOKUP($A53,'Données projet'!$A$512:$I$532,7,0))</f>
        <v>0</v>
      </c>
      <c r="ON53" s="21" t="e">
        <f>EXP(-LN(2)/35)*ON52+(1-EXP(-LN(2)/35))/(LN(2)/35)*OJ53*OK53*VLOOKUP('Données projet'!$B$27,Paramètres!$A$1:$I$89,3,0)*0.475*44/12</f>
        <v>#N/A</v>
      </c>
      <c r="OO53" s="21" t="e">
        <f>EXP(-LN(2)/25)*OO52+(1-EXP(-LN(2)/25))/(LN(2)/25)*Calculateur!OJ53*Calculateur!OL53*VLOOKUP('Données projet'!$B$27,Paramètres!$A$1:$I$89,3,0)*0.475*44/12</f>
        <v>#N/A</v>
      </c>
      <c r="OP53" s="21" t="e">
        <f>EXP(-LN(2)/2)*OP52+(1-EXP(-LN(2)/2))/(LN(2)/2)*OJ53*OM53*VLOOKUP('Données projet'!$B$27,Paramètres!$A$1:$I$89,3,0)*0.475*44/12</f>
        <v>#N/A</v>
      </c>
      <c r="OQ53" s="22" t="e">
        <f t="shared" si="114"/>
        <v>#N/A</v>
      </c>
      <c r="OR53" s="74">
        <f>('Scénario référence'!$F$8+'Scénario référence'!$F$9+'Scénario référence'!$B$17+'Scénario référence'!$B$9+'Scénario référence'!$B$10)*70+IF((45+25*(1-EXP(-0.0175*$A53)))&lt;70,'Scénario référence'!$B$16*(45+25*(1-EXP(-0.0175*$A53))),70*'Scénario référence'!$B$16)+IF((32+38*(1-EXP(-0.0175*$A53)))&lt;70,'Scénario référence'!$B$18*(32+38*(1-EXP(-0.0175*$A53))),70*'Scénario référence'!$B$18)</f>
        <v>70</v>
      </c>
      <c r="OS53" s="12">
        <f>IF($A53&gt;30,10,('Scénario référence'!$B$16+'Scénario référence'!$B$17+'Scénario référence'!$B$18+'Scénario référence'!$B$9+'Scénario référence'!$B$10)*$A53*10/30+('Scénario référence'!$F$8+'Scénario référence'!$F$9)*10)</f>
        <v>10</v>
      </c>
      <c r="OT53" s="12" t="e">
        <f>VLOOKUP($A53,'Données projet'!$A$538:$I$558,2,0)</f>
        <v>#N/A</v>
      </c>
      <c r="OU53" s="12" t="e">
        <f>VLOOKUP($A53,'Données projet'!$A$538:$I$558,9,0)</f>
        <v>#N/A</v>
      </c>
      <c r="OV53" s="12">
        <f t="array" ref="OV53">INDEX(OU:OU,MIN(IF(ISNUMBER(OU53:OU249),ROW(OU53:OU249),"")))</f>
        <v>0</v>
      </c>
      <c r="OW53" s="12">
        <f>IF('Données projet'!$A$538&gt;35,OW52+OV53-PE52,IF($A53&lt;'Données projet'!$A$538,$CQ$205^$A53,IF($A53='Données projet'!$A$538,'Données projet'!$B$538,OW52+OV53-PE52)))</f>
        <v>0</v>
      </c>
      <c r="OX53" s="17" t="e">
        <f>OW53*VLOOKUP('Données projet'!$B$28,Paramètres!$A$1:$I$89,3,0)*VLOOKUP('Données projet'!$B$28,Paramètres!$A$1:$I$89,5,0)</f>
        <v>#N/A</v>
      </c>
      <c r="OY53" s="13" t="e">
        <f t="shared" si="115"/>
        <v>#N/A</v>
      </c>
      <c r="OZ53" s="14" t="e">
        <f t="shared" si="58"/>
        <v>#N/A</v>
      </c>
      <c r="PA53" s="59" t="e">
        <f t="shared" si="59"/>
        <v>#N/A</v>
      </c>
      <c r="PB53" s="20" t="e">
        <f ca="1">AVERAGE(OFFSET($PA$3,0,0,'Données projet'!$E$28+1,1))-AVERAGE(OFFSET($H$3,0,0,'Données projet'!$E$28+1,1))</f>
        <v>#N/A</v>
      </c>
      <c r="PC53" s="59" t="e">
        <f t="shared" si="116"/>
        <v>#N/A</v>
      </c>
      <c r="PD53" s="15">
        <f>IF(ISNA(VLOOKUP($A53,'Données projet'!$A$538:$I$558,3,0)),0,VLOOKUP($A53,'Données projet'!$A$538:$I$558,3,0))</f>
        <v>0</v>
      </c>
      <c r="PE53" s="15">
        <f>IF(ISNA(VLOOKUP($A53,'Données projet'!$A$538:$I$558,4,0)),0,VLOOKUP($A53,'Données projet'!$A$538:$I$558,4,0))</f>
        <v>0</v>
      </c>
      <c r="PF53" s="16">
        <f>IF(ISNA(VLOOKUP($A53,'Données projet'!$A$538:$I$558,5,0)),0%,VLOOKUP($A53,'Données projet'!$A$538:$I$558,5,0)*VLOOKUP('Données projet'!$B$28,Paramètres!$A$1:$I$89,7,0))</f>
        <v>0</v>
      </c>
      <c r="PG53" s="16">
        <f>IF(ISNA(VLOOKUP($A53,'Données projet'!$A$538:$I$558,6,0)),0%,VLOOKUP($A53,'Données projet'!$A$538:$I$558,6,0)*VLOOKUP('Données projet'!$B$28,Paramètres!$A$1:$I$89,7,0))</f>
        <v>0</v>
      </c>
      <c r="PH53" s="16">
        <f>IF(ISNA(VLOOKUP($A53,'Données projet'!$A$538:$I$558,7,0)),0%,VLOOKUP($A53,'Données projet'!$A$538:$I$558,7,0))</f>
        <v>0</v>
      </c>
      <c r="PI53" s="21" t="e">
        <f>EXP(-LN(2)/35)*PI52+(1-EXP(-LN(2)/35))/(LN(2)/35)*PE53*PF53*VLOOKUP('Données projet'!$B$28,Paramètres!$A$1:$I$89,3,0)*0.475*44/12</f>
        <v>#N/A</v>
      </c>
      <c r="PJ53" s="21" t="e">
        <f>EXP(-LN(2)/25)*PJ52+(1-EXP(-LN(2)/25))/(LN(2)/25)*Calculateur!PE53*Calculateur!PG53*VLOOKUP('Données projet'!$B$28,Paramètres!$A$1:$I$89,3,0)*0.475*44/12</f>
        <v>#N/A</v>
      </c>
      <c r="PK53" s="21" t="e">
        <f>EXP(-LN(2)/2)*PK52+(1-EXP(-LN(2)/2))/(LN(2)/2)*PE53*PH53*VLOOKUP('Données projet'!$B$28,Paramètres!$A$1:$I$89,3,0)*0.475*44/12</f>
        <v>#N/A</v>
      </c>
      <c r="PL53" s="22" t="e">
        <f t="shared" si="117"/>
        <v>#N/A</v>
      </c>
    </row>
    <row r="54" spans="1:428" x14ac:dyDescent="0.35">
      <c r="A54" s="10">
        <f t="shared" si="6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6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projet'!$A$45:$I$65,2,0)</f>
        <v>#N/A</v>
      </c>
      <c r="L54" s="12" t="e">
        <f>VLOOKUP(A54,'Données projet'!$A$45:$I$65,9,0)</f>
        <v>#N/A</v>
      </c>
      <c r="M54" s="12">
        <f t="array" ref="M54">INDEX(L:L,MIN(IF(ISNUMBER(L54:L250),ROW(L54:L250),"")))</f>
        <v>20.507692307692299</v>
      </c>
      <c r="N54" s="13">
        <f>IF('Données projet'!$A$46&gt;35,N53+M54-V53,IF(A54&lt;'Données projet'!$A$46,$K$205^A54,IF(A54='Données projet'!$A$46,'Données projet'!$B$46,N53+M54-V53)))</f>
        <v>505.27692307692297</v>
      </c>
      <c r="O54" s="13">
        <f>N54*VLOOKUP('Données projet'!$B$9,Paramètres!$A$1:$I$89,3,0)*VLOOKUP('Données projet'!$B$9,Paramètres!$A$1:$I$89,5,0)</f>
        <v>282.44979999999998</v>
      </c>
      <c r="P54" s="13">
        <f t="shared" si="63"/>
        <v>67.484459274997945</v>
      </c>
      <c r="Q54" s="20">
        <f t="shared" si="118"/>
        <v>609.46883490395464</v>
      </c>
      <c r="R54" s="59">
        <f t="shared" si="0"/>
        <v>902.80216823728802</v>
      </c>
      <c r="S54" s="59">
        <f ca="1">AVERAGE(OFFSET($R$3,0,0,'Données projet'!$E$9+1,1))-AVERAGE(OFFSET($H$3,0,0,'Données projet'!$E$9+1,1))</f>
        <v>274.57619581652199</v>
      </c>
      <c r="T54" s="59">
        <f t="shared" si="64"/>
        <v>366.15117322598775</v>
      </c>
      <c r="U54" s="15">
        <f>IF(ISNA(VLOOKUP(A54,'Données projet'!$A$45:$I$65,3,0)),0,VLOOKUP(A54,'Données projet'!$A$45:$I$65,3,0))</f>
        <v>0</v>
      </c>
      <c r="V54" s="15">
        <f>IF(ISNA(VLOOKUP(A54,'Données projet'!$A$45:$I$65,4,0)),0,VLOOKUP(A54,'Données projet'!$A$45:$I$65,4,0))</f>
        <v>0</v>
      </c>
      <c r="W54" s="16">
        <f>IF(ISNA(VLOOKUP(A54,'Données projet'!$A$45:$I$65,5,0)),0%,VLOOKUP(A54,'Données projet'!$A$45:$I$65,5,0)*VLOOKUP('Données projet'!$B$9,Paramètres!$A$1:$I$89,7,0))</f>
        <v>0</v>
      </c>
      <c r="X54" s="16">
        <f>IF(ISNA(VLOOKUP(A54,'Données projet'!$A$45:$I$65,6,0)),0%,VLOOKUP(A54,'Données projet'!$A$45:$I$65,6,0)*VLOOKUP('Données projet'!$B$9,Paramètres!$A$1:$I$89,7,0))</f>
        <v>0</v>
      </c>
      <c r="Y54" s="16">
        <f>IF(ISNA(VLOOKUP(A54,'Données projet'!$A$45:$I$65,7,0)),0%,VLOOKUP(A54,'Données projet'!$A$45:$I$65,7,0))</f>
        <v>0</v>
      </c>
      <c r="Z54" s="21">
        <f>EXP(-LN(2)/35)*Z53+(1-EXP(-LN(2)/35))/(LN(2)/35)*V54*W54*VLOOKUP('Données projet'!$B$9,Paramètres!$A$1:$I$89,3,0)*0.475*44/12</f>
        <v>73.617549700309539</v>
      </c>
      <c r="AA54" s="21">
        <f>EXP(-LN(2)/25)*AA53+(1-EXP(-LN(2)/25))/(LN(2)/25)*Calculateur!V54*Calculateur!X54*VLOOKUP('Données projet'!$B$9,Paramètres!$A$1:$I$89,3,0)*0.475*44/12</f>
        <v>22.325335672401774</v>
      </c>
      <c r="AB54" s="21">
        <f>EXP(-LN(2)/2)*AB53+(1-EXP(-LN(2)/2))/(LN(2)/2)*V54*Y54*VLOOKUP('Données projet'!$B$9,Paramètres!$A$1:$I$89,3,0)*0.475*44/12</f>
        <v>2.7095895536145242</v>
      </c>
      <c r="AC54" s="22">
        <f t="shared" si="3"/>
        <v>98.652474926325837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projet'!$A$71:$I$91,2,0)</f>
        <v>#N/A</v>
      </c>
      <c r="AG54" s="12" t="e">
        <f>VLOOKUP(A54,'Données projet'!$A$71:$I$91,9,0)</f>
        <v>#N/A</v>
      </c>
      <c r="AH54" s="12">
        <f t="array" ref="AH54">INDEX(AG:AG,MIN(IF(ISNUMBER(AG54:AG250),ROW(AG54:AG250),"")))</f>
        <v>8.8736263736263741</v>
      </c>
      <c r="AI54" s="13">
        <f>IF('Données projet'!$A$72&gt;35,AI53+AH54-AQ53,IF(A54&lt;'Données projet'!$A$72,$AF$205^A54,IF(A54='Données projet'!$A$72,'Données projet'!$B$72,AI53+AH54-AQ53)))</f>
        <v>162.94780219780228</v>
      </c>
      <c r="AJ54" s="13">
        <f>AI54*VLOOKUP('Données projet'!$B$10,Paramètres!$A$1:$I$89,3,0)*VLOOKUP('Données projet'!$B$10,Paramètres!$A$1:$I$89,5,0)</f>
        <v>147.43517142857149</v>
      </c>
      <c r="AK54" s="13">
        <f t="shared" si="65"/>
        <v>37.995135358244994</v>
      </c>
      <c r="AL54" s="20">
        <f t="shared" si="4"/>
        <v>322.95778432037201</v>
      </c>
      <c r="AM54" s="59">
        <f t="shared" si="5"/>
        <v>616.29111765370533</v>
      </c>
      <c r="AN54" s="59">
        <f ca="1">AVERAGE(OFFSET($AM$3,0,0,'Données projet'!$E$10+1,1))-AVERAGE(OFFSET($H$3,0,0,'Données projet'!$E$10+1,1))</f>
        <v>270.87836509222456</v>
      </c>
      <c r="AO54" s="59">
        <f t="shared" si="66"/>
        <v>205.24998237949734</v>
      </c>
      <c r="AP54" s="15">
        <f>IF(ISNA(VLOOKUP(A54,'Données projet'!$A$71:$I$91,3,0)),0,VLOOKUP(A54,'Données projet'!$A$71:$I$91,3,0))</f>
        <v>0</v>
      </c>
      <c r="AQ54" s="15">
        <f>IF(ISNA(VLOOKUP(A54,'Données projet'!$A$71:$I$91,4,0)),0,VLOOKUP(A54,'Données projet'!$A$71:$I$91,4,0))</f>
        <v>0</v>
      </c>
      <c r="AR54" s="16">
        <f>IF(ISNA(VLOOKUP(A54,'Données projet'!$A$71:$I$91,5,0)),0%,VLOOKUP(A54,'Données projet'!$A$71:$I$91,5,0)*VLOOKUP('Données projet'!$B$10,Paramètres!$A$1:$I$89,7,0))</f>
        <v>0</v>
      </c>
      <c r="AS54" s="16">
        <f>IF(ISNA(VLOOKUP(A54,'Données projet'!$A$71:$I$91,6,0)),0%,VLOOKUP(A54,'Données projet'!$A$71:$I$91,6,0)*VLOOKUP('Données projet'!$B$10,Paramètres!$A$1:$I$89,7,0))</f>
        <v>0</v>
      </c>
      <c r="AT54" s="16">
        <f>IF(ISNA(VLOOKUP(A54,'Données projet'!$A$71:$I$91,7,0)),0%,VLOOKUP(A54,'Données projet'!$A$71:$I$91,7,0))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projet'!$A$97:$I$117,2,0)</f>
        <v>#N/A</v>
      </c>
      <c r="BB54" s="12" t="e">
        <f>VLOOKUP(A54,'Données projet'!$A$97:$I$117,9,0)</f>
        <v>#N/A</v>
      </c>
      <c r="BC54" s="12">
        <f t="array" ref="BC54">INDEX(BB:BB,MIN(IF(ISNUMBER(BB54:BB250),ROW(BB54:BB250),"")))</f>
        <v>20.507692307692299</v>
      </c>
      <c r="BD54" s="12">
        <f>IF('Données projet'!$A$98&gt;35,BD53+BC54-BL53,IF(A54&lt;'Données projet'!$A$98,$BA$205^A54,IF(A54='Données projet'!$A$98,'Données projet'!$B$98,BD53+BC54-BL53)))</f>
        <v>505.27692307692297</v>
      </c>
      <c r="BE54" s="13">
        <f>BD54*VLOOKUP('Données projet'!$B$11,Paramètres!$A$1:$I$89,3,0)*VLOOKUP('Données projet'!$B$11,Paramètres!$A$1:$I$89,5,0)</f>
        <v>223.33239999999998</v>
      </c>
      <c r="BF54" s="13">
        <f t="shared" si="67"/>
        <v>54.838531461370984</v>
      </c>
      <c r="BG54" s="20">
        <f t="shared" si="7"/>
        <v>484.48103896188769</v>
      </c>
      <c r="BH54" s="59">
        <f t="shared" si="8"/>
        <v>777.81437229522101</v>
      </c>
      <c r="BI54" s="59">
        <f ca="1">AVERAGE(OFFSET($BH$3,0,0,'Données projet'!$E$11+1,1))-AVERAGE(OFFSET($H$3,0,0,'Données projet'!$E$11+1,1))</f>
        <v>211.31057120485542</v>
      </c>
      <c r="BJ54" s="59">
        <f t="shared" si="68"/>
        <v>283.33292006714777</v>
      </c>
      <c r="BK54" s="15">
        <f>IF(ISNA(VLOOKUP(A54,'Données projet'!$A$97:$I$117,3,0)),0,VLOOKUP(A54,'Données projet'!$A$97:$I$117,3,0))</f>
        <v>0</v>
      </c>
      <c r="BL54" s="15">
        <f>IF(ISNA(VLOOKUP(A54,'Données projet'!$A$97:$I$117,4,0)),0,VLOOKUP(A54,'Données projet'!$A$97:$I$117,4,0))</f>
        <v>0</v>
      </c>
      <c r="BM54" s="16">
        <f>IF(ISNA(VLOOKUP(A54,'Données projet'!$A$97:$I$117,5,0)),0%,VLOOKUP(A54,'Données projet'!$A$97:$I$117,5,0)*VLOOKUP('Données projet'!$B$11,Paramètres!$A$1:$I$89,7,0))</f>
        <v>0</v>
      </c>
      <c r="BN54" s="16">
        <f>IF(ISNA(VLOOKUP(A54,'Données projet'!$A$97:$I$117,6,0)),0%,VLOOKUP(A54,'Données projet'!$A$97:$I$117,6,0)*VLOOKUP('Données projet'!$B$11,Paramètres!$A$1:$I$89,7,0))</f>
        <v>0</v>
      </c>
      <c r="BO54" s="16">
        <f>IF(ISNA(VLOOKUP(A54,'Données projet'!$A$97:$I$117,7,0)),0%,VLOOKUP(A54,'Données projet'!$A$97:$I$117,7,0))</f>
        <v>0</v>
      </c>
      <c r="BP54" s="21">
        <f>EXP(-LN(2)/35)*BP53+(1-EXP(-LN(2)/35))/(LN(2)/35)*BL54*BM54*VLOOKUP('Données projet'!$B$11,Paramètres!$A$1:$I$89,3,0)*0.475*44/12</f>
        <v>58.209225344430791</v>
      </c>
      <c r="BQ54" s="21">
        <f>EXP(-LN(2)/25)*BQ53+(1-EXP(-LN(2)/25))/(LN(2)/25)*Calculateur!BL54*Calculateur!BN54*VLOOKUP('Données projet'!$B$11,Paramètres!$A$1:$I$89,3,0)*0.475*44/12</f>
        <v>17.652590996782799</v>
      </c>
      <c r="BR54" s="21">
        <f>EXP(-LN(2)/2)*BR53+(1-EXP(-LN(2)/2))/(LN(2)/2)*BL54*BO54*VLOOKUP('Données projet'!$B$11,Paramètres!$A$1:$I$89,3,0)*0.475*44/12</f>
        <v>2.1424661586719496</v>
      </c>
      <c r="BS54" s="22">
        <f t="shared" si="9"/>
        <v>78.004282499885548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projet'!$A$123:$I$143,2,0)</f>
        <v>#N/A</v>
      </c>
      <c r="BW54" s="12" t="e">
        <f>VLOOKUP(A54,'Données projet'!$A$123:$I$143,9,0)</f>
        <v>#N/A</v>
      </c>
      <c r="BX54" s="12">
        <f t="array" ref="BX54">INDEX(BW:BW,MIN(IF(ISNUMBER(BW54:BW250),ROW(BW54:BW250),"")))</f>
        <v>6.6</v>
      </c>
      <c r="BY54" s="12">
        <f>IF('Données projet'!$A$124&gt;35,BY53+BX54-CG53,IF(A54&lt;'Données projet'!$A$124,$BV$205^A54,IF(A54='Données projet'!$A$124,'Données projet'!$B$124,BY53+BX54-CG53)))</f>
        <v>191.60000000000005</v>
      </c>
      <c r="BZ54" s="13">
        <f>BY54*VLOOKUP('Données projet'!$B$12,Paramètres!$A$1:$I$89,3,0)*VLOOKUP('Données projet'!$B$12,Paramètres!$A$1:$I$89,5,0)</f>
        <v>200.26032000000006</v>
      </c>
      <c r="CA54" s="13">
        <f t="shared" si="69"/>
        <v>49.801373850507687</v>
      </c>
      <c r="CB54" s="20">
        <f t="shared" si="10"/>
        <v>435.52411678963432</v>
      </c>
      <c r="CC54" s="59">
        <f t="shared" si="11"/>
        <v>728.85745012296763</v>
      </c>
      <c r="CD54" s="59">
        <f ca="1">AVERAGE(OFFSET($CC$3,0,0,'Données projet'!$E$12+1,1))-AVERAGE(OFFSET($H$3,0,0,'Données projet'!$E$12+1,1))</f>
        <v>322.93502595881938</v>
      </c>
      <c r="CE54" s="59">
        <f t="shared" si="70"/>
        <v>302.67072119588164</v>
      </c>
      <c r="CF54" s="15">
        <f>IF(ISNA(VLOOKUP(A54,'Données projet'!$A$123:$I$143,3,0)),0,VLOOKUP(A54,'Données projet'!$A$123:$I$143,3,0))</f>
        <v>0</v>
      </c>
      <c r="CG54" s="15">
        <f>IF(ISNA(VLOOKUP(A54,'Données projet'!$A$123:$I$143,4,0)),0,VLOOKUP(A54,'Données projet'!$A$123:$I$143,4,0))</f>
        <v>0</v>
      </c>
      <c r="CH54" s="16">
        <f>IF(ISNA(VLOOKUP(A54,'Données projet'!$A$123:$I$143,5,0)),0%,VLOOKUP(A54,'Données projet'!$A$123:$I$143,5,0)*VLOOKUP('Données projet'!$B$12,Paramètres!$A$1:$I$89,7,0))</f>
        <v>0</v>
      </c>
      <c r="CI54" s="16">
        <f>IF(ISNA(VLOOKUP(A54,'Données projet'!$A$123:$I$143,6,0)),0%,VLOOKUP(A54,'Données projet'!$A$123:$I$143,6,0)*VLOOKUP('Données projet'!$B$12,Paramètres!$A$1:$I$89,7,0))</f>
        <v>0</v>
      </c>
      <c r="CJ54" s="16">
        <f>IF(ISNA(VLOOKUP(A54,'Données projet'!$A$123:$I$143,7,0)),0%,VLOOKUP(A54,'Données projet'!$A$123:$I$143,7,0))</f>
        <v>0</v>
      </c>
      <c r="CK54" s="21">
        <f>EXP(-LN(2)/35)*CK53+(1-EXP(-LN(2)/35))/(LN(2)/35)*CG54*CH54*VLOOKUP('Données projet'!$B$12,Paramètres!$A$1:$I$89,3,0)*0.475*44/12</f>
        <v>9.2643254220173112</v>
      </c>
      <c r="CL54" s="21">
        <f>EXP(-LN(2)/25)*CL53+(1-EXP(-LN(2)/25))/(LN(2)/25)*Calculateur!CG54*Calculateur!CI54*VLOOKUP('Données projet'!$B$12,Paramètres!$A$1:$I$89,3,0)*0.475*44/12</f>
        <v>18.190910477831348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27.45523589984866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>
        <f>VLOOKUP(A54,'Données projet'!$A$149:$I$169,2,0)</f>
        <v>145.78846153846152</v>
      </c>
      <c r="CR54" s="12">
        <f>VLOOKUP(A54,'Données projet'!$A$149:$I$169,9,0)</f>
        <v>6.826007326007324</v>
      </c>
      <c r="CS54" s="12">
        <f t="array" ref="CS54">INDEX(CR:CR,MIN(IF(ISNUMBER(CR54:CR250),ROW(CR54:CR250),"")))</f>
        <v>6.826007326007324</v>
      </c>
      <c r="CT54" s="12">
        <f>IF('Données projet'!$A$150&gt;35,CT53+CS54-DB53,IF(A54&lt;'Données projet'!$A$150,$CQ$205^A54,IF(A54='Données projet'!$A$150,'Données projet'!$B$150,CT53+CS54-DB53)))</f>
        <v>145.78846153846149</v>
      </c>
      <c r="CU54" s="17">
        <f>CT54*VLOOKUP('Données projet'!$B$13,Paramètres!$A$1:$I$89,3,0)*VLOOKUP('Données projet'!$B$13,Paramètres!$A$1:$I$89,5,0)</f>
        <v>147.82949999999997</v>
      </c>
      <c r="CV54" s="13">
        <f t="shared" si="71"/>
        <v>38.084914057462001</v>
      </c>
      <c r="CW54" s="20">
        <f t="shared" si="13"/>
        <v>323.80093781674623</v>
      </c>
      <c r="CX54" s="59">
        <f t="shared" si="14"/>
        <v>617.13427115007948</v>
      </c>
      <c r="CY54" s="59">
        <f ca="1">AVERAGE(OFFSET($CX$3,0,0,'Données projet'!$E$13+1,1))-AVERAGE(OFFSET($H$3,0,0,'Données projet'!$E$13+1,1))</f>
        <v>250.31277422753283</v>
      </c>
      <c r="CZ54" s="59">
        <f t="shared" si="72"/>
        <v>159.20429420478047</v>
      </c>
      <c r="DA54" s="15">
        <f>IF(ISNA(VLOOKUP(A54,'Données projet'!$A$149:$I$169,3,0)),0,VLOOKUP(A54,'Données projet'!$A$149:$I$169,3,0))</f>
        <v>2</v>
      </c>
      <c r="DB54" s="15">
        <f>IF(ISNA(VLOOKUP(A54,'Données projet'!$A$149:$I$169,4,0)),0,VLOOKUP(A54,'Données projet'!$A$149:$I$169,4,0))</f>
        <v>37.685897435897431</v>
      </c>
      <c r="DC54" s="16">
        <f>IF(ISNA(VLOOKUP(A54,'Données projet'!$A$149:$I$169,5,0)),0%,VLOOKUP(A54,'Données projet'!$A$149:$I$169,5,0)*VLOOKUP('Données projet'!$B$13,Paramètres!$A$1:$I$89,7,0))</f>
        <v>0</v>
      </c>
      <c r="DD54" s="16">
        <f>IF(ISNA(VLOOKUP(A54,'Données projet'!$A$149:$I$169,6,0)),0%,VLOOKUP(A54,'Données projet'!$A$149:$I$169,6,0)*VLOOKUP('Données projet'!$B$13,Paramètres!$A$1:$I$89,7,0))</f>
        <v>0</v>
      </c>
      <c r="DE54" s="16">
        <f>IF(ISNA(VLOOKUP(A54,'Données projet'!$A$149:$I$169,7,0)),0%,VLOOKUP(A54,'Données projet'!$A$149:$I$169,7,0))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0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projet'!$A$175:$I$195,2,0)</f>
        <v>#N/A</v>
      </c>
      <c r="DM54" s="12" t="e">
        <f>VLOOKUP(A54,'Données projet'!$A$175:$I$195,9,0)</f>
        <v>#N/A</v>
      </c>
      <c r="DN54" s="12">
        <f t="array" ref="DN54">INDEX(DM:DM,MIN(IF(ISNUMBER(DM54:DM250),ROW(DM54:DM250),"")))</f>
        <v>8.4</v>
      </c>
      <c r="DO54" s="12">
        <f>IF('Données projet'!$A$176&gt;35,DO53+DN54-DW53,IF(A54&lt;'Données projet'!$A$176,$DL$205^A54,IF(A54='Données projet'!$A$176,'Données projet'!$B$176,DO53+DN54-DW53)))</f>
        <v>290.39999999999992</v>
      </c>
      <c r="DP54" s="17">
        <f>DO54*VLOOKUP('Données projet'!$B$14,Paramètres!$A$1:$I$89,3,0)*VLOOKUP('Données projet'!$B$14,Paramètres!$A$1:$I$89,5,0)</f>
        <v>212.92127999999991</v>
      </c>
      <c r="DQ54" s="13">
        <f t="shared" si="73"/>
        <v>52.57344469809297</v>
      </c>
      <c r="DR54" s="20">
        <f t="shared" si="16"/>
        <v>462.4033121825118</v>
      </c>
      <c r="DS54" s="59">
        <f t="shared" si="17"/>
        <v>755.73664551584511</v>
      </c>
      <c r="DT54" s="59">
        <f ca="1">AVERAGE(OFFSET($DS$3,0,0,'Données projet'!$E$14+1,1))-AVERAGE(OFFSET($H$3,0,0,'Données projet'!$E$14+1,1))</f>
        <v>296.91321813251051</v>
      </c>
      <c r="DU54" s="59">
        <f t="shared" si="74"/>
        <v>291.0718079639509</v>
      </c>
      <c r="DV54" s="15">
        <f>IF(ISNA(VLOOKUP(A54,'Données projet'!$A$175:$I$195,3,0)),0,VLOOKUP(A54,'Données projet'!$A$175:$I$195,3,0))</f>
        <v>0</v>
      </c>
      <c r="DW54" s="15">
        <f>IF(ISNA(VLOOKUP(A54,'Données projet'!$A$175:$I$195,4,0)),0,VLOOKUP(A54,'Données projet'!$A$175:$I$195,4,0))</f>
        <v>0</v>
      </c>
      <c r="DX54" s="16">
        <f>IF(ISNA(VLOOKUP(A54,'Données projet'!$A$175:$I$195,5,0)),0%,VLOOKUP(A54,'Données projet'!$A$175:$I$195,5,0)*VLOOKUP('Données projet'!$B$14,Paramètres!$A$1:$I$89,7,0))</f>
        <v>0</v>
      </c>
      <c r="DY54" s="16">
        <f>IF(ISNA(VLOOKUP(A54,'Données projet'!$A$175:$I$195,6,0)),0%,VLOOKUP(A54,'Données projet'!$A$175:$I$195,6,0)*VLOOKUP('Données projet'!$B$14,Paramètres!$A$1:$I$89,7,0))</f>
        <v>0</v>
      </c>
      <c r="DZ54" s="16">
        <f>IF(ISNA(VLOOKUP(A54,'Données projet'!$A$175:$I$195,7,0)),0%,VLOOKUP(A54,'Données projet'!$A$175:$I$195,7,0))</f>
        <v>0</v>
      </c>
      <c r="EA54" s="21">
        <f>EXP(-LN(2)/35)*EA53+(1-EXP(-LN(2)/35))/(LN(2)/35)*DW54*DX54*VLOOKUP('Données projet'!$B$14,Paramètres!$A$1:$I$89,3,0)*0.475*44/12</f>
        <v>37.886943846830221</v>
      </c>
      <c r="EB54" s="21">
        <f>EXP(-LN(2)/25)*EB53+(1-EXP(-LN(2)/25))/(LN(2)/25)*Calculateur!DW54*Calculateur!DY54*VLOOKUP('Données projet'!$B$14,Paramètres!$A$1:$I$89,3,0)*0.475*44/12</f>
        <v>9.776510577117822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47.663454423948039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>
        <f>VLOOKUP(A54,'Données projet'!$A$201:$I$221,2,0)</f>
        <v>321.8384615384615</v>
      </c>
      <c r="EH54" s="12">
        <f>VLOOKUP(A54,'Données projet'!$A$201:$I$221,9,0)</f>
        <v>10.407692307692306</v>
      </c>
      <c r="EI54" s="12">
        <f t="array" ref="EI54">INDEX(EH:EH,MIN(IF(ISNUMBER(EH54:EH250),ROW(EH54:EH250),"")))</f>
        <v>10.407692307692306</v>
      </c>
      <c r="EJ54" s="12">
        <f>IF('Données projet'!$A$202&gt;35,EJ53+EI54-ER53,IF(A54&lt;'Données projet'!$A$202,$EG$205^A54,IF(A54='Données projet'!$A$202,'Données projet'!$B$202,EJ53+EI54-ER53)))</f>
        <v>321.83846153846144</v>
      </c>
      <c r="EK54" s="17">
        <f>EJ54*VLOOKUP('Données projet'!$B$15,Paramètres!$A$1:$I$89,3,0)*VLOOKUP('Données projet'!$B$15,Paramètres!$A$1:$I$89,5,0)</f>
        <v>150.62039999999996</v>
      </c>
      <c r="EL54" s="13">
        <f t="shared" si="75"/>
        <v>38.719539861211025</v>
      </c>
      <c r="EM54" s="20">
        <f t="shared" si="19"/>
        <v>329.76706192494242</v>
      </c>
      <c r="EN54" s="59">
        <f t="shared" si="20"/>
        <v>623.10039525827574</v>
      </c>
      <c r="EO54" s="59">
        <f ca="1">AVERAGE(OFFSET($EN$3,0,0,'Données projet'!$E$15+1,1))-AVERAGE(OFFSET($H$3,0,0,'Données projet'!$E$15+1,1))</f>
        <v>147.64256291235483</v>
      </c>
      <c r="EP54" s="59">
        <f t="shared" si="76"/>
        <v>70.859031694091868</v>
      </c>
      <c r="EQ54" s="15">
        <f>IF(ISNA(VLOOKUP(A54,'Données projet'!$A$201:$I$221,3,0)),0,VLOOKUP(A54,'Données projet'!$A$201:$I$221,3,0))</f>
        <v>1</v>
      </c>
      <c r="ER54" s="15">
        <f>IF(ISNA(VLOOKUP(A54,'Données projet'!$A$201:$I$221,4,0)),0,VLOOKUP(A54,'Données projet'!$A$201:$I$221,4,0))</f>
        <v>100.30769230769231</v>
      </c>
      <c r="ES54" s="16">
        <f>IF(ISNA(VLOOKUP(A54,'Données projet'!$A$201:$I$221,5,0)),0%,VLOOKUP(A54,'Données projet'!$A$201:$I$221,5,0)*VLOOKUP('Données projet'!$B$15,Paramètres!$A$1:$I$89,7,0))</f>
        <v>0</v>
      </c>
      <c r="ET54" s="16">
        <f>IF(ISNA(VLOOKUP(A54,'Données projet'!$A$201:$I$221,6,0)),0%,VLOOKUP(A54,'Données projet'!$A$201:$I$221,6,0)*VLOOKUP('Données projet'!$B$15,Paramètres!$A$1:$I$89,7,0))</f>
        <v>0.30800000000000005</v>
      </c>
      <c r="EU54" s="16">
        <f>IF(ISNA(VLOOKUP(A54,'Données projet'!$A$201:$I$221,7,0)),0%,VLOOKUP(A54,'Données projet'!$A$201:$I$221,7,0))</f>
        <v>0.44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19.104945668379624</v>
      </c>
      <c r="EX54" s="21">
        <f>EXP(-LN(2)/2)*EX53+(1-EXP(-LN(2)/2))/(LN(2)/2)*ER54*EU54*VLOOKUP('Données projet'!$B$15,Paramètres!$A$1:$I$89,3,0)*0.475*44/12</f>
        <v>23.386665709036262</v>
      </c>
      <c r="EY54" s="22">
        <f t="shared" si="21"/>
        <v>42.491611377415886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projet'!$A$227:$I$247,2,0)</f>
        <v>#N/A</v>
      </c>
      <c r="FC54" s="12" t="e">
        <f>VLOOKUP(A54,'Données projet'!$A$227:$I$247,9,0)</f>
        <v>#N/A</v>
      </c>
      <c r="FD54" s="12">
        <f t="array" ref="FD54">INDEX(FC:FC,MIN(IF(ISNUMBER(FC54:FC250),ROW(FC54:FC250),"")))</f>
        <v>5.2</v>
      </c>
      <c r="FE54" s="12">
        <f>IF('Données projet'!$A$228&gt;35,FE53+FD54-FM53,IF(A54&lt;'Données projet'!$A$228,$FB$205^A54,IF(A54='Données projet'!$A$228,'Données projet'!$B$228,FE53+FD54-FM53)))</f>
        <v>160.20000000000002</v>
      </c>
      <c r="FF54" s="17">
        <f>FE54*VLOOKUP('Données projet'!$B$16,Paramètres!$A$1:$I$89,3,0)*VLOOKUP('Données projet'!$B$16,Paramètres!$A$1:$I$89,5,0)</f>
        <v>167.44104000000004</v>
      </c>
      <c r="FG54" s="13">
        <f t="shared" si="77"/>
        <v>42.516396742153759</v>
      </c>
      <c r="FH54" s="20">
        <f t="shared" si="22"/>
        <v>365.67586899258453</v>
      </c>
      <c r="FI54" s="59">
        <f t="shared" si="23"/>
        <v>659.00920232591784</v>
      </c>
      <c r="FJ54" s="59">
        <f ca="1">AVERAGE(OFFSET($FI$3,0,0,'Données projet'!$E$16+1,1))-AVERAGE(OFFSET($H$3,0,0,'Données projet'!$E$16+1,1))</f>
        <v>259.03906550253788</v>
      </c>
      <c r="FK54" s="59">
        <f t="shared" si="78"/>
        <v>235.54542903570831</v>
      </c>
      <c r="FL54" s="15">
        <f>IF(ISNA(VLOOKUP(A54,'Données projet'!$A$227:$I$247,3,0)),0,VLOOKUP(A54,'Données projet'!$A$227:$I$247,3,0))</f>
        <v>0</v>
      </c>
      <c r="FM54" s="15">
        <f>IF(ISNA(VLOOKUP(A54,'Données projet'!$A$227:$I$247,4,0)),0,VLOOKUP(A54,'Données projet'!$A$227:$I$247,4,0))</f>
        <v>0</v>
      </c>
      <c r="FN54" s="16">
        <f>IF(ISNA(VLOOKUP(A54,'Données projet'!$A$227:$I$247,5,0)),0%,VLOOKUP(A54,'Données projet'!$A$227:$I$247,5,0)*VLOOKUP('Données projet'!$B$16,Paramètres!$A$1:$I$89,7,0))</f>
        <v>0</v>
      </c>
      <c r="FO54" s="16">
        <f>IF(ISNA(VLOOKUP(A54,'Données projet'!$A$227:$I$247,6,0)),0%,VLOOKUP(A54,'Données projet'!$A$227:$I$247,6,0)*VLOOKUP('Données projet'!$B$16,Paramètres!$A$1:$I$89,7,0))</f>
        <v>0</v>
      </c>
      <c r="FP54" s="16">
        <f>IF(ISNA(VLOOKUP(A54,'Données projet'!$A$227:$I$247,7,0)),0%,VLOOKUP(A54,'Données projet'!$A$227:$I$247,7,0))</f>
        <v>0</v>
      </c>
      <c r="FQ54" s="21">
        <f>EXP(-LN(2)/35)*FQ53+(1-EXP(-LN(2)/35))/(LN(2)/35)*FM54*FN54*VLOOKUP('Données projet'!$B$16,Paramètres!$A$1:$I$89,3,0)*0.475*44/12</f>
        <v>0</v>
      </c>
      <c r="FR54" s="21">
        <f>EXP(-LN(2)/25)*FR53+(1-EXP(-LN(2)/25))/(LN(2)/25)*Calculateur!FM54*Calculateur!FO54*VLOOKUP('Données projet'!$B$16,Paramètres!$A$1:$I$89,3,0)*0.475*44/12</f>
        <v>11.960960607557521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11.960960607557521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projet'!$A$253:$I$273,2,0)</f>
        <v>#N/A</v>
      </c>
      <c r="FX54" s="12" t="e">
        <f>VLOOKUP(A54,'Données projet'!$A$253:$I$273,9,0)</f>
        <v>#N/A</v>
      </c>
      <c r="FY54" s="12">
        <f t="array" ref="FY54">INDEX(FX:FX,MIN(IF(ISNUMBER(FX54:FX250),ROW(FX54:FX250),"")))</f>
        <v>6</v>
      </c>
      <c r="FZ54" s="12">
        <f>IF('Données projet'!$A$254&gt;35,FZ53+FY54-GH53,IF(A54&lt;'Données projet'!$A$254,$FW$205^A54,IF(A54='Données projet'!$A$254,'Données projet'!$B$254,FZ53+FY54-GH53)))</f>
        <v>207.99999999999989</v>
      </c>
      <c r="GA54" s="17">
        <f>FZ54*VLOOKUP('Données projet'!$B$17,Paramètres!$A$1:$I$89,3,0)*VLOOKUP('Données projet'!$B$17,Paramètres!$A$1:$I$89,5,0)</f>
        <v>181.70879999999991</v>
      </c>
      <c r="GB54" s="13">
        <f t="shared" si="79"/>
        <v>45.702153370067769</v>
      </c>
      <c r="GC54" s="20">
        <f t="shared" si="25"/>
        <v>396.07407711953448</v>
      </c>
      <c r="GD54" s="59">
        <f t="shared" si="26"/>
        <v>689.40741045286779</v>
      </c>
      <c r="GE54" s="59">
        <f ca="1">AVERAGE(OFFSET($GD$3,0,0,'Données projet'!$E$17+1,1))-AVERAGE(OFFSET($H$3,0,0,'Données projet'!$E$17+1,1))</f>
        <v>245.1983232777614</v>
      </c>
      <c r="GF54" s="59">
        <f t="shared" si="80"/>
        <v>242.34010522344573</v>
      </c>
      <c r="GG54" s="15">
        <f>IF(ISNA(VLOOKUP(A54,'Données projet'!$A$253:$I$273,3,0)),0,VLOOKUP(A54,'Données projet'!$A$253:$I$273,3,0))</f>
        <v>0</v>
      </c>
      <c r="GH54" s="15">
        <f>IF(ISNA(VLOOKUP(A54,'Données projet'!$A$253:$I$273,4,0)),0,VLOOKUP(A54,'Données projet'!$A$253:$I$273,4,0))</f>
        <v>0</v>
      </c>
      <c r="GI54" s="16">
        <f>IF(ISNA(VLOOKUP(A54,'Données projet'!$A$253:$I$273,5,0)),0%,VLOOKUP(A54,'Données projet'!$A$253:$I$273,5,0)*VLOOKUP('Données projet'!$B$17,Paramètres!$A$1:$I$89,7,0))</f>
        <v>0</v>
      </c>
      <c r="GJ54" s="16">
        <f>IF(ISNA(VLOOKUP(A54,'Données projet'!$A$253:$I$273,6,0)),0%,VLOOKUP(A54,'Données projet'!$A$253:$I$273,6,0)*VLOOKUP('Données projet'!$B$17,Paramètres!$A$1:$I$89,7,0))</f>
        <v>0</v>
      </c>
      <c r="GK54" s="16">
        <f>IF(ISNA(VLOOKUP(A54,'Données projet'!$A$253:$I$273,7,0)),0%,VLOOKUP(A54,'Données projet'!$A$253:$I$273,7,0))</f>
        <v>0</v>
      </c>
      <c r="GL54" s="21">
        <f>EXP(-LN(2)/35)*GL53+(1-EXP(-LN(2)/35))/(LN(2)/35)*GH54*GI54*VLOOKUP('Données projet'!$B$17,Paramètres!$A$1:$I$89,3,0)*0.475*44/12</f>
        <v>15.178730404453535</v>
      </c>
      <c r="GM54" s="21">
        <f>EXP(-LN(2)/25)*GM53+(1-EXP(-LN(2)/25))/(LN(2)/25)*Calculateur!GH54*Calculateur!GJ54*VLOOKUP('Données projet'!$B$17,Paramètres!$A$1:$I$89,3,0)*0.475*44/12</f>
        <v>12.107488516754437</v>
      </c>
      <c r="GN54" s="21">
        <f>EXP(-LN(2)/2)*GN53+(1-EXP(-LN(2)/2))/(LN(2)/2)*GH54*GK54*VLOOKUP('Données projet'!$B$17,Paramètres!$A$1:$I$89,3,0)*0.475*44/12</f>
        <v>0</v>
      </c>
      <c r="GO54" s="21">
        <f t="shared" si="27"/>
        <v>27.286218921207972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projet'!$A$279:$I$299,2,0)</f>
        <v>#N/A</v>
      </c>
      <c r="GS54" s="12" t="e">
        <f>VLOOKUP(A54,'Données projet'!$A$279:$I$299,9,0)</f>
        <v>#N/A</v>
      </c>
      <c r="GT54" s="12">
        <f t="array" ref="GT54">INDEX(GS:GS,MIN(IF(ISNUMBER(GS54:GS250),ROW(GS54:GS250),"")))</f>
        <v>13.8</v>
      </c>
      <c r="GU54" s="12">
        <f>IF('Données projet'!$A$280&gt;35,GU53+GT54-HC53,IF(A54&lt;'Données projet'!$A$280,$GR$205^A54,IF(A54='Données projet'!$A$280,'Données projet'!$B$280,GU53+GT54-HC53)))</f>
        <v>590.8000000000003</v>
      </c>
      <c r="GV54" s="17">
        <f>GU54*VLOOKUP('Données projet'!$B$18,Paramètres!$A$1:$I$89,3,0)*VLOOKUP('Données projet'!$B$18,Paramètres!$A$1:$I$89,5,0)</f>
        <v>238.09240000000011</v>
      </c>
      <c r="GW54" s="13">
        <f t="shared" si="81"/>
        <v>58.028910623810368</v>
      </c>
      <c r="GX54" s="20">
        <f t="shared" si="28"/>
        <v>515.74461600313657</v>
      </c>
      <c r="GY54" s="59">
        <f t="shared" si="29"/>
        <v>809.07794933646983</v>
      </c>
      <c r="GZ54" s="59">
        <f ca="1">AVERAGE(OFFSET($GY$3,0,0,'Données projet'!$E$18+1,1))-AVERAGE(OFFSET($H$3,0,0,'Données projet'!$E$18+1,1))</f>
        <v>324.36162935850876</v>
      </c>
      <c r="HA54" s="59">
        <f t="shared" si="82"/>
        <v>265.23571072429735</v>
      </c>
      <c r="HB54" s="15">
        <f>IF(ISNA(VLOOKUP(A54,'Données projet'!$A$279:$I$299,3,0)),0,VLOOKUP(A54,'Données projet'!$A$279:$I$299,3,0))</f>
        <v>0</v>
      </c>
      <c r="HC54" s="15">
        <f>IF(ISNA(VLOOKUP(A54,'Données projet'!$A$279:$I$299,4,0)),0,VLOOKUP(A54,'Données projet'!$A$279:$I$299,4,0))</f>
        <v>0</v>
      </c>
      <c r="HD54" s="16">
        <f>IF(ISNA(VLOOKUP(A54,'Données projet'!$A$279:$I$299,5,0)),0%,VLOOKUP(A54,'Données projet'!$A$279:$I$299,5,0)*VLOOKUP('Données projet'!$B$18,Paramètres!$A$1:$I$89,7,0))</f>
        <v>0</v>
      </c>
      <c r="HE54" s="16">
        <f>IF(ISNA(VLOOKUP(A54,'Données projet'!$A$279:$I$299,6,0)),0%,VLOOKUP(A54,'Données projet'!$A$279:$I$299,6,0)*VLOOKUP('Données projet'!$B$18,Paramètres!$A$1:$I$89,7,0))</f>
        <v>0</v>
      </c>
      <c r="HF54" s="16">
        <f>IF(ISNA(VLOOKUP($A54,'Données projet'!$A$279:$I$299,7,0)),0%,VLOOKUP($A54,'Données projet'!$A$279:$I$299,7,0))</f>
        <v>0</v>
      </c>
      <c r="HG54" s="21">
        <f>EXP(-LN(2)/35)*HG53+(1-EXP(-LN(2)/35))/(LN(2)/35)*HC54*HD54*VLOOKUP('Données projet'!$B$18,Paramètres!$A$1:$I$89,3,0)*0.475*44/12</f>
        <v>7.5066384543304503</v>
      </c>
      <c r="HH54" s="21">
        <f>EXP(-LN(2)/25)*HH53+(1-EXP(-LN(2)/25))/(LN(2)/25)*Calculateur!HC54*Calculateur!HE54*VLOOKUP('Données projet'!$B$18,Paramètres!$A$1:$I$89,3,0)*0.475*44/12</f>
        <v>12.452248439645032</v>
      </c>
      <c r="HI54" s="21">
        <f>EXP(-LN(2)/2)*HI53+(1-EXP(-LN(2)/2))/(LN(2)/2)*HC54*HF54*VLOOKUP('Données projet'!$B$18,Paramètres!$A$1:$I$89,3,0)*0.475*44/12</f>
        <v>1.1085616786845949</v>
      </c>
      <c r="HJ54" s="22">
        <f t="shared" si="30"/>
        <v>21.067448572660076</v>
      </c>
      <c r="HK54" s="74">
        <f>('Scénario référence'!$F$8+'Scénario référence'!$F$9+'Scénario référence'!$B$17+'Scénario référence'!$B$9+'Scénario référence'!$B$10)*70+IF((45+25*(1-EXP(-0.0175*$A54)))&lt;70,'Scénario référence'!$B$16*(45+25*(1-EXP(-0.0175*$A54))),70*'Scénario référence'!$B$16)+IF((32+38*(1-EXP(-0.0175*$A54)))&lt;70,'Scénario référence'!$B$18*(32+38*(1-EXP(-0.0175*$A54))),70*'Scénario référence'!$B$18)</f>
        <v>70</v>
      </c>
      <c r="HL54" s="12">
        <f>IF($A54&gt;30,10,('Scénario référence'!$B$16+'Scénario référence'!$B$17+'Scénario référence'!$B$18+'Scénario référence'!$B$9+'Scénario référence'!$B$10)*$A54*10/30+('Scénario référence'!$F$8+'Scénario référence'!$F$9)*10)</f>
        <v>10</v>
      </c>
      <c r="HM54" s="12" t="e">
        <f>VLOOKUP($A54,'Données projet'!$A$304:$I$324,2,0)</f>
        <v>#N/A</v>
      </c>
      <c r="HN54" s="12" t="e">
        <f>VLOOKUP($A54,'Données projet'!$A$304:$I$324,9,0)</f>
        <v>#N/A</v>
      </c>
      <c r="HO54" s="12">
        <f t="array" ref="HO54">INDEX(HN:HN,MIN(IF(ISNUMBER(HN54:HN250),ROW(HN54:HN250),"")))</f>
        <v>0</v>
      </c>
      <c r="HP54" s="12">
        <f>IF('Données projet'!$A$304&gt;35,HP53+HO54-HX53,IF($A54&lt;'Données projet'!$A$304,$CQ$205^$A54,IF($A54='Données projet'!$A$304,'Données projet'!$B$304,HP53+HO54-HX53)))</f>
        <v>0</v>
      </c>
      <c r="HQ54" s="17">
        <f>HP54*VLOOKUP('Données projet'!$B$19,Paramètres!$A$1:$I$89,3,0)*VLOOKUP('Données projet'!$B$19,Paramètres!$A$1:$I$89,5,0)</f>
        <v>0</v>
      </c>
      <c r="HR54" s="13" t="e">
        <f t="shared" si="83"/>
        <v>#NUM!</v>
      </c>
      <c r="HS54" s="14" t="e">
        <f t="shared" si="31"/>
        <v>#NUM!</v>
      </c>
      <c r="HT54" s="59" t="e">
        <f t="shared" si="32"/>
        <v>#NUM!</v>
      </c>
      <c r="HU54" s="59">
        <f ca="1">AVERAGE(OFFSET(HT$3,0,0,'Données projet'!$E$19+1,1))-AVERAGE(OFFSET($H$3,0,0,'Données projet'!$E$19+1,1))</f>
        <v>91.60721429656013</v>
      </c>
      <c r="HV54" s="59">
        <f t="shared" si="84"/>
        <v>258.94957804210856</v>
      </c>
      <c r="HW54" s="15">
        <f>IF(ISNA(VLOOKUP($A54,'Données projet'!$A$304:$I$324,3,0)),0,VLOOKUP($A54,'Données projet'!$A$304:$I$324,3,0))</f>
        <v>0</v>
      </c>
      <c r="HX54" s="15">
        <f>IF(ISNA(VLOOKUP($A54,'Données projet'!$A$304:$I$324,4,0)),0,VLOOKUP($A54,'Données projet'!$A$304:$I$324,4,0))</f>
        <v>0</v>
      </c>
      <c r="HY54" s="16">
        <f>IF(ISNA(VLOOKUP($A54,'Données projet'!$A$304:$I$324,5,0)),0%,VLOOKUP($A54,'Données projet'!$A$304:$I$324,5,0)*VLOOKUP('Données projet'!$B$19,Paramètres!$A$1:$I$89,7,0))</f>
        <v>0</v>
      </c>
      <c r="HZ54" s="16">
        <f>IF(ISNA(VLOOKUP($A54,'Données projet'!$A$304:$I$324,6,0)),0%,VLOOKUP($A54,'Données projet'!$A$304:$I$324,6,0)*VLOOKUP('Données projet'!$B$19,Paramètres!$A$1:$I$89,7,0))</f>
        <v>0</v>
      </c>
      <c r="IA54" s="16">
        <f>IF(ISNA(VLOOKUP($A54,'Données projet'!$A$304:$I$324,7,0)),0%,VLOOKUP($A54,'Données projet'!$A$304:$I$324,7,0))</f>
        <v>0</v>
      </c>
      <c r="IB54" s="21">
        <f>EXP(-LN(2)/35)*IB53+(1-EXP(-LN(2)/35))/(LN(2)/35)*HX54*HY54*VLOOKUP('Données projet'!$B$19,Paramètres!$A$1:$I$89,3,0)*0.475*44/12</f>
        <v>32.547447064601535</v>
      </c>
      <c r="IC54" s="21">
        <f>EXP(-LN(2)/25)*IC53+(1-EXP(-LN(2)/25))/(LN(2)/25)*Calculateur!HX54*Calculateur!HZ54*VLOOKUP('Données projet'!$B$19,Paramètres!$A$1:$I$89,3,0)*0.475*44/12</f>
        <v>5.4343319489665642</v>
      </c>
      <c r="ID54" s="21">
        <f>EXP(-LN(2)/2)*ID53+(1-EXP(-LN(2)/2))/(LN(2)/2)*HX54*IA54*VLOOKUP('Données projet'!$B$19,Paramètres!$A$1:$I$89,3,0)*0.475*44/12</f>
        <v>3.9557397876226235E-4</v>
      </c>
      <c r="IE54" s="22">
        <f t="shared" si="33"/>
        <v>37.982174587546865</v>
      </c>
      <c r="IF54" s="74">
        <f>('Scénario référence'!$F$8+'Scénario référence'!$F$9+'Scénario référence'!$B$17+'Scénario référence'!$B$9+'Scénario référence'!$B$10)*70+IF((45+25*(1-EXP(-0.0175*$A54)))&lt;70,'Scénario référence'!$B$16*(45+25*(1-EXP(-0.0175*$A54))),70*'Scénario référence'!$B$16)+IF((32+38*(1-EXP(-0.0175*$A54)))&lt;70,'Scénario référence'!$B$18*(32+38*(1-EXP(-0.0175*$A54))),70*'Scénario référence'!$B$18)</f>
        <v>70</v>
      </c>
      <c r="IG54" s="12">
        <f>IF($A54&gt;30,10,('Scénario référence'!$B$16+'Scénario référence'!$B$17+'Scénario référence'!$B$18+'Scénario référence'!$B$9+'Scénario référence'!$B$10)*$A54*10/30+('Scénario référence'!$F$8+'Scénario référence'!$F$9)*10)</f>
        <v>10</v>
      </c>
      <c r="IH54" s="12" t="e">
        <f>VLOOKUP($A54,'Données projet'!$A$330:$I$350,2,0)</f>
        <v>#N/A</v>
      </c>
      <c r="II54" s="12" t="e">
        <f>VLOOKUP($A54,'Données projet'!$A$330:$I$350,9,0)</f>
        <v>#N/A</v>
      </c>
      <c r="IJ54" s="12">
        <f t="array" ref="IJ54">INDEX(II:II,MIN(IF(ISNUMBER(II54:II250),ROW(II54:II250),"")))</f>
        <v>0</v>
      </c>
      <c r="IK54" s="12">
        <f>IF('Données projet'!$A$330&gt;35,IK53+IJ54-IS53,IF($A54&lt;'Données projet'!$A$330,$CQ$205^$A54,IF($A54='Données projet'!$A$330,'Données projet'!$B$330,IK53+IJ54-IS53)))</f>
        <v>0</v>
      </c>
      <c r="IL54" s="17">
        <f>IK54*VLOOKUP('Données projet'!$B$20,Paramètres!$A$1:$I$89,3,0)*VLOOKUP('Données projet'!$B$20,Paramètres!$A$1:$I$89,5,0)</f>
        <v>0</v>
      </c>
      <c r="IM54" s="13" t="e">
        <f t="shared" si="85"/>
        <v>#NUM!</v>
      </c>
      <c r="IN54" s="20" t="e">
        <f t="shared" si="86"/>
        <v>#NUM!</v>
      </c>
      <c r="IO54" s="59" t="e">
        <f t="shared" si="87"/>
        <v>#NUM!</v>
      </c>
      <c r="IP54" s="59">
        <f ca="1">AVERAGE(OFFSET(IO$3,0,0,'Données projet'!$E$20+1,1))-AVERAGE(OFFSET($H$3,0,0,'Données projet'!$E$20+1,1))</f>
        <v>91.60721429656013</v>
      </c>
      <c r="IQ54" s="59">
        <f t="shared" si="88"/>
        <v>258.94957804210856</v>
      </c>
      <c r="IR54" s="15">
        <f>IF(ISNA(VLOOKUP($A54,'Données projet'!$A$330:$I$350,3,0)),0,VLOOKUP($A54,'Données projet'!$A$330:$I$350,3,0))</f>
        <v>0</v>
      </c>
      <c r="IS54" s="15">
        <f>IF(ISNA(VLOOKUP($A54,'Données projet'!$A$330:$I$350,4,0)),0,VLOOKUP($A54,'Données projet'!$A$330:$I$350,4,0))</f>
        <v>0</v>
      </c>
      <c r="IT54" s="16">
        <f>IF(ISNA(VLOOKUP($A54,'Données projet'!$A$330:$I$350,5,0)),0%,VLOOKUP($A54,'Données projet'!$A$330:$I$350,5,0)*VLOOKUP('Données projet'!$B$20,Paramètres!$A$1:$I$89,7,0))</f>
        <v>0</v>
      </c>
      <c r="IU54" s="16">
        <f>IF(ISNA(VLOOKUP($A54,'Données projet'!$A$330:$I$350,6,0)),0%,VLOOKUP($A54,'Données projet'!$A$330:$I$350,6,0)*VLOOKUP('Données projet'!$B$20,Paramètres!$A$1:$I$89,7,0))</f>
        <v>0</v>
      </c>
      <c r="IV54" s="16">
        <f>IF(ISNA(VLOOKUP($A54,'Données projet'!$A$330:$I$350,7,0)),0%,VLOOKUP($A54,'Données projet'!$A$330:$I$350,7,0))</f>
        <v>0</v>
      </c>
      <c r="IW54" s="21">
        <f>EXP(-LN(2)/35)*IW53+(1-EXP(-LN(2)/35))/(LN(2)/35)*IS54*IT54*VLOOKUP('Données projet'!$B$20,Paramètres!$A$1:$I$89,3,0)*0.475*44/12</f>
        <v>32.547447064601535</v>
      </c>
      <c r="IX54" s="21">
        <f>EXP(-LN(2)/25)*IX53+(1-EXP(-LN(2)/25))/(LN(2)/25)*Calculateur!IS54*Calculateur!IU54*VLOOKUP('Données projet'!$B$20,Paramètres!$A$1:$I$89,3,0)*0.475*44/12</f>
        <v>5.4343319489665642</v>
      </c>
      <c r="IY54" s="21">
        <f>EXP(-LN(2)/2)*IY53+(1-EXP(-LN(2)/2))/(LN(2)/2)*IS54*IV54*VLOOKUP('Données projet'!$B$20,Paramètres!$A$1:$I$89,3,0)*0.475*44/12</f>
        <v>3.9557397876226235E-4</v>
      </c>
      <c r="IZ54" s="22">
        <f t="shared" si="89"/>
        <v>37.982174587546865</v>
      </c>
      <c r="JA54" s="74">
        <f>('Scénario référence'!$F$8+'Scénario référence'!$F$9+'Scénario référence'!$B$17+'Scénario référence'!$B$9+'Scénario référence'!$B$10)*70+IF((45+25*(1-EXP(-0.0175*$A54)))&lt;70,'Scénario référence'!$B$16*(45+25*(1-EXP(-0.0175*$A54))),70*'Scénario référence'!$B$16)+IF((32+38*(1-EXP(-0.0175*$A54)))&lt;70,'Scénario référence'!$B$18*(32+38*(1-EXP(-0.0175*$A54))),70*'Scénario référence'!$B$18)</f>
        <v>70</v>
      </c>
      <c r="JB54" s="12">
        <f>IF($A54&gt;30,10,('Scénario référence'!$B$16+'Scénario référence'!$B$17+'Scénario référence'!$B$18+'Scénario référence'!$B$9+'Scénario référence'!$B$10)*$A54*10/30+('Scénario référence'!$F$8+'Scénario référence'!$F$9)*10)</f>
        <v>10</v>
      </c>
      <c r="JC54" s="12" t="e">
        <f>VLOOKUP($A54,'Données projet'!$A$356:$I$376,2,0)</f>
        <v>#N/A</v>
      </c>
      <c r="JD54" s="12" t="e">
        <f>VLOOKUP($A54,'Données projet'!$A$356:$I$376,9,0)</f>
        <v>#N/A</v>
      </c>
      <c r="JE54" s="12">
        <f t="array" ref="JE54">INDEX(JD:JD,MIN(IF(ISNUMBER(JD54:JD250),ROW(JD54:JD250),"")))</f>
        <v>11</v>
      </c>
      <c r="JF54" s="12">
        <f>IF('Données projet'!$A$356&gt;35,JF53+JE54-JN53,IF($A54&lt;'Données projet'!$A$356,$CQ$205^$A54,IF($A54='Données projet'!$A$356,'Données projet'!$B$356,JF53+JE54-JN53)))</f>
        <v>200.00000000000009</v>
      </c>
      <c r="JG54" s="17">
        <f>JF54*VLOOKUP('Données projet'!$B$21,Paramètres!$A$1:$I$89,3,0)*VLOOKUP('Données projet'!$B$21,Paramètres!$A$1:$I$89,5,0)</f>
        <v>162.24000000000007</v>
      </c>
      <c r="JH54" s="13">
        <f t="shared" si="90"/>
        <v>41.347344120141088</v>
      </c>
      <c r="JI54" s="20">
        <f t="shared" si="91"/>
        <v>354.58129100924583</v>
      </c>
      <c r="JJ54" s="59">
        <f t="shared" si="92"/>
        <v>647.91462434257915</v>
      </c>
      <c r="JK54" s="59">
        <f ca="1">AVERAGE(OFFSET($JJ$3,0,0,'Données projet'!$E$22+1,1))-AVERAGE(OFFSET($H$3,0,0,'Données projet'!$E$22+1,1))</f>
        <v>353.35574633294613</v>
      </c>
      <c r="JL54" s="59">
        <f t="shared" si="93"/>
        <v>170.36796666474726</v>
      </c>
      <c r="JM54" s="15">
        <f>IF(ISNA(VLOOKUP($A54,'Données projet'!$A$356:$I$376,3,0)),0,VLOOKUP($A54,'Données projet'!$A$356:$I$376,3,0))</f>
        <v>0</v>
      </c>
      <c r="JN54" s="15">
        <f>IF(ISNA(VLOOKUP($A54,'Données projet'!$A$356:$I$376,4,0)),0,VLOOKUP($A54,'Données projet'!$A$356:$I$376,4,0))</f>
        <v>0</v>
      </c>
      <c r="JO54" s="16">
        <f>IF(ISNA(VLOOKUP($A54,'Données projet'!$A$356:$I$376,5,0)),0%,VLOOKUP($A54,'Données projet'!$A$356:$I$376,5,0)*VLOOKUP('Données projet'!$B$21,Paramètres!$A$1:$I$89,7,0))</f>
        <v>0</v>
      </c>
      <c r="JP54" s="16">
        <f>IF(ISNA(VLOOKUP($A54,'Données projet'!$A$356:$I$376,6,0)),0%,VLOOKUP($A54,'Données projet'!$A$356:$I$376,6,0)*VLOOKUP('Données projet'!$B$21,Paramètres!$A$1:$I$89,7,0))</f>
        <v>0</v>
      </c>
      <c r="JQ54" s="16">
        <f>IF(ISNA(VLOOKUP($A54,'Données projet'!$A$356:$I$376,7,0)),0%,VLOOKUP($A54,'Données projet'!$A$356:$I$376,7,0))</f>
        <v>0</v>
      </c>
      <c r="JR54" s="21">
        <f>EXP(-LN(2)/35)*JR53+(1-EXP(-LN(2)/35))/(LN(2)/35)*JN54*JO54*VLOOKUP('Données projet'!$B$21,Paramètres!$A$1:$I$89,3,0)*0.475*44/12</f>
        <v>0</v>
      </c>
      <c r="JS54" s="21">
        <f>EXP(-LN(2)/25)*JS53+(1-EXP(-LN(2)/25))/(LN(2)/25)*Calculateur!JN54*Calculateur!JP54*VLOOKUP('Données projet'!$B$21,Paramètres!$A$1:$I$89,3,0)*0.475*44/12</f>
        <v>3.4395394367779222</v>
      </c>
      <c r="JT54" s="21">
        <f>EXP(-LN(2)/2)*JT53+(1-EXP(-LN(2)/2))/(LN(2)/2)*JN54*JQ54*VLOOKUP('Données projet'!$B$21,Paramètres!$A$1:$I$89,3,0)*0.475*44/12</f>
        <v>5.5214594461601338</v>
      </c>
      <c r="JU54" s="18">
        <f t="shared" si="39"/>
        <v>8.9609988829380569</v>
      </c>
      <c r="JV54" s="74">
        <f>('Scénario référence'!$F$8+'Scénario référence'!$F$9+'Scénario référence'!$B$17+'Scénario référence'!$B$9+'Scénario référence'!$B$10)*70+IF((45+25*(1-EXP(-0.0175*$A54)))&lt;70,'Scénario référence'!$B$16*(45+25*(1-EXP(-0.0175*$A54))),70*'Scénario référence'!$B$16)+IF((32+38*(1-EXP(-0.0175*$A54)))&lt;70,'Scénario référence'!$B$18*(32+38*(1-EXP(-0.0175*$A54))),70*'Scénario référence'!$B$18)</f>
        <v>70</v>
      </c>
      <c r="JW54" s="12">
        <f>IF($A54&gt;30,10,('Scénario référence'!$B$16+'Scénario référence'!$B$17+'Scénario référence'!$B$18+'Scénario référence'!$B$9+'Scénario référence'!$B$10)*$A54*10/30+('Scénario référence'!$F$8+'Scénario référence'!$F$9)*10)</f>
        <v>10</v>
      </c>
      <c r="JX54" s="12" t="e">
        <f>VLOOKUP($A54,'Données projet'!$A$382:$I$402,2,0)</f>
        <v>#N/A</v>
      </c>
      <c r="JY54" s="12" t="e">
        <f>VLOOKUP($A54,'Données projet'!$A$382:$I$402,9,0)</f>
        <v>#N/A</v>
      </c>
      <c r="JZ54" s="12">
        <f t="array" ref="JZ54">INDEX(JY:JY,MIN(IF(ISNUMBER(JY54:JY250),ROW(JY54:JY250),"")))</f>
        <v>8.8736263736263741</v>
      </c>
      <c r="KA54" s="12">
        <f>IF('Données projet'!$A$382&gt;35,KA53+JZ54-KI53,IF($A54&lt;'Données projet'!$A$382,$CQ$205^$A54,IF($A54='Données projet'!$A$382,'Données projet'!$B$382,KA53+JZ54-KI53)))</f>
        <v>162.94780219780222</v>
      </c>
      <c r="KB54" s="17">
        <f>KA54*VLOOKUP('Données projet'!$B$22,Paramètres!$A$1:$I$89,3,0)*VLOOKUP('Données projet'!$B$22,Paramètres!$A$1:$I$89,5,0)</f>
        <v>109.30538571428573</v>
      </c>
      <c r="KC54" s="13">
        <f t="shared" si="94"/>
        <v>29.167267741154031</v>
      </c>
      <c r="KD54" s="20">
        <f t="shared" si="95"/>
        <v>241.17320476822428</v>
      </c>
      <c r="KE54" s="59">
        <f t="shared" si="96"/>
        <v>534.50653810155757</v>
      </c>
      <c r="KF54" s="59">
        <f ca="1">AVERAGE(OFFSET($KE$3,0,0,'Données projet'!$E$22+1,1))-AVERAGE(OFFSET($H$3,0,0,'Données projet'!$E$22+1,1))</f>
        <v>193.91714772848269</v>
      </c>
      <c r="KG54" s="59">
        <f t="shared" si="97"/>
        <v>159.20429420478047</v>
      </c>
      <c r="KH54" s="15">
        <f>IF(ISNA(VLOOKUP($A54,'Données projet'!$A$382:$I$402,3,0)),0,VLOOKUP($A54,'Données projet'!$A$382:$I$402,3,0))</f>
        <v>0</v>
      </c>
      <c r="KI54" s="15">
        <f>IF(ISNA(VLOOKUP($A54,'Données projet'!$A$382:$I$402,4,0)),0,VLOOKUP($A54,'Données projet'!$A$382:$I$402,4,0))</f>
        <v>0</v>
      </c>
      <c r="KJ54" s="16">
        <f>IF(ISNA(VLOOKUP($A54,'Données projet'!$A$382:$I$402,5,0)),0%,VLOOKUP($A54,'Données projet'!$A$382:$I$402,5,0)*VLOOKUP('Données projet'!$B$22,Paramètres!$A$1:$I$89,7,0))</f>
        <v>0</v>
      </c>
      <c r="KK54" s="16">
        <f>IF(ISNA(VLOOKUP($A54,'Données projet'!$A$382:$I$402,6,0)),0%,VLOOKUP($A54,'Données projet'!$A$382:$I$402,6,0)*VLOOKUP('Données projet'!$B$22,Paramètres!$A$1:$I$89,7,0))</f>
        <v>0</v>
      </c>
      <c r="KL54" s="16">
        <f>IF(ISNA(VLOOKUP($A54,'Données projet'!$A$382:$I$402,7,0)),0%,VLOOKUP($A54,'Données projet'!$A$382:$I$402,7,0))</f>
        <v>0</v>
      </c>
      <c r="KM54" s="21">
        <f>EXP(-LN(2)/35)*KM53+(1-EXP(-LN(2)/35))/(LN(2)/35)*KI54*KJ54*VLOOKUP('Données projet'!$B$22,Paramètres!$A$1:$I$89,3,0)*0.475*44/12</f>
        <v>0</v>
      </c>
      <c r="KN54" s="21">
        <f>EXP(-LN(2)/25)*KN53+(1-EXP(-LN(2)/25))/(LN(2)/25)*Calculateur!KI54*Calculateur!KK54*VLOOKUP('Données projet'!$B$22,Paramètres!$A$1:$I$89,3,0)*0.475*44/12</f>
        <v>0</v>
      </c>
      <c r="KO54" s="21">
        <f>EXP(-LN(2)/2)*KO53+(1-EXP(-LN(2)/2))/(LN(2)/2)*KI54*KL54*VLOOKUP('Données projet'!$B$22,Paramètres!$A$1:$I$89,3,0)*0.475*44/12</f>
        <v>0</v>
      </c>
      <c r="KP54" s="22">
        <f t="shared" si="98"/>
        <v>0</v>
      </c>
      <c r="KQ54" s="74">
        <f>('Scénario référence'!$F$8+'Scénario référence'!$F$9+'Scénario référence'!$B$17+'Scénario référence'!$B$9+'Scénario référence'!$B$10)*70+IF((45+25*(1-EXP(-0.0175*$A54)))&lt;70,'Scénario référence'!$B$16*(45+25*(1-EXP(-0.0175*$A54))),70*'Scénario référence'!$B$16)+IF((32+38*(1-EXP(-0.0175*$A54)))&lt;70,'Scénario référence'!$B$18*(32+38*(1-EXP(-0.0175*$A54))),70*'Scénario référence'!$B$18)</f>
        <v>70</v>
      </c>
      <c r="KR54" s="12">
        <f>IF($A54&gt;30,10,('Scénario référence'!$B$16+'Scénario référence'!$B$17+'Scénario référence'!$B$18+'Scénario référence'!$B$9+'Scénario référence'!$B$10)*$A54*10/30+('Scénario référence'!$F$8+'Scénario référence'!$F$9)*10)</f>
        <v>10</v>
      </c>
      <c r="KS54" s="12" t="e">
        <f>VLOOKUP($A54,'Données projet'!$A$408:$I$428,2,0)</f>
        <v>#N/A</v>
      </c>
      <c r="KT54" s="12" t="e">
        <f>VLOOKUP($A54,'Données projet'!$A$408:$I$428,9,0)</f>
        <v>#N/A</v>
      </c>
      <c r="KU54" s="12">
        <f t="array" ref="KU54">INDEX(KT:KT,MIN(IF(ISNUMBER(KT54:KT250),ROW(KT54:KT250),"")))</f>
        <v>6</v>
      </c>
      <c r="KV54" s="12">
        <f>IF('Données projet'!$A$408&gt;35,KV53+KU54-LD53,IF($A54&lt;'Données projet'!$A$408,$CQ$205^$A54,IF($A54='Données projet'!$A$408,'Données projet'!$B$408,KV53+KU54-LD53)))</f>
        <v>207.99999999999991</v>
      </c>
      <c r="KW54" s="17">
        <f>KV54*VLOOKUP('Données projet'!$B$23,Paramètres!$A$1:$I$89,3,0)*VLOOKUP('Données projet'!$B$23,Paramètres!$A$1:$I$89,5,0)</f>
        <v>181.70879999999994</v>
      </c>
      <c r="KX54" s="13">
        <f t="shared" si="99"/>
        <v>45.702153370067769</v>
      </c>
      <c r="KY54" s="14">
        <f t="shared" si="43"/>
        <v>396.07407711953459</v>
      </c>
      <c r="KZ54" s="59">
        <f t="shared" si="44"/>
        <v>689.40741045286791</v>
      </c>
      <c r="LA54" s="59">
        <f ca="1">AVERAGE(OFFSET($KZ$3,0,0,'Données projet'!$E$23+1,1))-AVERAGE(OFFSET($H$3,0,0,'Données projet'!$E$23+1,1))</f>
        <v>248.33596943633819</v>
      </c>
      <c r="LB54" s="59">
        <f t="shared" si="100"/>
        <v>242.34010522344573</v>
      </c>
      <c r="LC54" s="15">
        <f>IF(ISNA(VLOOKUP($A54,'Données projet'!$A$408:$I$428,3,0)),0,VLOOKUP($A54,'Données projet'!$A$408:$I$428,3,0))</f>
        <v>0</v>
      </c>
      <c r="LD54" s="15">
        <f>IF(ISNA(VLOOKUP($A54,'Données projet'!$A$408:$I$428,4,0)),0,VLOOKUP($A54,'Données projet'!$A$408:$I$428,4,0))</f>
        <v>0</v>
      </c>
      <c r="LE54" s="16">
        <f>IF(ISNA(VLOOKUP($A54,'Données projet'!$A$408:$I$428,5,0)),0%,VLOOKUP($A54,'Données projet'!$A$408:$I$428,5,0)*VLOOKUP('Données projet'!$B$23,Paramètres!$A$1:$I$89,7,0))</f>
        <v>0</v>
      </c>
      <c r="LF54" s="16">
        <f>IF(ISNA(VLOOKUP($A54,'Données projet'!$A$408:$I$428,6,0)),0%,VLOOKUP($A54,'Données projet'!$A$408:$I$428,6,0)*VLOOKUP('Données projet'!$B$23,Paramètres!$A$1:$I$89,7,0))</f>
        <v>0</v>
      </c>
      <c r="LG54" s="16">
        <f>IF(ISNA(VLOOKUP($A54,'Données projet'!$A$408:$I$428,7,0)),0%,VLOOKUP($A54,'Données projet'!$A$408:$I$428,7,0))</f>
        <v>0</v>
      </c>
      <c r="LH54" s="21">
        <f>EXP(-LN(2)/35)*LH53+(1-EXP(-LN(2)/35))/(LN(2)/35)*LD54*LE54*VLOOKUP('Données projet'!$B$23,Paramètres!$A$1:$I$89,3,0)*0.475*44/12</f>
        <v>15.178730404453535</v>
      </c>
      <c r="LI54" s="21">
        <f>EXP(-LN(2)/25)*LI53+(1-EXP(-LN(2)/25))/(LN(2)/25)*Calculateur!LD54*Calculateur!LF54*VLOOKUP('Données projet'!$B$23,Paramètres!$A$1:$I$89,3,0)*0.475*44/12</f>
        <v>12.107488516754437</v>
      </c>
      <c r="LJ54" s="21">
        <f>EXP(-LN(2)/2)*LJ53+(1-EXP(-LN(2)/2))/(LN(2)/2)*LD54*LG54*VLOOKUP('Données projet'!$B$23,Paramètres!$A$1:$I$89,3,0)*0.475*44/12</f>
        <v>0</v>
      </c>
      <c r="LK54" s="22">
        <f t="shared" si="101"/>
        <v>27.286218921207972</v>
      </c>
      <c r="LL54" s="74">
        <f>('Scénario référence'!$F$8+'Scénario référence'!$F$9+'Scénario référence'!$B$17+'Scénario référence'!$B$9+'Scénario référence'!$B$10)*70+IF((45+25*(1-EXP(-0.0175*$A54)))&lt;70,'Scénario référence'!$B$16*(45+25*(1-EXP(-0.0175*$A54))),70*'Scénario référence'!$B$16)+IF((32+38*(1-EXP(-0.0175*$A54)))&lt;70,'Scénario référence'!$B$18*(32+38*(1-EXP(-0.0175*$A54))),70*'Scénario référence'!$B$18)</f>
        <v>70</v>
      </c>
      <c r="LM54" s="12">
        <f>IF($A54&gt;30,10,('Scénario référence'!$B$16+'Scénario référence'!$B$17+'Scénario référence'!$B$18+'Scénario référence'!$B$9+'Scénario référence'!$B$10)*$A54*10/30+('Scénario référence'!$F$8+'Scénario référence'!$F$9)*10)</f>
        <v>10</v>
      </c>
      <c r="LN54" s="12">
        <f>VLOOKUP($A54,'Données projet'!$A$434:$I$454,2,0)</f>
        <v>145.78846153846152</v>
      </c>
      <c r="LO54" s="12">
        <f>VLOOKUP($A54,'Données projet'!$A$434:$I$454,9,0)</f>
        <v>6.826007326007324</v>
      </c>
      <c r="LP54" s="12">
        <f t="array" ref="LP54">INDEX(LO:LO,MIN(IF(ISNUMBER(LO54:LO250),ROW(LO54:LO250),"")))</f>
        <v>6.826007326007324</v>
      </c>
      <c r="LQ54" s="12">
        <f>IF('Données projet'!$A$434&gt;35,LQ53+LP54-LY53,IF($A54&lt;'Données projet'!$A$434,$CQ$205^$A54,IF($A54='Données projet'!$A$434,'Données projet'!$B$434,LQ53+LP54-LY53)))</f>
        <v>145.78846153846149</v>
      </c>
      <c r="LR54" s="17">
        <f>LQ54*VLOOKUP('Données projet'!$B$24,Paramètres!$A$1:$I$89,3,0)*VLOOKUP('Données projet'!$B$24,Paramètres!$A$1:$I$89,5,0)</f>
        <v>147.82949999999997</v>
      </c>
      <c r="LS54" s="13">
        <f t="shared" si="102"/>
        <v>38.084914057462001</v>
      </c>
      <c r="LT54" s="14">
        <f t="shared" si="46"/>
        <v>323.80093781674623</v>
      </c>
      <c r="LU54" s="59">
        <f t="shared" si="103"/>
        <v>617.13427115007948</v>
      </c>
      <c r="LV54" s="59">
        <f ca="1">AVERAGE(OFFSET($LU$3,0,0,'Données projet'!$E$24+1,1))-AVERAGE(OFFSET($H$3,0,0,'Données projet'!$E$24+1,1))</f>
        <v>260.52627655062872</v>
      </c>
      <c r="LW54" s="59">
        <f t="shared" si="104"/>
        <v>159.20429420478047</v>
      </c>
      <c r="LX54" s="15">
        <f>IF(ISNA(VLOOKUP($A54,'Données projet'!$A$434:$I$454,3,0)),0,VLOOKUP($A54,'Données projet'!$A$434:$I$454,3,0))</f>
        <v>2</v>
      </c>
      <c r="LY54" s="15">
        <f>IF(ISNA(VLOOKUP($A54,'Données projet'!$A$434:$I$454,4,0)),0,VLOOKUP($A54,'Données projet'!$A$434:$I$454,4,0))</f>
        <v>37.685897435897431</v>
      </c>
      <c r="LZ54" s="16">
        <f>IF(ISNA(VLOOKUP($A54,'Données projet'!$A$434:$I$454,5,0)),0%,VLOOKUP($A54,'Données projet'!$A$434:$I$454,5,0)*VLOOKUP('Données projet'!$B$24,Paramètres!$A$1:$I$89,7,0))</f>
        <v>0</v>
      </c>
      <c r="MA54" s="16">
        <f>IF(ISNA(VLOOKUP($A54,'Données projet'!$A$434:$I$454,6,0)),0%,VLOOKUP($A54,'Données projet'!$A$434:$I$454,6,0)*VLOOKUP('Données projet'!$B$24,Paramètres!$A$1:$I$89,7,0))</f>
        <v>0</v>
      </c>
      <c r="MB54" s="16">
        <f>IF(ISNA(VLOOKUP($A54,'Données projet'!$A$434:$I$454,7,0)),0%,VLOOKUP($A54,'Données projet'!$A$434:$I$454,7,0))</f>
        <v>0</v>
      </c>
      <c r="MC54" s="21">
        <f>EXP(-LN(2)/35)*MC53+(1-EXP(-LN(2)/35))/(LN(2)/35)*LY54*LZ54*VLOOKUP('Données projet'!$B$24,Paramètres!$A$1:$I$89,3,0)*0.475*44/12</f>
        <v>0</v>
      </c>
      <c r="MD54" s="21">
        <f>EXP(-LN(2)/25)*MD53+(1-EXP(-LN(2)/25))/(LN(2)/25)*Calculateur!LY54*Calculateur!MA54*VLOOKUP('Données projet'!$B$24,Paramètres!$A$1:$I$89,3,0)*0.475*44/12</f>
        <v>0</v>
      </c>
      <c r="ME54" s="21">
        <f>EXP(-LN(2)/2)*ME53+(1-EXP(-LN(2)/2))/(LN(2)/2)*LY54*MB54*VLOOKUP('Données projet'!$B$24,Paramètres!$A$1:$I$89,3,0)*0.475*44/12</f>
        <v>0</v>
      </c>
      <c r="MF54" s="22">
        <f t="shared" si="105"/>
        <v>0</v>
      </c>
      <c r="MG54" s="74">
        <f>('Scénario référence'!$F$8+'Scénario référence'!$F$9+'Scénario référence'!$B$17+'Scénario référence'!$B$9+'Scénario référence'!$B$10)*70+IF((45+25*(1-EXP(-0.0175*$A54)))&lt;70,'Scénario référence'!$B$16*(45+25*(1-EXP(-0.0175*$A54))),70*'Scénario référence'!$B$16)+IF((32+38*(1-EXP(-0.0175*$A54)))&lt;70,'Scénario référence'!$B$18*(32+38*(1-EXP(-0.0175*$A54))),70*'Scénario référence'!$B$18)</f>
        <v>70</v>
      </c>
      <c r="MH54" s="12">
        <f>IF($A54&gt;30,10,('Scénario référence'!$B$16+'Scénario référence'!$B$17+'Scénario référence'!$B$18+'Scénario référence'!$B$9+'Scénario référence'!$B$10)*$A54*10/30+('Scénario référence'!$F$8+'Scénario référence'!$F$9)*10)</f>
        <v>10</v>
      </c>
      <c r="MI54" s="12" t="e">
        <f>VLOOKUP($A54,'Données projet'!$A$460:$I$480,2,0)</f>
        <v>#N/A</v>
      </c>
      <c r="MJ54" s="12" t="e">
        <f>VLOOKUP($A54,'Données projet'!$A$460:$I$480,9,0)</f>
        <v>#N/A</v>
      </c>
      <c r="MK54" s="12">
        <f t="array" ref="MK54">INDEX(MJ:MJ,MIN(IF(ISNUMBER(MJ54:MJ250),ROW(MJ54:MJ250),"")))</f>
        <v>0</v>
      </c>
      <c r="ML54" s="12">
        <f>IF('Données projet'!$A$460&gt;35,ML53+MK54-MT53,IF($A54&lt;'Données projet'!$A$460,$CQ$205^$A54,IF($A54='Données projet'!$A$460,'Données projet'!$B$460,ML53+MK54-MT53)))</f>
        <v>0</v>
      </c>
      <c r="MM54" s="17" t="e">
        <f>ML54*VLOOKUP('Données projet'!$B$25,Paramètres!$A$1:$I$89,3,0)*VLOOKUP('Données projet'!$B$25,Paramètres!$A$1:$I$89,5,0)</f>
        <v>#N/A</v>
      </c>
      <c r="MN54" s="13" t="e">
        <f t="shared" si="106"/>
        <v>#N/A</v>
      </c>
      <c r="MO54" s="14" t="e">
        <f t="shared" si="49"/>
        <v>#N/A</v>
      </c>
      <c r="MP54" s="59" t="e">
        <f t="shared" si="50"/>
        <v>#N/A</v>
      </c>
      <c r="MQ54" s="20" t="e">
        <f ca="1">AVERAGE(OFFSET($MP$3,0,0,'Données projet'!$E$25+1,1))-AVERAGE(OFFSET($H$3,0,0,'Données projet'!$E$25+1,1))</f>
        <v>#N/A</v>
      </c>
      <c r="MR54" s="59" t="e">
        <f t="shared" si="107"/>
        <v>#N/A</v>
      </c>
      <c r="MS54" s="15">
        <f>IF(ISNA(VLOOKUP($A54,'Données projet'!$A$460:$I$480,3,0)),0,VLOOKUP($A54,'Données projet'!$A$460:$I$480,3,0))</f>
        <v>0</v>
      </c>
      <c r="MT54" s="15">
        <f>IF(ISNA(VLOOKUP($A54,'Données projet'!$A$460:$I$480,4,0)),0,VLOOKUP($A54,'Données projet'!$A$460:$I$480,4,0))</f>
        <v>0</v>
      </c>
      <c r="MU54" s="16">
        <f>IF(ISNA(VLOOKUP($A54,'Données projet'!$A$460:$I$480,5,0)),0%,VLOOKUP($A54,'Données projet'!$A$460:$I$480,5,0)*VLOOKUP('Données projet'!$B$25,Paramètres!$A$1:$I$89,7,0))</f>
        <v>0</v>
      </c>
      <c r="MV54" s="16">
        <f>IF(ISNA(VLOOKUP($A54,'Données projet'!$A$460:$I$480,6,0)),0%,VLOOKUP($A54,'Données projet'!$A$460:$I$480,6,0)*VLOOKUP('Données projet'!$B$25,Paramètres!$A$1:$I$89,7,0))</f>
        <v>0</v>
      </c>
      <c r="MW54" s="16">
        <f>IF(ISNA(VLOOKUP($A54,'Données projet'!$A$460:$I$480,7,0)),0%,VLOOKUP($A54,'Données projet'!$A$460:$I$480,7,0))</f>
        <v>0</v>
      </c>
      <c r="MX54" s="21" t="e">
        <f>EXP(-LN(2)/35)*MX53+(1-EXP(-LN(2)/35))/(LN(2)/35)*MT54*MU54*VLOOKUP('Données projet'!$B$25,Paramètres!$A$1:$I$89,3,0)*0.475*44/12</f>
        <v>#N/A</v>
      </c>
      <c r="MY54" s="21" t="e">
        <f>EXP(-LN(2)/25)*MY53+(1-EXP(-LN(2)/25))/(LN(2)/25)*Calculateur!MT54*Calculateur!MV54*VLOOKUP('Données projet'!$B$25,Paramètres!$A$1:$I$89,3,0)*0.475*44/12</f>
        <v>#N/A</v>
      </c>
      <c r="MZ54" s="21" t="e">
        <f>EXP(-LN(2)/2)*MZ53+(1-EXP(-LN(2)/2))/(LN(2)/2)*MT54*MW54*VLOOKUP('Données projet'!$B$25,Paramètres!$A$1:$I$89,3,0)*0.475*44/12</f>
        <v>#N/A</v>
      </c>
      <c r="NA54" s="22" t="e">
        <f t="shared" si="108"/>
        <v>#N/A</v>
      </c>
      <c r="NB54" s="74">
        <f>('Scénario référence'!$F$8+'Scénario référence'!$F$9+'Scénario référence'!$B$17+'Scénario référence'!$B$9+'Scénario référence'!$B$10)*70+IF((45+25*(1-EXP(-0.0175*$A54)))&lt;70,'Scénario référence'!$B$16*(45+25*(1-EXP(-0.0175*$A54))),70*'Scénario référence'!$B$16)+IF((32+38*(1-EXP(-0.0175*$A54)))&lt;70,'Scénario référence'!$B$18*(32+38*(1-EXP(-0.0175*$A54))),70*'Scénario référence'!$B$18)</f>
        <v>70</v>
      </c>
      <c r="NC54" s="12">
        <f>IF($A54&gt;30,10,('Scénario référence'!$B$16+'Scénario référence'!$B$17+'Scénario référence'!$B$18+'Scénario référence'!$B$9+'Scénario référence'!$B$10)*$A54*10/30+('Scénario référence'!$F$8+'Scénario référence'!$F$9)*10)</f>
        <v>10</v>
      </c>
      <c r="ND54" s="12" t="e">
        <f>VLOOKUP($A54,'Données projet'!$A$486:$I$506,2,0)</f>
        <v>#N/A</v>
      </c>
      <c r="NE54" s="12" t="e">
        <f>VLOOKUP($A54,'Données projet'!$A$486:$I$506,9,0)</f>
        <v>#N/A</v>
      </c>
      <c r="NF54" s="12">
        <f t="array" ref="NF54">INDEX(NE:NE,MIN(IF(ISNUMBER(NE54:NE250),ROW(NE54:NE250),"")))</f>
        <v>0</v>
      </c>
      <c r="NG54" s="12">
        <f>IF('Données projet'!$A$486&gt;35,NG53+NF54-NO53,IF($A54&lt;'Données projet'!$A$486,$CQ$205^$A54,IF($A54='Données projet'!$A$486,'Données projet'!$B$486,NG53+NF54-NO53)))</f>
        <v>0</v>
      </c>
      <c r="NH54" s="17" t="e">
        <f>NG54*VLOOKUP('Données projet'!$B$26,Paramètres!$A$1:$I$89,3,0)*VLOOKUP('Données projet'!$B$26,Paramètres!$A$1:$I$89,5,0)</f>
        <v>#N/A</v>
      </c>
      <c r="NI54" s="13" t="e">
        <f t="shared" si="109"/>
        <v>#N/A</v>
      </c>
      <c r="NJ54" s="14" t="e">
        <f t="shared" si="52"/>
        <v>#N/A</v>
      </c>
      <c r="NK54" s="59" t="e">
        <f t="shared" si="53"/>
        <v>#N/A</v>
      </c>
      <c r="NL54" s="20" t="e">
        <f ca="1">AVERAGE(OFFSET($NK$3,0,0,'Données projet'!$E$26+1,1))-AVERAGE(OFFSET($H$3,0,0,'Données projet'!$E$26+1,1))</f>
        <v>#N/A</v>
      </c>
      <c r="NM54" s="59" t="e">
        <f t="shared" si="110"/>
        <v>#N/A</v>
      </c>
      <c r="NN54" s="15">
        <f>IF(ISNA(VLOOKUP($A54,'Données projet'!$A$486:$I$506,3,0)),0,VLOOKUP($A54,'Données projet'!$A$486:$I$506,3,0))</f>
        <v>0</v>
      </c>
      <c r="NO54" s="15">
        <f>IF(ISNA(VLOOKUP($A54,'Données projet'!$A$486:$I$506,4,0)),0,VLOOKUP($A54,'Données projet'!$A$486:$I$506,4,0))</f>
        <v>0</v>
      </c>
      <c r="NP54" s="16">
        <f>IF(ISNA(VLOOKUP($A54,'Données projet'!$A$486:$I$506,5,0)),0%,VLOOKUP($A54,'Données projet'!$A$486:$I$506,5,0)*VLOOKUP('Données projet'!$B$26,Paramètres!$A$1:$I$89,7,0))</f>
        <v>0</v>
      </c>
      <c r="NQ54" s="16">
        <f>IF(ISNA(VLOOKUP($A54,'Données projet'!$A$486:$I$506,6,0)),0%,VLOOKUP($A54,'Données projet'!$A$486:$I$506,6,0)*VLOOKUP('Données projet'!$B$26,Paramètres!$A$1:$I$89,7,0))</f>
        <v>0</v>
      </c>
      <c r="NR54" s="16">
        <f>IF(ISNA(VLOOKUP($A54,'Données projet'!$A$486:$I$506,7,0)),0%,VLOOKUP($A54,'Données projet'!$A$486:$I$506,7,0))</f>
        <v>0</v>
      </c>
      <c r="NS54" s="21" t="e">
        <f>EXP(-LN(2)/35)*NS53+(1-EXP(-LN(2)/35))/(LN(2)/35)*NO54*NP54*VLOOKUP('Données projet'!$B$26,Paramètres!$A$1:$I$89,3,0)*0.475*44/12</f>
        <v>#N/A</v>
      </c>
      <c r="NT54" s="21" t="e">
        <f>EXP(-LN(2)/25)*NT53+(1-EXP(-LN(2)/25))/(LN(2)/25)*Calculateur!NO54*Calculateur!NQ54*VLOOKUP('Données projet'!$B$26,Paramètres!$A$1:$I$89,3,0)*0.475*44/12</f>
        <v>#N/A</v>
      </c>
      <c r="NU54" s="21" t="e">
        <f>EXP(-LN(2)/2)*NU53+(1-EXP(-LN(2)/2))/(LN(2)/2)*NO54*NR54*VLOOKUP('Données projet'!$B$26,Paramètres!$A$1:$I$89,3,0)*0.475*44/12</f>
        <v>#N/A</v>
      </c>
      <c r="NV54" s="22" t="e">
        <f t="shared" si="111"/>
        <v>#N/A</v>
      </c>
      <c r="NW54" s="74">
        <f>('Scénario référence'!$F$8+'Scénario référence'!$F$9+'Scénario référence'!$B$17+'Scénario référence'!$B$9+'Scénario référence'!$B$10)*70+IF((45+25*(1-EXP(-0.0175*$A54)))&lt;70,'Scénario référence'!$B$16*(45+25*(1-EXP(-0.0175*$A54))),70*'Scénario référence'!$B$16)+IF((32+38*(1-EXP(-0.0175*$A54)))&lt;70,'Scénario référence'!$B$18*(32+38*(1-EXP(-0.0175*$A54))),70*'Scénario référence'!$B$18)</f>
        <v>70</v>
      </c>
      <c r="NX54" s="12">
        <f>IF($A54&gt;30,10,('Scénario référence'!$B$16+'Scénario référence'!$B$17+'Scénario référence'!$B$18+'Scénario référence'!$B$9+'Scénario référence'!$B$10)*$A54*10/30+('Scénario référence'!$F$8+'Scénario référence'!$F$9)*10)</f>
        <v>10</v>
      </c>
      <c r="NY54" s="12" t="e">
        <f>VLOOKUP($A54,'Données projet'!$A$512:$I$532,2,0)</f>
        <v>#N/A</v>
      </c>
      <c r="NZ54" s="12" t="e">
        <f>VLOOKUP($A54,'Données projet'!$A$512:$I$532,9,0)</f>
        <v>#N/A</v>
      </c>
      <c r="OA54" s="12">
        <f t="array" ref="OA54">INDEX(NZ:NZ,MIN(IF(ISNUMBER(NZ54:NZ250),ROW(NZ54:NZ250),"")))</f>
        <v>0</v>
      </c>
      <c r="OB54" s="12">
        <f>IF('Données projet'!$A$512&gt;35,OB53+OA54-OJ53,IF($A54&lt;'Données projet'!$A$512,$CQ$205^$A54,IF($A54='Données projet'!$A$512,'Données projet'!$B$512,OB53+OA54-OJ53)))</f>
        <v>0</v>
      </c>
      <c r="OC54" s="17" t="e">
        <f>OB54*VLOOKUP('Données projet'!$B$27,Paramètres!$A$1:$I$89,3,0)*VLOOKUP('Données projet'!$B$27,Paramètres!$A$1:$I$89,5,0)</f>
        <v>#N/A</v>
      </c>
      <c r="OD54" s="13" t="e">
        <f t="shared" si="112"/>
        <v>#N/A</v>
      </c>
      <c r="OE54" s="14" t="e">
        <f t="shared" si="55"/>
        <v>#N/A</v>
      </c>
      <c r="OF54" s="59" t="e">
        <f t="shared" si="56"/>
        <v>#N/A</v>
      </c>
      <c r="OG54" s="20" t="e">
        <f ca="1">AVERAGE(OFFSET($OF$3,0,0,'Données projet'!$E$27+1,1))-AVERAGE(OFFSET($H$3,0,0,'Données projet'!$E$27+1,1))</f>
        <v>#N/A</v>
      </c>
      <c r="OH54" s="59" t="e">
        <f t="shared" si="113"/>
        <v>#N/A</v>
      </c>
      <c r="OI54" s="15">
        <f>IF(ISNA(VLOOKUP($A54,'Données projet'!$A$512:$I$532,3,0)),0,VLOOKUP($A54,'Données projet'!$A$512:$I$532,3,0))</f>
        <v>0</v>
      </c>
      <c r="OJ54" s="15">
        <f>IF(ISNA(VLOOKUP($A54,'Données projet'!$A$512:$I$532,4,0)),0,VLOOKUP($A54,'Données projet'!$A$512:$I$532,4,0))</f>
        <v>0</v>
      </c>
      <c r="OK54" s="16">
        <f>IF(ISNA(VLOOKUP($A54,'Données projet'!$A$512:$I$532,5,0)),0%,VLOOKUP($A54,'Données projet'!$A$512:$I$532,5,0)*VLOOKUP('Données projet'!$B$27,Paramètres!$A$1:$I$89,7,0))</f>
        <v>0</v>
      </c>
      <c r="OL54" s="16">
        <f>IF(ISNA(VLOOKUP($A54,'Données projet'!$A$512:$I$532,6,0)),0%,VLOOKUP($A54,'Données projet'!$A$512:$I$532,6,0)*VLOOKUP('Données projet'!$B$27,Paramètres!$A$1:$I$89,7,0))</f>
        <v>0</v>
      </c>
      <c r="OM54" s="16">
        <f>IF(ISNA(VLOOKUP($A54,'Données projet'!$A$512:$I$532,7,0)),0%,VLOOKUP($A54,'Données projet'!$A$512:$I$532,7,0))</f>
        <v>0</v>
      </c>
      <c r="ON54" s="21" t="e">
        <f>EXP(-LN(2)/35)*ON53+(1-EXP(-LN(2)/35))/(LN(2)/35)*OJ54*OK54*VLOOKUP('Données projet'!$B$27,Paramètres!$A$1:$I$89,3,0)*0.475*44/12</f>
        <v>#N/A</v>
      </c>
      <c r="OO54" s="21" t="e">
        <f>EXP(-LN(2)/25)*OO53+(1-EXP(-LN(2)/25))/(LN(2)/25)*Calculateur!OJ54*Calculateur!OL54*VLOOKUP('Données projet'!$B$27,Paramètres!$A$1:$I$89,3,0)*0.475*44/12</f>
        <v>#N/A</v>
      </c>
      <c r="OP54" s="21" t="e">
        <f>EXP(-LN(2)/2)*OP53+(1-EXP(-LN(2)/2))/(LN(2)/2)*OJ54*OM54*VLOOKUP('Données projet'!$B$27,Paramètres!$A$1:$I$89,3,0)*0.475*44/12</f>
        <v>#N/A</v>
      </c>
      <c r="OQ54" s="22" t="e">
        <f t="shared" si="114"/>
        <v>#N/A</v>
      </c>
      <c r="OR54" s="74">
        <f>('Scénario référence'!$F$8+'Scénario référence'!$F$9+'Scénario référence'!$B$17+'Scénario référence'!$B$9+'Scénario référence'!$B$10)*70+IF((45+25*(1-EXP(-0.0175*$A54)))&lt;70,'Scénario référence'!$B$16*(45+25*(1-EXP(-0.0175*$A54))),70*'Scénario référence'!$B$16)+IF((32+38*(1-EXP(-0.0175*$A54)))&lt;70,'Scénario référence'!$B$18*(32+38*(1-EXP(-0.0175*$A54))),70*'Scénario référence'!$B$18)</f>
        <v>70</v>
      </c>
      <c r="OS54" s="12">
        <f>IF($A54&gt;30,10,('Scénario référence'!$B$16+'Scénario référence'!$B$17+'Scénario référence'!$B$18+'Scénario référence'!$B$9+'Scénario référence'!$B$10)*$A54*10/30+('Scénario référence'!$F$8+'Scénario référence'!$F$9)*10)</f>
        <v>10</v>
      </c>
      <c r="OT54" s="12" t="e">
        <f>VLOOKUP($A54,'Données projet'!$A$538:$I$558,2,0)</f>
        <v>#N/A</v>
      </c>
      <c r="OU54" s="12" t="e">
        <f>VLOOKUP($A54,'Données projet'!$A$538:$I$558,9,0)</f>
        <v>#N/A</v>
      </c>
      <c r="OV54" s="12">
        <f t="array" ref="OV54">INDEX(OU:OU,MIN(IF(ISNUMBER(OU54:OU250),ROW(OU54:OU250),"")))</f>
        <v>0</v>
      </c>
      <c r="OW54" s="12">
        <f>IF('Données projet'!$A$538&gt;35,OW53+OV54-PE53,IF($A54&lt;'Données projet'!$A$538,$CQ$205^$A54,IF($A54='Données projet'!$A$538,'Données projet'!$B$538,OW53+OV54-PE53)))</f>
        <v>0</v>
      </c>
      <c r="OX54" s="17" t="e">
        <f>OW54*VLOOKUP('Données projet'!$B$28,Paramètres!$A$1:$I$89,3,0)*VLOOKUP('Données projet'!$B$28,Paramètres!$A$1:$I$89,5,0)</f>
        <v>#N/A</v>
      </c>
      <c r="OY54" s="13" t="e">
        <f t="shared" si="115"/>
        <v>#N/A</v>
      </c>
      <c r="OZ54" s="14" t="e">
        <f t="shared" si="58"/>
        <v>#N/A</v>
      </c>
      <c r="PA54" s="59" t="e">
        <f t="shared" si="59"/>
        <v>#N/A</v>
      </c>
      <c r="PB54" s="20" t="e">
        <f ca="1">AVERAGE(OFFSET($PA$3,0,0,'Données projet'!$E$28+1,1))-AVERAGE(OFFSET($H$3,0,0,'Données projet'!$E$28+1,1))</f>
        <v>#N/A</v>
      </c>
      <c r="PC54" s="59" t="e">
        <f t="shared" si="116"/>
        <v>#N/A</v>
      </c>
      <c r="PD54" s="15">
        <f>IF(ISNA(VLOOKUP($A54,'Données projet'!$A$538:$I$558,3,0)),0,VLOOKUP($A54,'Données projet'!$A$538:$I$558,3,0))</f>
        <v>0</v>
      </c>
      <c r="PE54" s="15">
        <f>IF(ISNA(VLOOKUP($A54,'Données projet'!$A$538:$I$558,4,0)),0,VLOOKUP($A54,'Données projet'!$A$538:$I$558,4,0))</f>
        <v>0</v>
      </c>
      <c r="PF54" s="16">
        <f>IF(ISNA(VLOOKUP($A54,'Données projet'!$A$538:$I$558,5,0)),0%,VLOOKUP($A54,'Données projet'!$A$538:$I$558,5,0)*VLOOKUP('Données projet'!$B$28,Paramètres!$A$1:$I$89,7,0))</f>
        <v>0</v>
      </c>
      <c r="PG54" s="16">
        <f>IF(ISNA(VLOOKUP($A54,'Données projet'!$A$538:$I$558,6,0)),0%,VLOOKUP($A54,'Données projet'!$A$538:$I$558,6,0)*VLOOKUP('Données projet'!$B$28,Paramètres!$A$1:$I$89,7,0))</f>
        <v>0</v>
      </c>
      <c r="PH54" s="16">
        <f>IF(ISNA(VLOOKUP($A54,'Données projet'!$A$538:$I$558,7,0)),0%,VLOOKUP($A54,'Données projet'!$A$538:$I$558,7,0))</f>
        <v>0</v>
      </c>
      <c r="PI54" s="21" t="e">
        <f>EXP(-LN(2)/35)*PI53+(1-EXP(-LN(2)/35))/(LN(2)/35)*PE54*PF54*VLOOKUP('Données projet'!$B$28,Paramètres!$A$1:$I$89,3,0)*0.475*44/12</f>
        <v>#N/A</v>
      </c>
      <c r="PJ54" s="21" t="e">
        <f>EXP(-LN(2)/25)*PJ53+(1-EXP(-LN(2)/25))/(LN(2)/25)*Calculateur!PE54*Calculateur!PG54*VLOOKUP('Données projet'!$B$28,Paramètres!$A$1:$I$89,3,0)*0.475*44/12</f>
        <v>#N/A</v>
      </c>
      <c r="PK54" s="21" t="e">
        <f>EXP(-LN(2)/2)*PK53+(1-EXP(-LN(2)/2))/(LN(2)/2)*PE54*PH54*VLOOKUP('Données projet'!$B$28,Paramètres!$A$1:$I$89,3,0)*0.475*44/12</f>
        <v>#N/A</v>
      </c>
      <c r="PL54" s="22" t="e">
        <f t="shared" si="117"/>
        <v>#N/A</v>
      </c>
    </row>
    <row r="55" spans="1:428" x14ac:dyDescent="0.35">
      <c r="A55" s="10">
        <f t="shared" si="6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6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projet'!$A$45:$I$65,2,0)</f>
        <v>#N/A</v>
      </c>
      <c r="L55" s="12" t="e">
        <f>VLOOKUP(A55,'Données projet'!$A$45:$I$65,9,0)</f>
        <v>#N/A</v>
      </c>
      <c r="M55" s="12">
        <f t="array" ref="M55">INDEX(L:L,MIN(IF(ISNUMBER(L55:L251),ROW(L55:L251),"")))</f>
        <v>20.507692307692299</v>
      </c>
      <c r="N55" s="13">
        <f>IF('Données projet'!$A$46&gt;35,N54+M55-V54,IF(A55&lt;'Données projet'!$A$46,$K$205^A55,IF(A55='Données projet'!$A$46,'Données projet'!$B$46,N54+M55-V54)))</f>
        <v>525.78461538461522</v>
      </c>
      <c r="O55" s="13">
        <f>N55*VLOOKUP('Données projet'!$B$9,Paramètres!$A$1:$I$89,3,0)*VLOOKUP('Données projet'!$B$9,Paramètres!$A$1:$I$89,5,0)</f>
        <v>293.91359999999992</v>
      </c>
      <c r="P55" s="13">
        <f t="shared" si="63"/>
        <v>69.899002171586702</v>
      </c>
      <c r="Q55" s="20">
        <f t="shared" si="118"/>
        <v>633.64028211551329</v>
      </c>
      <c r="R55" s="59">
        <f t="shared" si="0"/>
        <v>926.97361544884666</v>
      </c>
      <c r="S55" s="59">
        <f ca="1">AVERAGE(OFFSET($R$3,0,0,'Données projet'!$E$9+1,1))-AVERAGE(OFFSET($H$3,0,0,'Données projet'!$E$9+1,1))</f>
        <v>274.57619581652199</v>
      </c>
      <c r="T55" s="59">
        <f t="shared" si="64"/>
        <v>366.15117322598775</v>
      </c>
      <c r="U55" s="15">
        <f>IF(ISNA(VLOOKUP(A55,'Données projet'!$A$45:$I$65,3,0)),0,VLOOKUP(A55,'Données projet'!$A$45:$I$65,3,0))</f>
        <v>0</v>
      </c>
      <c r="V55" s="15">
        <f>IF(ISNA(VLOOKUP(A55,'Données projet'!$A$45:$I$65,4,0)),0,VLOOKUP(A55,'Données projet'!$A$45:$I$65,4,0))</f>
        <v>0</v>
      </c>
      <c r="W55" s="16">
        <f>IF(ISNA(VLOOKUP(A55,'Données projet'!$A$45:$I$65,5,0)),0%,VLOOKUP(A55,'Données projet'!$A$45:$I$65,5,0)*VLOOKUP('Données projet'!$B$9,Paramètres!$A$1:$I$89,7,0))</f>
        <v>0</v>
      </c>
      <c r="X55" s="16">
        <f>IF(ISNA(VLOOKUP(A55,'Données projet'!$A$45:$I$65,6,0)),0%,VLOOKUP(A55,'Données projet'!$A$45:$I$65,6,0)*VLOOKUP('Données projet'!$B$9,Paramètres!$A$1:$I$89,7,0))</f>
        <v>0</v>
      </c>
      <c r="Y55" s="16">
        <f>IF(ISNA(VLOOKUP(A55,'Données projet'!$A$45:$I$65,7,0)),0%,VLOOKUP(A55,'Données projet'!$A$45:$I$65,7,0))</f>
        <v>0</v>
      </c>
      <c r="Z55" s="21">
        <f>EXP(-LN(2)/35)*Z54+(1-EXP(-LN(2)/35))/(LN(2)/35)*V55*W55*VLOOKUP('Données projet'!$B$9,Paramètres!$A$1:$I$89,3,0)*0.475*44/12</f>
        <v>72.173954452958057</v>
      </c>
      <c r="AA55" s="21">
        <f>EXP(-LN(2)/25)*AA54+(1-EXP(-LN(2)/25))/(LN(2)/25)*Calculateur!V55*Calculateur!X55*VLOOKUP('Données projet'!$B$9,Paramètres!$A$1:$I$89,3,0)*0.475*44/12</f>
        <v>21.714848194401569</v>
      </c>
      <c r="AB55" s="21">
        <f>EXP(-LN(2)/2)*AB54+(1-EXP(-LN(2)/2))/(LN(2)/2)*V55*Y55*VLOOKUP('Données projet'!$B$9,Paramètres!$A$1:$I$89,3,0)*0.475*44/12</f>
        <v>1.9159691475930605</v>
      </c>
      <c r="AC55" s="22">
        <f t="shared" si="3"/>
        <v>95.804771794952686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projet'!$A$71:$I$91,2,0)</f>
        <v>#N/A</v>
      </c>
      <c r="AG55" s="12" t="e">
        <f>VLOOKUP(A55,'Données projet'!$A$71:$I$91,9,0)</f>
        <v>#N/A</v>
      </c>
      <c r="AH55" s="12">
        <f t="array" ref="AH55">INDEX(AG:AG,MIN(IF(ISNUMBER(AG55:AG251),ROW(AG55:AG251),"")))</f>
        <v>8.8736263736263741</v>
      </c>
      <c r="AI55" s="13">
        <f>IF('Données projet'!$A$72&gt;35,AI54+AH55-AQ54,IF(A55&lt;'Données projet'!$A$72,$AF$205^A55,IF(A55='Données projet'!$A$72,'Données projet'!$B$72,AI54+AH55-AQ54)))</f>
        <v>171.82142857142864</v>
      </c>
      <c r="AJ55" s="13">
        <f>AI55*VLOOKUP('Données projet'!$B$10,Paramètres!$A$1:$I$89,3,0)*VLOOKUP('Données projet'!$B$10,Paramètres!$A$1:$I$89,5,0)</f>
        <v>155.46402857142863</v>
      </c>
      <c r="AK55" s="13">
        <f t="shared" si="65"/>
        <v>39.817708233223598</v>
      </c>
      <c r="AL55" s="20">
        <f t="shared" si="4"/>
        <v>340.11569160143591</v>
      </c>
      <c r="AM55" s="59">
        <f t="shared" si="5"/>
        <v>633.44902493476923</v>
      </c>
      <c r="AN55" s="59">
        <f ca="1">AVERAGE(OFFSET($AM$3,0,0,'Données projet'!$E$10+1,1))-AVERAGE(OFFSET($H$3,0,0,'Données projet'!$E$10+1,1))</f>
        <v>270.87836509222456</v>
      </c>
      <c r="AO55" s="59">
        <f t="shared" si="66"/>
        <v>205.24998237949734</v>
      </c>
      <c r="AP55" s="15">
        <f>IF(ISNA(VLOOKUP(A55,'Données projet'!$A$71:$I$91,3,0)),0,VLOOKUP(A55,'Données projet'!$A$71:$I$91,3,0))</f>
        <v>0</v>
      </c>
      <c r="AQ55" s="15">
        <f>IF(ISNA(VLOOKUP(A55,'Données projet'!$A$71:$I$91,4,0)),0,VLOOKUP(A55,'Données projet'!$A$71:$I$91,4,0))</f>
        <v>0</v>
      </c>
      <c r="AR55" s="16">
        <f>IF(ISNA(VLOOKUP(A55,'Données projet'!$A$71:$I$91,5,0)),0%,VLOOKUP(A55,'Données projet'!$A$71:$I$91,5,0)*VLOOKUP('Données projet'!$B$10,Paramètres!$A$1:$I$89,7,0))</f>
        <v>0</v>
      </c>
      <c r="AS55" s="16">
        <f>IF(ISNA(VLOOKUP(A55,'Données projet'!$A$71:$I$91,6,0)),0%,VLOOKUP(A55,'Données projet'!$A$71:$I$91,6,0)*VLOOKUP('Données projet'!$B$10,Paramètres!$A$1:$I$89,7,0))</f>
        <v>0</v>
      </c>
      <c r="AT55" s="16">
        <f>IF(ISNA(VLOOKUP(A55,'Données projet'!$A$71:$I$91,7,0)),0%,VLOOKUP(A55,'Données projet'!$A$71:$I$91,7,0))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projet'!$A$97:$I$117,2,0)</f>
        <v>#N/A</v>
      </c>
      <c r="BB55" s="12" t="e">
        <f>VLOOKUP(A55,'Données projet'!$A$97:$I$117,9,0)</f>
        <v>#N/A</v>
      </c>
      <c r="BC55" s="12">
        <f t="array" ref="BC55">INDEX(BB:BB,MIN(IF(ISNUMBER(BB55:BB251),ROW(BB55:BB251),"")))</f>
        <v>20.507692307692299</v>
      </c>
      <c r="BD55" s="12">
        <f>IF('Données projet'!$A$98&gt;35,BD54+BC55-BL54,IF(A55&lt;'Données projet'!$A$98,$BA$205^A55,IF(A55='Données projet'!$A$98,'Données projet'!$B$98,BD54+BC55-BL54)))</f>
        <v>525.78461538461522</v>
      </c>
      <c r="BE55" s="13">
        <f>BD55*VLOOKUP('Données projet'!$B$11,Paramètres!$A$1:$I$89,3,0)*VLOOKUP('Données projet'!$B$11,Paramètres!$A$1:$I$89,5,0)</f>
        <v>232.39679999999996</v>
      </c>
      <c r="BF55" s="13">
        <f t="shared" si="67"/>
        <v>56.800612628234127</v>
      </c>
      <c r="BG55" s="20">
        <f t="shared" si="7"/>
        <v>503.68549366084102</v>
      </c>
      <c r="BH55" s="59">
        <f t="shared" si="8"/>
        <v>797.01882699417433</v>
      </c>
      <c r="BI55" s="59">
        <f ca="1">AVERAGE(OFFSET($BH$3,0,0,'Données projet'!$E$11+1,1))-AVERAGE(OFFSET($H$3,0,0,'Données projet'!$E$11+1,1))</f>
        <v>211.31057120485542</v>
      </c>
      <c r="BJ55" s="59">
        <f t="shared" si="68"/>
        <v>283.33292006714777</v>
      </c>
      <c r="BK55" s="15">
        <f>IF(ISNA(VLOOKUP(A55,'Données projet'!$A$97:$I$117,3,0)),0,VLOOKUP(A55,'Données projet'!$A$97:$I$117,3,0))</f>
        <v>0</v>
      </c>
      <c r="BL55" s="15">
        <f>IF(ISNA(VLOOKUP(A55,'Données projet'!$A$97:$I$117,4,0)),0,VLOOKUP(A55,'Données projet'!$A$97:$I$117,4,0))</f>
        <v>0</v>
      </c>
      <c r="BM55" s="16">
        <f>IF(ISNA(VLOOKUP(A55,'Données projet'!$A$97:$I$117,5,0)),0%,VLOOKUP(A55,'Données projet'!$A$97:$I$117,5,0)*VLOOKUP('Données projet'!$B$11,Paramètres!$A$1:$I$89,7,0))</f>
        <v>0</v>
      </c>
      <c r="BN55" s="16">
        <f>IF(ISNA(VLOOKUP(A55,'Données projet'!$A$97:$I$117,6,0)),0%,VLOOKUP(A55,'Données projet'!$A$97:$I$117,6,0)*VLOOKUP('Données projet'!$B$11,Paramètres!$A$1:$I$89,7,0))</f>
        <v>0</v>
      </c>
      <c r="BO55" s="16">
        <f>IF(ISNA(VLOOKUP(A55,'Données projet'!$A$97:$I$117,7,0)),0%,VLOOKUP(A55,'Données projet'!$A$97:$I$117,7,0))</f>
        <v>0</v>
      </c>
      <c r="BP55" s="21">
        <f>EXP(-LN(2)/35)*BP54+(1-EXP(-LN(2)/35))/(LN(2)/35)*BL55*BM55*VLOOKUP('Données projet'!$B$11,Paramètres!$A$1:$I$89,3,0)*0.475*44/12</f>
        <v>57.067777939548222</v>
      </c>
      <c r="BQ55" s="21">
        <f>EXP(-LN(2)/25)*BQ54+(1-EXP(-LN(2)/25))/(LN(2)/25)*Calculateur!BL55*Calculateur!BN55*VLOOKUP('Données projet'!$B$11,Paramètres!$A$1:$I$89,3,0)*0.475*44/12</f>
        <v>17.169879967666358</v>
      </c>
      <c r="BR55" s="21">
        <f>EXP(-LN(2)/2)*BR54+(1-EXP(-LN(2)/2))/(LN(2)/2)*BL55*BO55*VLOOKUP('Données projet'!$B$11,Paramètres!$A$1:$I$89,3,0)*0.475*44/12</f>
        <v>1.5149523492596293</v>
      </c>
      <c r="BS55" s="22">
        <f t="shared" si="9"/>
        <v>75.752610256474213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projet'!$A$123:$I$143,2,0)</f>
        <v>#N/A</v>
      </c>
      <c r="BW55" s="12" t="e">
        <f>VLOOKUP(A55,'Données projet'!$A$123:$I$143,9,0)</f>
        <v>#N/A</v>
      </c>
      <c r="BX55" s="12">
        <f t="array" ref="BX55">INDEX(BW:BW,MIN(IF(ISNUMBER(BW55:BW251),ROW(BW55:BW251),"")))</f>
        <v>6.6</v>
      </c>
      <c r="BY55" s="12">
        <f>IF('Données projet'!$A$124&gt;35,BY54+BX55-CG54,IF(A55&lt;'Données projet'!$A$124,$BV$205^A55,IF(A55='Données projet'!$A$124,'Données projet'!$B$124,BY54+BX55-CG54)))</f>
        <v>198.20000000000005</v>
      </c>
      <c r="BZ55" s="13">
        <f>BY55*VLOOKUP('Données projet'!$B$12,Paramètres!$A$1:$I$89,3,0)*VLOOKUP('Données projet'!$B$12,Paramètres!$A$1:$I$89,5,0)</f>
        <v>207.15864000000008</v>
      </c>
      <c r="CA55" s="13">
        <f t="shared" si="69"/>
        <v>51.314185628735935</v>
      </c>
      <c r="CB55" s="20">
        <f t="shared" si="10"/>
        <v>450.17350463671522</v>
      </c>
      <c r="CC55" s="59">
        <f t="shared" si="11"/>
        <v>743.50683797004854</v>
      </c>
      <c r="CD55" s="59">
        <f ca="1">AVERAGE(OFFSET($CC$3,0,0,'Données projet'!$E$12+1,1))-AVERAGE(OFFSET($H$3,0,0,'Données projet'!$E$12+1,1))</f>
        <v>322.93502595881938</v>
      </c>
      <c r="CE55" s="59">
        <f t="shared" si="70"/>
        <v>302.67072119588164</v>
      </c>
      <c r="CF55" s="15">
        <f>IF(ISNA(VLOOKUP(A55,'Données projet'!$A$123:$I$143,3,0)),0,VLOOKUP(A55,'Données projet'!$A$123:$I$143,3,0))</f>
        <v>0</v>
      </c>
      <c r="CG55" s="15">
        <f>IF(ISNA(VLOOKUP(A55,'Données projet'!$A$123:$I$143,4,0)),0,VLOOKUP(A55,'Données projet'!$A$123:$I$143,4,0))</f>
        <v>0</v>
      </c>
      <c r="CH55" s="16">
        <f>IF(ISNA(VLOOKUP(A55,'Données projet'!$A$123:$I$143,5,0)),0%,VLOOKUP(A55,'Données projet'!$A$123:$I$143,5,0)*VLOOKUP('Données projet'!$B$12,Paramètres!$A$1:$I$89,7,0))</f>
        <v>0</v>
      </c>
      <c r="CI55" s="16">
        <f>IF(ISNA(VLOOKUP(A55,'Données projet'!$A$123:$I$143,6,0)),0%,VLOOKUP(A55,'Données projet'!$A$123:$I$143,6,0)*VLOOKUP('Données projet'!$B$12,Paramètres!$A$1:$I$89,7,0))</f>
        <v>0</v>
      </c>
      <c r="CJ55" s="16">
        <f>IF(ISNA(VLOOKUP(A55,'Données projet'!$A$123:$I$143,7,0)),0%,VLOOKUP(A55,'Données projet'!$A$123:$I$143,7,0))</f>
        <v>0</v>
      </c>
      <c r="CK55" s="21">
        <f>EXP(-LN(2)/35)*CK54+(1-EXP(-LN(2)/35))/(LN(2)/35)*CG55*CH55*VLOOKUP('Données projet'!$B$12,Paramètres!$A$1:$I$89,3,0)*0.475*44/12</f>
        <v>9.0826576511721004</v>
      </c>
      <c r="CL55" s="21">
        <f>EXP(-LN(2)/25)*CL54+(1-EXP(-LN(2)/25))/(LN(2)/25)*Calculateur!CG55*Calculateur!CI55*VLOOKUP('Données projet'!$B$12,Paramètres!$A$1:$I$89,3,0)*0.475*44/12</f>
        <v>17.693479074196645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26.776136725368744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projet'!$A$149:$I$169,2,0)</f>
        <v>#N/A</v>
      </c>
      <c r="CR55" s="12" t="e">
        <f>VLOOKUP(A55,'Données projet'!$A$149:$I$169,9,0)</f>
        <v>#N/A</v>
      </c>
      <c r="CS55" s="12">
        <f t="array" ref="CS55">INDEX(CR:CR,MIN(IF(ISNUMBER(CR55:CR251),ROW(CR55:CR251),"")))</f>
        <v>6.3942307692307701</v>
      </c>
      <c r="CT55" s="12">
        <f>IF('Données projet'!$A$150&gt;35,CT54+CS55-DB54,IF(A55&lt;'Données projet'!$A$150,$CQ$205^A55,IF(A55='Données projet'!$A$150,'Données projet'!$B$150,CT54+CS55-DB54)))</f>
        <v>114.49679487179483</v>
      </c>
      <c r="CU55" s="17">
        <f>CT55*VLOOKUP('Données projet'!$B$13,Paramètres!$A$1:$I$89,3,0)*VLOOKUP('Données projet'!$B$13,Paramètres!$A$1:$I$89,5,0)</f>
        <v>116.09974999999996</v>
      </c>
      <c r="CV55" s="13">
        <f t="shared" si="71"/>
        <v>30.763588103307637</v>
      </c>
      <c r="CW55" s="20">
        <f t="shared" si="13"/>
        <v>255.78698052992738</v>
      </c>
      <c r="CX55" s="59">
        <f t="shared" si="14"/>
        <v>549.12031386326066</v>
      </c>
      <c r="CY55" s="59">
        <f ca="1">AVERAGE(OFFSET($CX$3,0,0,'Données projet'!$E$13+1,1))-AVERAGE(OFFSET($H$3,0,0,'Données projet'!$E$13+1,1))</f>
        <v>250.31277422753283</v>
      </c>
      <c r="CZ55" s="59">
        <f t="shared" si="72"/>
        <v>159.20429420478047</v>
      </c>
      <c r="DA55" s="15">
        <f>IF(ISNA(VLOOKUP(A55,'Données projet'!$A$149:$I$169,3,0)),0,VLOOKUP(A55,'Données projet'!$A$149:$I$169,3,0))</f>
        <v>0</v>
      </c>
      <c r="DB55" s="15">
        <f>IF(ISNA(VLOOKUP(A55,'Données projet'!$A$149:$I$169,4,0)),0,VLOOKUP(A55,'Données projet'!$A$149:$I$169,4,0))</f>
        <v>0</v>
      </c>
      <c r="DC55" s="16">
        <f>IF(ISNA(VLOOKUP(A55,'Données projet'!$A$149:$I$169,5,0)),0%,VLOOKUP(A55,'Données projet'!$A$149:$I$169,5,0)*VLOOKUP('Données projet'!$B$13,Paramètres!$A$1:$I$89,7,0))</f>
        <v>0</v>
      </c>
      <c r="DD55" s="16">
        <f>IF(ISNA(VLOOKUP(A55,'Données projet'!$A$149:$I$169,6,0)),0%,VLOOKUP(A55,'Données projet'!$A$149:$I$169,6,0)*VLOOKUP('Données projet'!$B$13,Paramètres!$A$1:$I$89,7,0))</f>
        <v>0</v>
      </c>
      <c r="DE55" s="16">
        <f>IF(ISNA(VLOOKUP(A55,'Données projet'!$A$149:$I$169,7,0)),0%,VLOOKUP(A55,'Données projet'!$A$149:$I$169,7,0))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0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projet'!$A$175:$I$195,2,0)</f>
        <v>#N/A</v>
      </c>
      <c r="DM55" s="12" t="e">
        <f>VLOOKUP(A55,'Données projet'!$A$175:$I$195,9,0)</f>
        <v>#N/A</v>
      </c>
      <c r="DN55" s="12">
        <f t="array" ref="DN55">INDEX(DM:DM,MIN(IF(ISNUMBER(DM55:DM251),ROW(DM55:DM251),"")))</f>
        <v>8.4</v>
      </c>
      <c r="DO55" s="12">
        <f>IF('Données projet'!$A$176&gt;35,DO54+DN55-DW54,IF(A55&lt;'Données projet'!$A$176,$DL$205^A55,IF(A55='Données projet'!$A$176,'Données projet'!$B$176,DO54+DN55-DW54)))</f>
        <v>298.7999999999999</v>
      </c>
      <c r="DP55" s="17">
        <f>DO55*VLOOKUP('Données projet'!$B$14,Paramètres!$A$1:$I$89,3,0)*VLOOKUP('Données projet'!$B$14,Paramètres!$A$1:$I$89,5,0)</f>
        <v>219.08015999999992</v>
      </c>
      <c r="DQ55" s="13">
        <f t="shared" si="73"/>
        <v>53.914914316401685</v>
      </c>
      <c r="DR55" s="20">
        <f t="shared" si="16"/>
        <v>475.46642110106609</v>
      </c>
      <c r="DS55" s="59">
        <f t="shared" si="17"/>
        <v>768.79975443439935</v>
      </c>
      <c r="DT55" s="59">
        <f ca="1">AVERAGE(OFFSET($DS$3,0,0,'Données projet'!$E$14+1,1))-AVERAGE(OFFSET($H$3,0,0,'Données projet'!$E$14+1,1))</f>
        <v>296.91321813251051</v>
      </c>
      <c r="DU55" s="59">
        <f t="shared" si="74"/>
        <v>291.0718079639509</v>
      </c>
      <c r="DV55" s="15">
        <f>IF(ISNA(VLOOKUP(A55,'Données projet'!$A$175:$I$195,3,0)),0,VLOOKUP(A55,'Données projet'!$A$175:$I$195,3,0))</f>
        <v>0</v>
      </c>
      <c r="DW55" s="15">
        <f>IF(ISNA(VLOOKUP(A55,'Données projet'!$A$175:$I$195,4,0)),0,VLOOKUP(A55,'Données projet'!$A$175:$I$195,4,0))</f>
        <v>0</v>
      </c>
      <c r="DX55" s="16">
        <f>IF(ISNA(VLOOKUP(A55,'Données projet'!$A$175:$I$195,5,0)),0%,VLOOKUP(A55,'Données projet'!$A$175:$I$195,5,0)*VLOOKUP('Données projet'!$B$14,Paramètres!$A$1:$I$89,7,0))</f>
        <v>0</v>
      </c>
      <c r="DY55" s="16">
        <f>IF(ISNA(VLOOKUP(A55,'Données projet'!$A$175:$I$195,6,0)),0%,VLOOKUP(A55,'Données projet'!$A$175:$I$195,6,0)*VLOOKUP('Données projet'!$B$14,Paramètres!$A$1:$I$89,7,0))</f>
        <v>0</v>
      </c>
      <c r="DZ55" s="16">
        <f>IF(ISNA(VLOOKUP(A55,'Données projet'!$A$175:$I$195,7,0)),0%,VLOOKUP(A55,'Données projet'!$A$175:$I$195,7,0))</f>
        <v>0</v>
      </c>
      <c r="EA55" s="21">
        <f>EXP(-LN(2)/35)*EA54+(1-EXP(-LN(2)/35))/(LN(2)/35)*DW55*DX55*VLOOKUP('Données projet'!$B$14,Paramètres!$A$1:$I$89,3,0)*0.475*44/12</f>
        <v>37.144003986747826</v>
      </c>
      <c r="EB55" s="21">
        <f>EXP(-LN(2)/25)*EB54+(1-EXP(-LN(2)/25))/(LN(2)/25)*Calculateur!DW55*Calculateur!DY55*VLOOKUP('Données projet'!$B$14,Paramètres!$A$1:$I$89,3,0)*0.475*44/12</f>
        <v>9.5091713812621883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46.653175368010011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projet'!$A$201:$I$221,2,0)</f>
        <v>#N/A</v>
      </c>
      <c r="EH55" s="12" t="e">
        <f>VLOOKUP(A55,'Données projet'!$A$201:$I$221,9,0)</f>
        <v>#N/A</v>
      </c>
      <c r="EI55" s="12">
        <f t="array" ref="EI55">INDEX(EH:EH,MIN(IF(ISNUMBER(EH55:EH251),ROW(EH55:EH251),"")))</f>
        <v>10.763461538461542</v>
      </c>
      <c r="EJ55" s="12">
        <f>IF('Données projet'!$A$202&gt;35,EJ54+EI55-ER54,IF(A55&lt;'Données projet'!$A$202,$EG$205^A55,IF(A55='Données projet'!$A$202,'Données projet'!$B$202,EJ54+EI55-ER54)))</f>
        <v>232.29423076923064</v>
      </c>
      <c r="EK55" s="17">
        <f>EJ55*VLOOKUP('Données projet'!$B$15,Paramètres!$A$1:$I$89,3,0)*VLOOKUP('Données projet'!$B$15,Paramètres!$A$1:$I$89,5,0)</f>
        <v>108.71369999999995</v>
      </c>
      <c r="EL55" s="13">
        <f t="shared" si="75"/>
        <v>29.027715101649999</v>
      </c>
      <c r="EM55" s="20">
        <f t="shared" si="19"/>
        <v>239.89963130204032</v>
      </c>
      <c r="EN55" s="59">
        <f t="shared" si="20"/>
        <v>533.23296463537361</v>
      </c>
      <c r="EO55" s="59">
        <f ca="1">AVERAGE(OFFSET($EN$3,0,0,'Données projet'!$E$15+1,1))-AVERAGE(OFFSET($H$3,0,0,'Données projet'!$E$15+1,1))</f>
        <v>147.64256291235483</v>
      </c>
      <c r="EP55" s="59">
        <f t="shared" si="76"/>
        <v>70.859031694091868</v>
      </c>
      <c r="EQ55" s="15">
        <f>IF(ISNA(VLOOKUP(A55,'Données projet'!$A$201:$I$221,3,0)),0,VLOOKUP(A55,'Données projet'!$A$201:$I$221,3,0))</f>
        <v>0</v>
      </c>
      <c r="ER55" s="15">
        <f>IF(ISNA(VLOOKUP(A55,'Données projet'!$A$201:$I$221,4,0)),0,VLOOKUP(A55,'Données projet'!$A$201:$I$221,4,0))</f>
        <v>0</v>
      </c>
      <c r="ES55" s="16">
        <f>IF(ISNA(VLOOKUP(A55,'Données projet'!$A$201:$I$221,5,0)),0%,VLOOKUP(A55,'Données projet'!$A$201:$I$221,5,0)*VLOOKUP('Données projet'!$B$15,Paramètres!$A$1:$I$89,7,0))</f>
        <v>0</v>
      </c>
      <c r="ET55" s="16">
        <f>IF(ISNA(VLOOKUP(A55,'Données projet'!$A$201:$I$221,6,0)),0%,VLOOKUP(A55,'Données projet'!$A$201:$I$221,6,0)*VLOOKUP('Données projet'!$B$15,Paramètres!$A$1:$I$89,7,0))</f>
        <v>0</v>
      </c>
      <c r="EU55" s="16">
        <f>IF(ISNA(VLOOKUP(A55,'Données projet'!$A$201:$I$221,7,0)),0%,VLOOKUP(A55,'Données projet'!$A$201:$I$221,7,0))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18.582519924392354</v>
      </c>
      <c r="EX55" s="21">
        <f>EXP(-LN(2)/2)*EX54+(1-EXP(-LN(2)/2))/(LN(2)/2)*ER55*EU55*VLOOKUP('Données projet'!$B$15,Paramètres!$A$1:$I$89,3,0)*0.475*44/12</f>
        <v>16.536869912202441</v>
      </c>
      <c r="EY55" s="22">
        <f t="shared" si="21"/>
        <v>35.119389836594792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projet'!$A$227:$I$247,2,0)</f>
        <v>#N/A</v>
      </c>
      <c r="FC55" s="12" t="e">
        <f>VLOOKUP(A55,'Données projet'!$A$227:$I$247,9,0)</f>
        <v>#N/A</v>
      </c>
      <c r="FD55" s="12">
        <f t="array" ref="FD55">INDEX(FC:FC,MIN(IF(ISNUMBER(FC55:FC251),ROW(FC55:FC251),"")))</f>
        <v>5.2</v>
      </c>
      <c r="FE55" s="12">
        <f>IF('Données projet'!$A$228&gt;35,FE54+FD55-FM54,IF(A55&lt;'Données projet'!$A$228,$FB$205^A55,IF(A55='Données projet'!$A$228,'Données projet'!$B$228,FE54+FD55-FM54)))</f>
        <v>165.4</v>
      </c>
      <c r="FF55" s="17">
        <f>FE55*VLOOKUP('Données projet'!$B$16,Paramètres!$A$1:$I$89,3,0)*VLOOKUP('Données projet'!$B$16,Paramètres!$A$1:$I$89,5,0)</f>
        <v>172.87608000000003</v>
      </c>
      <c r="FG55" s="13">
        <f t="shared" si="77"/>
        <v>43.733539539795771</v>
      </c>
      <c r="FH55" s="20">
        <f t="shared" si="22"/>
        <v>377.26175403181099</v>
      </c>
      <c r="FI55" s="59">
        <f t="shared" si="23"/>
        <v>670.59508736514431</v>
      </c>
      <c r="FJ55" s="59">
        <f ca="1">AVERAGE(OFFSET($FI$3,0,0,'Données projet'!$E$16+1,1))-AVERAGE(OFFSET($H$3,0,0,'Données projet'!$E$16+1,1))</f>
        <v>259.03906550253788</v>
      </c>
      <c r="FK55" s="59">
        <f t="shared" si="78"/>
        <v>235.54542903570831</v>
      </c>
      <c r="FL55" s="15">
        <f>IF(ISNA(VLOOKUP(A55,'Données projet'!$A$227:$I$247,3,0)),0,VLOOKUP(A55,'Données projet'!$A$227:$I$247,3,0))</f>
        <v>0</v>
      </c>
      <c r="FM55" s="15">
        <f>IF(ISNA(VLOOKUP(A55,'Données projet'!$A$227:$I$247,4,0)),0,VLOOKUP(A55,'Données projet'!$A$227:$I$247,4,0))</f>
        <v>0</v>
      </c>
      <c r="FN55" s="16">
        <f>IF(ISNA(VLOOKUP(A55,'Données projet'!$A$227:$I$247,5,0)),0%,VLOOKUP(A55,'Données projet'!$A$227:$I$247,5,0)*VLOOKUP('Données projet'!$B$16,Paramètres!$A$1:$I$89,7,0))</f>
        <v>0</v>
      </c>
      <c r="FO55" s="16">
        <f>IF(ISNA(VLOOKUP(A55,'Données projet'!$A$227:$I$247,6,0)),0%,VLOOKUP(A55,'Données projet'!$A$227:$I$247,6,0)*VLOOKUP('Données projet'!$B$16,Paramètres!$A$1:$I$89,7,0))</f>
        <v>0</v>
      </c>
      <c r="FP55" s="16">
        <f>IF(ISNA(VLOOKUP(A55,'Données projet'!$A$227:$I$247,7,0)),0%,VLOOKUP(A55,'Données projet'!$A$227:$I$247,7,0))</f>
        <v>0</v>
      </c>
      <c r="FQ55" s="21">
        <f>EXP(-LN(2)/35)*FQ54+(1-EXP(-LN(2)/35))/(LN(2)/35)*FM55*FN55*VLOOKUP('Données projet'!$B$16,Paramètres!$A$1:$I$89,3,0)*0.475*44/12</f>
        <v>0</v>
      </c>
      <c r="FR55" s="21">
        <f>EXP(-LN(2)/25)*FR54+(1-EXP(-LN(2)/25))/(LN(2)/25)*Calculateur!FM55*Calculateur!FO55*VLOOKUP('Données projet'!$B$16,Paramètres!$A$1:$I$89,3,0)*0.475*44/12</f>
        <v>11.633887510744279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11.633887510744279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projet'!$A$253:$I$273,2,0)</f>
        <v>#N/A</v>
      </c>
      <c r="FX55" s="12" t="e">
        <f>VLOOKUP(A55,'Données projet'!$A$253:$I$273,9,0)</f>
        <v>#N/A</v>
      </c>
      <c r="FY55" s="12">
        <f t="array" ref="FY55">INDEX(FX:FX,MIN(IF(ISNUMBER(FX55:FX251),ROW(FX55:FX251),"")))</f>
        <v>6</v>
      </c>
      <c r="FZ55" s="12">
        <f>IF('Données projet'!$A$254&gt;35,FZ54+FY55-GH54,IF(A55&lt;'Données projet'!$A$254,$FW$205^A55,IF(A55='Données projet'!$A$254,'Données projet'!$B$254,FZ54+FY55-GH54)))</f>
        <v>213.99999999999989</v>
      </c>
      <c r="GA55" s="17">
        <f>FZ55*VLOOKUP('Données projet'!$B$17,Paramètres!$A$1:$I$89,3,0)*VLOOKUP('Données projet'!$B$17,Paramètres!$A$1:$I$89,5,0)</f>
        <v>186.95039999999992</v>
      </c>
      <c r="GB55" s="13">
        <f t="shared" si="79"/>
        <v>46.86509597661761</v>
      </c>
      <c r="GC55" s="20">
        <f t="shared" si="25"/>
        <v>407.22865549260882</v>
      </c>
      <c r="GD55" s="59">
        <f t="shared" si="26"/>
        <v>700.56198882594208</v>
      </c>
      <c r="GE55" s="59">
        <f ca="1">AVERAGE(OFFSET($GD$3,0,0,'Données projet'!$E$17+1,1))-AVERAGE(OFFSET($H$3,0,0,'Données projet'!$E$17+1,1))</f>
        <v>245.1983232777614</v>
      </c>
      <c r="GF55" s="59">
        <f t="shared" si="80"/>
        <v>242.34010522344573</v>
      </c>
      <c r="GG55" s="15">
        <f>IF(ISNA(VLOOKUP(A55,'Données projet'!$A$253:$I$273,3,0)),0,VLOOKUP(A55,'Données projet'!$A$253:$I$273,3,0))</f>
        <v>0</v>
      </c>
      <c r="GH55" s="15">
        <f>IF(ISNA(VLOOKUP(A55,'Données projet'!$A$253:$I$273,4,0)),0,VLOOKUP(A55,'Données projet'!$A$253:$I$273,4,0))</f>
        <v>0</v>
      </c>
      <c r="GI55" s="16">
        <f>IF(ISNA(VLOOKUP(A55,'Données projet'!$A$253:$I$273,5,0)),0%,VLOOKUP(A55,'Données projet'!$A$253:$I$273,5,0)*VLOOKUP('Données projet'!$B$17,Paramètres!$A$1:$I$89,7,0))</f>
        <v>0</v>
      </c>
      <c r="GJ55" s="16">
        <f>IF(ISNA(VLOOKUP(A55,'Données projet'!$A$253:$I$273,6,0)),0%,VLOOKUP(A55,'Données projet'!$A$253:$I$273,6,0)*VLOOKUP('Données projet'!$B$17,Paramètres!$A$1:$I$89,7,0))</f>
        <v>0</v>
      </c>
      <c r="GK55" s="16">
        <f>IF(ISNA(VLOOKUP(A55,'Données projet'!$A$253:$I$273,7,0)),0%,VLOOKUP(A55,'Données projet'!$A$253:$I$273,7,0))</f>
        <v>0</v>
      </c>
      <c r="GL55" s="21">
        <f>EXP(-LN(2)/35)*GL54+(1-EXP(-LN(2)/35))/(LN(2)/35)*GH55*GI55*VLOOKUP('Données projet'!$B$17,Paramètres!$A$1:$I$89,3,0)*0.475*44/12</f>
        <v>14.881084759333586</v>
      </c>
      <c r="GM55" s="21">
        <f>EXP(-LN(2)/25)*GM54+(1-EXP(-LN(2)/25))/(LN(2)/25)*Calculateur!GH55*Calculateur!GJ55*VLOOKUP('Données projet'!$B$17,Paramètres!$A$1:$I$89,3,0)*0.475*44/12</f>
        <v>11.776408606558638</v>
      </c>
      <c r="GN55" s="21">
        <f>EXP(-LN(2)/2)*GN54+(1-EXP(-LN(2)/2))/(LN(2)/2)*GH55*GK55*VLOOKUP('Données projet'!$B$17,Paramètres!$A$1:$I$89,3,0)*0.475*44/12</f>
        <v>0</v>
      </c>
      <c r="GO55" s="21">
        <f t="shared" si="27"/>
        <v>26.657493365892222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projet'!$A$279:$I$299,2,0)</f>
        <v>#N/A</v>
      </c>
      <c r="GS55" s="12" t="e">
        <f>VLOOKUP(A55,'Données projet'!$A$279:$I$299,9,0)</f>
        <v>#N/A</v>
      </c>
      <c r="GT55" s="12">
        <f t="array" ref="GT55">INDEX(GS:GS,MIN(IF(ISNUMBER(GS55:GS251),ROW(GS55:GS251),"")))</f>
        <v>13.8</v>
      </c>
      <c r="GU55" s="12">
        <f>IF('Données projet'!$A$280&gt;35,GU54+GT55-HC54,IF(A55&lt;'Données projet'!$A$280,$GR$205^A55,IF(A55='Données projet'!$A$280,'Données projet'!$B$280,GU54+GT55-HC54)))</f>
        <v>604.60000000000025</v>
      </c>
      <c r="GV55" s="17">
        <f>GU55*VLOOKUP('Données projet'!$B$18,Paramètres!$A$1:$I$89,3,0)*VLOOKUP('Données projet'!$B$18,Paramètres!$A$1:$I$89,5,0)</f>
        <v>243.6538000000001</v>
      </c>
      <c r="GW55" s="13">
        <f t="shared" si="81"/>
        <v>59.224970715790356</v>
      </c>
      <c r="GX55" s="20">
        <f t="shared" si="28"/>
        <v>527.51385899666832</v>
      </c>
      <c r="GY55" s="59">
        <f t="shared" si="29"/>
        <v>820.84719233000169</v>
      </c>
      <c r="GZ55" s="59">
        <f ca="1">AVERAGE(OFFSET($GY$3,0,0,'Données projet'!$E$18+1,1))-AVERAGE(OFFSET($H$3,0,0,'Données projet'!$E$18+1,1))</f>
        <v>324.36162935850876</v>
      </c>
      <c r="HA55" s="59">
        <f t="shared" si="82"/>
        <v>265.23571072429735</v>
      </c>
      <c r="HB55" s="15">
        <f>IF(ISNA(VLOOKUP(A55,'Données projet'!$A$279:$I$299,3,0)),0,VLOOKUP(A55,'Données projet'!$A$279:$I$299,3,0))</f>
        <v>0</v>
      </c>
      <c r="HC55" s="15">
        <f>IF(ISNA(VLOOKUP(A55,'Données projet'!$A$279:$I$299,4,0)),0,VLOOKUP(A55,'Données projet'!$A$279:$I$299,4,0))</f>
        <v>0</v>
      </c>
      <c r="HD55" s="16">
        <f>IF(ISNA(VLOOKUP(A55,'Données projet'!$A$279:$I$299,5,0)),0%,VLOOKUP(A55,'Données projet'!$A$279:$I$299,5,0)*VLOOKUP('Données projet'!$B$18,Paramètres!$A$1:$I$89,7,0))</f>
        <v>0</v>
      </c>
      <c r="HE55" s="16">
        <f>IF(ISNA(VLOOKUP(A55,'Données projet'!$A$279:$I$299,6,0)),0%,VLOOKUP(A55,'Données projet'!$A$279:$I$299,6,0)*VLOOKUP('Données projet'!$B$18,Paramètres!$A$1:$I$89,7,0))</f>
        <v>0</v>
      </c>
      <c r="HF55" s="16">
        <f>IF(ISNA(VLOOKUP($A55,'Données projet'!$A$279:$I$299,7,0)),0%,VLOOKUP($A55,'Données projet'!$A$279:$I$299,7,0))</f>
        <v>0</v>
      </c>
      <c r="HG55" s="21">
        <f>EXP(-LN(2)/35)*HG54+(1-EXP(-LN(2)/35))/(LN(2)/35)*HC55*HD55*VLOOKUP('Données projet'!$B$18,Paramètres!$A$1:$I$89,3,0)*0.475*44/12</f>
        <v>7.3594378528383881</v>
      </c>
      <c r="HH55" s="21">
        <f>EXP(-LN(2)/25)*HH54+(1-EXP(-LN(2)/25))/(LN(2)/25)*Calculateur!HC55*Calculateur!HE55*VLOOKUP('Données projet'!$B$18,Paramètres!$A$1:$I$89,3,0)*0.475*44/12</f>
        <v>12.111741051227654</v>
      </c>
      <c r="HI55" s="21">
        <f>EXP(-LN(2)/2)*HI54+(1-EXP(-LN(2)/2))/(LN(2)/2)*HC55*HF55*VLOOKUP('Données projet'!$B$18,Paramètres!$A$1:$I$89,3,0)*0.475*44/12</f>
        <v>0.78387148036141974</v>
      </c>
      <c r="HJ55" s="22">
        <f t="shared" si="30"/>
        <v>20.255050384427463</v>
      </c>
      <c r="HK55" s="74">
        <f>('Scénario référence'!$F$8+'Scénario référence'!$F$9+'Scénario référence'!$B$17+'Scénario référence'!$B$9+'Scénario référence'!$B$10)*70+IF((45+25*(1-EXP(-0.0175*$A55)))&lt;70,'Scénario référence'!$B$16*(45+25*(1-EXP(-0.0175*$A55))),70*'Scénario référence'!$B$16)+IF((32+38*(1-EXP(-0.0175*$A55)))&lt;70,'Scénario référence'!$B$18*(32+38*(1-EXP(-0.0175*$A55))),70*'Scénario référence'!$B$18)</f>
        <v>70</v>
      </c>
      <c r="HL55" s="12">
        <f>IF($A55&gt;30,10,('Scénario référence'!$B$16+'Scénario référence'!$B$17+'Scénario référence'!$B$18+'Scénario référence'!$B$9+'Scénario référence'!$B$10)*$A55*10/30+('Scénario référence'!$F$8+'Scénario référence'!$F$9)*10)</f>
        <v>10</v>
      </c>
      <c r="HM55" s="12" t="e">
        <f>VLOOKUP($A55,'Données projet'!$A$304:$I$324,2,0)</f>
        <v>#N/A</v>
      </c>
      <c r="HN55" s="12" t="e">
        <f>VLOOKUP($A55,'Données projet'!$A$304:$I$324,9,0)</f>
        <v>#N/A</v>
      </c>
      <c r="HO55" s="12">
        <f t="array" ref="HO55">INDEX(HN:HN,MIN(IF(ISNUMBER(HN55:HN251),ROW(HN55:HN251),"")))</f>
        <v>0</v>
      </c>
      <c r="HP55" s="12">
        <f>IF('Données projet'!$A$304&gt;35,HP54+HO55-HX54,IF($A55&lt;'Données projet'!$A$304,$CQ$205^$A55,IF($A55='Données projet'!$A$304,'Données projet'!$B$304,HP54+HO55-HX54)))</f>
        <v>0</v>
      </c>
      <c r="HQ55" s="17">
        <f>HP55*VLOOKUP('Données projet'!$B$19,Paramètres!$A$1:$I$89,3,0)*VLOOKUP('Données projet'!$B$19,Paramètres!$A$1:$I$89,5,0)</f>
        <v>0</v>
      </c>
      <c r="HR55" s="13" t="e">
        <f t="shared" si="83"/>
        <v>#NUM!</v>
      </c>
      <c r="HS55" s="14" t="e">
        <f t="shared" si="31"/>
        <v>#NUM!</v>
      </c>
      <c r="HT55" s="59" t="e">
        <f t="shared" si="32"/>
        <v>#NUM!</v>
      </c>
      <c r="HU55" s="59">
        <f ca="1">AVERAGE(OFFSET(HT$3,0,0,'Données projet'!$E$19+1,1))-AVERAGE(OFFSET($H$3,0,0,'Données projet'!$E$19+1,1))</f>
        <v>91.60721429656013</v>
      </c>
      <c r="HV55" s="59">
        <f t="shared" si="84"/>
        <v>258.94957804210856</v>
      </c>
      <c r="HW55" s="15">
        <f>IF(ISNA(VLOOKUP($A55,'Données projet'!$A$304:$I$324,3,0)),0,VLOOKUP($A55,'Données projet'!$A$304:$I$324,3,0))</f>
        <v>0</v>
      </c>
      <c r="HX55" s="15">
        <f>IF(ISNA(VLOOKUP($A55,'Données projet'!$A$304:$I$324,4,0)),0,VLOOKUP($A55,'Données projet'!$A$304:$I$324,4,0))</f>
        <v>0</v>
      </c>
      <c r="HY55" s="16">
        <f>IF(ISNA(VLOOKUP($A55,'Données projet'!$A$304:$I$324,5,0)),0%,VLOOKUP($A55,'Données projet'!$A$304:$I$324,5,0)*VLOOKUP('Données projet'!$B$19,Paramètres!$A$1:$I$89,7,0))</f>
        <v>0</v>
      </c>
      <c r="HZ55" s="16">
        <f>IF(ISNA(VLOOKUP($A55,'Données projet'!$A$304:$I$324,6,0)),0%,VLOOKUP($A55,'Données projet'!$A$304:$I$324,6,0)*VLOOKUP('Données projet'!$B$19,Paramètres!$A$1:$I$89,7,0))</f>
        <v>0</v>
      </c>
      <c r="IA55" s="16">
        <f>IF(ISNA(VLOOKUP($A55,'Données projet'!$A$304:$I$324,7,0)),0%,VLOOKUP($A55,'Données projet'!$A$304:$I$324,7,0))</f>
        <v>0</v>
      </c>
      <c r="IB55" s="21">
        <f>EXP(-LN(2)/35)*IB54+(1-EXP(-LN(2)/35))/(LN(2)/35)*HX55*HY55*VLOOKUP('Données projet'!$B$19,Paramètres!$A$1:$I$89,3,0)*0.475*44/12</f>
        <v>31.909211479647187</v>
      </c>
      <c r="IC55" s="21">
        <f>EXP(-LN(2)/25)*IC54+(1-EXP(-LN(2)/25))/(LN(2)/25)*Calculateur!HX55*Calculateur!HZ55*VLOOKUP('Données projet'!$B$19,Paramètres!$A$1:$I$89,3,0)*0.475*44/12</f>
        <v>5.2857298560429768</v>
      </c>
      <c r="ID55" s="21">
        <f>EXP(-LN(2)/2)*ID54+(1-EXP(-LN(2)/2))/(LN(2)/2)*HX55*IA55*VLOOKUP('Données projet'!$B$19,Paramètres!$A$1:$I$89,3,0)*0.475*44/12</f>
        <v>2.7971304284373904E-4</v>
      </c>
      <c r="IE55" s="22">
        <f t="shared" si="33"/>
        <v>37.195221048733003</v>
      </c>
      <c r="IF55" s="74">
        <f>('Scénario référence'!$F$8+'Scénario référence'!$F$9+'Scénario référence'!$B$17+'Scénario référence'!$B$9+'Scénario référence'!$B$10)*70+IF((45+25*(1-EXP(-0.0175*$A55)))&lt;70,'Scénario référence'!$B$16*(45+25*(1-EXP(-0.0175*$A55))),70*'Scénario référence'!$B$16)+IF((32+38*(1-EXP(-0.0175*$A55)))&lt;70,'Scénario référence'!$B$18*(32+38*(1-EXP(-0.0175*$A55))),70*'Scénario référence'!$B$18)</f>
        <v>70</v>
      </c>
      <c r="IG55" s="12">
        <f>IF($A55&gt;30,10,('Scénario référence'!$B$16+'Scénario référence'!$B$17+'Scénario référence'!$B$18+'Scénario référence'!$B$9+'Scénario référence'!$B$10)*$A55*10/30+('Scénario référence'!$F$8+'Scénario référence'!$F$9)*10)</f>
        <v>10</v>
      </c>
      <c r="IH55" s="12" t="e">
        <f>VLOOKUP($A55,'Données projet'!$A$330:$I$350,2,0)</f>
        <v>#N/A</v>
      </c>
      <c r="II55" s="12" t="e">
        <f>VLOOKUP($A55,'Données projet'!$A$330:$I$350,9,0)</f>
        <v>#N/A</v>
      </c>
      <c r="IJ55" s="12">
        <f t="array" ref="IJ55">INDEX(II:II,MIN(IF(ISNUMBER(II55:II251),ROW(II55:II251),"")))</f>
        <v>0</v>
      </c>
      <c r="IK55" s="12">
        <f>IF('Données projet'!$A$330&gt;35,IK54+IJ55-IS54,IF($A55&lt;'Données projet'!$A$330,$CQ$205^$A55,IF($A55='Données projet'!$A$330,'Données projet'!$B$330,IK54+IJ55-IS54)))</f>
        <v>0</v>
      </c>
      <c r="IL55" s="17">
        <f>IK55*VLOOKUP('Données projet'!$B$20,Paramètres!$A$1:$I$89,3,0)*VLOOKUP('Données projet'!$B$20,Paramètres!$A$1:$I$89,5,0)</f>
        <v>0</v>
      </c>
      <c r="IM55" s="13" t="e">
        <f t="shared" si="85"/>
        <v>#NUM!</v>
      </c>
      <c r="IN55" s="20" t="e">
        <f t="shared" si="86"/>
        <v>#NUM!</v>
      </c>
      <c r="IO55" s="59" t="e">
        <f t="shared" si="87"/>
        <v>#NUM!</v>
      </c>
      <c r="IP55" s="59">
        <f ca="1">AVERAGE(OFFSET(IO$3,0,0,'Données projet'!$E$20+1,1))-AVERAGE(OFFSET($H$3,0,0,'Données projet'!$E$20+1,1))</f>
        <v>91.60721429656013</v>
      </c>
      <c r="IQ55" s="59">
        <f t="shared" si="88"/>
        <v>258.94957804210856</v>
      </c>
      <c r="IR55" s="15">
        <f>IF(ISNA(VLOOKUP($A55,'Données projet'!$A$330:$I$350,3,0)),0,VLOOKUP($A55,'Données projet'!$A$330:$I$350,3,0))</f>
        <v>0</v>
      </c>
      <c r="IS55" s="15">
        <f>IF(ISNA(VLOOKUP($A55,'Données projet'!$A$330:$I$350,4,0)),0,VLOOKUP($A55,'Données projet'!$A$330:$I$350,4,0))</f>
        <v>0</v>
      </c>
      <c r="IT55" s="16">
        <f>IF(ISNA(VLOOKUP($A55,'Données projet'!$A$330:$I$350,5,0)),0%,VLOOKUP($A55,'Données projet'!$A$330:$I$350,5,0)*VLOOKUP('Données projet'!$B$20,Paramètres!$A$1:$I$89,7,0))</f>
        <v>0</v>
      </c>
      <c r="IU55" s="16">
        <f>IF(ISNA(VLOOKUP($A55,'Données projet'!$A$330:$I$350,6,0)),0%,VLOOKUP($A55,'Données projet'!$A$330:$I$350,6,0)*VLOOKUP('Données projet'!$B$20,Paramètres!$A$1:$I$89,7,0))</f>
        <v>0</v>
      </c>
      <c r="IV55" s="16">
        <f>IF(ISNA(VLOOKUP($A55,'Données projet'!$A$330:$I$350,7,0)),0%,VLOOKUP($A55,'Données projet'!$A$330:$I$350,7,0))</f>
        <v>0</v>
      </c>
      <c r="IW55" s="21">
        <f>EXP(-LN(2)/35)*IW54+(1-EXP(-LN(2)/35))/(LN(2)/35)*IS55*IT55*VLOOKUP('Données projet'!$B$20,Paramètres!$A$1:$I$89,3,0)*0.475*44/12</f>
        <v>31.909211479647187</v>
      </c>
      <c r="IX55" s="21">
        <f>EXP(-LN(2)/25)*IX54+(1-EXP(-LN(2)/25))/(LN(2)/25)*Calculateur!IS55*Calculateur!IU55*VLOOKUP('Données projet'!$B$20,Paramètres!$A$1:$I$89,3,0)*0.475*44/12</f>
        <v>5.2857298560429768</v>
      </c>
      <c r="IY55" s="21">
        <f>EXP(-LN(2)/2)*IY54+(1-EXP(-LN(2)/2))/(LN(2)/2)*IS55*IV55*VLOOKUP('Données projet'!$B$20,Paramètres!$A$1:$I$89,3,0)*0.475*44/12</f>
        <v>2.7971304284373904E-4</v>
      </c>
      <c r="IZ55" s="22">
        <f t="shared" si="89"/>
        <v>37.195221048733003</v>
      </c>
      <c r="JA55" s="74">
        <f>('Scénario référence'!$F$8+'Scénario référence'!$F$9+'Scénario référence'!$B$17+'Scénario référence'!$B$9+'Scénario référence'!$B$10)*70+IF((45+25*(1-EXP(-0.0175*$A55)))&lt;70,'Scénario référence'!$B$16*(45+25*(1-EXP(-0.0175*$A55))),70*'Scénario référence'!$B$16)+IF((32+38*(1-EXP(-0.0175*$A55)))&lt;70,'Scénario référence'!$B$18*(32+38*(1-EXP(-0.0175*$A55))),70*'Scénario référence'!$B$18)</f>
        <v>70</v>
      </c>
      <c r="JB55" s="12">
        <f>IF($A55&gt;30,10,('Scénario référence'!$B$16+'Scénario référence'!$B$17+'Scénario référence'!$B$18+'Scénario référence'!$B$9+'Scénario référence'!$B$10)*$A55*10/30+('Scénario référence'!$F$8+'Scénario référence'!$F$9)*10)</f>
        <v>10</v>
      </c>
      <c r="JC55" s="12" t="e">
        <f>VLOOKUP($A55,'Données projet'!$A$356:$I$376,2,0)</f>
        <v>#N/A</v>
      </c>
      <c r="JD55" s="12" t="e">
        <f>VLOOKUP($A55,'Données projet'!$A$356:$I$376,9,0)</f>
        <v>#N/A</v>
      </c>
      <c r="JE55" s="12">
        <f t="array" ref="JE55">INDEX(JD:JD,MIN(IF(ISNUMBER(JD55:JD251),ROW(JD55:JD251),"")))</f>
        <v>11</v>
      </c>
      <c r="JF55" s="12">
        <f>IF('Données projet'!$A$356&gt;35,JF54+JE55-JN54,IF($A55&lt;'Données projet'!$A$356,$CQ$205^$A55,IF($A55='Données projet'!$A$356,'Données projet'!$B$356,JF54+JE55-JN54)))</f>
        <v>211.00000000000009</v>
      </c>
      <c r="JG55" s="17">
        <f>JF55*VLOOKUP('Données projet'!$B$21,Paramètres!$A$1:$I$89,3,0)*VLOOKUP('Données projet'!$B$21,Paramètres!$A$1:$I$89,5,0)</f>
        <v>171.16320000000007</v>
      </c>
      <c r="JH55" s="13">
        <f t="shared" si="90"/>
        <v>43.350438209113932</v>
      </c>
      <c r="JI55" s="20">
        <f t="shared" si="91"/>
        <v>373.6112532142069</v>
      </c>
      <c r="JJ55" s="59">
        <f t="shared" si="92"/>
        <v>666.94458654754021</v>
      </c>
      <c r="JK55" s="59">
        <f ca="1">AVERAGE(OFFSET($JJ$3,0,0,'Données projet'!$E$22+1,1))-AVERAGE(OFFSET($H$3,0,0,'Données projet'!$E$22+1,1))</f>
        <v>353.35574633294613</v>
      </c>
      <c r="JL55" s="59">
        <f t="shared" si="93"/>
        <v>170.36796666474726</v>
      </c>
      <c r="JM55" s="15">
        <f>IF(ISNA(VLOOKUP($A55,'Données projet'!$A$356:$I$376,3,0)),0,VLOOKUP($A55,'Données projet'!$A$356:$I$376,3,0))</f>
        <v>0</v>
      </c>
      <c r="JN55" s="15">
        <f>IF(ISNA(VLOOKUP($A55,'Données projet'!$A$356:$I$376,4,0)),0,VLOOKUP($A55,'Données projet'!$A$356:$I$376,4,0))</f>
        <v>0</v>
      </c>
      <c r="JO55" s="16">
        <f>IF(ISNA(VLOOKUP($A55,'Données projet'!$A$356:$I$376,5,0)),0%,VLOOKUP($A55,'Données projet'!$A$356:$I$376,5,0)*VLOOKUP('Données projet'!$B$21,Paramètres!$A$1:$I$89,7,0))</f>
        <v>0</v>
      </c>
      <c r="JP55" s="16">
        <f>IF(ISNA(VLOOKUP($A55,'Données projet'!$A$356:$I$376,6,0)),0%,VLOOKUP($A55,'Données projet'!$A$356:$I$376,6,0)*VLOOKUP('Données projet'!$B$21,Paramètres!$A$1:$I$89,7,0))</f>
        <v>0</v>
      </c>
      <c r="JQ55" s="16">
        <f>IF(ISNA(VLOOKUP($A55,'Données projet'!$A$356:$I$376,7,0)),0%,VLOOKUP($A55,'Données projet'!$A$356:$I$376,7,0))</f>
        <v>0</v>
      </c>
      <c r="JR55" s="21">
        <f>EXP(-LN(2)/35)*JR54+(1-EXP(-LN(2)/35))/(LN(2)/35)*JN55*JO55*VLOOKUP('Données projet'!$B$21,Paramètres!$A$1:$I$89,3,0)*0.475*44/12</f>
        <v>0</v>
      </c>
      <c r="JS55" s="21">
        <f>EXP(-LN(2)/25)*JS54+(1-EXP(-LN(2)/25))/(LN(2)/25)*Calculateur!JN55*Calculateur!JP55*VLOOKUP('Données projet'!$B$21,Paramètres!$A$1:$I$89,3,0)*0.475*44/12</f>
        <v>3.3454850500017121</v>
      </c>
      <c r="JT55" s="21">
        <f>EXP(-LN(2)/2)*JT54+(1-EXP(-LN(2)/2))/(LN(2)/2)*JN55*JQ55*VLOOKUP('Données projet'!$B$21,Paramètres!$A$1:$I$89,3,0)*0.475*44/12</f>
        <v>3.9042614164263498</v>
      </c>
      <c r="JU55" s="18">
        <f t="shared" si="39"/>
        <v>7.2497464664280624</v>
      </c>
      <c r="JV55" s="74">
        <f>('Scénario référence'!$F$8+'Scénario référence'!$F$9+'Scénario référence'!$B$17+'Scénario référence'!$B$9+'Scénario référence'!$B$10)*70+IF((45+25*(1-EXP(-0.0175*$A55)))&lt;70,'Scénario référence'!$B$16*(45+25*(1-EXP(-0.0175*$A55))),70*'Scénario référence'!$B$16)+IF((32+38*(1-EXP(-0.0175*$A55)))&lt;70,'Scénario référence'!$B$18*(32+38*(1-EXP(-0.0175*$A55))),70*'Scénario référence'!$B$18)</f>
        <v>70</v>
      </c>
      <c r="JW55" s="12">
        <f>IF($A55&gt;30,10,('Scénario référence'!$B$16+'Scénario référence'!$B$17+'Scénario référence'!$B$18+'Scénario référence'!$B$9+'Scénario référence'!$B$10)*$A55*10/30+('Scénario référence'!$F$8+'Scénario référence'!$F$9)*10)</f>
        <v>10</v>
      </c>
      <c r="JX55" s="12" t="e">
        <f>VLOOKUP($A55,'Données projet'!$A$382:$I$402,2,0)</f>
        <v>#N/A</v>
      </c>
      <c r="JY55" s="12" t="e">
        <f>VLOOKUP($A55,'Données projet'!$A$382:$I$402,9,0)</f>
        <v>#N/A</v>
      </c>
      <c r="JZ55" s="12">
        <f t="array" ref="JZ55">INDEX(JY:JY,MIN(IF(ISNUMBER(JY55:JY251),ROW(JY55:JY251),"")))</f>
        <v>8.8736263736263741</v>
      </c>
      <c r="KA55" s="12">
        <f>IF('Données projet'!$A$382&gt;35,KA54+JZ55-KI54,IF($A55&lt;'Données projet'!$A$382,$CQ$205^$A55,IF($A55='Données projet'!$A$382,'Données projet'!$B$382,KA54+JZ55-KI54)))</f>
        <v>171.82142857142858</v>
      </c>
      <c r="KB55" s="17">
        <f>KA55*VLOOKUP('Données projet'!$B$22,Paramètres!$A$1:$I$89,3,0)*VLOOKUP('Données projet'!$B$22,Paramètres!$A$1:$I$89,5,0)</f>
        <v>115.25781428571429</v>
      </c>
      <c r="KC55" s="13">
        <f t="shared" si="94"/>
        <v>30.566380299144438</v>
      </c>
      <c r="KD55" s="20">
        <f t="shared" si="95"/>
        <v>253.97713890196226</v>
      </c>
      <c r="KE55" s="59">
        <f t="shared" si="96"/>
        <v>547.31047223529561</v>
      </c>
      <c r="KF55" s="59">
        <f ca="1">AVERAGE(OFFSET($KE$3,0,0,'Données projet'!$E$22+1,1))-AVERAGE(OFFSET($H$3,0,0,'Données projet'!$E$22+1,1))</f>
        <v>193.91714772848269</v>
      </c>
      <c r="KG55" s="59">
        <f t="shared" si="97"/>
        <v>159.20429420478047</v>
      </c>
      <c r="KH55" s="15">
        <f>IF(ISNA(VLOOKUP($A55,'Données projet'!$A$382:$I$402,3,0)),0,VLOOKUP($A55,'Données projet'!$A$382:$I$402,3,0))</f>
        <v>0</v>
      </c>
      <c r="KI55" s="15">
        <f>IF(ISNA(VLOOKUP($A55,'Données projet'!$A$382:$I$402,4,0)),0,VLOOKUP($A55,'Données projet'!$A$382:$I$402,4,0))</f>
        <v>0</v>
      </c>
      <c r="KJ55" s="16">
        <f>IF(ISNA(VLOOKUP($A55,'Données projet'!$A$382:$I$402,5,0)),0%,VLOOKUP($A55,'Données projet'!$A$382:$I$402,5,0)*VLOOKUP('Données projet'!$B$22,Paramètres!$A$1:$I$89,7,0))</f>
        <v>0</v>
      </c>
      <c r="KK55" s="16">
        <f>IF(ISNA(VLOOKUP($A55,'Données projet'!$A$382:$I$402,6,0)),0%,VLOOKUP($A55,'Données projet'!$A$382:$I$402,6,0)*VLOOKUP('Données projet'!$B$22,Paramètres!$A$1:$I$89,7,0))</f>
        <v>0</v>
      </c>
      <c r="KL55" s="16">
        <f>IF(ISNA(VLOOKUP($A55,'Données projet'!$A$382:$I$402,7,0)),0%,VLOOKUP($A55,'Données projet'!$A$382:$I$402,7,0))</f>
        <v>0</v>
      </c>
      <c r="KM55" s="21">
        <f>EXP(-LN(2)/35)*KM54+(1-EXP(-LN(2)/35))/(LN(2)/35)*KI55*KJ55*VLOOKUP('Données projet'!$B$22,Paramètres!$A$1:$I$89,3,0)*0.475*44/12</f>
        <v>0</v>
      </c>
      <c r="KN55" s="21">
        <f>EXP(-LN(2)/25)*KN54+(1-EXP(-LN(2)/25))/(LN(2)/25)*Calculateur!KI55*Calculateur!KK55*VLOOKUP('Données projet'!$B$22,Paramètres!$A$1:$I$89,3,0)*0.475*44/12</f>
        <v>0</v>
      </c>
      <c r="KO55" s="21">
        <f>EXP(-LN(2)/2)*KO54+(1-EXP(-LN(2)/2))/(LN(2)/2)*KI55*KL55*VLOOKUP('Données projet'!$B$22,Paramètres!$A$1:$I$89,3,0)*0.475*44/12</f>
        <v>0</v>
      </c>
      <c r="KP55" s="22">
        <f t="shared" si="98"/>
        <v>0</v>
      </c>
      <c r="KQ55" s="74">
        <f>('Scénario référence'!$F$8+'Scénario référence'!$F$9+'Scénario référence'!$B$17+'Scénario référence'!$B$9+'Scénario référence'!$B$10)*70+IF((45+25*(1-EXP(-0.0175*$A55)))&lt;70,'Scénario référence'!$B$16*(45+25*(1-EXP(-0.0175*$A55))),70*'Scénario référence'!$B$16)+IF((32+38*(1-EXP(-0.0175*$A55)))&lt;70,'Scénario référence'!$B$18*(32+38*(1-EXP(-0.0175*$A55))),70*'Scénario référence'!$B$18)</f>
        <v>70</v>
      </c>
      <c r="KR55" s="12">
        <f>IF($A55&gt;30,10,('Scénario référence'!$B$16+'Scénario référence'!$B$17+'Scénario référence'!$B$18+'Scénario référence'!$B$9+'Scénario référence'!$B$10)*$A55*10/30+('Scénario référence'!$F$8+'Scénario référence'!$F$9)*10)</f>
        <v>10</v>
      </c>
      <c r="KS55" s="12" t="e">
        <f>VLOOKUP($A55,'Données projet'!$A$408:$I$428,2,0)</f>
        <v>#N/A</v>
      </c>
      <c r="KT55" s="12" t="e">
        <f>VLOOKUP($A55,'Données projet'!$A$408:$I$428,9,0)</f>
        <v>#N/A</v>
      </c>
      <c r="KU55" s="12">
        <f t="array" ref="KU55">INDEX(KT:KT,MIN(IF(ISNUMBER(KT55:KT251),ROW(KT55:KT251),"")))</f>
        <v>6</v>
      </c>
      <c r="KV55" s="12">
        <f>IF('Données projet'!$A$408&gt;35,KV54+KU55-LD54,IF($A55&lt;'Données projet'!$A$408,$CQ$205^$A55,IF($A55='Données projet'!$A$408,'Données projet'!$B$408,KV54+KU55-LD54)))</f>
        <v>213.99999999999991</v>
      </c>
      <c r="KW55" s="17">
        <f>KV55*VLOOKUP('Données projet'!$B$23,Paramètres!$A$1:$I$89,3,0)*VLOOKUP('Données projet'!$B$23,Paramètres!$A$1:$I$89,5,0)</f>
        <v>186.95039999999995</v>
      </c>
      <c r="KX55" s="13">
        <f t="shared" si="99"/>
        <v>46.86509597661761</v>
      </c>
      <c r="KY55" s="14">
        <f t="shared" si="43"/>
        <v>407.22865549260888</v>
      </c>
      <c r="KZ55" s="59">
        <f t="shared" si="44"/>
        <v>700.56198882594219</v>
      </c>
      <c r="LA55" s="59">
        <f ca="1">AVERAGE(OFFSET($KZ$3,0,0,'Données projet'!$E$23+1,1))-AVERAGE(OFFSET($H$3,0,0,'Données projet'!$E$23+1,1))</f>
        <v>248.33596943633819</v>
      </c>
      <c r="LB55" s="59">
        <f t="shared" si="100"/>
        <v>242.34010522344573</v>
      </c>
      <c r="LC55" s="15">
        <f>IF(ISNA(VLOOKUP($A55,'Données projet'!$A$408:$I$428,3,0)),0,VLOOKUP($A55,'Données projet'!$A$408:$I$428,3,0))</f>
        <v>0</v>
      </c>
      <c r="LD55" s="15">
        <f>IF(ISNA(VLOOKUP($A55,'Données projet'!$A$408:$I$428,4,0)),0,VLOOKUP($A55,'Données projet'!$A$408:$I$428,4,0))</f>
        <v>0</v>
      </c>
      <c r="LE55" s="16">
        <f>IF(ISNA(VLOOKUP($A55,'Données projet'!$A$408:$I$428,5,0)),0%,VLOOKUP($A55,'Données projet'!$A$408:$I$428,5,0)*VLOOKUP('Données projet'!$B$23,Paramètres!$A$1:$I$89,7,0))</f>
        <v>0</v>
      </c>
      <c r="LF55" s="16">
        <f>IF(ISNA(VLOOKUP($A55,'Données projet'!$A$408:$I$428,6,0)),0%,VLOOKUP($A55,'Données projet'!$A$408:$I$428,6,0)*VLOOKUP('Données projet'!$B$23,Paramètres!$A$1:$I$89,7,0))</f>
        <v>0</v>
      </c>
      <c r="LG55" s="16">
        <f>IF(ISNA(VLOOKUP($A55,'Données projet'!$A$408:$I$428,7,0)),0%,VLOOKUP($A55,'Données projet'!$A$408:$I$428,7,0))</f>
        <v>0</v>
      </c>
      <c r="LH55" s="21">
        <f>EXP(-LN(2)/35)*LH54+(1-EXP(-LN(2)/35))/(LN(2)/35)*LD55*LE55*VLOOKUP('Données projet'!$B$23,Paramètres!$A$1:$I$89,3,0)*0.475*44/12</f>
        <v>14.881084759333586</v>
      </c>
      <c r="LI55" s="21">
        <f>EXP(-LN(2)/25)*LI54+(1-EXP(-LN(2)/25))/(LN(2)/25)*Calculateur!LD55*Calculateur!LF55*VLOOKUP('Données projet'!$B$23,Paramètres!$A$1:$I$89,3,0)*0.475*44/12</f>
        <v>11.776408606558638</v>
      </c>
      <c r="LJ55" s="21">
        <f>EXP(-LN(2)/2)*LJ54+(1-EXP(-LN(2)/2))/(LN(2)/2)*LD55*LG55*VLOOKUP('Données projet'!$B$23,Paramètres!$A$1:$I$89,3,0)*0.475*44/12</f>
        <v>0</v>
      </c>
      <c r="LK55" s="22">
        <f t="shared" si="101"/>
        <v>26.657493365892222</v>
      </c>
      <c r="LL55" s="74">
        <f>('Scénario référence'!$F$8+'Scénario référence'!$F$9+'Scénario référence'!$B$17+'Scénario référence'!$B$9+'Scénario référence'!$B$10)*70+IF((45+25*(1-EXP(-0.0175*$A55)))&lt;70,'Scénario référence'!$B$16*(45+25*(1-EXP(-0.0175*$A55))),70*'Scénario référence'!$B$16)+IF((32+38*(1-EXP(-0.0175*$A55)))&lt;70,'Scénario référence'!$B$18*(32+38*(1-EXP(-0.0175*$A55))),70*'Scénario référence'!$B$18)</f>
        <v>70</v>
      </c>
      <c r="LM55" s="12">
        <f>IF($A55&gt;30,10,('Scénario référence'!$B$16+'Scénario référence'!$B$17+'Scénario référence'!$B$18+'Scénario référence'!$B$9+'Scénario référence'!$B$10)*$A55*10/30+('Scénario référence'!$F$8+'Scénario référence'!$F$9)*10)</f>
        <v>10</v>
      </c>
      <c r="LN55" s="12" t="e">
        <f>VLOOKUP($A55,'Données projet'!$A$434:$I$454,2,0)</f>
        <v>#N/A</v>
      </c>
      <c r="LO55" s="12" t="e">
        <f>VLOOKUP($A55,'Données projet'!$A$434:$I$454,9,0)</f>
        <v>#N/A</v>
      </c>
      <c r="LP55" s="12">
        <f t="array" ref="LP55">INDEX(LO:LO,MIN(IF(ISNUMBER(LO55:LO251),ROW(LO55:LO251),"")))</f>
        <v>6.3942307692307701</v>
      </c>
      <c r="LQ55" s="12">
        <f>IF('Données projet'!$A$434&gt;35,LQ54+LP55-LY54,IF($A55&lt;'Données projet'!$A$434,$CQ$205^$A55,IF($A55='Données projet'!$A$434,'Données projet'!$B$434,LQ54+LP55-LY54)))</f>
        <v>114.49679487179483</v>
      </c>
      <c r="LR55" s="17">
        <f>LQ55*VLOOKUP('Données projet'!$B$24,Paramètres!$A$1:$I$89,3,0)*VLOOKUP('Données projet'!$B$24,Paramètres!$A$1:$I$89,5,0)</f>
        <v>116.09974999999996</v>
      </c>
      <c r="LS55" s="13">
        <f t="shared" si="102"/>
        <v>30.763588103307637</v>
      </c>
      <c r="LT55" s="14">
        <f t="shared" si="46"/>
        <v>255.78698052992738</v>
      </c>
      <c r="LU55" s="59">
        <f t="shared" si="103"/>
        <v>549.12031386326066</v>
      </c>
      <c r="LV55" s="59">
        <f ca="1">AVERAGE(OFFSET($LU$3,0,0,'Données projet'!$E$24+1,1))-AVERAGE(OFFSET($H$3,0,0,'Données projet'!$E$24+1,1))</f>
        <v>260.52627655062872</v>
      </c>
      <c r="LW55" s="59">
        <f t="shared" si="104"/>
        <v>159.20429420478047</v>
      </c>
      <c r="LX55" s="15">
        <f>IF(ISNA(VLOOKUP($A55,'Données projet'!$A$434:$I$454,3,0)),0,VLOOKUP($A55,'Données projet'!$A$434:$I$454,3,0))</f>
        <v>0</v>
      </c>
      <c r="LY55" s="15">
        <f>IF(ISNA(VLOOKUP($A55,'Données projet'!$A$434:$I$454,4,0)),0,VLOOKUP($A55,'Données projet'!$A$434:$I$454,4,0))</f>
        <v>0</v>
      </c>
      <c r="LZ55" s="16">
        <f>IF(ISNA(VLOOKUP($A55,'Données projet'!$A$434:$I$454,5,0)),0%,VLOOKUP($A55,'Données projet'!$A$434:$I$454,5,0)*VLOOKUP('Données projet'!$B$24,Paramètres!$A$1:$I$89,7,0))</f>
        <v>0</v>
      </c>
      <c r="MA55" s="16">
        <f>IF(ISNA(VLOOKUP($A55,'Données projet'!$A$434:$I$454,6,0)),0%,VLOOKUP($A55,'Données projet'!$A$434:$I$454,6,0)*VLOOKUP('Données projet'!$B$24,Paramètres!$A$1:$I$89,7,0))</f>
        <v>0</v>
      </c>
      <c r="MB55" s="16">
        <f>IF(ISNA(VLOOKUP($A55,'Données projet'!$A$434:$I$454,7,0)),0%,VLOOKUP($A55,'Données projet'!$A$434:$I$454,7,0))</f>
        <v>0</v>
      </c>
      <c r="MC55" s="21">
        <f>EXP(-LN(2)/35)*MC54+(1-EXP(-LN(2)/35))/(LN(2)/35)*LY55*LZ55*VLOOKUP('Données projet'!$B$24,Paramètres!$A$1:$I$89,3,0)*0.475*44/12</f>
        <v>0</v>
      </c>
      <c r="MD55" s="21">
        <f>EXP(-LN(2)/25)*MD54+(1-EXP(-LN(2)/25))/(LN(2)/25)*Calculateur!LY55*Calculateur!MA55*VLOOKUP('Données projet'!$B$24,Paramètres!$A$1:$I$89,3,0)*0.475*44/12</f>
        <v>0</v>
      </c>
      <c r="ME55" s="21">
        <f>EXP(-LN(2)/2)*ME54+(1-EXP(-LN(2)/2))/(LN(2)/2)*LY55*MB55*VLOOKUP('Données projet'!$B$24,Paramètres!$A$1:$I$89,3,0)*0.475*44/12</f>
        <v>0</v>
      </c>
      <c r="MF55" s="22">
        <f t="shared" si="105"/>
        <v>0</v>
      </c>
      <c r="MG55" s="74">
        <f>('Scénario référence'!$F$8+'Scénario référence'!$F$9+'Scénario référence'!$B$17+'Scénario référence'!$B$9+'Scénario référence'!$B$10)*70+IF((45+25*(1-EXP(-0.0175*$A55)))&lt;70,'Scénario référence'!$B$16*(45+25*(1-EXP(-0.0175*$A55))),70*'Scénario référence'!$B$16)+IF((32+38*(1-EXP(-0.0175*$A55)))&lt;70,'Scénario référence'!$B$18*(32+38*(1-EXP(-0.0175*$A55))),70*'Scénario référence'!$B$18)</f>
        <v>70</v>
      </c>
      <c r="MH55" s="12">
        <f>IF($A55&gt;30,10,('Scénario référence'!$B$16+'Scénario référence'!$B$17+'Scénario référence'!$B$18+'Scénario référence'!$B$9+'Scénario référence'!$B$10)*$A55*10/30+('Scénario référence'!$F$8+'Scénario référence'!$F$9)*10)</f>
        <v>10</v>
      </c>
      <c r="MI55" s="12" t="e">
        <f>VLOOKUP($A55,'Données projet'!$A$460:$I$480,2,0)</f>
        <v>#N/A</v>
      </c>
      <c r="MJ55" s="12" t="e">
        <f>VLOOKUP($A55,'Données projet'!$A$460:$I$480,9,0)</f>
        <v>#N/A</v>
      </c>
      <c r="MK55" s="12">
        <f t="array" ref="MK55">INDEX(MJ:MJ,MIN(IF(ISNUMBER(MJ55:MJ251),ROW(MJ55:MJ251),"")))</f>
        <v>0</v>
      </c>
      <c r="ML55" s="12">
        <f>IF('Données projet'!$A$460&gt;35,ML54+MK55-MT54,IF($A55&lt;'Données projet'!$A$460,$CQ$205^$A55,IF($A55='Données projet'!$A$460,'Données projet'!$B$460,ML54+MK55-MT54)))</f>
        <v>0</v>
      </c>
      <c r="MM55" s="17" t="e">
        <f>ML55*VLOOKUP('Données projet'!$B$25,Paramètres!$A$1:$I$89,3,0)*VLOOKUP('Données projet'!$B$25,Paramètres!$A$1:$I$89,5,0)</f>
        <v>#N/A</v>
      </c>
      <c r="MN55" s="13" t="e">
        <f t="shared" si="106"/>
        <v>#N/A</v>
      </c>
      <c r="MO55" s="14" t="e">
        <f t="shared" si="49"/>
        <v>#N/A</v>
      </c>
      <c r="MP55" s="59" t="e">
        <f t="shared" si="50"/>
        <v>#N/A</v>
      </c>
      <c r="MQ55" s="20" t="e">
        <f ca="1">AVERAGE(OFFSET($MP$3,0,0,'Données projet'!$E$25+1,1))-AVERAGE(OFFSET($H$3,0,0,'Données projet'!$E$25+1,1))</f>
        <v>#N/A</v>
      </c>
      <c r="MR55" s="59" t="e">
        <f t="shared" si="107"/>
        <v>#N/A</v>
      </c>
      <c r="MS55" s="15">
        <f>IF(ISNA(VLOOKUP($A55,'Données projet'!$A$460:$I$480,3,0)),0,VLOOKUP($A55,'Données projet'!$A$460:$I$480,3,0))</f>
        <v>0</v>
      </c>
      <c r="MT55" s="15">
        <f>IF(ISNA(VLOOKUP($A55,'Données projet'!$A$460:$I$480,4,0)),0,VLOOKUP($A55,'Données projet'!$A$460:$I$480,4,0))</f>
        <v>0</v>
      </c>
      <c r="MU55" s="16">
        <f>IF(ISNA(VLOOKUP($A55,'Données projet'!$A$460:$I$480,5,0)),0%,VLOOKUP($A55,'Données projet'!$A$460:$I$480,5,0)*VLOOKUP('Données projet'!$B$25,Paramètres!$A$1:$I$89,7,0))</f>
        <v>0</v>
      </c>
      <c r="MV55" s="16">
        <f>IF(ISNA(VLOOKUP($A55,'Données projet'!$A$460:$I$480,6,0)),0%,VLOOKUP($A55,'Données projet'!$A$460:$I$480,6,0)*VLOOKUP('Données projet'!$B$25,Paramètres!$A$1:$I$89,7,0))</f>
        <v>0</v>
      </c>
      <c r="MW55" s="16">
        <f>IF(ISNA(VLOOKUP($A55,'Données projet'!$A$460:$I$480,7,0)),0%,VLOOKUP($A55,'Données projet'!$A$460:$I$480,7,0))</f>
        <v>0</v>
      </c>
      <c r="MX55" s="21" t="e">
        <f>EXP(-LN(2)/35)*MX54+(1-EXP(-LN(2)/35))/(LN(2)/35)*MT55*MU55*VLOOKUP('Données projet'!$B$25,Paramètres!$A$1:$I$89,3,0)*0.475*44/12</f>
        <v>#N/A</v>
      </c>
      <c r="MY55" s="21" t="e">
        <f>EXP(-LN(2)/25)*MY54+(1-EXP(-LN(2)/25))/(LN(2)/25)*Calculateur!MT55*Calculateur!MV55*VLOOKUP('Données projet'!$B$25,Paramètres!$A$1:$I$89,3,0)*0.475*44/12</f>
        <v>#N/A</v>
      </c>
      <c r="MZ55" s="21" t="e">
        <f>EXP(-LN(2)/2)*MZ54+(1-EXP(-LN(2)/2))/(LN(2)/2)*MT55*MW55*VLOOKUP('Données projet'!$B$25,Paramètres!$A$1:$I$89,3,0)*0.475*44/12</f>
        <v>#N/A</v>
      </c>
      <c r="NA55" s="22" t="e">
        <f t="shared" si="108"/>
        <v>#N/A</v>
      </c>
      <c r="NB55" s="74">
        <f>('Scénario référence'!$F$8+'Scénario référence'!$F$9+'Scénario référence'!$B$17+'Scénario référence'!$B$9+'Scénario référence'!$B$10)*70+IF((45+25*(1-EXP(-0.0175*$A55)))&lt;70,'Scénario référence'!$B$16*(45+25*(1-EXP(-0.0175*$A55))),70*'Scénario référence'!$B$16)+IF((32+38*(1-EXP(-0.0175*$A55)))&lt;70,'Scénario référence'!$B$18*(32+38*(1-EXP(-0.0175*$A55))),70*'Scénario référence'!$B$18)</f>
        <v>70</v>
      </c>
      <c r="NC55" s="12">
        <f>IF($A55&gt;30,10,('Scénario référence'!$B$16+'Scénario référence'!$B$17+'Scénario référence'!$B$18+'Scénario référence'!$B$9+'Scénario référence'!$B$10)*$A55*10/30+('Scénario référence'!$F$8+'Scénario référence'!$F$9)*10)</f>
        <v>10</v>
      </c>
      <c r="ND55" s="12" t="e">
        <f>VLOOKUP($A55,'Données projet'!$A$486:$I$506,2,0)</f>
        <v>#N/A</v>
      </c>
      <c r="NE55" s="12" t="e">
        <f>VLOOKUP($A55,'Données projet'!$A$486:$I$506,9,0)</f>
        <v>#N/A</v>
      </c>
      <c r="NF55" s="12">
        <f t="array" ref="NF55">INDEX(NE:NE,MIN(IF(ISNUMBER(NE55:NE251),ROW(NE55:NE251),"")))</f>
        <v>0</v>
      </c>
      <c r="NG55" s="12">
        <f>IF('Données projet'!$A$486&gt;35,NG54+NF55-NO54,IF($A55&lt;'Données projet'!$A$486,$CQ$205^$A55,IF($A55='Données projet'!$A$486,'Données projet'!$B$486,NG54+NF55-NO54)))</f>
        <v>0</v>
      </c>
      <c r="NH55" s="17" t="e">
        <f>NG55*VLOOKUP('Données projet'!$B$26,Paramètres!$A$1:$I$89,3,0)*VLOOKUP('Données projet'!$B$26,Paramètres!$A$1:$I$89,5,0)</f>
        <v>#N/A</v>
      </c>
      <c r="NI55" s="13" t="e">
        <f t="shared" si="109"/>
        <v>#N/A</v>
      </c>
      <c r="NJ55" s="14" t="e">
        <f t="shared" si="52"/>
        <v>#N/A</v>
      </c>
      <c r="NK55" s="59" t="e">
        <f t="shared" si="53"/>
        <v>#N/A</v>
      </c>
      <c r="NL55" s="20" t="e">
        <f ca="1">AVERAGE(OFFSET($NK$3,0,0,'Données projet'!$E$26+1,1))-AVERAGE(OFFSET($H$3,0,0,'Données projet'!$E$26+1,1))</f>
        <v>#N/A</v>
      </c>
      <c r="NM55" s="59" t="e">
        <f t="shared" si="110"/>
        <v>#N/A</v>
      </c>
      <c r="NN55" s="15">
        <f>IF(ISNA(VLOOKUP($A55,'Données projet'!$A$486:$I$506,3,0)),0,VLOOKUP($A55,'Données projet'!$A$486:$I$506,3,0))</f>
        <v>0</v>
      </c>
      <c r="NO55" s="15">
        <f>IF(ISNA(VLOOKUP($A55,'Données projet'!$A$486:$I$506,4,0)),0,VLOOKUP($A55,'Données projet'!$A$486:$I$506,4,0))</f>
        <v>0</v>
      </c>
      <c r="NP55" s="16">
        <f>IF(ISNA(VLOOKUP($A55,'Données projet'!$A$486:$I$506,5,0)),0%,VLOOKUP($A55,'Données projet'!$A$486:$I$506,5,0)*VLOOKUP('Données projet'!$B$26,Paramètres!$A$1:$I$89,7,0))</f>
        <v>0</v>
      </c>
      <c r="NQ55" s="16">
        <f>IF(ISNA(VLOOKUP($A55,'Données projet'!$A$486:$I$506,6,0)),0%,VLOOKUP($A55,'Données projet'!$A$486:$I$506,6,0)*VLOOKUP('Données projet'!$B$26,Paramètres!$A$1:$I$89,7,0))</f>
        <v>0</v>
      </c>
      <c r="NR55" s="16">
        <f>IF(ISNA(VLOOKUP($A55,'Données projet'!$A$486:$I$506,7,0)),0%,VLOOKUP($A55,'Données projet'!$A$486:$I$506,7,0))</f>
        <v>0</v>
      </c>
      <c r="NS55" s="21" t="e">
        <f>EXP(-LN(2)/35)*NS54+(1-EXP(-LN(2)/35))/(LN(2)/35)*NO55*NP55*VLOOKUP('Données projet'!$B$26,Paramètres!$A$1:$I$89,3,0)*0.475*44/12</f>
        <v>#N/A</v>
      </c>
      <c r="NT55" s="21" t="e">
        <f>EXP(-LN(2)/25)*NT54+(1-EXP(-LN(2)/25))/(LN(2)/25)*Calculateur!NO55*Calculateur!NQ55*VLOOKUP('Données projet'!$B$26,Paramètres!$A$1:$I$89,3,0)*0.475*44/12</f>
        <v>#N/A</v>
      </c>
      <c r="NU55" s="21" t="e">
        <f>EXP(-LN(2)/2)*NU54+(1-EXP(-LN(2)/2))/(LN(2)/2)*NO55*NR55*VLOOKUP('Données projet'!$B$26,Paramètres!$A$1:$I$89,3,0)*0.475*44/12</f>
        <v>#N/A</v>
      </c>
      <c r="NV55" s="22" t="e">
        <f t="shared" si="111"/>
        <v>#N/A</v>
      </c>
      <c r="NW55" s="74">
        <f>('Scénario référence'!$F$8+'Scénario référence'!$F$9+'Scénario référence'!$B$17+'Scénario référence'!$B$9+'Scénario référence'!$B$10)*70+IF((45+25*(1-EXP(-0.0175*$A55)))&lt;70,'Scénario référence'!$B$16*(45+25*(1-EXP(-0.0175*$A55))),70*'Scénario référence'!$B$16)+IF((32+38*(1-EXP(-0.0175*$A55)))&lt;70,'Scénario référence'!$B$18*(32+38*(1-EXP(-0.0175*$A55))),70*'Scénario référence'!$B$18)</f>
        <v>70</v>
      </c>
      <c r="NX55" s="12">
        <f>IF($A55&gt;30,10,('Scénario référence'!$B$16+'Scénario référence'!$B$17+'Scénario référence'!$B$18+'Scénario référence'!$B$9+'Scénario référence'!$B$10)*$A55*10/30+('Scénario référence'!$F$8+'Scénario référence'!$F$9)*10)</f>
        <v>10</v>
      </c>
      <c r="NY55" s="12" t="e">
        <f>VLOOKUP($A55,'Données projet'!$A$512:$I$532,2,0)</f>
        <v>#N/A</v>
      </c>
      <c r="NZ55" s="12" t="e">
        <f>VLOOKUP($A55,'Données projet'!$A$512:$I$532,9,0)</f>
        <v>#N/A</v>
      </c>
      <c r="OA55" s="12">
        <f t="array" ref="OA55">INDEX(NZ:NZ,MIN(IF(ISNUMBER(NZ55:NZ251),ROW(NZ55:NZ251),"")))</f>
        <v>0</v>
      </c>
      <c r="OB55" s="12">
        <f>IF('Données projet'!$A$512&gt;35,OB54+OA55-OJ54,IF($A55&lt;'Données projet'!$A$512,$CQ$205^$A55,IF($A55='Données projet'!$A$512,'Données projet'!$B$512,OB54+OA55-OJ54)))</f>
        <v>0</v>
      </c>
      <c r="OC55" s="17" t="e">
        <f>OB55*VLOOKUP('Données projet'!$B$27,Paramètres!$A$1:$I$89,3,0)*VLOOKUP('Données projet'!$B$27,Paramètres!$A$1:$I$89,5,0)</f>
        <v>#N/A</v>
      </c>
      <c r="OD55" s="13" t="e">
        <f t="shared" si="112"/>
        <v>#N/A</v>
      </c>
      <c r="OE55" s="14" t="e">
        <f t="shared" si="55"/>
        <v>#N/A</v>
      </c>
      <c r="OF55" s="59" t="e">
        <f t="shared" si="56"/>
        <v>#N/A</v>
      </c>
      <c r="OG55" s="20" t="e">
        <f ca="1">AVERAGE(OFFSET($OF$3,0,0,'Données projet'!$E$27+1,1))-AVERAGE(OFFSET($H$3,0,0,'Données projet'!$E$27+1,1))</f>
        <v>#N/A</v>
      </c>
      <c r="OH55" s="59" t="e">
        <f t="shared" si="113"/>
        <v>#N/A</v>
      </c>
      <c r="OI55" s="15">
        <f>IF(ISNA(VLOOKUP($A55,'Données projet'!$A$512:$I$532,3,0)),0,VLOOKUP($A55,'Données projet'!$A$512:$I$532,3,0))</f>
        <v>0</v>
      </c>
      <c r="OJ55" s="15">
        <f>IF(ISNA(VLOOKUP($A55,'Données projet'!$A$512:$I$532,4,0)),0,VLOOKUP($A55,'Données projet'!$A$512:$I$532,4,0))</f>
        <v>0</v>
      </c>
      <c r="OK55" s="16">
        <f>IF(ISNA(VLOOKUP($A55,'Données projet'!$A$512:$I$532,5,0)),0%,VLOOKUP($A55,'Données projet'!$A$512:$I$532,5,0)*VLOOKUP('Données projet'!$B$27,Paramètres!$A$1:$I$89,7,0))</f>
        <v>0</v>
      </c>
      <c r="OL55" s="16">
        <f>IF(ISNA(VLOOKUP($A55,'Données projet'!$A$512:$I$532,6,0)),0%,VLOOKUP($A55,'Données projet'!$A$512:$I$532,6,0)*VLOOKUP('Données projet'!$B$27,Paramètres!$A$1:$I$89,7,0))</f>
        <v>0</v>
      </c>
      <c r="OM55" s="16">
        <f>IF(ISNA(VLOOKUP($A55,'Données projet'!$A$512:$I$532,7,0)),0%,VLOOKUP($A55,'Données projet'!$A$512:$I$532,7,0))</f>
        <v>0</v>
      </c>
      <c r="ON55" s="21" t="e">
        <f>EXP(-LN(2)/35)*ON54+(1-EXP(-LN(2)/35))/(LN(2)/35)*OJ55*OK55*VLOOKUP('Données projet'!$B$27,Paramètres!$A$1:$I$89,3,0)*0.475*44/12</f>
        <v>#N/A</v>
      </c>
      <c r="OO55" s="21" t="e">
        <f>EXP(-LN(2)/25)*OO54+(1-EXP(-LN(2)/25))/(LN(2)/25)*Calculateur!OJ55*Calculateur!OL55*VLOOKUP('Données projet'!$B$27,Paramètres!$A$1:$I$89,3,0)*0.475*44/12</f>
        <v>#N/A</v>
      </c>
      <c r="OP55" s="21" t="e">
        <f>EXP(-LN(2)/2)*OP54+(1-EXP(-LN(2)/2))/(LN(2)/2)*OJ55*OM55*VLOOKUP('Données projet'!$B$27,Paramètres!$A$1:$I$89,3,0)*0.475*44/12</f>
        <v>#N/A</v>
      </c>
      <c r="OQ55" s="22" t="e">
        <f t="shared" si="114"/>
        <v>#N/A</v>
      </c>
      <c r="OR55" s="74">
        <f>('Scénario référence'!$F$8+'Scénario référence'!$F$9+'Scénario référence'!$B$17+'Scénario référence'!$B$9+'Scénario référence'!$B$10)*70+IF((45+25*(1-EXP(-0.0175*$A55)))&lt;70,'Scénario référence'!$B$16*(45+25*(1-EXP(-0.0175*$A55))),70*'Scénario référence'!$B$16)+IF((32+38*(1-EXP(-0.0175*$A55)))&lt;70,'Scénario référence'!$B$18*(32+38*(1-EXP(-0.0175*$A55))),70*'Scénario référence'!$B$18)</f>
        <v>70</v>
      </c>
      <c r="OS55" s="12">
        <f>IF($A55&gt;30,10,('Scénario référence'!$B$16+'Scénario référence'!$B$17+'Scénario référence'!$B$18+'Scénario référence'!$B$9+'Scénario référence'!$B$10)*$A55*10/30+('Scénario référence'!$F$8+'Scénario référence'!$F$9)*10)</f>
        <v>10</v>
      </c>
      <c r="OT55" s="12" t="e">
        <f>VLOOKUP($A55,'Données projet'!$A$538:$I$558,2,0)</f>
        <v>#N/A</v>
      </c>
      <c r="OU55" s="12" t="e">
        <f>VLOOKUP($A55,'Données projet'!$A$538:$I$558,9,0)</f>
        <v>#N/A</v>
      </c>
      <c r="OV55" s="12">
        <f t="array" ref="OV55">INDEX(OU:OU,MIN(IF(ISNUMBER(OU55:OU251),ROW(OU55:OU251),"")))</f>
        <v>0</v>
      </c>
      <c r="OW55" s="12">
        <f>IF('Données projet'!$A$538&gt;35,OW54+OV55-PE54,IF($A55&lt;'Données projet'!$A$538,$CQ$205^$A55,IF($A55='Données projet'!$A$538,'Données projet'!$B$538,OW54+OV55-PE54)))</f>
        <v>0</v>
      </c>
      <c r="OX55" s="17" t="e">
        <f>OW55*VLOOKUP('Données projet'!$B$28,Paramètres!$A$1:$I$89,3,0)*VLOOKUP('Données projet'!$B$28,Paramètres!$A$1:$I$89,5,0)</f>
        <v>#N/A</v>
      </c>
      <c r="OY55" s="13" t="e">
        <f t="shared" si="115"/>
        <v>#N/A</v>
      </c>
      <c r="OZ55" s="14" t="e">
        <f t="shared" si="58"/>
        <v>#N/A</v>
      </c>
      <c r="PA55" s="59" t="e">
        <f t="shared" si="59"/>
        <v>#N/A</v>
      </c>
      <c r="PB55" s="20" t="e">
        <f ca="1">AVERAGE(OFFSET($PA$3,0,0,'Données projet'!$E$28+1,1))-AVERAGE(OFFSET($H$3,0,0,'Données projet'!$E$28+1,1))</f>
        <v>#N/A</v>
      </c>
      <c r="PC55" s="59" t="e">
        <f t="shared" si="116"/>
        <v>#N/A</v>
      </c>
      <c r="PD55" s="15">
        <f>IF(ISNA(VLOOKUP($A55,'Données projet'!$A$538:$I$558,3,0)),0,VLOOKUP($A55,'Données projet'!$A$538:$I$558,3,0))</f>
        <v>0</v>
      </c>
      <c r="PE55" s="15">
        <f>IF(ISNA(VLOOKUP($A55,'Données projet'!$A$538:$I$558,4,0)),0,VLOOKUP($A55,'Données projet'!$A$538:$I$558,4,0))</f>
        <v>0</v>
      </c>
      <c r="PF55" s="16">
        <f>IF(ISNA(VLOOKUP($A55,'Données projet'!$A$538:$I$558,5,0)),0%,VLOOKUP($A55,'Données projet'!$A$538:$I$558,5,0)*VLOOKUP('Données projet'!$B$28,Paramètres!$A$1:$I$89,7,0))</f>
        <v>0</v>
      </c>
      <c r="PG55" s="16">
        <f>IF(ISNA(VLOOKUP($A55,'Données projet'!$A$538:$I$558,6,0)),0%,VLOOKUP($A55,'Données projet'!$A$538:$I$558,6,0)*VLOOKUP('Données projet'!$B$28,Paramètres!$A$1:$I$89,7,0))</f>
        <v>0</v>
      </c>
      <c r="PH55" s="16">
        <f>IF(ISNA(VLOOKUP($A55,'Données projet'!$A$538:$I$558,7,0)),0%,VLOOKUP($A55,'Données projet'!$A$538:$I$558,7,0))</f>
        <v>0</v>
      </c>
      <c r="PI55" s="21" t="e">
        <f>EXP(-LN(2)/35)*PI54+(1-EXP(-LN(2)/35))/(LN(2)/35)*PE55*PF55*VLOOKUP('Données projet'!$B$28,Paramètres!$A$1:$I$89,3,0)*0.475*44/12</f>
        <v>#N/A</v>
      </c>
      <c r="PJ55" s="21" t="e">
        <f>EXP(-LN(2)/25)*PJ54+(1-EXP(-LN(2)/25))/(LN(2)/25)*Calculateur!PE55*Calculateur!PG55*VLOOKUP('Données projet'!$B$28,Paramètres!$A$1:$I$89,3,0)*0.475*44/12</f>
        <v>#N/A</v>
      </c>
      <c r="PK55" s="21" t="e">
        <f>EXP(-LN(2)/2)*PK54+(1-EXP(-LN(2)/2))/(LN(2)/2)*PE55*PH55*VLOOKUP('Données projet'!$B$28,Paramètres!$A$1:$I$89,3,0)*0.475*44/12</f>
        <v>#N/A</v>
      </c>
      <c r="PL55" s="22" t="e">
        <f t="shared" si="117"/>
        <v>#N/A</v>
      </c>
    </row>
    <row r="56" spans="1:428" x14ac:dyDescent="0.35">
      <c r="A56" s="10">
        <f t="shared" si="6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6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projet'!$A$45:$I$65,2,0)</f>
        <v>#N/A</v>
      </c>
      <c r="L56" s="12" t="e">
        <f>VLOOKUP(A56,'Données projet'!$A$45:$I$65,9,0)</f>
        <v>#N/A</v>
      </c>
      <c r="M56" s="12">
        <f t="array" ref="M56">INDEX(L:L,MIN(IF(ISNUMBER(L56:L252),ROW(L56:L252),"")))</f>
        <v>20.507692307692299</v>
      </c>
      <c r="N56" s="13">
        <f>IF('Données projet'!$A$46&gt;35,N55+M56-V55,IF(A56&lt;'Données projet'!$A$46,$K$205^A56,IF(A56='Données projet'!$A$46,'Données projet'!$B$46,N55+M56-V55)))</f>
        <v>546.29230769230753</v>
      </c>
      <c r="O56" s="13">
        <f>N56*VLOOKUP('Données projet'!$B$9,Paramètres!$A$1:$I$89,3,0)*VLOOKUP('Données projet'!$B$9,Paramètres!$A$1:$I$89,5,0)</f>
        <v>305.37739999999991</v>
      </c>
      <c r="P56" s="13">
        <f t="shared" si="63"/>
        <v>72.302604807906476</v>
      </c>
      <c r="Q56" s="20">
        <f t="shared" si="118"/>
        <v>657.79267504043685</v>
      </c>
      <c r="R56" s="59">
        <f t="shared" si="0"/>
        <v>951.12600837377022</v>
      </c>
      <c r="S56" s="59">
        <f ca="1">AVERAGE(OFFSET($R$3,0,0,'Données projet'!$E$9+1,1))-AVERAGE(OFFSET($H$3,0,0,'Données projet'!$E$9+1,1))</f>
        <v>274.57619581652199</v>
      </c>
      <c r="T56" s="59">
        <f t="shared" si="64"/>
        <v>366.15117322598775</v>
      </c>
      <c r="U56" s="15">
        <f>IF(ISNA(VLOOKUP(A56,'Données projet'!$A$45:$I$65,3,0)),0,VLOOKUP(A56,'Données projet'!$A$45:$I$65,3,0))</f>
        <v>0</v>
      </c>
      <c r="V56" s="15">
        <f>IF(ISNA(VLOOKUP(A56,'Données projet'!$A$45:$I$65,4,0)),0,VLOOKUP(A56,'Données projet'!$A$45:$I$65,4,0))</f>
        <v>0</v>
      </c>
      <c r="W56" s="16">
        <f>IF(ISNA(VLOOKUP(A56,'Données projet'!$A$45:$I$65,5,0)),0%,VLOOKUP(A56,'Données projet'!$A$45:$I$65,5,0)*VLOOKUP('Données projet'!$B$9,Paramètres!$A$1:$I$89,7,0))</f>
        <v>0</v>
      </c>
      <c r="X56" s="16">
        <f>IF(ISNA(VLOOKUP(A56,'Données projet'!$A$45:$I$65,6,0)),0%,VLOOKUP(A56,'Données projet'!$A$45:$I$65,6,0)*VLOOKUP('Données projet'!$B$9,Paramètres!$A$1:$I$89,7,0))</f>
        <v>0</v>
      </c>
      <c r="Y56" s="16">
        <f>IF(ISNA(VLOOKUP(A56,'Données projet'!$A$45:$I$65,7,0)),0%,VLOOKUP(A56,'Données projet'!$A$45:$I$65,7,0))</f>
        <v>0</v>
      </c>
      <c r="Z56" s="21">
        <f>EXP(-LN(2)/35)*Z55+(1-EXP(-LN(2)/35))/(LN(2)/35)*V56*W56*VLOOKUP('Données projet'!$B$9,Paramètres!$A$1:$I$89,3,0)*0.475*44/12</f>
        <v>70.758667227900972</v>
      </c>
      <c r="AA56" s="21">
        <f>EXP(-LN(2)/25)*AA55+(1-EXP(-LN(2)/25))/(LN(2)/25)*Calculateur!V56*Calculateur!X56*VLOOKUP('Données projet'!$B$9,Paramètres!$A$1:$I$89,3,0)*0.475*44/12</f>
        <v>21.121054528591422</v>
      </c>
      <c r="AB56" s="21">
        <f>EXP(-LN(2)/2)*AB55+(1-EXP(-LN(2)/2))/(LN(2)/2)*V56*Y56*VLOOKUP('Données projet'!$B$9,Paramètres!$A$1:$I$89,3,0)*0.475*44/12</f>
        <v>1.3547947768072623</v>
      </c>
      <c r="AC56" s="22">
        <f t="shared" si="3"/>
        <v>93.234516533299654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projet'!$A$71:$I$91,2,0)</f>
        <v>#N/A</v>
      </c>
      <c r="AG56" s="12" t="e">
        <f>VLOOKUP(A56,'Données projet'!$A$71:$I$91,9,0)</f>
        <v>#N/A</v>
      </c>
      <c r="AH56" s="12">
        <f t="array" ref="AH56">INDEX(AG:AG,MIN(IF(ISNUMBER(AG56:AG252),ROW(AG56:AG252),"")))</f>
        <v>8.8736263736263741</v>
      </c>
      <c r="AI56" s="13">
        <f>IF('Données projet'!$A$72&gt;35,AI55+AH56-AQ55,IF(A56&lt;'Données projet'!$A$72,$AF$205^A56,IF(A56='Données projet'!$A$72,'Données projet'!$B$72,AI55+AH56-AQ55)))</f>
        <v>180.69505494505501</v>
      </c>
      <c r="AJ56" s="13">
        <f>AI56*VLOOKUP('Données projet'!$B$10,Paramètres!$A$1:$I$89,3,0)*VLOOKUP('Données projet'!$B$10,Paramètres!$A$1:$I$89,5,0)</f>
        <v>163.49288571428576</v>
      </c>
      <c r="AK56" s="13">
        <f t="shared" si="65"/>
        <v>41.629352600963465</v>
      </c>
      <c r="AL56" s="20">
        <f t="shared" si="4"/>
        <v>357.25456506572573</v>
      </c>
      <c r="AM56" s="59">
        <f t="shared" si="5"/>
        <v>650.58789839905899</v>
      </c>
      <c r="AN56" s="59">
        <f ca="1">AVERAGE(OFFSET($AM$3,0,0,'Données projet'!$E$10+1,1))-AVERAGE(OFFSET($H$3,0,0,'Données projet'!$E$10+1,1))</f>
        <v>270.87836509222456</v>
      </c>
      <c r="AO56" s="59">
        <f t="shared" si="66"/>
        <v>205.24998237949734</v>
      </c>
      <c r="AP56" s="15">
        <f>IF(ISNA(VLOOKUP(A56,'Données projet'!$A$71:$I$91,3,0)),0,VLOOKUP(A56,'Données projet'!$A$71:$I$91,3,0))</f>
        <v>0</v>
      </c>
      <c r="AQ56" s="15">
        <f>IF(ISNA(VLOOKUP(A56,'Données projet'!$A$71:$I$91,4,0)),0,VLOOKUP(A56,'Données projet'!$A$71:$I$91,4,0))</f>
        <v>0</v>
      </c>
      <c r="AR56" s="16">
        <f>IF(ISNA(VLOOKUP(A56,'Données projet'!$A$71:$I$91,5,0)),0%,VLOOKUP(A56,'Données projet'!$A$71:$I$91,5,0)*VLOOKUP('Données projet'!$B$10,Paramètres!$A$1:$I$89,7,0))</f>
        <v>0</v>
      </c>
      <c r="AS56" s="16">
        <f>IF(ISNA(VLOOKUP(A56,'Données projet'!$A$71:$I$91,6,0)),0%,VLOOKUP(A56,'Données projet'!$A$71:$I$91,6,0)*VLOOKUP('Données projet'!$B$10,Paramètres!$A$1:$I$89,7,0))</f>
        <v>0</v>
      </c>
      <c r="AT56" s="16">
        <f>IF(ISNA(VLOOKUP(A56,'Données projet'!$A$71:$I$91,7,0)),0%,VLOOKUP(A56,'Données projet'!$A$71:$I$91,7,0))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projet'!$A$97:$I$117,2,0)</f>
        <v>#N/A</v>
      </c>
      <c r="BB56" s="12" t="e">
        <f>VLOOKUP(A56,'Données projet'!$A$97:$I$117,9,0)</f>
        <v>#N/A</v>
      </c>
      <c r="BC56" s="12">
        <f t="array" ref="BC56">INDEX(BB:BB,MIN(IF(ISNUMBER(BB56:BB252),ROW(BB56:BB252),"")))</f>
        <v>20.507692307692299</v>
      </c>
      <c r="BD56" s="12">
        <f>IF('Données projet'!$A$98&gt;35,BD55+BC56-BL55,IF(A56&lt;'Données projet'!$A$98,$BA$205^A56,IF(A56='Données projet'!$A$98,'Données projet'!$B$98,BD55+BC56-BL55)))</f>
        <v>546.29230769230753</v>
      </c>
      <c r="BE56" s="13">
        <f>BD56*VLOOKUP('Données projet'!$B$11,Paramètres!$A$1:$I$89,3,0)*VLOOKUP('Données projet'!$B$11,Paramètres!$A$1:$I$89,5,0)</f>
        <v>241.46119999999996</v>
      </c>
      <c r="BF56" s="13">
        <f t="shared" si="67"/>
        <v>58.753803632630159</v>
      </c>
      <c r="BG56" s="20">
        <f t="shared" si="7"/>
        <v>522.87446466016411</v>
      </c>
      <c r="BH56" s="59">
        <f t="shared" si="8"/>
        <v>816.20779799349748</v>
      </c>
      <c r="BI56" s="59">
        <f ca="1">AVERAGE(OFFSET($BH$3,0,0,'Données projet'!$E$11+1,1))-AVERAGE(OFFSET($H$3,0,0,'Données projet'!$E$11+1,1))</f>
        <v>211.31057120485542</v>
      </c>
      <c r="BJ56" s="59">
        <f t="shared" si="68"/>
        <v>283.33292006714777</v>
      </c>
      <c r="BK56" s="15">
        <f>IF(ISNA(VLOOKUP(A56,'Données projet'!$A$97:$I$117,3,0)),0,VLOOKUP(A56,'Données projet'!$A$97:$I$117,3,0))</f>
        <v>0</v>
      </c>
      <c r="BL56" s="15">
        <f>IF(ISNA(VLOOKUP(A56,'Données projet'!$A$97:$I$117,4,0)),0,VLOOKUP(A56,'Données projet'!$A$97:$I$117,4,0))</f>
        <v>0</v>
      </c>
      <c r="BM56" s="16">
        <f>IF(ISNA(VLOOKUP(A56,'Données projet'!$A$97:$I$117,5,0)),0%,VLOOKUP(A56,'Données projet'!$A$97:$I$117,5,0)*VLOOKUP('Données projet'!$B$11,Paramètres!$A$1:$I$89,7,0))</f>
        <v>0</v>
      </c>
      <c r="BN56" s="16">
        <f>IF(ISNA(VLOOKUP(A56,'Données projet'!$A$97:$I$117,6,0)),0%,VLOOKUP(A56,'Données projet'!$A$97:$I$117,6,0)*VLOOKUP('Données projet'!$B$11,Paramètres!$A$1:$I$89,7,0))</f>
        <v>0</v>
      </c>
      <c r="BO56" s="16">
        <f>IF(ISNA(VLOOKUP(A56,'Données projet'!$A$97:$I$117,7,0)),0%,VLOOKUP(A56,'Données projet'!$A$97:$I$117,7,0))</f>
        <v>0</v>
      </c>
      <c r="BP56" s="21">
        <f>EXP(-LN(2)/35)*BP55+(1-EXP(-LN(2)/35))/(LN(2)/35)*BL56*BM56*VLOOKUP('Données projet'!$B$11,Paramètres!$A$1:$I$89,3,0)*0.475*44/12</f>
        <v>55.948713622061227</v>
      </c>
      <c r="BQ56" s="21">
        <f>EXP(-LN(2)/25)*BQ55+(1-EXP(-LN(2)/25))/(LN(2)/25)*Calculateur!BL56*Calculateur!BN56*VLOOKUP('Données projet'!$B$11,Paramètres!$A$1:$I$89,3,0)*0.475*44/12</f>
        <v>16.700368697025777</v>
      </c>
      <c r="BR56" s="21">
        <f>EXP(-LN(2)/2)*BR55+(1-EXP(-LN(2)/2))/(LN(2)/2)*BL56*BO56*VLOOKUP('Données projet'!$B$11,Paramètres!$A$1:$I$89,3,0)*0.475*44/12</f>
        <v>1.0712330793359748</v>
      </c>
      <c r="BS56" s="22">
        <f t="shared" si="9"/>
        <v>73.720315398422969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projet'!$A$123:$I$143,2,0)</f>
        <v>#N/A</v>
      </c>
      <c r="BW56" s="12" t="e">
        <f>VLOOKUP(A56,'Données projet'!$A$123:$I$143,9,0)</f>
        <v>#N/A</v>
      </c>
      <c r="BX56" s="12">
        <f t="array" ref="BX56">INDEX(BW:BW,MIN(IF(ISNUMBER(BW56:BW252),ROW(BW56:BW252),"")))</f>
        <v>6.6</v>
      </c>
      <c r="BY56" s="12">
        <f>IF('Données projet'!$A$124&gt;35,BY55+BX56-CG55,IF(A56&lt;'Données projet'!$A$124,$BV$205^A56,IF(A56='Données projet'!$A$124,'Données projet'!$B$124,BY55+BX56-CG55)))</f>
        <v>204.80000000000004</v>
      </c>
      <c r="BZ56" s="13">
        <f>BY56*VLOOKUP('Données projet'!$B$12,Paramètres!$A$1:$I$89,3,0)*VLOOKUP('Données projet'!$B$12,Paramètres!$A$1:$I$89,5,0)</f>
        <v>214.05696000000006</v>
      </c>
      <c r="CA56" s="13">
        <f t="shared" si="69"/>
        <v>52.821143827018723</v>
      </c>
      <c r="CB56" s="20">
        <f t="shared" si="10"/>
        <v>464.81269749872439</v>
      </c>
      <c r="CC56" s="59">
        <f t="shared" si="11"/>
        <v>758.1460308320577</v>
      </c>
      <c r="CD56" s="59">
        <f ca="1">AVERAGE(OFFSET($CC$3,0,0,'Données projet'!$E$12+1,1))-AVERAGE(OFFSET($H$3,0,0,'Données projet'!$E$12+1,1))</f>
        <v>322.93502595881938</v>
      </c>
      <c r="CE56" s="59">
        <f t="shared" si="70"/>
        <v>302.67072119588164</v>
      </c>
      <c r="CF56" s="15">
        <f>IF(ISNA(VLOOKUP(A56,'Données projet'!$A$123:$I$143,3,0)),0,VLOOKUP(A56,'Données projet'!$A$123:$I$143,3,0))</f>
        <v>0</v>
      </c>
      <c r="CG56" s="15">
        <f>IF(ISNA(VLOOKUP(A56,'Données projet'!$A$123:$I$143,4,0)),0,VLOOKUP(A56,'Données projet'!$A$123:$I$143,4,0))</f>
        <v>0</v>
      </c>
      <c r="CH56" s="16">
        <f>IF(ISNA(VLOOKUP(A56,'Données projet'!$A$123:$I$143,5,0)),0%,VLOOKUP(A56,'Données projet'!$A$123:$I$143,5,0)*VLOOKUP('Données projet'!$B$12,Paramètres!$A$1:$I$89,7,0))</f>
        <v>0</v>
      </c>
      <c r="CI56" s="16">
        <f>IF(ISNA(VLOOKUP(A56,'Données projet'!$A$123:$I$143,6,0)),0%,VLOOKUP(A56,'Données projet'!$A$123:$I$143,6,0)*VLOOKUP('Données projet'!$B$12,Paramètres!$A$1:$I$89,7,0))</f>
        <v>0</v>
      </c>
      <c r="CJ56" s="16">
        <f>IF(ISNA(VLOOKUP(A56,'Données projet'!$A$123:$I$143,7,0)),0%,VLOOKUP(A56,'Données projet'!$A$123:$I$143,7,0))</f>
        <v>0</v>
      </c>
      <c r="CK56" s="21">
        <f>EXP(-LN(2)/35)*CK55+(1-EXP(-LN(2)/35))/(LN(2)/35)*CG56*CH56*VLOOKUP('Données projet'!$B$12,Paramètres!$A$1:$I$89,3,0)*0.475*44/12</f>
        <v>8.9045522745067665</v>
      </c>
      <c r="CL56" s="21">
        <f>EXP(-LN(2)/25)*CL55+(1-EXP(-LN(2)/25))/(LN(2)/25)*Calculateur!CG56*Calculateur!CI56*VLOOKUP('Données projet'!$B$12,Paramètres!$A$1:$I$89,3,0)*0.475*44/12</f>
        <v>17.209649958453113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26.11420223295988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projet'!$A$149:$I$169,2,0)</f>
        <v>#N/A</v>
      </c>
      <c r="CR56" s="12" t="e">
        <f>VLOOKUP(A56,'Données projet'!$A$149:$I$169,9,0)</f>
        <v>#N/A</v>
      </c>
      <c r="CS56" s="12">
        <f t="array" ref="CS56">INDEX(CR:CR,MIN(IF(ISNUMBER(CR56:CR252),ROW(CR56:CR252),"")))</f>
        <v>6.3942307692307701</v>
      </c>
      <c r="CT56" s="12">
        <f>IF('Données projet'!$A$150&gt;35,CT55+CS56-DB55,IF(A56&lt;'Données projet'!$A$150,$CQ$205^A56,IF(A56='Données projet'!$A$150,'Données projet'!$B$150,CT55+CS56-DB55)))</f>
        <v>120.89102564102561</v>
      </c>
      <c r="CU56" s="17">
        <f>CT56*VLOOKUP('Données projet'!$B$13,Paramètres!$A$1:$I$89,3,0)*VLOOKUP('Données projet'!$B$13,Paramètres!$A$1:$I$89,5,0)</f>
        <v>122.58349999999999</v>
      </c>
      <c r="CV56" s="13">
        <f t="shared" si="71"/>
        <v>32.276809219275542</v>
      </c>
      <c r="CW56" s="20">
        <f t="shared" si="13"/>
        <v>269.71503855690486</v>
      </c>
      <c r="CX56" s="59">
        <f t="shared" si="14"/>
        <v>563.04837189023817</v>
      </c>
      <c r="CY56" s="59">
        <f ca="1">AVERAGE(OFFSET($CX$3,0,0,'Données projet'!$E$13+1,1))-AVERAGE(OFFSET($H$3,0,0,'Données projet'!$E$13+1,1))</f>
        <v>250.31277422753283</v>
      </c>
      <c r="CZ56" s="59">
        <f t="shared" si="72"/>
        <v>159.20429420478047</v>
      </c>
      <c r="DA56" s="15">
        <f>IF(ISNA(VLOOKUP(A56,'Données projet'!$A$149:$I$169,3,0)),0,VLOOKUP(A56,'Données projet'!$A$149:$I$169,3,0))</f>
        <v>0</v>
      </c>
      <c r="DB56" s="15">
        <f>IF(ISNA(VLOOKUP(A56,'Données projet'!$A$149:$I$169,4,0)),0,VLOOKUP(A56,'Données projet'!$A$149:$I$169,4,0))</f>
        <v>0</v>
      </c>
      <c r="DC56" s="16">
        <f>IF(ISNA(VLOOKUP(A56,'Données projet'!$A$149:$I$169,5,0)),0%,VLOOKUP(A56,'Données projet'!$A$149:$I$169,5,0)*VLOOKUP('Données projet'!$B$13,Paramètres!$A$1:$I$89,7,0))</f>
        <v>0</v>
      </c>
      <c r="DD56" s="16">
        <f>IF(ISNA(VLOOKUP(A56,'Données projet'!$A$149:$I$169,6,0)),0%,VLOOKUP(A56,'Données projet'!$A$149:$I$169,6,0)*VLOOKUP('Données projet'!$B$13,Paramètres!$A$1:$I$89,7,0))</f>
        <v>0</v>
      </c>
      <c r="DE56" s="16">
        <f>IF(ISNA(VLOOKUP(A56,'Données projet'!$A$149:$I$169,7,0)),0%,VLOOKUP(A56,'Données projet'!$A$149:$I$169,7,0))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0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projet'!$A$175:$I$195,2,0)</f>
        <v>#N/A</v>
      </c>
      <c r="DM56" s="12" t="e">
        <f>VLOOKUP(A56,'Données projet'!$A$175:$I$195,9,0)</f>
        <v>#N/A</v>
      </c>
      <c r="DN56" s="12">
        <f t="array" ref="DN56">INDEX(DM:DM,MIN(IF(ISNUMBER(DM56:DM252),ROW(DM56:DM252),"")))</f>
        <v>8.4</v>
      </c>
      <c r="DO56" s="12">
        <f>IF('Données projet'!$A$176&gt;35,DO55+DN56-DW55,IF(A56&lt;'Données projet'!$A$176,$DL$205^A56,IF(A56='Données projet'!$A$176,'Données projet'!$B$176,DO55+DN56-DW55)))</f>
        <v>307.19999999999987</v>
      </c>
      <c r="DP56" s="17">
        <f>DO56*VLOOKUP('Données projet'!$B$14,Paramètres!$A$1:$I$89,3,0)*VLOOKUP('Données projet'!$B$14,Paramètres!$A$1:$I$89,5,0)</f>
        <v>225.2390399999999</v>
      </c>
      <c r="DQ56" s="13">
        <f t="shared" si="73"/>
        <v>55.252000822487368</v>
      </c>
      <c r="DR56" s="20">
        <f t="shared" si="16"/>
        <v>488.5218960991653</v>
      </c>
      <c r="DS56" s="59">
        <f t="shared" si="17"/>
        <v>781.85522943249862</v>
      </c>
      <c r="DT56" s="59">
        <f ca="1">AVERAGE(OFFSET($DS$3,0,0,'Données projet'!$E$14+1,1))-AVERAGE(OFFSET($H$3,0,0,'Données projet'!$E$14+1,1))</f>
        <v>296.91321813251051</v>
      </c>
      <c r="DU56" s="59">
        <f t="shared" si="74"/>
        <v>291.0718079639509</v>
      </c>
      <c r="DV56" s="15">
        <f>IF(ISNA(VLOOKUP(A56,'Données projet'!$A$175:$I$195,3,0)),0,VLOOKUP(A56,'Données projet'!$A$175:$I$195,3,0))</f>
        <v>0</v>
      </c>
      <c r="DW56" s="15">
        <f>IF(ISNA(VLOOKUP(A56,'Données projet'!$A$175:$I$195,4,0)),0,VLOOKUP(A56,'Données projet'!$A$175:$I$195,4,0))</f>
        <v>0</v>
      </c>
      <c r="DX56" s="16">
        <f>IF(ISNA(VLOOKUP(A56,'Données projet'!$A$175:$I$195,5,0)),0%,VLOOKUP(A56,'Données projet'!$A$175:$I$195,5,0)*VLOOKUP('Données projet'!$B$14,Paramètres!$A$1:$I$89,7,0))</f>
        <v>0</v>
      </c>
      <c r="DY56" s="16">
        <f>IF(ISNA(VLOOKUP(A56,'Données projet'!$A$175:$I$195,6,0)),0%,VLOOKUP(A56,'Données projet'!$A$175:$I$195,6,0)*VLOOKUP('Données projet'!$B$14,Paramètres!$A$1:$I$89,7,0))</f>
        <v>0</v>
      </c>
      <c r="DZ56" s="16">
        <f>IF(ISNA(VLOOKUP(A56,'Données projet'!$A$175:$I$195,7,0)),0%,VLOOKUP(A56,'Données projet'!$A$175:$I$195,7,0))</f>
        <v>0</v>
      </c>
      <c r="EA56" s="21">
        <f>EXP(-LN(2)/35)*EA55+(1-EXP(-LN(2)/35))/(LN(2)/35)*DW56*DX56*VLOOKUP('Données projet'!$B$14,Paramètres!$A$1:$I$89,3,0)*0.475*44/12</f>
        <v>36.415632724173079</v>
      </c>
      <c r="EB56" s="21">
        <f>EXP(-LN(2)/25)*EB55+(1-EXP(-LN(2)/25))/(LN(2)/25)*Calculateur!DW56*Calculateur!DY56*VLOOKUP('Données projet'!$B$14,Paramètres!$A$1:$I$89,3,0)*0.475*44/12</f>
        <v>9.2491425897759836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45.664775313949065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projet'!$A$201:$I$221,2,0)</f>
        <v>#N/A</v>
      </c>
      <c r="EH56" s="12" t="e">
        <f>VLOOKUP(A56,'Données projet'!$A$201:$I$221,9,0)</f>
        <v>#N/A</v>
      </c>
      <c r="EI56" s="12">
        <f t="array" ref="EI56">INDEX(EH:EH,MIN(IF(ISNUMBER(EH56:EH252),ROW(EH56:EH252),"")))</f>
        <v>10.763461538461542</v>
      </c>
      <c r="EJ56" s="12">
        <f>IF('Données projet'!$A$202&gt;35,EJ55+EI56-ER55,IF(A56&lt;'Données projet'!$A$202,$EG$205^A56,IF(A56='Données projet'!$A$202,'Données projet'!$B$202,EJ55+EI56-ER55)))</f>
        <v>243.05769230769218</v>
      </c>
      <c r="EK56" s="17">
        <f>EJ56*VLOOKUP('Données projet'!$B$15,Paramètres!$A$1:$I$89,3,0)*VLOOKUP('Données projet'!$B$15,Paramètres!$A$1:$I$89,5,0)</f>
        <v>113.75099999999993</v>
      </c>
      <c r="EL56" s="13">
        <f t="shared" si="75"/>
        <v>30.213017355661915</v>
      </c>
      <c r="EM56" s="20">
        <f t="shared" si="19"/>
        <v>250.73733022777768</v>
      </c>
      <c r="EN56" s="59">
        <f t="shared" si="20"/>
        <v>544.07066356111102</v>
      </c>
      <c r="EO56" s="59">
        <f ca="1">AVERAGE(OFFSET($EN$3,0,0,'Données projet'!$E$15+1,1))-AVERAGE(OFFSET($H$3,0,0,'Données projet'!$E$15+1,1))</f>
        <v>147.64256291235483</v>
      </c>
      <c r="EP56" s="59">
        <f t="shared" si="76"/>
        <v>70.859031694091868</v>
      </c>
      <c r="EQ56" s="15">
        <f>IF(ISNA(VLOOKUP(A56,'Données projet'!$A$201:$I$221,3,0)),0,VLOOKUP(A56,'Données projet'!$A$201:$I$221,3,0))</f>
        <v>0</v>
      </c>
      <c r="ER56" s="15">
        <f>IF(ISNA(VLOOKUP(A56,'Données projet'!$A$201:$I$221,4,0)),0,VLOOKUP(A56,'Données projet'!$A$201:$I$221,4,0))</f>
        <v>0</v>
      </c>
      <c r="ES56" s="16">
        <f>IF(ISNA(VLOOKUP(A56,'Données projet'!$A$201:$I$221,5,0)),0%,VLOOKUP(A56,'Données projet'!$A$201:$I$221,5,0)*VLOOKUP('Données projet'!$B$15,Paramètres!$A$1:$I$89,7,0))</f>
        <v>0</v>
      </c>
      <c r="ET56" s="16">
        <f>IF(ISNA(VLOOKUP(A56,'Données projet'!$A$201:$I$221,6,0)),0%,VLOOKUP(A56,'Données projet'!$A$201:$I$221,6,0)*VLOOKUP('Données projet'!$B$15,Paramètres!$A$1:$I$89,7,0))</f>
        <v>0</v>
      </c>
      <c r="EU56" s="16">
        <f>IF(ISNA(VLOOKUP(A56,'Données projet'!$A$201:$I$221,7,0)),0%,VLOOKUP(A56,'Données projet'!$A$201:$I$221,7,0))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18.074379939847592</v>
      </c>
      <c r="EX56" s="21">
        <f>EXP(-LN(2)/2)*EX55+(1-EXP(-LN(2)/2))/(LN(2)/2)*ER56*EU56*VLOOKUP('Données projet'!$B$15,Paramètres!$A$1:$I$89,3,0)*0.475*44/12</f>
        <v>11.693332854518134</v>
      </c>
      <c r="EY56" s="22">
        <f t="shared" si="21"/>
        <v>29.767712794365728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projet'!$A$227:$I$247,2,0)</f>
        <v>#N/A</v>
      </c>
      <c r="FC56" s="12" t="e">
        <f>VLOOKUP(A56,'Données projet'!$A$227:$I$247,9,0)</f>
        <v>#N/A</v>
      </c>
      <c r="FD56" s="12">
        <f t="array" ref="FD56">INDEX(FC:FC,MIN(IF(ISNUMBER(FC56:FC252),ROW(FC56:FC252),"")))</f>
        <v>5.2</v>
      </c>
      <c r="FE56" s="12">
        <f>IF('Données projet'!$A$228&gt;35,FE55+FD56-FM55,IF(A56&lt;'Données projet'!$A$228,$FB$205^A56,IF(A56='Données projet'!$A$228,'Données projet'!$B$228,FE55+FD56-FM55)))</f>
        <v>170.6</v>
      </c>
      <c r="FF56" s="17">
        <f>FE56*VLOOKUP('Données projet'!$B$16,Paramètres!$A$1:$I$89,3,0)*VLOOKUP('Données projet'!$B$16,Paramètres!$A$1:$I$89,5,0)</f>
        <v>178.31112000000002</v>
      </c>
      <c r="FG56" s="13">
        <f t="shared" si="77"/>
        <v>44.946235578984805</v>
      </c>
      <c r="FH56" s="20">
        <f t="shared" si="22"/>
        <v>388.83989430006523</v>
      </c>
      <c r="FI56" s="59">
        <f t="shared" si="23"/>
        <v>682.17322763339848</v>
      </c>
      <c r="FJ56" s="59">
        <f ca="1">AVERAGE(OFFSET($FI$3,0,0,'Données projet'!$E$16+1,1))-AVERAGE(OFFSET($H$3,0,0,'Données projet'!$E$16+1,1))</f>
        <v>259.03906550253788</v>
      </c>
      <c r="FK56" s="59">
        <f t="shared" si="78"/>
        <v>235.54542903570831</v>
      </c>
      <c r="FL56" s="15">
        <f>IF(ISNA(VLOOKUP(A56,'Données projet'!$A$227:$I$247,3,0)),0,VLOOKUP(A56,'Données projet'!$A$227:$I$247,3,0))</f>
        <v>0</v>
      </c>
      <c r="FM56" s="15">
        <f>IF(ISNA(VLOOKUP(A56,'Données projet'!$A$227:$I$247,4,0)),0,VLOOKUP(A56,'Données projet'!$A$227:$I$247,4,0))</f>
        <v>0</v>
      </c>
      <c r="FN56" s="16">
        <f>IF(ISNA(VLOOKUP(A56,'Données projet'!$A$227:$I$247,5,0)),0%,VLOOKUP(A56,'Données projet'!$A$227:$I$247,5,0)*VLOOKUP('Données projet'!$B$16,Paramètres!$A$1:$I$89,7,0))</f>
        <v>0</v>
      </c>
      <c r="FO56" s="16">
        <f>IF(ISNA(VLOOKUP(A56,'Données projet'!$A$227:$I$247,6,0)),0%,VLOOKUP(A56,'Données projet'!$A$227:$I$247,6,0)*VLOOKUP('Données projet'!$B$16,Paramètres!$A$1:$I$89,7,0))</f>
        <v>0</v>
      </c>
      <c r="FP56" s="16">
        <f>IF(ISNA(VLOOKUP(A56,'Données projet'!$A$227:$I$247,7,0)),0%,VLOOKUP(A56,'Données projet'!$A$227:$I$247,7,0))</f>
        <v>0</v>
      </c>
      <c r="FQ56" s="21">
        <f>EXP(-LN(2)/35)*FQ55+(1-EXP(-LN(2)/35))/(LN(2)/35)*FM56*FN56*VLOOKUP('Données projet'!$B$16,Paramètres!$A$1:$I$89,3,0)*0.475*44/12</f>
        <v>0</v>
      </c>
      <c r="FR56" s="21">
        <f>EXP(-LN(2)/25)*FR55+(1-EXP(-LN(2)/25))/(LN(2)/25)*Calculateur!FM56*Calculateur!FO56*VLOOKUP('Données projet'!$B$16,Paramètres!$A$1:$I$89,3,0)*0.475*44/12</f>
        <v>11.315758244963421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11.315758244963421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projet'!$A$253:$I$273,2,0)</f>
        <v>#N/A</v>
      </c>
      <c r="FX56" s="12" t="e">
        <f>VLOOKUP(A56,'Données projet'!$A$253:$I$273,9,0)</f>
        <v>#N/A</v>
      </c>
      <c r="FY56" s="12">
        <f t="array" ref="FY56">INDEX(FX:FX,MIN(IF(ISNUMBER(FX56:FX252),ROW(FX56:FX252),"")))</f>
        <v>6</v>
      </c>
      <c r="FZ56" s="12">
        <f>IF('Données projet'!$A$254&gt;35,FZ55+FY56-GH55,IF(A56&lt;'Données projet'!$A$254,$FW$205^A56,IF(A56='Données projet'!$A$254,'Données projet'!$B$254,FZ55+FY56-GH55)))</f>
        <v>219.99999999999989</v>
      </c>
      <c r="GA56" s="17">
        <f>FZ56*VLOOKUP('Données projet'!$B$17,Paramètres!$A$1:$I$89,3,0)*VLOOKUP('Données projet'!$B$17,Paramètres!$A$1:$I$89,5,0)</f>
        <v>192.19199999999992</v>
      </c>
      <c r="GB56" s="13">
        <f t="shared" si="79"/>
        <v>48.02424892193244</v>
      </c>
      <c r="GC56" s="20">
        <f t="shared" si="25"/>
        <v>418.37663353903218</v>
      </c>
      <c r="GD56" s="59">
        <f t="shared" si="26"/>
        <v>711.7099668723655</v>
      </c>
      <c r="GE56" s="59">
        <f ca="1">AVERAGE(OFFSET($GD$3,0,0,'Données projet'!$E$17+1,1))-AVERAGE(OFFSET($H$3,0,0,'Données projet'!$E$17+1,1))</f>
        <v>245.1983232777614</v>
      </c>
      <c r="GF56" s="59">
        <f t="shared" si="80"/>
        <v>242.34010522344573</v>
      </c>
      <c r="GG56" s="15">
        <f>IF(ISNA(VLOOKUP(A56,'Données projet'!$A$253:$I$273,3,0)),0,VLOOKUP(A56,'Données projet'!$A$253:$I$273,3,0))</f>
        <v>0</v>
      </c>
      <c r="GH56" s="15">
        <f>IF(ISNA(VLOOKUP(A56,'Données projet'!$A$253:$I$273,4,0)),0,VLOOKUP(A56,'Données projet'!$A$253:$I$273,4,0))</f>
        <v>0</v>
      </c>
      <c r="GI56" s="16">
        <f>IF(ISNA(VLOOKUP(A56,'Données projet'!$A$253:$I$273,5,0)),0%,VLOOKUP(A56,'Données projet'!$A$253:$I$273,5,0)*VLOOKUP('Données projet'!$B$17,Paramètres!$A$1:$I$89,7,0))</f>
        <v>0</v>
      </c>
      <c r="GJ56" s="16">
        <f>IF(ISNA(VLOOKUP(A56,'Données projet'!$A$253:$I$273,6,0)),0%,VLOOKUP(A56,'Données projet'!$A$253:$I$273,6,0)*VLOOKUP('Données projet'!$B$17,Paramètres!$A$1:$I$89,7,0))</f>
        <v>0</v>
      </c>
      <c r="GK56" s="16">
        <f>IF(ISNA(VLOOKUP(A56,'Données projet'!$A$253:$I$273,7,0)),0%,VLOOKUP(A56,'Données projet'!$A$253:$I$273,7,0))</f>
        <v>0</v>
      </c>
      <c r="GL56" s="21">
        <f>EXP(-LN(2)/35)*GL55+(1-EXP(-LN(2)/35))/(LN(2)/35)*GH56*GI56*VLOOKUP('Données projet'!$B$17,Paramètres!$A$1:$I$89,3,0)*0.475*44/12</f>
        <v>14.589275763768521</v>
      </c>
      <c r="GM56" s="21">
        <f>EXP(-LN(2)/25)*GM55+(1-EXP(-LN(2)/25))/(LN(2)/25)*Calculateur!GH56*Calculateur!GJ56*VLOOKUP('Données projet'!$B$17,Paramètres!$A$1:$I$89,3,0)*0.475*44/12</f>
        <v>11.454382093917879</v>
      </c>
      <c r="GN56" s="21">
        <f>EXP(-LN(2)/2)*GN55+(1-EXP(-LN(2)/2))/(LN(2)/2)*GH56*GK56*VLOOKUP('Données projet'!$B$17,Paramètres!$A$1:$I$89,3,0)*0.475*44/12</f>
        <v>0</v>
      </c>
      <c r="GO56" s="21">
        <f t="shared" si="27"/>
        <v>26.043657857686398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projet'!$A$279:$I$299,2,0)</f>
        <v>#N/A</v>
      </c>
      <c r="GS56" s="12" t="e">
        <f>VLOOKUP(A56,'Données projet'!$A$279:$I$299,9,0)</f>
        <v>#N/A</v>
      </c>
      <c r="GT56" s="12">
        <f t="array" ref="GT56">INDEX(GS:GS,MIN(IF(ISNUMBER(GS56:GS252),ROW(GS56:GS252),"")))</f>
        <v>13.8</v>
      </c>
      <c r="GU56" s="12">
        <f>IF('Données projet'!$A$280&gt;35,GU55+GT56-HC55,IF(A56&lt;'Données projet'!$A$280,$GR$205^A56,IF(A56='Données projet'!$A$280,'Données projet'!$B$280,GU55+GT56-HC55)))</f>
        <v>618.4000000000002</v>
      </c>
      <c r="GV56" s="17">
        <f>GU56*VLOOKUP('Données projet'!$B$18,Paramètres!$A$1:$I$89,3,0)*VLOOKUP('Données projet'!$B$18,Paramètres!$A$1:$I$89,5,0)</f>
        <v>249.2152000000001</v>
      </c>
      <c r="GW56" s="13">
        <f t="shared" si="81"/>
        <v>60.417857004623599</v>
      </c>
      <c r="GX56" s="20">
        <f t="shared" si="28"/>
        <v>539.27757428305301</v>
      </c>
      <c r="GY56" s="59">
        <f t="shared" si="29"/>
        <v>832.61090761638638</v>
      </c>
      <c r="GZ56" s="59">
        <f ca="1">AVERAGE(OFFSET($GY$3,0,0,'Données projet'!$E$18+1,1))-AVERAGE(OFFSET($H$3,0,0,'Données projet'!$E$18+1,1))</f>
        <v>324.36162935850876</v>
      </c>
      <c r="HA56" s="59">
        <f t="shared" si="82"/>
        <v>265.23571072429735</v>
      </c>
      <c r="HB56" s="15">
        <f>IF(ISNA(VLOOKUP(A56,'Données projet'!$A$279:$I$299,3,0)),0,VLOOKUP(A56,'Données projet'!$A$279:$I$299,3,0))</f>
        <v>0</v>
      </c>
      <c r="HC56" s="15">
        <f>IF(ISNA(VLOOKUP(A56,'Données projet'!$A$279:$I$299,4,0)),0,VLOOKUP(A56,'Données projet'!$A$279:$I$299,4,0))</f>
        <v>0</v>
      </c>
      <c r="HD56" s="16">
        <f>IF(ISNA(VLOOKUP(A56,'Données projet'!$A$279:$I$299,5,0)),0%,VLOOKUP(A56,'Données projet'!$A$279:$I$299,5,0)*VLOOKUP('Données projet'!$B$18,Paramètres!$A$1:$I$89,7,0))</f>
        <v>0</v>
      </c>
      <c r="HE56" s="16">
        <f>IF(ISNA(VLOOKUP(A56,'Données projet'!$A$279:$I$299,6,0)),0%,VLOOKUP(A56,'Données projet'!$A$279:$I$299,6,0)*VLOOKUP('Données projet'!$B$18,Paramètres!$A$1:$I$89,7,0))</f>
        <v>0</v>
      </c>
      <c r="HF56" s="16">
        <f>IF(ISNA(VLOOKUP($A56,'Données projet'!$A$279:$I$299,7,0)),0%,VLOOKUP($A56,'Données projet'!$A$279:$I$299,7,0))</f>
        <v>0</v>
      </c>
      <c r="HG56" s="21">
        <f>EXP(-LN(2)/35)*HG55+(1-EXP(-LN(2)/35))/(LN(2)/35)*HC56*HD56*VLOOKUP('Données projet'!$B$18,Paramètres!$A$1:$I$89,3,0)*0.475*44/12</f>
        <v>7.2151237653580838</v>
      </c>
      <c r="HH56" s="21">
        <f>EXP(-LN(2)/25)*HH55+(1-EXP(-LN(2)/25))/(LN(2)/25)*Calculateur!HC56*Calculateur!HE56*VLOOKUP('Données projet'!$B$18,Paramètres!$A$1:$I$89,3,0)*0.475*44/12</f>
        <v>11.780544855253053</v>
      </c>
      <c r="HI56" s="21">
        <f>EXP(-LN(2)/2)*HI55+(1-EXP(-LN(2)/2))/(LN(2)/2)*HC56*HF56*VLOOKUP('Données projet'!$B$18,Paramètres!$A$1:$I$89,3,0)*0.475*44/12</f>
        <v>0.55428083934229755</v>
      </c>
      <c r="HJ56" s="22">
        <f t="shared" si="30"/>
        <v>19.549949459953435</v>
      </c>
      <c r="HK56" s="74">
        <f>('Scénario référence'!$F$8+'Scénario référence'!$F$9+'Scénario référence'!$B$17+'Scénario référence'!$B$9+'Scénario référence'!$B$10)*70+IF((45+25*(1-EXP(-0.0175*$A56)))&lt;70,'Scénario référence'!$B$16*(45+25*(1-EXP(-0.0175*$A56))),70*'Scénario référence'!$B$16)+IF((32+38*(1-EXP(-0.0175*$A56)))&lt;70,'Scénario référence'!$B$18*(32+38*(1-EXP(-0.0175*$A56))),70*'Scénario référence'!$B$18)</f>
        <v>70</v>
      </c>
      <c r="HL56" s="12">
        <f>IF($A56&gt;30,10,('Scénario référence'!$B$16+'Scénario référence'!$B$17+'Scénario référence'!$B$18+'Scénario référence'!$B$9+'Scénario référence'!$B$10)*$A56*10/30+('Scénario référence'!$F$8+'Scénario référence'!$F$9)*10)</f>
        <v>10</v>
      </c>
      <c r="HM56" s="12" t="e">
        <f>VLOOKUP($A56,'Données projet'!$A$304:$I$324,2,0)</f>
        <v>#N/A</v>
      </c>
      <c r="HN56" s="12" t="e">
        <f>VLOOKUP($A56,'Données projet'!$A$304:$I$324,9,0)</f>
        <v>#N/A</v>
      </c>
      <c r="HO56" s="12">
        <f t="array" ref="HO56">INDEX(HN:HN,MIN(IF(ISNUMBER(HN56:HN252),ROW(HN56:HN252),"")))</f>
        <v>0</v>
      </c>
      <c r="HP56" s="12">
        <f>IF('Données projet'!$A$304&gt;35,HP55+HO56-HX55,IF($A56&lt;'Données projet'!$A$304,$CQ$205^$A56,IF($A56='Données projet'!$A$304,'Données projet'!$B$304,HP55+HO56-HX55)))</f>
        <v>0</v>
      </c>
      <c r="HQ56" s="17">
        <f>HP56*VLOOKUP('Données projet'!$B$19,Paramètres!$A$1:$I$89,3,0)*VLOOKUP('Données projet'!$B$19,Paramètres!$A$1:$I$89,5,0)</f>
        <v>0</v>
      </c>
      <c r="HR56" s="13" t="e">
        <f t="shared" si="83"/>
        <v>#NUM!</v>
      </c>
      <c r="HS56" s="14" t="e">
        <f t="shared" si="31"/>
        <v>#NUM!</v>
      </c>
      <c r="HT56" s="59" t="e">
        <f t="shared" si="32"/>
        <v>#NUM!</v>
      </c>
      <c r="HU56" s="59">
        <f ca="1">AVERAGE(OFFSET(HT$3,0,0,'Données projet'!$E$19+1,1))-AVERAGE(OFFSET($H$3,0,0,'Données projet'!$E$19+1,1))</f>
        <v>91.60721429656013</v>
      </c>
      <c r="HV56" s="59">
        <f t="shared" si="84"/>
        <v>258.94957804210856</v>
      </c>
      <c r="HW56" s="15">
        <f>IF(ISNA(VLOOKUP($A56,'Données projet'!$A$304:$I$324,3,0)),0,VLOOKUP($A56,'Données projet'!$A$304:$I$324,3,0))</f>
        <v>0</v>
      </c>
      <c r="HX56" s="15">
        <f>IF(ISNA(VLOOKUP($A56,'Données projet'!$A$304:$I$324,4,0)),0,VLOOKUP($A56,'Données projet'!$A$304:$I$324,4,0))</f>
        <v>0</v>
      </c>
      <c r="HY56" s="16">
        <f>IF(ISNA(VLOOKUP($A56,'Données projet'!$A$304:$I$324,5,0)),0%,VLOOKUP($A56,'Données projet'!$A$304:$I$324,5,0)*VLOOKUP('Données projet'!$B$19,Paramètres!$A$1:$I$89,7,0))</f>
        <v>0</v>
      </c>
      <c r="HZ56" s="16">
        <f>IF(ISNA(VLOOKUP($A56,'Données projet'!$A$304:$I$324,6,0)),0%,VLOOKUP($A56,'Données projet'!$A$304:$I$324,6,0)*VLOOKUP('Données projet'!$B$19,Paramètres!$A$1:$I$89,7,0))</f>
        <v>0</v>
      </c>
      <c r="IA56" s="16">
        <f>IF(ISNA(VLOOKUP($A56,'Données projet'!$A$304:$I$324,7,0)),0%,VLOOKUP($A56,'Données projet'!$A$304:$I$324,7,0))</f>
        <v>0</v>
      </c>
      <c r="IB56" s="21">
        <f>EXP(-LN(2)/35)*IB55+(1-EXP(-LN(2)/35))/(LN(2)/35)*HX56*HY56*VLOOKUP('Données projet'!$B$19,Paramètres!$A$1:$I$89,3,0)*0.475*44/12</f>
        <v>31.283491305228527</v>
      </c>
      <c r="IC56" s="21">
        <f>EXP(-LN(2)/25)*IC55+(1-EXP(-LN(2)/25))/(LN(2)/25)*Calculateur!HX56*Calculateur!HZ56*VLOOKUP('Données projet'!$B$19,Paramètres!$A$1:$I$89,3,0)*0.475*44/12</f>
        <v>5.1411912951650294</v>
      </c>
      <c r="ID56" s="21">
        <f>EXP(-LN(2)/2)*ID55+(1-EXP(-LN(2)/2))/(LN(2)/2)*HX56*IA56*VLOOKUP('Données projet'!$B$19,Paramètres!$A$1:$I$89,3,0)*0.475*44/12</f>
        <v>1.9778698938113117E-4</v>
      </c>
      <c r="IE56" s="22">
        <f t="shared" si="33"/>
        <v>36.424880387382935</v>
      </c>
      <c r="IF56" s="74">
        <f>('Scénario référence'!$F$8+'Scénario référence'!$F$9+'Scénario référence'!$B$17+'Scénario référence'!$B$9+'Scénario référence'!$B$10)*70+IF((45+25*(1-EXP(-0.0175*$A56)))&lt;70,'Scénario référence'!$B$16*(45+25*(1-EXP(-0.0175*$A56))),70*'Scénario référence'!$B$16)+IF((32+38*(1-EXP(-0.0175*$A56)))&lt;70,'Scénario référence'!$B$18*(32+38*(1-EXP(-0.0175*$A56))),70*'Scénario référence'!$B$18)</f>
        <v>70</v>
      </c>
      <c r="IG56" s="12">
        <f>IF($A56&gt;30,10,('Scénario référence'!$B$16+'Scénario référence'!$B$17+'Scénario référence'!$B$18+'Scénario référence'!$B$9+'Scénario référence'!$B$10)*$A56*10/30+('Scénario référence'!$F$8+'Scénario référence'!$F$9)*10)</f>
        <v>10</v>
      </c>
      <c r="IH56" s="12" t="e">
        <f>VLOOKUP($A56,'Données projet'!$A$330:$I$350,2,0)</f>
        <v>#N/A</v>
      </c>
      <c r="II56" s="12" t="e">
        <f>VLOOKUP($A56,'Données projet'!$A$330:$I$350,9,0)</f>
        <v>#N/A</v>
      </c>
      <c r="IJ56" s="12">
        <f t="array" ref="IJ56">INDEX(II:II,MIN(IF(ISNUMBER(II56:II252),ROW(II56:II252),"")))</f>
        <v>0</v>
      </c>
      <c r="IK56" s="12">
        <f>IF('Données projet'!$A$330&gt;35,IK55+IJ56-IS55,IF($A56&lt;'Données projet'!$A$330,$CQ$205^$A56,IF($A56='Données projet'!$A$330,'Données projet'!$B$330,IK55+IJ56-IS55)))</f>
        <v>0</v>
      </c>
      <c r="IL56" s="17">
        <f>IK56*VLOOKUP('Données projet'!$B$20,Paramètres!$A$1:$I$89,3,0)*VLOOKUP('Données projet'!$B$20,Paramètres!$A$1:$I$89,5,0)</f>
        <v>0</v>
      </c>
      <c r="IM56" s="13" t="e">
        <f t="shared" si="85"/>
        <v>#NUM!</v>
      </c>
      <c r="IN56" s="20" t="e">
        <f t="shared" si="86"/>
        <v>#NUM!</v>
      </c>
      <c r="IO56" s="59" t="e">
        <f t="shared" si="87"/>
        <v>#NUM!</v>
      </c>
      <c r="IP56" s="59">
        <f ca="1">AVERAGE(OFFSET(IO$3,0,0,'Données projet'!$E$20+1,1))-AVERAGE(OFFSET($H$3,0,0,'Données projet'!$E$20+1,1))</f>
        <v>91.60721429656013</v>
      </c>
      <c r="IQ56" s="59">
        <f t="shared" si="88"/>
        <v>258.94957804210856</v>
      </c>
      <c r="IR56" s="15">
        <f>IF(ISNA(VLOOKUP($A56,'Données projet'!$A$330:$I$350,3,0)),0,VLOOKUP($A56,'Données projet'!$A$330:$I$350,3,0))</f>
        <v>0</v>
      </c>
      <c r="IS56" s="15">
        <f>IF(ISNA(VLOOKUP($A56,'Données projet'!$A$330:$I$350,4,0)),0,VLOOKUP($A56,'Données projet'!$A$330:$I$350,4,0))</f>
        <v>0</v>
      </c>
      <c r="IT56" s="16">
        <f>IF(ISNA(VLOOKUP($A56,'Données projet'!$A$330:$I$350,5,0)),0%,VLOOKUP($A56,'Données projet'!$A$330:$I$350,5,0)*VLOOKUP('Données projet'!$B$20,Paramètres!$A$1:$I$89,7,0))</f>
        <v>0</v>
      </c>
      <c r="IU56" s="16">
        <f>IF(ISNA(VLOOKUP($A56,'Données projet'!$A$330:$I$350,6,0)),0%,VLOOKUP($A56,'Données projet'!$A$330:$I$350,6,0)*VLOOKUP('Données projet'!$B$20,Paramètres!$A$1:$I$89,7,0))</f>
        <v>0</v>
      </c>
      <c r="IV56" s="16">
        <f>IF(ISNA(VLOOKUP($A56,'Données projet'!$A$330:$I$350,7,0)),0%,VLOOKUP($A56,'Données projet'!$A$330:$I$350,7,0))</f>
        <v>0</v>
      </c>
      <c r="IW56" s="21">
        <f>EXP(-LN(2)/35)*IW55+(1-EXP(-LN(2)/35))/(LN(2)/35)*IS56*IT56*VLOOKUP('Données projet'!$B$20,Paramètres!$A$1:$I$89,3,0)*0.475*44/12</f>
        <v>31.283491305228527</v>
      </c>
      <c r="IX56" s="21">
        <f>EXP(-LN(2)/25)*IX55+(1-EXP(-LN(2)/25))/(LN(2)/25)*Calculateur!IS56*Calculateur!IU56*VLOOKUP('Données projet'!$B$20,Paramètres!$A$1:$I$89,3,0)*0.475*44/12</f>
        <v>5.1411912951650294</v>
      </c>
      <c r="IY56" s="21">
        <f>EXP(-LN(2)/2)*IY55+(1-EXP(-LN(2)/2))/(LN(2)/2)*IS56*IV56*VLOOKUP('Données projet'!$B$20,Paramètres!$A$1:$I$89,3,0)*0.475*44/12</f>
        <v>1.9778698938113117E-4</v>
      </c>
      <c r="IZ56" s="22">
        <f t="shared" si="89"/>
        <v>36.424880387382935</v>
      </c>
      <c r="JA56" s="74">
        <f>('Scénario référence'!$F$8+'Scénario référence'!$F$9+'Scénario référence'!$B$17+'Scénario référence'!$B$9+'Scénario référence'!$B$10)*70+IF((45+25*(1-EXP(-0.0175*$A56)))&lt;70,'Scénario référence'!$B$16*(45+25*(1-EXP(-0.0175*$A56))),70*'Scénario référence'!$B$16)+IF((32+38*(1-EXP(-0.0175*$A56)))&lt;70,'Scénario référence'!$B$18*(32+38*(1-EXP(-0.0175*$A56))),70*'Scénario référence'!$B$18)</f>
        <v>70</v>
      </c>
      <c r="JB56" s="12">
        <f>IF($A56&gt;30,10,('Scénario référence'!$B$16+'Scénario référence'!$B$17+'Scénario référence'!$B$18+'Scénario référence'!$B$9+'Scénario référence'!$B$10)*$A56*10/30+('Scénario référence'!$F$8+'Scénario référence'!$F$9)*10)</f>
        <v>10</v>
      </c>
      <c r="JC56" s="12" t="e">
        <f>VLOOKUP($A56,'Données projet'!$A$356:$I$376,2,0)</f>
        <v>#N/A</v>
      </c>
      <c r="JD56" s="12" t="e">
        <f>VLOOKUP($A56,'Données projet'!$A$356:$I$376,9,0)</f>
        <v>#N/A</v>
      </c>
      <c r="JE56" s="12">
        <f t="array" ref="JE56">INDEX(JD:JD,MIN(IF(ISNUMBER(JD56:JD252),ROW(JD56:JD252),"")))</f>
        <v>11</v>
      </c>
      <c r="JF56" s="12">
        <f>IF('Données projet'!$A$356&gt;35,JF55+JE56-JN55,IF($A56&lt;'Données projet'!$A$356,$CQ$205^$A56,IF($A56='Données projet'!$A$356,'Données projet'!$B$356,JF55+JE56-JN55)))</f>
        <v>222.00000000000009</v>
      </c>
      <c r="JG56" s="17">
        <f>JF56*VLOOKUP('Données projet'!$B$21,Paramètres!$A$1:$I$89,3,0)*VLOOKUP('Données projet'!$B$21,Paramètres!$A$1:$I$89,5,0)</f>
        <v>180.08640000000008</v>
      </c>
      <c r="JH56" s="13">
        <f t="shared" si="90"/>
        <v>45.341408037837176</v>
      </c>
      <c r="JI56" s="20">
        <f t="shared" si="91"/>
        <v>392.62009899923322</v>
      </c>
      <c r="JJ56" s="59">
        <f t="shared" si="92"/>
        <v>685.95343233256654</v>
      </c>
      <c r="JK56" s="59">
        <f ca="1">AVERAGE(OFFSET($JJ$3,0,0,'Données projet'!$E$22+1,1))-AVERAGE(OFFSET($H$3,0,0,'Données projet'!$E$22+1,1))</f>
        <v>353.35574633294613</v>
      </c>
      <c r="JL56" s="59">
        <f t="shared" si="93"/>
        <v>170.36796666474726</v>
      </c>
      <c r="JM56" s="15">
        <f>IF(ISNA(VLOOKUP($A56,'Données projet'!$A$356:$I$376,3,0)),0,VLOOKUP($A56,'Données projet'!$A$356:$I$376,3,0))</f>
        <v>0</v>
      </c>
      <c r="JN56" s="15">
        <f>IF(ISNA(VLOOKUP($A56,'Données projet'!$A$356:$I$376,4,0)),0,VLOOKUP($A56,'Données projet'!$A$356:$I$376,4,0))</f>
        <v>0</v>
      </c>
      <c r="JO56" s="16">
        <f>IF(ISNA(VLOOKUP($A56,'Données projet'!$A$356:$I$376,5,0)),0%,VLOOKUP($A56,'Données projet'!$A$356:$I$376,5,0)*VLOOKUP('Données projet'!$B$21,Paramètres!$A$1:$I$89,7,0))</f>
        <v>0</v>
      </c>
      <c r="JP56" s="16">
        <f>IF(ISNA(VLOOKUP($A56,'Données projet'!$A$356:$I$376,6,0)),0%,VLOOKUP($A56,'Données projet'!$A$356:$I$376,6,0)*VLOOKUP('Données projet'!$B$21,Paramètres!$A$1:$I$89,7,0))</f>
        <v>0</v>
      </c>
      <c r="JQ56" s="16">
        <f>IF(ISNA(VLOOKUP($A56,'Données projet'!$A$356:$I$376,7,0)),0%,VLOOKUP($A56,'Données projet'!$A$356:$I$376,7,0))</f>
        <v>0</v>
      </c>
      <c r="JR56" s="21">
        <f>EXP(-LN(2)/35)*JR55+(1-EXP(-LN(2)/35))/(LN(2)/35)*JN56*JO56*VLOOKUP('Données projet'!$B$21,Paramètres!$A$1:$I$89,3,0)*0.475*44/12</f>
        <v>0</v>
      </c>
      <c r="JS56" s="21">
        <f>EXP(-LN(2)/25)*JS55+(1-EXP(-LN(2)/25))/(LN(2)/25)*Calculateur!JN56*Calculateur!JP56*VLOOKUP('Données projet'!$B$21,Paramètres!$A$1:$I$89,3,0)*0.475*44/12</f>
        <v>3.2540025853780028</v>
      </c>
      <c r="JT56" s="21">
        <f>EXP(-LN(2)/2)*JT55+(1-EXP(-LN(2)/2))/(LN(2)/2)*JN56*JQ56*VLOOKUP('Données projet'!$B$21,Paramètres!$A$1:$I$89,3,0)*0.475*44/12</f>
        <v>2.7607297230800674</v>
      </c>
      <c r="JU56" s="18">
        <f t="shared" si="39"/>
        <v>6.0147323084580702</v>
      </c>
      <c r="JV56" s="74">
        <f>('Scénario référence'!$F$8+'Scénario référence'!$F$9+'Scénario référence'!$B$17+'Scénario référence'!$B$9+'Scénario référence'!$B$10)*70+IF((45+25*(1-EXP(-0.0175*$A56)))&lt;70,'Scénario référence'!$B$16*(45+25*(1-EXP(-0.0175*$A56))),70*'Scénario référence'!$B$16)+IF((32+38*(1-EXP(-0.0175*$A56)))&lt;70,'Scénario référence'!$B$18*(32+38*(1-EXP(-0.0175*$A56))),70*'Scénario référence'!$B$18)</f>
        <v>70</v>
      </c>
      <c r="JW56" s="12">
        <f>IF($A56&gt;30,10,('Scénario référence'!$B$16+'Scénario référence'!$B$17+'Scénario référence'!$B$18+'Scénario référence'!$B$9+'Scénario référence'!$B$10)*$A56*10/30+('Scénario référence'!$F$8+'Scénario référence'!$F$9)*10)</f>
        <v>10</v>
      </c>
      <c r="JX56" s="12" t="e">
        <f>VLOOKUP($A56,'Données projet'!$A$382:$I$402,2,0)</f>
        <v>#N/A</v>
      </c>
      <c r="JY56" s="12" t="e">
        <f>VLOOKUP($A56,'Données projet'!$A$382:$I$402,9,0)</f>
        <v>#N/A</v>
      </c>
      <c r="JZ56" s="12">
        <f t="array" ref="JZ56">INDEX(JY:JY,MIN(IF(ISNUMBER(JY56:JY252),ROW(JY56:JY252),"")))</f>
        <v>8.8736263736263741</v>
      </c>
      <c r="KA56" s="12">
        <f>IF('Données projet'!$A$382&gt;35,KA55+JZ56-KI55,IF($A56&lt;'Données projet'!$A$382,$CQ$205^$A56,IF($A56='Données projet'!$A$382,'Données projet'!$B$382,KA55+JZ56-KI55)))</f>
        <v>180.69505494505495</v>
      </c>
      <c r="KB56" s="17">
        <f>KA56*VLOOKUP('Données projet'!$B$22,Paramètres!$A$1:$I$89,3,0)*VLOOKUP('Données projet'!$B$22,Paramètres!$A$1:$I$89,5,0)</f>
        <v>121.21024285714286</v>
      </c>
      <c r="KC56" s="13">
        <f t="shared" si="94"/>
        <v>31.957103501665042</v>
      </c>
      <c r="KD56" s="20">
        <f t="shared" si="95"/>
        <v>266.76646157492377</v>
      </c>
      <c r="KE56" s="59">
        <f t="shared" si="96"/>
        <v>560.09979490825708</v>
      </c>
      <c r="KF56" s="59">
        <f ca="1">AVERAGE(OFFSET($KE$3,0,0,'Données projet'!$E$22+1,1))-AVERAGE(OFFSET($H$3,0,0,'Données projet'!$E$22+1,1))</f>
        <v>193.91714772848269</v>
      </c>
      <c r="KG56" s="59">
        <f t="shared" si="97"/>
        <v>159.20429420478047</v>
      </c>
      <c r="KH56" s="15">
        <f>IF(ISNA(VLOOKUP($A56,'Données projet'!$A$382:$I$402,3,0)),0,VLOOKUP($A56,'Données projet'!$A$382:$I$402,3,0))</f>
        <v>0</v>
      </c>
      <c r="KI56" s="15">
        <f>IF(ISNA(VLOOKUP($A56,'Données projet'!$A$382:$I$402,4,0)),0,VLOOKUP($A56,'Données projet'!$A$382:$I$402,4,0))</f>
        <v>0</v>
      </c>
      <c r="KJ56" s="16">
        <f>IF(ISNA(VLOOKUP($A56,'Données projet'!$A$382:$I$402,5,0)),0%,VLOOKUP($A56,'Données projet'!$A$382:$I$402,5,0)*VLOOKUP('Données projet'!$B$22,Paramètres!$A$1:$I$89,7,0))</f>
        <v>0</v>
      </c>
      <c r="KK56" s="16">
        <f>IF(ISNA(VLOOKUP($A56,'Données projet'!$A$382:$I$402,6,0)),0%,VLOOKUP($A56,'Données projet'!$A$382:$I$402,6,0)*VLOOKUP('Données projet'!$B$22,Paramètres!$A$1:$I$89,7,0))</f>
        <v>0</v>
      </c>
      <c r="KL56" s="16">
        <f>IF(ISNA(VLOOKUP($A56,'Données projet'!$A$382:$I$402,7,0)),0%,VLOOKUP($A56,'Données projet'!$A$382:$I$402,7,0))</f>
        <v>0</v>
      </c>
      <c r="KM56" s="21">
        <f>EXP(-LN(2)/35)*KM55+(1-EXP(-LN(2)/35))/(LN(2)/35)*KI56*KJ56*VLOOKUP('Données projet'!$B$22,Paramètres!$A$1:$I$89,3,0)*0.475*44/12</f>
        <v>0</v>
      </c>
      <c r="KN56" s="21">
        <f>EXP(-LN(2)/25)*KN55+(1-EXP(-LN(2)/25))/(LN(2)/25)*Calculateur!KI56*Calculateur!KK56*VLOOKUP('Données projet'!$B$22,Paramètres!$A$1:$I$89,3,0)*0.475*44/12</f>
        <v>0</v>
      </c>
      <c r="KO56" s="21">
        <f>EXP(-LN(2)/2)*KO55+(1-EXP(-LN(2)/2))/(LN(2)/2)*KI56*KL56*VLOOKUP('Données projet'!$B$22,Paramètres!$A$1:$I$89,3,0)*0.475*44/12</f>
        <v>0</v>
      </c>
      <c r="KP56" s="22">
        <f t="shared" si="98"/>
        <v>0</v>
      </c>
      <c r="KQ56" s="74">
        <f>('Scénario référence'!$F$8+'Scénario référence'!$F$9+'Scénario référence'!$B$17+'Scénario référence'!$B$9+'Scénario référence'!$B$10)*70+IF((45+25*(1-EXP(-0.0175*$A56)))&lt;70,'Scénario référence'!$B$16*(45+25*(1-EXP(-0.0175*$A56))),70*'Scénario référence'!$B$16)+IF((32+38*(1-EXP(-0.0175*$A56)))&lt;70,'Scénario référence'!$B$18*(32+38*(1-EXP(-0.0175*$A56))),70*'Scénario référence'!$B$18)</f>
        <v>70</v>
      </c>
      <c r="KR56" s="12">
        <f>IF($A56&gt;30,10,('Scénario référence'!$B$16+'Scénario référence'!$B$17+'Scénario référence'!$B$18+'Scénario référence'!$B$9+'Scénario référence'!$B$10)*$A56*10/30+('Scénario référence'!$F$8+'Scénario référence'!$F$9)*10)</f>
        <v>10</v>
      </c>
      <c r="KS56" s="12" t="e">
        <f>VLOOKUP($A56,'Données projet'!$A$408:$I$428,2,0)</f>
        <v>#N/A</v>
      </c>
      <c r="KT56" s="12" t="e">
        <f>VLOOKUP($A56,'Données projet'!$A$408:$I$428,9,0)</f>
        <v>#N/A</v>
      </c>
      <c r="KU56" s="12">
        <f t="array" ref="KU56">INDEX(KT:KT,MIN(IF(ISNUMBER(KT56:KT252),ROW(KT56:KT252),"")))</f>
        <v>6</v>
      </c>
      <c r="KV56" s="12">
        <f>IF('Données projet'!$A$408&gt;35,KV55+KU56-LD55,IF($A56&lt;'Données projet'!$A$408,$CQ$205^$A56,IF($A56='Données projet'!$A$408,'Données projet'!$B$408,KV55+KU56-LD55)))</f>
        <v>219.99999999999991</v>
      </c>
      <c r="KW56" s="17">
        <f>KV56*VLOOKUP('Données projet'!$B$23,Paramètres!$A$1:$I$89,3,0)*VLOOKUP('Données projet'!$B$23,Paramètres!$A$1:$I$89,5,0)</f>
        <v>192.19199999999995</v>
      </c>
      <c r="KX56" s="13">
        <f t="shared" si="99"/>
        <v>48.02424892193244</v>
      </c>
      <c r="KY56" s="14">
        <f t="shared" si="43"/>
        <v>418.37663353903218</v>
      </c>
      <c r="KZ56" s="59">
        <f t="shared" si="44"/>
        <v>711.7099668723655</v>
      </c>
      <c r="LA56" s="59">
        <f ca="1">AVERAGE(OFFSET($KZ$3,0,0,'Données projet'!$E$23+1,1))-AVERAGE(OFFSET($H$3,0,0,'Données projet'!$E$23+1,1))</f>
        <v>248.33596943633819</v>
      </c>
      <c r="LB56" s="59">
        <f t="shared" si="100"/>
        <v>242.34010522344573</v>
      </c>
      <c r="LC56" s="15">
        <f>IF(ISNA(VLOOKUP($A56,'Données projet'!$A$408:$I$428,3,0)),0,VLOOKUP($A56,'Données projet'!$A$408:$I$428,3,0))</f>
        <v>0</v>
      </c>
      <c r="LD56" s="15">
        <f>IF(ISNA(VLOOKUP($A56,'Données projet'!$A$408:$I$428,4,0)),0,VLOOKUP($A56,'Données projet'!$A$408:$I$428,4,0))</f>
        <v>0</v>
      </c>
      <c r="LE56" s="16">
        <f>IF(ISNA(VLOOKUP($A56,'Données projet'!$A$408:$I$428,5,0)),0%,VLOOKUP($A56,'Données projet'!$A$408:$I$428,5,0)*VLOOKUP('Données projet'!$B$23,Paramètres!$A$1:$I$89,7,0))</f>
        <v>0</v>
      </c>
      <c r="LF56" s="16">
        <f>IF(ISNA(VLOOKUP($A56,'Données projet'!$A$408:$I$428,6,0)),0%,VLOOKUP($A56,'Données projet'!$A$408:$I$428,6,0)*VLOOKUP('Données projet'!$B$23,Paramètres!$A$1:$I$89,7,0))</f>
        <v>0</v>
      </c>
      <c r="LG56" s="16">
        <f>IF(ISNA(VLOOKUP($A56,'Données projet'!$A$408:$I$428,7,0)),0%,VLOOKUP($A56,'Données projet'!$A$408:$I$428,7,0))</f>
        <v>0</v>
      </c>
      <c r="LH56" s="21">
        <f>EXP(-LN(2)/35)*LH55+(1-EXP(-LN(2)/35))/(LN(2)/35)*LD56*LE56*VLOOKUP('Données projet'!$B$23,Paramètres!$A$1:$I$89,3,0)*0.475*44/12</f>
        <v>14.589275763768521</v>
      </c>
      <c r="LI56" s="21">
        <f>EXP(-LN(2)/25)*LI55+(1-EXP(-LN(2)/25))/(LN(2)/25)*Calculateur!LD56*Calculateur!LF56*VLOOKUP('Données projet'!$B$23,Paramètres!$A$1:$I$89,3,0)*0.475*44/12</f>
        <v>11.454382093917879</v>
      </c>
      <c r="LJ56" s="21">
        <f>EXP(-LN(2)/2)*LJ55+(1-EXP(-LN(2)/2))/(LN(2)/2)*LD56*LG56*VLOOKUP('Données projet'!$B$23,Paramètres!$A$1:$I$89,3,0)*0.475*44/12</f>
        <v>0</v>
      </c>
      <c r="LK56" s="22">
        <f t="shared" si="101"/>
        <v>26.043657857686398</v>
      </c>
      <c r="LL56" s="74">
        <f>('Scénario référence'!$F$8+'Scénario référence'!$F$9+'Scénario référence'!$B$17+'Scénario référence'!$B$9+'Scénario référence'!$B$10)*70+IF((45+25*(1-EXP(-0.0175*$A56)))&lt;70,'Scénario référence'!$B$16*(45+25*(1-EXP(-0.0175*$A56))),70*'Scénario référence'!$B$16)+IF((32+38*(1-EXP(-0.0175*$A56)))&lt;70,'Scénario référence'!$B$18*(32+38*(1-EXP(-0.0175*$A56))),70*'Scénario référence'!$B$18)</f>
        <v>70</v>
      </c>
      <c r="LM56" s="12">
        <f>IF($A56&gt;30,10,('Scénario référence'!$B$16+'Scénario référence'!$B$17+'Scénario référence'!$B$18+'Scénario référence'!$B$9+'Scénario référence'!$B$10)*$A56*10/30+('Scénario référence'!$F$8+'Scénario référence'!$F$9)*10)</f>
        <v>10</v>
      </c>
      <c r="LN56" s="12" t="e">
        <f>VLOOKUP($A56,'Données projet'!$A$434:$I$454,2,0)</f>
        <v>#N/A</v>
      </c>
      <c r="LO56" s="12" t="e">
        <f>VLOOKUP($A56,'Données projet'!$A$434:$I$454,9,0)</f>
        <v>#N/A</v>
      </c>
      <c r="LP56" s="12">
        <f t="array" ref="LP56">INDEX(LO:LO,MIN(IF(ISNUMBER(LO56:LO252),ROW(LO56:LO252),"")))</f>
        <v>6.3942307692307701</v>
      </c>
      <c r="LQ56" s="12">
        <f>IF('Données projet'!$A$434&gt;35,LQ55+LP56-LY55,IF($A56&lt;'Données projet'!$A$434,$CQ$205^$A56,IF($A56='Données projet'!$A$434,'Données projet'!$B$434,LQ55+LP56-LY55)))</f>
        <v>120.89102564102561</v>
      </c>
      <c r="LR56" s="17">
        <f>LQ56*VLOOKUP('Données projet'!$B$24,Paramètres!$A$1:$I$89,3,0)*VLOOKUP('Données projet'!$B$24,Paramètres!$A$1:$I$89,5,0)</f>
        <v>122.58349999999999</v>
      </c>
      <c r="LS56" s="13">
        <f t="shared" si="102"/>
        <v>32.276809219275542</v>
      </c>
      <c r="LT56" s="14">
        <f t="shared" si="46"/>
        <v>269.71503855690486</v>
      </c>
      <c r="LU56" s="59">
        <f t="shared" si="103"/>
        <v>563.04837189023817</v>
      </c>
      <c r="LV56" s="59">
        <f ca="1">AVERAGE(OFFSET($LU$3,0,0,'Données projet'!$E$24+1,1))-AVERAGE(OFFSET($H$3,0,0,'Données projet'!$E$24+1,1))</f>
        <v>260.52627655062872</v>
      </c>
      <c r="LW56" s="59">
        <f t="shared" si="104"/>
        <v>159.20429420478047</v>
      </c>
      <c r="LX56" s="15">
        <f>IF(ISNA(VLOOKUP($A56,'Données projet'!$A$434:$I$454,3,0)),0,VLOOKUP($A56,'Données projet'!$A$434:$I$454,3,0))</f>
        <v>0</v>
      </c>
      <c r="LY56" s="15">
        <f>IF(ISNA(VLOOKUP($A56,'Données projet'!$A$434:$I$454,4,0)),0,VLOOKUP($A56,'Données projet'!$A$434:$I$454,4,0))</f>
        <v>0</v>
      </c>
      <c r="LZ56" s="16">
        <f>IF(ISNA(VLOOKUP($A56,'Données projet'!$A$434:$I$454,5,0)),0%,VLOOKUP($A56,'Données projet'!$A$434:$I$454,5,0)*VLOOKUP('Données projet'!$B$24,Paramètres!$A$1:$I$89,7,0))</f>
        <v>0</v>
      </c>
      <c r="MA56" s="16">
        <f>IF(ISNA(VLOOKUP($A56,'Données projet'!$A$434:$I$454,6,0)),0%,VLOOKUP($A56,'Données projet'!$A$434:$I$454,6,0)*VLOOKUP('Données projet'!$B$24,Paramètres!$A$1:$I$89,7,0))</f>
        <v>0</v>
      </c>
      <c r="MB56" s="16">
        <f>IF(ISNA(VLOOKUP($A56,'Données projet'!$A$434:$I$454,7,0)),0%,VLOOKUP($A56,'Données projet'!$A$434:$I$454,7,0))</f>
        <v>0</v>
      </c>
      <c r="MC56" s="21">
        <f>EXP(-LN(2)/35)*MC55+(1-EXP(-LN(2)/35))/(LN(2)/35)*LY56*LZ56*VLOOKUP('Données projet'!$B$24,Paramètres!$A$1:$I$89,3,0)*0.475*44/12</f>
        <v>0</v>
      </c>
      <c r="MD56" s="21">
        <f>EXP(-LN(2)/25)*MD55+(1-EXP(-LN(2)/25))/(LN(2)/25)*Calculateur!LY56*Calculateur!MA56*VLOOKUP('Données projet'!$B$24,Paramètres!$A$1:$I$89,3,0)*0.475*44/12</f>
        <v>0</v>
      </c>
      <c r="ME56" s="21">
        <f>EXP(-LN(2)/2)*ME55+(1-EXP(-LN(2)/2))/(LN(2)/2)*LY56*MB56*VLOOKUP('Données projet'!$B$24,Paramètres!$A$1:$I$89,3,0)*0.475*44/12</f>
        <v>0</v>
      </c>
      <c r="MF56" s="22">
        <f t="shared" si="105"/>
        <v>0</v>
      </c>
      <c r="MG56" s="74">
        <f>('Scénario référence'!$F$8+'Scénario référence'!$F$9+'Scénario référence'!$B$17+'Scénario référence'!$B$9+'Scénario référence'!$B$10)*70+IF((45+25*(1-EXP(-0.0175*$A56)))&lt;70,'Scénario référence'!$B$16*(45+25*(1-EXP(-0.0175*$A56))),70*'Scénario référence'!$B$16)+IF((32+38*(1-EXP(-0.0175*$A56)))&lt;70,'Scénario référence'!$B$18*(32+38*(1-EXP(-0.0175*$A56))),70*'Scénario référence'!$B$18)</f>
        <v>70</v>
      </c>
      <c r="MH56" s="12">
        <f>IF($A56&gt;30,10,('Scénario référence'!$B$16+'Scénario référence'!$B$17+'Scénario référence'!$B$18+'Scénario référence'!$B$9+'Scénario référence'!$B$10)*$A56*10/30+('Scénario référence'!$F$8+'Scénario référence'!$F$9)*10)</f>
        <v>10</v>
      </c>
      <c r="MI56" s="12" t="e">
        <f>VLOOKUP($A56,'Données projet'!$A$460:$I$480,2,0)</f>
        <v>#N/A</v>
      </c>
      <c r="MJ56" s="12" t="e">
        <f>VLOOKUP($A56,'Données projet'!$A$460:$I$480,9,0)</f>
        <v>#N/A</v>
      </c>
      <c r="MK56" s="12">
        <f t="array" ref="MK56">INDEX(MJ:MJ,MIN(IF(ISNUMBER(MJ56:MJ252),ROW(MJ56:MJ252),"")))</f>
        <v>0</v>
      </c>
      <c r="ML56" s="12">
        <f>IF('Données projet'!$A$460&gt;35,ML55+MK56-MT55,IF($A56&lt;'Données projet'!$A$460,$CQ$205^$A56,IF($A56='Données projet'!$A$460,'Données projet'!$B$460,ML55+MK56-MT55)))</f>
        <v>0</v>
      </c>
      <c r="MM56" s="17" t="e">
        <f>ML56*VLOOKUP('Données projet'!$B$25,Paramètres!$A$1:$I$89,3,0)*VLOOKUP('Données projet'!$B$25,Paramètres!$A$1:$I$89,5,0)</f>
        <v>#N/A</v>
      </c>
      <c r="MN56" s="13" t="e">
        <f t="shared" si="106"/>
        <v>#N/A</v>
      </c>
      <c r="MO56" s="14" t="e">
        <f t="shared" si="49"/>
        <v>#N/A</v>
      </c>
      <c r="MP56" s="59" t="e">
        <f t="shared" si="50"/>
        <v>#N/A</v>
      </c>
      <c r="MQ56" s="20" t="e">
        <f ca="1">AVERAGE(OFFSET($MP$3,0,0,'Données projet'!$E$25+1,1))-AVERAGE(OFFSET($H$3,0,0,'Données projet'!$E$25+1,1))</f>
        <v>#N/A</v>
      </c>
      <c r="MR56" s="59" t="e">
        <f t="shared" si="107"/>
        <v>#N/A</v>
      </c>
      <c r="MS56" s="15">
        <f>IF(ISNA(VLOOKUP($A56,'Données projet'!$A$460:$I$480,3,0)),0,VLOOKUP($A56,'Données projet'!$A$460:$I$480,3,0))</f>
        <v>0</v>
      </c>
      <c r="MT56" s="15">
        <f>IF(ISNA(VLOOKUP($A56,'Données projet'!$A$460:$I$480,4,0)),0,VLOOKUP($A56,'Données projet'!$A$460:$I$480,4,0))</f>
        <v>0</v>
      </c>
      <c r="MU56" s="16">
        <f>IF(ISNA(VLOOKUP($A56,'Données projet'!$A$460:$I$480,5,0)),0%,VLOOKUP($A56,'Données projet'!$A$460:$I$480,5,0)*VLOOKUP('Données projet'!$B$25,Paramètres!$A$1:$I$89,7,0))</f>
        <v>0</v>
      </c>
      <c r="MV56" s="16">
        <f>IF(ISNA(VLOOKUP($A56,'Données projet'!$A$460:$I$480,6,0)),0%,VLOOKUP($A56,'Données projet'!$A$460:$I$480,6,0)*VLOOKUP('Données projet'!$B$25,Paramètres!$A$1:$I$89,7,0))</f>
        <v>0</v>
      </c>
      <c r="MW56" s="16">
        <f>IF(ISNA(VLOOKUP($A56,'Données projet'!$A$460:$I$480,7,0)),0%,VLOOKUP($A56,'Données projet'!$A$460:$I$480,7,0))</f>
        <v>0</v>
      </c>
      <c r="MX56" s="21" t="e">
        <f>EXP(-LN(2)/35)*MX55+(1-EXP(-LN(2)/35))/(LN(2)/35)*MT56*MU56*VLOOKUP('Données projet'!$B$25,Paramètres!$A$1:$I$89,3,0)*0.475*44/12</f>
        <v>#N/A</v>
      </c>
      <c r="MY56" s="21" t="e">
        <f>EXP(-LN(2)/25)*MY55+(1-EXP(-LN(2)/25))/(LN(2)/25)*Calculateur!MT56*Calculateur!MV56*VLOOKUP('Données projet'!$B$25,Paramètres!$A$1:$I$89,3,0)*0.475*44/12</f>
        <v>#N/A</v>
      </c>
      <c r="MZ56" s="21" t="e">
        <f>EXP(-LN(2)/2)*MZ55+(1-EXP(-LN(2)/2))/(LN(2)/2)*MT56*MW56*VLOOKUP('Données projet'!$B$25,Paramètres!$A$1:$I$89,3,0)*0.475*44/12</f>
        <v>#N/A</v>
      </c>
      <c r="NA56" s="22" t="e">
        <f t="shared" si="108"/>
        <v>#N/A</v>
      </c>
      <c r="NB56" s="74">
        <f>('Scénario référence'!$F$8+'Scénario référence'!$F$9+'Scénario référence'!$B$17+'Scénario référence'!$B$9+'Scénario référence'!$B$10)*70+IF((45+25*(1-EXP(-0.0175*$A56)))&lt;70,'Scénario référence'!$B$16*(45+25*(1-EXP(-0.0175*$A56))),70*'Scénario référence'!$B$16)+IF((32+38*(1-EXP(-0.0175*$A56)))&lt;70,'Scénario référence'!$B$18*(32+38*(1-EXP(-0.0175*$A56))),70*'Scénario référence'!$B$18)</f>
        <v>70</v>
      </c>
      <c r="NC56" s="12">
        <f>IF($A56&gt;30,10,('Scénario référence'!$B$16+'Scénario référence'!$B$17+'Scénario référence'!$B$18+'Scénario référence'!$B$9+'Scénario référence'!$B$10)*$A56*10/30+('Scénario référence'!$F$8+'Scénario référence'!$F$9)*10)</f>
        <v>10</v>
      </c>
      <c r="ND56" s="12" t="e">
        <f>VLOOKUP($A56,'Données projet'!$A$486:$I$506,2,0)</f>
        <v>#N/A</v>
      </c>
      <c r="NE56" s="12" t="e">
        <f>VLOOKUP($A56,'Données projet'!$A$486:$I$506,9,0)</f>
        <v>#N/A</v>
      </c>
      <c r="NF56" s="12">
        <f t="array" ref="NF56">INDEX(NE:NE,MIN(IF(ISNUMBER(NE56:NE252),ROW(NE56:NE252),"")))</f>
        <v>0</v>
      </c>
      <c r="NG56" s="12">
        <f>IF('Données projet'!$A$486&gt;35,NG55+NF56-NO55,IF($A56&lt;'Données projet'!$A$486,$CQ$205^$A56,IF($A56='Données projet'!$A$486,'Données projet'!$B$486,NG55+NF56-NO55)))</f>
        <v>0</v>
      </c>
      <c r="NH56" s="17" t="e">
        <f>NG56*VLOOKUP('Données projet'!$B$26,Paramètres!$A$1:$I$89,3,0)*VLOOKUP('Données projet'!$B$26,Paramètres!$A$1:$I$89,5,0)</f>
        <v>#N/A</v>
      </c>
      <c r="NI56" s="13" t="e">
        <f t="shared" si="109"/>
        <v>#N/A</v>
      </c>
      <c r="NJ56" s="14" t="e">
        <f t="shared" si="52"/>
        <v>#N/A</v>
      </c>
      <c r="NK56" s="59" t="e">
        <f t="shared" si="53"/>
        <v>#N/A</v>
      </c>
      <c r="NL56" s="20" t="e">
        <f ca="1">AVERAGE(OFFSET($NK$3,0,0,'Données projet'!$E$26+1,1))-AVERAGE(OFFSET($H$3,0,0,'Données projet'!$E$26+1,1))</f>
        <v>#N/A</v>
      </c>
      <c r="NM56" s="59" t="e">
        <f t="shared" si="110"/>
        <v>#N/A</v>
      </c>
      <c r="NN56" s="15">
        <f>IF(ISNA(VLOOKUP($A56,'Données projet'!$A$486:$I$506,3,0)),0,VLOOKUP($A56,'Données projet'!$A$486:$I$506,3,0))</f>
        <v>0</v>
      </c>
      <c r="NO56" s="15">
        <f>IF(ISNA(VLOOKUP($A56,'Données projet'!$A$486:$I$506,4,0)),0,VLOOKUP($A56,'Données projet'!$A$486:$I$506,4,0))</f>
        <v>0</v>
      </c>
      <c r="NP56" s="16">
        <f>IF(ISNA(VLOOKUP($A56,'Données projet'!$A$486:$I$506,5,0)),0%,VLOOKUP($A56,'Données projet'!$A$486:$I$506,5,0)*VLOOKUP('Données projet'!$B$26,Paramètres!$A$1:$I$89,7,0))</f>
        <v>0</v>
      </c>
      <c r="NQ56" s="16">
        <f>IF(ISNA(VLOOKUP($A56,'Données projet'!$A$486:$I$506,6,0)),0%,VLOOKUP($A56,'Données projet'!$A$486:$I$506,6,0)*VLOOKUP('Données projet'!$B$26,Paramètres!$A$1:$I$89,7,0))</f>
        <v>0</v>
      </c>
      <c r="NR56" s="16">
        <f>IF(ISNA(VLOOKUP($A56,'Données projet'!$A$486:$I$506,7,0)),0%,VLOOKUP($A56,'Données projet'!$A$486:$I$506,7,0))</f>
        <v>0</v>
      </c>
      <c r="NS56" s="21" t="e">
        <f>EXP(-LN(2)/35)*NS55+(1-EXP(-LN(2)/35))/(LN(2)/35)*NO56*NP56*VLOOKUP('Données projet'!$B$26,Paramètres!$A$1:$I$89,3,0)*0.475*44/12</f>
        <v>#N/A</v>
      </c>
      <c r="NT56" s="21" t="e">
        <f>EXP(-LN(2)/25)*NT55+(1-EXP(-LN(2)/25))/(LN(2)/25)*Calculateur!NO56*Calculateur!NQ56*VLOOKUP('Données projet'!$B$26,Paramètres!$A$1:$I$89,3,0)*0.475*44/12</f>
        <v>#N/A</v>
      </c>
      <c r="NU56" s="21" t="e">
        <f>EXP(-LN(2)/2)*NU55+(1-EXP(-LN(2)/2))/(LN(2)/2)*NO56*NR56*VLOOKUP('Données projet'!$B$26,Paramètres!$A$1:$I$89,3,0)*0.475*44/12</f>
        <v>#N/A</v>
      </c>
      <c r="NV56" s="22" t="e">
        <f t="shared" si="111"/>
        <v>#N/A</v>
      </c>
      <c r="NW56" s="74">
        <f>('Scénario référence'!$F$8+'Scénario référence'!$F$9+'Scénario référence'!$B$17+'Scénario référence'!$B$9+'Scénario référence'!$B$10)*70+IF((45+25*(1-EXP(-0.0175*$A56)))&lt;70,'Scénario référence'!$B$16*(45+25*(1-EXP(-0.0175*$A56))),70*'Scénario référence'!$B$16)+IF((32+38*(1-EXP(-0.0175*$A56)))&lt;70,'Scénario référence'!$B$18*(32+38*(1-EXP(-0.0175*$A56))),70*'Scénario référence'!$B$18)</f>
        <v>70</v>
      </c>
      <c r="NX56" s="12">
        <f>IF($A56&gt;30,10,('Scénario référence'!$B$16+'Scénario référence'!$B$17+'Scénario référence'!$B$18+'Scénario référence'!$B$9+'Scénario référence'!$B$10)*$A56*10/30+('Scénario référence'!$F$8+'Scénario référence'!$F$9)*10)</f>
        <v>10</v>
      </c>
      <c r="NY56" s="12" t="e">
        <f>VLOOKUP($A56,'Données projet'!$A$512:$I$532,2,0)</f>
        <v>#N/A</v>
      </c>
      <c r="NZ56" s="12" t="e">
        <f>VLOOKUP($A56,'Données projet'!$A$512:$I$532,9,0)</f>
        <v>#N/A</v>
      </c>
      <c r="OA56" s="12">
        <f t="array" ref="OA56">INDEX(NZ:NZ,MIN(IF(ISNUMBER(NZ56:NZ252),ROW(NZ56:NZ252),"")))</f>
        <v>0</v>
      </c>
      <c r="OB56" s="12">
        <f>IF('Données projet'!$A$512&gt;35,OB55+OA56-OJ55,IF($A56&lt;'Données projet'!$A$512,$CQ$205^$A56,IF($A56='Données projet'!$A$512,'Données projet'!$B$512,OB55+OA56-OJ55)))</f>
        <v>0</v>
      </c>
      <c r="OC56" s="17" t="e">
        <f>OB56*VLOOKUP('Données projet'!$B$27,Paramètres!$A$1:$I$89,3,0)*VLOOKUP('Données projet'!$B$27,Paramètres!$A$1:$I$89,5,0)</f>
        <v>#N/A</v>
      </c>
      <c r="OD56" s="13" t="e">
        <f t="shared" si="112"/>
        <v>#N/A</v>
      </c>
      <c r="OE56" s="14" t="e">
        <f t="shared" si="55"/>
        <v>#N/A</v>
      </c>
      <c r="OF56" s="59" t="e">
        <f t="shared" si="56"/>
        <v>#N/A</v>
      </c>
      <c r="OG56" s="20" t="e">
        <f ca="1">AVERAGE(OFFSET($OF$3,0,0,'Données projet'!$E$27+1,1))-AVERAGE(OFFSET($H$3,0,0,'Données projet'!$E$27+1,1))</f>
        <v>#N/A</v>
      </c>
      <c r="OH56" s="59" t="e">
        <f t="shared" si="113"/>
        <v>#N/A</v>
      </c>
      <c r="OI56" s="15">
        <f>IF(ISNA(VLOOKUP($A56,'Données projet'!$A$512:$I$532,3,0)),0,VLOOKUP($A56,'Données projet'!$A$512:$I$532,3,0))</f>
        <v>0</v>
      </c>
      <c r="OJ56" s="15">
        <f>IF(ISNA(VLOOKUP($A56,'Données projet'!$A$512:$I$532,4,0)),0,VLOOKUP($A56,'Données projet'!$A$512:$I$532,4,0))</f>
        <v>0</v>
      </c>
      <c r="OK56" s="16">
        <f>IF(ISNA(VLOOKUP($A56,'Données projet'!$A$512:$I$532,5,0)),0%,VLOOKUP($A56,'Données projet'!$A$512:$I$532,5,0)*VLOOKUP('Données projet'!$B$27,Paramètres!$A$1:$I$89,7,0))</f>
        <v>0</v>
      </c>
      <c r="OL56" s="16">
        <f>IF(ISNA(VLOOKUP($A56,'Données projet'!$A$512:$I$532,6,0)),0%,VLOOKUP($A56,'Données projet'!$A$512:$I$532,6,0)*VLOOKUP('Données projet'!$B$27,Paramètres!$A$1:$I$89,7,0))</f>
        <v>0</v>
      </c>
      <c r="OM56" s="16">
        <f>IF(ISNA(VLOOKUP($A56,'Données projet'!$A$512:$I$532,7,0)),0%,VLOOKUP($A56,'Données projet'!$A$512:$I$532,7,0))</f>
        <v>0</v>
      </c>
      <c r="ON56" s="21" t="e">
        <f>EXP(-LN(2)/35)*ON55+(1-EXP(-LN(2)/35))/(LN(2)/35)*OJ56*OK56*VLOOKUP('Données projet'!$B$27,Paramètres!$A$1:$I$89,3,0)*0.475*44/12</f>
        <v>#N/A</v>
      </c>
      <c r="OO56" s="21" t="e">
        <f>EXP(-LN(2)/25)*OO55+(1-EXP(-LN(2)/25))/(LN(2)/25)*Calculateur!OJ56*Calculateur!OL56*VLOOKUP('Données projet'!$B$27,Paramètres!$A$1:$I$89,3,0)*0.475*44/12</f>
        <v>#N/A</v>
      </c>
      <c r="OP56" s="21" t="e">
        <f>EXP(-LN(2)/2)*OP55+(1-EXP(-LN(2)/2))/(LN(2)/2)*OJ56*OM56*VLOOKUP('Données projet'!$B$27,Paramètres!$A$1:$I$89,3,0)*0.475*44/12</f>
        <v>#N/A</v>
      </c>
      <c r="OQ56" s="22" t="e">
        <f t="shared" si="114"/>
        <v>#N/A</v>
      </c>
      <c r="OR56" s="74">
        <f>('Scénario référence'!$F$8+'Scénario référence'!$F$9+'Scénario référence'!$B$17+'Scénario référence'!$B$9+'Scénario référence'!$B$10)*70+IF((45+25*(1-EXP(-0.0175*$A56)))&lt;70,'Scénario référence'!$B$16*(45+25*(1-EXP(-0.0175*$A56))),70*'Scénario référence'!$B$16)+IF((32+38*(1-EXP(-0.0175*$A56)))&lt;70,'Scénario référence'!$B$18*(32+38*(1-EXP(-0.0175*$A56))),70*'Scénario référence'!$B$18)</f>
        <v>70</v>
      </c>
      <c r="OS56" s="12">
        <f>IF($A56&gt;30,10,('Scénario référence'!$B$16+'Scénario référence'!$B$17+'Scénario référence'!$B$18+'Scénario référence'!$B$9+'Scénario référence'!$B$10)*$A56*10/30+('Scénario référence'!$F$8+'Scénario référence'!$F$9)*10)</f>
        <v>10</v>
      </c>
      <c r="OT56" s="12" t="e">
        <f>VLOOKUP($A56,'Données projet'!$A$538:$I$558,2,0)</f>
        <v>#N/A</v>
      </c>
      <c r="OU56" s="12" t="e">
        <f>VLOOKUP($A56,'Données projet'!$A$538:$I$558,9,0)</f>
        <v>#N/A</v>
      </c>
      <c r="OV56" s="12">
        <f t="array" ref="OV56">INDEX(OU:OU,MIN(IF(ISNUMBER(OU56:OU252),ROW(OU56:OU252),"")))</f>
        <v>0</v>
      </c>
      <c r="OW56" s="12">
        <f>IF('Données projet'!$A$538&gt;35,OW55+OV56-PE55,IF($A56&lt;'Données projet'!$A$538,$CQ$205^$A56,IF($A56='Données projet'!$A$538,'Données projet'!$B$538,OW55+OV56-PE55)))</f>
        <v>0</v>
      </c>
      <c r="OX56" s="17" t="e">
        <f>OW56*VLOOKUP('Données projet'!$B$28,Paramètres!$A$1:$I$89,3,0)*VLOOKUP('Données projet'!$B$28,Paramètres!$A$1:$I$89,5,0)</f>
        <v>#N/A</v>
      </c>
      <c r="OY56" s="13" t="e">
        <f t="shared" si="115"/>
        <v>#N/A</v>
      </c>
      <c r="OZ56" s="14" t="e">
        <f t="shared" si="58"/>
        <v>#N/A</v>
      </c>
      <c r="PA56" s="59" t="e">
        <f t="shared" si="59"/>
        <v>#N/A</v>
      </c>
      <c r="PB56" s="20" t="e">
        <f ca="1">AVERAGE(OFFSET($PA$3,0,0,'Données projet'!$E$28+1,1))-AVERAGE(OFFSET($H$3,0,0,'Données projet'!$E$28+1,1))</f>
        <v>#N/A</v>
      </c>
      <c r="PC56" s="59" t="e">
        <f t="shared" si="116"/>
        <v>#N/A</v>
      </c>
      <c r="PD56" s="15">
        <f>IF(ISNA(VLOOKUP($A56,'Données projet'!$A$538:$I$558,3,0)),0,VLOOKUP($A56,'Données projet'!$A$538:$I$558,3,0))</f>
        <v>0</v>
      </c>
      <c r="PE56" s="15">
        <f>IF(ISNA(VLOOKUP($A56,'Données projet'!$A$538:$I$558,4,0)),0,VLOOKUP($A56,'Données projet'!$A$538:$I$558,4,0))</f>
        <v>0</v>
      </c>
      <c r="PF56" s="16">
        <f>IF(ISNA(VLOOKUP($A56,'Données projet'!$A$538:$I$558,5,0)),0%,VLOOKUP($A56,'Données projet'!$A$538:$I$558,5,0)*VLOOKUP('Données projet'!$B$28,Paramètres!$A$1:$I$89,7,0))</f>
        <v>0</v>
      </c>
      <c r="PG56" s="16">
        <f>IF(ISNA(VLOOKUP($A56,'Données projet'!$A$538:$I$558,6,0)),0%,VLOOKUP($A56,'Données projet'!$A$538:$I$558,6,0)*VLOOKUP('Données projet'!$B$28,Paramètres!$A$1:$I$89,7,0))</f>
        <v>0</v>
      </c>
      <c r="PH56" s="16">
        <f>IF(ISNA(VLOOKUP($A56,'Données projet'!$A$538:$I$558,7,0)),0%,VLOOKUP($A56,'Données projet'!$A$538:$I$558,7,0))</f>
        <v>0</v>
      </c>
      <c r="PI56" s="21" t="e">
        <f>EXP(-LN(2)/35)*PI55+(1-EXP(-LN(2)/35))/(LN(2)/35)*PE56*PF56*VLOOKUP('Données projet'!$B$28,Paramètres!$A$1:$I$89,3,0)*0.475*44/12</f>
        <v>#N/A</v>
      </c>
      <c r="PJ56" s="21" t="e">
        <f>EXP(-LN(2)/25)*PJ55+(1-EXP(-LN(2)/25))/(LN(2)/25)*Calculateur!PE56*Calculateur!PG56*VLOOKUP('Données projet'!$B$28,Paramètres!$A$1:$I$89,3,0)*0.475*44/12</f>
        <v>#N/A</v>
      </c>
      <c r="PK56" s="21" t="e">
        <f>EXP(-LN(2)/2)*PK55+(1-EXP(-LN(2)/2))/(LN(2)/2)*PE56*PH56*VLOOKUP('Données projet'!$B$28,Paramètres!$A$1:$I$89,3,0)*0.475*44/12</f>
        <v>#N/A</v>
      </c>
      <c r="PL56" s="22" t="e">
        <f t="shared" si="117"/>
        <v>#N/A</v>
      </c>
    </row>
    <row r="57" spans="1:428" x14ac:dyDescent="0.35">
      <c r="A57" s="10">
        <f t="shared" si="6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6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projet'!$A$45:$I$65,2,0)</f>
        <v>566.79999999999995</v>
      </c>
      <c r="L57" s="12">
        <f>VLOOKUP(A57,'Données projet'!$A$45:$I$65,9,0)</f>
        <v>20.507692307692299</v>
      </c>
      <c r="M57" s="12">
        <f t="array" ref="M57">INDEX(L:L,MIN(IF(ISNUMBER(L57:L253),ROW(L57:L253),"")))</f>
        <v>20.507692307692299</v>
      </c>
      <c r="N57" s="13">
        <f>IF('Données projet'!$A$46&gt;35,N56+M57-V56,IF(A57&lt;'Données projet'!$A$46,$K$205^A57,IF(A57='Données projet'!$A$46,'Données projet'!$B$46,N56+M57-V56)))</f>
        <v>566.79999999999984</v>
      </c>
      <c r="O57" s="13">
        <f>N57*VLOOKUP('Données projet'!$B$9,Paramètres!$A$1:$I$89,3,0)*VLOOKUP('Données projet'!$B$9,Paramètres!$A$1:$I$89,5,0)</f>
        <v>316.8411999999999</v>
      </c>
      <c r="P57" s="13">
        <f t="shared" si="63"/>
        <v>74.695724902330795</v>
      </c>
      <c r="Q57" s="20">
        <f t="shared" si="118"/>
        <v>681.92681087155927</v>
      </c>
      <c r="R57" s="59">
        <f t="shared" si="0"/>
        <v>975.26014420489264</v>
      </c>
      <c r="S57" s="59">
        <f ca="1">AVERAGE(OFFSET($R$3,0,0,'Données projet'!$E$9+1,1))-AVERAGE(OFFSET($H$3,0,0,'Données projet'!$E$9+1,1))</f>
        <v>274.57619581652199</v>
      </c>
      <c r="T57" s="59">
        <f t="shared" si="64"/>
        <v>366.15117322598775</v>
      </c>
      <c r="U57" s="15">
        <f>IF(ISNA(VLOOKUP(A57,'Données projet'!$A$45:$I$65,3,0)),0,VLOOKUP(A57,'Données projet'!$A$45:$I$65,3,0))</f>
        <v>7</v>
      </c>
      <c r="V57" s="15">
        <f>IF(ISNA(VLOOKUP(A57,'Données projet'!$A$45:$I$65,4,0)),0,VLOOKUP(A57,'Données projet'!$A$45:$I$65,4,0))</f>
        <v>566.79999999999995</v>
      </c>
      <c r="W57" s="16">
        <f>IF(ISNA(VLOOKUP(A57,'Données projet'!$A$45:$I$65,5,0)),0%,VLOOKUP(A57,'Données projet'!$A$45:$I$65,5,0)*VLOOKUP('Données projet'!$B$9,Paramètres!$A$1:$I$89,7,0))</f>
        <v>0.38500000000000001</v>
      </c>
      <c r="X57" s="16">
        <f>IF(ISNA(VLOOKUP(A57,'Données projet'!$A$45:$I$65,6,0)),0%,VLOOKUP(A57,'Données projet'!$A$45:$I$65,6,0)*VLOOKUP('Données projet'!$B$9,Paramètres!$A$1:$I$89,7,0))</f>
        <v>9.240000000000001E-2</v>
      </c>
      <c r="Y57" s="16">
        <f>IF(ISNA(VLOOKUP(A57,'Données projet'!$A$45:$I$65,7,0)),0%,VLOOKUP(A57,'Données projet'!$A$45:$I$65,7,0))</f>
        <v>0.13200000000000001</v>
      </c>
      <c r="Z57" s="21">
        <f>EXP(-LN(2)/35)*Z56+(1-EXP(-LN(2)/35))/(LN(2)/35)*V57*W57*VLOOKUP('Données projet'!$B$9,Paramètres!$A$1:$I$89,3,0)*0.475*44/12</f>
        <v>231.19058838852931</v>
      </c>
      <c r="AA57" s="21">
        <f>EXP(-LN(2)/25)*AA56+(1-EXP(-LN(2)/25))/(LN(2)/25)*Calculateur!V57*Calculateur!X57*VLOOKUP('Données projet'!$B$9,Paramètres!$A$1:$I$89,3,0)*0.475*44/12</f>
        <v>59.227252728732921</v>
      </c>
      <c r="AB57" s="21">
        <f>EXP(-LN(2)/2)*AB56+(1-EXP(-LN(2)/2))/(LN(2)/2)*V57*Y57*VLOOKUP('Données projet'!$B$9,Paramètres!$A$1:$I$89,3,0)*0.475*44/12</f>
        <v>48.311379430966142</v>
      </c>
      <c r="AC57" s="22">
        <f t="shared" si="3"/>
        <v>338.7292205482284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projet'!$A$71:$I$91,2,0)</f>
        <v>#N/A</v>
      </c>
      <c r="AG57" s="12" t="e">
        <f>VLOOKUP(A57,'Données projet'!$A$71:$I$91,9,0)</f>
        <v>#N/A</v>
      </c>
      <c r="AH57" s="12">
        <f t="array" ref="AH57">INDEX(AG:AG,MIN(IF(ISNUMBER(AG57:AG253),ROW(AG57:AG253),"")))</f>
        <v>8.8736263736263741</v>
      </c>
      <c r="AI57" s="13">
        <f>IF('Données projet'!$A$72&gt;35,AI56+AH57-AQ56,IF(A57&lt;'Données projet'!$A$72,$AF$205^A57,IF(A57='Données projet'!$A$72,'Données projet'!$B$72,AI56+AH57-AQ56)))</f>
        <v>189.56868131868137</v>
      </c>
      <c r="AJ57" s="13">
        <f>AI57*VLOOKUP('Données projet'!$B$10,Paramètres!$A$1:$I$89,3,0)*VLOOKUP('Données projet'!$B$10,Paramètres!$A$1:$I$89,5,0)</f>
        <v>171.5217428571429</v>
      </c>
      <c r="AK57" s="13">
        <f t="shared" si="65"/>
        <v>43.430666394282092</v>
      </c>
      <c r="AL57" s="20">
        <f t="shared" si="4"/>
        <v>374.37544611289854</v>
      </c>
      <c r="AM57" s="59">
        <f t="shared" si="5"/>
        <v>667.7087794462318</v>
      </c>
      <c r="AN57" s="59">
        <f ca="1">AVERAGE(OFFSET($AM$3,0,0,'Données projet'!$E$10+1,1))-AVERAGE(OFFSET($H$3,0,0,'Données projet'!$E$10+1,1))</f>
        <v>270.87836509222456</v>
      </c>
      <c r="AO57" s="59">
        <f t="shared" si="66"/>
        <v>205.24998237949734</v>
      </c>
      <c r="AP57" s="15">
        <f>IF(ISNA(VLOOKUP(A57,'Données projet'!$A$71:$I$91,3,0)),0,VLOOKUP(A57,'Données projet'!$A$71:$I$91,3,0))</f>
        <v>0</v>
      </c>
      <c r="AQ57" s="15">
        <f>IF(ISNA(VLOOKUP(A57,'Données projet'!$A$71:$I$91,4,0)),0,VLOOKUP(A57,'Données projet'!$A$71:$I$91,4,0))</f>
        <v>0</v>
      </c>
      <c r="AR57" s="16">
        <f>IF(ISNA(VLOOKUP(A57,'Données projet'!$A$71:$I$91,5,0)),0%,VLOOKUP(A57,'Données projet'!$A$71:$I$91,5,0)*VLOOKUP('Données projet'!$B$10,Paramètres!$A$1:$I$89,7,0))</f>
        <v>0</v>
      </c>
      <c r="AS57" s="16">
        <f>IF(ISNA(VLOOKUP(A57,'Données projet'!$A$71:$I$91,6,0)),0%,VLOOKUP(A57,'Données projet'!$A$71:$I$91,6,0)*VLOOKUP('Données projet'!$B$10,Paramètres!$A$1:$I$89,7,0))</f>
        <v>0</v>
      </c>
      <c r="AT57" s="16">
        <f>IF(ISNA(VLOOKUP(A57,'Données projet'!$A$71:$I$91,7,0)),0%,VLOOKUP(A57,'Données projet'!$A$71:$I$91,7,0))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>
        <f>VLOOKUP(A57,'Données projet'!$A$97:$I$117,2,0)</f>
        <v>566.79999999999995</v>
      </c>
      <c r="BB57" s="12">
        <f>VLOOKUP(A57,'Données projet'!$A$97:$I$117,9,0)</f>
        <v>20.507692307692299</v>
      </c>
      <c r="BC57" s="12">
        <f t="array" ref="BC57">INDEX(BB:BB,MIN(IF(ISNUMBER(BB57:BB253),ROW(BB57:BB253),"")))</f>
        <v>20.507692307692299</v>
      </c>
      <c r="BD57" s="12">
        <f>IF('Données projet'!$A$98&gt;35,BD56+BC57-BL56,IF(A57&lt;'Données projet'!$A$98,$BA$205^A57,IF(A57='Données projet'!$A$98,'Données projet'!$B$98,BD56+BC57-BL56)))</f>
        <v>566.79999999999984</v>
      </c>
      <c r="BE57" s="13">
        <f>BD57*VLOOKUP('Données projet'!$B$11,Paramètres!$A$1:$I$89,3,0)*VLOOKUP('Données projet'!$B$11,Paramètres!$A$1:$I$89,5,0)</f>
        <v>250.52559999999997</v>
      </c>
      <c r="BF57" s="13">
        <f t="shared" si="67"/>
        <v>60.698476420984917</v>
      </c>
      <c r="BG57" s="20">
        <f t="shared" si="7"/>
        <v>542.04859976654859</v>
      </c>
      <c r="BH57" s="59">
        <f t="shared" si="8"/>
        <v>835.38193309988196</v>
      </c>
      <c r="BI57" s="59">
        <f ca="1">AVERAGE(OFFSET($BH$3,0,0,'Données projet'!$E$11+1,1))-AVERAGE(OFFSET($H$3,0,0,'Données projet'!$E$11+1,1))</f>
        <v>211.31057120485542</v>
      </c>
      <c r="BJ57" s="59">
        <f t="shared" si="68"/>
        <v>283.33292006714777</v>
      </c>
      <c r="BK57" s="15">
        <f>IF(ISNA(VLOOKUP(A57,'Données projet'!$A$97:$I$117,3,0)),0,VLOOKUP(A57,'Données projet'!$A$97:$I$117,3,0))</f>
        <v>7</v>
      </c>
      <c r="BL57" s="15">
        <f>IF(ISNA(VLOOKUP(A57,'Données projet'!$A$97:$I$117,4,0)),0,VLOOKUP(A57,'Données projet'!$A$97:$I$117,4,0))</f>
        <v>566.79999999999995</v>
      </c>
      <c r="BM57" s="16">
        <f>IF(ISNA(VLOOKUP(A57,'Données projet'!$A$97:$I$117,5,0)),0%,VLOOKUP(A57,'Données projet'!$A$97:$I$117,5,0)*VLOOKUP('Données projet'!$B$11,Paramètres!$A$1:$I$89,7,0))</f>
        <v>0.38500000000000001</v>
      </c>
      <c r="BN57" s="16">
        <f>IF(ISNA(VLOOKUP(A57,'Données projet'!$A$97:$I$117,6,0)),0%,VLOOKUP(A57,'Données projet'!$A$97:$I$117,6,0)*VLOOKUP('Données projet'!$B$11,Paramètres!$A$1:$I$89,7,0))</f>
        <v>9.240000000000001E-2</v>
      </c>
      <c r="BO57" s="16">
        <f>IF(ISNA(VLOOKUP(A57,'Données projet'!$A$97:$I$117,7,0)),0%,VLOOKUP(A57,'Données projet'!$A$97:$I$117,7,0))</f>
        <v>0.13200000000000001</v>
      </c>
      <c r="BP57" s="21">
        <f>EXP(-LN(2)/35)*BP56+(1-EXP(-LN(2)/35))/(LN(2)/35)*BL57*BM57*VLOOKUP('Données projet'!$B$11,Paramètres!$A$1:$I$89,3,0)*0.475*44/12</f>
        <v>182.80186058627899</v>
      </c>
      <c r="BQ57" s="21">
        <f>EXP(-LN(2)/25)*BQ56+(1-EXP(-LN(2)/25))/(LN(2)/25)*Calculateur!BL57*Calculateur!BN57*VLOOKUP('Données projet'!$B$11,Paramètres!$A$1:$I$89,3,0)*0.475*44/12</f>
        <v>46.830850994812081</v>
      </c>
      <c r="BR57" s="21">
        <f>EXP(-LN(2)/2)*BR56+(1-EXP(-LN(2)/2))/(LN(2)/2)*BL57*BO57*VLOOKUP('Données projet'!$B$11,Paramètres!$A$1:$I$89,3,0)*0.475*44/12</f>
        <v>38.199695364019739</v>
      </c>
      <c r="BS57" s="22">
        <f t="shared" si="9"/>
        <v>267.83240694511085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projet'!$A$123:$I$143,2,0)</f>
        <v>#N/A</v>
      </c>
      <c r="BW57" s="12" t="e">
        <f>VLOOKUP(A57,'Données projet'!$A$123:$I$143,9,0)</f>
        <v>#N/A</v>
      </c>
      <c r="BX57" s="12">
        <f t="array" ref="BX57">INDEX(BW:BW,MIN(IF(ISNUMBER(BW57:BW253),ROW(BW57:BW253),"")))</f>
        <v>6.6</v>
      </c>
      <c r="BY57" s="12">
        <f>IF('Données projet'!$A$124&gt;35,BY56+BX57-CG56,IF(A57&lt;'Données projet'!$A$124,$BV$205^A57,IF(A57='Données projet'!$A$124,'Données projet'!$B$124,BY56+BX57-CG56)))</f>
        <v>211.40000000000003</v>
      </c>
      <c r="BZ57" s="13">
        <f>BY57*VLOOKUP('Données projet'!$B$12,Paramètres!$A$1:$I$89,3,0)*VLOOKUP('Données projet'!$B$12,Paramètres!$A$1:$I$89,5,0)</f>
        <v>220.95528000000007</v>
      </c>
      <c r="CA57" s="13">
        <f t="shared" si="69"/>
        <v>54.322458723287411</v>
      </c>
      <c r="CB57" s="20">
        <f t="shared" si="10"/>
        <v>479.44206160972567</v>
      </c>
      <c r="CC57" s="59">
        <f t="shared" si="11"/>
        <v>772.77539494305893</v>
      </c>
      <c r="CD57" s="59">
        <f ca="1">AVERAGE(OFFSET($CC$3,0,0,'Données projet'!$E$12+1,1))-AVERAGE(OFFSET($H$3,0,0,'Données projet'!$E$12+1,1))</f>
        <v>322.93502595881938</v>
      </c>
      <c r="CE57" s="59">
        <f t="shared" si="70"/>
        <v>302.67072119588164</v>
      </c>
      <c r="CF57" s="15">
        <f>IF(ISNA(VLOOKUP(A57,'Données projet'!$A$123:$I$143,3,0)),0,VLOOKUP(A57,'Données projet'!$A$123:$I$143,3,0))</f>
        <v>0</v>
      </c>
      <c r="CG57" s="15">
        <f>IF(ISNA(VLOOKUP(A57,'Données projet'!$A$123:$I$143,4,0)),0,VLOOKUP(A57,'Données projet'!$A$123:$I$143,4,0))</f>
        <v>0</v>
      </c>
      <c r="CH57" s="16">
        <f>IF(ISNA(VLOOKUP(A57,'Données projet'!$A$123:$I$143,5,0)),0%,VLOOKUP(A57,'Données projet'!$A$123:$I$143,5,0)*VLOOKUP('Données projet'!$B$12,Paramètres!$A$1:$I$89,7,0))</f>
        <v>0</v>
      </c>
      <c r="CI57" s="16">
        <f>IF(ISNA(VLOOKUP(A57,'Données projet'!$A$123:$I$143,6,0)),0%,VLOOKUP(A57,'Données projet'!$A$123:$I$143,6,0)*VLOOKUP('Données projet'!$B$12,Paramètres!$A$1:$I$89,7,0))</f>
        <v>0</v>
      </c>
      <c r="CJ57" s="16">
        <f>IF(ISNA(VLOOKUP(A57,'Données projet'!$A$123:$I$143,7,0)),0%,VLOOKUP(A57,'Données projet'!$A$123:$I$143,7,0))</f>
        <v>0</v>
      </c>
      <c r="CK57" s="21">
        <f>EXP(-LN(2)/35)*CK56+(1-EXP(-LN(2)/35))/(LN(2)/35)*CG57*CH57*VLOOKUP('Données projet'!$B$12,Paramètres!$A$1:$I$89,3,0)*0.475*44/12</f>
        <v>8.729939435644285</v>
      </c>
      <c r="CL57" s="21">
        <f>EXP(-LN(2)/25)*CL56+(1-EXP(-LN(2)/25))/(LN(2)/25)*Calculateur!CG57*Calculateur!CI57*VLOOKUP('Données projet'!$B$12,Paramètres!$A$1:$I$89,3,0)*0.475*44/12</f>
        <v>16.739051175323056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25.468990610967339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projet'!$A$149:$I$169,2,0)</f>
        <v>#N/A</v>
      </c>
      <c r="CR57" s="12" t="e">
        <f>VLOOKUP(A57,'Données projet'!$A$149:$I$169,9,0)</f>
        <v>#N/A</v>
      </c>
      <c r="CS57" s="12">
        <f t="array" ref="CS57">INDEX(CR:CR,MIN(IF(ISNUMBER(CR57:CR253),ROW(CR57:CR253),"")))</f>
        <v>6.3942307692307701</v>
      </c>
      <c r="CT57" s="12">
        <f>IF('Données projet'!$A$150&gt;35,CT56+CS57-DB56,IF(A57&lt;'Données projet'!$A$150,$CQ$205^A57,IF(A57='Données projet'!$A$150,'Données projet'!$B$150,CT56+CS57-DB56)))</f>
        <v>127.28525641025638</v>
      </c>
      <c r="CU57" s="17">
        <f>CT57*VLOOKUP('Données projet'!$B$13,Paramètres!$A$1:$I$89,3,0)*VLOOKUP('Données projet'!$B$13,Paramètres!$A$1:$I$89,5,0)</f>
        <v>129.06724999999997</v>
      </c>
      <c r="CV57" s="13">
        <f t="shared" si="71"/>
        <v>33.780737949764791</v>
      </c>
      <c r="CW57" s="20">
        <f t="shared" si="13"/>
        <v>283.62691234584025</v>
      </c>
      <c r="CX57" s="59">
        <f t="shared" si="14"/>
        <v>576.96024567917357</v>
      </c>
      <c r="CY57" s="59">
        <f ca="1">AVERAGE(OFFSET($CX$3,0,0,'Données projet'!$E$13+1,1))-AVERAGE(OFFSET($H$3,0,0,'Données projet'!$E$13+1,1))</f>
        <v>250.31277422753283</v>
      </c>
      <c r="CZ57" s="59">
        <f t="shared" si="72"/>
        <v>159.20429420478047</v>
      </c>
      <c r="DA57" s="15">
        <f>IF(ISNA(VLOOKUP(A57,'Données projet'!$A$149:$I$169,3,0)),0,VLOOKUP(A57,'Données projet'!$A$149:$I$169,3,0))</f>
        <v>0</v>
      </c>
      <c r="DB57" s="15">
        <f>IF(ISNA(VLOOKUP(A57,'Données projet'!$A$149:$I$169,4,0)),0,VLOOKUP(A57,'Données projet'!$A$149:$I$169,4,0))</f>
        <v>0</v>
      </c>
      <c r="DC57" s="16">
        <f>IF(ISNA(VLOOKUP(A57,'Données projet'!$A$149:$I$169,5,0)),0%,VLOOKUP(A57,'Données projet'!$A$149:$I$169,5,0)*VLOOKUP('Données projet'!$B$13,Paramètres!$A$1:$I$89,7,0))</f>
        <v>0</v>
      </c>
      <c r="DD57" s="16">
        <f>IF(ISNA(VLOOKUP(A57,'Données projet'!$A$149:$I$169,6,0)),0%,VLOOKUP(A57,'Données projet'!$A$149:$I$169,6,0)*VLOOKUP('Données projet'!$B$13,Paramètres!$A$1:$I$89,7,0))</f>
        <v>0</v>
      </c>
      <c r="DE57" s="16">
        <f>IF(ISNA(VLOOKUP(A57,'Données projet'!$A$149:$I$169,7,0)),0%,VLOOKUP(A57,'Données projet'!$A$149:$I$169,7,0))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0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projet'!$A$175:$I$195,2,0)</f>
        <v>#N/A</v>
      </c>
      <c r="DM57" s="12" t="e">
        <f>VLOOKUP(A57,'Données projet'!$A$175:$I$195,9,0)</f>
        <v>#N/A</v>
      </c>
      <c r="DN57" s="12">
        <f t="array" ref="DN57">INDEX(DM:DM,MIN(IF(ISNUMBER(DM57:DM253),ROW(DM57:DM253),"")))</f>
        <v>8.4</v>
      </c>
      <c r="DO57" s="12">
        <f>IF('Données projet'!$A$176&gt;35,DO56+DN57-DW56,IF(A57&lt;'Données projet'!$A$176,$DL$205^A57,IF(A57='Données projet'!$A$176,'Données projet'!$B$176,DO56+DN57-DW56)))</f>
        <v>315.59999999999985</v>
      </c>
      <c r="DP57" s="17">
        <f>DO57*VLOOKUP('Données projet'!$B$14,Paramètres!$A$1:$I$89,3,0)*VLOOKUP('Données projet'!$B$14,Paramètres!$A$1:$I$89,5,0)</f>
        <v>231.39791999999986</v>
      </c>
      <c r="DQ57" s="13">
        <f t="shared" si="73"/>
        <v>56.584837838715806</v>
      </c>
      <c r="DR57" s="20">
        <f t="shared" si="16"/>
        <v>501.5699699024297</v>
      </c>
      <c r="DS57" s="59">
        <f t="shared" si="17"/>
        <v>794.90330323576302</v>
      </c>
      <c r="DT57" s="59">
        <f ca="1">AVERAGE(OFFSET($DS$3,0,0,'Données projet'!$E$14+1,1))-AVERAGE(OFFSET($H$3,0,0,'Données projet'!$E$14+1,1))</f>
        <v>296.91321813251051</v>
      </c>
      <c r="DU57" s="59">
        <f t="shared" si="74"/>
        <v>291.0718079639509</v>
      </c>
      <c r="DV57" s="15">
        <f>IF(ISNA(VLOOKUP(A57,'Données projet'!$A$175:$I$195,3,0)),0,VLOOKUP(A57,'Données projet'!$A$175:$I$195,3,0))</f>
        <v>0</v>
      </c>
      <c r="DW57" s="15">
        <f>IF(ISNA(VLOOKUP(A57,'Données projet'!$A$175:$I$195,4,0)),0,VLOOKUP(A57,'Données projet'!$A$175:$I$195,4,0))</f>
        <v>0</v>
      </c>
      <c r="DX57" s="16">
        <f>IF(ISNA(VLOOKUP(A57,'Données projet'!$A$175:$I$195,5,0)),0%,VLOOKUP(A57,'Données projet'!$A$175:$I$195,5,0)*VLOOKUP('Données projet'!$B$14,Paramètres!$A$1:$I$89,7,0))</f>
        <v>0</v>
      </c>
      <c r="DY57" s="16">
        <f>IF(ISNA(VLOOKUP(A57,'Données projet'!$A$175:$I$195,6,0)),0%,VLOOKUP(A57,'Données projet'!$A$175:$I$195,6,0)*VLOOKUP('Données projet'!$B$14,Paramètres!$A$1:$I$89,7,0))</f>
        <v>0</v>
      </c>
      <c r="DZ57" s="16">
        <f>IF(ISNA(VLOOKUP(A57,'Données projet'!$A$175:$I$195,7,0)),0%,VLOOKUP(A57,'Données projet'!$A$175:$I$195,7,0))</f>
        <v>0</v>
      </c>
      <c r="EA57" s="21">
        <f>EXP(-LN(2)/35)*EA56+(1-EXP(-LN(2)/35))/(LN(2)/35)*DW57*DX57*VLOOKUP('Données projet'!$B$14,Paramètres!$A$1:$I$89,3,0)*0.475*44/12</f>
        <v>35.701544377794818</v>
      </c>
      <c r="EB57" s="21">
        <f>EXP(-LN(2)/25)*EB56+(1-EXP(-LN(2)/25))/(LN(2)/25)*Calculateur!DW57*Calculateur!DY57*VLOOKUP('Données projet'!$B$14,Paramètres!$A$1:$I$89,3,0)*0.475*44/12</f>
        <v>8.9962242992672898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44.697768677062108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projet'!$A$201:$I$221,2,0)</f>
        <v>#N/A</v>
      </c>
      <c r="EH57" s="12" t="e">
        <f>VLOOKUP(A57,'Données projet'!$A$201:$I$221,9,0)</f>
        <v>#N/A</v>
      </c>
      <c r="EI57" s="12">
        <f t="array" ref="EI57">INDEX(EH:EH,MIN(IF(ISNUMBER(EH57:EH253),ROW(EH57:EH253),"")))</f>
        <v>10.763461538461542</v>
      </c>
      <c r="EJ57" s="12">
        <f>IF('Données projet'!$A$202&gt;35,EJ56+EI57-ER56,IF(A57&lt;'Données projet'!$A$202,$EG$205^A57,IF(A57='Données projet'!$A$202,'Données projet'!$B$202,EJ56+EI57-ER56)))</f>
        <v>253.82115384615372</v>
      </c>
      <c r="EK57" s="17">
        <f>EJ57*VLOOKUP('Données projet'!$B$15,Paramètres!$A$1:$I$89,3,0)*VLOOKUP('Données projet'!$B$15,Paramètres!$A$1:$I$89,5,0)</f>
        <v>118.78829999999994</v>
      </c>
      <c r="EL57" s="13">
        <f t="shared" si="75"/>
        <v>31.392223457890381</v>
      </c>
      <c r="EM57" s="20">
        <f t="shared" si="19"/>
        <v>261.56441168915899</v>
      </c>
      <c r="EN57" s="59">
        <f t="shared" si="20"/>
        <v>554.89774502249224</v>
      </c>
      <c r="EO57" s="59">
        <f ca="1">AVERAGE(OFFSET($EN$3,0,0,'Données projet'!$E$15+1,1))-AVERAGE(OFFSET($H$3,0,0,'Données projet'!$E$15+1,1))</f>
        <v>147.64256291235483</v>
      </c>
      <c r="EP57" s="59">
        <f t="shared" si="76"/>
        <v>70.859031694091868</v>
      </c>
      <c r="EQ57" s="15">
        <f>IF(ISNA(VLOOKUP(A57,'Données projet'!$A$201:$I$221,3,0)),0,VLOOKUP(A57,'Données projet'!$A$201:$I$221,3,0))</f>
        <v>0</v>
      </c>
      <c r="ER57" s="15">
        <f>IF(ISNA(VLOOKUP(A57,'Données projet'!$A$201:$I$221,4,0)),0,VLOOKUP(A57,'Données projet'!$A$201:$I$221,4,0))</f>
        <v>0</v>
      </c>
      <c r="ES57" s="16">
        <f>IF(ISNA(VLOOKUP(A57,'Données projet'!$A$201:$I$221,5,0)),0%,VLOOKUP(A57,'Données projet'!$A$201:$I$221,5,0)*VLOOKUP('Données projet'!$B$15,Paramètres!$A$1:$I$89,7,0))</f>
        <v>0</v>
      </c>
      <c r="ET57" s="16">
        <f>IF(ISNA(VLOOKUP(A57,'Données projet'!$A$201:$I$221,6,0)),0%,VLOOKUP(A57,'Données projet'!$A$201:$I$221,6,0)*VLOOKUP('Données projet'!$B$15,Paramètres!$A$1:$I$89,7,0))</f>
        <v>0</v>
      </c>
      <c r="EU57" s="16">
        <f>IF(ISNA(VLOOKUP(A57,'Données projet'!$A$201:$I$221,7,0)),0%,VLOOKUP(A57,'Données projet'!$A$201:$I$221,7,0))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17.580135069902127</v>
      </c>
      <c r="EX57" s="21">
        <f>EXP(-LN(2)/2)*EX56+(1-EXP(-LN(2)/2))/(LN(2)/2)*ER57*EU57*VLOOKUP('Données projet'!$B$15,Paramètres!$A$1:$I$89,3,0)*0.475*44/12</f>
        <v>8.2684349561012223</v>
      </c>
      <c r="EY57" s="22">
        <f t="shared" si="21"/>
        <v>25.848570026003351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projet'!$A$227:$I$247,2,0)</f>
        <v>#N/A</v>
      </c>
      <c r="FC57" s="12" t="e">
        <f>VLOOKUP(A57,'Données projet'!$A$227:$I$247,9,0)</f>
        <v>#N/A</v>
      </c>
      <c r="FD57" s="12">
        <f t="array" ref="FD57">INDEX(FC:FC,MIN(IF(ISNUMBER(FC57:FC253),ROW(FC57:FC253),"")))</f>
        <v>5.2</v>
      </c>
      <c r="FE57" s="12">
        <f>IF('Données projet'!$A$228&gt;35,FE56+FD57-FM56,IF(A57&lt;'Données projet'!$A$228,$FB$205^A57,IF(A57='Données projet'!$A$228,'Données projet'!$B$228,FE56+FD57-FM56)))</f>
        <v>175.79999999999998</v>
      </c>
      <c r="FF57" s="17">
        <f>FE57*VLOOKUP('Données projet'!$B$16,Paramètres!$A$1:$I$89,3,0)*VLOOKUP('Données projet'!$B$16,Paramètres!$A$1:$I$89,5,0)</f>
        <v>183.74616</v>
      </c>
      <c r="FG57" s="13">
        <f t="shared" si="77"/>
        <v>46.154635956048509</v>
      </c>
      <c r="FH57" s="20">
        <f t="shared" si="22"/>
        <v>400.41055295678444</v>
      </c>
      <c r="FI57" s="59">
        <f t="shared" si="23"/>
        <v>693.74388629011776</v>
      </c>
      <c r="FJ57" s="59">
        <f ca="1">AVERAGE(OFFSET($FI$3,0,0,'Données projet'!$E$16+1,1))-AVERAGE(OFFSET($H$3,0,0,'Données projet'!$E$16+1,1))</f>
        <v>259.03906550253788</v>
      </c>
      <c r="FK57" s="59">
        <f t="shared" si="78"/>
        <v>235.54542903570831</v>
      </c>
      <c r="FL57" s="15">
        <f>IF(ISNA(VLOOKUP(A57,'Données projet'!$A$227:$I$247,3,0)),0,VLOOKUP(A57,'Données projet'!$A$227:$I$247,3,0))</f>
        <v>0</v>
      </c>
      <c r="FM57" s="15">
        <f>IF(ISNA(VLOOKUP(A57,'Données projet'!$A$227:$I$247,4,0)),0,VLOOKUP(A57,'Données projet'!$A$227:$I$247,4,0))</f>
        <v>0</v>
      </c>
      <c r="FN57" s="16">
        <f>IF(ISNA(VLOOKUP(A57,'Données projet'!$A$227:$I$247,5,0)),0%,VLOOKUP(A57,'Données projet'!$A$227:$I$247,5,0)*VLOOKUP('Données projet'!$B$16,Paramètres!$A$1:$I$89,7,0))</f>
        <v>0</v>
      </c>
      <c r="FO57" s="16">
        <f>IF(ISNA(VLOOKUP(A57,'Données projet'!$A$227:$I$247,6,0)),0%,VLOOKUP(A57,'Données projet'!$A$227:$I$247,6,0)*VLOOKUP('Données projet'!$B$16,Paramètres!$A$1:$I$89,7,0))</f>
        <v>0</v>
      </c>
      <c r="FP57" s="16">
        <f>IF(ISNA(VLOOKUP(A57,'Données projet'!$A$227:$I$247,7,0)),0%,VLOOKUP(A57,'Données projet'!$A$227:$I$247,7,0))</f>
        <v>0</v>
      </c>
      <c r="FQ57" s="21">
        <f>EXP(-LN(2)/35)*FQ56+(1-EXP(-LN(2)/35))/(LN(2)/35)*FM57*FN57*VLOOKUP('Données projet'!$B$16,Paramètres!$A$1:$I$89,3,0)*0.475*44/12</f>
        <v>0</v>
      </c>
      <c r="FR57" s="21">
        <f>EXP(-LN(2)/25)*FR56+(1-EXP(-LN(2)/25))/(LN(2)/25)*Calculateur!FM57*Calculateur!FO57*VLOOKUP('Données projet'!$B$16,Paramètres!$A$1:$I$89,3,0)*0.475*44/12</f>
        <v>11.006328240685033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11.006328240685033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projet'!$A$253:$I$273,2,0)</f>
        <v>#N/A</v>
      </c>
      <c r="FX57" s="12" t="e">
        <f>VLOOKUP(A57,'Données projet'!$A$253:$I$273,9,0)</f>
        <v>#N/A</v>
      </c>
      <c r="FY57" s="12">
        <f t="array" ref="FY57">INDEX(FX:FX,MIN(IF(ISNUMBER(FX57:FX253),ROW(FX57:FX253),"")))</f>
        <v>6</v>
      </c>
      <c r="FZ57" s="12">
        <f>IF('Données projet'!$A$254&gt;35,FZ56+FY57-GH56,IF(A57&lt;'Données projet'!$A$254,$FW$205^A57,IF(A57='Données projet'!$A$254,'Données projet'!$B$254,FZ56+FY57-GH56)))</f>
        <v>225.99999999999989</v>
      </c>
      <c r="GA57" s="17">
        <f>FZ57*VLOOKUP('Données projet'!$B$17,Paramètres!$A$1:$I$89,3,0)*VLOOKUP('Données projet'!$B$17,Paramètres!$A$1:$I$89,5,0)</f>
        <v>197.43359999999993</v>
      </c>
      <c r="GB57" s="13">
        <f t="shared" si="79"/>
        <v>49.179727436837609</v>
      </c>
      <c r="GC57" s="20">
        <f t="shared" si="25"/>
        <v>429.51821195249204</v>
      </c>
      <c r="GD57" s="59">
        <f t="shared" si="26"/>
        <v>722.8515452858253</v>
      </c>
      <c r="GE57" s="59">
        <f ca="1">AVERAGE(OFFSET($GD$3,0,0,'Données projet'!$E$17+1,1))-AVERAGE(OFFSET($H$3,0,0,'Données projet'!$E$17+1,1))</f>
        <v>245.1983232777614</v>
      </c>
      <c r="GF57" s="59">
        <f t="shared" si="80"/>
        <v>242.34010522344573</v>
      </c>
      <c r="GG57" s="15">
        <f>IF(ISNA(VLOOKUP(A57,'Données projet'!$A$253:$I$273,3,0)),0,VLOOKUP(A57,'Données projet'!$A$253:$I$273,3,0))</f>
        <v>0</v>
      </c>
      <c r="GH57" s="15">
        <f>IF(ISNA(VLOOKUP(A57,'Données projet'!$A$253:$I$273,4,0)),0,VLOOKUP(A57,'Données projet'!$A$253:$I$273,4,0))</f>
        <v>0</v>
      </c>
      <c r="GI57" s="16">
        <f>IF(ISNA(VLOOKUP(A57,'Données projet'!$A$253:$I$273,5,0)),0%,VLOOKUP(A57,'Données projet'!$A$253:$I$273,5,0)*VLOOKUP('Données projet'!$B$17,Paramètres!$A$1:$I$89,7,0))</f>
        <v>0</v>
      </c>
      <c r="GJ57" s="16">
        <f>IF(ISNA(VLOOKUP(A57,'Données projet'!$A$253:$I$273,6,0)),0%,VLOOKUP(A57,'Données projet'!$A$253:$I$273,6,0)*VLOOKUP('Données projet'!$B$17,Paramètres!$A$1:$I$89,7,0))</f>
        <v>0</v>
      </c>
      <c r="GK57" s="16">
        <f>IF(ISNA(VLOOKUP(A57,'Données projet'!$A$253:$I$273,7,0)),0%,VLOOKUP(A57,'Données projet'!$A$253:$I$273,7,0))</f>
        <v>0</v>
      </c>
      <c r="GL57" s="21">
        <f>EXP(-LN(2)/35)*GL56+(1-EXP(-LN(2)/35))/(LN(2)/35)*GH57*GI57*VLOOKUP('Données projet'!$B$17,Paramètres!$A$1:$I$89,3,0)*0.475*44/12</f>
        <v>14.303188964620574</v>
      </c>
      <c r="GM57" s="21">
        <f>EXP(-LN(2)/25)*GM56+(1-EXP(-LN(2)/25))/(LN(2)/25)*Calculateur!GH57*Calculateur!GJ57*VLOOKUP('Données projet'!$B$17,Paramètres!$A$1:$I$89,3,0)*0.475*44/12</f>
        <v>11.141161413199919</v>
      </c>
      <c r="GN57" s="21">
        <f>EXP(-LN(2)/2)*GN56+(1-EXP(-LN(2)/2))/(LN(2)/2)*GH57*GK57*VLOOKUP('Données projet'!$B$17,Paramètres!$A$1:$I$89,3,0)*0.475*44/12</f>
        <v>0</v>
      </c>
      <c r="GO57" s="21">
        <f t="shared" si="27"/>
        <v>25.444350377820491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projet'!$A$279:$I$299,2,0)</f>
        <v>#N/A</v>
      </c>
      <c r="GS57" s="12" t="e">
        <f>VLOOKUP(A57,'Données projet'!$A$279:$I$299,9,0)</f>
        <v>#N/A</v>
      </c>
      <c r="GT57" s="12">
        <f t="array" ref="GT57">INDEX(GS:GS,MIN(IF(ISNUMBER(GS57:GS253),ROW(GS57:GS253),"")))</f>
        <v>13.8</v>
      </c>
      <c r="GU57" s="12">
        <f>IF('Données projet'!$A$280&gt;35,GU56+GT57-HC56,IF(A57&lt;'Données projet'!$A$280,$GR$205^A57,IF(A57='Données projet'!$A$280,'Données projet'!$B$280,GU56+GT57-HC56)))</f>
        <v>632.20000000000016</v>
      </c>
      <c r="GV57" s="17">
        <f>GU57*VLOOKUP('Données projet'!$B$18,Paramètres!$A$1:$I$89,3,0)*VLOOKUP('Données projet'!$B$18,Paramètres!$A$1:$I$89,5,0)</f>
        <v>254.77660000000009</v>
      </c>
      <c r="GW57" s="13">
        <f t="shared" si="81"/>
        <v>61.607648470527835</v>
      </c>
      <c r="GX57" s="20">
        <f t="shared" si="28"/>
        <v>551.0358994195027</v>
      </c>
      <c r="GY57" s="59">
        <f t="shared" si="29"/>
        <v>844.36923275283607</v>
      </c>
      <c r="GZ57" s="59">
        <f ca="1">AVERAGE(OFFSET($GY$3,0,0,'Données projet'!$E$18+1,1))-AVERAGE(OFFSET($H$3,0,0,'Données projet'!$E$18+1,1))</f>
        <v>324.36162935850876</v>
      </c>
      <c r="HA57" s="59">
        <f t="shared" si="82"/>
        <v>265.23571072429735</v>
      </c>
      <c r="HB57" s="15">
        <f>IF(ISNA(VLOOKUP(A57,'Données projet'!$A$279:$I$299,3,0)),0,VLOOKUP(A57,'Données projet'!$A$279:$I$299,3,0))</f>
        <v>0</v>
      </c>
      <c r="HC57" s="15">
        <f>IF(ISNA(VLOOKUP(A57,'Données projet'!$A$279:$I$299,4,0)),0,VLOOKUP(A57,'Données projet'!$A$279:$I$299,4,0))</f>
        <v>0</v>
      </c>
      <c r="HD57" s="16">
        <f>IF(ISNA(VLOOKUP(A57,'Données projet'!$A$279:$I$299,5,0)),0%,VLOOKUP(A57,'Données projet'!$A$279:$I$299,5,0)*VLOOKUP('Données projet'!$B$18,Paramètres!$A$1:$I$89,7,0))</f>
        <v>0</v>
      </c>
      <c r="HE57" s="16">
        <f>IF(ISNA(VLOOKUP(A57,'Données projet'!$A$279:$I$299,6,0)),0%,VLOOKUP(A57,'Données projet'!$A$279:$I$299,6,0)*VLOOKUP('Données projet'!$B$18,Paramètres!$A$1:$I$89,7,0))</f>
        <v>0</v>
      </c>
      <c r="HF57" s="16">
        <f>IF(ISNA(VLOOKUP($A57,'Données projet'!$A$279:$I$299,7,0)),0%,VLOOKUP($A57,'Données projet'!$A$279:$I$299,7,0))</f>
        <v>0</v>
      </c>
      <c r="HG57" s="21">
        <f>EXP(-LN(2)/35)*HG56+(1-EXP(-LN(2)/35))/(LN(2)/35)*HC57*HD57*VLOOKUP('Données projet'!$B$18,Paramètres!$A$1:$I$89,3,0)*0.475*44/12</f>
        <v>7.0736395891103667</v>
      </c>
      <c r="HH57" s="21">
        <f>EXP(-LN(2)/25)*HH56+(1-EXP(-LN(2)/25))/(LN(2)/25)*Calculateur!HC57*Calculateur!HE57*VLOOKUP('Données projet'!$B$18,Paramètres!$A$1:$I$89,3,0)*0.475*44/12</f>
        <v>11.458405236674229</v>
      </c>
      <c r="HI57" s="21">
        <f>EXP(-LN(2)/2)*HI56+(1-EXP(-LN(2)/2))/(LN(2)/2)*HC57*HF57*VLOOKUP('Données projet'!$B$18,Paramètres!$A$1:$I$89,3,0)*0.475*44/12</f>
        <v>0.39193574018070992</v>
      </c>
      <c r="HJ57" s="22">
        <f t="shared" si="30"/>
        <v>18.923980565965305</v>
      </c>
      <c r="HK57" s="74">
        <f>('Scénario référence'!$F$8+'Scénario référence'!$F$9+'Scénario référence'!$B$17+'Scénario référence'!$B$9+'Scénario référence'!$B$10)*70+IF((45+25*(1-EXP(-0.0175*$A57)))&lt;70,'Scénario référence'!$B$16*(45+25*(1-EXP(-0.0175*$A57))),70*'Scénario référence'!$B$16)+IF((32+38*(1-EXP(-0.0175*$A57)))&lt;70,'Scénario référence'!$B$18*(32+38*(1-EXP(-0.0175*$A57))),70*'Scénario référence'!$B$18)</f>
        <v>70</v>
      </c>
      <c r="HL57" s="12">
        <f>IF($A57&gt;30,10,('Scénario référence'!$B$16+'Scénario référence'!$B$17+'Scénario référence'!$B$18+'Scénario référence'!$B$9+'Scénario référence'!$B$10)*$A57*10/30+('Scénario référence'!$F$8+'Scénario référence'!$F$9)*10)</f>
        <v>10</v>
      </c>
      <c r="HM57" s="12" t="e">
        <f>VLOOKUP($A57,'Données projet'!$A$304:$I$324,2,0)</f>
        <v>#N/A</v>
      </c>
      <c r="HN57" s="12" t="e">
        <f>VLOOKUP($A57,'Données projet'!$A$304:$I$324,9,0)</f>
        <v>#N/A</v>
      </c>
      <c r="HO57" s="12">
        <f t="array" ref="HO57">INDEX(HN:HN,MIN(IF(ISNUMBER(HN57:HN253),ROW(HN57:HN253),"")))</f>
        <v>0</v>
      </c>
      <c r="HP57" s="12">
        <f>IF('Données projet'!$A$304&gt;35,HP56+HO57-HX56,IF($A57&lt;'Données projet'!$A$304,$CQ$205^$A57,IF($A57='Données projet'!$A$304,'Données projet'!$B$304,HP56+HO57-HX56)))</f>
        <v>0</v>
      </c>
      <c r="HQ57" s="17">
        <f>HP57*VLOOKUP('Données projet'!$B$19,Paramètres!$A$1:$I$89,3,0)*VLOOKUP('Données projet'!$B$19,Paramètres!$A$1:$I$89,5,0)</f>
        <v>0</v>
      </c>
      <c r="HR57" s="13" t="e">
        <f t="shared" si="83"/>
        <v>#NUM!</v>
      </c>
      <c r="HS57" s="14" t="e">
        <f t="shared" si="31"/>
        <v>#NUM!</v>
      </c>
      <c r="HT57" s="59" t="e">
        <f t="shared" si="32"/>
        <v>#NUM!</v>
      </c>
      <c r="HU57" s="59">
        <f ca="1">AVERAGE(OFFSET(HT$3,0,0,'Données projet'!$E$19+1,1))-AVERAGE(OFFSET($H$3,0,0,'Données projet'!$E$19+1,1))</f>
        <v>91.60721429656013</v>
      </c>
      <c r="HV57" s="59">
        <f t="shared" si="84"/>
        <v>258.94957804210856</v>
      </c>
      <c r="HW57" s="15">
        <f>IF(ISNA(VLOOKUP($A57,'Données projet'!$A$304:$I$324,3,0)),0,VLOOKUP($A57,'Données projet'!$A$304:$I$324,3,0))</f>
        <v>0</v>
      </c>
      <c r="HX57" s="15">
        <f>IF(ISNA(VLOOKUP($A57,'Données projet'!$A$304:$I$324,4,0)),0,VLOOKUP($A57,'Données projet'!$A$304:$I$324,4,0))</f>
        <v>0</v>
      </c>
      <c r="HY57" s="16">
        <f>IF(ISNA(VLOOKUP($A57,'Données projet'!$A$304:$I$324,5,0)),0%,VLOOKUP($A57,'Données projet'!$A$304:$I$324,5,0)*VLOOKUP('Données projet'!$B$19,Paramètres!$A$1:$I$89,7,0))</f>
        <v>0</v>
      </c>
      <c r="HZ57" s="16">
        <f>IF(ISNA(VLOOKUP($A57,'Données projet'!$A$304:$I$324,6,0)),0%,VLOOKUP($A57,'Données projet'!$A$304:$I$324,6,0)*VLOOKUP('Données projet'!$B$19,Paramètres!$A$1:$I$89,7,0))</f>
        <v>0</v>
      </c>
      <c r="IA57" s="16">
        <f>IF(ISNA(VLOOKUP($A57,'Données projet'!$A$304:$I$324,7,0)),0%,VLOOKUP($A57,'Données projet'!$A$304:$I$324,7,0))</f>
        <v>0</v>
      </c>
      <c r="IB57" s="21">
        <f>EXP(-LN(2)/35)*IB56+(1-EXP(-LN(2)/35))/(LN(2)/35)*HX57*HY57*VLOOKUP('Données projet'!$B$19,Paramètres!$A$1:$I$89,3,0)*0.475*44/12</f>
        <v>30.670041121778596</v>
      </c>
      <c r="IC57" s="21">
        <f>EXP(-LN(2)/25)*IC56+(1-EXP(-LN(2)/25))/(LN(2)/25)*Calculateur!HX57*Calculateur!HZ57*VLOOKUP('Données projet'!$B$19,Paramètres!$A$1:$I$89,3,0)*0.475*44/12</f>
        <v>5.0006051488352421</v>
      </c>
      <c r="ID57" s="21">
        <f>EXP(-LN(2)/2)*ID56+(1-EXP(-LN(2)/2))/(LN(2)/2)*HX57*IA57*VLOOKUP('Données projet'!$B$19,Paramètres!$A$1:$I$89,3,0)*0.475*44/12</f>
        <v>1.3985652142186952E-4</v>
      </c>
      <c r="IE57" s="22">
        <f t="shared" si="33"/>
        <v>35.670786127135258</v>
      </c>
      <c r="IF57" s="74">
        <f>('Scénario référence'!$F$8+'Scénario référence'!$F$9+'Scénario référence'!$B$17+'Scénario référence'!$B$9+'Scénario référence'!$B$10)*70+IF((45+25*(1-EXP(-0.0175*$A57)))&lt;70,'Scénario référence'!$B$16*(45+25*(1-EXP(-0.0175*$A57))),70*'Scénario référence'!$B$16)+IF((32+38*(1-EXP(-0.0175*$A57)))&lt;70,'Scénario référence'!$B$18*(32+38*(1-EXP(-0.0175*$A57))),70*'Scénario référence'!$B$18)</f>
        <v>70</v>
      </c>
      <c r="IG57" s="12">
        <f>IF($A57&gt;30,10,('Scénario référence'!$B$16+'Scénario référence'!$B$17+'Scénario référence'!$B$18+'Scénario référence'!$B$9+'Scénario référence'!$B$10)*$A57*10/30+('Scénario référence'!$F$8+'Scénario référence'!$F$9)*10)</f>
        <v>10</v>
      </c>
      <c r="IH57" s="12" t="e">
        <f>VLOOKUP($A57,'Données projet'!$A$330:$I$350,2,0)</f>
        <v>#N/A</v>
      </c>
      <c r="II57" s="12" t="e">
        <f>VLOOKUP($A57,'Données projet'!$A$330:$I$350,9,0)</f>
        <v>#N/A</v>
      </c>
      <c r="IJ57" s="12">
        <f t="array" ref="IJ57">INDEX(II:II,MIN(IF(ISNUMBER(II57:II253),ROW(II57:II253),"")))</f>
        <v>0</v>
      </c>
      <c r="IK57" s="12">
        <f>IF('Données projet'!$A$330&gt;35,IK56+IJ57-IS56,IF($A57&lt;'Données projet'!$A$330,$CQ$205^$A57,IF($A57='Données projet'!$A$330,'Données projet'!$B$330,IK56+IJ57-IS56)))</f>
        <v>0</v>
      </c>
      <c r="IL57" s="17">
        <f>IK57*VLOOKUP('Données projet'!$B$20,Paramètres!$A$1:$I$89,3,0)*VLOOKUP('Données projet'!$B$20,Paramètres!$A$1:$I$89,5,0)</f>
        <v>0</v>
      </c>
      <c r="IM57" s="13" t="e">
        <f t="shared" si="85"/>
        <v>#NUM!</v>
      </c>
      <c r="IN57" s="20" t="e">
        <f t="shared" si="86"/>
        <v>#NUM!</v>
      </c>
      <c r="IO57" s="59" t="e">
        <f t="shared" si="87"/>
        <v>#NUM!</v>
      </c>
      <c r="IP57" s="59">
        <f ca="1">AVERAGE(OFFSET(IO$3,0,0,'Données projet'!$E$20+1,1))-AVERAGE(OFFSET($H$3,0,0,'Données projet'!$E$20+1,1))</f>
        <v>91.60721429656013</v>
      </c>
      <c r="IQ57" s="59">
        <f t="shared" si="88"/>
        <v>258.94957804210856</v>
      </c>
      <c r="IR57" s="15">
        <f>IF(ISNA(VLOOKUP($A57,'Données projet'!$A$330:$I$350,3,0)),0,VLOOKUP($A57,'Données projet'!$A$330:$I$350,3,0))</f>
        <v>0</v>
      </c>
      <c r="IS57" s="15">
        <f>IF(ISNA(VLOOKUP($A57,'Données projet'!$A$330:$I$350,4,0)),0,VLOOKUP($A57,'Données projet'!$A$330:$I$350,4,0))</f>
        <v>0</v>
      </c>
      <c r="IT57" s="16">
        <f>IF(ISNA(VLOOKUP($A57,'Données projet'!$A$330:$I$350,5,0)),0%,VLOOKUP($A57,'Données projet'!$A$330:$I$350,5,0)*VLOOKUP('Données projet'!$B$20,Paramètres!$A$1:$I$89,7,0))</f>
        <v>0</v>
      </c>
      <c r="IU57" s="16">
        <f>IF(ISNA(VLOOKUP($A57,'Données projet'!$A$330:$I$350,6,0)),0%,VLOOKUP($A57,'Données projet'!$A$330:$I$350,6,0)*VLOOKUP('Données projet'!$B$20,Paramètres!$A$1:$I$89,7,0))</f>
        <v>0</v>
      </c>
      <c r="IV57" s="16">
        <f>IF(ISNA(VLOOKUP($A57,'Données projet'!$A$330:$I$350,7,0)),0%,VLOOKUP($A57,'Données projet'!$A$330:$I$350,7,0))</f>
        <v>0</v>
      </c>
      <c r="IW57" s="21">
        <f>EXP(-LN(2)/35)*IW56+(1-EXP(-LN(2)/35))/(LN(2)/35)*IS57*IT57*VLOOKUP('Données projet'!$B$20,Paramètres!$A$1:$I$89,3,0)*0.475*44/12</f>
        <v>30.670041121778596</v>
      </c>
      <c r="IX57" s="21">
        <f>EXP(-LN(2)/25)*IX56+(1-EXP(-LN(2)/25))/(LN(2)/25)*Calculateur!IS57*Calculateur!IU57*VLOOKUP('Données projet'!$B$20,Paramètres!$A$1:$I$89,3,0)*0.475*44/12</f>
        <v>5.0006051488352421</v>
      </c>
      <c r="IY57" s="21">
        <f>EXP(-LN(2)/2)*IY56+(1-EXP(-LN(2)/2))/(LN(2)/2)*IS57*IV57*VLOOKUP('Données projet'!$B$20,Paramètres!$A$1:$I$89,3,0)*0.475*44/12</f>
        <v>1.3985652142186952E-4</v>
      </c>
      <c r="IZ57" s="22">
        <f t="shared" si="89"/>
        <v>35.670786127135258</v>
      </c>
      <c r="JA57" s="74">
        <f>('Scénario référence'!$F$8+'Scénario référence'!$F$9+'Scénario référence'!$B$17+'Scénario référence'!$B$9+'Scénario référence'!$B$10)*70+IF((45+25*(1-EXP(-0.0175*$A57)))&lt;70,'Scénario référence'!$B$16*(45+25*(1-EXP(-0.0175*$A57))),70*'Scénario référence'!$B$16)+IF((32+38*(1-EXP(-0.0175*$A57)))&lt;70,'Scénario référence'!$B$18*(32+38*(1-EXP(-0.0175*$A57))),70*'Scénario référence'!$B$18)</f>
        <v>70</v>
      </c>
      <c r="JB57" s="12">
        <f>IF($A57&gt;30,10,('Scénario référence'!$B$16+'Scénario référence'!$B$17+'Scénario référence'!$B$18+'Scénario référence'!$B$9+'Scénario référence'!$B$10)*$A57*10/30+('Scénario référence'!$F$8+'Scénario référence'!$F$9)*10)</f>
        <v>10</v>
      </c>
      <c r="JC57" s="12" t="e">
        <f>VLOOKUP($A57,'Données projet'!$A$356:$I$376,2,0)</f>
        <v>#N/A</v>
      </c>
      <c r="JD57" s="12" t="e">
        <f>VLOOKUP($A57,'Données projet'!$A$356:$I$376,9,0)</f>
        <v>#N/A</v>
      </c>
      <c r="JE57" s="12">
        <f t="array" ref="JE57">INDEX(JD:JD,MIN(IF(ISNUMBER(JD57:JD253),ROW(JD57:JD253),"")))</f>
        <v>11</v>
      </c>
      <c r="JF57" s="12">
        <f>IF('Données projet'!$A$356&gt;35,JF56+JE57-JN56,IF($A57&lt;'Données projet'!$A$356,$CQ$205^$A57,IF($A57='Données projet'!$A$356,'Données projet'!$B$356,JF56+JE57-JN56)))</f>
        <v>233.00000000000009</v>
      </c>
      <c r="JG57" s="17">
        <f>JF57*VLOOKUP('Données projet'!$B$21,Paramètres!$A$1:$I$89,3,0)*VLOOKUP('Données projet'!$B$21,Paramètres!$A$1:$I$89,5,0)</f>
        <v>189.00960000000009</v>
      </c>
      <c r="JH57" s="13">
        <f t="shared" si="90"/>
        <v>47.320922915876508</v>
      </c>
      <c r="JI57" s="20">
        <f t="shared" si="91"/>
        <v>411.60899407848507</v>
      </c>
      <c r="JJ57" s="59">
        <f t="shared" si="92"/>
        <v>704.94232741181838</v>
      </c>
      <c r="JK57" s="59">
        <f ca="1">AVERAGE(OFFSET($JJ$3,0,0,'Données projet'!$E$22+1,1))-AVERAGE(OFFSET($H$3,0,0,'Données projet'!$E$22+1,1))</f>
        <v>353.35574633294613</v>
      </c>
      <c r="JL57" s="59">
        <f t="shared" si="93"/>
        <v>170.36796666474726</v>
      </c>
      <c r="JM57" s="15">
        <f>IF(ISNA(VLOOKUP($A57,'Données projet'!$A$356:$I$376,3,0)),0,VLOOKUP($A57,'Données projet'!$A$356:$I$376,3,0))</f>
        <v>0</v>
      </c>
      <c r="JN57" s="15">
        <f>IF(ISNA(VLOOKUP($A57,'Données projet'!$A$356:$I$376,4,0)),0,VLOOKUP($A57,'Données projet'!$A$356:$I$376,4,0))</f>
        <v>0</v>
      </c>
      <c r="JO57" s="16">
        <f>IF(ISNA(VLOOKUP($A57,'Données projet'!$A$356:$I$376,5,0)),0%,VLOOKUP($A57,'Données projet'!$A$356:$I$376,5,0)*VLOOKUP('Données projet'!$B$21,Paramètres!$A$1:$I$89,7,0))</f>
        <v>0</v>
      </c>
      <c r="JP57" s="16">
        <f>IF(ISNA(VLOOKUP($A57,'Données projet'!$A$356:$I$376,6,0)),0%,VLOOKUP($A57,'Données projet'!$A$356:$I$376,6,0)*VLOOKUP('Données projet'!$B$21,Paramètres!$A$1:$I$89,7,0))</f>
        <v>0</v>
      </c>
      <c r="JQ57" s="16">
        <f>IF(ISNA(VLOOKUP($A57,'Données projet'!$A$356:$I$376,7,0)),0%,VLOOKUP($A57,'Données projet'!$A$356:$I$376,7,0))</f>
        <v>0</v>
      </c>
      <c r="JR57" s="21">
        <f>EXP(-LN(2)/35)*JR56+(1-EXP(-LN(2)/35))/(LN(2)/35)*JN57*JO57*VLOOKUP('Données projet'!$B$21,Paramètres!$A$1:$I$89,3,0)*0.475*44/12</f>
        <v>0</v>
      </c>
      <c r="JS57" s="21">
        <f>EXP(-LN(2)/25)*JS56+(1-EXP(-LN(2)/25))/(LN(2)/25)*Calculateur!JN57*Calculateur!JP57*VLOOKUP('Données projet'!$B$21,Paramètres!$A$1:$I$89,3,0)*0.475*44/12</f>
        <v>3.1650217135602823</v>
      </c>
      <c r="JT57" s="21">
        <f>EXP(-LN(2)/2)*JT56+(1-EXP(-LN(2)/2))/(LN(2)/2)*JN57*JQ57*VLOOKUP('Données projet'!$B$21,Paramètres!$A$1:$I$89,3,0)*0.475*44/12</f>
        <v>1.9521307082131754</v>
      </c>
      <c r="JU57" s="18">
        <f t="shared" si="39"/>
        <v>5.1171524217734579</v>
      </c>
      <c r="JV57" s="74">
        <f>('Scénario référence'!$F$8+'Scénario référence'!$F$9+'Scénario référence'!$B$17+'Scénario référence'!$B$9+'Scénario référence'!$B$10)*70+IF((45+25*(1-EXP(-0.0175*$A57)))&lt;70,'Scénario référence'!$B$16*(45+25*(1-EXP(-0.0175*$A57))),70*'Scénario référence'!$B$16)+IF((32+38*(1-EXP(-0.0175*$A57)))&lt;70,'Scénario référence'!$B$18*(32+38*(1-EXP(-0.0175*$A57))),70*'Scénario référence'!$B$18)</f>
        <v>70</v>
      </c>
      <c r="JW57" s="12">
        <f>IF($A57&gt;30,10,('Scénario référence'!$B$16+'Scénario référence'!$B$17+'Scénario référence'!$B$18+'Scénario référence'!$B$9+'Scénario référence'!$B$10)*$A57*10/30+('Scénario référence'!$F$8+'Scénario référence'!$F$9)*10)</f>
        <v>10</v>
      </c>
      <c r="JX57" s="12" t="e">
        <f>VLOOKUP($A57,'Données projet'!$A$382:$I$402,2,0)</f>
        <v>#N/A</v>
      </c>
      <c r="JY57" s="12" t="e">
        <f>VLOOKUP($A57,'Données projet'!$A$382:$I$402,9,0)</f>
        <v>#N/A</v>
      </c>
      <c r="JZ57" s="12">
        <f t="array" ref="JZ57">INDEX(JY:JY,MIN(IF(ISNUMBER(JY57:JY253),ROW(JY57:JY253),"")))</f>
        <v>8.8736263736263741</v>
      </c>
      <c r="KA57" s="12">
        <f>IF('Données projet'!$A$382&gt;35,KA56+JZ57-KI56,IF($A57&lt;'Données projet'!$A$382,$CQ$205^$A57,IF($A57='Données projet'!$A$382,'Données projet'!$B$382,KA56+JZ57-KI56)))</f>
        <v>189.56868131868131</v>
      </c>
      <c r="KB57" s="17">
        <f>KA57*VLOOKUP('Données projet'!$B$22,Paramètres!$A$1:$I$89,3,0)*VLOOKUP('Données projet'!$B$22,Paramètres!$A$1:$I$89,5,0)</f>
        <v>127.16267142857143</v>
      </c>
      <c r="KC57" s="13">
        <f t="shared" si="94"/>
        <v>33.339896356597151</v>
      </c>
      <c r="KD57" s="20">
        <f t="shared" si="95"/>
        <v>279.54197222583531</v>
      </c>
      <c r="KE57" s="59">
        <f t="shared" si="96"/>
        <v>572.87530555916862</v>
      </c>
      <c r="KF57" s="59">
        <f ca="1">AVERAGE(OFFSET($KE$3,0,0,'Données projet'!$E$22+1,1))-AVERAGE(OFFSET($H$3,0,0,'Données projet'!$E$22+1,1))</f>
        <v>193.91714772848269</v>
      </c>
      <c r="KG57" s="59">
        <f t="shared" si="97"/>
        <v>159.20429420478047</v>
      </c>
      <c r="KH57" s="15">
        <f>IF(ISNA(VLOOKUP($A57,'Données projet'!$A$382:$I$402,3,0)),0,VLOOKUP($A57,'Données projet'!$A$382:$I$402,3,0))</f>
        <v>0</v>
      </c>
      <c r="KI57" s="15">
        <f>IF(ISNA(VLOOKUP($A57,'Données projet'!$A$382:$I$402,4,0)),0,VLOOKUP($A57,'Données projet'!$A$382:$I$402,4,0))</f>
        <v>0</v>
      </c>
      <c r="KJ57" s="16">
        <f>IF(ISNA(VLOOKUP($A57,'Données projet'!$A$382:$I$402,5,0)),0%,VLOOKUP($A57,'Données projet'!$A$382:$I$402,5,0)*VLOOKUP('Données projet'!$B$22,Paramètres!$A$1:$I$89,7,0))</f>
        <v>0</v>
      </c>
      <c r="KK57" s="16">
        <f>IF(ISNA(VLOOKUP($A57,'Données projet'!$A$382:$I$402,6,0)),0%,VLOOKUP($A57,'Données projet'!$A$382:$I$402,6,0)*VLOOKUP('Données projet'!$B$22,Paramètres!$A$1:$I$89,7,0))</f>
        <v>0</v>
      </c>
      <c r="KL57" s="16">
        <f>IF(ISNA(VLOOKUP($A57,'Données projet'!$A$382:$I$402,7,0)),0%,VLOOKUP($A57,'Données projet'!$A$382:$I$402,7,0))</f>
        <v>0</v>
      </c>
      <c r="KM57" s="21">
        <f>EXP(-LN(2)/35)*KM56+(1-EXP(-LN(2)/35))/(LN(2)/35)*KI57*KJ57*VLOOKUP('Données projet'!$B$22,Paramètres!$A$1:$I$89,3,0)*0.475*44/12</f>
        <v>0</v>
      </c>
      <c r="KN57" s="21">
        <f>EXP(-LN(2)/25)*KN56+(1-EXP(-LN(2)/25))/(LN(2)/25)*Calculateur!KI57*Calculateur!KK57*VLOOKUP('Données projet'!$B$22,Paramètres!$A$1:$I$89,3,0)*0.475*44/12</f>
        <v>0</v>
      </c>
      <c r="KO57" s="21">
        <f>EXP(-LN(2)/2)*KO56+(1-EXP(-LN(2)/2))/(LN(2)/2)*KI57*KL57*VLOOKUP('Données projet'!$B$22,Paramètres!$A$1:$I$89,3,0)*0.475*44/12</f>
        <v>0</v>
      </c>
      <c r="KP57" s="22">
        <f t="shared" si="98"/>
        <v>0</v>
      </c>
      <c r="KQ57" s="74">
        <f>('Scénario référence'!$F$8+'Scénario référence'!$F$9+'Scénario référence'!$B$17+'Scénario référence'!$B$9+'Scénario référence'!$B$10)*70+IF((45+25*(1-EXP(-0.0175*$A57)))&lt;70,'Scénario référence'!$B$16*(45+25*(1-EXP(-0.0175*$A57))),70*'Scénario référence'!$B$16)+IF((32+38*(1-EXP(-0.0175*$A57)))&lt;70,'Scénario référence'!$B$18*(32+38*(1-EXP(-0.0175*$A57))),70*'Scénario référence'!$B$18)</f>
        <v>70</v>
      </c>
      <c r="KR57" s="12">
        <f>IF($A57&gt;30,10,('Scénario référence'!$B$16+'Scénario référence'!$B$17+'Scénario référence'!$B$18+'Scénario référence'!$B$9+'Scénario référence'!$B$10)*$A57*10/30+('Scénario référence'!$F$8+'Scénario référence'!$F$9)*10)</f>
        <v>10</v>
      </c>
      <c r="KS57" s="12" t="e">
        <f>VLOOKUP($A57,'Données projet'!$A$408:$I$428,2,0)</f>
        <v>#N/A</v>
      </c>
      <c r="KT57" s="12" t="e">
        <f>VLOOKUP($A57,'Données projet'!$A$408:$I$428,9,0)</f>
        <v>#N/A</v>
      </c>
      <c r="KU57" s="12">
        <f t="array" ref="KU57">INDEX(KT:KT,MIN(IF(ISNUMBER(KT57:KT253),ROW(KT57:KT253),"")))</f>
        <v>6</v>
      </c>
      <c r="KV57" s="12">
        <f>IF('Données projet'!$A$408&gt;35,KV56+KU57-LD56,IF($A57&lt;'Données projet'!$A$408,$CQ$205^$A57,IF($A57='Données projet'!$A$408,'Données projet'!$B$408,KV56+KU57-LD56)))</f>
        <v>225.99999999999991</v>
      </c>
      <c r="KW57" s="17">
        <f>KV57*VLOOKUP('Données projet'!$B$23,Paramètres!$A$1:$I$89,3,0)*VLOOKUP('Données projet'!$B$23,Paramètres!$A$1:$I$89,5,0)</f>
        <v>197.43359999999996</v>
      </c>
      <c r="KX57" s="13">
        <f t="shared" si="99"/>
        <v>49.179727436837609</v>
      </c>
      <c r="KY57" s="14">
        <f t="shared" si="43"/>
        <v>429.51821195249204</v>
      </c>
      <c r="KZ57" s="59">
        <f t="shared" si="44"/>
        <v>722.8515452858253</v>
      </c>
      <c r="LA57" s="59">
        <f ca="1">AVERAGE(OFFSET($KZ$3,0,0,'Données projet'!$E$23+1,1))-AVERAGE(OFFSET($H$3,0,0,'Données projet'!$E$23+1,1))</f>
        <v>248.33596943633819</v>
      </c>
      <c r="LB57" s="59">
        <f t="shared" si="100"/>
        <v>242.34010522344573</v>
      </c>
      <c r="LC57" s="15">
        <f>IF(ISNA(VLOOKUP($A57,'Données projet'!$A$408:$I$428,3,0)),0,VLOOKUP($A57,'Données projet'!$A$408:$I$428,3,0))</f>
        <v>0</v>
      </c>
      <c r="LD57" s="15">
        <f>IF(ISNA(VLOOKUP($A57,'Données projet'!$A$408:$I$428,4,0)),0,VLOOKUP($A57,'Données projet'!$A$408:$I$428,4,0))</f>
        <v>0</v>
      </c>
      <c r="LE57" s="16">
        <f>IF(ISNA(VLOOKUP($A57,'Données projet'!$A$408:$I$428,5,0)),0%,VLOOKUP($A57,'Données projet'!$A$408:$I$428,5,0)*VLOOKUP('Données projet'!$B$23,Paramètres!$A$1:$I$89,7,0))</f>
        <v>0</v>
      </c>
      <c r="LF57" s="16">
        <f>IF(ISNA(VLOOKUP($A57,'Données projet'!$A$408:$I$428,6,0)),0%,VLOOKUP($A57,'Données projet'!$A$408:$I$428,6,0)*VLOOKUP('Données projet'!$B$23,Paramètres!$A$1:$I$89,7,0))</f>
        <v>0</v>
      </c>
      <c r="LG57" s="16">
        <f>IF(ISNA(VLOOKUP($A57,'Données projet'!$A$408:$I$428,7,0)),0%,VLOOKUP($A57,'Données projet'!$A$408:$I$428,7,0))</f>
        <v>0</v>
      </c>
      <c r="LH57" s="21">
        <f>EXP(-LN(2)/35)*LH56+(1-EXP(-LN(2)/35))/(LN(2)/35)*LD57*LE57*VLOOKUP('Données projet'!$B$23,Paramètres!$A$1:$I$89,3,0)*0.475*44/12</f>
        <v>14.303188964620574</v>
      </c>
      <c r="LI57" s="21">
        <f>EXP(-LN(2)/25)*LI56+(1-EXP(-LN(2)/25))/(LN(2)/25)*Calculateur!LD57*Calculateur!LF57*VLOOKUP('Données projet'!$B$23,Paramètres!$A$1:$I$89,3,0)*0.475*44/12</f>
        <v>11.141161413199919</v>
      </c>
      <c r="LJ57" s="21">
        <f>EXP(-LN(2)/2)*LJ56+(1-EXP(-LN(2)/2))/(LN(2)/2)*LD57*LG57*VLOOKUP('Données projet'!$B$23,Paramètres!$A$1:$I$89,3,0)*0.475*44/12</f>
        <v>0</v>
      </c>
      <c r="LK57" s="22">
        <f t="shared" si="101"/>
        <v>25.444350377820491</v>
      </c>
      <c r="LL57" s="74">
        <f>('Scénario référence'!$F$8+'Scénario référence'!$F$9+'Scénario référence'!$B$17+'Scénario référence'!$B$9+'Scénario référence'!$B$10)*70+IF((45+25*(1-EXP(-0.0175*$A57)))&lt;70,'Scénario référence'!$B$16*(45+25*(1-EXP(-0.0175*$A57))),70*'Scénario référence'!$B$16)+IF((32+38*(1-EXP(-0.0175*$A57)))&lt;70,'Scénario référence'!$B$18*(32+38*(1-EXP(-0.0175*$A57))),70*'Scénario référence'!$B$18)</f>
        <v>70</v>
      </c>
      <c r="LM57" s="12">
        <f>IF($A57&gt;30,10,('Scénario référence'!$B$16+'Scénario référence'!$B$17+'Scénario référence'!$B$18+'Scénario référence'!$B$9+'Scénario référence'!$B$10)*$A57*10/30+('Scénario référence'!$F$8+'Scénario référence'!$F$9)*10)</f>
        <v>10</v>
      </c>
      <c r="LN57" s="12" t="e">
        <f>VLOOKUP($A57,'Données projet'!$A$434:$I$454,2,0)</f>
        <v>#N/A</v>
      </c>
      <c r="LO57" s="12" t="e">
        <f>VLOOKUP($A57,'Données projet'!$A$434:$I$454,9,0)</f>
        <v>#N/A</v>
      </c>
      <c r="LP57" s="12">
        <f t="array" ref="LP57">INDEX(LO:LO,MIN(IF(ISNUMBER(LO57:LO253),ROW(LO57:LO253),"")))</f>
        <v>6.3942307692307701</v>
      </c>
      <c r="LQ57" s="12">
        <f>IF('Données projet'!$A$434&gt;35,LQ56+LP57-LY56,IF($A57&lt;'Données projet'!$A$434,$CQ$205^$A57,IF($A57='Données projet'!$A$434,'Données projet'!$B$434,LQ56+LP57-LY56)))</f>
        <v>127.28525641025638</v>
      </c>
      <c r="LR57" s="17">
        <f>LQ57*VLOOKUP('Données projet'!$B$24,Paramètres!$A$1:$I$89,3,0)*VLOOKUP('Données projet'!$B$24,Paramètres!$A$1:$I$89,5,0)</f>
        <v>129.06724999999997</v>
      </c>
      <c r="LS57" s="13">
        <f t="shared" si="102"/>
        <v>33.780737949764791</v>
      </c>
      <c r="LT57" s="14">
        <f t="shared" si="46"/>
        <v>283.62691234584025</v>
      </c>
      <c r="LU57" s="59">
        <f t="shared" si="103"/>
        <v>576.96024567917357</v>
      </c>
      <c r="LV57" s="59">
        <f ca="1">AVERAGE(OFFSET($LU$3,0,0,'Données projet'!$E$24+1,1))-AVERAGE(OFFSET($H$3,0,0,'Données projet'!$E$24+1,1))</f>
        <v>260.52627655062872</v>
      </c>
      <c r="LW57" s="59">
        <f t="shared" si="104"/>
        <v>159.20429420478047</v>
      </c>
      <c r="LX57" s="15">
        <f>IF(ISNA(VLOOKUP($A57,'Données projet'!$A$434:$I$454,3,0)),0,VLOOKUP($A57,'Données projet'!$A$434:$I$454,3,0))</f>
        <v>0</v>
      </c>
      <c r="LY57" s="15">
        <f>IF(ISNA(VLOOKUP($A57,'Données projet'!$A$434:$I$454,4,0)),0,VLOOKUP($A57,'Données projet'!$A$434:$I$454,4,0))</f>
        <v>0</v>
      </c>
      <c r="LZ57" s="16">
        <f>IF(ISNA(VLOOKUP($A57,'Données projet'!$A$434:$I$454,5,0)),0%,VLOOKUP($A57,'Données projet'!$A$434:$I$454,5,0)*VLOOKUP('Données projet'!$B$24,Paramètres!$A$1:$I$89,7,0))</f>
        <v>0</v>
      </c>
      <c r="MA57" s="16">
        <f>IF(ISNA(VLOOKUP($A57,'Données projet'!$A$434:$I$454,6,0)),0%,VLOOKUP($A57,'Données projet'!$A$434:$I$454,6,0)*VLOOKUP('Données projet'!$B$24,Paramètres!$A$1:$I$89,7,0))</f>
        <v>0</v>
      </c>
      <c r="MB57" s="16">
        <f>IF(ISNA(VLOOKUP($A57,'Données projet'!$A$434:$I$454,7,0)),0%,VLOOKUP($A57,'Données projet'!$A$434:$I$454,7,0))</f>
        <v>0</v>
      </c>
      <c r="MC57" s="21">
        <f>EXP(-LN(2)/35)*MC56+(1-EXP(-LN(2)/35))/(LN(2)/35)*LY57*LZ57*VLOOKUP('Données projet'!$B$24,Paramètres!$A$1:$I$89,3,0)*0.475*44/12</f>
        <v>0</v>
      </c>
      <c r="MD57" s="21">
        <f>EXP(-LN(2)/25)*MD56+(1-EXP(-LN(2)/25))/(LN(2)/25)*Calculateur!LY57*Calculateur!MA57*VLOOKUP('Données projet'!$B$24,Paramètres!$A$1:$I$89,3,0)*0.475*44/12</f>
        <v>0</v>
      </c>
      <c r="ME57" s="21">
        <f>EXP(-LN(2)/2)*ME56+(1-EXP(-LN(2)/2))/(LN(2)/2)*LY57*MB57*VLOOKUP('Données projet'!$B$24,Paramètres!$A$1:$I$89,3,0)*0.475*44/12</f>
        <v>0</v>
      </c>
      <c r="MF57" s="22">
        <f t="shared" si="105"/>
        <v>0</v>
      </c>
      <c r="MG57" s="74">
        <f>('Scénario référence'!$F$8+'Scénario référence'!$F$9+'Scénario référence'!$B$17+'Scénario référence'!$B$9+'Scénario référence'!$B$10)*70+IF((45+25*(1-EXP(-0.0175*$A57)))&lt;70,'Scénario référence'!$B$16*(45+25*(1-EXP(-0.0175*$A57))),70*'Scénario référence'!$B$16)+IF((32+38*(1-EXP(-0.0175*$A57)))&lt;70,'Scénario référence'!$B$18*(32+38*(1-EXP(-0.0175*$A57))),70*'Scénario référence'!$B$18)</f>
        <v>70</v>
      </c>
      <c r="MH57" s="12">
        <f>IF($A57&gt;30,10,('Scénario référence'!$B$16+'Scénario référence'!$B$17+'Scénario référence'!$B$18+'Scénario référence'!$B$9+'Scénario référence'!$B$10)*$A57*10/30+('Scénario référence'!$F$8+'Scénario référence'!$F$9)*10)</f>
        <v>10</v>
      </c>
      <c r="MI57" s="12" t="e">
        <f>VLOOKUP($A57,'Données projet'!$A$460:$I$480,2,0)</f>
        <v>#N/A</v>
      </c>
      <c r="MJ57" s="12" t="e">
        <f>VLOOKUP($A57,'Données projet'!$A$460:$I$480,9,0)</f>
        <v>#N/A</v>
      </c>
      <c r="MK57" s="12">
        <f t="array" ref="MK57">INDEX(MJ:MJ,MIN(IF(ISNUMBER(MJ57:MJ253),ROW(MJ57:MJ253),"")))</f>
        <v>0</v>
      </c>
      <c r="ML57" s="12">
        <f>IF('Données projet'!$A$460&gt;35,ML56+MK57-MT56,IF($A57&lt;'Données projet'!$A$460,$CQ$205^$A57,IF($A57='Données projet'!$A$460,'Données projet'!$B$460,ML56+MK57-MT56)))</f>
        <v>0</v>
      </c>
      <c r="MM57" s="17" t="e">
        <f>ML57*VLOOKUP('Données projet'!$B$25,Paramètres!$A$1:$I$89,3,0)*VLOOKUP('Données projet'!$B$25,Paramètres!$A$1:$I$89,5,0)</f>
        <v>#N/A</v>
      </c>
      <c r="MN57" s="13" t="e">
        <f t="shared" si="106"/>
        <v>#N/A</v>
      </c>
      <c r="MO57" s="14" t="e">
        <f t="shared" si="49"/>
        <v>#N/A</v>
      </c>
      <c r="MP57" s="59" t="e">
        <f t="shared" si="50"/>
        <v>#N/A</v>
      </c>
      <c r="MQ57" s="20" t="e">
        <f ca="1">AVERAGE(OFFSET($MP$3,0,0,'Données projet'!$E$25+1,1))-AVERAGE(OFFSET($H$3,0,0,'Données projet'!$E$25+1,1))</f>
        <v>#N/A</v>
      </c>
      <c r="MR57" s="59" t="e">
        <f t="shared" si="107"/>
        <v>#N/A</v>
      </c>
      <c r="MS57" s="15">
        <f>IF(ISNA(VLOOKUP($A57,'Données projet'!$A$460:$I$480,3,0)),0,VLOOKUP($A57,'Données projet'!$A$460:$I$480,3,0))</f>
        <v>0</v>
      </c>
      <c r="MT57" s="15">
        <f>IF(ISNA(VLOOKUP($A57,'Données projet'!$A$460:$I$480,4,0)),0,VLOOKUP($A57,'Données projet'!$A$460:$I$480,4,0))</f>
        <v>0</v>
      </c>
      <c r="MU57" s="16">
        <f>IF(ISNA(VLOOKUP($A57,'Données projet'!$A$460:$I$480,5,0)),0%,VLOOKUP($A57,'Données projet'!$A$460:$I$480,5,0)*VLOOKUP('Données projet'!$B$25,Paramètres!$A$1:$I$89,7,0))</f>
        <v>0</v>
      </c>
      <c r="MV57" s="16">
        <f>IF(ISNA(VLOOKUP($A57,'Données projet'!$A$460:$I$480,6,0)),0%,VLOOKUP($A57,'Données projet'!$A$460:$I$480,6,0)*VLOOKUP('Données projet'!$B$25,Paramètres!$A$1:$I$89,7,0))</f>
        <v>0</v>
      </c>
      <c r="MW57" s="16">
        <f>IF(ISNA(VLOOKUP($A57,'Données projet'!$A$460:$I$480,7,0)),0%,VLOOKUP($A57,'Données projet'!$A$460:$I$480,7,0))</f>
        <v>0</v>
      </c>
      <c r="MX57" s="21" t="e">
        <f>EXP(-LN(2)/35)*MX56+(1-EXP(-LN(2)/35))/(LN(2)/35)*MT57*MU57*VLOOKUP('Données projet'!$B$25,Paramètres!$A$1:$I$89,3,0)*0.475*44/12</f>
        <v>#N/A</v>
      </c>
      <c r="MY57" s="21" t="e">
        <f>EXP(-LN(2)/25)*MY56+(1-EXP(-LN(2)/25))/(LN(2)/25)*Calculateur!MT57*Calculateur!MV57*VLOOKUP('Données projet'!$B$25,Paramètres!$A$1:$I$89,3,0)*0.475*44/12</f>
        <v>#N/A</v>
      </c>
      <c r="MZ57" s="21" t="e">
        <f>EXP(-LN(2)/2)*MZ56+(1-EXP(-LN(2)/2))/(LN(2)/2)*MT57*MW57*VLOOKUP('Données projet'!$B$25,Paramètres!$A$1:$I$89,3,0)*0.475*44/12</f>
        <v>#N/A</v>
      </c>
      <c r="NA57" s="22" t="e">
        <f t="shared" si="108"/>
        <v>#N/A</v>
      </c>
      <c r="NB57" s="74">
        <f>('Scénario référence'!$F$8+'Scénario référence'!$F$9+'Scénario référence'!$B$17+'Scénario référence'!$B$9+'Scénario référence'!$B$10)*70+IF((45+25*(1-EXP(-0.0175*$A57)))&lt;70,'Scénario référence'!$B$16*(45+25*(1-EXP(-0.0175*$A57))),70*'Scénario référence'!$B$16)+IF((32+38*(1-EXP(-0.0175*$A57)))&lt;70,'Scénario référence'!$B$18*(32+38*(1-EXP(-0.0175*$A57))),70*'Scénario référence'!$B$18)</f>
        <v>70</v>
      </c>
      <c r="NC57" s="12">
        <f>IF($A57&gt;30,10,('Scénario référence'!$B$16+'Scénario référence'!$B$17+'Scénario référence'!$B$18+'Scénario référence'!$B$9+'Scénario référence'!$B$10)*$A57*10/30+('Scénario référence'!$F$8+'Scénario référence'!$F$9)*10)</f>
        <v>10</v>
      </c>
      <c r="ND57" s="12" t="e">
        <f>VLOOKUP($A57,'Données projet'!$A$486:$I$506,2,0)</f>
        <v>#N/A</v>
      </c>
      <c r="NE57" s="12" t="e">
        <f>VLOOKUP($A57,'Données projet'!$A$486:$I$506,9,0)</f>
        <v>#N/A</v>
      </c>
      <c r="NF57" s="12">
        <f t="array" ref="NF57">INDEX(NE:NE,MIN(IF(ISNUMBER(NE57:NE253),ROW(NE57:NE253),"")))</f>
        <v>0</v>
      </c>
      <c r="NG57" s="12">
        <f>IF('Données projet'!$A$486&gt;35,NG56+NF57-NO56,IF($A57&lt;'Données projet'!$A$486,$CQ$205^$A57,IF($A57='Données projet'!$A$486,'Données projet'!$B$486,NG56+NF57-NO56)))</f>
        <v>0</v>
      </c>
      <c r="NH57" s="17" t="e">
        <f>NG57*VLOOKUP('Données projet'!$B$26,Paramètres!$A$1:$I$89,3,0)*VLOOKUP('Données projet'!$B$26,Paramètres!$A$1:$I$89,5,0)</f>
        <v>#N/A</v>
      </c>
      <c r="NI57" s="13" t="e">
        <f t="shared" si="109"/>
        <v>#N/A</v>
      </c>
      <c r="NJ57" s="14" t="e">
        <f t="shared" si="52"/>
        <v>#N/A</v>
      </c>
      <c r="NK57" s="59" t="e">
        <f t="shared" si="53"/>
        <v>#N/A</v>
      </c>
      <c r="NL57" s="20" t="e">
        <f ca="1">AVERAGE(OFFSET($NK$3,0,0,'Données projet'!$E$26+1,1))-AVERAGE(OFFSET($H$3,0,0,'Données projet'!$E$26+1,1))</f>
        <v>#N/A</v>
      </c>
      <c r="NM57" s="59" t="e">
        <f t="shared" si="110"/>
        <v>#N/A</v>
      </c>
      <c r="NN57" s="15">
        <f>IF(ISNA(VLOOKUP($A57,'Données projet'!$A$486:$I$506,3,0)),0,VLOOKUP($A57,'Données projet'!$A$486:$I$506,3,0))</f>
        <v>0</v>
      </c>
      <c r="NO57" s="15">
        <f>IF(ISNA(VLOOKUP($A57,'Données projet'!$A$486:$I$506,4,0)),0,VLOOKUP($A57,'Données projet'!$A$486:$I$506,4,0))</f>
        <v>0</v>
      </c>
      <c r="NP57" s="16">
        <f>IF(ISNA(VLOOKUP($A57,'Données projet'!$A$486:$I$506,5,0)),0%,VLOOKUP($A57,'Données projet'!$A$486:$I$506,5,0)*VLOOKUP('Données projet'!$B$26,Paramètres!$A$1:$I$89,7,0))</f>
        <v>0</v>
      </c>
      <c r="NQ57" s="16">
        <f>IF(ISNA(VLOOKUP($A57,'Données projet'!$A$486:$I$506,6,0)),0%,VLOOKUP($A57,'Données projet'!$A$486:$I$506,6,0)*VLOOKUP('Données projet'!$B$26,Paramètres!$A$1:$I$89,7,0))</f>
        <v>0</v>
      </c>
      <c r="NR57" s="16">
        <f>IF(ISNA(VLOOKUP($A57,'Données projet'!$A$486:$I$506,7,0)),0%,VLOOKUP($A57,'Données projet'!$A$486:$I$506,7,0))</f>
        <v>0</v>
      </c>
      <c r="NS57" s="21" t="e">
        <f>EXP(-LN(2)/35)*NS56+(1-EXP(-LN(2)/35))/(LN(2)/35)*NO57*NP57*VLOOKUP('Données projet'!$B$26,Paramètres!$A$1:$I$89,3,0)*0.475*44/12</f>
        <v>#N/A</v>
      </c>
      <c r="NT57" s="21" t="e">
        <f>EXP(-LN(2)/25)*NT56+(1-EXP(-LN(2)/25))/(LN(2)/25)*Calculateur!NO57*Calculateur!NQ57*VLOOKUP('Données projet'!$B$26,Paramètres!$A$1:$I$89,3,0)*0.475*44/12</f>
        <v>#N/A</v>
      </c>
      <c r="NU57" s="21" t="e">
        <f>EXP(-LN(2)/2)*NU56+(1-EXP(-LN(2)/2))/(LN(2)/2)*NO57*NR57*VLOOKUP('Données projet'!$B$26,Paramètres!$A$1:$I$89,3,0)*0.475*44/12</f>
        <v>#N/A</v>
      </c>
      <c r="NV57" s="22" t="e">
        <f t="shared" si="111"/>
        <v>#N/A</v>
      </c>
      <c r="NW57" s="74">
        <f>('Scénario référence'!$F$8+'Scénario référence'!$F$9+'Scénario référence'!$B$17+'Scénario référence'!$B$9+'Scénario référence'!$B$10)*70+IF((45+25*(1-EXP(-0.0175*$A57)))&lt;70,'Scénario référence'!$B$16*(45+25*(1-EXP(-0.0175*$A57))),70*'Scénario référence'!$B$16)+IF((32+38*(1-EXP(-0.0175*$A57)))&lt;70,'Scénario référence'!$B$18*(32+38*(1-EXP(-0.0175*$A57))),70*'Scénario référence'!$B$18)</f>
        <v>70</v>
      </c>
      <c r="NX57" s="12">
        <f>IF($A57&gt;30,10,('Scénario référence'!$B$16+'Scénario référence'!$B$17+'Scénario référence'!$B$18+'Scénario référence'!$B$9+'Scénario référence'!$B$10)*$A57*10/30+('Scénario référence'!$F$8+'Scénario référence'!$F$9)*10)</f>
        <v>10</v>
      </c>
      <c r="NY57" s="12" t="e">
        <f>VLOOKUP($A57,'Données projet'!$A$512:$I$532,2,0)</f>
        <v>#N/A</v>
      </c>
      <c r="NZ57" s="12" t="e">
        <f>VLOOKUP($A57,'Données projet'!$A$512:$I$532,9,0)</f>
        <v>#N/A</v>
      </c>
      <c r="OA57" s="12">
        <f t="array" ref="OA57">INDEX(NZ:NZ,MIN(IF(ISNUMBER(NZ57:NZ253),ROW(NZ57:NZ253),"")))</f>
        <v>0</v>
      </c>
      <c r="OB57" s="12">
        <f>IF('Données projet'!$A$512&gt;35,OB56+OA57-OJ56,IF($A57&lt;'Données projet'!$A$512,$CQ$205^$A57,IF($A57='Données projet'!$A$512,'Données projet'!$B$512,OB56+OA57-OJ56)))</f>
        <v>0</v>
      </c>
      <c r="OC57" s="17" t="e">
        <f>OB57*VLOOKUP('Données projet'!$B$27,Paramètres!$A$1:$I$89,3,0)*VLOOKUP('Données projet'!$B$27,Paramètres!$A$1:$I$89,5,0)</f>
        <v>#N/A</v>
      </c>
      <c r="OD57" s="13" t="e">
        <f t="shared" si="112"/>
        <v>#N/A</v>
      </c>
      <c r="OE57" s="14" t="e">
        <f t="shared" si="55"/>
        <v>#N/A</v>
      </c>
      <c r="OF57" s="59" t="e">
        <f t="shared" si="56"/>
        <v>#N/A</v>
      </c>
      <c r="OG57" s="20" t="e">
        <f ca="1">AVERAGE(OFFSET($OF$3,0,0,'Données projet'!$E$27+1,1))-AVERAGE(OFFSET($H$3,0,0,'Données projet'!$E$27+1,1))</f>
        <v>#N/A</v>
      </c>
      <c r="OH57" s="59" t="e">
        <f t="shared" si="113"/>
        <v>#N/A</v>
      </c>
      <c r="OI57" s="15">
        <f>IF(ISNA(VLOOKUP($A57,'Données projet'!$A$512:$I$532,3,0)),0,VLOOKUP($A57,'Données projet'!$A$512:$I$532,3,0))</f>
        <v>0</v>
      </c>
      <c r="OJ57" s="15">
        <f>IF(ISNA(VLOOKUP($A57,'Données projet'!$A$512:$I$532,4,0)),0,VLOOKUP($A57,'Données projet'!$A$512:$I$532,4,0))</f>
        <v>0</v>
      </c>
      <c r="OK57" s="16">
        <f>IF(ISNA(VLOOKUP($A57,'Données projet'!$A$512:$I$532,5,0)),0%,VLOOKUP($A57,'Données projet'!$A$512:$I$532,5,0)*VLOOKUP('Données projet'!$B$27,Paramètres!$A$1:$I$89,7,0))</f>
        <v>0</v>
      </c>
      <c r="OL57" s="16">
        <f>IF(ISNA(VLOOKUP($A57,'Données projet'!$A$512:$I$532,6,0)),0%,VLOOKUP($A57,'Données projet'!$A$512:$I$532,6,0)*VLOOKUP('Données projet'!$B$27,Paramètres!$A$1:$I$89,7,0))</f>
        <v>0</v>
      </c>
      <c r="OM57" s="16">
        <f>IF(ISNA(VLOOKUP($A57,'Données projet'!$A$512:$I$532,7,0)),0%,VLOOKUP($A57,'Données projet'!$A$512:$I$532,7,0))</f>
        <v>0</v>
      </c>
      <c r="ON57" s="21" t="e">
        <f>EXP(-LN(2)/35)*ON56+(1-EXP(-LN(2)/35))/(LN(2)/35)*OJ57*OK57*VLOOKUP('Données projet'!$B$27,Paramètres!$A$1:$I$89,3,0)*0.475*44/12</f>
        <v>#N/A</v>
      </c>
      <c r="OO57" s="21" t="e">
        <f>EXP(-LN(2)/25)*OO56+(1-EXP(-LN(2)/25))/(LN(2)/25)*Calculateur!OJ57*Calculateur!OL57*VLOOKUP('Données projet'!$B$27,Paramètres!$A$1:$I$89,3,0)*0.475*44/12</f>
        <v>#N/A</v>
      </c>
      <c r="OP57" s="21" t="e">
        <f>EXP(-LN(2)/2)*OP56+(1-EXP(-LN(2)/2))/(LN(2)/2)*OJ57*OM57*VLOOKUP('Données projet'!$B$27,Paramètres!$A$1:$I$89,3,0)*0.475*44/12</f>
        <v>#N/A</v>
      </c>
      <c r="OQ57" s="22" t="e">
        <f t="shared" si="114"/>
        <v>#N/A</v>
      </c>
      <c r="OR57" s="74">
        <f>('Scénario référence'!$F$8+'Scénario référence'!$F$9+'Scénario référence'!$B$17+'Scénario référence'!$B$9+'Scénario référence'!$B$10)*70+IF((45+25*(1-EXP(-0.0175*$A57)))&lt;70,'Scénario référence'!$B$16*(45+25*(1-EXP(-0.0175*$A57))),70*'Scénario référence'!$B$16)+IF((32+38*(1-EXP(-0.0175*$A57)))&lt;70,'Scénario référence'!$B$18*(32+38*(1-EXP(-0.0175*$A57))),70*'Scénario référence'!$B$18)</f>
        <v>70</v>
      </c>
      <c r="OS57" s="12">
        <f>IF($A57&gt;30,10,('Scénario référence'!$B$16+'Scénario référence'!$B$17+'Scénario référence'!$B$18+'Scénario référence'!$B$9+'Scénario référence'!$B$10)*$A57*10/30+('Scénario référence'!$F$8+'Scénario référence'!$F$9)*10)</f>
        <v>10</v>
      </c>
      <c r="OT57" s="12" t="e">
        <f>VLOOKUP($A57,'Données projet'!$A$538:$I$558,2,0)</f>
        <v>#N/A</v>
      </c>
      <c r="OU57" s="12" t="e">
        <f>VLOOKUP($A57,'Données projet'!$A$538:$I$558,9,0)</f>
        <v>#N/A</v>
      </c>
      <c r="OV57" s="12">
        <f t="array" ref="OV57">INDEX(OU:OU,MIN(IF(ISNUMBER(OU57:OU253),ROW(OU57:OU253),"")))</f>
        <v>0</v>
      </c>
      <c r="OW57" s="12">
        <f>IF('Données projet'!$A$538&gt;35,OW56+OV57-PE56,IF($A57&lt;'Données projet'!$A$538,$CQ$205^$A57,IF($A57='Données projet'!$A$538,'Données projet'!$B$538,OW56+OV57-PE56)))</f>
        <v>0</v>
      </c>
      <c r="OX57" s="17" t="e">
        <f>OW57*VLOOKUP('Données projet'!$B$28,Paramètres!$A$1:$I$89,3,0)*VLOOKUP('Données projet'!$B$28,Paramètres!$A$1:$I$89,5,0)</f>
        <v>#N/A</v>
      </c>
      <c r="OY57" s="13" t="e">
        <f t="shared" si="115"/>
        <v>#N/A</v>
      </c>
      <c r="OZ57" s="14" t="e">
        <f t="shared" si="58"/>
        <v>#N/A</v>
      </c>
      <c r="PA57" s="59" t="e">
        <f t="shared" si="59"/>
        <v>#N/A</v>
      </c>
      <c r="PB57" s="20" t="e">
        <f ca="1">AVERAGE(OFFSET($PA$3,0,0,'Données projet'!$E$28+1,1))-AVERAGE(OFFSET($H$3,0,0,'Données projet'!$E$28+1,1))</f>
        <v>#N/A</v>
      </c>
      <c r="PC57" s="59" t="e">
        <f t="shared" si="116"/>
        <v>#N/A</v>
      </c>
      <c r="PD57" s="15">
        <f>IF(ISNA(VLOOKUP($A57,'Données projet'!$A$538:$I$558,3,0)),0,VLOOKUP($A57,'Données projet'!$A$538:$I$558,3,0))</f>
        <v>0</v>
      </c>
      <c r="PE57" s="15">
        <f>IF(ISNA(VLOOKUP($A57,'Données projet'!$A$538:$I$558,4,0)),0,VLOOKUP($A57,'Données projet'!$A$538:$I$558,4,0))</f>
        <v>0</v>
      </c>
      <c r="PF57" s="16">
        <f>IF(ISNA(VLOOKUP($A57,'Données projet'!$A$538:$I$558,5,0)),0%,VLOOKUP($A57,'Données projet'!$A$538:$I$558,5,0)*VLOOKUP('Données projet'!$B$28,Paramètres!$A$1:$I$89,7,0))</f>
        <v>0</v>
      </c>
      <c r="PG57" s="16">
        <f>IF(ISNA(VLOOKUP($A57,'Données projet'!$A$538:$I$558,6,0)),0%,VLOOKUP($A57,'Données projet'!$A$538:$I$558,6,0)*VLOOKUP('Données projet'!$B$28,Paramètres!$A$1:$I$89,7,0))</f>
        <v>0</v>
      </c>
      <c r="PH57" s="16">
        <f>IF(ISNA(VLOOKUP($A57,'Données projet'!$A$538:$I$558,7,0)),0%,VLOOKUP($A57,'Données projet'!$A$538:$I$558,7,0))</f>
        <v>0</v>
      </c>
      <c r="PI57" s="21" t="e">
        <f>EXP(-LN(2)/35)*PI56+(1-EXP(-LN(2)/35))/(LN(2)/35)*PE57*PF57*VLOOKUP('Données projet'!$B$28,Paramètres!$A$1:$I$89,3,0)*0.475*44/12</f>
        <v>#N/A</v>
      </c>
      <c r="PJ57" s="21" t="e">
        <f>EXP(-LN(2)/25)*PJ56+(1-EXP(-LN(2)/25))/(LN(2)/25)*Calculateur!PE57*Calculateur!PG57*VLOOKUP('Données projet'!$B$28,Paramètres!$A$1:$I$89,3,0)*0.475*44/12</f>
        <v>#N/A</v>
      </c>
      <c r="PK57" s="21" t="e">
        <f>EXP(-LN(2)/2)*PK56+(1-EXP(-LN(2)/2))/(LN(2)/2)*PE57*PH57*VLOOKUP('Données projet'!$B$28,Paramètres!$A$1:$I$89,3,0)*0.475*44/12</f>
        <v>#N/A</v>
      </c>
      <c r="PL57" s="22" t="e">
        <f t="shared" si="117"/>
        <v>#N/A</v>
      </c>
    </row>
    <row r="58" spans="1:428" x14ac:dyDescent="0.35">
      <c r="A58" s="10">
        <f t="shared" si="6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6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projet'!$A$45:$I$65,2,0)</f>
        <v>#N/A</v>
      </c>
      <c r="L58" s="12" t="e">
        <f>VLOOKUP(A58,'Données projet'!$A$45:$I$65,9,0)</f>
        <v>#N/A</v>
      </c>
      <c r="M58" s="12">
        <f t="array" ref="M58">INDEX(L:L,MIN(IF(ISNUMBER(L58:L254),ROW(L58:L254),"")))</f>
        <v>0</v>
      </c>
      <c r="N58" s="13">
        <f>IF('Données projet'!$A$46&gt;35,N57+M58-V57,IF(A58&lt;'Données projet'!$A$46,$K$205^A58,IF(A58='Données projet'!$A$46,'Données projet'!$B$46,N57+M58-V57)))</f>
        <v>-1.1368683772161603E-13</v>
      </c>
      <c r="O58" s="13">
        <f>N58*VLOOKUP('Données projet'!$B$9,Paramètres!$A$1:$I$89,3,0)*VLOOKUP('Données projet'!$B$9,Paramètres!$A$1:$I$89,5,0)</f>
        <v>-6.3550942286383367E-14</v>
      </c>
      <c r="P58" s="13" t="e">
        <f t="shared" si="63"/>
        <v>#NUM!</v>
      </c>
      <c r="Q58" s="20" t="e">
        <f t="shared" si="118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274.57619581652199</v>
      </c>
      <c r="T58" s="59">
        <f t="shared" si="64"/>
        <v>366.15117322598775</v>
      </c>
      <c r="U58" s="15">
        <f>IF(ISNA(VLOOKUP(A58,'Données projet'!$A$45:$I$65,3,0)),0,VLOOKUP(A58,'Données projet'!$A$45:$I$65,3,0))</f>
        <v>0</v>
      </c>
      <c r="V58" s="15">
        <f>IF(ISNA(VLOOKUP(A58,'Données projet'!$A$45:$I$65,4,0)),0,VLOOKUP(A58,'Données projet'!$A$45:$I$65,4,0))</f>
        <v>0</v>
      </c>
      <c r="W58" s="16">
        <f>IF(ISNA(VLOOKUP(A58,'Données projet'!$A$45:$I$65,5,0)),0%,VLOOKUP(A58,'Données projet'!$A$45:$I$65,5,0)*VLOOKUP('Données projet'!$B$9,Paramètres!$A$1:$I$89,7,0))</f>
        <v>0</v>
      </c>
      <c r="X58" s="16">
        <f>IF(ISNA(VLOOKUP(A58,'Données projet'!$A$45:$I$65,6,0)),0%,VLOOKUP(A58,'Données projet'!$A$45:$I$65,6,0)*VLOOKUP('Données projet'!$B$9,Paramètres!$A$1:$I$89,7,0))</f>
        <v>0</v>
      </c>
      <c r="Y58" s="16">
        <f>IF(ISNA(VLOOKUP(A58,'Données projet'!$A$45:$I$65,7,0)),0%,VLOOKUP(A58,'Données projet'!$A$45:$I$65,7,0))</f>
        <v>0</v>
      </c>
      <c r="Z58" s="21">
        <f>EXP(-LN(2)/35)*Z57+(1-EXP(-LN(2)/35))/(LN(2)/35)*V58*W58*VLOOKUP('Données projet'!$B$9,Paramètres!$A$1:$I$89,3,0)*0.475*44/12</f>
        <v>226.65708196256534</v>
      </c>
      <c r="AA58" s="21">
        <f>EXP(-LN(2)/25)*AA57+(1-EXP(-LN(2)/25))/(LN(2)/25)*Calculateur!V58*Calculateur!X58*VLOOKUP('Données projet'!$B$9,Paramètres!$A$1:$I$89,3,0)*0.475*44/12</f>
        <v>57.607680388239864</v>
      </c>
      <c r="AB58" s="21">
        <f>EXP(-LN(2)/2)*AB57+(1-EXP(-LN(2)/2))/(LN(2)/2)*V58*Y58*VLOOKUP('Données projet'!$B$9,Paramètres!$A$1:$I$89,3,0)*0.475*44/12</f>
        <v>34.161304004112452</v>
      </c>
      <c r="AC58" s="22">
        <f t="shared" si="3"/>
        <v>318.42606635491768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projet'!$A$71:$I$91,2,0)</f>
        <v>198.44230769230768</v>
      </c>
      <c r="AG58" s="12">
        <f>VLOOKUP(A58,'Données projet'!$A$71:$I$91,9,0)</f>
        <v>8.8736263736263741</v>
      </c>
      <c r="AH58" s="12">
        <f t="array" ref="AH58">INDEX(AG:AG,MIN(IF(ISNUMBER(AG58:AG254),ROW(AG58:AG254),"")))</f>
        <v>8.8736263736263741</v>
      </c>
      <c r="AI58" s="13">
        <f>IF('Données projet'!$A$72&gt;35,AI57+AH58-AQ57,IF(A58&lt;'Données projet'!$A$72,$AF$205^A58,IF(A58='Données projet'!$A$72,'Données projet'!$B$72,AI57+AH58-AQ57)))</f>
        <v>198.44230769230774</v>
      </c>
      <c r="AJ58" s="13">
        <f>AI58*VLOOKUP('Données projet'!$B$10,Paramètres!$A$1:$I$89,3,0)*VLOOKUP('Données projet'!$B$10,Paramètres!$A$1:$I$89,5,0)</f>
        <v>179.55060000000003</v>
      </c>
      <c r="AK58" s="13">
        <f t="shared" si="65"/>
        <v>45.22218840459005</v>
      </c>
      <c r="AL58" s="20">
        <f t="shared" si="4"/>
        <v>391.47927313799437</v>
      </c>
      <c r="AM58" s="59">
        <f t="shared" si="5"/>
        <v>684.81260647132763</v>
      </c>
      <c r="AN58" s="59">
        <f ca="1">AVERAGE(OFFSET($AM$3,0,0,'Données projet'!$E$10+1,1))-AVERAGE(OFFSET($H$3,0,0,'Données projet'!$E$10+1,1))</f>
        <v>270.87836509222456</v>
      </c>
      <c r="AO58" s="59">
        <f t="shared" si="66"/>
        <v>205.24998237949734</v>
      </c>
      <c r="AP58" s="15">
        <f>IF(ISNA(VLOOKUP(A58,'Données projet'!$A$71:$I$91,3,0)),0,VLOOKUP(A58,'Données projet'!$A$71:$I$91,3,0))</f>
        <v>4</v>
      </c>
      <c r="AQ58" s="15">
        <f>IF(ISNA(VLOOKUP(A58,'Données projet'!$A$71:$I$91,4,0)),0,VLOOKUP(A58,'Données projet'!$A$71:$I$91,4,0))</f>
        <v>45.147435897435898</v>
      </c>
      <c r="AR58" s="16">
        <f>IF(ISNA(VLOOKUP(A58,'Données projet'!$A$71:$I$91,5,0)),0%,VLOOKUP(A58,'Données projet'!$A$71:$I$91,5,0)*VLOOKUP('Données projet'!$B$10,Paramètres!$A$1:$I$89,7,0))</f>
        <v>0</v>
      </c>
      <c r="AS58" s="16">
        <f>IF(ISNA(VLOOKUP(A58,'Données projet'!$A$71:$I$91,6,0)),0%,VLOOKUP(A58,'Données projet'!$A$71:$I$91,6,0)*VLOOKUP('Données projet'!$B$10,Paramètres!$A$1:$I$89,7,0))</f>
        <v>0</v>
      </c>
      <c r="AT58" s="16">
        <f>IF(ISNA(VLOOKUP(A58,'Données projet'!$A$71:$I$91,7,0)),0%,VLOOKUP(A58,'Données projet'!$A$71:$I$91,7,0))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projet'!$A$97:$I$117,2,0)</f>
        <v>#N/A</v>
      </c>
      <c r="BB58" s="12" t="e">
        <f>VLOOKUP(A58,'Données projet'!$A$97:$I$117,9,0)</f>
        <v>#N/A</v>
      </c>
      <c r="BC58" s="12">
        <f t="array" ref="BC58">INDEX(BB:BB,MIN(IF(ISNUMBER(BB58:BB254),ROW(BB58:BB254),"")))</f>
        <v>0</v>
      </c>
      <c r="BD58" s="12">
        <f>IF('Données projet'!$A$98&gt;35,BD57+BC58-BL57,IF(A58&lt;'Données projet'!$A$98,$BA$205^A58,IF(A58='Données projet'!$A$98,'Données projet'!$B$98,BD57+BC58-BL57)))</f>
        <v>-1.1368683772161603E-13</v>
      </c>
      <c r="BE58" s="13">
        <f>BD58*VLOOKUP('Données projet'!$B$11,Paramètres!$A$1:$I$89,3,0)*VLOOKUP('Données projet'!$B$11,Paramètres!$A$1:$I$89,5,0)</f>
        <v>-5.0249582272954292E-14</v>
      </c>
      <c r="BF58" s="13" t="e">
        <f t="shared" si="67"/>
        <v>#NUM!</v>
      </c>
      <c r="BG58" s="20" t="e">
        <f t="shared" si="7"/>
        <v>#NUM!</v>
      </c>
      <c r="BH58" s="59" t="e">
        <f t="shared" si="8"/>
        <v>#NUM!</v>
      </c>
      <c r="BI58" s="59">
        <f ca="1">AVERAGE(OFFSET($BH$3,0,0,'Données projet'!$E$11+1,1))-AVERAGE(OFFSET($H$3,0,0,'Données projet'!$E$11+1,1))</f>
        <v>211.31057120485542</v>
      </c>
      <c r="BJ58" s="59">
        <f t="shared" si="68"/>
        <v>283.33292006714777</v>
      </c>
      <c r="BK58" s="15">
        <f>IF(ISNA(VLOOKUP(A58,'Données projet'!$A$97:$I$117,3,0)),0,VLOOKUP(A58,'Données projet'!$A$97:$I$117,3,0))</f>
        <v>0</v>
      </c>
      <c r="BL58" s="15">
        <f>IF(ISNA(VLOOKUP(A58,'Données projet'!$A$97:$I$117,4,0)),0,VLOOKUP(A58,'Données projet'!$A$97:$I$117,4,0))</f>
        <v>0</v>
      </c>
      <c r="BM58" s="16">
        <f>IF(ISNA(VLOOKUP(A58,'Données projet'!$A$97:$I$117,5,0)),0%,VLOOKUP(A58,'Données projet'!$A$97:$I$117,5,0)*VLOOKUP('Données projet'!$B$11,Paramètres!$A$1:$I$89,7,0))</f>
        <v>0</v>
      </c>
      <c r="BN58" s="16">
        <f>IF(ISNA(VLOOKUP(A58,'Données projet'!$A$97:$I$117,6,0)),0%,VLOOKUP(A58,'Données projet'!$A$97:$I$117,6,0)*VLOOKUP('Données projet'!$B$11,Paramètres!$A$1:$I$89,7,0))</f>
        <v>0</v>
      </c>
      <c r="BO58" s="16">
        <f>IF(ISNA(VLOOKUP(A58,'Données projet'!$A$97:$I$117,7,0)),0%,VLOOKUP(A58,'Données projet'!$A$97:$I$117,7,0))</f>
        <v>0</v>
      </c>
      <c r="BP58" s="21">
        <f>EXP(-LN(2)/35)*BP57+(1-EXP(-LN(2)/35))/(LN(2)/35)*BL58*BM58*VLOOKUP('Données projet'!$B$11,Paramètres!$A$1:$I$89,3,0)*0.475*44/12</f>
        <v>179.21722759830749</v>
      </c>
      <c r="BQ58" s="21">
        <f>EXP(-LN(2)/25)*BQ57+(1-EXP(-LN(2)/25))/(LN(2)/25)*Calculateur!BL58*Calculateur!BN58*VLOOKUP('Données projet'!$B$11,Paramètres!$A$1:$I$89,3,0)*0.475*44/12</f>
        <v>45.550258911631524</v>
      </c>
      <c r="BR58" s="21">
        <f>EXP(-LN(2)/2)*BR57+(1-EXP(-LN(2)/2))/(LN(2)/2)*BL58*BO58*VLOOKUP('Données projet'!$B$11,Paramètres!$A$1:$I$89,3,0)*0.475*44/12</f>
        <v>27.01126363115868</v>
      </c>
      <c r="BS58" s="22">
        <f t="shared" si="9"/>
        <v>251.77875014109767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projet'!$A$123:$I$143,2,0)</f>
        <v>218</v>
      </c>
      <c r="BW58" s="12">
        <f>VLOOKUP(A58,'Données projet'!$A$123:$I$143,9,0)</f>
        <v>6.6</v>
      </c>
      <c r="BX58" s="12">
        <f t="array" ref="BX58">INDEX(BW:BW,MIN(IF(ISNUMBER(BW58:BW254),ROW(BW58:BW254),"")))</f>
        <v>6.6</v>
      </c>
      <c r="BY58" s="12">
        <f>IF('Données projet'!$A$124&gt;35,BY57+BX58-CG57,IF(A58&lt;'Données projet'!$A$124,$BV$205^A58,IF(A58='Données projet'!$A$124,'Données projet'!$B$124,BY57+BX58-CG57)))</f>
        <v>218.00000000000003</v>
      </c>
      <c r="BZ58" s="13">
        <f>BY58*VLOOKUP('Données projet'!$B$12,Paramètres!$A$1:$I$89,3,0)*VLOOKUP('Données projet'!$B$12,Paramètres!$A$1:$I$89,5,0)</f>
        <v>227.85360000000006</v>
      </c>
      <c r="CA58" s="13">
        <f t="shared" si="69"/>
        <v>55.818326719749848</v>
      </c>
      <c r="CB58" s="20">
        <f t="shared" si="10"/>
        <v>494.06193903689768</v>
      </c>
      <c r="CC58" s="59">
        <f t="shared" si="11"/>
        <v>787.39527237023094</v>
      </c>
      <c r="CD58" s="59">
        <f ca="1">AVERAGE(OFFSET($CC$3,0,0,'Données projet'!$E$12+1,1))-AVERAGE(OFFSET($H$3,0,0,'Données projet'!$E$12+1,1))</f>
        <v>322.93502595881938</v>
      </c>
      <c r="CE58" s="59">
        <f t="shared" si="70"/>
        <v>302.67072119588164</v>
      </c>
      <c r="CF58" s="15">
        <f>IF(ISNA(VLOOKUP(A58,'Données projet'!$A$123:$I$143,3,0)),0,VLOOKUP(A58,'Données projet'!$A$123:$I$143,3,0))</f>
        <v>8</v>
      </c>
      <c r="CG58" s="15" t="str">
        <f>IF(ISNA(VLOOKUP(A58,'Données projet'!$A$123:$I$143,4,0)),0,VLOOKUP(A58,'Données projet'!$A$123:$I$143,4,0))</f>
        <v>23</v>
      </c>
      <c r="CH58" s="16">
        <f>IF(ISNA(VLOOKUP(A58,'Données projet'!$A$123:$I$143,5,0)),0%,VLOOKUP(A58,'Données projet'!$A$123:$I$143,5,0)*VLOOKUP('Données projet'!$B$12,Paramètres!$A$1:$I$89,7,0))</f>
        <v>0.17200000000000001</v>
      </c>
      <c r="CI58" s="16">
        <f>IF(ISNA(VLOOKUP(A58,'Données projet'!$A$123:$I$143,6,0)),0%,VLOOKUP(A58,'Données projet'!$A$123:$I$143,6,0)*VLOOKUP('Données projet'!$B$12,Paramètres!$A$1:$I$89,7,0))</f>
        <v>0.17200000000000001</v>
      </c>
      <c r="CJ58" s="16">
        <f>IF(ISNA(VLOOKUP(A58,'Données projet'!$A$123:$I$143,7,0)),0%,VLOOKUP(A58,'Données projet'!$A$123:$I$143,7,0))</f>
        <v>0</v>
      </c>
      <c r="CK58" s="21">
        <f>EXP(-LN(2)/35)*CK57+(1-EXP(-LN(2)/35))/(LN(2)/35)*CG58*CH58*VLOOKUP('Données projet'!$B$12,Paramètres!$A$1:$I$89,3,0)*0.475*44/12</f>
        <v>13.129661954609677</v>
      </c>
      <c r="CL58" s="21">
        <f>EXP(-LN(2)/25)*CL57+(1-EXP(-LN(2)/25))/(LN(2)/25)*Calculateur!CG58*Calculateur!CI58*VLOOKUP('Données projet'!$B$12,Paramètres!$A$1:$I$89,3,0)*0.475*44/12</f>
        <v>20.834234827758813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33.963896782368494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projet'!$A$149:$I$169,2,0)</f>
        <v>#N/A</v>
      </c>
      <c r="CR58" s="12" t="e">
        <f>VLOOKUP(A58,'Données projet'!$A$149:$I$169,9,0)</f>
        <v>#N/A</v>
      </c>
      <c r="CS58" s="12">
        <f t="array" ref="CS58">INDEX(CR:CR,MIN(IF(ISNUMBER(CR58:CR254),ROW(CR58:CR254),"")))</f>
        <v>6.3942307692307701</v>
      </c>
      <c r="CT58" s="12">
        <f>IF('Données projet'!$A$150&gt;35,CT57+CS58-DB57,IF(A58&lt;'Données projet'!$A$150,$CQ$205^A58,IF(A58='Données projet'!$A$150,'Données projet'!$B$150,CT57+CS58-DB57)))</f>
        <v>133.67948717948715</v>
      </c>
      <c r="CU58" s="17">
        <f>CT58*VLOOKUP('Données projet'!$B$13,Paramètres!$A$1:$I$89,3,0)*VLOOKUP('Données projet'!$B$13,Paramètres!$A$1:$I$89,5,0)</f>
        <v>135.55099999999999</v>
      </c>
      <c r="CV58" s="13">
        <f t="shared" si="71"/>
        <v>35.275894365560525</v>
      </c>
      <c r="CW58" s="20">
        <f t="shared" si="13"/>
        <v>297.52350768668458</v>
      </c>
      <c r="CX58" s="59">
        <f t="shared" si="14"/>
        <v>590.8568410200179</v>
      </c>
      <c r="CY58" s="59">
        <f ca="1">AVERAGE(OFFSET($CX$3,0,0,'Données projet'!$E$13+1,1))-AVERAGE(OFFSET($H$3,0,0,'Données projet'!$E$13+1,1))</f>
        <v>250.31277422753283</v>
      </c>
      <c r="CZ58" s="59">
        <f t="shared" si="72"/>
        <v>159.20429420478047</v>
      </c>
      <c r="DA58" s="15">
        <f>IF(ISNA(VLOOKUP(A58,'Données projet'!$A$149:$I$169,3,0)),0,VLOOKUP(A58,'Données projet'!$A$149:$I$169,3,0))</f>
        <v>0</v>
      </c>
      <c r="DB58" s="15">
        <f>IF(ISNA(VLOOKUP(A58,'Données projet'!$A$149:$I$169,4,0)),0,VLOOKUP(A58,'Données projet'!$A$149:$I$169,4,0))</f>
        <v>0</v>
      </c>
      <c r="DC58" s="16">
        <f>IF(ISNA(VLOOKUP(A58,'Données projet'!$A$149:$I$169,5,0)),0%,VLOOKUP(A58,'Données projet'!$A$149:$I$169,5,0)*VLOOKUP('Données projet'!$B$13,Paramètres!$A$1:$I$89,7,0))</f>
        <v>0</v>
      </c>
      <c r="DD58" s="16">
        <f>IF(ISNA(VLOOKUP(A58,'Données projet'!$A$149:$I$169,6,0)),0%,VLOOKUP(A58,'Données projet'!$A$149:$I$169,6,0)*VLOOKUP('Données projet'!$B$13,Paramètres!$A$1:$I$89,7,0))</f>
        <v>0</v>
      </c>
      <c r="DE58" s="16">
        <f>IF(ISNA(VLOOKUP(A58,'Données projet'!$A$149:$I$169,7,0)),0%,VLOOKUP(A58,'Données projet'!$A$149:$I$169,7,0))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0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projet'!$A$175:$I$195,2,0)</f>
        <v>324</v>
      </c>
      <c r="DM58" s="12">
        <f>VLOOKUP(A58,'Données projet'!$A$175:$I$195,9,0)</f>
        <v>8.4</v>
      </c>
      <c r="DN58" s="12">
        <f t="array" ref="DN58">INDEX(DM:DM,MIN(IF(ISNUMBER(DM58:DM254),ROW(DM58:DM254),"")))</f>
        <v>8.4</v>
      </c>
      <c r="DO58" s="12">
        <f>IF('Données projet'!$A$176&gt;35,DO57+DN58-DW57,IF(A58&lt;'Données projet'!$A$176,$DL$205^A58,IF(A58='Données projet'!$A$176,'Données projet'!$B$176,DO57+DN58-DW57)))</f>
        <v>323.99999999999983</v>
      </c>
      <c r="DP58" s="17">
        <f>DO58*VLOOKUP('Données projet'!$B$14,Paramètres!$A$1:$I$89,3,0)*VLOOKUP('Données projet'!$B$14,Paramètres!$A$1:$I$89,5,0)</f>
        <v>237.55679999999987</v>
      </c>
      <c r="DQ58" s="13">
        <f t="shared" si="73"/>
        <v>57.913551469467308</v>
      </c>
      <c r="DR58" s="20">
        <f t="shared" si="16"/>
        <v>514.61086214265526</v>
      </c>
      <c r="DS58" s="59">
        <f t="shared" si="17"/>
        <v>807.94419547598864</v>
      </c>
      <c r="DT58" s="59">
        <f ca="1">AVERAGE(OFFSET($DS$3,0,0,'Données projet'!$E$14+1,1))-AVERAGE(OFFSET($H$3,0,0,'Données projet'!$E$14+1,1))</f>
        <v>296.91321813251051</v>
      </c>
      <c r="DU58" s="59">
        <f t="shared" si="74"/>
        <v>291.0718079639509</v>
      </c>
      <c r="DV58" s="15">
        <f>IF(ISNA(VLOOKUP(A58,'Données projet'!$A$175:$I$195,3,0)),0,VLOOKUP(A58,'Données projet'!$A$175:$I$195,3,0))</f>
        <v>10</v>
      </c>
      <c r="DW58" s="15">
        <f>IF(ISNA(VLOOKUP(A58,'Données projet'!$A$175:$I$195,4,0)),0,VLOOKUP(A58,'Données projet'!$A$175:$I$195,4,0))</f>
        <v>18</v>
      </c>
      <c r="DX58" s="16">
        <f>IF(ISNA(VLOOKUP(A58,'Données projet'!$A$175:$I$195,5,0)),0%,VLOOKUP(A58,'Données projet'!$A$175:$I$195,5,0)*VLOOKUP('Données projet'!$B$14,Paramètres!$A$1:$I$89,7,0))</f>
        <v>0.40419999999999995</v>
      </c>
      <c r="DY58" s="16">
        <f>IF(ISNA(VLOOKUP(A58,'Données projet'!$A$175:$I$195,6,0)),0%,VLOOKUP(A58,'Données projet'!$A$175:$I$195,6,0)*VLOOKUP('Données projet'!$B$14,Paramètres!$A$1:$I$89,7,0))</f>
        <v>2.58E-2</v>
      </c>
      <c r="DZ58" s="16">
        <f>IF(ISNA(VLOOKUP(A58,'Données projet'!$A$175:$I$195,7,0)),0%,VLOOKUP(A58,'Données projet'!$A$175:$I$195,7,0))</f>
        <v>0</v>
      </c>
      <c r="EA58" s="21">
        <f>EXP(-LN(2)/35)*EA57+(1-EXP(-LN(2)/35))/(LN(2)/35)*DW58*DX58*VLOOKUP('Données projet'!$B$14,Paramètres!$A$1:$I$89,3,0)*0.475*44/12</f>
        <v>40.898557355407654</v>
      </c>
      <c r="EB58" s="21">
        <f>EXP(-LN(2)/25)*EB57+(1-EXP(-LN(2)/25))/(LN(2)/25)*Calculateur!DW58*Calculateur!DY58*VLOOKUP('Données projet'!$B$14,Paramètres!$A$1:$I$89,3,0)*0.475*44/12</f>
        <v>9.1251505427143496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50.023707898122005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projet'!$A$201:$I$221,2,0)</f>
        <v>#N/A</v>
      </c>
      <c r="EH58" s="12" t="e">
        <f>VLOOKUP(A58,'Données projet'!$A$201:$I$221,9,0)</f>
        <v>#N/A</v>
      </c>
      <c r="EI58" s="12">
        <f t="array" ref="EI58">INDEX(EH:EH,MIN(IF(ISNUMBER(EH58:EH254),ROW(EH58:EH254),"")))</f>
        <v>10.763461538461542</v>
      </c>
      <c r="EJ58" s="12">
        <f>IF('Données projet'!$A$202&gt;35,EJ57+EI58-ER57,IF(A58&lt;'Données projet'!$A$202,$EG$205^A58,IF(A58='Données projet'!$A$202,'Données projet'!$B$202,EJ57+EI58-ER57)))</f>
        <v>264.58461538461529</v>
      </c>
      <c r="EK58" s="17">
        <f>EJ58*VLOOKUP('Données projet'!$B$15,Paramètres!$A$1:$I$89,3,0)*VLOOKUP('Données projet'!$B$15,Paramètres!$A$1:$I$89,5,0)</f>
        <v>123.82559999999997</v>
      </c>
      <c r="EL58" s="13">
        <f t="shared" si="75"/>
        <v>32.565621475657444</v>
      </c>
      <c r="EM58" s="20">
        <f t="shared" si="19"/>
        <v>272.38137740343666</v>
      </c>
      <c r="EN58" s="59">
        <f t="shared" si="20"/>
        <v>565.71471073677003</v>
      </c>
      <c r="EO58" s="59">
        <f ca="1">AVERAGE(OFFSET($EN$3,0,0,'Données projet'!$E$15+1,1))-AVERAGE(OFFSET($H$3,0,0,'Données projet'!$E$15+1,1))</f>
        <v>147.64256291235483</v>
      </c>
      <c r="EP58" s="59">
        <f t="shared" si="76"/>
        <v>70.859031694091868</v>
      </c>
      <c r="EQ58" s="15">
        <f>IF(ISNA(VLOOKUP(A58,'Données projet'!$A$201:$I$221,3,0)),0,VLOOKUP(A58,'Données projet'!$A$201:$I$221,3,0))</f>
        <v>0</v>
      </c>
      <c r="ER58" s="15">
        <f>IF(ISNA(VLOOKUP(A58,'Données projet'!$A$201:$I$221,4,0)),0,VLOOKUP(A58,'Données projet'!$A$201:$I$221,4,0))</f>
        <v>0</v>
      </c>
      <c r="ES58" s="16">
        <f>IF(ISNA(VLOOKUP(A58,'Données projet'!$A$201:$I$221,5,0)),0%,VLOOKUP(A58,'Données projet'!$A$201:$I$221,5,0)*VLOOKUP('Données projet'!$B$15,Paramètres!$A$1:$I$89,7,0))</f>
        <v>0</v>
      </c>
      <c r="ET58" s="16">
        <f>IF(ISNA(VLOOKUP(A58,'Données projet'!$A$201:$I$221,6,0)),0%,VLOOKUP(A58,'Données projet'!$A$201:$I$221,6,0)*VLOOKUP('Données projet'!$B$15,Paramètres!$A$1:$I$89,7,0))</f>
        <v>0</v>
      </c>
      <c r="EU58" s="16">
        <f>IF(ISNA(VLOOKUP(A58,'Données projet'!$A$201:$I$221,7,0)),0%,VLOOKUP(A58,'Données projet'!$A$201:$I$221,7,0))</f>
        <v>0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17.099405351916531</v>
      </c>
      <c r="EX58" s="21">
        <f>EXP(-LN(2)/2)*EX57+(1-EXP(-LN(2)/2))/(LN(2)/2)*ER58*EU58*VLOOKUP('Données projet'!$B$15,Paramètres!$A$1:$I$89,3,0)*0.475*44/12</f>
        <v>5.846666427259068</v>
      </c>
      <c r="EY58" s="22">
        <f t="shared" si="21"/>
        <v>22.946071779175597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projet'!$A$227:$I$247,2,0)</f>
        <v>181</v>
      </c>
      <c r="FC58" s="12">
        <f>VLOOKUP(A58,'Données projet'!$A$227:$I$247,9,0)</f>
        <v>5.2</v>
      </c>
      <c r="FD58" s="12">
        <f t="array" ref="FD58">INDEX(FC:FC,MIN(IF(ISNUMBER(FC58:FC254),ROW(FC58:FC254),"")))</f>
        <v>5.2</v>
      </c>
      <c r="FE58" s="12">
        <f>IF('Données projet'!$A$228&gt;35,FE57+FD58-FM57,IF(A58&lt;'Données projet'!$A$228,$FB$205^A58,IF(A58='Données projet'!$A$228,'Données projet'!$B$228,FE57+FD58-FM57)))</f>
        <v>180.99999999999997</v>
      </c>
      <c r="FF58" s="17">
        <f>FE58*VLOOKUP('Données projet'!$B$16,Paramètres!$A$1:$I$89,3,0)*VLOOKUP('Données projet'!$B$16,Paramètres!$A$1:$I$89,5,0)</f>
        <v>189.18119999999999</v>
      </c>
      <c r="FG58" s="13">
        <f t="shared" si="77"/>
        <v>47.358882320604579</v>
      </c>
      <c r="FH58" s="20">
        <f t="shared" si="22"/>
        <v>411.97397670838626</v>
      </c>
      <c r="FI58" s="59">
        <f t="shared" si="23"/>
        <v>705.30731004171957</v>
      </c>
      <c r="FJ58" s="59">
        <f ca="1">AVERAGE(OFFSET($FI$3,0,0,'Données projet'!$E$16+1,1))-AVERAGE(OFFSET($H$3,0,0,'Données projet'!$E$16+1,1))</f>
        <v>259.03906550253788</v>
      </c>
      <c r="FK58" s="59">
        <f t="shared" si="78"/>
        <v>235.54542903570831</v>
      </c>
      <c r="FL58" s="15">
        <f>IF(ISNA(VLOOKUP(A58,'Données projet'!$A$227:$I$247,3,0)),0,VLOOKUP(A58,'Données projet'!$A$227:$I$247,3,0))</f>
        <v>8</v>
      </c>
      <c r="FM58" s="15" t="str">
        <f>IF(ISNA(VLOOKUP(A58,'Données projet'!$A$227:$I$247,4,0)),0,VLOOKUP(A58,'Données projet'!$A$227:$I$247,4,0))</f>
        <v>17</v>
      </c>
      <c r="FN58" s="16">
        <f>IF(ISNA(VLOOKUP(A58,'Données projet'!$A$227:$I$247,5,0)),0%,VLOOKUP(A58,'Données projet'!$A$227:$I$247,5,0)*VLOOKUP('Données projet'!$B$16,Paramètres!$A$1:$I$89,7,0))</f>
        <v>0.17200000000000001</v>
      </c>
      <c r="FO58" s="16">
        <f>IF(ISNA(VLOOKUP(A58,'Données projet'!$A$227:$I$247,6,0)),0%,VLOOKUP(A58,'Données projet'!$A$227:$I$247,6,0)*VLOOKUP('Données projet'!$B$16,Paramètres!$A$1:$I$89,7,0))</f>
        <v>0.17200000000000001</v>
      </c>
      <c r="FP58" s="16">
        <f>IF(ISNA(VLOOKUP(A58,'Données projet'!$A$227:$I$247,7,0)),0%,VLOOKUP(A58,'Données projet'!$A$227:$I$247,7,0))</f>
        <v>0</v>
      </c>
      <c r="FQ58" s="21">
        <f>EXP(-LN(2)/35)*FQ57+(1-EXP(-LN(2)/35))/(LN(2)/35)*FM58*FN58*VLOOKUP('Données projet'!$B$16,Paramètres!$A$1:$I$89,3,0)*0.475*44/12</f>
        <v>3.3784996613712432</v>
      </c>
      <c r="FR58" s="21">
        <f>EXP(-LN(2)/25)*FR57+(1-EXP(-LN(2)/25))/(LN(2)/25)*Calculateur!FM58*Calculateur!FO58*VLOOKUP('Données projet'!$B$16,Paramètres!$A$1:$I$89,3,0)*0.475*44/12</f>
        <v>14.070556837040984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17.449056498412226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>
        <f>VLOOKUP(A58,'Données projet'!$A$253:$I$273,2,0)</f>
        <v>232</v>
      </c>
      <c r="FX58" s="12">
        <f>VLOOKUP(A58,'Données projet'!$A$253:$I$273,9,0)</f>
        <v>6</v>
      </c>
      <c r="FY58" s="12">
        <f t="array" ref="FY58">INDEX(FX:FX,MIN(IF(ISNUMBER(FX58:FX254),ROW(FX58:FX254),"")))</f>
        <v>6</v>
      </c>
      <c r="FZ58" s="12">
        <f>IF('Données projet'!$A$254&gt;35,FZ57+FY58-GH57,IF(A58&lt;'Données projet'!$A$254,$FW$205^A58,IF(A58='Données projet'!$A$254,'Données projet'!$B$254,FZ57+FY58-GH57)))</f>
        <v>231.99999999999989</v>
      </c>
      <c r="GA58" s="17">
        <f>FZ58*VLOOKUP('Données projet'!$B$17,Paramètres!$A$1:$I$89,3,0)*VLOOKUP('Données projet'!$B$17,Paramètres!$A$1:$I$89,5,0)</f>
        <v>202.67519999999993</v>
      </c>
      <c r="GB58" s="13">
        <f t="shared" si="79"/>
        <v>50.33164028531364</v>
      </c>
      <c r="GC58" s="20">
        <f t="shared" si="25"/>
        <v>440.65358016358778</v>
      </c>
      <c r="GD58" s="59">
        <f t="shared" si="26"/>
        <v>733.98691349692103</v>
      </c>
      <c r="GE58" s="59">
        <f ca="1">AVERAGE(OFFSET($GD$3,0,0,'Données projet'!$E$17+1,1))-AVERAGE(OFFSET($H$3,0,0,'Données projet'!$E$17+1,1))</f>
        <v>245.1983232777614</v>
      </c>
      <c r="GF58" s="59">
        <f t="shared" si="80"/>
        <v>242.34010522344573</v>
      </c>
      <c r="GG58" s="15">
        <f>IF(ISNA(VLOOKUP(A58,'Données projet'!$A$253:$I$273,3,0)),0,VLOOKUP(A58,'Données projet'!$A$253:$I$273,3,0))</f>
        <v>9</v>
      </c>
      <c r="GH58" s="15">
        <f>IF(ISNA(VLOOKUP(A58,'Données projet'!$A$253:$I$273,4,0)),0,VLOOKUP(A58,'Données projet'!$A$253:$I$273,4,0))</f>
        <v>13</v>
      </c>
      <c r="GI58" s="16">
        <f>IF(ISNA(VLOOKUP(A58,'Données projet'!$A$253:$I$273,5,0)),0%,VLOOKUP(A58,'Données projet'!$A$253:$I$273,5,0)*VLOOKUP('Données projet'!$B$17,Paramètres!$A$1:$I$89,7,0))</f>
        <v>0.33110000000000001</v>
      </c>
      <c r="GJ58" s="16">
        <f>IF(ISNA(VLOOKUP(A58,'Données projet'!$A$253:$I$273,6,0)),0%,VLOOKUP(A58,'Données projet'!$A$253:$I$273,6,0)*VLOOKUP('Données projet'!$B$17,Paramètres!$A$1:$I$89,7,0))</f>
        <v>6.4500000000000002E-2</v>
      </c>
      <c r="GK58" s="16">
        <f>IF(ISNA(VLOOKUP(A58,'Données projet'!$A$253:$I$273,7,0)),0%,VLOOKUP(A58,'Données projet'!$A$253:$I$273,7,0))</f>
        <v>0</v>
      </c>
      <c r="GL58" s="21">
        <f>EXP(-LN(2)/35)*GL57+(1-EXP(-LN(2)/35))/(LN(2)/35)*GH58*GI58*VLOOKUP('Données projet'!$B$17,Paramètres!$A$1:$I$89,3,0)*0.475*44/12</f>
        <v>18.179542201787449</v>
      </c>
      <c r="GM58" s="21">
        <f>EXP(-LN(2)/25)*GM57+(1-EXP(-LN(2)/25))/(LN(2)/25)*Calculateur!GH58*Calculateur!GJ58*VLOOKUP('Données projet'!$B$17,Paramètres!$A$1:$I$89,3,0)*0.475*44/12</f>
        <v>11.643089474617332</v>
      </c>
      <c r="GN58" s="21">
        <f>EXP(-LN(2)/2)*GN57+(1-EXP(-LN(2)/2))/(LN(2)/2)*GH58*GK58*VLOOKUP('Données projet'!$B$17,Paramètres!$A$1:$I$89,3,0)*0.475*44/12</f>
        <v>0</v>
      </c>
      <c r="GO58" s="21">
        <f t="shared" si="27"/>
        <v>29.822631676404782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>
        <f>VLOOKUP(A58,'Données projet'!$A$279:$I$299,2,0)</f>
        <v>646</v>
      </c>
      <c r="GS58" s="12">
        <f>VLOOKUP(A58,'Données projet'!$A$279:$I$299,9,0)</f>
        <v>13.8</v>
      </c>
      <c r="GT58" s="12">
        <f t="array" ref="GT58">INDEX(GS:GS,MIN(IF(ISNUMBER(GS58:GS254),ROW(GS58:GS254),"")))</f>
        <v>13.8</v>
      </c>
      <c r="GU58" s="12">
        <f>IF('Données projet'!$A$280&gt;35,GU57+GT58-HC57,IF(A58&lt;'Données projet'!$A$280,$GR$205^A58,IF(A58='Données projet'!$A$280,'Données projet'!$B$280,GU57+GT58-HC57)))</f>
        <v>646.00000000000011</v>
      </c>
      <c r="GV58" s="17">
        <f>GU58*VLOOKUP('Données projet'!$B$18,Paramètres!$A$1:$I$89,3,0)*VLOOKUP('Données projet'!$B$18,Paramètres!$A$1:$I$89,5,0)</f>
        <v>260.33800000000008</v>
      </c>
      <c r="GW58" s="13">
        <f t="shared" si="81"/>
        <v>62.794420448761521</v>
      </c>
      <c r="GX58" s="20">
        <f t="shared" si="28"/>
        <v>562.78896561492638</v>
      </c>
      <c r="GY58" s="59">
        <f t="shared" si="29"/>
        <v>856.12229894825964</v>
      </c>
      <c r="GZ58" s="59">
        <f ca="1">AVERAGE(OFFSET($GY$3,0,0,'Données projet'!$E$18+1,1))-AVERAGE(OFFSET($H$3,0,0,'Données projet'!$E$18+1,1))</f>
        <v>324.36162935850876</v>
      </c>
      <c r="HA58" s="59">
        <f t="shared" si="82"/>
        <v>265.23571072429735</v>
      </c>
      <c r="HB58" s="15">
        <f>IF(ISNA(VLOOKUP(A58,'Données projet'!$A$279:$I$299,3,0)),0,VLOOKUP(A58,'Données projet'!$A$279:$I$299,3,0))</f>
        <v>8</v>
      </c>
      <c r="HC58" s="15">
        <f>IF(ISNA(VLOOKUP(A58,'Données projet'!$A$279:$I$299,4,0)),0,VLOOKUP(A58,'Données projet'!$A$279:$I$299,4,0))</f>
        <v>19</v>
      </c>
      <c r="HD58" s="16">
        <f>IF(ISNA(VLOOKUP(A58,'Données projet'!$A$279:$I$299,5,0)),0%,VLOOKUP(A58,'Données projet'!$A$279:$I$299,5,0)*VLOOKUP('Données projet'!$B$18,Paramètres!$A$1:$I$89,7,0))</f>
        <v>0.34047619047619049</v>
      </c>
      <c r="HE58" s="16">
        <f>IF(ISNA(VLOOKUP(A58,'Données projet'!$A$279:$I$299,6,0)),0%,VLOOKUP(A58,'Données projet'!$A$279:$I$299,6,0)*VLOOKUP('Données projet'!$B$18,Paramètres!$A$1:$I$89,7,0))</f>
        <v>0.13968253968253969</v>
      </c>
      <c r="HF58" s="16">
        <f>IF(ISNA(VLOOKUP($A58,'Données projet'!$A$279:$I$299,7,0)),0%,VLOOKUP($A58,'Données projet'!$A$279:$I$299,7,0))</f>
        <v>6.3492063492063489E-2</v>
      </c>
      <c r="HG58" s="21">
        <f>EXP(-LN(2)/35)*HG57+(1-EXP(-LN(2)/35))/(LN(2)/35)*HC58*HD58*VLOOKUP('Données projet'!$B$18,Paramètres!$A$1:$I$89,3,0)*0.475*44/12</f>
        <v>10.393318109947707</v>
      </c>
      <c r="HH58" s="21">
        <f>EXP(-LN(2)/25)*HH57+(1-EXP(-LN(2)/25))/(LN(2)/25)*Calculateur!HC58*Calculateur!HE58*VLOOKUP('Données projet'!$B$18,Paramètres!$A$1:$I$89,3,0)*0.475*44/12</f>
        <v>12.558314044970949</v>
      </c>
      <c r="HI58" s="21">
        <f>EXP(-LN(2)/2)*HI57+(1-EXP(-LN(2)/2))/(LN(2)/2)*HC58*HF58*VLOOKUP('Données projet'!$B$18,Paramètres!$A$1:$I$89,3,0)*0.475*44/12</f>
        <v>0.82758503568131703</v>
      </c>
      <c r="HJ58" s="22">
        <f t="shared" si="30"/>
        <v>23.779217190599972</v>
      </c>
      <c r="HK58" s="74">
        <f>('Scénario référence'!$F$8+'Scénario référence'!$F$9+'Scénario référence'!$B$17+'Scénario référence'!$B$9+'Scénario référence'!$B$10)*70+IF((45+25*(1-EXP(-0.0175*$A58)))&lt;70,'Scénario référence'!$B$16*(45+25*(1-EXP(-0.0175*$A58))),70*'Scénario référence'!$B$16)+IF((32+38*(1-EXP(-0.0175*$A58)))&lt;70,'Scénario référence'!$B$18*(32+38*(1-EXP(-0.0175*$A58))),70*'Scénario référence'!$B$18)</f>
        <v>70</v>
      </c>
      <c r="HL58" s="12">
        <f>IF($A58&gt;30,10,('Scénario référence'!$B$16+'Scénario référence'!$B$17+'Scénario référence'!$B$18+'Scénario référence'!$B$9+'Scénario référence'!$B$10)*$A58*10/30+('Scénario référence'!$F$8+'Scénario référence'!$F$9)*10)</f>
        <v>10</v>
      </c>
      <c r="HM58" s="12" t="e">
        <f>VLOOKUP($A58,'Données projet'!$A$304:$I$324,2,0)</f>
        <v>#N/A</v>
      </c>
      <c r="HN58" s="12" t="e">
        <f>VLOOKUP($A58,'Données projet'!$A$304:$I$324,9,0)</f>
        <v>#N/A</v>
      </c>
      <c r="HO58" s="12">
        <f t="array" ref="HO58">INDEX(HN:HN,MIN(IF(ISNUMBER(HN58:HN254),ROW(HN58:HN254),"")))</f>
        <v>0</v>
      </c>
      <c r="HP58" s="12">
        <f>IF('Données projet'!$A$304&gt;35,HP57+HO58-HX57,IF($A58&lt;'Données projet'!$A$304,$CQ$205^$A58,IF($A58='Données projet'!$A$304,'Données projet'!$B$304,HP57+HO58-HX57)))</f>
        <v>0</v>
      </c>
      <c r="HQ58" s="17">
        <f>HP58*VLOOKUP('Données projet'!$B$19,Paramètres!$A$1:$I$89,3,0)*VLOOKUP('Données projet'!$B$19,Paramètres!$A$1:$I$89,5,0)</f>
        <v>0</v>
      </c>
      <c r="HR58" s="13" t="e">
        <f t="shared" si="83"/>
        <v>#NUM!</v>
      </c>
      <c r="HS58" s="14" t="e">
        <f t="shared" si="31"/>
        <v>#NUM!</v>
      </c>
      <c r="HT58" s="59" t="e">
        <f t="shared" si="32"/>
        <v>#NUM!</v>
      </c>
      <c r="HU58" s="59">
        <f ca="1">AVERAGE(OFFSET(HT$3,0,0,'Données projet'!$E$19+1,1))-AVERAGE(OFFSET($H$3,0,0,'Données projet'!$E$19+1,1))</f>
        <v>91.60721429656013</v>
      </c>
      <c r="HV58" s="59">
        <f t="shared" si="84"/>
        <v>258.94957804210856</v>
      </c>
      <c r="HW58" s="15">
        <f>IF(ISNA(VLOOKUP($A58,'Données projet'!$A$304:$I$324,3,0)),0,VLOOKUP($A58,'Données projet'!$A$304:$I$324,3,0))</f>
        <v>0</v>
      </c>
      <c r="HX58" s="15">
        <f>IF(ISNA(VLOOKUP($A58,'Données projet'!$A$304:$I$324,4,0)),0,VLOOKUP($A58,'Données projet'!$A$304:$I$324,4,0))</f>
        <v>0</v>
      </c>
      <c r="HY58" s="16">
        <f>IF(ISNA(VLOOKUP($A58,'Données projet'!$A$304:$I$324,5,0)),0%,VLOOKUP($A58,'Données projet'!$A$304:$I$324,5,0)*VLOOKUP('Données projet'!$B$19,Paramètres!$A$1:$I$89,7,0))</f>
        <v>0</v>
      </c>
      <c r="HZ58" s="16">
        <f>IF(ISNA(VLOOKUP($A58,'Données projet'!$A$304:$I$324,6,0)),0%,VLOOKUP($A58,'Données projet'!$A$304:$I$324,6,0)*VLOOKUP('Données projet'!$B$19,Paramètres!$A$1:$I$89,7,0))</f>
        <v>0</v>
      </c>
      <c r="IA58" s="16">
        <f>IF(ISNA(VLOOKUP($A58,'Données projet'!$A$304:$I$324,7,0)),0%,VLOOKUP($A58,'Données projet'!$A$304:$I$324,7,0))</f>
        <v>0</v>
      </c>
      <c r="IB58" s="21">
        <f>EXP(-LN(2)/35)*IB57+(1-EXP(-LN(2)/35))/(LN(2)/35)*HX58*HY58*VLOOKUP('Données projet'!$B$19,Paramètres!$A$1:$I$89,3,0)*0.475*44/12</f>
        <v>30.06862032225845</v>
      </c>
      <c r="IC58" s="21">
        <f>EXP(-LN(2)/25)*IC57+(1-EXP(-LN(2)/25))/(LN(2)/25)*Calculateur!HX58*Calculateur!HZ58*VLOOKUP('Données projet'!$B$19,Paramètres!$A$1:$I$89,3,0)*0.475*44/12</f>
        <v>4.8638633380699465</v>
      </c>
      <c r="ID58" s="21">
        <f>EXP(-LN(2)/2)*ID57+(1-EXP(-LN(2)/2))/(LN(2)/2)*HX58*IA58*VLOOKUP('Données projet'!$B$19,Paramètres!$A$1:$I$89,3,0)*0.475*44/12</f>
        <v>9.8893494690565587E-5</v>
      </c>
      <c r="IE58" s="22">
        <f t="shared" si="33"/>
        <v>34.932582553823082</v>
      </c>
      <c r="IF58" s="74">
        <f>('Scénario référence'!$F$8+'Scénario référence'!$F$9+'Scénario référence'!$B$17+'Scénario référence'!$B$9+'Scénario référence'!$B$10)*70+IF((45+25*(1-EXP(-0.0175*$A58)))&lt;70,'Scénario référence'!$B$16*(45+25*(1-EXP(-0.0175*$A58))),70*'Scénario référence'!$B$16)+IF((32+38*(1-EXP(-0.0175*$A58)))&lt;70,'Scénario référence'!$B$18*(32+38*(1-EXP(-0.0175*$A58))),70*'Scénario référence'!$B$18)</f>
        <v>70</v>
      </c>
      <c r="IG58" s="12">
        <f>IF($A58&gt;30,10,('Scénario référence'!$B$16+'Scénario référence'!$B$17+'Scénario référence'!$B$18+'Scénario référence'!$B$9+'Scénario référence'!$B$10)*$A58*10/30+('Scénario référence'!$F$8+'Scénario référence'!$F$9)*10)</f>
        <v>10</v>
      </c>
      <c r="IH58" s="12" t="e">
        <f>VLOOKUP($A58,'Données projet'!$A$330:$I$350,2,0)</f>
        <v>#N/A</v>
      </c>
      <c r="II58" s="12" t="e">
        <f>VLOOKUP($A58,'Données projet'!$A$330:$I$350,9,0)</f>
        <v>#N/A</v>
      </c>
      <c r="IJ58" s="12">
        <f t="array" ref="IJ58">INDEX(II:II,MIN(IF(ISNUMBER(II58:II254),ROW(II58:II254),"")))</f>
        <v>0</v>
      </c>
      <c r="IK58" s="12">
        <f>IF('Données projet'!$A$330&gt;35,IK57+IJ58-IS57,IF($A58&lt;'Données projet'!$A$330,$CQ$205^$A58,IF($A58='Données projet'!$A$330,'Données projet'!$B$330,IK57+IJ58-IS57)))</f>
        <v>0</v>
      </c>
      <c r="IL58" s="17">
        <f>IK58*VLOOKUP('Données projet'!$B$20,Paramètres!$A$1:$I$89,3,0)*VLOOKUP('Données projet'!$B$20,Paramètres!$A$1:$I$89,5,0)</f>
        <v>0</v>
      </c>
      <c r="IM58" s="13" t="e">
        <f t="shared" si="85"/>
        <v>#NUM!</v>
      </c>
      <c r="IN58" s="20" t="e">
        <f t="shared" si="86"/>
        <v>#NUM!</v>
      </c>
      <c r="IO58" s="59" t="e">
        <f t="shared" si="87"/>
        <v>#NUM!</v>
      </c>
      <c r="IP58" s="59">
        <f ca="1">AVERAGE(OFFSET(IO$3,0,0,'Données projet'!$E$20+1,1))-AVERAGE(OFFSET($H$3,0,0,'Données projet'!$E$20+1,1))</f>
        <v>91.60721429656013</v>
      </c>
      <c r="IQ58" s="59">
        <f t="shared" si="88"/>
        <v>258.94957804210856</v>
      </c>
      <c r="IR58" s="15">
        <f>IF(ISNA(VLOOKUP($A58,'Données projet'!$A$330:$I$350,3,0)),0,VLOOKUP($A58,'Données projet'!$A$330:$I$350,3,0))</f>
        <v>0</v>
      </c>
      <c r="IS58" s="15">
        <f>IF(ISNA(VLOOKUP($A58,'Données projet'!$A$330:$I$350,4,0)),0,VLOOKUP($A58,'Données projet'!$A$330:$I$350,4,0))</f>
        <v>0</v>
      </c>
      <c r="IT58" s="16">
        <f>IF(ISNA(VLOOKUP($A58,'Données projet'!$A$330:$I$350,5,0)),0%,VLOOKUP($A58,'Données projet'!$A$330:$I$350,5,0)*VLOOKUP('Données projet'!$B$20,Paramètres!$A$1:$I$89,7,0))</f>
        <v>0</v>
      </c>
      <c r="IU58" s="16">
        <f>IF(ISNA(VLOOKUP($A58,'Données projet'!$A$330:$I$350,6,0)),0%,VLOOKUP($A58,'Données projet'!$A$330:$I$350,6,0)*VLOOKUP('Données projet'!$B$20,Paramètres!$A$1:$I$89,7,0))</f>
        <v>0</v>
      </c>
      <c r="IV58" s="16">
        <f>IF(ISNA(VLOOKUP($A58,'Données projet'!$A$330:$I$350,7,0)),0%,VLOOKUP($A58,'Données projet'!$A$330:$I$350,7,0))</f>
        <v>0</v>
      </c>
      <c r="IW58" s="21">
        <f>EXP(-LN(2)/35)*IW57+(1-EXP(-LN(2)/35))/(LN(2)/35)*IS58*IT58*VLOOKUP('Données projet'!$B$20,Paramètres!$A$1:$I$89,3,0)*0.475*44/12</f>
        <v>30.06862032225845</v>
      </c>
      <c r="IX58" s="21">
        <f>EXP(-LN(2)/25)*IX57+(1-EXP(-LN(2)/25))/(LN(2)/25)*Calculateur!IS58*Calculateur!IU58*VLOOKUP('Données projet'!$B$20,Paramètres!$A$1:$I$89,3,0)*0.475*44/12</f>
        <v>4.8638633380699465</v>
      </c>
      <c r="IY58" s="21">
        <f>EXP(-LN(2)/2)*IY57+(1-EXP(-LN(2)/2))/(LN(2)/2)*IS58*IV58*VLOOKUP('Données projet'!$B$20,Paramètres!$A$1:$I$89,3,0)*0.475*44/12</f>
        <v>9.8893494690565587E-5</v>
      </c>
      <c r="IZ58" s="22">
        <f t="shared" si="89"/>
        <v>34.932582553823082</v>
      </c>
      <c r="JA58" s="74">
        <f>('Scénario référence'!$F$8+'Scénario référence'!$F$9+'Scénario référence'!$B$17+'Scénario référence'!$B$9+'Scénario référence'!$B$10)*70+IF((45+25*(1-EXP(-0.0175*$A58)))&lt;70,'Scénario référence'!$B$16*(45+25*(1-EXP(-0.0175*$A58))),70*'Scénario référence'!$B$16)+IF((32+38*(1-EXP(-0.0175*$A58)))&lt;70,'Scénario référence'!$B$18*(32+38*(1-EXP(-0.0175*$A58))),70*'Scénario référence'!$B$18)</f>
        <v>70</v>
      </c>
      <c r="JB58" s="12">
        <f>IF($A58&gt;30,10,('Scénario référence'!$B$16+'Scénario référence'!$B$17+'Scénario référence'!$B$18+'Scénario référence'!$B$9+'Scénario référence'!$B$10)*$A58*10/30+('Scénario référence'!$F$8+'Scénario référence'!$F$9)*10)</f>
        <v>10</v>
      </c>
      <c r="JC58" s="12">
        <f>VLOOKUP($A58,'Données projet'!$A$356:$I$376,2,0)</f>
        <v>244</v>
      </c>
      <c r="JD58" s="12">
        <f>VLOOKUP($A58,'Données projet'!$A$356:$I$376,9,0)</f>
        <v>11</v>
      </c>
      <c r="JE58" s="12">
        <f t="array" ref="JE58">INDEX(JD:JD,MIN(IF(ISNUMBER(JD58:JD254),ROW(JD58:JD254),"")))</f>
        <v>11</v>
      </c>
      <c r="JF58" s="12">
        <f>IF('Données projet'!$A$356&gt;35,JF57+JE58-JN57,IF($A58&lt;'Données projet'!$A$356,$CQ$205^$A58,IF($A58='Données projet'!$A$356,'Données projet'!$B$356,JF57+JE58-JN57)))</f>
        <v>244.00000000000009</v>
      </c>
      <c r="JG58" s="17">
        <f>JF58*VLOOKUP('Données projet'!$B$21,Paramètres!$A$1:$I$89,3,0)*VLOOKUP('Données projet'!$B$21,Paramètres!$A$1:$I$89,5,0)</f>
        <v>197.9328000000001</v>
      </c>
      <c r="JH58" s="13">
        <f t="shared" si="90"/>
        <v>49.289585385002731</v>
      </c>
      <c r="JI58" s="20">
        <f t="shared" si="91"/>
        <v>430.5789878788799</v>
      </c>
      <c r="JJ58" s="59">
        <f t="shared" si="92"/>
        <v>723.91232121221321</v>
      </c>
      <c r="JK58" s="59">
        <f ca="1">AVERAGE(OFFSET($JJ$3,0,0,'Données projet'!$E$22+1,1))-AVERAGE(OFFSET($H$3,0,0,'Données projet'!$E$22+1,1))</f>
        <v>353.35574633294613</v>
      </c>
      <c r="JL58" s="59">
        <f t="shared" si="93"/>
        <v>170.36796666474726</v>
      </c>
      <c r="JM58" s="15">
        <f>IF(ISNA(VLOOKUP($A58,'Données projet'!$A$356:$I$376,3,0)),0,VLOOKUP($A58,'Données projet'!$A$356:$I$376,3,0))</f>
        <v>7</v>
      </c>
      <c r="JN58" s="15">
        <f>IF(ISNA(VLOOKUP($A58,'Données projet'!$A$356:$I$376,4,0)),0,VLOOKUP($A58,'Données projet'!$A$356:$I$376,4,0))</f>
        <v>28</v>
      </c>
      <c r="JO58" s="16">
        <f>IF(ISNA(VLOOKUP($A58,'Données projet'!$A$356:$I$376,5,0)),0%,VLOOKUP($A58,'Données projet'!$A$356:$I$376,5,0)*VLOOKUP('Données projet'!$B$21,Paramètres!$A$1:$I$89,7,0))</f>
        <v>0</v>
      </c>
      <c r="JP58" s="16">
        <f>IF(ISNA(VLOOKUP($A58,'Données projet'!$A$356:$I$376,6,0)),0%,VLOOKUP($A58,'Données projet'!$A$356:$I$376,6,0)*VLOOKUP('Données projet'!$B$21,Paramètres!$A$1:$I$89,7,0))</f>
        <v>0.129</v>
      </c>
      <c r="JQ58" s="16">
        <f>IF(ISNA(VLOOKUP($A58,'Données projet'!$A$356:$I$376,7,0)),0%,VLOOKUP($A58,'Données projet'!$A$356:$I$376,7,0))</f>
        <v>0.3</v>
      </c>
      <c r="JR58" s="21">
        <f>EXP(-LN(2)/35)*JR57+(1-EXP(-LN(2)/35))/(LN(2)/35)*JN58*JO58*VLOOKUP('Données projet'!$B$21,Paramètres!$A$1:$I$89,3,0)*0.475*44/12</f>
        <v>0</v>
      </c>
      <c r="JS58" s="21">
        <f>EXP(-LN(2)/25)*JS57+(1-EXP(-LN(2)/25))/(LN(2)/25)*Calculateur!JN58*Calculateur!JP58*VLOOKUP('Données projet'!$B$21,Paramètres!$A$1:$I$89,3,0)*0.475*44/12</f>
        <v>6.3048088529600346</v>
      </c>
      <c r="JT58" s="21">
        <f>EXP(-LN(2)/2)*JT57+(1-EXP(-LN(2)/2))/(LN(2)/2)*JN58*JQ58*VLOOKUP('Données projet'!$B$21,Paramètres!$A$1:$I$89,3,0)*0.475*44/12</f>
        <v>7.8096327398143179</v>
      </c>
      <c r="JU58" s="18">
        <f t="shared" si="39"/>
        <v>14.114441592774352</v>
      </c>
      <c r="JV58" s="74">
        <f>('Scénario référence'!$F$8+'Scénario référence'!$F$9+'Scénario référence'!$B$17+'Scénario référence'!$B$9+'Scénario référence'!$B$10)*70+IF((45+25*(1-EXP(-0.0175*$A58)))&lt;70,'Scénario référence'!$B$16*(45+25*(1-EXP(-0.0175*$A58))),70*'Scénario référence'!$B$16)+IF((32+38*(1-EXP(-0.0175*$A58)))&lt;70,'Scénario référence'!$B$18*(32+38*(1-EXP(-0.0175*$A58))),70*'Scénario référence'!$B$18)</f>
        <v>70</v>
      </c>
      <c r="JW58" s="12">
        <f>IF($A58&gt;30,10,('Scénario référence'!$B$16+'Scénario référence'!$B$17+'Scénario référence'!$B$18+'Scénario référence'!$B$9+'Scénario référence'!$B$10)*$A58*10/30+('Scénario référence'!$F$8+'Scénario référence'!$F$9)*10)</f>
        <v>10</v>
      </c>
      <c r="JX58" s="12">
        <f>VLOOKUP($A58,'Données projet'!$A$382:$I$402,2,0)</f>
        <v>198.44230769230768</v>
      </c>
      <c r="JY58" s="12">
        <f>VLOOKUP($A58,'Données projet'!$A$382:$I$402,9,0)</f>
        <v>8.8736263736263741</v>
      </c>
      <c r="JZ58" s="12">
        <f t="array" ref="JZ58">INDEX(JY:JY,MIN(IF(ISNUMBER(JY58:JY254),ROW(JY58:JY254),"")))</f>
        <v>8.8736263736263741</v>
      </c>
      <c r="KA58" s="12">
        <f>IF('Données projet'!$A$382&gt;35,KA57+JZ58-KI57,IF($A58&lt;'Données projet'!$A$382,$CQ$205^$A58,IF($A58='Données projet'!$A$382,'Données projet'!$B$382,KA57+JZ58-KI57)))</f>
        <v>198.44230769230768</v>
      </c>
      <c r="KB58" s="17">
        <f>KA58*VLOOKUP('Données projet'!$B$22,Paramètres!$A$1:$I$89,3,0)*VLOOKUP('Données projet'!$B$22,Paramètres!$A$1:$I$89,5,0)</f>
        <v>133.11509999999998</v>
      </c>
      <c r="KC58" s="13">
        <f t="shared" si="94"/>
        <v>34.715172471450721</v>
      </c>
      <c r="KD58" s="20">
        <f t="shared" si="95"/>
        <v>292.30439122111</v>
      </c>
      <c r="KE58" s="59">
        <f t="shared" si="96"/>
        <v>585.63772455444337</v>
      </c>
      <c r="KF58" s="59">
        <f ca="1">AVERAGE(OFFSET($KE$3,0,0,'Données projet'!$E$22+1,1))-AVERAGE(OFFSET($H$3,0,0,'Données projet'!$E$22+1,1))</f>
        <v>193.91714772848269</v>
      </c>
      <c r="KG58" s="59">
        <f t="shared" si="97"/>
        <v>159.20429420478047</v>
      </c>
      <c r="KH58" s="15">
        <f>IF(ISNA(VLOOKUP($A58,'Données projet'!$A$382:$I$402,3,0)),0,VLOOKUP($A58,'Données projet'!$A$382:$I$402,3,0))</f>
        <v>4</v>
      </c>
      <c r="KI58" s="15">
        <f>IF(ISNA(VLOOKUP($A58,'Données projet'!$A$382:$I$402,4,0)),0,VLOOKUP($A58,'Données projet'!$A$382:$I$402,4,0))</f>
        <v>45.147435897435898</v>
      </c>
      <c r="KJ58" s="16">
        <f>IF(ISNA(VLOOKUP($A58,'Données projet'!$A$382:$I$402,5,0)),0%,VLOOKUP($A58,'Données projet'!$A$382:$I$402,5,0)*VLOOKUP('Données projet'!$B$22,Paramètres!$A$1:$I$89,7,0))</f>
        <v>0</v>
      </c>
      <c r="KK58" s="16">
        <f>IF(ISNA(VLOOKUP($A58,'Données projet'!$A$382:$I$402,6,0)),0%,VLOOKUP($A58,'Données projet'!$A$382:$I$402,6,0)*VLOOKUP('Données projet'!$B$22,Paramètres!$A$1:$I$89,7,0))</f>
        <v>0</v>
      </c>
      <c r="KL58" s="16">
        <f>IF(ISNA(VLOOKUP($A58,'Données projet'!$A$382:$I$402,7,0)),0%,VLOOKUP($A58,'Données projet'!$A$382:$I$402,7,0))</f>
        <v>0</v>
      </c>
      <c r="KM58" s="21">
        <f>EXP(-LN(2)/35)*KM57+(1-EXP(-LN(2)/35))/(LN(2)/35)*KI58*KJ58*VLOOKUP('Données projet'!$B$22,Paramètres!$A$1:$I$89,3,0)*0.475*44/12</f>
        <v>0</v>
      </c>
      <c r="KN58" s="21">
        <f>EXP(-LN(2)/25)*KN57+(1-EXP(-LN(2)/25))/(LN(2)/25)*Calculateur!KI58*Calculateur!KK58*VLOOKUP('Données projet'!$B$22,Paramètres!$A$1:$I$89,3,0)*0.475*44/12</f>
        <v>0</v>
      </c>
      <c r="KO58" s="21">
        <f>EXP(-LN(2)/2)*KO57+(1-EXP(-LN(2)/2))/(LN(2)/2)*KI58*KL58*VLOOKUP('Données projet'!$B$22,Paramètres!$A$1:$I$89,3,0)*0.475*44/12</f>
        <v>0</v>
      </c>
      <c r="KP58" s="22">
        <f t="shared" si="98"/>
        <v>0</v>
      </c>
      <c r="KQ58" s="74">
        <f>('Scénario référence'!$F$8+'Scénario référence'!$F$9+'Scénario référence'!$B$17+'Scénario référence'!$B$9+'Scénario référence'!$B$10)*70+IF((45+25*(1-EXP(-0.0175*$A58)))&lt;70,'Scénario référence'!$B$16*(45+25*(1-EXP(-0.0175*$A58))),70*'Scénario référence'!$B$16)+IF((32+38*(1-EXP(-0.0175*$A58)))&lt;70,'Scénario référence'!$B$18*(32+38*(1-EXP(-0.0175*$A58))),70*'Scénario référence'!$B$18)</f>
        <v>70</v>
      </c>
      <c r="KR58" s="12">
        <f>IF($A58&gt;30,10,('Scénario référence'!$B$16+'Scénario référence'!$B$17+'Scénario référence'!$B$18+'Scénario référence'!$B$9+'Scénario référence'!$B$10)*$A58*10/30+('Scénario référence'!$F$8+'Scénario référence'!$F$9)*10)</f>
        <v>10</v>
      </c>
      <c r="KS58" s="12">
        <f>VLOOKUP($A58,'Données projet'!$A$408:$I$428,2,0)</f>
        <v>232</v>
      </c>
      <c r="KT58" s="12">
        <f>VLOOKUP($A58,'Données projet'!$A$408:$I$428,9,0)</f>
        <v>6</v>
      </c>
      <c r="KU58" s="12">
        <f t="array" ref="KU58">INDEX(KT:KT,MIN(IF(ISNUMBER(KT58:KT254),ROW(KT58:KT254),"")))</f>
        <v>6</v>
      </c>
      <c r="KV58" s="12">
        <f>IF('Données projet'!$A$408&gt;35,KV57+KU58-LD57,IF($A58&lt;'Données projet'!$A$408,$CQ$205^$A58,IF($A58='Données projet'!$A$408,'Données projet'!$B$408,KV57+KU58-LD57)))</f>
        <v>231.99999999999991</v>
      </c>
      <c r="KW58" s="17">
        <f>KV58*VLOOKUP('Données projet'!$B$23,Paramètres!$A$1:$I$89,3,0)*VLOOKUP('Données projet'!$B$23,Paramètres!$A$1:$I$89,5,0)</f>
        <v>202.67519999999993</v>
      </c>
      <c r="KX58" s="13">
        <f t="shared" si="99"/>
        <v>50.33164028531364</v>
      </c>
      <c r="KY58" s="14">
        <f t="shared" si="43"/>
        <v>440.65358016358778</v>
      </c>
      <c r="KZ58" s="59">
        <f t="shared" si="44"/>
        <v>733.98691349692103</v>
      </c>
      <c r="LA58" s="59">
        <f ca="1">AVERAGE(OFFSET($KZ$3,0,0,'Données projet'!$E$23+1,1))-AVERAGE(OFFSET($H$3,0,0,'Données projet'!$E$23+1,1))</f>
        <v>248.33596943633819</v>
      </c>
      <c r="LB58" s="59">
        <f t="shared" si="100"/>
        <v>242.34010522344573</v>
      </c>
      <c r="LC58" s="15">
        <f>IF(ISNA(VLOOKUP($A58,'Données projet'!$A$408:$I$428,3,0)),0,VLOOKUP($A58,'Données projet'!$A$408:$I$428,3,0))</f>
        <v>9</v>
      </c>
      <c r="LD58" s="15">
        <f>IF(ISNA(VLOOKUP($A58,'Données projet'!$A$408:$I$428,4,0)),0,VLOOKUP($A58,'Données projet'!$A$408:$I$428,4,0))</f>
        <v>13</v>
      </c>
      <c r="LE58" s="16">
        <f>IF(ISNA(VLOOKUP($A58,'Données projet'!$A$408:$I$428,5,0)),0%,VLOOKUP($A58,'Données projet'!$A$408:$I$428,5,0)*VLOOKUP('Données projet'!$B$23,Paramètres!$A$1:$I$89,7,0))</f>
        <v>0.33110000000000001</v>
      </c>
      <c r="LF58" s="16">
        <f>IF(ISNA(VLOOKUP($A58,'Données projet'!$A$408:$I$428,6,0)),0%,VLOOKUP($A58,'Données projet'!$A$408:$I$428,6,0)*VLOOKUP('Données projet'!$B$23,Paramètres!$A$1:$I$89,7,0))</f>
        <v>6.4500000000000002E-2</v>
      </c>
      <c r="LG58" s="16">
        <f>IF(ISNA(VLOOKUP($A58,'Données projet'!$A$408:$I$428,7,0)),0%,VLOOKUP($A58,'Données projet'!$A$408:$I$428,7,0))</f>
        <v>0</v>
      </c>
      <c r="LH58" s="21">
        <f>EXP(-LN(2)/35)*LH57+(1-EXP(-LN(2)/35))/(LN(2)/35)*LD58*LE58*VLOOKUP('Données projet'!$B$23,Paramètres!$A$1:$I$89,3,0)*0.475*44/12</f>
        <v>18.179542201787449</v>
      </c>
      <c r="LI58" s="21">
        <f>EXP(-LN(2)/25)*LI57+(1-EXP(-LN(2)/25))/(LN(2)/25)*Calculateur!LD58*Calculateur!LF58*VLOOKUP('Données projet'!$B$23,Paramètres!$A$1:$I$89,3,0)*0.475*44/12</f>
        <v>11.643089474617332</v>
      </c>
      <c r="LJ58" s="21">
        <f>EXP(-LN(2)/2)*LJ57+(1-EXP(-LN(2)/2))/(LN(2)/2)*LD58*LG58*VLOOKUP('Données projet'!$B$23,Paramètres!$A$1:$I$89,3,0)*0.475*44/12</f>
        <v>0</v>
      </c>
      <c r="LK58" s="22">
        <f t="shared" si="101"/>
        <v>29.822631676404782</v>
      </c>
      <c r="LL58" s="74">
        <f>('Scénario référence'!$F$8+'Scénario référence'!$F$9+'Scénario référence'!$B$17+'Scénario référence'!$B$9+'Scénario référence'!$B$10)*70+IF((45+25*(1-EXP(-0.0175*$A58)))&lt;70,'Scénario référence'!$B$16*(45+25*(1-EXP(-0.0175*$A58))),70*'Scénario référence'!$B$16)+IF((32+38*(1-EXP(-0.0175*$A58)))&lt;70,'Scénario référence'!$B$18*(32+38*(1-EXP(-0.0175*$A58))),70*'Scénario référence'!$B$18)</f>
        <v>70</v>
      </c>
      <c r="LM58" s="12">
        <f>IF($A58&gt;30,10,('Scénario référence'!$B$16+'Scénario référence'!$B$17+'Scénario référence'!$B$18+'Scénario référence'!$B$9+'Scénario référence'!$B$10)*$A58*10/30+('Scénario référence'!$F$8+'Scénario référence'!$F$9)*10)</f>
        <v>10</v>
      </c>
      <c r="LN58" s="12" t="e">
        <f>VLOOKUP($A58,'Données projet'!$A$434:$I$454,2,0)</f>
        <v>#N/A</v>
      </c>
      <c r="LO58" s="12" t="e">
        <f>VLOOKUP($A58,'Données projet'!$A$434:$I$454,9,0)</f>
        <v>#N/A</v>
      </c>
      <c r="LP58" s="12">
        <f t="array" ref="LP58">INDEX(LO:LO,MIN(IF(ISNUMBER(LO58:LO254),ROW(LO58:LO254),"")))</f>
        <v>6.3942307692307701</v>
      </c>
      <c r="LQ58" s="12">
        <f>IF('Données projet'!$A$434&gt;35,LQ57+LP58-LY57,IF($A58&lt;'Données projet'!$A$434,$CQ$205^$A58,IF($A58='Données projet'!$A$434,'Données projet'!$B$434,LQ57+LP58-LY57)))</f>
        <v>133.67948717948715</v>
      </c>
      <c r="LR58" s="17">
        <f>LQ58*VLOOKUP('Données projet'!$B$24,Paramètres!$A$1:$I$89,3,0)*VLOOKUP('Données projet'!$B$24,Paramètres!$A$1:$I$89,5,0)</f>
        <v>135.55099999999999</v>
      </c>
      <c r="LS58" s="13">
        <f t="shared" si="102"/>
        <v>35.275894365560525</v>
      </c>
      <c r="LT58" s="14">
        <f t="shared" si="46"/>
        <v>297.52350768668458</v>
      </c>
      <c r="LU58" s="59">
        <f t="shared" si="103"/>
        <v>590.8568410200179</v>
      </c>
      <c r="LV58" s="59">
        <f ca="1">AVERAGE(OFFSET($LU$3,0,0,'Données projet'!$E$24+1,1))-AVERAGE(OFFSET($H$3,0,0,'Données projet'!$E$24+1,1))</f>
        <v>260.52627655062872</v>
      </c>
      <c r="LW58" s="59">
        <f t="shared" si="104"/>
        <v>159.20429420478047</v>
      </c>
      <c r="LX58" s="15">
        <f>IF(ISNA(VLOOKUP($A58,'Données projet'!$A$434:$I$454,3,0)),0,VLOOKUP($A58,'Données projet'!$A$434:$I$454,3,0))</f>
        <v>0</v>
      </c>
      <c r="LY58" s="15">
        <f>IF(ISNA(VLOOKUP($A58,'Données projet'!$A$434:$I$454,4,0)),0,VLOOKUP($A58,'Données projet'!$A$434:$I$454,4,0))</f>
        <v>0</v>
      </c>
      <c r="LZ58" s="16">
        <f>IF(ISNA(VLOOKUP($A58,'Données projet'!$A$434:$I$454,5,0)),0%,VLOOKUP($A58,'Données projet'!$A$434:$I$454,5,0)*VLOOKUP('Données projet'!$B$24,Paramètres!$A$1:$I$89,7,0))</f>
        <v>0</v>
      </c>
      <c r="MA58" s="16">
        <f>IF(ISNA(VLOOKUP($A58,'Données projet'!$A$434:$I$454,6,0)),0%,VLOOKUP($A58,'Données projet'!$A$434:$I$454,6,0)*VLOOKUP('Données projet'!$B$24,Paramètres!$A$1:$I$89,7,0))</f>
        <v>0</v>
      </c>
      <c r="MB58" s="16">
        <f>IF(ISNA(VLOOKUP($A58,'Données projet'!$A$434:$I$454,7,0)),0%,VLOOKUP($A58,'Données projet'!$A$434:$I$454,7,0))</f>
        <v>0</v>
      </c>
      <c r="MC58" s="21">
        <f>EXP(-LN(2)/35)*MC57+(1-EXP(-LN(2)/35))/(LN(2)/35)*LY58*LZ58*VLOOKUP('Données projet'!$B$24,Paramètres!$A$1:$I$89,3,0)*0.475*44/12</f>
        <v>0</v>
      </c>
      <c r="MD58" s="21">
        <f>EXP(-LN(2)/25)*MD57+(1-EXP(-LN(2)/25))/(LN(2)/25)*Calculateur!LY58*Calculateur!MA58*VLOOKUP('Données projet'!$B$24,Paramètres!$A$1:$I$89,3,0)*0.475*44/12</f>
        <v>0</v>
      </c>
      <c r="ME58" s="21">
        <f>EXP(-LN(2)/2)*ME57+(1-EXP(-LN(2)/2))/(LN(2)/2)*LY58*MB58*VLOOKUP('Données projet'!$B$24,Paramètres!$A$1:$I$89,3,0)*0.475*44/12</f>
        <v>0</v>
      </c>
      <c r="MF58" s="22">
        <f t="shared" si="105"/>
        <v>0</v>
      </c>
      <c r="MG58" s="74">
        <f>('Scénario référence'!$F$8+'Scénario référence'!$F$9+'Scénario référence'!$B$17+'Scénario référence'!$B$9+'Scénario référence'!$B$10)*70+IF((45+25*(1-EXP(-0.0175*$A58)))&lt;70,'Scénario référence'!$B$16*(45+25*(1-EXP(-0.0175*$A58))),70*'Scénario référence'!$B$16)+IF((32+38*(1-EXP(-0.0175*$A58)))&lt;70,'Scénario référence'!$B$18*(32+38*(1-EXP(-0.0175*$A58))),70*'Scénario référence'!$B$18)</f>
        <v>70</v>
      </c>
      <c r="MH58" s="12">
        <f>IF($A58&gt;30,10,('Scénario référence'!$B$16+'Scénario référence'!$B$17+'Scénario référence'!$B$18+'Scénario référence'!$B$9+'Scénario référence'!$B$10)*$A58*10/30+('Scénario référence'!$F$8+'Scénario référence'!$F$9)*10)</f>
        <v>10</v>
      </c>
      <c r="MI58" s="12" t="e">
        <f>VLOOKUP($A58,'Données projet'!$A$460:$I$480,2,0)</f>
        <v>#N/A</v>
      </c>
      <c r="MJ58" s="12" t="e">
        <f>VLOOKUP($A58,'Données projet'!$A$460:$I$480,9,0)</f>
        <v>#N/A</v>
      </c>
      <c r="MK58" s="12">
        <f t="array" ref="MK58">INDEX(MJ:MJ,MIN(IF(ISNUMBER(MJ58:MJ254),ROW(MJ58:MJ254),"")))</f>
        <v>0</v>
      </c>
      <c r="ML58" s="12">
        <f>IF('Données projet'!$A$460&gt;35,ML57+MK58-MT57,IF($A58&lt;'Données projet'!$A$460,$CQ$205^$A58,IF($A58='Données projet'!$A$460,'Données projet'!$B$460,ML57+MK58-MT57)))</f>
        <v>0</v>
      </c>
      <c r="MM58" s="17" t="e">
        <f>ML58*VLOOKUP('Données projet'!$B$25,Paramètres!$A$1:$I$89,3,0)*VLOOKUP('Données projet'!$B$25,Paramètres!$A$1:$I$89,5,0)</f>
        <v>#N/A</v>
      </c>
      <c r="MN58" s="13" t="e">
        <f t="shared" si="106"/>
        <v>#N/A</v>
      </c>
      <c r="MO58" s="14" t="e">
        <f t="shared" si="49"/>
        <v>#N/A</v>
      </c>
      <c r="MP58" s="59" t="e">
        <f t="shared" si="50"/>
        <v>#N/A</v>
      </c>
      <c r="MQ58" s="20" t="e">
        <f ca="1">AVERAGE(OFFSET($MP$3,0,0,'Données projet'!$E$25+1,1))-AVERAGE(OFFSET($H$3,0,0,'Données projet'!$E$25+1,1))</f>
        <v>#N/A</v>
      </c>
      <c r="MR58" s="59" t="e">
        <f t="shared" si="107"/>
        <v>#N/A</v>
      </c>
      <c r="MS58" s="15">
        <f>IF(ISNA(VLOOKUP($A58,'Données projet'!$A$460:$I$480,3,0)),0,VLOOKUP($A58,'Données projet'!$A$460:$I$480,3,0))</f>
        <v>0</v>
      </c>
      <c r="MT58" s="15">
        <f>IF(ISNA(VLOOKUP($A58,'Données projet'!$A$460:$I$480,4,0)),0,VLOOKUP($A58,'Données projet'!$A$460:$I$480,4,0))</f>
        <v>0</v>
      </c>
      <c r="MU58" s="16">
        <f>IF(ISNA(VLOOKUP($A58,'Données projet'!$A$460:$I$480,5,0)),0%,VLOOKUP($A58,'Données projet'!$A$460:$I$480,5,0)*VLOOKUP('Données projet'!$B$25,Paramètres!$A$1:$I$89,7,0))</f>
        <v>0</v>
      </c>
      <c r="MV58" s="16">
        <f>IF(ISNA(VLOOKUP($A58,'Données projet'!$A$460:$I$480,6,0)),0%,VLOOKUP($A58,'Données projet'!$A$460:$I$480,6,0)*VLOOKUP('Données projet'!$B$25,Paramètres!$A$1:$I$89,7,0))</f>
        <v>0</v>
      </c>
      <c r="MW58" s="16">
        <f>IF(ISNA(VLOOKUP($A58,'Données projet'!$A$460:$I$480,7,0)),0%,VLOOKUP($A58,'Données projet'!$A$460:$I$480,7,0))</f>
        <v>0</v>
      </c>
      <c r="MX58" s="21" t="e">
        <f>EXP(-LN(2)/35)*MX57+(1-EXP(-LN(2)/35))/(LN(2)/35)*MT58*MU58*VLOOKUP('Données projet'!$B$25,Paramètres!$A$1:$I$89,3,0)*0.475*44/12</f>
        <v>#N/A</v>
      </c>
      <c r="MY58" s="21" t="e">
        <f>EXP(-LN(2)/25)*MY57+(1-EXP(-LN(2)/25))/(LN(2)/25)*Calculateur!MT58*Calculateur!MV58*VLOOKUP('Données projet'!$B$25,Paramètres!$A$1:$I$89,3,0)*0.475*44/12</f>
        <v>#N/A</v>
      </c>
      <c r="MZ58" s="21" t="e">
        <f>EXP(-LN(2)/2)*MZ57+(1-EXP(-LN(2)/2))/(LN(2)/2)*MT58*MW58*VLOOKUP('Données projet'!$B$25,Paramètres!$A$1:$I$89,3,0)*0.475*44/12</f>
        <v>#N/A</v>
      </c>
      <c r="NA58" s="22" t="e">
        <f t="shared" si="108"/>
        <v>#N/A</v>
      </c>
      <c r="NB58" s="74">
        <f>('Scénario référence'!$F$8+'Scénario référence'!$F$9+'Scénario référence'!$B$17+'Scénario référence'!$B$9+'Scénario référence'!$B$10)*70+IF((45+25*(1-EXP(-0.0175*$A58)))&lt;70,'Scénario référence'!$B$16*(45+25*(1-EXP(-0.0175*$A58))),70*'Scénario référence'!$B$16)+IF((32+38*(1-EXP(-0.0175*$A58)))&lt;70,'Scénario référence'!$B$18*(32+38*(1-EXP(-0.0175*$A58))),70*'Scénario référence'!$B$18)</f>
        <v>70</v>
      </c>
      <c r="NC58" s="12">
        <f>IF($A58&gt;30,10,('Scénario référence'!$B$16+'Scénario référence'!$B$17+'Scénario référence'!$B$18+'Scénario référence'!$B$9+'Scénario référence'!$B$10)*$A58*10/30+('Scénario référence'!$F$8+'Scénario référence'!$F$9)*10)</f>
        <v>10</v>
      </c>
      <c r="ND58" s="12" t="e">
        <f>VLOOKUP($A58,'Données projet'!$A$486:$I$506,2,0)</f>
        <v>#N/A</v>
      </c>
      <c r="NE58" s="12" t="e">
        <f>VLOOKUP($A58,'Données projet'!$A$486:$I$506,9,0)</f>
        <v>#N/A</v>
      </c>
      <c r="NF58" s="12">
        <f t="array" ref="NF58">INDEX(NE:NE,MIN(IF(ISNUMBER(NE58:NE254),ROW(NE58:NE254),"")))</f>
        <v>0</v>
      </c>
      <c r="NG58" s="12">
        <f>IF('Données projet'!$A$486&gt;35,NG57+NF58-NO57,IF($A58&lt;'Données projet'!$A$486,$CQ$205^$A58,IF($A58='Données projet'!$A$486,'Données projet'!$B$486,NG57+NF58-NO57)))</f>
        <v>0</v>
      </c>
      <c r="NH58" s="17" t="e">
        <f>NG58*VLOOKUP('Données projet'!$B$26,Paramètres!$A$1:$I$89,3,0)*VLOOKUP('Données projet'!$B$26,Paramètres!$A$1:$I$89,5,0)</f>
        <v>#N/A</v>
      </c>
      <c r="NI58" s="13" t="e">
        <f t="shared" si="109"/>
        <v>#N/A</v>
      </c>
      <c r="NJ58" s="14" t="e">
        <f t="shared" si="52"/>
        <v>#N/A</v>
      </c>
      <c r="NK58" s="59" t="e">
        <f t="shared" si="53"/>
        <v>#N/A</v>
      </c>
      <c r="NL58" s="20" t="e">
        <f ca="1">AVERAGE(OFFSET($NK$3,0,0,'Données projet'!$E$26+1,1))-AVERAGE(OFFSET($H$3,0,0,'Données projet'!$E$26+1,1))</f>
        <v>#N/A</v>
      </c>
      <c r="NM58" s="59" t="e">
        <f t="shared" si="110"/>
        <v>#N/A</v>
      </c>
      <c r="NN58" s="15">
        <f>IF(ISNA(VLOOKUP($A58,'Données projet'!$A$486:$I$506,3,0)),0,VLOOKUP($A58,'Données projet'!$A$486:$I$506,3,0))</f>
        <v>0</v>
      </c>
      <c r="NO58" s="15">
        <f>IF(ISNA(VLOOKUP($A58,'Données projet'!$A$486:$I$506,4,0)),0,VLOOKUP($A58,'Données projet'!$A$486:$I$506,4,0))</f>
        <v>0</v>
      </c>
      <c r="NP58" s="16">
        <f>IF(ISNA(VLOOKUP($A58,'Données projet'!$A$486:$I$506,5,0)),0%,VLOOKUP($A58,'Données projet'!$A$486:$I$506,5,0)*VLOOKUP('Données projet'!$B$26,Paramètres!$A$1:$I$89,7,0))</f>
        <v>0</v>
      </c>
      <c r="NQ58" s="16">
        <f>IF(ISNA(VLOOKUP($A58,'Données projet'!$A$486:$I$506,6,0)),0%,VLOOKUP($A58,'Données projet'!$A$486:$I$506,6,0)*VLOOKUP('Données projet'!$B$26,Paramètres!$A$1:$I$89,7,0))</f>
        <v>0</v>
      </c>
      <c r="NR58" s="16">
        <f>IF(ISNA(VLOOKUP($A58,'Données projet'!$A$486:$I$506,7,0)),0%,VLOOKUP($A58,'Données projet'!$A$486:$I$506,7,0))</f>
        <v>0</v>
      </c>
      <c r="NS58" s="21" t="e">
        <f>EXP(-LN(2)/35)*NS57+(1-EXP(-LN(2)/35))/(LN(2)/35)*NO58*NP58*VLOOKUP('Données projet'!$B$26,Paramètres!$A$1:$I$89,3,0)*0.475*44/12</f>
        <v>#N/A</v>
      </c>
      <c r="NT58" s="21" t="e">
        <f>EXP(-LN(2)/25)*NT57+(1-EXP(-LN(2)/25))/(LN(2)/25)*Calculateur!NO58*Calculateur!NQ58*VLOOKUP('Données projet'!$B$26,Paramètres!$A$1:$I$89,3,0)*0.475*44/12</f>
        <v>#N/A</v>
      </c>
      <c r="NU58" s="21" t="e">
        <f>EXP(-LN(2)/2)*NU57+(1-EXP(-LN(2)/2))/(LN(2)/2)*NO58*NR58*VLOOKUP('Données projet'!$B$26,Paramètres!$A$1:$I$89,3,0)*0.475*44/12</f>
        <v>#N/A</v>
      </c>
      <c r="NV58" s="22" t="e">
        <f t="shared" si="111"/>
        <v>#N/A</v>
      </c>
      <c r="NW58" s="74">
        <f>('Scénario référence'!$F$8+'Scénario référence'!$F$9+'Scénario référence'!$B$17+'Scénario référence'!$B$9+'Scénario référence'!$B$10)*70+IF((45+25*(1-EXP(-0.0175*$A58)))&lt;70,'Scénario référence'!$B$16*(45+25*(1-EXP(-0.0175*$A58))),70*'Scénario référence'!$B$16)+IF((32+38*(1-EXP(-0.0175*$A58)))&lt;70,'Scénario référence'!$B$18*(32+38*(1-EXP(-0.0175*$A58))),70*'Scénario référence'!$B$18)</f>
        <v>70</v>
      </c>
      <c r="NX58" s="12">
        <f>IF($A58&gt;30,10,('Scénario référence'!$B$16+'Scénario référence'!$B$17+'Scénario référence'!$B$18+'Scénario référence'!$B$9+'Scénario référence'!$B$10)*$A58*10/30+('Scénario référence'!$F$8+'Scénario référence'!$F$9)*10)</f>
        <v>10</v>
      </c>
      <c r="NY58" s="12" t="e">
        <f>VLOOKUP($A58,'Données projet'!$A$512:$I$532,2,0)</f>
        <v>#N/A</v>
      </c>
      <c r="NZ58" s="12" t="e">
        <f>VLOOKUP($A58,'Données projet'!$A$512:$I$532,9,0)</f>
        <v>#N/A</v>
      </c>
      <c r="OA58" s="12">
        <f t="array" ref="OA58">INDEX(NZ:NZ,MIN(IF(ISNUMBER(NZ58:NZ254),ROW(NZ58:NZ254),"")))</f>
        <v>0</v>
      </c>
      <c r="OB58" s="12">
        <f>IF('Données projet'!$A$512&gt;35,OB57+OA58-OJ57,IF($A58&lt;'Données projet'!$A$512,$CQ$205^$A58,IF($A58='Données projet'!$A$512,'Données projet'!$B$512,OB57+OA58-OJ57)))</f>
        <v>0</v>
      </c>
      <c r="OC58" s="17" t="e">
        <f>OB58*VLOOKUP('Données projet'!$B$27,Paramètres!$A$1:$I$89,3,0)*VLOOKUP('Données projet'!$B$27,Paramètres!$A$1:$I$89,5,0)</f>
        <v>#N/A</v>
      </c>
      <c r="OD58" s="13" t="e">
        <f t="shared" si="112"/>
        <v>#N/A</v>
      </c>
      <c r="OE58" s="14" t="e">
        <f t="shared" si="55"/>
        <v>#N/A</v>
      </c>
      <c r="OF58" s="59" t="e">
        <f t="shared" si="56"/>
        <v>#N/A</v>
      </c>
      <c r="OG58" s="20" t="e">
        <f ca="1">AVERAGE(OFFSET($OF$3,0,0,'Données projet'!$E$27+1,1))-AVERAGE(OFFSET($H$3,0,0,'Données projet'!$E$27+1,1))</f>
        <v>#N/A</v>
      </c>
      <c r="OH58" s="59" t="e">
        <f t="shared" si="113"/>
        <v>#N/A</v>
      </c>
      <c r="OI58" s="15">
        <f>IF(ISNA(VLOOKUP($A58,'Données projet'!$A$512:$I$532,3,0)),0,VLOOKUP($A58,'Données projet'!$A$512:$I$532,3,0))</f>
        <v>0</v>
      </c>
      <c r="OJ58" s="15">
        <f>IF(ISNA(VLOOKUP($A58,'Données projet'!$A$512:$I$532,4,0)),0,VLOOKUP($A58,'Données projet'!$A$512:$I$532,4,0))</f>
        <v>0</v>
      </c>
      <c r="OK58" s="16">
        <f>IF(ISNA(VLOOKUP($A58,'Données projet'!$A$512:$I$532,5,0)),0%,VLOOKUP($A58,'Données projet'!$A$512:$I$532,5,0)*VLOOKUP('Données projet'!$B$27,Paramètres!$A$1:$I$89,7,0))</f>
        <v>0</v>
      </c>
      <c r="OL58" s="16">
        <f>IF(ISNA(VLOOKUP($A58,'Données projet'!$A$512:$I$532,6,0)),0%,VLOOKUP($A58,'Données projet'!$A$512:$I$532,6,0)*VLOOKUP('Données projet'!$B$27,Paramètres!$A$1:$I$89,7,0))</f>
        <v>0</v>
      </c>
      <c r="OM58" s="16">
        <f>IF(ISNA(VLOOKUP($A58,'Données projet'!$A$512:$I$532,7,0)),0%,VLOOKUP($A58,'Données projet'!$A$512:$I$532,7,0))</f>
        <v>0</v>
      </c>
      <c r="ON58" s="21" t="e">
        <f>EXP(-LN(2)/35)*ON57+(1-EXP(-LN(2)/35))/(LN(2)/35)*OJ58*OK58*VLOOKUP('Données projet'!$B$27,Paramètres!$A$1:$I$89,3,0)*0.475*44/12</f>
        <v>#N/A</v>
      </c>
      <c r="OO58" s="21" t="e">
        <f>EXP(-LN(2)/25)*OO57+(1-EXP(-LN(2)/25))/(LN(2)/25)*Calculateur!OJ58*Calculateur!OL58*VLOOKUP('Données projet'!$B$27,Paramètres!$A$1:$I$89,3,0)*0.475*44/12</f>
        <v>#N/A</v>
      </c>
      <c r="OP58" s="21" t="e">
        <f>EXP(-LN(2)/2)*OP57+(1-EXP(-LN(2)/2))/(LN(2)/2)*OJ58*OM58*VLOOKUP('Données projet'!$B$27,Paramètres!$A$1:$I$89,3,0)*0.475*44/12</f>
        <v>#N/A</v>
      </c>
      <c r="OQ58" s="22" t="e">
        <f t="shared" si="114"/>
        <v>#N/A</v>
      </c>
      <c r="OR58" s="74">
        <f>('Scénario référence'!$F$8+'Scénario référence'!$F$9+'Scénario référence'!$B$17+'Scénario référence'!$B$9+'Scénario référence'!$B$10)*70+IF((45+25*(1-EXP(-0.0175*$A58)))&lt;70,'Scénario référence'!$B$16*(45+25*(1-EXP(-0.0175*$A58))),70*'Scénario référence'!$B$16)+IF((32+38*(1-EXP(-0.0175*$A58)))&lt;70,'Scénario référence'!$B$18*(32+38*(1-EXP(-0.0175*$A58))),70*'Scénario référence'!$B$18)</f>
        <v>70</v>
      </c>
      <c r="OS58" s="12">
        <f>IF($A58&gt;30,10,('Scénario référence'!$B$16+'Scénario référence'!$B$17+'Scénario référence'!$B$18+'Scénario référence'!$B$9+'Scénario référence'!$B$10)*$A58*10/30+('Scénario référence'!$F$8+'Scénario référence'!$F$9)*10)</f>
        <v>10</v>
      </c>
      <c r="OT58" s="12" t="e">
        <f>VLOOKUP($A58,'Données projet'!$A$538:$I$558,2,0)</f>
        <v>#N/A</v>
      </c>
      <c r="OU58" s="12" t="e">
        <f>VLOOKUP($A58,'Données projet'!$A$538:$I$558,9,0)</f>
        <v>#N/A</v>
      </c>
      <c r="OV58" s="12">
        <f t="array" ref="OV58">INDEX(OU:OU,MIN(IF(ISNUMBER(OU58:OU254),ROW(OU58:OU254),"")))</f>
        <v>0</v>
      </c>
      <c r="OW58" s="12">
        <f>IF('Données projet'!$A$538&gt;35,OW57+OV58-PE57,IF($A58&lt;'Données projet'!$A$538,$CQ$205^$A58,IF($A58='Données projet'!$A$538,'Données projet'!$B$538,OW57+OV58-PE57)))</f>
        <v>0</v>
      </c>
      <c r="OX58" s="17" t="e">
        <f>OW58*VLOOKUP('Données projet'!$B$28,Paramètres!$A$1:$I$89,3,0)*VLOOKUP('Données projet'!$B$28,Paramètres!$A$1:$I$89,5,0)</f>
        <v>#N/A</v>
      </c>
      <c r="OY58" s="13" t="e">
        <f t="shared" si="115"/>
        <v>#N/A</v>
      </c>
      <c r="OZ58" s="14" t="e">
        <f t="shared" si="58"/>
        <v>#N/A</v>
      </c>
      <c r="PA58" s="59" t="e">
        <f t="shared" si="59"/>
        <v>#N/A</v>
      </c>
      <c r="PB58" s="20" t="e">
        <f ca="1">AVERAGE(OFFSET($PA$3,0,0,'Données projet'!$E$28+1,1))-AVERAGE(OFFSET($H$3,0,0,'Données projet'!$E$28+1,1))</f>
        <v>#N/A</v>
      </c>
      <c r="PC58" s="59" t="e">
        <f t="shared" si="116"/>
        <v>#N/A</v>
      </c>
      <c r="PD58" s="15">
        <f>IF(ISNA(VLOOKUP($A58,'Données projet'!$A$538:$I$558,3,0)),0,VLOOKUP($A58,'Données projet'!$A$538:$I$558,3,0))</f>
        <v>0</v>
      </c>
      <c r="PE58" s="15">
        <f>IF(ISNA(VLOOKUP($A58,'Données projet'!$A$538:$I$558,4,0)),0,VLOOKUP($A58,'Données projet'!$A$538:$I$558,4,0))</f>
        <v>0</v>
      </c>
      <c r="PF58" s="16">
        <f>IF(ISNA(VLOOKUP($A58,'Données projet'!$A$538:$I$558,5,0)),0%,VLOOKUP($A58,'Données projet'!$A$538:$I$558,5,0)*VLOOKUP('Données projet'!$B$28,Paramètres!$A$1:$I$89,7,0))</f>
        <v>0</v>
      </c>
      <c r="PG58" s="16">
        <f>IF(ISNA(VLOOKUP($A58,'Données projet'!$A$538:$I$558,6,0)),0%,VLOOKUP($A58,'Données projet'!$A$538:$I$558,6,0)*VLOOKUP('Données projet'!$B$28,Paramètres!$A$1:$I$89,7,0))</f>
        <v>0</v>
      </c>
      <c r="PH58" s="16">
        <f>IF(ISNA(VLOOKUP($A58,'Données projet'!$A$538:$I$558,7,0)),0%,VLOOKUP($A58,'Données projet'!$A$538:$I$558,7,0))</f>
        <v>0</v>
      </c>
      <c r="PI58" s="21" t="e">
        <f>EXP(-LN(2)/35)*PI57+(1-EXP(-LN(2)/35))/(LN(2)/35)*PE58*PF58*VLOOKUP('Données projet'!$B$28,Paramètres!$A$1:$I$89,3,0)*0.475*44/12</f>
        <v>#N/A</v>
      </c>
      <c r="PJ58" s="21" t="e">
        <f>EXP(-LN(2)/25)*PJ57+(1-EXP(-LN(2)/25))/(LN(2)/25)*Calculateur!PE58*Calculateur!PG58*VLOOKUP('Données projet'!$B$28,Paramètres!$A$1:$I$89,3,0)*0.475*44/12</f>
        <v>#N/A</v>
      </c>
      <c r="PK58" s="21" t="e">
        <f>EXP(-LN(2)/2)*PK57+(1-EXP(-LN(2)/2))/(LN(2)/2)*PE58*PH58*VLOOKUP('Données projet'!$B$28,Paramètres!$A$1:$I$89,3,0)*0.475*44/12</f>
        <v>#N/A</v>
      </c>
      <c r="PL58" s="22" t="e">
        <f t="shared" si="117"/>
        <v>#N/A</v>
      </c>
    </row>
    <row r="59" spans="1:428" x14ac:dyDescent="0.35">
      <c r="A59" s="10">
        <f t="shared" si="6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6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projet'!$A$45:$I$65,2,0)</f>
        <v>#N/A</v>
      </c>
      <c r="L59" s="12" t="e">
        <f>VLOOKUP(A59,'Données projet'!$A$45:$I$65,9,0)</f>
        <v>#N/A</v>
      </c>
      <c r="M59" s="12">
        <f t="array" ref="M59">INDEX(L:L,MIN(IF(ISNUMBER(L59:L255),ROW(L59:L255),"")))</f>
        <v>0</v>
      </c>
      <c r="N59" s="13">
        <f>IF('Données projet'!$A$46&gt;35,N58+M59-V58,IF(A59&lt;'Données projet'!$A$46,$K$205^A59,IF(A59='Données projet'!$A$46,'Données projet'!$B$46,N58+M59-V58)))</f>
        <v>-1.1368683772161603E-13</v>
      </c>
      <c r="O59" s="13">
        <f>N59*VLOOKUP('Données projet'!$B$9,Paramètres!$A$1:$I$89,3,0)*VLOOKUP('Données projet'!$B$9,Paramètres!$A$1:$I$89,5,0)</f>
        <v>-6.3550942286383367E-14</v>
      </c>
      <c r="P59" s="13" t="e">
        <f t="shared" si="63"/>
        <v>#NUM!</v>
      </c>
      <c r="Q59" s="20" t="e">
        <f t="shared" si="118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274.57619581652199</v>
      </c>
      <c r="T59" s="59">
        <f t="shared" si="64"/>
        <v>366.15117322598775</v>
      </c>
      <c r="U59" s="15">
        <f>IF(ISNA(VLOOKUP(A59,'Données projet'!$A$45:$I$65,3,0)),0,VLOOKUP(A59,'Données projet'!$A$45:$I$65,3,0))</f>
        <v>0</v>
      </c>
      <c r="V59" s="15">
        <f>IF(ISNA(VLOOKUP(A59,'Données projet'!$A$45:$I$65,4,0)),0,VLOOKUP(A59,'Données projet'!$A$45:$I$65,4,0))</f>
        <v>0</v>
      </c>
      <c r="W59" s="16">
        <f>IF(ISNA(VLOOKUP(A59,'Données projet'!$A$45:$I$65,5,0)),0%,VLOOKUP(A59,'Données projet'!$A$45:$I$65,5,0)*VLOOKUP('Données projet'!$B$9,Paramètres!$A$1:$I$89,7,0))</f>
        <v>0</v>
      </c>
      <c r="X59" s="16">
        <f>IF(ISNA(VLOOKUP(A59,'Données projet'!$A$45:$I$65,6,0)),0%,VLOOKUP(A59,'Données projet'!$A$45:$I$65,6,0)*VLOOKUP('Données projet'!$B$9,Paramètres!$A$1:$I$89,7,0))</f>
        <v>0</v>
      </c>
      <c r="Y59" s="16">
        <f>IF(ISNA(VLOOKUP(A59,'Données projet'!$A$45:$I$65,7,0)),0%,VLOOKUP(A59,'Données projet'!$A$45:$I$65,7,0))</f>
        <v>0</v>
      </c>
      <c r="Z59" s="21">
        <f>EXP(-LN(2)/35)*Z58+(1-EXP(-LN(2)/35))/(LN(2)/35)*V59*W59*VLOOKUP('Données projet'!$B$9,Paramètres!$A$1:$I$89,3,0)*0.475*44/12</f>
        <v>222.21247483244866</v>
      </c>
      <c r="AA59" s="21">
        <f>EXP(-LN(2)/25)*AA58+(1-EXP(-LN(2)/25))/(LN(2)/25)*Calculateur!V59*Calculateur!X59*VLOOKUP('Données projet'!$B$9,Paramètres!$A$1:$I$89,3,0)*0.475*44/12</f>
        <v>56.032395338567198</v>
      </c>
      <c r="AB59" s="21">
        <f>EXP(-LN(2)/2)*AB58+(1-EXP(-LN(2)/2))/(LN(2)/2)*V59*Y59*VLOOKUP('Données projet'!$B$9,Paramètres!$A$1:$I$89,3,0)*0.475*44/12</f>
        <v>24.155689715483074</v>
      </c>
      <c r="AC59" s="22">
        <f t="shared" si="3"/>
        <v>302.40055988649891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projet'!$A$71:$I$91,2,0)</f>
        <v>#N/A</v>
      </c>
      <c r="AG59" s="12" t="e">
        <f>VLOOKUP(A59,'Données projet'!$A$71:$I$91,9,0)</f>
        <v>#N/A</v>
      </c>
      <c r="AH59" s="12">
        <f t="array" ref="AH59">INDEX(AG:AG,MIN(IF(ISNUMBER(AG59:AG255),ROW(AG59:AG255),"")))</f>
        <v>8.374198717948719</v>
      </c>
      <c r="AI59" s="13">
        <f>IF('Données projet'!$A$72&gt;35,AI58+AH59-AQ58,IF(A59&lt;'Données projet'!$A$72,$AF$205^A59,IF(A59='Données projet'!$A$72,'Données projet'!$B$72,AI58+AH59-AQ58)))</f>
        <v>161.66907051282055</v>
      </c>
      <c r="AJ59" s="13">
        <f>AI59*VLOOKUP('Données projet'!$B$10,Paramètres!$A$1:$I$89,3,0)*VLOOKUP('Données projet'!$B$10,Paramètres!$A$1:$I$89,5,0)</f>
        <v>146.27817500000003</v>
      </c>
      <c r="AK59" s="13">
        <f t="shared" si="65"/>
        <v>37.731554716297467</v>
      </c>
      <c r="AL59" s="20">
        <f t="shared" si="4"/>
        <v>320.48361258921813</v>
      </c>
      <c r="AM59" s="59">
        <f t="shared" si="5"/>
        <v>613.81694592255144</v>
      </c>
      <c r="AN59" s="59">
        <f ca="1">AVERAGE(OFFSET($AM$3,0,0,'Données projet'!$E$10+1,1))-AVERAGE(OFFSET($H$3,0,0,'Données projet'!$E$10+1,1))</f>
        <v>270.87836509222456</v>
      </c>
      <c r="AO59" s="59">
        <f t="shared" si="66"/>
        <v>205.24998237949734</v>
      </c>
      <c r="AP59" s="15">
        <f>IF(ISNA(VLOOKUP(A59,'Données projet'!$A$71:$I$91,3,0)),0,VLOOKUP(A59,'Données projet'!$A$71:$I$91,3,0))</f>
        <v>0</v>
      </c>
      <c r="AQ59" s="15">
        <f>IF(ISNA(VLOOKUP(A59,'Données projet'!$A$71:$I$91,4,0)),0,VLOOKUP(A59,'Données projet'!$A$71:$I$91,4,0))</f>
        <v>0</v>
      </c>
      <c r="AR59" s="16">
        <f>IF(ISNA(VLOOKUP(A59,'Données projet'!$A$71:$I$91,5,0)),0%,VLOOKUP(A59,'Données projet'!$A$71:$I$91,5,0)*VLOOKUP('Données projet'!$B$10,Paramètres!$A$1:$I$89,7,0))</f>
        <v>0</v>
      </c>
      <c r="AS59" s="16">
        <f>IF(ISNA(VLOOKUP(A59,'Données projet'!$A$71:$I$91,6,0)),0%,VLOOKUP(A59,'Données projet'!$A$71:$I$91,6,0)*VLOOKUP('Données projet'!$B$10,Paramètres!$A$1:$I$89,7,0))</f>
        <v>0</v>
      </c>
      <c r="AT59" s="16">
        <f>IF(ISNA(VLOOKUP(A59,'Données projet'!$A$71:$I$91,7,0)),0%,VLOOKUP(A59,'Données projet'!$A$71:$I$91,7,0))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projet'!$A$97:$I$117,2,0)</f>
        <v>#N/A</v>
      </c>
      <c r="BB59" s="12" t="e">
        <f>VLOOKUP(A59,'Données projet'!$A$97:$I$117,9,0)</f>
        <v>#N/A</v>
      </c>
      <c r="BC59" s="12">
        <f t="array" ref="BC59">INDEX(BB:BB,MIN(IF(ISNUMBER(BB59:BB255),ROW(BB59:BB255),"")))</f>
        <v>0</v>
      </c>
      <c r="BD59" s="12">
        <f>IF('Données projet'!$A$98&gt;35,BD58+BC59-BL58,IF(A59&lt;'Données projet'!$A$98,$BA$205^A59,IF(A59='Données projet'!$A$98,'Données projet'!$B$98,BD58+BC59-BL58)))</f>
        <v>-1.1368683772161603E-13</v>
      </c>
      <c r="BE59" s="13">
        <f>BD59*VLOOKUP('Données projet'!$B$11,Paramètres!$A$1:$I$89,3,0)*VLOOKUP('Données projet'!$B$11,Paramètres!$A$1:$I$89,5,0)</f>
        <v>-5.0249582272954292E-14</v>
      </c>
      <c r="BF59" s="13" t="e">
        <f t="shared" si="6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211.31057120485542</v>
      </c>
      <c r="BJ59" s="59">
        <f t="shared" si="68"/>
        <v>283.33292006714777</v>
      </c>
      <c r="BK59" s="15">
        <f>IF(ISNA(VLOOKUP(A59,'Données projet'!$A$97:$I$117,3,0)),0,VLOOKUP(A59,'Données projet'!$A$97:$I$117,3,0))</f>
        <v>0</v>
      </c>
      <c r="BL59" s="15">
        <f>IF(ISNA(VLOOKUP(A59,'Données projet'!$A$97:$I$117,4,0)),0,VLOOKUP(A59,'Données projet'!$A$97:$I$117,4,0))</f>
        <v>0</v>
      </c>
      <c r="BM59" s="16">
        <f>IF(ISNA(VLOOKUP(A59,'Données projet'!$A$97:$I$117,5,0)),0%,VLOOKUP(A59,'Données projet'!$A$97:$I$117,5,0)*VLOOKUP('Données projet'!$B$11,Paramètres!$A$1:$I$89,7,0))</f>
        <v>0</v>
      </c>
      <c r="BN59" s="16">
        <f>IF(ISNA(VLOOKUP(A59,'Données projet'!$A$97:$I$117,6,0)),0%,VLOOKUP(A59,'Données projet'!$A$97:$I$117,6,0)*VLOOKUP('Données projet'!$B$11,Paramètres!$A$1:$I$89,7,0))</f>
        <v>0</v>
      </c>
      <c r="BO59" s="16">
        <f>IF(ISNA(VLOOKUP(A59,'Données projet'!$A$97:$I$117,7,0)),0%,VLOOKUP(A59,'Données projet'!$A$97:$I$117,7,0))</f>
        <v>0</v>
      </c>
      <c r="BP59" s="21">
        <f>EXP(-LN(2)/35)*BP58+(1-EXP(-LN(2)/35))/(LN(2)/35)*BL59*BM59*VLOOKUP('Données projet'!$B$11,Paramètres!$A$1:$I$89,3,0)*0.475*44/12</f>
        <v>175.70288707681988</v>
      </c>
      <c r="BQ59" s="21">
        <f>EXP(-LN(2)/25)*BQ58+(1-EXP(-LN(2)/25))/(LN(2)/25)*Calculateur!BL59*Calculateur!BN59*VLOOKUP('Données projet'!$B$11,Paramètres!$A$1:$I$89,3,0)*0.475*44/12</f>
        <v>44.304684686308953</v>
      </c>
      <c r="BR59" s="21">
        <f>EXP(-LN(2)/2)*BR58+(1-EXP(-LN(2)/2))/(LN(2)/2)*BL59*BO59*VLOOKUP('Données projet'!$B$11,Paramètres!$A$1:$I$89,3,0)*0.475*44/12</f>
        <v>19.099847682009873</v>
      </c>
      <c r="BS59" s="22">
        <f t="shared" si="9"/>
        <v>239.1074194451387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projet'!$A$123:$I$143,2,0)</f>
        <v>#N/A</v>
      </c>
      <c r="BW59" s="12" t="e">
        <f>VLOOKUP(A59,'Données projet'!$A$123:$I$143,9,0)</f>
        <v>#N/A</v>
      </c>
      <c r="BX59" s="12">
        <f t="array" ref="BX59">INDEX(BW:BW,MIN(IF(ISNUMBER(BW59:BW255),ROW(BW59:BW255),"")))</f>
        <v>6</v>
      </c>
      <c r="BY59" s="12">
        <f>IF('Données projet'!$A$124&gt;35,BY58+BX59-CG58,IF(A59&lt;'Données projet'!$A$124,$BV$205^A59,IF(A59='Données projet'!$A$124,'Données projet'!$B$124,BY58+BX59-CG58)))</f>
        <v>201.00000000000003</v>
      </c>
      <c r="BZ59" s="13">
        <f>BY59*VLOOKUP('Données projet'!$B$12,Paramètres!$A$1:$I$89,3,0)*VLOOKUP('Données projet'!$B$12,Paramètres!$A$1:$I$89,5,0)</f>
        <v>210.08520000000004</v>
      </c>
      <c r="CA59" s="13">
        <f t="shared" si="69"/>
        <v>51.954203602341138</v>
      </c>
      <c r="CB59" s="20">
        <f t="shared" si="10"/>
        <v>456.38529460741091</v>
      </c>
      <c r="CC59" s="59">
        <f t="shared" si="11"/>
        <v>749.71862794074423</v>
      </c>
      <c r="CD59" s="59">
        <f ca="1">AVERAGE(OFFSET($CC$3,0,0,'Données projet'!$E$12+1,1))-AVERAGE(OFFSET($H$3,0,0,'Données projet'!$E$12+1,1))</f>
        <v>322.93502595881938</v>
      </c>
      <c r="CE59" s="59">
        <f t="shared" si="70"/>
        <v>302.67072119588164</v>
      </c>
      <c r="CF59" s="15">
        <f>IF(ISNA(VLOOKUP(A59,'Données projet'!$A$123:$I$143,3,0)),0,VLOOKUP(A59,'Données projet'!$A$123:$I$143,3,0))</f>
        <v>0</v>
      </c>
      <c r="CG59" s="15">
        <f>IF(ISNA(VLOOKUP(A59,'Données projet'!$A$123:$I$143,4,0)),0,VLOOKUP(A59,'Données projet'!$A$123:$I$143,4,0))</f>
        <v>0</v>
      </c>
      <c r="CH59" s="16">
        <f>IF(ISNA(VLOOKUP(A59,'Données projet'!$A$123:$I$143,5,0)),0%,VLOOKUP(A59,'Données projet'!$A$123:$I$143,5,0)*VLOOKUP('Données projet'!$B$12,Paramètres!$A$1:$I$89,7,0))</f>
        <v>0</v>
      </c>
      <c r="CI59" s="16">
        <f>IF(ISNA(VLOOKUP(A59,'Données projet'!$A$123:$I$143,6,0)),0%,VLOOKUP(A59,'Données projet'!$A$123:$I$143,6,0)*VLOOKUP('Données projet'!$B$12,Paramètres!$A$1:$I$89,7,0))</f>
        <v>0</v>
      </c>
      <c r="CJ59" s="16">
        <f>IF(ISNA(VLOOKUP(A59,'Données projet'!$A$123:$I$143,7,0)),0%,VLOOKUP(A59,'Données projet'!$A$123:$I$143,7,0))</f>
        <v>0</v>
      </c>
      <c r="CK59" s="21">
        <f>EXP(-LN(2)/35)*CK58+(1-EXP(-LN(2)/35))/(LN(2)/35)*CG59*CH59*VLOOKUP('Données projet'!$B$12,Paramètres!$A$1:$I$89,3,0)*0.475*44/12</f>
        <v>12.87219729198282</v>
      </c>
      <c r="CL59" s="21">
        <f>EXP(-LN(2)/25)*CL58+(1-EXP(-LN(2)/25))/(LN(2)/25)*Calculateur!CG59*Calculateur!CI59*VLOOKUP('Données projet'!$B$12,Paramètres!$A$1:$I$89,3,0)*0.475*44/12</f>
        <v>20.264521580768957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33.136718872751779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projet'!$A$149:$I$169,2,0)</f>
        <v>#N/A</v>
      </c>
      <c r="CR59" s="12" t="e">
        <f>VLOOKUP(A59,'Données projet'!$A$149:$I$169,9,0)</f>
        <v>#N/A</v>
      </c>
      <c r="CS59" s="12">
        <f t="array" ref="CS59">INDEX(CR:CR,MIN(IF(ISNUMBER(CR59:CR255),ROW(CR59:CR255),"")))</f>
        <v>6.3942307692307701</v>
      </c>
      <c r="CT59" s="12">
        <f>IF('Données projet'!$A$150&gt;35,CT58+CS59-DB58,IF(A59&lt;'Données projet'!$A$150,$CQ$205^A59,IF(A59='Données projet'!$A$150,'Données projet'!$B$150,CT58+CS59-DB58)))</f>
        <v>140.07371794871793</v>
      </c>
      <c r="CU59" s="17">
        <f>CT59*VLOOKUP('Données projet'!$B$13,Paramètres!$A$1:$I$89,3,0)*VLOOKUP('Données projet'!$B$13,Paramètres!$A$1:$I$89,5,0)</f>
        <v>142.03474999999997</v>
      </c>
      <c r="CV59" s="13">
        <f t="shared" si="71"/>
        <v>36.762745973606584</v>
      </c>
      <c r="CW59" s="20">
        <f t="shared" si="13"/>
        <v>311.40563882069802</v>
      </c>
      <c r="CX59" s="59">
        <f t="shared" si="14"/>
        <v>604.73897215403133</v>
      </c>
      <c r="CY59" s="59">
        <f ca="1">AVERAGE(OFFSET($CX$3,0,0,'Données projet'!$E$13+1,1))-AVERAGE(OFFSET($H$3,0,0,'Données projet'!$E$13+1,1))</f>
        <v>250.31277422753283</v>
      </c>
      <c r="CZ59" s="59">
        <f t="shared" si="72"/>
        <v>159.20429420478047</v>
      </c>
      <c r="DA59" s="15">
        <f>IF(ISNA(VLOOKUP(A59,'Données projet'!$A$149:$I$169,3,0)),0,VLOOKUP(A59,'Données projet'!$A$149:$I$169,3,0))</f>
        <v>0</v>
      </c>
      <c r="DB59" s="15">
        <f>IF(ISNA(VLOOKUP(A59,'Données projet'!$A$149:$I$169,4,0)),0,VLOOKUP(A59,'Données projet'!$A$149:$I$169,4,0))</f>
        <v>0</v>
      </c>
      <c r="DC59" s="16">
        <f>IF(ISNA(VLOOKUP(A59,'Données projet'!$A$149:$I$169,5,0)),0%,VLOOKUP(A59,'Données projet'!$A$149:$I$169,5,0)*VLOOKUP('Données projet'!$B$13,Paramètres!$A$1:$I$89,7,0))</f>
        <v>0</v>
      </c>
      <c r="DD59" s="16">
        <f>IF(ISNA(VLOOKUP(A59,'Données projet'!$A$149:$I$169,6,0)),0%,VLOOKUP(A59,'Données projet'!$A$149:$I$169,6,0)*VLOOKUP('Données projet'!$B$13,Paramètres!$A$1:$I$89,7,0))</f>
        <v>0</v>
      </c>
      <c r="DE59" s="16">
        <f>IF(ISNA(VLOOKUP(A59,'Données projet'!$A$149:$I$169,7,0)),0%,VLOOKUP(A59,'Données projet'!$A$149:$I$169,7,0))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0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projet'!$A$175:$I$195,2,0)</f>
        <v>#N/A</v>
      </c>
      <c r="DM59" s="12" t="e">
        <f>VLOOKUP(A59,'Données projet'!$A$175:$I$195,9,0)</f>
        <v>#N/A</v>
      </c>
      <c r="DN59" s="12">
        <f t="array" ref="DN59">INDEX(DM:DM,MIN(IF(ISNUMBER(DM59:DM255),ROW(DM59:DM255),"")))</f>
        <v>7.4</v>
      </c>
      <c r="DO59" s="12">
        <f>IF('Données projet'!$A$176&gt;35,DO58+DN59-DW58,IF(A59&lt;'Données projet'!$A$176,$DL$205^A59,IF(A59='Données projet'!$A$176,'Données projet'!$B$176,DO58+DN59-DW58)))</f>
        <v>313.39999999999981</v>
      </c>
      <c r="DP59" s="17">
        <f>DO59*VLOOKUP('Données projet'!$B$14,Paramètres!$A$1:$I$89,3,0)*VLOOKUP('Données projet'!$B$14,Paramètres!$A$1:$I$89,5,0)</f>
        <v>229.78487999999984</v>
      </c>
      <c r="DQ59" s="13">
        <f t="shared" si="73"/>
        <v>56.236165024777975</v>
      </c>
      <c r="DR59" s="20">
        <f t="shared" si="16"/>
        <v>498.15332008482136</v>
      </c>
      <c r="DS59" s="59">
        <f t="shared" si="17"/>
        <v>791.48665341815467</v>
      </c>
      <c r="DT59" s="59">
        <f ca="1">AVERAGE(OFFSET($DS$3,0,0,'Données projet'!$E$14+1,1))-AVERAGE(OFFSET($H$3,0,0,'Données projet'!$E$14+1,1))</f>
        <v>296.91321813251051</v>
      </c>
      <c r="DU59" s="59">
        <f t="shared" si="74"/>
        <v>291.0718079639509</v>
      </c>
      <c r="DV59" s="15">
        <f>IF(ISNA(VLOOKUP(A59,'Données projet'!$A$175:$I$195,3,0)),0,VLOOKUP(A59,'Données projet'!$A$175:$I$195,3,0))</f>
        <v>0</v>
      </c>
      <c r="DW59" s="15">
        <f>IF(ISNA(VLOOKUP(A59,'Données projet'!$A$175:$I$195,4,0)),0,VLOOKUP(A59,'Données projet'!$A$175:$I$195,4,0))</f>
        <v>0</v>
      </c>
      <c r="DX59" s="16">
        <f>IF(ISNA(VLOOKUP(A59,'Données projet'!$A$175:$I$195,5,0)),0%,VLOOKUP(A59,'Données projet'!$A$175:$I$195,5,0)*VLOOKUP('Données projet'!$B$14,Paramètres!$A$1:$I$89,7,0))</f>
        <v>0</v>
      </c>
      <c r="DY59" s="16">
        <f>IF(ISNA(VLOOKUP(A59,'Données projet'!$A$175:$I$195,6,0)),0%,VLOOKUP(A59,'Données projet'!$A$175:$I$195,6,0)*VLOOKUP('Données projet'!$B$14,Paramètres!$A$1:$I$89,7,0))</f>
        <v>0</v>
      </c>
      <c r="DZ59" s="16">
        <f>IF(ISNA(VLOOKUP(A59,'Données projet'!$A$175:$I$195,7,0)),0%,VLOOKUP(A59,'Données projet'!$A$175:$I$195,7,0))</f>
        <v>0</v>
      </c>
      <c r="EA59" s="21">
        <f>EXP(-LN(2)/35)*EA58+(1-EXP(-LN(2)/35))/(LN(2)/35)*DW59*DX59*VLOOKUP('Données projet'!$B$14,Paramètres!$A$1:$I$89,3,0)*0.475*44/12</f>
        <v>40.096561591324921</v>
      </c>
      <c r="EB59" s="21">
        <f>EXP(-LN(2)/25)*EB58+(1-EXP(-LN(2)/25))/(LN(2)/25)*Calculateur!DW59*Calculateur!DY59*VLOOKUP('Données projet'!$B$14,Paramètres!$A$1:$I$89,3,0)*0.475*44/12</f>
        <v>8.8756228212530139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48.972184412577931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projet'!$A$201:$I$221,2,0)</f>
        <v>#N/A</v>
      </c>
      <c r="EH59" s="12" t="e">
        <f>VLOOKUP(A59,'Données projet'!$A$201:$I$221,9,0)</f>
        <v>#N/A</v>
      </c>
      <c r="EI59" s="12">
        <f t="array" ref="EI59">INDEX(EH:EH,MIN(IF(ISNUMBER(EH59:EH255),ROW(EH59:EH255),"")))</f>
        <v>10.763461538461542</v>
      </c>
      <c r="EJ59" s="12">
        <f>IF('Données projet'!$A$202&gt;35,EJ58+EI59-ER58,IF(A59&lt;'Données projet'!$A$202,$EG$205^A59,IF(A59='Données projet'!$A$202,'Données projet'!$B$202,EJ58+EI59-ER58)))</f>
        <v>275.34807692307686</v>
      </c>
      <c r="EK59" s="17">
        <f>EJ59*VLOOKUP('Données projet'!$B$15,Paramètres!$A$1:$I$89,3,0)*VLOOKUP('Données projet'!$B$15,Paramètres!$A$1:$I$89,5,0)</f>
        <v>128.86289999999997</v>
      </c>
      <c r="EL59" s="13">
        <f t="shared" si="75"/>
        <v>33.733474712413404</v>
      </c>
      <c r="EM59" s="20">
        <f t="shared" si="19"/>
        <v>283.18868595745323</v>
      </c>
      <c r="EN59" s="59">
        <f t="shared" si="20"/>
        <v>576.5220192907866</v>
      </c>
      <c r="EO59" s="59">
        <f ca="1">AVERAGE(OFFSET($EN$3,0,0,'Données projet'!$E$15+1,1))-AVERAGE(OFFSET($H$3,0,0,'Données projet'!$E$15+1,1))</f>
        <v>147.64256291235483</v>
      </c>
      <c r="EP59" s="59">
        <f t="shared" si="76"/>
        <v>70.859031694091868</v>
      </c>
      <c r="EQ59" s="15">
        <f>IF(ISNA(VLOOKUP(A59,'Données projet'!$A$201:$I$221,3,0)),0,VLOOKUP(A59,'Données projet'!$A$201:$I$221,3,0))</f>
        <v>0</v>
      </c>
      <c r="ER59" s="15">
        <f>IF(ISNA(VLOOKUP(A59,'Données projet'!$A$201:$I$221,4,0)),0,VLOOKUP(A59,'Données projet'!$A$201:$I$221,4,0))</f>
        <v>0</v>
      </c>
      <c r="ES59" s="16">
        <f>IF(ISNA(VLOOKUP(A59,'Données projet'!$A$201:$I$221,5,0)),0%,VLOOKUP(A59,'Données projet'!$A$201:$I$221,5,0)*VLOOKUP('Données projet'!$B$15,Paramètres!$A$1:$I$89,7,0))</f>
        <v>0</v>
      </c>
      <c r="ET59" s="16">
        <f>IF(ISNA(VLOOKUP(A59,'Données projet'!$A$201:$I$221,6,0)),0%,VLOOKUP(A59,'Données projet'!$A$201:$I$221,6,0)*VLOOKUP('Données projet'!$B$15,Paramètres!$A$1:$I$89,7,0))</f>
        <v>0</v>
      </c>
      <c r="EU59" s="16">
        <f>IF(ISNA(VLOOKUP(A59,'Données projet'!$A$201:$I$221,7,0)),0%,VLOOKUP(A59,'Données projet'!$A$201:$I$221,7,0))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16.631821213349728</v>
      </c>
      <c r="EX59" s="21">
        <f>EXP(-LN(2)/2)*EX58+(1-EXP(-LN(2)/2))/(LN(2)/2)*ER59*EU59*VLOOKUP('Données projet'!$B$15,Paramètres!$A$1:$I$89,3,0)*0.475*44/12</f>
        <v>4.134217478050612</v>
      </c>
      <c r="EY59" s="22">
        <f t="shared" si="21"/>
        <v>20.76603869140034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projet'!$A$227:$I$247,2,0)</f>
        <v>#N/A</v>
      </c>
      <c r="FC59" s="12" t="e">
        <f>VLOOKUP(A59,'Données projet'!$A$227:$I$247,9,0)</f>
        <v>#N/A</v>
      </c>
      <c r="FD59" s="12">
        <f t="array" ref="FD59">INDEX(FC:FC,MIN(IF(ISNUMBER(FC59:FC255),ROW(FC59:FC255),"")))</f>
        <v>5</v>
      </c>
      <c r="FE59" s="12">
        <f>IF('Données projet'!$A$228&gt;35,FE58+FD59-FM58,IF(A59&lt;'Données projet'!$A$228,$FB$205^A59,IF(A59='Données projet'!$A$228,'Données projet'!$B$228,FE58+FD59-FM58)))</f>
        <v>168.99999999999997</v>
      </c>
      <c r="FF59" s="17">
        <f>FE59*VLOOKUP('Données projet'!$B$16,Paramètres!$A$1:$I$89,3,0)*VLOOKUP('Données projet'!$B$16,Paramètres!$A$1:$I$89,5,0)</f>
        <v>176.6388</v>
      </c>
      <c r="FG59" s="13">
        <f t="shared" si="77"/>
        <v>44.573562683497578</v>
      </c>
      <c r="FH59" s="20">
        <f t="shared" si="22"/>
        <v>385.27819834042498</v>
      </c>
      <c r="FI59" s="59">
        <f t="shared" si="23"/>
        <v>678.61153167375824</v>
      </c>
      <c r="FJ59" s="59">
        <f ca="1">AVERAGE(OFFSET($FI$3,0,0,'Données projet'!$E$16+1,1))-AVERAGE(OFFSET($H$3,0,0,'Données projet'!$E$16+1,1))</f>
        <v>259.03906550253788</v>
      </c>
      <c r="FK59" s="59">
        <f t="shared" si="78"/>
        <v>235.54542903570831</v>
      </c>
      <c r="FL59" s="15">
        <f>IF(ISNA(VLOOKUP(A59,'Données projet'!$A$227:$I$247,3,0)),0,VLOOKUP(A59,'Données projet'!$A$227:$I$247,3,0))</f>
        <v>0</v>
      </c>
      <c r="FM59" s="15">
        <f>IF(ISNA(VLOOKUP(A59,'Données projet'!$A$227:$I$247,4,0)),0,VLOOKUP(A59,'Données projet'!$A$227:$I$247,4,0))</f>
        <v>0</v>
      </c>
      <c r="FN59" s="16">
        <f>IF(ISNA(VLOOKUP(A59,'Données projet'!$A$227:$I$247,5,0)),0%,VLOOKUP(A59,'Données projet'!$A$227:$I$247,5,0)*VLOOKUP('Données projet'!$B$16,Paramètres!$A$1:$I$89,7,0))</f>
        <v>0</v>
      </c>
      <c r="FO59" s="16">
        <f>IF(ISNA(VLOOKUP(A59,'Données projet'!$A$227:$I$247,6,0)),0%,VLOOKUP(A59,'Données projet'!$A$227:$I$247,6,0)*VLOOKUP('Données projet'!$B$16,Paramètres!$A$1:$I$89,7,0))</f>
        <v>0</v>
      </c>
      <c r="FP59" s="16">
        <f>IF(ISNA(VLOOKUP(A59,'Données projet'!$A$227:$I$247,7,0)),0%,VLOOKUP(A59,'Données projet'!$A$227:$I$247,7,0))</f>
        <v>0</v>
      </c>
      <c r="FQ59" s="21">
        <f>EXP(-LN(2)/35)*FQ58+(1-EXP(-LN(2)/35))/(LN(2)/35)*FM59*FN59*VLOOKUP('Données projet'!$B$16,Paramètres!$A$1:$I$89,3,0)*0.475*44/12</f>
        <v>3.3122493436930713</v>
      </c>
      <c r="FR59" s="21">
        <f>EXP(-LN(2)/25)*FR58+(1-EXP(-LN(2)/25))/(LN(2)/25)*Calculateur!FM59*Calculateur!FO59*VLOOKUP('Données projet'!$B$16,Paramètres!$A$1:$I$89,3,0)*0.475*44/12</f>
        <v>13.685796720393673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16.998046064086743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projet'!$A$253:$I$273,2,0)</f>
        <v>#N/A</v>
      </c>
      <c r="FX59" s="12" t="e">
        <f>VLOOKUP(A59,'Données projet'!$A$253:$I$273,9,0)</f>
        <v>#N/A</v>
      </c>
      <c r="FY59" s="12">
        <f t="array" ref="FY59">INDEX(FX:FX,MIN(IF(ISNUMBER(FX59:FX255),ROW(FX59:FX255),"")))</f>
        <v>5.2</v>
      </c>
      <c r="FZ59" s="12">
        <f>IF('Données projet'!$A$254&gt;35,FZ58+FY59-GH58,IF(A59&lt;'Données projet'!$A$254,$FW$205^A59,IF(A59='Données projet'!$A$254,'Données projet'!$B$254,FZ58+FY59-GH58)))</f>
        <v>224.19999999999987</v>
      </c>
      <c r="GA59" s="17">
        <f>FZ59*VLOOKUP('Données projet'!$B$17,Paramètres!$A$1:$I$89,3,0)*VLOOKUP('Données projet'!$B$17,Paramètres!$A$1:$I$89,5,0)</f>
        <v>195.86111999999991</v>
      </c>
      <c r="GB59" s="13">
        <f t="shared" si="79"/>
        <v>48.833463106716422</v>
      </c>
      <c r="GC59" s="20">
        <f t="shared" si="25"/>
        <v>426.17639891086424</v>
      </c>
      <c r="GD59" s="59">
        <f t="shared" si="26"/>
        <v>719.50973224419749</v>
      </c>
      <c r="GE59" s="59">
        <f ca="1">AVERAGE(OFFSET($GD$3,0,0,'Données projet'!$E$17+1,1))-AVERAGE(OFFSET($H$3,0,0,'Données projet'!$E$17+1,1))</f>
        <v>245.1983232777614</v>
      </c>
      <c r="GF59" s="59">
        <f t="shared" si="80"/>
        <v>242.34010522344573</v>
      </c>
      <c r="GG59" s="15">
        <f>IF(ISNA(VLOOKUP(A59,'Données projet'!$A$253:$I$273,3,0)),0,VLOOKUP(A59,'Données projet'!$A$253:$I$273,3,0))</f>
        <v>0</v>
      </c>
      <c r="GH59" s="15">
        <f>IF(ISNA(VLOOKUP(A59,'Données projet'!$A$253:$I$273,4,0)),0,VLOOKUP(A59,'Données projet'!$A$253:$I$273,4,0))</f>
        <v>0</v>
      </c>
      <c r="GI59" s="16">
        <f>IF(ISNA(VLOOKUP(A59,'Données projet'!$A$253:$I$273,5,0)),0%,VLOOKUP(A59,'Données projet'!$A$253:$I$273,5,0)*VLOOKUP('Données projet'!$B$17,Paramètres!$A$1:$I$89,7,0))</f>
        <v>0</v>
      </c>
      <c r="GJ59" s="16">
        <f>IF(ISNA(VLOOKUP(A59,'Données projet'!$A$253:$I$273,6,0)),0%,VLOOKUP(A59,'Données projet'!$A$253:$I$273,6,0)*VLOOKUP('Données projet'!$B$17,Paramètres!$A$1:$I$89,7,0))</f>
        <v>0</v>
      </c>
      <c r="GK59" s="16">
        <f>IF(ISNA(VLOOKUP(A59,'Données projet'!$A$253:$I$273,7,0)),0%,VLOOKUP(A59,'Données projet'!$A$253:$I$273,7,0))</f>
        <v>0</v>
      </c>
      <c r="GL59" s="21">
        <f>EXP(-LN(2)/35)*GL58+(1-EXP(-LN(2)/35))/(LN(2)/35)*GH59*GI59*VLOOKUP('Données projet'!$B$17,Paramètres!$A$1:$I$89,3,0)*0.475*44/12</f>
        <v>17.823052467636249</v>
      </c>
      <c r="GM59" s="21">
        <f>EXP(-LN(2)/25)*GM58+(1-EXP(-LN(2)/25))/(LN(2)/25)*Calculateur!GH59*Calculateur!GJ59*VLOOKUP('Données projet'!$B$17,Paramètres!$A$1:$I$89,3,0)*0.475*44/12</f>
        <v>11.324708580650457</v>
      </c>
      <c r="GN59" s="21">
        <f>EXP(-LN(2)/2)*GN58+(1-EXP(-LN(2)/2))/(LN(2)/2)*GH59*GK59*VLOOKUP('Données projet'!$B$17,Paramètres!$A$1:$I$89,3,0)*0.475*44/12</f>
        <v>0</v>
      </c>
      <c r="GO59" s="21">
        <f t="shared" si="27"/>
        <v>29.147761048286704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projet'!$A$279:$I$299,2,0)</f>
        <v>#N/A</v>
      </c>
      <c r="GS59" s="12" t="e">
        <f>VLOOKUP(A59,'Données projet'!$A$279:$I$299,9,0)</f>
        <v>#N/A</v>
      </c>
      <c r="GT59" s="12">
        <f t="array" ref="GT59">INDEX(GS:GS,MIN(IF(ISNUMBER(GS59:GS255),ROW(GS59:GS255),"")))</f>
        <v>12.6</v>
      </c>
      <c r="GU59" s="12">
        <f>IF('Données projet'!$A$280&gt;35,GU58+GT59-HC58,IF(A59&lt;'Données projet'!$A$280,$GR$205^A59,IF(A59='Données projet'!$A$280,'Données projet'!$B$280,GU58+GT59-HC58)))</f>
        <v>639.60000000000014</v>
      </c>
      <c r="GV59" s="17">
        <f>GU59*VLOOKUP('Données projet'!$B$18,Paramètres!$A$1:$I$89,3,0)*VLOOKUP('Données projet'!$B$18,Paramètres!$A$1:$I$89,5,0)</f>
        <v>257.75880000000006</v>
      </c>
      <c r="GW59" s="13">
        <f t="shared" si="81"/>
        <v>62.244404241627464</v>
      </c>
      <c r="GX59" s="20">
        <f t="shared" si="28"/>
        <v>557.33891405416796</v>
      </c>
      <c r="GY59" s="59">
        <f t="shared" si="29"/>
        <v>850.67224738750133</v>
      </c>
      <c r="GZ59" s="59">
        <f ca="1">AVERAGE(OFFSET($GY$3,0,0,'Données projet'!$E$18+1,1))-AVERAGE(OFFSET($H$3,0,0,'Données projet'!$E$18+1,1))</f>
        <v>324.36162935850876</v>
      </c>
      <c r="HA59" s="59">
        <f t="shared" si="82"/>
        <v>265.23571072429735</v>
      </c>
      <c r="HB59" s="15">
        <f>IF(ISNA(VLOOKUP(A59,'Données projet'!$A$279:$I$299,3,0)),0,VLOOKUP(A59,'Données projet'!$A$279:$I$299,3,0))</f>
        <v>0</v>
      </c>
      <c r="HC59" s="15">
        <f>IF(ISNA(VLOOKUP(A59,'Données projet'!$A$279:$I$299,4,0)),0,VLOOKUP(A59,'Données projet'!$A$279:$I$299,4,0))</f>
        <v>0</v>
      </c>
      <c r="HD59" s="16">
        <f>IF(ISNA(VLOOKUP(A59,'Données projet'!$A$279:$I$299,5,0)),0%,VLOOKUP(A59,'Données projet'!$A$279:$I$299,5,0)*VLOOKUP('Données projet'!$B$18,Paramètres!$A$1:$I$89,7,0))</f>
        <v>0</v>
      </c>
      <c r="HE59" s="16">
        <f>IF(ISNA(VLOOKUP(A59,'Données projet'!$A$279:$I$299,6,0)),0%,VLOOKUP(A59,'Données projet'!$A$279:$I$299,6,0)*VLOOKUP('Données projet'!$B$18,Paramètres!$A$1:$I$89,7,0))</f>
        <v>0</v>
      </c>
      <c r="HF59" s="16">
        <f>IF(ISNA(VLOOKUP($A59,'Données projet'!$A$279:$I$299,7,0)),0%,VLOOKUP($A59,'Données projet'!$A$279:$I$299,7,0))</f>
        <v>0</v>
      </c>
      <c r="HG59" s="21">
        <f>EXP(-LN(2)/35)*HG58+(1-EXP(-LN(2)/35))/(LN(2)/35)*HC59*HD59*VLOOKUP('Données projet'!$B$18,Paramètres!$A$1:$I$89,3,0)*0.475*44/12</f>
        <v>10.189511481109726</v>
      </c>
      <c r="HH59" s="21">
        <f>EXP(-LN(2)/25)*HH58+(1-EXP(-LN(2)/25))/(LN(2)/25)*Calculateur!HC59*Calculateur!HE59*VLOOKUP('Données projet'!$B$18,Paramètres!$A$1:$I$89,3,0)*0.475*44/12</f>
        <v>12.214906286998184</v>
      </c>
      <c r="HI59" s="21">
        <f>EXP(-LN(2)/2)*HI58+(1-EXP(-LN(2)/2))/(LN(2)/2)*HC59*HF59*VLOOKUP('Données projet'!$B$18,Paramètres!$A$1:$I$89,3,0)*0.475*44/12</f>
        <v>0.58519099073877023</v>
      </c>
      <c r="HJ59" s="22">
        <f t="shared" si="30"/>
        <v>22.989608758846682</v>
      </c>
      <c r="HK59" s="74">
        <f>('Scénario référence'!$F$8+'Scénario référence'!$F$9+'Scénario référence'!$B$17+'Scénario référence'!$B$9+'Scénario référence'!$B$10)*70+IF((45+25*(1-EXP(-0.0175*$A59)))&lt;70,'Scénario référence'!$B$16*(45+25*(1-EXP(-0.0175*$A59))),70*'Scénario référence'!$B$16)+IF((32+38*(1-EXP(-0.0175*$A59)))&lt;70,'Scénario référence'!$B$18*(32+38*(1-EXP(-0.0175*$A59))),70*'Scénario référence'!$B$18)</f>
        <v>70</v>
      </c>
      <c r="HL59" s="12">
        <f>IF($A59&gt;30,10,('Scénario référence'!$B$16+'Scénario référence'!$B$17+'Scénario référence'!$B$18+'Scénario référence'!$B$9+'Scénario référence'!$B$10)*$A59*10/30+('Scénario référence'!$F$8+'Scénario référence'!$F$9)*10)</f>
        <v>10</v>
      </c>
      <c r="HM59" s="12" t="e">
        <f>VLOOKUP($A59,'Données projet'!$A$304:$I$324,2,0)</f>
        <v>#N/A</v>
      </c>
      <c r="HN59" s="12" t="e">
        <f>VLOOKUP($A59,'Données projet'!$A$304:$I$324,9,0)</f>
        <v>#N/A</v>
      </c>
      <c r="HO59" s="12">
        <f t="array" ref="HO59">INDEX(HN:HN,MIN(IF(ISNUMBER(HN59:HN255),ROW(HN59:HN255),"")))</f>
        <v>0</v>
      </c>
      <c r="HP59" s="12">
        <f>IF('Données projet'!$A$304&gt;35,HP58+HO59-HX58,IF($A59&lt;'Données projet'!$A$304,$CQ$205^$A59,IF($A59='Données projet'!$A$304,'Données projet'!$B$304,HP58+HO59-HX58)))</f>
        <v>0</v>
      </c>
      <c r="HQ59" s="17">
        <f>HP59*VLOOKUP('Données projet'!$B$19,Paramètres!$A$1:$I$89,3,0)*VLOOKUP('Données projet'!$B$19,Paramètres!$A$1:$I$89,5,0)</f>
        <v>0</v>
      </c>
      <c r="HR59" s="13" t="e">
        <f t="shared" si="83"/>
        <v>#NUM!</v>
      </c>
      <c r="HS59" s="14" t="e">
        <f t="shared" si="31"/>
        <v>#NUM!</v>
      </c>
      <c r="HT59" s="59" t="e">
        <f t="shared" si="32"/>
        <v>#NUM!</v>
      </c>
      <c r="HU59" s="59">
        <f ca="1">AVERAGE(OFFSET(HT$3,0,0,'Données projet'!$E$19+1,1))-AVERAGE(OFFSET($H$3,0,0,'Données projet'!$E$19+1,1))</f>
        <v>91.60721429656013</v>
      </c>
      <c r="HV59" s="59">
        <f t="shared" si="84"/>
        <v>258.94957804210856</v>
      </c>
      <c r="HW59" s="15">
        <f>IF(ISNA(VLOOKUP($A59,'Données projet'!$A$304:$I$324,3,0)),0,VLOOKUP($A59,'Données projet'!$A$304:$I$324,3,0))</f>
        <v>0</v>
      </c>
      <c r="HX59" s="15">
        <f>IF(ISNA(VLOOKUP($A59,'Données projet'!$A$304:$I$324,4,0)),0,VLOOKUP($A59,'Données projet'!$A$304:$I$324,4,0))</f>
        <v>0</v>
      </c>
      <c r="HY59" s="16">
        <f>IF(ISNA(VLOOKUP($A59,'Données projet'!$A$304:$I$324,5,0)),0%,VLOOKUP($A59,'Données projet'!$A$304:$I$324,5,0)*VLOOKUP('Données projet'!$B$19,Paramètres!$A$1:$I$89,7,0))</f>
        <v>0</v>
      </c>
      <c r="HZ59" s="16">
        <f>IF(ISNA(VLOOKUP($A59,'Données projet'!$A$304:$I$324,6,0)),0%,VLOOKUP($A59,'Données projet'!$A$304:$I$324,6,0)*VLOOKUP('Données projet'!$B$19,Paramètres!$A$1:$I$89,7,0))</f>
        <v>0</v>
      </c>
      <c r="IA59" s="16">
        <f>IF(ISNA(VLOOKUP($A59,'Données projet'!$A$304:$I$324,7,0)),0%,VLOOKUP($A59,'Données projet'!$A$304:$I$324,7,0))</f>
        <v>0</v>
      </c>
      <c r="IB59" s="21">
        <f>EXP(-LN(2)/35)*IB58+(1-EXP(-LN(2)/35))/(LN(2)/35)*HX59*HY59*VLOOKUP('Données projet'!$B$19,Paramètres!$A$1:$I$89,3,0)*0.475*44/12</f>
        <v>29.478993017786429</v>
      </c>
      <c r="IC59" s="21">
        <f>EXP(-LN(2)/25)*IC58+(1-EXP(-LN(2)/25))/(LN(2)/25)*Calculateur!HX59*Calculateur!HZ59*VLOOKUP('Données projet'!$B$19,Paramètres!$A$1:$I$89,3,0)*0.475*44/12</f>
        <v>4.7308607393109678</v>
      </c>
      <c r="ID59" s="21">
        <f>EXP(-LN(2)/2)*ID58+(1-EXP(-LN(2)/2))/(LN(2)/2)*HX59*IA59*VLOOKUP('Données projet'!$B$19,Paramètres!$A$1:$I$89,3,0)*0.475*44/12</f>
        <v>6.9928260710934759E-5</v>
      </c>
      <c r="IE59" s="22">
        <f t="shared" si="33"/>
        <v>34.209923685358113</v>
      </c>
      <c r="IF59" s="74">
        <f>('Scénario référence'!$F$8+'Scénario référence'!$F$9+'Scénario référence'!$B$17+'Scénario référence'!$B$9+'Scénario référence'!$B$10)*70+IF((45+25*(1-EXP(-0.0175*$A59)))&lt;70,'Scénario référence'!$B$16*(45+25*(1-EXP(-0.0175*$A59))),70*'Scénario référence'!$B$16)+IF((32+38*(1-EXP(-0.0175*$A59)))&lt;70,'Scénario référence'!$B$18*(32+38*(1-EXP(-0.0175*$A59))),70*'Scénario référence'!$B$18)</f>
        <v>70</v>
      </c>
      <c r="IG59" s="12">
        <f>IF($A59&gt;30,10,('Scénario référence'!$B$16+'Scénario référence'!$B$17+'Scénario référence'!$B$18+'Scénario référence'!$B$9+'Scénario référence'!$B$10)*$A59*10/30+('Scénario référence'!$F$8+'Scénario référence'!$F$9)*10)</f>
        <v>10</v>
      </c>
      <c r="IH59" s="12" t="e">
        <f>VLOOKUP($A59,'Données projet'!$A$330:$I$350,2,0)</f>
        <v>#N/A</v>
      </c>
      <c r="II59" s="12" t="e">
        <f>VLOOKUP($A59,'Données projet'!$A$330:$I$350,9,0)</f>
        <v>#N/A</v>
      </c>
      <c r="IJ59" s="12">
        <f t="array" ref="IJ59">INDEX(II:II,MIN(IF(ISNUMBER(II59:II255),ROW(II59:II255),"")))</f>
        <v>0</v>
      </c>
      <c r="IK59" s="12">
        <f>IF('Données projet'!$A$330&gt;35,IK58+IJ59-IS58,IF($A59&lt;'Données projet'!$A$330,$CQ$205^$A59,IF($A59='Données projet'!$A$330,'Données projet'!$B$330,IK58+IJ59-IS58)))</f>
        <v>0</v>
      </c>
      <c r="IL59" s="17">
        <f>IK59*VLOOKUP('Données projet'!$B$20,Paramètres!$A$1:$I$89,3,0)*VLOOKUP('Données projet'!$B$20,Paramètres!$A$1:$I$89,5,0)</f>
        <v>0</v>
      </c>
      <c r="IM59" s="13" t="e">
        <f t="shared" si="85"/>
        <v>#NUM!</v>
      </c>
      <c r="IN59" s="20" t="e">
        <f t="shared" si="86"/>
        <v>#NUM!</v>
      </c>
      <c r="IO59" s="59" t="e">
        <f t="shared" si="87"/>
        <v>#NUM!</v>
      </c>
      <c r="IP59" s="59">
        <f ca="1">AVERAGE(OFFSET(IO$3,0,0,'Données projet'!$E$20+1,1))-AVERAGE(OFFSET($H$3,0,0,'Données projet'!$E$20+1,1))</f>
        <v>91.60721429656013</v>
      </c>
      <c r="IQ59" s="59">
        <f t="shared" si="88"/>
        <v>258.94957804210856</v>
      </c>
      <c r="IR59" s="15">
        <f>IF(ISNA(VLOOKUP($A59,'Données projet'!$A$330:$I$350,3,0)),0,VLOOKUP($A59,'Données projet'!$A$330:$I$350,3,0))</f>
        <v>0</v>
      </c>
      <c r="IS59" s="15">
        <f>IF(ISNA(VLOOKUP($A59,'Données projet'!$A$330:$I$350,4,0)),0,VLOOKUP($A59,'Données projet'!$A$330:$I$350,4,0))</f>
        <v>0</v>
      </c>
      <c r="IT59" s="16">
        <f>IF(ISNA(VLOOKUP($A59,'Données projet'!$A$330:$I$350,5,0)),0%,VLOOKUP($A59,'Données projet'!$A$330:$I$350,5,0)*VLOOKUP('Données projet'!$B$20,Paramètres!$A$1:$I$89,7,0))</f>
        <v>0</v>
      </c>
      <c r="IU59" s="16">
        <f>IF(ISNA(VLOOKUP($A59,'Données projet'!$A$330:$I$350,6,0)),0%,VLOOKUP($A59,'Données projet'!$A$330:$I$350,6,0)*VLOOKUP('Données projet'!$B$20,Paramètres!$A$1:$I$89,7,0))</f>
        <v>0</v>
      </c>
      <c r="IV59" s="16">
        <f>IF(ISNA(VLOOKUP($A59,'Données projet'!$A$330:$I$350,7,0)),0%,VLOOKUP($A59,'Données projet'!$A$330:$I$350,7,0))</f>
        <v>0</v>
      </c>
      <c r="IW59" s="21">
        <f>EXP(-LN(2)/35)*IW58+(1-EXP(-LN(2)/35))/(LN(2)/35)*IS59*IT59*VLOOKUP('Données projet'!$B$20,Paramètres!$A$1:$I$89,3,0)*0.475*44/12</f>
        <v>29.478993017786429</v>
      </c>
      <c r="IX59" s="21">
        <f>EXP(-LN(2)/25)*IX58+(1-EXP(-LN(2)/25))/(LN(2)/25)*Calculateur!IS59*Calculateur!IU59*VLOOKUP('Données projet'!$B$20,Paramètres!$A$1:$I$89,3,0)*0.475*44/12</f>
        <v>4.7308607393109678</v>
      </c>
      <c r="IY59" s="21">
        <f>EXP(-LN(2)/2)*IY58+(1-EXP(-LN(2)/2))/(LN(2)/2)*IS59*IV59*VLOOKUP('Données projet'!$B$20,Paramètres!$A$1:$I$89,3,0)*0.475*44/12</f>
        <v>6.9928260710934759E-5</v>
      </c>
      <c r="IZ59" s="22">
        <f t="shared" si="89"/>
        <v>34.209923685358113</v>
      </c>
      <c r="JA59" s="74">
        <f>('Scénario référence'!$F$8+'Scénario référence'!$F$9+'Scénario référence'!$B$17+'Scénario référence'!$B$9+'Scénario référence'!$B$10)*70+IF((45+25*(1-EXP(-0.0175*$A59)))&lt;70,'Scénario référence'!$B$16*(45+25*(1-EXP(-0.0175*$A59))),70*'Scénario référence'!$B$16)+IF((32+38*(1-EXP(-0.0175*$A59)))&lt;70,'Scénario référence'!$B$18*(32+38*(1-EXP(-0.0175*$A59))),70*'Scénario référence'!$B$18)</f>
        <v>70</v>
      </c>
      <c r="JB59" s="12">
        <f>IF($A59&gt;30,10,('Scénario référence'!$B$16+'Scénario référence'!$B$17+'Scénario référence'!$B$18+'Scénario référence'!$B$9+'Scénario référence'!$B$10)*$A59*10/30+('Scénario référence'!$F$8+'Scénario référence'!$F$9)*10)</f>
        <v>10</v>
      </c>
      <c r="JC59" s="12" t="e">
        <f>VLOOKUP($A59,'Données projet'!$A$356:$I$376,2,0)</f>
        <v>#N/A</v>
      </c>
      <c r="JD59" s="12" t="e">
        <f>VLOOKUP($A59,'Données projet'!$A$356:$I$376,9,0)</f>
        <v>#N/A</v>
      </c>
      <c r="JE59" s="12">
        <f t="array" ref="JE59">INDEX(JD:JD,MIN(IF(ISNUMBER(JD59:JD255),ROW(JD59:JD255),"")))</f>
        <v>10.8</v>
      </c>
      <c r="JF59" s="12">
        <f>IF('Données projet'!$A$356&gt;35,JF58+JE59-JN58,IF($A59&lt;'Données projet'!$A$356,$CQ$205^$A59,IF($A59='Données projet'!$A$356,'Données projet'!$B$356,JF58+JE59-JN58)))</f>
        <v>226.8000000000001</v>
      </c>
      <c r="JG59" s="17">
        <f>JF59*VLOOKUP('Données projet'!$B$21,Paramètres!$A$1:$I$89,3,0)*VLOOKUP('Données projet'!$B$21,Paramètres!$A$1:$I$89,5,0)</f>
        <v>183.9801600000001</v>
      </c>
      <c r="JH59" s="13">
        <f t="shared" si="90"/>
        <v>46.206568123393758</v>
      </c>
      <c r="JI59" s="20">
        <f t="shared" si="91"/>
        <v>400.90855148157766</v>
      </c>
      <c r="JJ59" s="59">
        <f t="shared" si="92"/>
        <v>694.24188481491092</v>
      </c>
      <c r="JK59" s="59">
        <f ca="1">AVERAGE(OFFSET($JJ$3,0,0,'Données projet'!$E$22+1,1))-AVERAGE(OFFSET($H$3,0,0,'Données projet'!$E$22+1,1))</f>
        <v>353.35574633294613</v>
      </c>
      <c r="JL59" s="59">
        <f t="shared" si="93"/>
        <v>170.36796666474726</v>
      </c>
      <c r="JM59" s="15">
        <f>IF(ISNA(VLOOKUP($A59,'Données projet'!$A$356:$I$376,3,0)),0,VLOOKUP($A59,'Données projet'!$A$356:$I$376,3,0))</f>
        <v>0</v>
      </c>
      <c r="JN59" s="15">
        <f>IF(ISNA(VLOOKUP($A59,'Données projet'!$A$356:$I$376,4,0)),0,VLOOKUP($A59,'Données projet'!$A$356:$I$376,4,0))</f>
        <v>0</v>
      </c>
      <c r="JO59" s="16">
        <f>IF(ISNA(VLOOKUP($A59,'Données projet'!$A$356:$I$376,5,0)),0%,VLOOKUP($A59,'Données projet'!$A$356:$I$376,5,0)*VLOOKUP('Données projet'!$B$21,Paramètres!$A$1:$I$89,7,0))</f>
        <v>0</v>
      </c>
      <c r="JP59" s="16">
        <f>IF(ISNA(VLOOKUP($A59,'Données projet'!$A$356:$I$376,6,0)),0%,VLOOKUP($A59,'Données projet'!$A$356:$I$376,6,0)*VLOOKUP('Données projet'!$B$21,Paramètres!$A$1:$I$89,7,0))</f>
        <v>0</v>
      </c>
      <c r="JQ59" s="16">
        <f>IF(ISNA(VLOOKUP($A59,'Données projet'!$A$356:$I$376,7,0)),0%,VLOOKUP($A59,'Données projet'!$A$356:$I$376,7,0))</f>
        <v>0</v>
      </c>
      <c r="JR59" s="21">
        <f>EXP(-LN(2)/35)*JR58+(1-EXP(-LN(2)/35))/(LN(2)/35)*JN59*JO59*VLOOKUP('Données projet'!$B$21,Paramètres!$A$1:$I$89,3,0)*0.475*44/12</f>
        <v>0</v>
      </c>
      <c r="JS59" s="21">
        <f>EXP(-LN(2)/25)*JS58+(1-EXP(-LN(2)/25))/(LN(2)/25)*Calculateur!JN59*Calculateur!JP59*VLOOKUP('Données projet'!$B$21,Paramètres!$A$1:$I$89,3,0)*0.475*44/12</f>
        <v>6.1324035233203551</v>
      </c>
      <c r="JT59" s="21">
        <f>EXP(-LN(2)/2)*JT58+(1-EXP(-LN(2)/2))/(LN(2)/2)*JN59*JQ59*VLOOKUP('Données projet'!$B$21,Paramètres!$A$1:$I$89,3,0)*0.475*44/12</f>
        <v>5.5222442688991809</v>
      </c>
      <c r="JU59" s="18">
        <f t="shared" si="39"/>
        <v>11.654647792219535</v>
      </c>
      <c r="JV59" s="74">
        <f>('Scénario référence'!$F$8+'Scénario référence'!$F$9+'Scénario référence'!$B$17+'Scénario référence'!$B$9+'Scénario référence'!$B$10)*70+IF((45+25*(1-EXP(-0.0175*$A59)))&lt;70,'Scénario référence'!$B$16*(45+25*(1-EXP(-0.0175*$A59))),70*'Scénario référence'!$B$16)+IF((32+38*(1-EXP(-0.0175*$A59)))&lt;70,'Scénario référence'!$B$18*(32+38*(1-EXP(-0.0175*$A59))),70*'Scénario référence'!$B$18)</f>
        <v>70</v>
      </c>
      <c r="JW59" s="12">
        <f>IF($A59&gt;30,10,('Scénario référence'!$B$16+'Scénario référence'!$B$17+'Scénario référence'!$B$18+'Scénario référence'!$B$9+'Scénario référence'!$B$10)*$A59*10/30+('Scénario référence'!$F$8+'Scénario référence'!$F$9)*10)</f>
        <v>10</v>
      </c>
      <c r="JX59" s="12" t="e">
        <f>VLOOKUP($A59,'Données projet'!$A$382:$I$402,2,0)</f>
        <v>#N/A</v>
      </c>
      <c r="JY59" s="12" t="e">
        <f>VLOOKUP($A59,'Données projet'!$A$382:$I$402,9,0)</f>
        <v>#N/A</v>
      </c>
      <c r="JZ59" s="12">
        <f t="array" ref="JZ59">INDEX(JY:JY,MIN(IF(ISNUMBER(JY59:JY255),ROW(JY59:JY255),"")))</f>
        <v>8.374198717948719</v>
      </c>
      <c r="KA59" s="12">
        <f>IF('Données projet'!$A$382&gt;35,KA58+JZ59-KI58,IF($A59&lt;'Données projet'!$A$382,$CQ$205^$A59,IF($A59='Données projet'!$A$382,'Données projet'!$B$382,KA58+JZ59-KI58)))</f>
        <v>161.6690705128205</v>
      </c>
      <c r="KB59" s="17">
        <f>KA59*VLOOKUP('Données projet'!$B$22,Paramètres!$A$1:$I$89,3,0)*VLOOKUP('Données projet'!$B$22,Paramètres!$A$1:$I$89,5,0)</f>
        <v>108.44761249999999</v>
      </c>
      <c r="KC59" s="13">
        <f t="shared" si="94"/>
        <v>28.964927965743797</v>
      </c>
      <c r="KD59" s="20">
        <f t="shared" si="95"/>
        <v>239.32684131117045</v>
      </c>
      <c r="KE59" s="59">
        <f t="shared" si="96"/>
        <v>532.66017464450374</v>
      </c>
      <c r="KF59" s="59">
        <f ca="1">AVERAGE(OFFSET($KE$3,0,0,'Données projet'!$E$22+1,1))-AVERAGE(OFFSET($H$3,0,0,'Données projet'!$E$22+1,1))</f>
        <v>193.91714772848269</v>
      </c>
      <c r="KG59" s="59">
        <f t="shared" si="97"/>
        <v>159.20429420478047</v>
      </c>
      <c r="KH59" s="15">
        <f>IF(ISNA(VLOOKUP($A59,'Données projet'!$A$382:$I$402,3,0)),0,VLOOKUP($A59,'Données projet'!$A$382:$I$402,3,0))</f>
        <v>0</v>
      </c>
      <c r="KI59" s="15">
        <f>IF(ISNA(VLOOKUP($A59,'Données projet'!$A$382:$I$402,4,0)),0,VLOOKUP($A59,'Données projet'!$A$382:$I$402,4,0))</f>
        <v>0</v>
      </c>
      <c r="KJ59" s="16">
        <f>IF(ISNA(VLOOKUP($A59,'Données projet'!$A$382:$I$402,5,0)),0%,VLOOKUP($A59,'Données projet'!$A$382:$I$402,5,0)*VLOOKUP('Données projet'!$B$22,Paramètres!$A$1:$I$89,7,0))</f>
        <v>0</v>
      </c>
      <c r="KK59" s="16">
        <f>IF(ISNA(VLOOKUP($A59,'Données projet'!$A$382:$I$402,6,0)),0%,VLOOKUP($A59,'Données projet'!$A$382:$I$402,6,0)*VLOOKUP('Données projet'!$B$22,Paramètres!$A$1:$I$89,7,0))</f>
        <v>0</v>
      </c>
      <c r="KL59" s="16">
        <f>IF(ISNA(VLOOKUP($A59,'Données projet'!$A$382:$I$402,7,0)),0%,VLOOKUP($A59,'Données projet'!$A$382:$I$402,7,0))</f>
        <v>0</v>
      </c>
      <c r="KM59" s="21">
        <f>EXP(-LN(2)/35)*KM58+(1-EXP(-LN(2)/35))/(LN(2)/35)*KI59*KJ59*VLOOKUP('Données projet'!$B$22,Paramètres!$A$1:$I$89,3,0)*0.475*44/12</f>
        <v>0</v>
      </c>
      <c r="KN59" s="21">
        <f>EXP(-LN(2)/25)*KN58+(1-EXP(-LN(2)/25))/(LN(2)/25)*Calculateur!KI59*Calculateur!KK59*VLOOKUP('Données projet'!$B$22,Paramètres!$A$1:$I$89,3,0)*0.475*44/12</f>
        <v>0</v>
      </c>
      <c r="KO59" s="21">
        <f>EXP(-LN(2)/2)*KO58+(1-EXP(-LN(2)/2))/(LN(2)/2)*KI59*KL59*VLOOKUP('Données projet'!$B$22,Paramètres!$A$1:$I$89,3,0)*0.475*44/12</f>
        <v>0</v>
      </c>
      <c r="KP59" s="22">
        <f t="shared" si="98"/>
        <v>0</v>
      </c>
      <c r="KQ59" s="74">
        <f>('Scénario référence'!$F$8+'Scénario référence'!$F$9+'Scénario référence'!$B$17+'Scénario référence'!$B$9+'Scénario référence'!$B$10)*70+IF((45+25*(1-EXP(-0.0175*$A59)))&lt;70,'Scénario référence'!$B$16*(45+25*(1-EXP(-0.0175*$A59))),70*'Scénario référence'!$B$16)+IF((32+38*(1-EXP(-0.0175*$A59)))&lt;70,'Scénario référence'!$B$18*(32+38*(1-EXP(-0.0175*$A59))),70*'Scénario référence'!$B$18)</f>
        <v>70</v>
      </c>
      <c r="KR59" s="12">
        <f>IF($A59&gt;30,10,('Scénario référence'!$B$16+'Scénario référence'!$B$17+'Scénario référence'!$B$18+'Scénario référence'!$B$9+'Scénario référence'!$B$10)*$A59*10/30+('Scénario référence'!$F$8+'Scénario référence'!$F$9)*10)</f>
        <v>10</v>
      </c>
      <c r="KS59" s="12" t="e">
        <f>VLOOKUP($A59,'Données projet'!$A$408:$I$428,2,0)</f>
        <v>#N/A</v>
      </c>
      <c r="KT59" s="12" t="e">
        <f>VLOOKUP($A59,'Données projet'!$A$408:$I$428,9,0)</f>
        <v>#N/A</v>
      </c>
      <c r="KU59" s="12">
        <f t="array" ref="KU59">INDEX(KT:KT,MIN(IF(ISNUMBER(KT59:KT255),ROW(KT59:KT255),"")))</f>
        <v>5.2</v>
      </c>
      <c r="KV59" s="12">
        <f>IF('Données projet'!$A$408&gt;35,KV58+KU59-LD58,IF($A59&lt;'Données projet'!$A$408,$CQ$205^$A59,IF($A59='Données projet'!$A$408,'Données projet'!$B$408,KV58+KU59-LD58)))</f>
        <v>224.1999999999999</v>
      </c>
      <c r="KW59" s="17">
        <f>KV59*VLOOKUP('Données projet'!$B$23,Paramètres!$A$1:$I$89,3,0)*VLOOKUP('Données projet'!$B$23,Paramètres!$A$1:$I$89,5,0)</f>
        <v>195.86111999999994</v>
      </c>
      <c r="KX59" s="13">
        <f t="shared" si="99"/>
        <v>48.833463106716422</v>
      </c>
      <c r="KY59" s="14">
        <f t="shared" si="43"/>
        <v>426.17639891086429</v>
      </c>
      <c r="KZ59" s="59">
        <f t="shared" si="44"/>
        <v>719.50973224419761</v>
      </c>
      <c r="LA59" s="59">
        <f ca="1">AVERAGE(OFFSET($KZ$3,0,0,'Données projet'!$E$23+1,1))-AVERAGE(OFFSET($H$3,0,0,'Données projet'!$E$23+1,1))</f>
        <v>248.33596943633819</v>
      </c>
      <c r="LB59" s="59">
        <f t="shared" si="100"/>
        <v>242.34010522344573</v>
      </c>
      <c r="LC59" s="15">
        <f>IF(ISNA(VLOOKUP($A59,'Données projet'!$A$408:$I$428,3,0)),0,VLOOKUP($A59,'Données projet'!$A$408:$I$428,3,0))</f>
        <v>0</v>
      </c>
      <c r="LD59" s="15">
        <f>IF(ISNA(VLOOKUP($A59,'Données projet'!$A$408:$I$428,4,0)),0,VLOOKUP($A59,'Données projet'!$A$408:$I$428,4,0))</f>
        <v>0</v>
      </c>
      <c r="LE59" s="16">
        <f>IF(ISNA(VLOOKUP($A59,'Données projet'!$A$408:$I$428,5,0)),0%,VLOOKUP($A59,'Données projet'!$A$408:$I$428,5,0)*VLOOKUP('Données projet'!$B$23,Paramètres!$A$1:$I$89,7,0))</f>
        <v>0</v>
      </c>
      <c r="LF59" s="16">
        <f>IF(ISNA(VLOOKUP($A59,'Données projet'!$A$408:$I$428,6,0)),0%,VLOOKUP($A59,'Données projet'!$A$408:$I$428,6,0)*VLOOKUP('Données projet'!$B$23,Paramètres!$A$1:$I$89,7,0))</f>
        <v>0</v>
      </c>
      <c r="LG59" s="16">
        <f>IF(ISNA(VLOOKUP($A59,'Données projet'!$A$408:$I$428,7,0)),0%,VLOOKUP($A59,'Données projet'!$A$408:$I$428,7,0))</f>
        <v>0</v>
      </c>
      <c r="LH59" s="21">
        <f>EXP(-LN(2)/35)*LH58+(1-EXP(-LN(2)/35))/(LN(2)/35)*LD59*LE59*VLOOKUP('Données projet'!$B$23,Paramètres!$A$1:$I$89,3,0)*0.475*44/12</f>
        <v>17.823052467636249</v>
      </c>
      <c r="LI59" s="21">
        <f>EXP(-LN(2)/25)*LI58+(1-EXP(-LN(2)/25))/(LN(2)/25)*Calculateur!LD59*Calculateur!LF59*VLOOKUP('Données projet'!$B$23,Paramètres!$A$1:$I$89,3,0)*0.475*44/12</f>
        <v>11.324708580650457</v>
      </c>
      <c r="LJ59" s="21">
        <f>EXP(-LN(2)/2)*LJ58+(1-EXP(-LN(2)/2))/(LN(2)/2)*LD59*LG59*VLOOKUP('Données projet'!$B$23,Paramètres!$A$1:$I$89,3,0)*0.475*44/12</f>
        <v>0</v>
      </c>
      <c r="LK59" s="22">
        <f t="shared" si="101"/>
        <v>29.147761048286704</v>
      </c>
      <c r="LL59" s="74">
        <f>('Scénario référence'!$F$8+'Scénario référence'!$F$9+'Scénario référence'!$B$17+'Scénario référence'!$B$9+'Scénario référence'!$B$10)*70+IF((45+25*(1-EXP(-0.0175*$A59)))&lt;70,'Scénario référence'!$B$16*(45+25*(1-EXP(-0.0175*$A59))),70*'Scénario référence'!$B$16)+IF((32+38*(1-EXP(-0.0175*$A59)))&lt;70,'Scénario référence'!$B$18*(32+38*(1-EXP(-0.0175*$A59))),70*'Scénario référence'!$B$18)</f>
        <v>70</v>
      </c>
      <c r="LM59" s="12">
        <f>IF($A59&gt;30,10,('Scénario référence'!$B$16+'Scénario référence'!$B$17+'Scénario référence'!$B$18+'Scénario référence'!$B$9+'Scénario référence'!$B$10)*$A59*10/30+('Scénario référence'!$F$8+'Scénario référence'!$F$9)*10)</f>
        <v>10</v>
      </c>
      <c r="LN59" s="12" t="e">
        <f>VLOOKUP($A59,'Données projet'!$A$434:$I$454,2,0)</f>
        <v>#N/A</v>
      </c>
      <c r="LO59" s="12" t="e">
        <f>VLOOKUP($A59,'Données projet'!$A$434:$I$454,9,0)</f>
        <v>#N/A</v>
      </c>
      <c r="LP59" s="12">
        <f t="array" ref="LP59">INDEX(LO:LO,MIN(IF(ISNUMBER(LO59:LO255),ROW(LO59:LO255),"")))</f>
        <v>6.3942307692307701</v>
      </c>
      <c r="LQ59" s="12">
        <f>IF('Données projet'!$A$434&gt;35,LQ58+LP59-LY58,IF($A59&lt;'Données projet'!$A$434,$CQ$205^$A59,IF($A59='Données projet'!$A$434,'Données projet'!$B$434,LQ58+LP59-LY58)))</f>
        <v>140.07371794871793</v>
      </c>
      <c r="LR59" s="17">
        <f>LQ59*VLOOKUP('Données projet'!$B$24,Paramètres!$A$1:$I$89,3,0)*VLOOKUP('Données projet'!$B$24,Paramètres!$A$1:$I$89,5,0)</f>
        <v>142.03474999999997</v>
      </c>
      <c r="LS59" s="13">
        <f t="shared" si="102"/>
        <v>36.762745973606584</v>
      </c>
      <c r="LT59" s="14">
        <f t="shared" si="46"/>
        <v>311.40563882069802</v>
      </c>
      <c r="LU59" s="59">
        <f t="shared" si="103"/>
        <v>604.73897215403133</v>
      </c>
      <c r="LV59" s="59">
        <f ca="1">AVERAGE(OFFSET($LU$3,0,0,'Données projet'!$E$24+1,1))-AVERAGE(OFFSET($H$3,0,0,'Données projet'!$E$24+1,1))</f>
        <v>260.52627655062872</v>
      </c>
      <c r="LW59" s="59">
        <f t="shared" si="104"/>
        <v>159.20429420478047</v>
      </c>
      <c r="LX59" s="15">
        <f>IF(ISNA(VLOOKUP($A59,'Données projet'!$A$434:$I$454,3,0)),0,VLOOKUP($A59,'Données projet'!$A$434:$I$454,3,0))</f>
        <v>0</v>
      </c>
      <c r="LY59" s="15">
        <f>IF(ISNA(VLOOKUP($A59,'Données projet'!$A$434:$I$454,4,0)),0,VLOOKUP($A59,'Données projet'!$A$434:$I$454,4,0))</f>
        <v>0</v>
      </c>
      <c r="LZ59" s="16">
        <f>IF(ISNA(VLOOKUP($A59,'Données projet'!$A$434:$I$454,5,0)),0%,VLOOKUP($A59,'Données projet'!$A$434:$I$454,5,0)*VLOOKUP('Données projet'!$B$24,Paramètres!$A$1:$I$89,7,0))</f>
        <v>0</v>
      </c>
      <c r="MA59" s="16">
        <f>IF(ISNA(VLOOKUP($A59,'Données projet'!$A$434:$I$454,6,0)),0%,VLOOKUP($A59,'Données projet'!$A$434:$I$454,6,0)*VLOOKUP('Données projet'!$B$24,Paramètres!$A$1:$I$89,7,0))</f>
        <v>0</v>
      </c>
      <c r="MB59" s="16">
        <f>IF(ISNA(VLOOKUP($A59,'Données projet'!$A$434:$I$454,7,0)),0%,VLOOKUP($A59,'Données projet'!$A$434:$I$454,7,0))</f>
        <v>0</v>
      </c>
      <c r="MC59" s="21">
        <f>EXP(-LN(2)/35)*MC58+(1-EXP(-LN(2)/35))/(LN(2)/35)*LY59*LZ59*VLOOKUP('Données projet'!$B$24,Paramètres!$A$1:$I$89,3,0)*0.475*44/12</f>
        <v>0</v>
      </c>
      <c r="MD59" s="21">
        <f>EXP(-LN(2)/25)*MD58+(1-EXP(-LN(2)/25))/(LN(2)/25)*Calculateur!LY59*Calculateur!MA59*VLOOKUP('Données projet'!$B$24,Paramètres!$A$1:$I$89,3,0)*0.475*44/12</f>
        <v>0</v>
      </c>
      <c r="ME59" s="21">
        <f>EXP(-LN(2)/2)*ME58+(1-EXP(-LN(2)/2))/(LN(2)/2)*LY59*MB59*VLOOKUP('Données projet'!$B$24,Paramètres!$A$1:$I$89,3,0)*0.475*44/12</f>
        <v>0</v>
      </c>
      <c r="MF59" s="22">
        <f t="shared" si="105"/>
        <v>0</v>
      </c>
      <c r="MG59" s="74">
        <f>('Scénario référence'!$F$8+'Scénario référence'!$F$9+'Scénario référence'!$B$17+'Scénario référence'!$B$9+'Scénario référence'!$B$10)*70+IF((45+25*(1-EXP(-0.0175*$A59)))&lt;70,'Scénario référence'!$B$16*(45+25*(1-EXP(-0.0175*$A59))),70*'Scénario référence'!$B$16)+IF((32+38*(1-EXP(-0.0175*$A59)))&lt;70,'Scénario référence'!$B$18*(32+38*(1-EXP(-0.0175*$A59))),70*'Scénario référence'!$B$18)</f>
        <v>70</v>
      </c>
      <c r="MH59" s="12">
        <f>IF($A59&gt;30,10,('Scénario référence'!$B$16+'Scénario référence'!$B$17+'Scénario référence'!$B$18+'Scénario référence'!$B$9+'Scénario référence'!$B$10)*$A59*10/30+('Scénario référence'!$F$8+'Scénario référence'!$F$9)*10)</f>
        <v>10</v>
      </c>
      <c r="MI59" s="12" t="e">
        <f>VLOOKUP($A59,'Données projet'!$A$460:$I$480,2,0)</f>
        <v>#N/A</v>
      </c>
      <c r="MJ59" s="12" t="e">
        <f>VLOOKUP($A59,'Données projet'!$A$460:$I$480,9,0)</f>
        <v>#N/A</v>
      </c>
      <c r="MK59" s="12">
        <f t="array" ref="MK59">INDEX(MJ:MJ,MIN(IF(ISNUMBER(MJ59:MJ255),ROW(MJ59:MJ255),"")))</f>
        <v>0</v>
      </c>
      <c r="ML59" s="12">
        <f>IF('Données projet'!$A$460&gt;35,ML58+MK59-MT58,IF($A59&lt;'Données projet'!$A$460,$CQ$205^$A59,IF($A59='Données projet'!$A$460,'Données projet'!$B$460,ML58+MK59-MT58)))</f>
        <v>0</v>
      </c>
      <c r="MM59" s="17" t="e">
        <f>ML59*VLOOKUP('Données projet'!$B$25,Paramètres!$A$1:$I$89,3,0)*VLOOKUP('Données projet'!$B$25,Paramètres!$A$1:$I$89,5,0)</f>
        <v>#N/A</v>
      </c>
      <c r="MN59" s="13" t="e">
        <f t="shared" si="106"/>
        <v>#N/A</v>
      </c>
      <c r="MO59" s="14" t="e">
        <f t="shared" si="49"/>
        <v>#N/A</v>
      </c>
      <c r="MP59" s="59" t="e">
        <f t="shared" si="50"/>
        <v>#N/A</v>
      </c>
      <c r="MQ59" s="20" t="e">
        <f ca="1">AVERAGE(OFFSET($MP$3,0,0,'Données projet'!$E$25+1,1))-AVERAGE(OFFSET($H$3,0,0,'Données projet'!$E$25+1,1))</f>
        <v>#N/A</v>
      </c>
      <c r="MR59" s="59" t="e">
        <f t="shared" si="107"/>
        <v>#N/A</v>
      </c>
      <c r="MS59" s="15">
        <f>IF(ISNA(VLOOKUP($A59,'Données projet'!$A$460:$I$480,3,0)),0,VLOOKUP($A59,'Données projet'!$A$460:$I$480,3,0))</f>
        <v>0</v>
      </c>
      <c r="MT59" s="15">
        <f>IF(ISNA(VLOOKUP($A59,'Données projet'!$A$460:$I$480,4,0)),0,VLOOKUP($A59,'Données projet'!$A$460:$I$480,4,0))</f>
        <v>0</v>
      </c>
      <c r="MU59" s="16">
        <f>IF(ISNA(VLOOKUP($A59,'Données projet'!$A$460:$I$480,5,0)),0%,VLOOKUP($A59,'Données projet'!$A$460:$I$480,5,0)*VLOOKUP('Données projet'!$B$25,Paramètres!$A$1:$I$89,7,0))</f>
        <v>0</v>
      </c>
      <c r="MV59" s="16">
        <f>IF(ISNA(VLOOKUP($A59,'Données projet'!$A$460:$I$480,6,0)),0%,VLOOKUP($A59,'Données projet'!$A$460:$I$480,6,0)*VLOOKUP('Données projet'!$B$25,Paramètres!$A$1:$I$89,7,0))</f>
        <v>0</v>
      </c>
      <c r="MW59" s="16">
        <f>IF(ISNA(VLOOKUP($A59,'Données projet'!$A$460:$I$480,7,0)),0%,VLOOKUP($A59,'Données projet'!$A$460:$I$480,7,0))</f>
        <v>0</v>
      </c>
      <c r="MX59" s="21" t="e">
        <f>EXP(-LN(2)/35)*MX58+(1-EXP(-LN(2)/35))/(LN(2)/35)*MT59*MU59*VLOOKUP('Données projet'!$B$25,Paramètres!$A$1:$I$89,3,0)*0.475*44/12</f>
        <v>#N/A</v>
      </c>
      <c r="MY59" s="21" t="e">
        <f>EXP(-LN(2)/25)*MY58+(1-EXP(-LN(2)/25))/(LN(2)/25)*Calculateur!MT59*Calculateur!MV59*VLOOKUP('Données projet'!$B$25,Paramètres!$A$1:$I$89,3,0)*0.475*44/12</f>
        <v>#N/A</v>
      </c>
      <c r="MZ59" s="21" t="e">
        <f>EXP(-LN(2)/2)*MZ58+(1-EXP(-LN(2)/2))/(LN(2)/2)*MT59*MW59*VLOOKUP('Données projet'!$B$25,Paramètres!$A$1:$I$89,3,0)*0.475*44/12</f>
        <v>#N/A</v>
      </c>
      <c r="NA59" s="22" t="e">
        <f t="shared" si="108"/>
        <v>#N/A</v>
      </c>
      <c r="NB59" s="74">
        <f>('Scénario référence'!$F$8+'Scénario référence'!$F$9+'Scénario référence'!$B$17+'Scénario référence'!$B$9+'Scénario référence'!$B$10)*70+IF((45+25*(1-EXP(-0.0175*$A59)))&lt;70,'Scénario référence'!$B$16*(45+25*(1-EXP(-0.0175*$A59))),70*'Scénario référence'!$B$16)+IF((32+38*(1-EXP(-0.0175*$A59)))&lt;70,'Scénario référence'!$B$18*(32+38*(1-EXP(-0.0175*$A59))),70*'Scénario référence'!$B$18)</f>
        <v>70</v>
      </c>
      <c r="NC59" s="12">
        <f>IF($A59&gt;30,10,('Scénario référence'!$B$16+'Scénario référence'!$B$17+'Scénario référence'!$B$18+'Scénario référence'!$B$9+'Scénario référence'!$B$10)*$A59*10/30+('Scénario référence'!$F$8+'Scénario référence'!$F$9)*10)</f>
        <v>10</v>
      </c>
      <c r="ND59" s="12" t="e">
        <f>VLOOKUP($A59,'Données projet'!$A$486:$I$506,2,0)</f>
        <v>#N/A</v>
      </c>
      <c r="NE59" s="12" t="e">
        <f>VLOOKUP($A59,'Données projet'!$A$486:$I$506,9,0)</f>
        <v>#N/A</v>
      </c>
      <c r="NF59" s="12">
        <f t="array" ref="NF59">INDEX(NE:NE,MIN(IF(ISNUMBER(NE59:NE255),ROW(NE59:NE255),"")))</f>
        <v>0</v>
      </c>
      <c r="NG59" s="12">
        <f>IF('Données projet'!$A$486&gt;35,NG58+NF59-NO58,IF($A59&lt;'Données projet'!$A$486,$CQ$205^$A59,IF($A59='Données projet'!$A$486,'Données projet'!$B$486,NG58+NF59-NO58)))</f>
        <v>0</v>
      </c>
      <c r="NH59" s="17" t="e">
        <f>NG59*VLOOKUP('Données projet'!$B$26,Paramètres!$A$1:$I$89,3,0)*VLOOKUP('Données projet'!$B$26,Paramètres!$A$1:$I$89,5,0)</f>
        <v>#N/A</v>
      </c>
      <c r="NI59" s="13" t="e">
        <f t="shared" si="109"/>
        <v>#N/A</v>
      </c>
      <c r="NJ59" s="14" t="e">
        <f t="shared" si="52"/>
        <v>#N/A</v>
      </c>
      <c r="NK59" s="59" t="e">
        <f t="shared" si="53"/>
        <v>#N/A</v>
      </c>
      <c r="NL59" s="20" t="e">
        <f ca="1">AVERAGE(OFFSET($NK$3,0,0,'Données projet'!$E$26+1,1))-AVERAGE(OFFSET($H$3,0,0,'Données projet'!$E$26+1,1))</f>
        <v>#N/A</v>
      </c>
      <c r="NM59" s="59" t="e">
        <f t="shared" si="110"/>
        <v>#N/A</v>
      </c>
      <c r="NN59" s="15">
        <f>IF(ISNA(VLOOKUP($A59,'Données projet'!$A$486:$I$506,3,0)),0,VLOOKUP($A59,'Données projet'!$A$486:$I$506,3,0))</f>
        <v>0</v>
      </c>
      <c r="NO59" s="15">
        <f>IF(ISNA(VLOOKUP($A59,'Données projet'!$A$486:$I$506,4,0)),0,VLOOKUP($A59,'Données projet'!$A$486:$I$506,4,0))</f>
        <v>0</v>
      </c>
      <c r="NP59" s="16">
        <f>IF(ISNA(VLOOKUP($A59,'Données projet'!$A$486:$I$506,5,0)),0%,VLOOKUP($A59,'Données projet'!$A$486:$I$506,5,0)*VLOOKUP('Données projet'!$B$26,Paramètres!$A$1:$I$89,7,0))</f>
        <v>0</v>
      </c>
      <c r="NQ59" s="16">
        <f>IF(ISNA(VLOOKUP($A59,'Données projet'!$A$486:$I$506,6,0)),0%,VLOOKUP($A59,'Données projet'!$A$486:$I$506,6,0)*VLOOKUP('Données projet'!$B$26,Paramètres!$A$1:$I$89,7,0))</f>
        <v>0</v>
      </c>
      <c r="NR59" s="16">
        <f>IF(ISNA(VLOOKUP($A59,'Données projet'!$A$486:$I$506,7,0)),0%,VLOOKUP($A59,'Données projet'!$A$486:$I$506,7,0))</f>
        <v>0</v>
      </c>
      <c r="NS59" s="21" t="e">
        <f>EXP(-LN(2)/35)*NS58+(1-EXP(-LN(2)/35))/(LN(2)/35)*NO59*NP59*VLOOKUP('Données projet'!$B$26,Paramètres!$A$1:$I$89,3,0)*0.475*44/12</f>
        <v>#N/A</v>
      </c>
      <c r="NT59" s="21" t="e">
        <f>EXP(-LN(2)/25)*NT58+(1-EXP(-LN(2)/25))/(LN(2)/25)*Calculateur!NO59*Calculateur!NQ59*VLOOKUP('Données projet'!$B$26,Paramètres!$A$1:$I$89,3,0)*0.475*44/12</f>
        <v>#N/A</v>
      </c>
      <c r="NU59" s="21" t="e">
        <f>EXP(-LN(2)/2)*NU58+(1-EXP(-LN(2)/2))/(LN(2)/2)*NO59*NR59*VLOOKUP('Données projet'!$B$26,Paramètres!$A$1:$I$89,3,0)*0.475*44/12</f>
        <v>#N/A</v>
      </c>
      <c r="NV59" s="22" t="e">
        <f t="shared" si="111"/>
        <v>#N/A</v>
      </c>
      <c r="NW59" s="74">
        <f>('Scénario référence'!$F$8+'Scénario référence'!$F$9+'Scénario référence'!$B$17+'Scénario référence'!$B$9+'Scénario référence'!$B$10)*70+IF((45+25*(1-EXP(-0.0175*$A59)))&lt;70,'Scénario référence'!$B$16*(45+25*(1-EXP(-0.0175*$A59))),70*'Scénario référence'!$B$16)+IF((32+38*(1-EXP(-0.0175*$A59)))&lt;70,'Scénario référence'!$B$18*(32+38*(1-EXP(-0.0175*$A59))),70*'Scénario référence'!$B$18)</f>
        <v>70</v>
      </c>
      <c r="NX59" s="12">
        <f>IF($A59&gt;30,10,('Scénario référence'!$B$16+'Scénario référence'!$B$17+'Scénario référence'!$B$18+'Scénario référence'!$B$9+'Scénario référence'!$B$10)*$A59*10/30+('Scénario référence'!$F$8+'Scénario référence'!$F$9)*10)</f>
        <v>10</v>
      </c>
      <c r="NY59" s="12" t="e">
        <f>VLOOKUP($A59,'Données projet'!$A$512:$I$532,2,0)</f>
        <v>#N/A</v>
      </c>
      <c r="NZ59" s="12" t="e">
        <f>VLOOKUP($A59,'Données projet'!$A$512:$I$532,9,0)</f>
        <v>#N/A</v>
      </c>
      <c r="OA59" s="12">
        <f t="array" ref="OA59">INDEX(NZ:NZ,MIN(IF(ISNUMBER(NZ59:NZ255),ROW(NZ59:NZ255),"")))</f>
        <v>0</v>
      </c>
      <c r="OB59" s="12">
        <f>IF('Données projet'!$A$512&gt;35,OB58+OA59-OJ58,IF($A59&lt;'Données projet'!$A$512,$CQ$205^$A59,IF($A59='Données projet'!$A$512,'Données projet'!$B$512,OB58+OA59-OJ58)))</f>
        <v>0</v>
      </c>
      <c r="OC59" s="17" t="e">
        <f>OB59*VLOOKUP('Données projet'!$B$27,Paramètres!$A$1:$I$89,3,0)*VLOOKUP('Données projet'!$B$27,Paramètres!$A$1:$I$89,5,0)</f>
        <v>#N/A</v>
      </c>
      <c r="OD59" s="13" t="e">
        <f t="shared" si="112"/>
        <v>#N/A</v>
      </c>
      <c r="OE59" s="14" t="e">
        <f t="shared" si="55"/>
        <v>#N/A</v>
      </c>
      <c r="OF59" s="59" t="e">
        <f t="shared" si="56"/>
        <v>#N/A</v>
      </c>
      <c r="OG59" s="20" t="e">
        <f ca="1">AVERAGE(OFFSET($OF$3,0,0,'Données projet'!$E$27+1,1))-AVERAGE(OFFSET($H$3,0,0,'Données projet'!$E$27+1,1))</f>
        <v>#N/A</v>
      </c>
      <c r="OH59" s="59" t="e">
        <f t="shared" si="113"/>
        <v>#N/A</v>
      </c>
      <c r="OI59" s="15">
        <f>IF(ISNA(VLOOKUP($A59,'Données projet'!$A$512:$I$532,3,0)),0,VLOOKUP($A59,'Données projet'!$A$512:$I$532,3,0))</f>
        <v>0</v>
      </c>
      <c r="OJ59" s="15">
        <f>IF(ISNA(VLOOKUP($A59,'Données projet'!$A$512:$I$532,4,0)),0,VLOOKUP($A59,'Données projet'!$A$512:$I$532,4,0))</f>
        <v>0</v>
      </c>
      <c r="OK59" s="16">
        <f>IF(ISNA(VLOOKUP($A59,'Données projet'!$A$512:$I$532,5,0)),0%,VLOOKUP($A59,'Données projet'!$A$512:$I$532,5,0)*VLOOKUP('Données projet'!$B$27,Paramètres!$A$1:$I$89,7,0))</f>
        <v>0</v>
      </c>
      <c r="OL59" s="16">
        <f>IF(ISNA(VLOOKUP($A59,'Données projet'!$A$512:$I$532,6,0)),0%,VLOOKUP($A59,'Données projet'!$A$512:$I$532,6,0)*VLOOKUP('Données projet'!$B$27,Paramètres!$A$1:$I$89,7,0))</f>
        <v>0</v>
      </c>
      <c r="OM59" s="16">
        <f>IF(ISNA(VLOOKUP($A59,'Données projet'!$A$512:$I$532,7,0)),0%,VLOOKUP($A59,'Données projet'!$A$512:$I$532,7,0))</f>
        <v>0</v>
      </c>
      <c r="ON59" s="21" t="e">
        <f>EXP(-LN(2)/35)*ON58+(1-EXP(-LN(2)/35))/(LN(2)/35)*OJ59*OK59*VLOOKUP('Données projet'!$B$27,Paramètres!$A$1:$I$89,3,0)*0.475*44/12</f>
        <v>#N/A</v>
      </c>
      <c r="OO59" s="21" t="e">
        <f>EXP(-LN(2)/25)*OO58+(1-EXP(-LN(2)/25))/(LN(2)/25)*Calculateur!OJ59*Calculateur!OL59*VLOOKUP('Données projet'!$B$27,Paramètres!$A$1:$I$89,3,0)*0.475*44/12</f>
        <v>#N/A</v>
      </c>
      <c r="OP59" s="21" t="e">
        <f>EXP(-LN(2)/2)*OP58+(1-EXP(-LN(2)/2))/(LN(2)/2)*OJ59*OM59*VLOOKUP('Données projet'!$B$27,Paramètres!$A$1:$I$89,3,0)*0.475*44/12</f>
        <v>#N/A</v>
      </c>
      <c r="OQ59" s="22" t="e">
        <f t="shared" si="114"/>
        <v>#N/A</v>
      </c>
      <c r="OR59" s="74">
        <f>('Scénario référence'!$F$8+'Scénario référence'!$F$9+'Scénario référence'!$B$17+'Scénario référence'!$B$9+'Scénario référence'!$B$10)*70+IF((45+25*(1-EXP(-0.0175*$A59)))&lt;70,'Scénario référence'!$B$16*(45+25*(1-EXP(-0.0175*$A59))),70*'Scénario référence'!$B$16)+IF((32+38*(1-EXP(-0.0175*$A59)))&lt;70,'Scénario référence'!$B$18*(32+38*(1-EXP(-0.0175*$A59))),70*'Scénario référence'!$B$18)</f>
        <v>70</v>
      </c>
      <c r="OS59" s="12">
        <f>IF($A59&gt;30,10,('Scénario référence'!$B$16+'Scénario référence'!$B$17+'Scénario référence'!$B$18+'Scénario référence'!$B$9+'Scénario référence'!$B$10)*$A59*10/30+('Scénario référence'!$F$8+'Scénario référence'!$F$9)*10)</f>
        <v>10</v>
      </c>
      <c r="OT59" s="12" t="e">
        <f>VLOOKUP($A59,'Données projet'!$A$538:$I$558,2,0)</f>
        <v>#N/A</v>
      </c>
      <c r="OU59" s="12" t="e">
        <f>VLOOKUP($A59,'Données projet'!$A$538:$I$558,9,0)</f>
        <v>#N/A</v>
      </c>
      <c r="OV59" s="12">
        <f t="array" ref="OV59">INDEX(OU:OU,MIN(IF(ISNUMBER(OU59:OU255),ROW(OU59:OU255),"")))</f>
        <v>0</v>
      </c>
      <c r="OW59" s="12">
        <f>IF('Données projet'!$A$538&gt;35,OW58+OV59-PE58,IF($A59&lt;'Données projet'!$A$538,$CQ$205^$A59,IF($A59='Données projet'!$A$538,'Données projet'!$B$538,OW58+OV59-PE58)))</f>
        <v>0</v>
      </c>
      <c r="OX59" s="17" t="e">
        <f>OW59*VLOOKUP('Données projet'!$B$28,Paramètres!$A$1:$I$89,3,0)*VLOOKUP('Données projet'!$B$28,Paramètres!$A$1:$I$89,5,0)</f>
        <v>#N/A</v>
      </c>
      <c r="OY59" s="13" t="e">
        <f t="shared" si="115"/>
        <v>#N/A</v>
      </c>
      <c r="OZ59" s="14" t="e">
        <f t="shared" si="58"/>
        <v>#N/A</v>
      </c>
      <c r="PA59" s="59" t="e">
        <f t="shared" si="59"/>
        <v>#N/A</v>
      </c>
      <c r="PB59" s="20" t="e">
        <f ca="1">AVERAGE(OFFSET($PA$3,0,0,'Données projet'!$E$28+1,1))-AVERAGE(OFFSET($H$3,0,0,'Données projet'!$E$28+1,1))</f>
        <v>#N/A</v>
      </c>
      <c r="PC59" s="59" t="e">
        <f t="shared" si="116"/>
        <v>#N/A</v>
      </c>
      <c r="PD59" s="15">
        <f>IF(ISNA(VLOOKUP($A59,'Données projet'!$A$538:$I$558,3,0)),0,VLOOKUP($A59,'Données projet'!$A$538:$I$558,3,0))</f>
        <v>0</v>
      </c>
      <c r="PE59" s="15">
        <f>IF(ISNA(VLOOKUP($A59,'Données projet'!$A$538:$I$558,4,0)),0,VLOOKUP($A59,'Données projet'!$A$538:$I$558,4,0))</f>
        <v>0</v>
      </c>
      <c r="PF59" s="16">
        <f>IF(ISNA(VLOOKUP($A59,'Données projet'!$A$538:$I$558,5,0)),0%,VLOOKUP($A59,'Données projet'!$A$538:$I$558,5,0)*VLOOKUP('Données projet'!$B$28,Paramètres!$A$1:$I$89,7,0))</f>
        <v>0</v>
      </c>
      <c r="PG59" s="16">
        <f>IF(ISNA(VLOOKUP($A59,'Données projet'!$A$538:$I$558,6,0)),0%,VLOOKUP($A59,'Données projet'!$A$538:$I$558,6,0)*VLOOKUP('Données projet'!$B$28,Paramètres!$A$1:$I$89,7,0))</f>
        <v>0</v>
      </c>
      <c r="PH59" s="16">
        <f>IF(ISNA(VLOOKUP($A59,'Données projet'!$A$538:$I$558,7,0)),0%,VLOOKUP($A59,'Données projet'!$A$538:$I$558,7,0))</f>
        <v>0</v>
      </c>
      <c r="PI59" s="21" t="e">
        <f>EXP(-LN(2)/35)*PI58+(1-EXP(-LN(2)/35))/(LN(2)/35)*PE59*PF59*VLOOKUP('Données projet'!$B$28,Paramètres!$A$1:$I$89,3,0)*0.475*44/12</f>
        <v>#N/A</v>
      </c>
      <c r="PJ59" s="21" t="e">
        <f>EXP(-LN(2)/25)*PJ58+(1-EXP(-LN(2)/25))/(LN(2)/25)*Calculateur!PE59*Calculateur!PG59*VLOOKUP('Données projet'!$B$28,Paramètres!$A$1:$I$89,3,0)*0.475*44/12</f>
        <v>#N/A</v>
      </c>
      <c r="PK59" s="21" t="e">
        <f>EXP(-LN(2)/2)*PK58+(1-EXP(-LN(2)/2))/(LN(2)/2)*PE59*PH59*VLOOKUP('Données projet'!$B$28,Paramètres!$A$1:$I$89,3,0)*0.475*44/12</f>
        <v>#N/A</v>
      </c>
      <c r="PL59" s="22" t="e">
        <f t="shared" si="117"/>
        <v>#N/A</v>
      </c>
    </row>
    <row r="60" spans="1:428" x14ac:dyDescent="0.35">
      <c r="A60" s="10">
        <f t="shared" si="6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6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projet'!$A$45:$I$65,2,0)</f>
        <v>#N/A</v>
      </c>
      <c r="L60" s="12" t="e">
        <f>VLOOKUP(A60,'Données projet'!$A$45:$I$65,9,0)</f>
        <v>#N/A</v>
      </c>
      <c r="M60" s="12">
        <f t="array" ref="M60">INDEX(L:L,MIN(IF(ISNUMBER(L60:L256),ROW(L60:L256),"")))</f>
        <v>0</v>
      </c>
      <c r="N60" s="13">
        <f>IF('Données projet'!$A$46&gt;35,N59+M60-V59,IF(A60&lt;'Données projet'!$A$46,$K$205^A60,IF(A60='Données projet'!$A$46,'Données projet'!$B$46,N59+M60-V59)))</f>
        <v>-1.1368683772161603E-13</v>
      </c>
      <c r="O60" s="13">
        <f>N60*VLOOKUP('Données projet'!$B$9,Paramètres!$A$1:$I$89,3,0)*VLOOKUP('Données projet'!$B$9,Paramètres!$A$1:$I$89,5,0)</f>
        <v>-6.3550942286383367E-14</v>
      </c>
      <c r="P60" s="13" t="e">
        <f t="shared" si="63"/>
        <v>#NUM!</v>
      </c>
      <c r="Q60" s="20" t="e">
        <f t="shared" si="118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274.57619581652199</v>
      </c>
      <c r="T60" s="59">
        <f t="shared" si="64"/>
        <v>366.15117322598775</v>
      </c>
      <c r="U60" s="15">
        <f>IF(ISNA(VLOOKUP(A60,'Données projet'!$A$45:$I$65,3,0)),0,VLOOKUP(A60,'Données projet'!$A$45:$I$65,3,0))</f>
        <v>0</v>
      </c>
      <c r="V60" s="15">
        <f>IF(ISNA(VLOOKUP(A60,'Données projet'!$A$45:$I$65,4,0)),0,VLOOKUP(A60,'Données projet'!$A$45:$I$65,4,0))</f>
        <v>0</v>
      </c>
      <c r="W60" s="16">
        <f>IF(ISNA(VLOOKUP(A60,'Données projet'!$A$45:$I$65,5,0)),0%,VLOOKUP(A60,'Données projet'!$A$45:$I$65,5,0)*VLOOKUP('Données projet'!$B$9,Paramètres!$A$1:$I$89,7,0))</f>
        <v>0</v>
      </c>
      <c r="X60" s="16">
        <f>IF(ISNA(VLOOKUP(A60,'Données projet'!$A$45:$I$65,6,0)),0%,VLOOKUP(A60,'Données projet'!$A$45:$I$65,6,0)*VLOOKUP('Données projet'!$B$9,Paramètres!$A$1:$I$89,7,0))</f>
        <v>0</v>
      </c>
      <c r="Y60" s="16">
        <f>IF(ISNA(VLOOKUP(A60,'Données projet'!$A$45:$I$65,7,0)),0%,VLOOKUP(A60,'Données projet'!$A$45:$I$65,7,0))</f>
        <v>0</v>
      </c>
      <c r="Z60" s="21">
        <f>EXP(-LN(2)/35)*Z59+(1-EXP(-LN(2)/35))/(LN(2)/35)*V60*W60*VLOOKUP('Données projet'!$B$9,Paramètres!$A$1:$I$89,3,0)*0.475*44/12</f>
        <v>217.8550237372109</v>
      </c>
      <c r="AA60" s="21">
        <f>EXP(-LN(2)/25)*AA59+(1-EXP(-LN(2)/25))/(LN(2)/25)*Calculateur!V60*Calculateur!X60*VLOOKUP('Données projet'!$B$9,Paramètres!$A$1:$I$89,3,0)*0.475*44/12</f>
        <v>54.500186541418472</v>
      </c>
      <c r="AB60" s="21">
        <f>EXP(-LN(2)/2)*AB59+(1-EXP(-LN(2)/2))/(LN(2)/2)*V60*Y60*VLOOKUP('Données projet'!$B$9,Paramètres!$A$1:$I$89,3,0)*0.475*44/12</f>
        <v>17.08065200205623</v>
      </c>
      <c r="AC60" s="22">
        <f t="shared" si="3"/>
        <v>289.43586228068563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projet'!$A$71:$I$91,2,0)</f>
        <v>#N/A</v>
      </c>
      <c r="AG60" s="12" t="e">
        <f>VLOOKUP(A60,'Données projet'!$A$71:$I$91,9,0)</f>
        <v>#N/A</v>
      </c>
      <c r="AH60" s="12">
        <f t="array" ref="AH60">INDEX(AG:AG,MIN(IF(ISNUMBER(AG60:AG256),ROW(AG60:AG256),"")))</f>
        <v>8.374198717948719</v>
      </c>
      <c r="AI60" s="13">
        <f>IF('Données projet'!$A$72&gt;35,AI59+AH60-AQ59,IF(A60&lt;'Données projet'!$A$72,$AF$205^A60,IF(A60='Données projet'!$A$72,'Données projet'!$B$72,AI59+AH60-AQ59)))</f>
        <v>170.04326923076928</v>
      </c>
      <c r="AJ60" s="13">
        <f>AI60*VLOOKUP('Données projet'!$B$10,Paramètres!$A$1:$I$89,3,0)*VLOOKUP('Données projet'!$B$10,Paramètres!$A$1:$I$89,5,0)</f>
        <v>153.85515000000004</v>
      </c>
      <c r="AK60" s="13">
        <f t="shared" si="65"/>
        <v>39.453384193994481</v>
      </c>
      <c r="AL60" s="20">
        <f t="shared" si="4"/>
        <v>336.67903038787375</v>
      </c>
      <c r="AM60" s="59">
        <f t="shared" si="5"/>
        <v>630.01236372120707</v>
      </c>
      <c r="AN60" s="59">
        <f ca="1">AVERAGE(OFFSET($AM$3,0,0,'Données projet'!$E$10+1,1))-AVERAGE(OFFSET($H$3,0,0,'Données projet'!$E$10+1,1))</f>
        <v>270.87836509222456</v>
      </c>
      <c r="AO60" s="59">
        <f t="shared" si="66"/>
        <v>205.24998237949734</v>
      </c>
      <c r="AP60" s="15">
        <f>IF(ISNA(VLOOKUP(A60,'Données projet'!$A$71:$I$91,3,0)),0,VLOOKUP(A60,'Données projet'!$A$71:$I$91,3,0))</f>
        <v>0</v>
      </c>
      <c r="AQ60" s="15">
        <f>IF(ISNA(VLOOKUP(A60,'Données projet'!$A$71:$I$91,4,0)),0,VLOOKUP(A60,'Données projet'!$A$71:$I$91,4,0))</f>
        <v>0</v>
      </c>
      <c r="AR60" s="16">
        <f>IF(ISNA(VLOOKUP(A60,'Données projet'!$A$71:$I$91,5,0)),0%,VLOOKUP(A60,'Données projet'!$A$71:$I$91,5,0)*VLOOKUP('Données projet'!$B$10,Paramètres!$A$1:$I$89,7,0))</f>
        <v>0</v>
      </c>
      <c r="AS60" s="16">
        <f>IF(ISNA(VLOOKUP(A60,'Données projet'!$A$71:$I$91,6,0)),0%,VLOOKUP(A60,'Données projet'!$A$71:$I$91,6,0)*VLOOKUP('Données projet'!$B$10,Paramètres!$A$1:$I$89,7,0))</f>
        <v>0</v>
      </c>
      <c r="AT60" s="16">
        <f>IF(ISNA(VLOOKUP(A60,'Données projet'!$A$71:$I$91,7,0)),0%,VLOOKUP(A60,'Données projet'!$A$71:$I$91,7,0))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projet'!$A$97:$I$117,2,0)</f>
        <v>#N/A</v>
      </c>
      <c r="BB60" s="12" t="e">
        <f>VLOOKUP(A60,'Données projet'!$A$97:$I$117,9,0)</f>
        <v>#N/A</v>
      </c>
      <c r="BC60" s="12">
        <f t="array" ref="BC60">INDEX(BB:BB,MIN(IF(ISNUMBER(BB60:BB256),ROW(BB60:BB256),"")))</f>
        <v>0</v>
      </c>
      <c r="BD60" s="12">
        <f>IF('Données projet'!$A$98&gt;35,BD59+BC60-BL59,IF(A60&lt;'Données projet'!$A$98,$BA$205^A60,IF(A60='Données projet'!$A$98,'Données projet'!$B$98,BD59+BC60-BL59)))</f>
        <v>-1.1368683772161603E-13</v>
      </c>
      <c r="BE60" s="13">
        <f>BD60*VLOOKUP('Données projet'!$B$11,Paramètres!$A$1:$I$89,3,0)*VLOOKUP('Données projet'!$B$11,Paramètres!$A$1:$I$89,5,0)</f>
        <v>-5.0249582272954292E-14</v>
      </c>
      <c r="BF60" s="13" t="e">
        <f t="shared" si="6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211.31057120485542</v>
      </c>
      <c r="BJ60" s="59">
        <f t="shared" si="68"/>
        <v>283.33292006714777</v>
      </c>
      <c r="BK60" s="15">
        <f>IF(ISNA(VLOOKUP(A60,'Données projet'!$A$97:$I$117,3,0)),0,VLOOKUP(A60,'Données projet'!$A$97:$I$117,3,0))</f>
        <v>0</v>
      </c>
      <c r="BL60" s="15">
        <f>IF(ISNA(VLOOKUP(A60,'Données projet'!$A$97:$I$117,4,0)),0,VLOOKUP(A60,'Données projet'!$A$97:$I$117,4,0))</f>
        <v>0</v>
      </c>
      <c r="BM60" s="16">
        <f>IF(ISNA(VLOOKUP(A60,'Données projet'!$A$97:$I$117,5,0)),0%,VLOOKUP(A60,'Données projet'!$A$97:$I$117,5,0)*VLOOKUP('Données projet'!$B$11,Paramètres!$A$1:$I$89,7,0))</f>
        <v>0</v>
      </c>
      <c r="BN60" s="16">
        <f>IF(ISNA(VLOOKUP(A60,'Données projet'!$A$97:$I$117,6,0)),0%,VLOOKUP(A60,'Données projet'!$A$97:$I$117,6,0)*VLOOKUP('Données projet'!$B$11,Paramètres!$A$1:$I$89,7,0))</f>
        <v>0</v>
      </c>
      <c r="BO60" s="16">
        <f>IF(ISNA(VLOOKUP(A60,'Données projet'!$A$97:$I$117,7,0)),0%,VLOOKUP(A60,'Données projet'!$A$97:$I$117,7,0))</f>
        <v>0</v>
      </c>
      <c r="BP60" s="21">
        <f>EXP(-LN(2)/35)*BP59+(1-EXP(-LN(2)/35))/(LN(2)/35)*BL60*BM60*VLOOKUP('Données projet'!$B$11,Paramètres!$A$1:$I$89,3,0)*0.475*44/12</f>
        <v>172.25746062942258</v>
      </c>
      <c r="BQ60" s="21">
        <f>EXP(-LN(2)/25)*BQ59+(1-EXP(-LN(2)/25))/(LN(2)/25)*Calculateur!BL60*Calculateur!BN60*VLOOKUP('Données projet'!$B$11,Paramètres!$A$1:$I$89,3,0)*0.475*44/12</f>
        <v>43.093170753679729</v>
      </c>
      <c r="BR60" s="21">
        <f>EXP(-LN(2)/2)*BR59+(1-EXP(-LN(2)/2))/(LN(2)/2)*BL60*BO60*VLOOKUP('Données projet'!$B$11,Paramètres!$A$1:$I$89,3,0)*0.475*44/12</f>
        <v>13.505631815579344</v>
      </c>
      <c r="BS60" s="22">
        <f t="shared" si="9"/>
        <v>228.85626319868166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projet'!$A$123:$I$143,2,0)</f>
        <v>#N/A</v>
      </c>
      <c r="BW60" s="12" t="e">
        <f>VLOOKUP(A60,'Données projet'!$A$123:$I$143,9,0)</f>
        <v>#N/A</v>
      </c>
      <c r="BX60" s="12">
        <f t="array" ref="BX60">INDEX(BW:BW,MIN(IF(ISNUMBER(BW60:BW256),ROW(BW60:BW256),"")))</f>
        <v>6</v>
      </c>
      <c r="BY60" s="12">
        <f>IF('Données projet'!$A$124&gt;35,BY59+BX60-CG59,IF(A60&lt;'Données projet'!$A$124,$BV$205^A60,IF(A60='Données projet'!$A$124,'Données projet'!$B$124,BY59+BX60-CG59)))</f>
        <v>207.00000000000003</v>
      </c>
      <c r="BZ60" s="13">
        <f>BY60*VLOOKUP('Données projet'!$B$12,Paramètres!$A$1:$I$89,3,0)*VLOOKUP('Données projet'!$B$12,Paramètres!$A$1:$I$89,5,0)</f>
        <v>216.35640000000004</v>
      </c>
      <c r="CA60" s="13">
        <f t="shared" si="69"/>
        <v>53.322199188237285</v>
      </c>
      <c r="CB60" s="20">
        <f t="shared" si="10"/>
        <v>469.69022691951341</v>
      </c>
      <c r="CC60" s="59">
        <f t="shared" si="11"/>
        <v>763.02356025284666</v>
      </c>
      <c r="CD60" s="59">
        <f ca="1">AVERAGE(OFFSET($CC$3,0,0,'Données projet'!$E$12+1,1))-AVERAGE(OFFSET($H$3,0,0,'Données projet'!$E$12+1,1))</f>
        <v>322.93502595881938</v>
      </c>
      <c r="CE60" s="59">
        <f t="shared" si="70"/>
        <v>302.67072119588164</v>
      </c>
      <c r="CF60" s="15">
        <f>IF(ISNA(VLOOKUP(A60,'Données projet'!$A$123:$I$143,3,0)),0,VLOOKUP(A60,'Données projet'!$A$123:$I$143,3,0))</f>
        <v>0</v>
      </c>
      <c r="CG60" s="15">
        <f>IF(ISNA(VLOOKUP(A60,'Données projet'!$A$123:$I$143,4,0)),0,VLOOKUP(A60,'Données projet'!$A$123:$I$143,4,0))</f>
        <v>0</v>
      </c>
      <c r="CH60" s="16">
        <f>IF(ISNA(VLOOKUP(A60,'Données projet'!$A$123:$I$143,5,0)),0%,VLOOKUP(A60,'Données projet'!$A$123:$I$143,5,0)*VLOOKUP('Données projet'!$B$12,Paramètres!$A$1:$I$89,7,0))</f>
        <v>0</v>
      </c>
      <c r="CI60" s="16">
        <f>IF(ISNA(VLOOKUP(A60,'Données projet'!$A$123:$I$143,6,0)),0%,VLOOKUP(A60,'Données projet'!$A$123:$I$143,6,0)*VLOOKUP('Données projet'!$B$12,Paramètres!$A$1:$I$89,7,0))</f>
        <v>0</v>
      </c>
      <c r="CJ60" s="16">
        <f>IF(ISNA(VLOOKUP(A60,'Données projet'!$A$123:$I$143,7,0)),0%,VLOOKUP(A60,'Données projet'!$A$123:$I$143,7,0))</f>
        <v>0</v>
      </c>
      <c r="CK60" s="21">
        <f>EXP(-LN(2)/35)*CK59+(1-EXP(-LN(2)/35))/(LN(2)/35)*CG60*CH60*VLOOKUP('Données projet'!$B$12,Paramètres!$A$1:$I$89,3,0)*0.475*44/12</f>
        <v>12.619781354352137</v>
      </c>
      <c r="CL60" s="21">
        <f>EXP(-LN(2)/25)*CL59+(1-EXP(-LN(2)/25))/(LN(2)/25)*Calculateur!CG60*Calculateur!CI60*VLOOKUP('Données projet'!$B$12,Paramètres!$A$1:$I$89,3,0)*0.475*44/12</f>
        <v>19.710387172477954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32.330168526830093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projet'!$A$149:$I$169,2,0)</f>
        <v>#N/A</v>
      </c>
      <c r="CR60" s="12" t="e">
        <f>VLOOKUP(A60,'Données projet'!$A$149:$I$169,9,0)</f>
        <v>#N/A</v>
      </c>
      <c r="CS60" s="12">
        <f t="array" ref="CS60">INDEX(CR:CR,MIN(IF(ISNUMBER(CR60:CR256),ROW(CR60:CR256),"")))</f>
        <v>6.3942307692307701</v>
      </c>
      <c r="CT60" s="12">
        <f>IF('Données projet'!$A$150&gt;35,CT59+CS60-DB59,IF(A60&lt;'Données projet'!$A$150,$CQ$205^A60,IF(A60='Données projet'!$A$150,'Données projet'!$B$150,CT59+CS60-DB59)))</f>
        <v>146.4679487179487</v>
      </c>
      <c r="CU60" s="17">
        <f>CT60*VLOOKUP('Données projet'!$B$13,Paramètres!$A$1:$I$89,3,0)*VLOOKUP('Données projet'!$B$13,Paramètres!$A$1:$I$89,5,0)</f>
        <v>148.51850000000002</v>
      </c>
      <c r="CV60" s="13">
        <f t="shared" si="71"/>
        <v>38.241715185767696</v>
      </c>
      <c r="CW60" s="20">
        <f t="shared" si="13"/>
        <v>325.27404144854546</v>
      </c>
      <c r="CX60" s="59">
        <f t="shared" si="14"/>
        <v>618.60737478187878</v>
      </c>
      <c r="CY60" s="59">
        <f ca="1">AVERAGE(OFFSET($CX$3,0,0,'Données projet'!$E$13+1,1))-AVERAGE(OFFSET($H$3,0,0,'Données projet'!$E$13+1,1))</f>
        <v>250.31277422753283</v>
      </c>
      <c r="CZ60" s="59">
        <f t="shared" si="72"/>
        <v>159.20429420478047</v>
      </c>
      <c r="DA60" s="15">
        <f>IF(ISNA(VLOOKUP(A60,'Données projet'!$A$149:$I$169,3,0)),0,VLOOKUP(A60,'Données projet'!$A$149:$I$169,3,0))</f>
        <v>0</v>
      </c>
      <c r="DB60" s="15">
        <f>IF(ISNA(VLOOKUP(A60,'Données projet'!$A$149:$I$169,4,0)),0,VLOOKUP(A60,'Données projet'!$A$149:$I$169,4,0))</f>
        <v>0</v>
      </c>
      <c r="DC60" s="16">
        <f>IF(ISNA(VLOOKUP(A60,'Données projet'!$A$149:$I$169,5,0)),0%,VLOOKUP(A60,'Données projet'!$A$149:$I$169,5,0)*VLOOKUP('Données projet'!$B$13,Paramètres!$A$1:$I$89,7,0))</f>
        <v>0</v>
      </c>
      <c r="DD60" s="16">
        <f>IF(ISNA(VLOOKUP(A60,'Données projet'!$A$149:$I$169,6,0)),0%,VLOOKUP(A60,'Données projet'!$A$149:$I$169,6,0)*VLOOKUP('Données projet'!$B$13,Paramètres!$A$1:$I$89,7,0))</f>
        <v>0</v>
      </c>
      <c r="DE60" s="16">
        <f>IF(ISNA(VLOOKUP(A60,'Données projet'!$A$149:$I$169,7,0)),0%,VLOOKUP(A60,'Données projet'!$A$149:$I$169,7,0))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0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projet'!$A$175:$I$195,2,0)</f>
        <v>#N/A</v>
      </c>
      <c r="DM60" s="12" t="e">
        <f>VLOOKUP(A60,'Données projet'!$A$175:$I$195,9,0)</f>
        <v>#N/A</v>
      </c>
      <c r="DN60" s="12">
        <f t="array" ref="DN60">INDEX(DM:DM,MIN(IF(ISNUMBER(DM60:DM256),ROW(DM60:DM256),"")))</f>
        <v>7.4</v>
      </c>
      <c r="DO60" s="12">
        <f>IF('Données projet'!$A$176&gt;35,DO59+DN60-DW59,IF(A60&lt;'Données projet'!$A$176,$DL$205^A60,IF(A60='Données projet'!$A$176,'Données projet'!$B$176,DO59+DN60-DW59)))</f>
        <v>320.79999999999978</v>
      </c>
      <c r="DP60" s="17">
        <f>DO60*VLOOKUP('Données projet'!$B$14,Paramètres!$A$1:$I$89,3,0)*VLOOKUP('Données projet'!$B$14,Paramètres!$A$1:$I$89,5,0)</f>
        <v>235.21055999999984</v>
      </c>
      <c r="DQ60" s="13">
        <f t="shared" si="73"/>
        <v>57.407853322119394</v>
      </c>
      <c r="DR60" s="20">
        <f t="shared" si="16"/>
        <v>509.64373653602433</v>
      </c>
      <c r="DS60" s="59">
        <f t="shared" si="17"/>
        <v>802.97706986935759</v>
      </c>
      <c r="DT60" s="59">
        <f ca="1">AVERAGE(OFFSET($DS$3,0,0,'Données projet'!$E$14+1,1))-AVERAGE(OFFSET($H$3,0,0,'Données projet'!$E$14+1,1))</f>
        <v>296.91321813251051</v>
      </c>
      <c r="DU60" s="59">
        <f t="shared" si="74"/>
        <v>291.0718079639509</v>
      </c>
      <c r="DV60" s="15">
        <f>IF(ISNA(VLOOKUP(A60,'Données projet'!$A$175:$I$195,3,0)),0,VLOOKUP(A60,'Données projet'!$A$175:$I$195,3,0))</f>
        <v>0</v>
      </c>
      <c r="DW60" s="15">
        <f>IF(ISNA(VLOOKUP(A60,'Données projet'!$A$175:$I$195,4,0)),0,VLOOKUP(A60,'Données projet'!$A$175:$I$195,4,0))</f>
        <v>0</v>
      </c>
      <c r="DX60" s="16">
        <f>IF(ISNA(VLOOKUP(A60,'Données projet'!$A$175:$I$195,5,0)),0%,VLOOKUP(A60,'Données projet'!$A$175:$I$195,5,0)*VLOOKUP('Données projet'!$B$14,Paramètres!$A$1:$I$89,7,0))</f>
        <v>0</v>
      </c>
      <c r="DY60" s="16">
        <f>IF(ISNA(VLOOKUP(A60,'Données projet'!$A$175:$I$195,6,0)),0%,VLOOKUP(A60,'Données projet'!$A$175:$I$195,6,0)*VLOOKUP('Données projet'!$B$14,Paramètres!$A$1:$I$89,7,0))</f>
        <v>0</v>
      </c>
      <c r="DZ60" s="16">
        <f>IF(ISNA(VLOOKUP(A60,'Données projet'!$A$175:$I$195,7,0)),0%,VLOOKUP(A60,'Données projet'!$A$175:$I$195,7,0))</f>
        <v>0</v>
      </c>
      <c r="EA60" s="21">
        <f>EXP(-LN(2)/35)*EA59+(1-EXP(-LN(2)/35))/(LN(2)/35)*DW60*DX60*VLOOKUP('Données projet'!$B$14,Paramètres!$A$1:$I$89,3,0)*0.475*44/12</f>
        <v>39.310292475006733</v>
      </c>
      <c r="EB60" s="21">
        <f>EXP(-LN(2)/25)*EB59+(1-EXP(-LN(2)/25))/(LN(2)/25)*Calculateur!DW60*Calculateur!DY60*VLOOKUP('Données projet'!$B$14,Paramètres!$A$1:$I$89,3,0)*0.475*44/12</f>
        <v>8.6329184484571311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47.943210923463866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projet'!$A$201:$I$221,2,0)</f>
        <v>#N/A</v>
      </c>
      <c r="EH60" s="12" t="e">
        <f>VLOOKUP(A60,'Données projet'!$A$201:$I$221,9,0)</f>
        <v>#N/A</v>
      </c>
      <c r="EI60" s="12">
        <f t="array" ref="EI60">INDEX(EH:EH,MIN(IF(ISNUMBER(EH60:EH256),ROW(EH60:EH256),"")))</f>
        <v>10.763461538461542</v>
      </c>
      <c r="EJ60" s="12">
        <f>IF('Données projet'!$A$202&gt;35,EJ59+EI60-ER59,IF(A60&lt;'Données projet'!$A$202,$EG$205^A60,IF(A60='Données projet'!$A$202,'Données projet'!$B$202,EJ59+EI60-ER59)))</f>
        <v>286.11153846153843</v>
      </c>
      <c r="EK60" s="17">
        <f>EJ60*VLOOKUP('Données projet'!$B$15,Paramètres!$A$1:$I$89,3,0)*VLOOKUP('Données projet'!$B$15,Paramètres!$A$1:$I$89,5,0)</f>
        <v>133.90019999999998</v>
      </c>
      <c r="EL60" s="13">
        <f t="shared" si="75"/>
        <v>34.89602472081711</v>
      </c>
      <c r="EM60" s="20">
        <f t="shared" si="19"/>
        <v>293.98675805542308</v>
      </c>
      <c r="EN60" s="59">
        <f t="shared" si="20"/>
        <v>587.3200913887564</v>
      </c>
      <c r="EO60" s="59">
        <f ca="1">AVERAGE(OFFSET($EN$3,0,0,'Données projet'!$E$15+1,1))-AVERAGE(OFFSET($H$3,0,0,'Données projet'!$E$15+1,1))</f>
        <v>147.64256291235483</v>
      </c>
      <c r="EP60" s="59">
        <f t="shared" si="76"/>
        <v>70.859031694091868</v>
      </c>
      <c r="EQ60" s="15">
        <f>IF(ISNA(VLOOKUP(A60,'Données projet'!$A$201:$I$221,3,0)),0,VLOOKUP(A60,'Données projet'!$A$201:$I$221,3,0))</f>
        <v>0</v>
      </c>
      <c r="ER60" s="15">
        <f>IF(ISNA(VLOOKUP(A60,'Données projet'!$A$201:$I$221,4,0)),0,VLOOKUP(A60,'Données projet'!$A$201:$I$221,4,0))</f>
        <v>0</v>
      </c>
      <c r="ES60" s="16">
        <f>IF(ISNA(VLOOKUP(A60,'Données projet'!$A$201:$I$221,5,0)),0%,VLOOKUP(A60,'Données projet'!$A$201:$I$221,5,0)*VLOOKUP('Données projet'!$B$15,Paramètres!$A$1:$I$89,7,0))</f>
        <v>0</v>
      </c>
      <c r="ET60" s="16">
        <f>IF(ISNA(VLOOKUP(A60,'Données projet'!$A$201:$I$221,6,0)),0%,VLOOKUP(A60,'Données projet'!$A$201:$I$221,6,0)*VLOOKUP('Données projet'!$B$15,Paramètres!$A$1:$I$89,7,0))</f>
        <v>0</v>
      </c>
      <c r="EU60" s="16">
        <f>IF(ISNA(VLOOKUP(A60,'Données projet'!$A$201:$I$221,7,0)),0%,VLOOKUP(A60,'Données projet'!$A$201:$I$221,7,0))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16.177023187641215</v>
      </c>
      <c r="EX60" s="21">
        <f>EXP(-LN(2)/2)*EX59+(1-EXP(-LN(2)/2))/(LN(2)/2)*ER60*EU60*VLOOKUP('Données projet'!$B$15,Paramètres!$A$1:$I$89,3,0)*0.475*44/12</f>
        <v>2.9233332136295345</v>
      </c>
      <c r="EY60" s="22">
        <f t="shared" si="21"/>
        <v>19.100356401270748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projet'!$A$227:$I$247,2,0)</f>
        <v>#N/A</v>
      </c>
      <c r="FC60" s="12" t="e">
        <f>VLOOKUP(A60,'Données projet'!$A$227:$I$247,9,0)</f>
        <v>#N/A</v>
      </c>
      <c r="FD60" s="12">
        <f t="array" ref="FD60">INDEX(FC:FC,MIN(IF(ISNUMBER(FC60:FC256),ROW(FC60:FC256),"")))</f>
        <v>5</v>
      </c>
      <c r="FE60" s="12">
        <f>IF('Données projet'!$A$228&gt;35,FE59+FD60-FM59,IF(A60&lt;'Données projet'!$A$228,$FB$205^A60,IF(A60='Données projet'!$A$228,'Données projet'!$B$228,FE59+FD60-FM59)))</f>
        <v>173.99999999999997</v>
      </c>
      <c r="FF60" s="17">
        <f>FE60*VLOOKUP('Données projet'!$B$16,Paramètres!$A$1:$I$89,3,0)*VLOOKUP('Données projet'!$B$16,Paramètres!$A$1:$I$89,5,0)</f>
        <v>181.86479999999997</v>
      </c>
      <c r="FG60" s="13">
        <f t="shared" si="77"/>
        <v>45.73682061391029</v>
      </c>
      <c r="FH60" s="20">
        <f t="shared" si="22"/>
        <v>396.40615590256039</v>
      </c>
      <c r="FI60" s="59">
        <f t="shared" si="23"/>
        <v>689.73948923589364</v>
      </c>
      <c r="FJ60" s="59">
        <f ca="1">AVERAGE(OFFSET($FI$3,0,0,'Données projet'!$E$16+1,1))-AVERAGE(OFFSET($H$3,0,0,'Données projet'!$E$16+1,1))</f>
        <v>259.03906550253788</v>
      </c>
      <c r="FK60" s="59">
        <f t="shared" si="78"/>
        <v>235.54542903570831</v>
      </c>
      <c r="FL60" s="15">
        <f>IF(ISNA(VLOOKUP(A60,'Données projet'!$A$227:$I$247,3,0)),0,VLOOKUP(A60,'Données projet'!$A$227:$I$247,3,0))</f>
        <v>0</v>
      </c>
      <c r="FM60" s="15">
        <f>IF(ISNA(VLOOKUP(A60,'Données projet'!$A$227:$I$247,4,0)),0,VLOOKUP(A60,'Données projet'!$A$227:$I$247,4,0))</f>
        <v>0</v>
      </c>
      <c r="FN60" s="16">
        <f>IF(ISNA(VLOOKUP(A60,'Données projet'!$A$227:$I$247,5,0)),0%,VLOOKUP(A60,'Données projet'!$A$227:$I$247,5,0)*VLOOKUP('Données projet'!$B$16,Paramètres!$A$1:$I$89,7,0))</f>
        <v>0</v>
      </c>
      <c r="FO60" s="16">
        <f>IF(ISNA(VLOOKUP(A60,'Données projet'!$A$227:$I$247,6,0)),0%,VLOOKUP(A60,'Données projet'!$A$227:$I$247,6,0)*VLOOKUP('Données projet'!$B$16,Paramètres!$A$1:$I$89,7,0))</f>
        <v>0</v>
      </c>
      <c r="FP60" s="16">
        <f>IF(ISNA(VLOOKUP(A60,'Données projet'!$A$227:$I$247,7,0)),0%,VLOOKUP(A60,'Données projet'!$A$227:$I$247,7,0))</f>
        <v>0</v>
      </c>
      <c r="FQ60" s="21">
        <f>EXP(-LN(2)/35)*FQ59+(1-EXP(-LN(2)/35))/(LN(2)/35)*FM60*FN60*VLOOKUP('Données projet'!$B$16,Paramètres!$A$1:$I$89,3,0)*0.475*44/12</f>
        <v>3.2472981543358643</v>
      </c>
      <c r="FR60" s="21">
        <f>EXP(-LN(2)/25)*FR59+(1-EXP(-LN(2)/25))/(LN(2)/25)*Calculateur!FM60*Calculateur!FO60*VLOOKUP('Données projet'!$B$16,Paramètres!$A$1:$I$89,3,0)*0.475*44/12</f>
        <v>13.311557889369737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16.558856043705603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projet'!$A$253:$I$273,2,0)</f>
        <v>#N/A</v>
      </c>
      <c r="FX60" s="12" t="e">
        <f>VLOOKUP(A60,'Données projet'!$A$253:$I$273,9,0)</f>
        <v>#N/A</v>
      </c>
      <c r="FY60" s="12">
        <f t="array" ref="FY60">INDEX(FX:FX,MIN(IF(ISNUMBER(FX60:FX256),ROW(FX60:FX256),"")))</f>
        <v>5.2</v>
      </c>
      <c r="FZ60" s="12">
        <f>IF('Données projet'!$A$254&gt;35,FZ59+FY60-GH59,IF(A60&lt;'Données projet'!$A$254,$FW$205^A60,IF(A60='Données projet'!$A$254,'Données projet'!$B$254,FZ59+FY60-GH59)))</f>
        <v>229.39999999999986</v>
      </c>
      <c r="GA60" s="17">
        <f>FZ60*VLOOKUP('Données projet'!$B$17,Paramètres!$A$1:$I$89,3,0)*VLOOKUP('Données projet'!$B$17,Paramètres!$A$1:$I$89,5,0)</f>
        <v>200.40383999999992</v>
      </c>
      <c r="GB60" s="13">
        <f t="shared" si="79"/>
        <v>49.832909112305636</v>
      </c>
      <c r="GC60" s="20">
        <f t="shared" si="25"/>
        <v>435.82900470393218</v>
      </c>
      <c r="GD60" s="59">
        <f t="shared" si="26"/>
        <v>729.1623380372655</v>
      </c>
      <c r="GE60" s="59">
        <f ca="1">AVERAGE(OFFSET($GD$3,0,0,'Données projet'!$E$17+1,1))-AVERAGE(OFFSET($H$3,0,0,'Données projet'!$E$17+1,1))</f>
        <v>245.1983232777614</v>
      </c>
      <c r="GF60" s="59">
        <f t="shared" si="80"/>
        <v>242.34010522344573</v>
      </c>
      <c r="GG60" s="15">
        <f>IF(ISNA(VLOOKUP(A60,'Données projet'!$A$253:$I$273,3,0)),0,VLOOKUP(A60,'Données projet'!$A$253:$I$273,3,0))</f>
        <v>0</v>
      </c>
      <c r="GH60" s="15">
        <f>IF(ISNA(VLOOKUP(A60,'Données projet'!$A$253:$I$273,4,0)),0,VLOOKUP(A60,'Données projet'!$A$253:$I$273,4,0))</f>
        <v>0</v>
      </c>
      <c r="GI60" s="16">
        <f>IF(ISNA(VLOOKUP(A60,'Données projet'!$A$253:$I$273,5,0)),0%,VLOOKUP(A60,'Données projet'!$A$253:$I$273,5,0)*VLOOKUP('Données projet'!$B$17,Paramètres!$A$1:$I$89,7,0))</f>
        <v>0</v>
      </c>
      <c r="GJ60" s="16">
        <f>IF(ISNA(VLOOKUP(A60,'Données projet'!$A$253:$I$273,6,0)),0%,VLOOKUP(A60,'Données projet'!$A$253:$I$273,6,0)*VLOOKUP('Données projet'!$B$17,Paramètres!$A$1:$I$89,7,0))</f>
        <v>0</v>
      </c>
      <c r="GK60" s="16">
        <f>IF(ISNA(VLOOKUP(A60,'Données projet'!$A$253:$I$273,7,0)),0%,VLOOKUP(A60,'Données projet'!$A$253:$I$273,7,0))</f>
        <v>0</v>
      </c>
      <c r="GL60" s="21">
        <f>EXP(-LN(2)/35)*GL59+(1-EXP(-LN(2)/35))/(LN(2)/35)*GH60*GI60*VLOOKUP('Données projet'!$B$17,Paramètres!$A$1:$I$89,3,0)*0.475*44/12</f>
        <v>17.473553279734485</v>
      </c>
      <c r="GM60" s="21">
        <f>EXP(-LN(2)/25)*GM59+(1-EXP(-LN(2)/25))/(LN(2)/25)*Calculateur!GH60*Calculateur!GJ60*VLOOKUP('Données projet'!$B$17,Paramètres!$A$1:$I$89,3,0)*0.475*44/12</f>
        <v>11.01503382897203</v>
      </c>
      <c r="GN60" s="21">
        <f>EXP(-LN(2)/2)*GN59+(1-EXP(-LN(2)/2))/(LN(2)/2)*GH60*GK60*VLOOKUP('Données projet'!$B$17,Paramètres!$A$1:$I$89,3,0)*0.475*44/12</f>
        <v>0</v>
      </c>
      <c r="GO60" s="21">
        <f t="shared" si="27"/>
        <v>28.488587108706515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projet'!$A$279:$I$299,2,0)</f>
        <v>#N/A</v>
      </c>
      <c r="GS60" s="12" t="e">
        <f>VLOOKUP(A60,'Données projet'!$A$279:$I$299,9,0)</f>
        <v>#N/A</v>
      </c>
      <c r="GT60" s="12">
        <f t="array" ref="GT60">INDEX(GS:GS,MIN(IF(ISNUMBER(GS60:GS256),ROW(GS60:GS256),"")))</f>
        <v>12.6</v>
      </c>
      <c r="GU60" s="12">
        <f>IF('Données projet'!$A$280&gt;35,GU59+GT60-HC59,IF(A60&lt;'Données projet'!$A$280,$GR$205^A60,IF(A60='Données projet'!$A$280,'Données projet'!$B$280,GU59+GT60-HC59)))</f>
        <v>652.20000000000016</v>
      </c>
      <c r="GV60" s="17">
        <f>GU60*VLOOKUP('Données projet'!$B$18,Paramètres!$A$1:$I$89,3,0)*VLOOKUP('Données projet'!$B$18,Paramètres!$A$1:$I$89,5,0)</f>
        <v>262.83660000000009</v>
      </c>
      <c r="GW60" s="13">
        <f t="shared" si="81"/>
        <v>63.326644067550241</v>
      </c>
      <c r="GX60" s="20">
        <f t="shared" si="28"/>
        <v>568.06765008431682</v>
      </c>
      <c r="GY60" s="59">
        <f t="shared" si="29"/>
        <v>861.4009834176502</v>
      </c>
      <c r="GZ60" s="59">
        <f ca="1">AVERAGE(OFFSET($GY$3,0,0,'Données projet'!$E$18+1,1))-AVERAGE(OFFSET($H$3,0,0,'Données projet'!$E$18+1,1))</f>
        <v>324.36162935850876</v>
      </c>
      <c r="HA60" s="59">
        <f t="shared" si="82"/>
        <v>265.23571072429735</v>
      </c>
      <c r="HB60" s="15">
        <f>IF(ISNA(VLOOKUP(A60,'Données projet'!$A$279:$I$299,3,0)),0,VLOOKUP(A60,'Données projet'!$A$279:$I$299,3,0))</f>
        <v>0</v>
      </c>
      <c r="HC60" s="15">
        <f>IF(ISNA(VLOOKUP(A60,'Données projet'!$A$279:$I$299,4,0)),0,VLOOKUP(A60,'Données projet'!$A$279:$I$299,4,0))</f>
        <v>0</v>
      </c>
      <c r="HD60" s="16">
        <f>IF(ISNA(VLOOKUP(A60,'Données projet'!$A$279:$I$299,5,0)),0%,VLOOKUP(A60,'Données projet'!$A$279:$I$299,5,0)*VLOOKUP('Données projet'!$B$18,Paramètres!$A$1:$I$89,7,0))</f>
        <v>0</v>
      </c>
      <c r="HE60" s="16">
        <f>IF(ISNA(VLOOKUP(A60,'Données projet'!$A$279:$I$299,6,0)),0%,VLOOKUP(A60,'Données projet'!$A$279:$I$299,6,0)*VLOOKUP('Données projet'!$B$18,Paramètres!$A$1:$I$89,7,0))</f>
        <v>0</v>
      </c>
      <c r="HF60" s="16">
        <f>IF(ISNA(VLOOKUP($A60,'Données projet'!$A$279:$I$299,7,0)),0%,VLOOKUP($A60,'Données projet'!$A$279:$I$299,7,0))</f>
        <v>0</v>
      </c>
      <c r="HG60" s="21">
        <f>EXP(-LN(2)/35)*HG59+(1-EXP(-LN(2)/35))/(LN(2)/35)*HC60*HD60*VLOOKUP('Données projet'!$B$18,Paramètres!$A$1:$I$89,3,0)*0.475*44/12</f>
        <v>9.9897013759534889</v>
      </c>
      <c r="HH60" s="21">
        <f>EXP(-LN(2)/25)*HH59+(1-EXP(-LN(2)/25))/(LN(2)/25)*Calculateur!HC60*Calculateur!HE60*VLOOKUP('Données projet'!$B$18,Paramètres!$A$1:$I$89,3,0)*0.475*44/12</f>
        <v>11.880889032226214</v>
      </c>
      <c r="HI60" s="21">
        <f>EXP(-LN(2)/2)*HI59+(1-EXP(-LN(2)/2))/(LN(2)/2)*HC60*HF60*VLOOKUP('Données projet'!$B$18,Paramètres!$A$1:$I$89,3,0)*0.475*44/12</f>
        <v>0.41379251784065857</v>
      </c>
      <c r="HJ60" s="22">
        <f t="shared" si="30"/>
        <v>22.28438292602036</v>
      </c>
      <c r="HK60" s="74">
        <f>('Scénario référence'!$F$8+'Scénario référence'!$F$9+'Scénario référence'!$B$17+'Scénario référence'!$B$9+'Scénario référence'!$B$10)*70+IF((45+25*(1-EXP(-0.0175*$A60)))&lt;70,'Scénario référence'!$B$16*(45+25*(1-EXP(-0.0175*$A60))),70*'Scénario référence'!$B$16)+IF((32+38*(1-EXP(-0.0175*$A60)))&lt;70,'Scénario référence'!$B$18*(32+38*(1-EXP(-0.0175*$A60))),70*'Scénario référence'!$B$18)</f>
        <v>70</v>
      </c>
      <c r="HL60" s="12">
        <f>IF($A60&gt;30,10,('Scénario référence'!$B$16+'Scénario référence'!$B$17+'Scénario référence'!$B$18+'Scénario référence'!$B$9+'Scénario référence'!$B$10)*$A60*10/30+('Scénario référence'!$F$8+'Scénario référence'!$F$9)*10)</f>
        <v>10</v>
      </c>
      <c r="HM60" s="12" t="e">
        <f>VLOOKUP($A60,'Données projet'!$A$304:$I$324,2,0)</f>
        <v>#N/A</v>
      </c>
      <c r="HN60" s="12" t="e">
        <f>VLOOKUP($A60,'Données projet'!$A$304:$I$324,9,0)</f>
        <v>#N/A</v>
      </c>
      <c r="HO60" s="12">
        <f t="array" ref="HO60">INDEX(HN:HN,MIN(IF(ISNUMBER(HN60:HN256),ROW(HN60:HN256),"")))</f>
        <v>0</v>
      </c>
      <c r="HP60" s="12">
        <f>IF('Données projet'!$A$304&gt;35,HP59+HO60-HX59,IF($A60&lt;'Données projet'!$A$304,$CQ$205^$A60,IF($A60='Données projet'!$A$304,'Données projet'!$B$304,HP59+HO60-HX59)))</f>
        <v>0</v>
      </c>
      <c r="HQ60" s="17">
        <f>HP60*VLOOKUP('Données projet'!$B$19,Paramètres!$A$1:$I$89,3,0)*VLOOKUP('Données projet'!$B$19,Paramètres!$A$1:$I$89,5,0)</f>
        <v>0</v>
      </c>
      <c r="HR60" s="13" t="e">
        <f t="shared" si="83"/>
        <v>#NUM!</v>
      </c>
      <c r="HS60" s="14" t="e">
        <f t="shared" si="31"/>
        <v>#NUM!</v>
      </c>
      <c r="HT60" s="59" t="e">
        <f t="shared" si="32"/>
        <v>#NUM!</v>
      </c>
      <c r="HU60" s="59">
        <f ca="1">AVERAGE(OFFSET(HT$3,0,0,'Données projet'!$E$19+1,1))-AVERAGE(OFFSET($H$3,0,0,'Données projet'!$E$19+1,1))</f>
        <v>91.60721429656013</v>
      </c>
      <c r="HV60" s="59">
        <f t="shared" si="84"/>
        <v>258.94957804210856</v>
      </c>
      <c r="HW60" s="15">
        <f>IF(ISNA(VLOOKUP($A60,'Données projet'!$A$304:$I$324,3,0)),0,VLOOKUP($A60,'Données projet'!$A$304:$I$324,3,0))</f>
        <v>0</v>
      </c>
      <c r="HX60" s="15">
        <f>IF(ISNA(VLOOKUP($A60,'Données projet'!$A$304:$I$324,4,0)),0,VLOOKUP($A60,'Données projet'!$A$304:$I$324,4,0))</f>
        <v>0</v>
      </c>
      <c r="HY60" s="16">
        <f>IF(ISNA(VLOOKUP($A60,'Données projet'!$A$304:$I$324,5,0)),0%,VLOOKUP($A60,'Données projet'!$A$304:$I$324,5,0)*VLOOKUP('Données projet'!$B$19,Paramètres!$A$1:$I$89,7,0))</f>
        <v>0</v>
      </c>
      <c r="HZ60" s="16">
        <f>IF(ISNA(VLOOKUP($A60,'Données projet'!$A$304:$I$324,6,0)),0%,VLOOKUP($A60,'Données projet'!$A$304:$I$324,6,0)*VLOOKUP('Données projet'!$B$19,Paramètres!$A$1:$I$89,7,0))</f>
        <v>0</v>
      </c>
      <c r="IA60" s="16">
        <f>IF(ISNA(VLOOKUP($A60,'Données projet'!$A$304:$I$324,7,0)),0%,VLOOKUP($A60,'Données projet'!$A$304:$I$324,7,0))</f>
        <v>0</v>
      </c>
      <c r="IB60" s="21">
        <f>EXP(-LN(2)/35)*IB59+(1-EXP(-LN(2)/35))/(LN(2)/35)*HX60*HY60*VLOOKUP('Données projet'!$B$19,Paramètres!$A$1:$I$89,3,0)*0.475*44/12</f>
        <v>28.90092794511796</v>
      </c>
      <c r="IC60" s="21">
        <f>EXP(-LN(2)/25)*IC59+(1-EXP(-LN(2)/25))/(LN(2)/25)*Calculateur!HX60*Calculateur!HZ60*VLOOKUP('Données projet'!$B$19,Paramètres!$A$1:$I$89,3,0)*0.475*44/12</f>
        <v>4.6014951036093557</v>
      </c>
      <c r="ID60" s="21">
        <f>EXP(-LN(2)/2)*ID59+(1-EXP(-LN(2)/2))/(LN(2)/2)*HX60*IA60*VLOOKUP('Données projet'!$B$19,Paramètres!$A$1:$I$89,3,0)*0.475*44/12</f>
        <v>4.9446747345282794E-5</v>
      </c>
      <c r="IE60" s="22">
        <f t="shared" si="33"/>
        <v>33.502472495474663</v>
      </c>
      <c r="IF60" s="74">
        <f>('Scénario référence'!$F$8+'Scénario référence'!$F$9+'Scénario référence'!$B$17+'Scénario référence'!$B$9+'Scénario référence'!$B$10)*70+IF((45+25*(1-EXP(-0.0175*$A60)))&lt;70,'Scénario référence'!$B$16*(45+25*(1-EXP(-0.0175*$A60))),70*'Scénario référence'!$B$16)+IF((32+38*(1-EXP(-0.0175*$A60)))&lt;70,'Scénario référence'!$B$18*(32+38*(1-EXP(-0.0175*$A60))),70*'Scénario référence'!$B$18)</f>
        <v>70</v>
      </c>
      <c r="IG60" s="12">
        <f>IF($A60&gt;30,10,('Scénario référence'!$B$16+'Scénario référence'!$B$17+'Scénario référence'!$B$18+'Scénario référence'!$B$9+'Scénario référence'!$B$10)*$A60*10/30+('Scénario référence'!$F$8+'Scénario référence'!$F$9)*10)</f>
        <v>10</v>
      </c>
      <c r="IH60" s="12" t="e">
        <f>VLOOKUP($A60,'Données projet'!$A$330:$I$350,2,0)</f>
        <v>#N/A</v>
      </c>
      <c r="II60" s="12" t="e">
        <f>VLOOKUP($A60,'Données projet'!$A$330:$I$350,9,0)</f>
        <v>#N/A</v>
      </c>
      <c r="IJ60" s="12">
        <f t="array" ref="IJ60">INDEX(II:II,MIN(IF(ISNUMBER(II60:II256),ROW(II60:II256),"")))</f>
        <v>0</v>
      </c>
      <c r="IK60" s="12">
        <f>IF('Données projet'!$A$330&gt;35,IK59+IJ60-IS59,IF($A60&lt;'Données projet'!$A$330,$CQ$205^$A60,IF($A60='Données projet'!$A$330,'Données projet'!$B$330,IK59+IJ60-IS59)))</f>
        <v>0</v>
      </c>
      <c r="IL60" s="17">
        <f>IK60*VLOOKUP('Données projet'!$B$20,Paramètres!$A$1:$I$89,3,0)*VLOOKUP('Données projet'!$B$20,Paramètres!$A$1:$I$89,5,0)</f>
        <v>0</v>
      </c>
      <c r="IM60" s="13" t="e">
        <f t="shared" si="85"/>
        <v>#NUM!</v>
      </c>
      <c r="IN60" s="20" t="e">
        <f t="shared" si="86"/>
        <v>#NUM!</v>
      </c>
      <c r="IO60" s="59" t="e">
        <f t="shared" si="87"/>
        <v>#NUM!</v>
      </c>
      <c r="IP60" s="59">
        <f ca="1">AVERAGE(OFFSET(IO$3,0,0,'Données projet'!$E$20+1,1))-AVERAGE(OFFSET($H$3,0,0,'Données projet'!$E$20+1,1))</f>
        <v>91.60721429656013</v>
      </c>
      <c r="IQ60" s="59">
        <f t="shared" si="88"/>
        <v>258.94957804210856</v>
      </c>
      <c r="IR60" s="15">
        <f>IF(ISNA(VLOOKUP($A60,'Données projet'!$A$330:$I$350,3,0)),0,VLOOKUP($A60,'Données projet'!$A$330:$I$350,3,0))</f>
        <v>0</v>
      </c>
      <c r="IS60" s="15">
        <f>IF(ISNA(VLOOKUP($A60,'Données projet'!$A$330:$I$350,4,0)),0,VLOOKUP($A60,'Données projet'!$A$330:$I$350,4,0))</f>
        <v>0</v>
      </c>
      <c r="IT60" s="16">
        <f>IF(ISNA(VLOOKUP($A60,'Données projet'!$A$330:$I$350,5,0)),0%,VLOOKUP($A60,'Données projet'!$A$330:$I$350,5,0)*VLOOKUP('Données projet'!$B$20,Paramètres!$A$1:$I$89,7,0))</f>
        <v>0</v>
      </c>
      <c r="IU60" s="16">
        <f>IF(ISNA(VLOOKUP($A60,'Données projet'!$A$330:$I$350,6,0)),0%,VLOOKUP($A60,'Données projet'!$A$330:$I$350,6,0)*VLOOKUP('Données projet'!$B$20,Paramètres!$A$1:$I$89,7,0))</f>
        <v>0</v>
      </c>
      <c r="IV60" s="16">
        <f>IF(ISNA(VLOOKUP($A60,'Données projet'!$A$330:$I$350,7,0)),0%,VLOOKUP($A60,'Données projet'!$A$330:$I$350,7,0))</f>
        <v>0</v>
      </c>
      <c r="IW60" s="21">
        <f>EXP(-LN(2)/35)*IW59+(1-EXP(-LN(2)/35))/(LN(2)/35)*IS60*IT60*VLOOKUP('Données projet'!$B$20,Paramètres!$A$1:$I$89,3,0)*0.475*44/12</f>
        <v>28.90092794511796</v>
      </c>
      <c r="IX60" s="21">
        <f>EXP(-LN(2)/25)*IX59+(1-EXP(-LN(2)/25))/(LN(2)/25)*Calculateur!IS60*Calculateur!IU60*VLOOKUP('Données projet'!$B$20,Paramètres!$A$1:$I$89,3,0)*0.475*44/12</f>
        <v>4.6014951036093557</v>
      </c>
      <c r="IY60" s="21">
        <f>EXP(-LN(2)/2)*IY59+(1-EXP(-LN(2)/2))/(LN(2)/2)*IS60*IV60*VLOOKUP('Données projet'!$B$20,Paramètres!$A$1:$I$89,3,0)*0.475*44/12</f>
        <v>4.9446747345282794E-5</v>
      </c>
      <c r="IZ60" s="22">
        <f t="shared" si="89"/>
        <v>33.502472495474663</v>
      </c>
      <c r="JA60" s="74">
        <f>('Scénario référence'!$F$8+'Scénario référence'!$F$9+'Scénario référence'!$B$17+'Scénario référence'!$B$9+'Scénario référence'!$B$10)*70+IF((45+25*(1-EXP(-0.0175*$A60)))&lt;70,'Scénario référence'!$B$16*(45+25*(1-EXP(-0.0175*$A60))),70*'Scénario référence'!$B$16)+IF((32+38*(1-EXP(-0.0175*$A60)))&lt;70,'Scénario référence'!$B$18*(32+38*(1-EXP(-0.0175*$A60))),70*'Scénario référence'!$B$18)</f>
        <v>70</v>
      </c>
      <c r="JB60" s="12">
        <f>IF($A60&gt;30,10,('Scénario référence'!$B$16+'Scénario référence'!$B$17+'Scénario référence'!$B$18+'Scénario référence'!$B$9+'Scénario référence'!$B$10)*$A60*10/30+('Scénario référence'!$F$8+'Scénario référence'!$F$9)*10)</f>
        <v>10</v>
      </c>
      <c r="JC60" s="12" t="e">
        <f>VLOOKUP($A60,'Données projet'!$A$356:$I$376,2,0)</f>
        <v>#N/A</v>
      </c>
      <c r="JD60" s="12" t="e">
        <f>VLOOKUP($A60,'Données projet'!$A$356:$I$376,9,0)</f>
        <v>#N/A</v>
      </c>
      <c r="JE60" s="12">
        <f t="array" ref="JE60">INDEX(JD:JD,MIN(IF(ISNUMBER(JD60:JD256),ROW(JD60:JD256),"")))</f>
        <v>10.8</v>
      </c>
      <c r="JF60" s="12">
        <f>IF('Données projet'!$A$356&gt;35,JF59+JE60-JN59,IF($A60&lt;'Données projet'!$A$356,$CQ$205^$A60,IF($A60='Données projet'!$A$356,'Données projet'!$B$356,JF59+JE60-JN59)))</f>
        <v>237.60000000000011</v>
      </c>
      <c r="JG60" s="17">
        <f>JF60*VLOOKUP('Données projet'!$B$21,Paramètres!$A$1:$I$89,3,0)*VLOOKUP('Données projet'!$B$21,Paramètres!$A$1:$I$89,5,0)</f>
        <v>192.74112000000011</v>
      </c>
      <c r="JH60" s="13">
        <f t="shared" si="90"/>
        <v>48.145469429455026</v>
      </c>
      <c r="JI60" s="20">
        <f t="shared" si="91"/>
        <v>419.54414325630097</v>
      </c>
      <c r="JJ60" s="59">
        <f t="shared" si="92"/>
        <v>712.87747658963428</v>
      </c>
      <c r="JK60" s="59">
        <f ca="1">AVERAGE(OFFSET($JJ$3,0,0,'Données projet'!$E$22+1,1))-AVERAGE(OFFSET($H$3,0,0,'Données projet'!$E$22+1,1))</f>
        <v>353.35574633294613</v>
      </c>
      <c r="JL60" s="59">
        <f t="shared" si="93"/>
        <v>170.36796666474726</v>
      </c>
      <c r="JM60" s="15">
        <f>IF(ISNA(VLOOKUP($A60,'Données projet'!$A$356:$I$376,3,0)),0,VLOOKUP($A60,'Données projet'!$A$356:$I$376,3,0))</f>
        <v>0</v>
      </c>
      <c r="JN60" s="15">
        <f>IF(ISNA(VLOOKUP($A60,'Données projet'!$A$356:$I$376,4,0)),0,VLOOKUP($A60,'Données projet'!$A$356:$I$376,4,0))</f>
        <v>0</v>
      </c>
      <c r="JO60" s="16">
        <f>IF(ISNA(VLOOKUP($A60,'Données projet'!$A$356:$I$376,5,0)),0%,VLOOKUP($A60,'Données projet'!$A$356:$I$376,5,0)*VLOOKUP('Données projet'!$B$21,Paramètres!$A$1:$I$89,7,0))</f>
        <v>0</v>
      </c>
      <c r="JP60" s="16">
        <f>IF(ISNA(VLOOKUP($A60,'Données projet'!$A$356:$I$376,6,0)),0%,VLOOKUP($A60,'Données projet'!$A$356:$I$376,6,0)*VLOOKUP('Données projet'!$B$21,Paramètres!$A$1:$I$89,7,0))</f>
        <v>0</v>
      </c>
      <c r="JQ60" s="16">
        <f>IF(ISNA(VLOOKUP($A60,'Données projet'!$A$356:$I$376,7,0)),0%,VLOOKUP($A60,'Données projet'!$A$356:$I$376,7,0))</f>
        <v>0</v>
      </c>
      <c r="JR60" s="21">
        <f>EXP(-LN(2)/35)*JR59+(1-EXP(-LN(2)/35))/(LN(2)/35)*JN60*JO60*VLOOKUP('Données projet'!$B$21,Paramètres!$A$1:$I$89,3,0)*0.475*44/12</f>
        <v>0</v>
      </c>
      <c r="JS60" s="21">
        <f>EXP(-LN(2)/25)*JS59+(1-EXP(-LN(2)/25))/(LN(2)/25)*Calculateur!JN60*Calculateur!JP60*VLOOKUP('Données projet'!$B$21,Paramètres!$A$1:$I$89,3,0)*0.475*44/12</f>
        <v>5.9647126264860741</v>
      </c>
      <c r="JT60" s="21">
        <f>EXP(-LN(2)/2)*JT59+(1-EXP(-LN(2)/2))/(LN(2)/2)*JN60*JQ60*VLOOKUP('Données projet'!$B$21,Paramètres!$A$1:$I$89,3,0)*0.475*44/12</f>
        <v>3.9048163699071594</v>
      </c>
      <c r="JU60" s="18">
        <f t="shared" si="39"/>
        <v>9.8695289963932336</v>
      </c>
      <c r="JV60" s="74">
        <f>('Scénario référence'!$F$8+'Scénario référence'!$F$9+'Scénario référence'!$B$17+'Scénario référence'!$B$9+'Scénario référence'!$B$10)*70+IF((45+25*(1-EXP(-0.0175*$A60)))&lt;70,'Scénario référence'!$B$16*(45+25*(1-EXP(-0.0175*$A60))),70*'Scénario référence'!$B$16)+IF((32+38*(1-EXP(-0.0175*$A60)))&lt;70,'Scénario référence'!$B$18*(32+38*(1-EXP(-0.0175*$A60))),70*'Scénario référence'!$B$18)</f>
        <v>70</v>
      </c>
      <c r="JW60" s="12">
        <f>IF($A60&gt;30,10,('Scénario référence'!$B$16+'Scénario référence'!$B$17+'Scénario référence'!$B$18+'Scénario référence'!$B$9+'Scénario référence'!$B$10)*$A60*10/30+('Scénario référence'!$F$8+'Scénario référence'!$F$9)*10)</f>
        <v>10</v>
      </c>
      <c r="JX60" s="12" t="e">
        <f>VLOOKUP($A60,'Données projet'!$A$382:$I$402,2,0)</f>
        <v>#N/A</v>
      </c>
      <c r="JY60" s="12" t="e">
        <f>VLOOKUP($A60,'Données projet'!$A$382:$I$402,9,0)</f>
        <v>#N/A</v>
      </c>
      <c r="JZ60" s="12">
        <f t="array" ref="JZ60">INDEX(JY:JY,MIN(IF(ISNUMBER(JY60:JY256),ROW(JY60:JY256),"")))</f>
        <v>8.374198717948719</v>
      </c>
      <c r="KA60" s="12">
        <f>IF('Données projet'!$A$382&gt;35,KA59+JZ60-KI59,IF($A60&lt;'Données projet'!$A$382,$CQ$205^$A60,IF($A60='Données projet'!$A$382,'Données projet'!$B$382,KA59+JZ60-KI59)))</f>
        <v>170.04326923076923</v>
      </c>
      <c r="KB60" s="17">
        <f>KA60*VLOOKUP('Données projet'!$B$22,Paramètres!$A$1:$I$89,3,0)*VLOOKUP('Données projet'!$B$22,Paramètres!$A$1:$I$89,5,0)</f>
        <v>114.06502500000001</v>
      </c>
      <c r="KC60" s="13">
        <f t="shared" si="94"/>
        <v>30.28670405384246</v>
      </c>
      <c r="KD60" s="20">
        <f t="shared" si="95"/>
        <v>251.41259476877562</v>
      </c>
      <c r="KE60" s="59">
        <f t="shared" si="96"/>
        <v>544.74592810210891</v>
      </c>
      <c r="KF60" s="59">
        <f ca="1">AVERAGE(OFFSET($KE$3,0,0,'Données projet'!$E$22+1,1))-AVERAGE(OFFSET($H$3,0,0,'Données projet'!$E$22+1,1))</f>
        <v>193.91714772848269</v>
      </c>
      <c r="KG60" s="59">
        <f t="shared" si="97"/>
        <v>159.20429420478047</v>
      </c>
      <c r="KH60" s="15">
        <f>IF(ISNA(VLOOKUP($A60,'Données projet'!$A$382:$I$402,3,0)),0,VLOOKUP($A60,'Données projet'!$A$382:$I$402,3,0))</f>
        <v>0</v>
      </c>
      <c r="KI60" s="15">
        <f>IF(ISNA(VLOOKUP($A60,'Données projet'!$A$382:$I$402,4,0)),0,VLOOKUP($A60,'Données projet'!$A$382:$I$402,4,0))</f>
        <v>0</v>
      </c>
      <c r="KJ60" s="16">
        <f>IF(ISNA(VLOOKUP($A60,'Données projet'!$A$382:$I$402,5,0)),0%,VLOOKUP($A60,'Données projet'!$A$382:$I$402,5,0)*VLOOKUP('Données projet'!$B$22,Paramètres!$A$1:$I$89,7,0))</f>
        <v>0</v>
      </c>
      <c r="KK60" s="16">
        <f>IF(ISNA(VLOOKUP($A60,'Données projet'!$A$382:$I$402,6,0)),0%,VLOOKUP($A60,'Données projet'!$A$382:$I$402,6,0)*VLOOKUP('Données projet'!$B$22,Paramètres!$A$1:$I$89,7,0))</f>
        <v>0</v>
      </c>
      <c r="KL60" s="16">
        <f>IF(ISNA(VLOOKUP($A60,'Données projet'!$A$382:$I$402,7,0)),0%,VLOOKUP($A60,'Données projet'!$A$382:$I$402,7,0))</f>
        <v>0</v>
      </c>
      <c r="KM60" s="21">
        <f>EXP(-LN(2)/35)*KM59+(1-EXP(-LN(2)/35))/(LN(2)/35)*KI60*KJ60*VLOOKUP('Données projet'!$B$22,Paramètres!$A$1:$I$89,3,0)*0.475*44/12</f>
        <v>0</v>
      </c>
      <c r="KN60" s="21">
        <f>EXP(-LN(2)/25)*KN59+(1-EXP(-LN(2)/25))/(LN(2)/25)*Calculateur!KI60*Calculateur!KK60*VLOOKUP('Données projet'!$B$22,Paramètres!$A$1:$I$89,3,0)*0.475*44/12</f>
        <v>0</v>
      </c>
      <c r="KO60" s="21">
        <f>EXP(-LN(2)/2)*KO59+(1-EXP(-LN(2)/2))/(LN(2)/2)*KI60*KL60*VLOOKUP('Données projet'!$B$22,Paramètres!$A$1:$I$89,3,0)*0.475*44/12</f>
        <v>0</v>
      </c>
      <c r="KP60" s="22">
        <f t="shared" si="98"/>
        <v>0</v>
      </c>
      <c r="KQ60" s="74">
        <f>('Scénario référence'!$F$8+'Scénario référence'!$F$9+'Scénario référence'!$B$17+'Scénario référence'!$B$9+'Scénario référence'!$B$10)*70+IF((45+25*(1-EXP(-0.0175*$A60)))&lt;70,'Scénario référence'!$B$16*(45+25*(1-EXP(-0.0175*$A60))),70*'Scénario référence'!$B$16)+IF((32+38*(1-EXP(-0.0175*$A60)))&lt;70,'Scénario référence'!$B$18*(32+38*(1-EXP(-0.0175*$A60))),70*'Scénario référence'!$B$18)</f>
        <v>70</v>
      </c>
      <c r="KR60" s="12">
        <f>IF($A60&gt;30,10,('Scénario référence'!$B$16+'Scénario référence'!$B$17+'Scénario référence'!$B$18+'Scénario référence'!$B$9+'Scénario référence'!$B$10)*$A60*10/30+('Scénario référence'!$F$8+'Scénario référence'!$F$9)*10)</f>
        <v>10</v>
      </c>
      <c r="KS60" s="12" t="e">
        <f>VLOOKUP($A60,'Données projet'!$A$408:$I$428,2,0)</f>
        <v>#N/A</v>
      </c>
      <c r="KT60" s="12" t="e">
        <f>VLOOKUP($A60,'Données projet'!$A$408:$I$428,9,0)</f>
        <v>#N/A</v>
      </c>
      <c r="KU60" s="12">
        <f t="array" ref="KU60">INDEX(KT:KT,MIN(IF(ISNUMBER(KT60:KT256),ROW(KT60:KT256),"")))</f>
        <v>5.2</v>
      </c>
      <c r="KV60" s="12">
        <f>IF('Données projet'!$A$408&gt;35,KV59+KU60-LD59,IF($A60&lt;'Données projet'!$A$408,$CQ$205^$A60,IF($A60='Données projet'!$A$408,'Données projet'!$B$408,KV59+KU60-LD59)))</f>
        <v>229.39999999999989</v>
      </c>
      <c r="KW60" s="17">
        <f>KV60*VLOOKUP('Données projet'!$B$23,Paramètres!$A$1:$I$89,3,0)*VLOOKUP('Données projet'!$B$23,Paramètres!$A$1:$I$89,5,0)</f>
        <v>200.40383999999992</v>
      </c>
      <c r="KX60" s="13">
        <f t="shared" si="99"/>
        <v>49.832909112305636</v>
      </c>
      <c r="KY60" s="14">
        <f t="shared" si="43"/>
        <v>435.82900470393218</v>
      </c>
      <c r="KZ60" s="59">
        <f t="shared" si="44"/>
        <v>729.1623380372655</v>
      </c>
      <c r="LA60" s="59">
        <f ca="1">AVERAGE(OFFSET($KZ$3,0,0,'Données projet'!$E$23+1,1))-AVERAGE(OFFSET($H$3,0,0,'Données projet'!$E$23+1,1))</f>
        <v>248.33596943633819</v>
      </c>
      <c r="LB60" s="59">
        <f t="shared" si="100"/>
        <v>242.34010522344573</v>
      </c>
      <c r="LC60" s="15">
        <f>IF(ISNA(VLOOKUP($A60,'Données projet'!$A$408:$I$428,3,0)),0,VLOOKUP($A60,'Données projet'!$A$408:$I$428,3,0))</f>
        <v>0</v>
      </c>
      <c r="LD60" s="15">
        <f>IF(ISNA(VLOOKUP($A60,'Données projet'!$A$408:$I$428,4,0)),0,VLOOKUP($A60,'Données projet'!$A$408:$I$428,4,0))</f>
        <v>0</v>
      </c>
      <c r="LE60" s="16">
        <f>IF(ISNA(VLOOKUP($A60,'Données projet'!$A$408:$I$428,5,0)),0%,VLOOKUP($A60,'Données projet'!$A$408:$I$428,5,0)*VLOOKUP('Données projet'!$B$23,Paramètres!$A$1:$I$89,7,0))</f>
        <v>0</v>
      </c>
      <c r="LF60" s="16">
        <f>IF(ISNA(VLOOKUP($A60,'Données projet'!$A$408:$I$428,6,0)),0%,VLOOKUP($A60,'Données projet'!$A$408:$I$428,6,0)*VLOOKUP('Données projet'!$B$23,Paramètres!$A$1:$I$89,7,0))</f>
        <v>0</v>
      </c>
      <c r="LG60" s="16">
        <f>IF(ISNA(VLOOKUP($A60,'Données projet'!$A$408:$I$428,7,0)),0%,VLOOKUP($A60,'Données projet'!$A$408:$I$428,7,0))</f>
        <v>0</v>
      </c>
      <c r="LH60" s="21">
        <f>EXP(-LN(2)/35)*LH59+(1-EXP(-LN(2)/35))/(LN(2)/35)*LD60*LE60*VLOOKUP('Données projet'!$B$23,Paramètres!$A$1:$I$89,3,0)*0.475*44/12</f>
        <v>17.473553279734485</v>
      </c>
      <c r="LI60" s="21">
        <f>EXP(-LN(2)/25)*LI59+(1-EXP(-LN(2)/25))/(LN(2)/25)*Calculateur!LD60*Calculateur!LF60*VLOOKUP('Données projet'!$B$23,Paramètres!$A$1:$I$89,3,0)*0.475*44/12</f>
        <v>11.01503382897203</v>
      </c>
      <c r="LJ60" s="21">
        <f>EXP(-LN(2)/2)*LJ59+(1-EXP(-LN(2)/2))/(LN(2)/2)*LD60*LG60*VLOOKUP('Données projet'!$B$23,Paramètres!$A$1:$I$89,3,0)*0.475*44/12</f>
        <v>0</v>
      </c>
      <c r="LK60" s="22">
        <f t="shared" si="101"/>
        <v>28.488587108706515</v>
      </c>
      <c r="LL60" s="74">
        <f>('Scénario référence'!$F$8+'Scénario référence'!$F$9+'Scénario référence'!$B$17+'Scénario référence'!$B$9+'Scénario référence'!$B$10)*70+IF((45+25*(1-EXP(-0.0175*$A60)))&lt;70,'Scénario référence'!$B$16*(45+25*(1-EXP(-0.0175*$A60))),70*'Scénario référence'!$B$16)+IF((32+38*(1-EXP(-0.0175*$A60)))&lt;70,'Scénario référence'!$B$18*(32+38*(1-EXP(-0.0175*$A60))),70*'Scénario référence'!$B$18)</f>
        <v>70</v>
      </c>
      <c r="LM60" s="12">
        <f>IF($A60&gt;30,10,('Scénario référence'!$B$16+'Scénario référence'!$B$17+'Scénario référence'!$B$18+'Scénario référence'!$B$9+'Scénario référence'!$B$10)*$A60*10/30+('Scénario référence'!$F$8+'Scénario référence'!$F$9)*10)</f>
        <v>10</v>
      </c>
      <c r="LN60" s="12" t="e">
        <f>VLOOKUP($A60,'Données projet'!$A$434:$I$454,2,0)</f>
        <v>#N/A</v>
      </c>
      <c r="LO60" s="12" t="e">
        <f>VLOOKUP($A60,'Données projet'!$A$434:$I$454,9,0)</f>
        <v>#N/A</v>
      </c>
      <c r="LP60" s="12">
        <f t="array" ref="LP60">INDEX(LO:LO,MIN(IF(ISNUMBER(LO60:LO256),ROW(LO60:LO256),"")))</f>
        <v>6.3942307692307701</v>
      </c>
      <c r="LQ60" s="12">
        <f>IF('Données projet'!$A$434&gt;35,LQ59+LP60-LY59,IF($A60&lt;'Données projet'!$A$434,$CQ$205^$A60,IF($A60='Données projet'!$A$434,'Données projet'!$B$434,LQ59+LP60-LY59)))</f>
        <v>146.4679487179487</v>
      </c>
      <c r="LR60" s="17">
        <f>LQ60*VLOOKUP('Données projet'!$B$24,Paramètres!$A$1:$I$89,3,0)*VLOOKUP('Données projet'!$B$24,Paramètres!$A$1:$I$89,5,0)</f>
        <v>148.51850000000002</v>
      </c>
      <c r="LS60" s="13">
        <f t="shared" si="102"/>
        <v>38.241715185767696</v>
      </c>
      <c r="LT60" s="14">
        <f t="shared" si="46"/>
        <v>325.27404144854546</v>
      </c>
      <c r="LU60" s="59">
        <f t="shared" si="103"/>
        <v>618.60737478187878</v>
      </c>
      <c r="LV60" s="59">
        <f ca="1">AVERAGE(OFFSET($LU$3,0,0,'Données projet'!$E$24+1,1))-AVERAGE(OFFSET($H$3,0,0,'Données projet'!$E$24+1,1))</f>
        <v>260.52627655062872</v>
      </c>
      <c r="LW60" s="59">
        <f t="shared" si="104"/>
        <v>159.20429420478047</v>
      </c>
      <c r="LX60" s="15">
        <f>IF(ISNA(VLOOKUP($A60,'Données projet'!$A$434:$I$454,3,0)),0,VLOOKUP($A60,'Données projet'!$A$434:$I$454,3,0))</f>
        <v>0</v>
      </c>
      <c r="LY60" s="15">
        <f>IF(ISNA(VLOOKUP($A60,'Données projet'!$A$434:$I$454,4,0)),0,VLOOKUP($A60,'Données projet'!$A$434:$I$454,4,0))</f>
        <v>0</v>
      </c>
      <c r="LZ60" s="16">
        <f>IF(ISNA(VLOOKUP($A60,'Données projet'!$A$434:$I$454,5,0)),0%,VLOOKUP($A60,'Données projet'!$A$434:$I$454,5,0)*VLOOKUP('Données projet'!$B$24,Paramètres!$A$1:$I$89,7,0))</f>
        <v>0</v>
      </c>
      <c r="MA60" s="16">
        <f>IF(ISNA(VLOOKUP($A60,'Données projet'!$A$434:$I$454,6,0)),0%,VLOOKUP($A60,'Données projet'!$A$434:$I$454,6,0)*VLOOKUP('Données projet'!$B$24,Paramètres!$A$1:$I$89,7,0))</f>
        <v>0</v>
      </c>
      <c r="MB60" s="16">
        <f>IF(ISNA(VLOOKUP($A60,'Données projet'!$A$434:$I$454,7,0)),0%,VLOOKUP($A60,'Données projet'!$A$434:$I$454,7,0))</f>
        <v>0</v>
      </c>
      <c r="MC60" s="21">
        <f>EXP(-LN(2)/35)*MC59+(1-EXP(-LN(2)/35))/(LN(2)/35)*LY60*LZ60*VLOOKUP('Données projet'!$B$24,Paramètres!$A$1:$I$89,3,0)*0.475*44/12</f>
        <v>0</v>
      </c>
      <c r="MD60" s="21">
        <f>EXP(-LN(2)/25)*MD59+(1-EXP(-LN(2)/25))/(LN(2)/25)*Calculateur!LY60*Calculateur!MA60*VLOOKUP('Données projet'!$B$24,Paramètres!$A$1:$I$89,3,0)*0.475*44/12</f>
        <v>0</v>
      </c>
      <c r="ME60" s="21">
        <f>EXP(-LN(2)/2)*ME59+(1-EXP(-LN(2)/2))/(LN(2)/2)*LY60*MB60*VLOOKUP('Données projet'!$B$24,Paramètres!$A$1:$I$89,3,0)*0.475*44/12</f>
        <v>0</v>
      </c>
      <c r="MF60" s="22">
        <f t="shared" si="105"/>
        <v>0</v>
      </c>
      <c r="MG60" s="74">
        <f>('Scénario référence'!$F$8+'Scénario référence'!$F$9+'Scénario référence'!$B$17+'Scénario référence'!$B$9+'Scénario référence'!$B$10)*70+IF((45+25*(1-EXP(-0.0175*$A60)))&lt;70,'Scénario référence'!$B$16*(45+25*(1-EXP(-0.0175*$A60))),70*'Scénario référence'!$B$16)+IF((32+38*(1-EXP(-0.0175*$A60)))&lt;70,'Scénario référence'!$B$18*(32+38*(1-EXP(-0.0175*$A60))),70*'Scénario référence'!$B$18)</f>
        <v>70</v>
      </c>
      <c r="MH60" s="12">
        <f>IF($A60&gt;30,10,('Scénario référence'!$B$16+'Scénario référence'!$B$17+'Scénario référence'!$B$18+'Scénario référence'!$B$9+'Scénario référence'!$B$10)*$A60*10/30+('Scénario référence'!$F$8+'Scénario référence'!$F$9)*10)</f>
        <v>10</v>
      </c>
      <c r="MI60" s="12" t="e">
        <f>VLOOKUP($A60,'Données projet'!$A$460:$I$480,2,0)</f>
        <v>#N/A</v>
      </c>
      <c r="MJ60" s="12" t="e">
        <f>VLOOKUP($A60,'Données projet'!$A$460:$I$480,9,0)</f>
        <v>#N/A</v>
      </c>
      <c r="MK60" s="12">
        <f t="array" ref="MK60">INDEX(MJ:MJ,MIN(IF(ISNUMBER(MJ60:MJ256),ROW(MJ60:MJ256),"")))</f>
        <v>0</v>
      </c>
      <c r="ML60" s="12">
        <f>IF('Données projet'!$A$460&gt;35,ML59+MK60-MT59,IF($A60&lt;'Données projet'!$A$460,$CQ$205^$A60,IF($A60='Données projet'!$A$460,'Données projet'!$B$460,ML59+MK60-MT59)))</f>
        <v>0</v>
      </c>
      <c r="MM60" s="17" t="e">
        <f>ML60*VLOOKUP('Données projet'!$B$25,Paramètres!$A$1:$I$89,3,0)*VLOOKUP('Données projet'!$B$25,Paramètres!$A$1:$I$89,5,0)</f>
        <v>#N/A</v>
      </c>
      <c r="MN60" s="13" t="e">
        <f t="shared" si="106"/>
        <v>#N/A</v>
      </c>
      <c r="MO60" s="14" t="e">
        <f t="shared" si="49"/>
        <v>#N/A</v>
      </c>
      <c r="MP60" s="59" t="e">
        <f t="shared" si="50"/>
        <v>#N/A</v>
      </c>
      <c r="MQ60" s="20" t="e">
        <f ca="1">AVERAGE(OFFSET($MP$3,0,0,'Données projet'!$E$25+1,1))-AVERAGE(OFFSET($H$3,0,0,'Données projet'!$E$25+1,1))</f>
        <v>#N/A</v>
      </c>
      <c r="MR60" s="59" t="e">
        <f t="shared" si="107"/>
        <v>#N/A</v>
      </c>
      <c r="MS60" s="15">
        <f>IF(ISNA(VLOOKUP($A60,'Données projet'!$A$460:$I$480,3,0)),0,VLOOKUP($A60,'Données projet'!$A$460:$I$480,3,0))</f>
        <v>0</v>
      </c>
      <c r="MT60" s="15">
        <f>IF(ISNA(VLOOKUP($A60,'Données projet'!$A$460:$I$480,4,0)),0,VLOOKUP($A60,'Données projet'!$A$460:$I$480,4,0))</f>
        <v>0</v>
      </c>
      <c r="MU60" s="16">
        <f>IF(ISNA(VLOOKUP($A60,'Données projet'!$A$460:$I$480,5,0)),0%,VLOOKUP($A60,'Données projet'!$A$460:$I$480,5,0)*VLOOKUP('Données projet'!$B$25,Paramètres!$A$1:$I$89,7,0))</f>
        <v>0</v>
      </c>
      <c r="MV60" s="16">
        <f>IF(ISNA(VLOOKUP($A60,'Données projet'!$A$460:$I$480,6,0)),0%,VLOOKUP($A60,'Données projet'!$A$460:$I$480,6,0)*VLOOKUP('Données projet'!$B$25,Paramètres!$A$1:$I$89,7,0))</f>
        <v>0</v>
      </c>
      <c r="MW60" s="16">
        <f>IF(ISNA(VLOOKUP($A60,'Données projet'!$A$460:$I$480,7,0)),0%,VLOOKUP($A60,'Données projet'!$A$460:$I$480,7,0))</f>
        <v>0</v>
      </c>
      <c r="MX60" s="21" t="e">
        <f>EXP(-LN(2)/35)*MX59+(1-EXP(-LN(2)/35))/(LN(2)/35)*MT60*MU60*VLOOKUP('Données projet'!$B$25,Paramètres!$A$1:$I$89,3,0)*0.475*44/12</f>
        <v>#N/A</v>
      </c>
      <c r="MY60" s="21" t="e">
        <f>EXP(-LN(2)/25)*MY59+(1-EXP(-LN(2)/25))/(LN(2)/25)*Calculateur!MT60*Calculateur!MV60*VLOOKUP('Données projet'!$B$25,Paramètres!$A$1:$I$89,3,0)*0.475*44/12</f>
        <v>#N/A</v>
      </c>
      <c r="MZ60" s="21" t="e">
        <f>EXP(-LN(2)/2)*MZ59+(1-EXP(-LN(2)/2))/(LN(2)/2)*MT60*MW60*VLOOKUP('Données projet'!$B$25,Paramètres!$A$1:$I$89,3,0)*0.475*44/12</f>
        <v>#N/A</v>
      </c>
      <c r="NA60" s="22" t="e">
        <f t="shared" si="108"/>
        <v>#N/A</v>
      </c>
      <c r="NB60" s="74">
        <f>('Scénario référence'!$F$8+'Scénario référence'!$F$9+'Scénario référence'!$B$17+'Scénario référence'!$B$9+'Scénario référence'!$B$10)*70+IF((45+25*(1-EXP(-0.0175*$A60)))&lt;70,'Scénario référence'!$B$16*(45+25*(1-EXP(-0.0175*$A60))),70*'Scénario référence'!$B$16)+IF((32+38*(1-EXP(-0.0175*$A60)))&lt;70,'Scénario référence'!$B$18*(32+38*(1-EXP(-0.0175*$A60))),70*'Scénario référence'!$B$18)</f>
        <v>70</v>
      </c>
      <c r="NC60" s="12">
        <f>IF($A60&gt;30,10,('Scénario référence'!$B$16+'Scénario référence'!$B$17+'Scénario référence'!$B$18+'Scénario référence'!$B$9+'Scénario référence'!$B$10)*$A60*10/30+('Scénario référence'!$F$8+'Scénario référence'!$F$9)*10)</f>
        <v>10</v>
      </c>
      <c r="ND60" s="12" t="e">
        <f>VLOOKUP($A60,'Données projet'!$A$486:$I$506,2,0)</f>
        <v>#N/A</v>
      </c>
      <c r="NE60" s="12" t="e">
        <f>VLOOKUP($A60,'Données projet'!$A$486:$I$506,9,0)</f>
        <v>#N/A</v>
      </c>
      <c r="NF60" s="12">
        <f t="array" ref="NF60">INDEX(NE:NE,MIN(IF(ISNUMBER(NE60:NE256),ROW(NE60:NE256),"")))</f>
        <v>0</v>
      </c>
      <c r="NG60" s="12">
        <f>IF('Données projet'!$A$486&gt;35,NG59+NF60-NO59,IF($A60&lt;'Données projet'!$A$486,$CQ$205^$A60,IF($A60='Données projet'!$A$486,'Données projet'!$B$486,NG59+NF60-NO59)))</f>
        <v>0</v>
      </c>
      <c r="NH60" s="17" t="e">
        <f>NG60*VLOOKUP('Données projet'!$B$26,Paramètres!$A$1:$I$89,3,0)*VLOOKUP('Données projet'!$B$26,Paramètres!$A$1:$I$89,5,0)</f>
        <v>#N/A</v>
      </c>
      <c r="NI60" s="13" t="e">
        <f t="shared" si="109"/>
        <v>#N/A</v>
      </c>
      <c r="NJ60" s="14" t="e">
        <f t="shared" si="52"/>
        <v>#N/A</v>
      </c>
      <c r="NK60" s="59" t="e">
        <f t="shared" si="53"/>
        <v>#N/A</v>
      </c>
      <c r="NL60" s="20" t="e">
        <f ca="1">AVERAGE(OFFSET($NK$3,0,0,'Données projet'!$E$26+1,1))-AVERAGE(OFFSET($H$3,0,0,'Données projet'!$E$26+1,1))</f>
        <v>#N/A</v>
      </c>
      <c r="NM60" s="59" t="e">
        <f t="shared" si="110"/>
        <v>#N/A</v>
      </c>
      <c r="NN60" s="15">
        <f>IF(ISNA(VLOOKUP($A60,'Données projet'!$A$486:$I$506,3,0)),0,VLOOKUP($A60,'Données projet'!$A$486:$I$506,3,0))</f>
        <v>0</v>
      </c>
      <c r="NO60" s="15">
        <f>IF(ISNA(VLOOKUP($A60,'Données projet'!$A$486:$I$506,4,0)),0,VLOOKUP($A60,'Données projet'!$A$486:$I$506,4,0))</f>
        <v>0</v>
      </c>
      <c r="NP60" s="16">
        <f>IF(ISNA(VLOOKUP($A60,'Données projet'!$A$486:$I$506,5,0)),0%,VLOOKUP($A60,'Données projet'!$A$486:$I$506,5,0)*VLOOKUP('Données projet'!$B$26,Paramètres!$A$1:$I$89,7,0))</f>
        <v>0</v>
      </c>
      <c r="NQ60" s="16">
        <f>IF(ISNA(VLOOKUP($A60,'Données projet'!$A$486:$I$506,6,0)),0%,VLOOKUP($A60,'Données projet'!$A$486:$I$506,6,0)*VLOOKUP('Données projet'!$B$26,Paramètres!$A$1:$I$89,7,0))</f>
        <v>0</v>
      </c>
      <c r="NR60" s="16">
        <f>IF(ISNA(VLOOKUP($A60,'Données projet'!$A$486:$I$506,7,0)),0%,VLOOKUP($A60,'Données projet'!$A$486:$I$506,7,0))</f>
        <v>0</v>
      </c>
      <c r="NS60" s="21" t="e">
        <f>EXP(-LN(2)/35)*NS59+(1-EXP(-LN(2)/35))/(LN(2)/35)*NO60*NP60*VLOOKUP('Données projet'!$B$26,Paramètres!$A$1:$I$89,3,0)*0.475*44/12</f>
        <v>#N/A</v>
      </c>
      <c r="NT60" s="21" t="e">
        <f>EXP(-LN(2)/25)*NT59+(1-EXP(-LN(2)/25))/(LN(2)/25)*Calculateur!NO60*Calculateur!NQ60*VLOOKUP('Données projet'!$B$26,Paramètres!$A$1:$I$89,3,0)*0.475*44/12</f>
        <v>#N/A</v>
      </c>
      <c r="NU60" s="21" t="e">
        <f>EXP(-LN(2)/2)*NU59+(1-EXP(-LN(2)/2))/(LN(2)/2)*NO60*NR60*VLOOKUP('Données projet'!$B$26,Paramètres!$A$1:$I$89,3,0)*0.475*44/12</f>
        <v>#N/A</v>
      </c>
      <c r="NV60" s="22" t="e">
        <f t="shared" si="111"/>
        <v>#N/A</v>
      </c>
      <c r="NW60" s="74">
        <f>('Scénario référence'!$F$8+'Scénario référence'!$F$9+'Scénario référence'!$B$17+'Scénario référence'!$B$9+'Scénario référence'!$B$10)*70+IF((45+25*(1-EXP(-0.0175*$A60)))&lt;70,'Scénario référence'!$B$16*(45+25*(1-EXP(-0.0175*$A60))),70*'Scénario référence'!$B$16)+IF((32+38*(1-EXP(-0.0175*$A60)))&lt;70,'Scénario référence'!$B$18*(32+38*(1-EXP(-0.0175*$A60))),70*'Scénario référence'!$B$18)</f>
        <v>70</v>
      </c>
      <c r="NX60" s="12">
        <f>IF($A60&gt;30,10,('Scénario référence'!$B$16+'Scénario référence'!$B$17+'Scénario référence'!$B$18+'Scénario référence'!$B$9+'Scénario référence'!$B$10)*$A60*10/30+('Scénario référence'!$F$8+'Scénario référence'!$F$9)*10)</f>
        <v>10</v>
      </c>
      <c r="NY60" s="12" t="e">
        <f>VLOOKUP($A60,'Données projet'!$A$512:$I$532,2,0)</f>
        <v>#N/A</v>
      </c>
      <c r="NZ60" s="12" t="e">
        <f>VLOOKUP($A60,'Données projet'!$A$512:$I$532,9,0)</f>
        <v>#N/A</v>
      </c>
      <c r="OA60" s="12">
        <f t="array" ref="OA60">INDEX(NZ:NZ,MIN(IF(ISNUMBER(NZ60:NZ256),ROW(NZ60:NZ256),"")))</f>
        <v>0</v>
      </c>
      <c r="OB60" s="12">
        <f>IF('Données projet'!$A$512&gt;35,OB59+OA60-OJ59,IF($A60&lt;'Données projet'!$A$512,$CQ$205^$A60,IF($A60='Données projet'!$A$512,'Données projet'!$B$512,OB59+OA60-OJ59)))</f>
        <v>0</v>
      </c>
      <c r="OC60" s="17" t="e">
        <f>OB60*VLOOKUP('Données projet'!$B$27,Paramètres!$A$1:$I$89,3,0)*VLOOKUP('Données projet'!$B$27,Paramètres!$A$1:$I$89,5,0)</f>
        <v>#N/A</v>
      </c>
      <c r="OD60" s="13" t="e">
        <f t="shared" si="112"/>
        <v>#N/A</v>
      </c>
      <c r="OE60" s="14" t="e">
        <f t="shared" si="55"/>
        <v>#N/A</v>
      </c>
      <c r="OF60" s="59" t="e">
        <f t="shared" si="56"/>
        <v>#N/A</v>
      </c>
      <c r="OG60" s="20" t="e">
        <f ca="1">AVERAGE(OFFSET($OF$3,0,0,'Données projet'!$E$27+1,1))-AVERAGE(OFFSET($H$3,0,0,'Données projet'!$E$27+1,1))</f>
        <v>#N/A</v>
      </c>
      <c r="OH60" s="59" t="e">
        <f t="shared" si="113"/>
        <v>#N/A</v>
      </c>
      <c r="OI60" s="15">
        <f>IF(ISNA(VLOOKUP($A60,'Données projet'!$A$512:$I$532,3,0)),0,VLOOKUP($A60,'Données projet'!$A$512:$I$532,3,0))</f>
        <v>0</v>
      </c>
      <c r="OJ60" s="15">
        <f>IF(ISNA(VLOOKUP($A60,'Données projet'!$A$512:$I$532,4,0)),0,VLOOKUP($A60,'Données projet'!$A$512:$I$532,4,0))</f>
        <v>0</v>
      </c>
      <c r="OK60" s="16">
        <f>IF(ISNA(VLOOKUP($A60,'Données projet'!$A$512:$I$532,5,0)),0%,VLOOKUP($A60,'Données projet'!$A$512:$I$532,5,0)*VLOOKUP('Données projet'!$B$27,Paramètres!$A$1:$I$89,7,0))</f>
        <v>0</v>
      </c>
      <c r="OL60" s="16">
        <f>IF(ISNA(VLOOKUP($A60,'Données projet'!$A$512:$I$532,6,0)),0%,VLOOKUP($A60,'Données projet'!$A$512:$I$532,6,0)*VLOOKUP('Données projet'!$B$27,Paramètres!$A$1:$I$89,7,0))</f>
        <v>0</v>
      </c>
      <c r="OM60" s="16">
        <f>IF(ISNA(VLOOKUP($A60,'Données projet'!$A$512:$I$532,7,0)),0%,VLOOKUP($A60,'Données projet'!$A$512:$I$532,7,0))</f>
        <v>0</v>
      </c>
      <c r="ON60" s="21" t="e">
        <f>EXP(-LN(2)/35)*ON59+(1-EXP(-LN(2)/35))/(LN(2)/35)*OJ60*OK60*VLOOKUP('Données projet'!$B$27,Paramètres!$A$1:$I$89,3,0)*0.475*44/12</f>
        <v>#N/A</v>
      </c>
      <c r="OO60" s="21" t="e">
        <f>EXP(-LN(2)/25)*OO59+(1-EXP(-LN(2)/25))/(LN(2)/25)*Calculateur!OJ60*Calculateur!OL60*VLOOKUP('Données projet'!$B$27,Paramètres!$A$1:$I$89,3,0)*0.475*44/12</f>
        <v>#N/A</v>
      </c>
      <c r="OP60" s="21" t="e">
        <f>EXP(-LN(2)/2)*OP59+(1-EXP(-LN(2)/2))/(LN(2)/2)*OJ60*OM60*VLOOKUP('Données projet'!$B$27,Paramètres!$A$1:$I$89,3,0)*0.475*44/12</f>
        <v>#N/A</v>
      </c>
      <c r="OQ60" s="22" t="e">
        <f t="shared" si="114"/>
        <v>#N/A</v>
      </c>
      <c r="OR60" s="74">
        <f>('Scénario référence'!$F$8+'Scénario référence'!$F$9+'Scénario référence'!$B$17+'Scénario référence'!$B$9+'Scénario référence'!$B$10)*70+IF((45+25*(1-EXP(-0.0175*$A60)))&lt;70,'Scénario référence'!$B$16*(45+25*(1-EXP(-0.0175*$A60))),70*'Scénario référence'!$B$16)+IF((32+38*(1-EXP(-0.0175*$A60)))&lt;70,'Scénario référence'!$B$18*(32+38*(1-EXP(-0.0175*$A60))),70*'Scénario référence'!$B$18)</f>
        <v>70</v>
      </c>
      <c r="OS60" s="12">
        <f>IF($A60&gt;30,10,('Scénario référence'!$B$16+'Scénario référence'!$B$17+'Scénario référence'!$B$18+'Scénario référence'!$B$9+'Scénario référence'!$B$10)*$A60*10/30+('Scénario référence'!$F$8+'Scénario référence'!$F$9)*10)</f>
        <v>10</v>
      </c>
      <c r="OT60" s="12" t="e">
        <f>VLOOKUP($A60,'Données projet'!$A$538:$I$558,2,0)</f>
        <v>#N/A</v>
      </c>
      <c r="OU60" s="12" t="e">
        <f>VLOOKUP($A60,'Données projet'!$A$538:$I$558,9,0)</f>
        <v>#N/A</v>
      </c>
      <c r="OV60" s="12">
        <f t="array" ref="OV60">INDEX(OU:OU,MIN(IF(ISNUMBER(OU60:OU256),ROW(OU60:OU256),"")))</f>
        <v>0</v>
      </c>
      <c r="OW60" s="12">
        <f>IF('Données projet'!$A$538&gt;35,OW59+OV60-PE59,IF($A60&lt;'Données projet'!$A$538,$CQ$205^$A60,IF($A60='Données projet'!$A$538,'Données projet'!$B$538,OW59+OV60-PE59)))</f>
        <v>0</v>
      </c>
      <c r="OX60" s="17" t="e">
        <f>OW60*VLOOKUP('Données projet'!$B$28,Paramètres!$A$1:$I$89,3,0)*VLOOKUP('Données projet'!$B$28,Paramètres!$A$1:$I$89,5,0)</f>
        <v>#N/A</v>
      </c>
      <c r="OY60" s="13" t="e">
        <f t="shared" si="115"/>
        <v>#N/A</v>
      </c>
      <c r="OZ60" s="14" t="e">
        <f t="shared" si="58"/>
        <v>#N/A</v>
      </c>
      <c r="PA60" s="59" t="e">
        <f t="shared" si="59"/>
        <v>#N/A</v>
      </c>
      <c r="PB60" s="20" t="e">
        <f ca="1">AVERAGE(OFFSET($PA$3,0,0,'Données projet'!$E$28+1,1))-AVERAGE(OFFSET($H$3,0,0,'Données projet'!$E$28+1,1))</f>
        <v>#N/A</v>
      </c>
      <c r="PC60" s="59" t="e">
        <f t="shared" si="116"/>
        <v>#N/A</v>
      </c>
      <c r="PD60" s="15">
        <f>IF(ISNA(VLOOKUP($A60,'Données projet'!$A$538:$I$558,3,0)),0,VLOOKUP($A60,'Données projet'!$A$538:$I$558,3,0))</f>
        <v>0</v>
      </c>
      <c r="PE60" s="15">
        <f>IF(ISNA(VLOOKUP($A60,'Données projet'!$A$538:$I$558,4,0)),0,VLOOKUP($A60,'Données projet'!$A$538:$I$558,4,0))</f>
        <v>0</v>
      </c>
      <c r="PF60" s="16">
        <f>IF(ISNA(VLOOKUP($A60,'Données projet'!$A$538:$I$558,5,0)),0%,VLOOKUP($A60,'Données projet'!$A$538:$I$558,5,0)*VLOOKUP('Données projet'!$B$28,Paramètres!$A$1:$I$89,7,0))</f>
        <v>0</v>
      </c>
      <c r="PG60" s="16">
        <f>IF(ISNA(VLOOKUP($A60,'Données projet'!$A$538:$I$558,6,0)),0%,VLOOKUP($A60,'Données projet'!$A$538:$I$558,6,0)*VLOOKUP('Données projet'!$B$28,Paramètres!$A$1:$I$89,7,0))</f>
        <v>0</v>
      </c>
      <c r="PH60" s="16">
        <f>IF(ISNA(VLOOKUP($A60,'Données projet'!$A$538:$I$558,7,0)),0%,VLOOKUP($A60,'Données projet'!$A$538:$I$558,7,0))</f>
        <v>0</v>
      </c>
      <c r="PI60" s="21" t="e">
        <f>EXP(-LN(2)/35)*PI59+(1-EXP(-LN(2)/35))/(LN(2)/35)*PE60*PF60*VLOOKUP('Données projet'!$B$28,Paramètres!$A$1:$I$89,3,0)*0.475*44/12</f>
        <v>#N/A</v>
      </c>
      <c r="PJ60" s="21" t="e">
        <f>EXP(-LN(2)/25)*PJ59+(1-EXP(-LN(2)/25))/(LN(2)/25)*Calculateur!PE60*Calculateur!PG60*VLOOKUP('Données projet'!$B$28,Paramètres!$A$1:$I$89,3,0)*0.475*44/12</f>
        <v>#N/A</v>
      </c>
      <c r="PK60" s="21" t="e">
        <f>EXP(-LN(2)/2)*PK59+(1-EXP(-LN(2)/2))/(LN(2)/2)*PE60*PH60*VLOOKUP('Données projet'!$B$28,Paramètres!$A$1:$I$89,3,0)*0.475*44/12</f>
        <v>#N/A</v>
      </c>
      <c r="PL60" s="22" t="e">
        <f t="shared" si="117"/>
        <v>#N/A</v>
      </c>
    </row>
    <row r="61" spans="1:428" x14ac:dyDescent="0.35">
      <c r="A61" s="10">
        <f t="shared" si="6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6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projet'!$A$45:$I$65,2,0)</f>
        <v>#N/A</v>
      </c>
      <c r="L61" s="12" t="e">
        <f>VLOOKUP(A61,'Données projet'!$A$45:$I$65,9,0)</f>
        <v>#N/A</v>
      </c>
      <c r="M61" s="12">
        <f t="array" ref="M61">INDEX(L:L,MIN(IF(ISNUMBER(L61:L257),ROW(L61:L257),"")))</f>
        <v>0</v>
      </c>
      <c r="N61" s="13">
        <f>IF('Données projet'!$A$46&gt;35,N60+M61-V60,IF(A61&lt;'Données projet'!$A$46,$K$205^A61,IF(A61='Données projet'!$A$46,'Données projet'!$B$46,N60+M61-V60)))</f>
        <v>-1.1368683772161603E-13</v>
      </c>
      <c r="O61" s="13">
        <f>N61*VLOOKUP('Données projet'!$B$9,Paramètres!$A$1:$I$89,3,0)*VLOOKUP('Données projet'!$B$9,Paramètres!$A$1:$I$89,5,0)</f>
        <v>-6.3550942286383367E-14</v>
      </c>
      <c r="P61" s="13" t="e">
        <f t="shared" si="63"/>
        <v>#NUM!</v>
      </c>
      <c r="Q61" s="20" t="e">
        <f t="shared" si="118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274.57619581652199</v>
      </c>
      <c r="T61" s="59">
        <f t="shared" si="64"/>
        <v>366.15117322598775</v>
      </c>
      <c r="U61" s="15">
        <f>IF(ISNA(VLOOKUP(A61,'Données projet'!$A$45:$I$65,3,0)),0,VLOOKUP(A61,'Données projet'!$A$45:$I$65,3,0))</f>
        <v>0</v>
      </c>
      <c r="V61" s="15">
        <f>IF(ISNA(VLOOKUP(A61,'Données projet'!$A$45:$I$65,4,0)),0,VLOOKUP(A61,'Données projet'!$A$45:$I$65,4,0))</f>
        <v>0</v>
      </c>
      <c r="W61" s="16">
        <f>IF(ISNA(VLOOKUP(A61,'Données projet'!$A$45:$I$65,5,0)),0%,VLOOKUP(A61,'Données projet'!$A$45:$I$65,5,0)*VLOOKUP('Données projet'!$B$9,Paramètres!$A$1:$I$89,7,0))</f>
        <v>0</v>
      </c>
      <c r="X61" s="16">
        <f>IF(ISNA(VLOOKUP(A61,'Données projet'!$A$45:$I$65,6,0)),0%,VLOOKUP(A61,'Données projet'!$A$45:$I$65,6,0)*VLOOKUP('Données projet'!$B$9,Paramètres!$A$1:$I$89,7,0))</f>
        <v>0</v>
      </c>
      <c r="Y61" s="16">
        <f>IF(ISNA(VLOOKUP(A61,'Données projet'!$A$45:$I$65,7,0)),0%,VLOOKUP(A61,'Données projet'!$A$45:$I$65,7,0))</f>
        <v>0</v>
      </c>
      <c r="Z61" s="21">
        <f>EXP(-LN(2)/35)*Z60+(1-EXP(-LN(2)/35))/(LN(2)/35)*V61*W61*VLOOKUP('Données projet'!$B$9,Paramètres!$A$1:$I$89,3,0)*0.475*44/12</f>
        <v>213.58301960016803</v>
      </c>
      <c r="AA61" s="21">
        <f>EXP(-LN(2)/25)*AA60+(1-EXP(-LN(2)/25))/(LN(2)/25)*Calculateur!V61*Calculateur!X61*VLOOKUP('Données projet'!$B$9,Paramètres!$A$1:$I$89,3,0)*0.475*44/12</f>
        <v>53.009876074403138</v>
      </c>
      <c r="AB61" s="21">
        <f>EXP(-LN(2)/2)*AB60+(1-EXP(-LN(2)/2))/(LN(2)/2)*V61*Y61*VLOOKUP('Données projet'!$B$9,Paramètres!$A$1:$I$89,3,0)*0.475*44/12</f>
        <v>12.077844857741541</v>
      </c>
      <c r="AC61" s="22">
        <f t="shared" si="3"/>
        <v>278.67074053231272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projet'!$A$71:$I$91,2,0)</f>
        <v>#N/A</v>
      </c>
      <c r="AG61" s="12" t="e">
        <f>VLOOKUP(A61,'Données projet'!$A$71:$I$91,9,0)</f>
        <v>#N/A</v>
      </c>
      <c r="AH61" s="12">
        <f t="array" ref="AH61">INDEX(AG:AG,MIN(IF(ISNUMBER(AG61:AG257),ROW(AG61:AG257),"")))</f>
        <v>8.374198717948719</v>
      </c>
      <c r="AI61" s="13">
        <f>IF('Données projet'!$A$72&gt;35,AI60+AH61-AQ60,IF(A61&lt;'Données projet'!$A$72,$AF$205^A61,IF(A61='Données projet'!$A$72,'Données projet'!$B$72,AI60+AH61-AQ60)))</f>
        <v>178.41746794871801</v>
      </c>
      <c r="AJ61" s="13">
        <f>AI61*VLOOKUP('Données projet'!$B$10,Paramètres!$A$1:$I$89,3,0)*VLOOKUP('Données projet'!$B$10,Paramètres!$A$1:$I$89,5,0)</f>
        <v>161.43212500000007</v>
      </c>
      <c r="AK61" s="13">
        <f t="shared" si="65"/>
        <v>41.16536748337429</v>
      </c>
      <c r="AL61" s="20">
        <f t="shared" si="4"/>
        <v>352.85729940854367</v>
      </c>
      <c r="AM61" s="59">
        <f t="shared" si="5"/>
        <v>646.19063274187693</v>
      </c>
      <c r="AN61" s="59">
        <f ca="1">AVERAGE(OFFSET($AM$3,0,0,'Données projet'!$E$10+1,1))-AVERAGE(OFFSET($H$3,0,0,'Données projet'!$E$10+1,1))</f>
        <v>270.87836509222456</v>
      </c>
      <c r="AO61" s="59">
        <f t="shared" si="66"/>
        <v>205.24998237949734</v>
      </c>
      <c r="AP61" s="15">
        <f>IF(ISNA(VLOOKUP(A61,'Données projet'!$A$71:$I$91,3,0)),0,VLOOKUP(A61,'Données projet'!$A$71:$I$91,3,0))</f>
        <v>0</v>
      </c>
      <c r="AQ61" s="15">
        <f>IF(ISNA(VLOOKUP(A61,'Données projet'!$A$71:$I$91,4,0)),0,VLOOKUP(A61,'Données projet'!$A$71:$I$91,4,0))</f>
        <v>0</v>
      </c>
      <c r="AR61" s="16">
        <f>IF(ISNA(VLOOKUP(A61,'Données projet'!$A$71:$I$91,5,0)),0%,VLOOKUP(A61,'Données projet'!$A$71:$I$91,5,0)*VLOOKUP('Données projet'!$B$10,Paramètres!$A$1:$I$89,7,0))</f>
        <v>0</v>
      </c>
      <c r="AS61" s="16">
        <f>IF(ISNA(VLOOKUP(A61,'Données projet'!$A$71:$I$91,6,0)),0%,VLOOKUP(A61,'Données projet'!$A$71:$I$91,6,0)*VLOOKUP('Données projet'!$B$10,Paramètres!$A$1:$I$89,7,0))</f>
        <v>0</v>
      </c>
      <c r="AT61" s="16">
        <f>IF(ISNA(VLOOKUP(A61,'Données projet'!$A$71:$I$91,7,0)),0%,VLOOKUP(A61,'Données projet'!$A$71:$I$91,7,0))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projet'!$A$97:$I$117,2,0)</f>
        <v>#N/A</v>
      </c>
      <c r="BB61" s="12" t="e">
        <f>VLOOKUP(A61,'Données projet'!$A$97:$I$117,9,0)</f>
        <v>#N/A</v>
      </c>
      <c r="BC61" s="12">
        <f t="array" ref="BC61">INDEX(BB:BB,MIN(IF(ISNUMBER(BB61:BB257),ROW(BB61:BB257),"")))</f>
        <v>0</v>
      </c>
      <c r="BD61" s="12">
        <f>IF('Données projet'!$A$98&gt;35,BD60+BC61-BL60,IF(A61&lt;'Données projet'!$A$98,$BA$205^A61,IF(A61='Données projet'!$A$98,'Données projet'!$B$98,BD60+BC61-BL60)))</f>
        <v>-1.1368683772161603E-13</v>
      </c>
      <c r="BE61" s="13">
        <f>BD61*VLOOKUP('Données projet'!$B$11,Paramètres!$A$1:$I$89,3,0)*VLOOKUP('Données projet'!$B$11,Paramètres!$A$1:$I$89,5,0)</f>
        <v>-5.0249582272954292E-14</v>
      </c>
      <c r="BF61" s="13" t="e">
        <f t="shared" si="6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211.31057120485542</v>
      </c>
      <c r="BJ61" s="59">
        <f t="shared" si="68"/>
        <v>283.33292006714777</v>
      </c>
      <c r="BK61" s="15">
        <f>IF(ISNA(VLOOKUP(A61,'Données projet'!$A$97:$I$117,3,0)),0,VLOOKUP(A61,'Données projet'!$A$97:$I$117,3,0))</f>
        <v>0</v>
      </c>
      <c r="BL61" s="15">
        <f>IF(ISNA(VLOOKUP(A61,'Données projet'!$A$97:$I$117,4,0)),0,VLOOKUP(A61,'Données projet'!$A$97:$I$117,4,0))</f>
        <v>0</v>
      </c>
      <c r="BM61" s="16">
        <f>IF(ISNA(VLOOKUP(A61,'Données projet'!$A$97:$I$117,5,0)),0%,VLOOKUP(A61,'Données projet'!$A$97:$I$117,5,0)*VLOOKUP('Données projet'!$B$11,Paramètres!$A$1:$I$89,7,0))</f>
        <v>0</v>
      </c>
      <c r="BN61" s="16">
        <f>IF(ISNA(VLOOKUP(A61,'Données projet'!$A$97:$I$117,6,0)),0%,VLOOKUP(A61,'Données projet'!$A$97:$I$117,6,0)*VLOOKUP('Données projet'!$B$11,Paramètres!$A$1:$I$89,7,0))</f>
        <v>0</v>
      </c>
      <c r="BO61" s="16">
        <f>IF(ISNA(VLOOKUP(A61,'Données projet'!$A$97:$I$117,7,0)),0%,VLOOKUP(A61,'Données projet'!$A$97:$I$117,7,0))</f>
        <v>0</v>
      </c>
      <c r="BP61" s="21">
        <f>EXP(-LN(2)/35)*BP60+(1-EXP(-LN(2)/35))/(LN(2)/35)*BL61*BM61*VLOOKUP('Données projet'!$B$11,Paramètres!$A$1:$I$89,3,0)*0.475*44/12</f>
        <v>168.8795968931561</v>
      </c>
      <c r="BQ61" s="21">
        <f>EXP(-LN(2)/25)*BQ60+(1-EXP(-LN(2)/25))/(LN(2)/25)*Calculateur!BL61*Calculateur!BN61*VLOOKUP('Données projet'!$B$11,Paramètres!$A$1:$I$89,3,0)*0.475*44/12</f>
        <v>41.914785733248998</v>
      </c>
      <c r="BR61" s="21">
        <f>EXP(-LN(2)/2)*BR60+(1-EXP(-LN(2)/2))/(LN(2)/2)*BL61*BO61*VLOOKUP('Données projet'!$B$11,Paramètres!$A$1:$I$89,3,0)*0.475*44/12</f>
        <v>9.5499238410049383</v>
      </c>
      <c r="BS61" s="22">
        <f t="shared" si="9"/>
        <v>220.34430646741004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projet'!$A$123:$I$143,2,0)</f>
        <v>#N/A</v>
      </c>
      <c r="BW61" s="12" t="e">
        <f>VLOOKUP(A61,'Données projet'!$A$123:$I$143,9,0)</f>
        <v>#N/A</v>
      </c>
      <c r="BX61" s="12">
        <f t="array" ref="BX61">INDEX(BW:BW,MIN(IF(ISNUMBER(BW61:BW257),ROW(BW61:BW257),"")))</f>
        <v>6</v>
      </c>
      <c r="BY61" s="12">
        <f>IF('Données projet'!$A$124&gt;35,BY60+BX61-CG60,IF(A61&lt;'Données projet'!$A$124,$BV$205^A61,IF(A61='Données projet'!$A$124,'Données projet'!$B$124,BY60+BX61-CG60)))</f>
        <v>213.00000000000003</v>
      </c>
      <c r="BZ61" s="13">
        <f>BY61*VLOOKUP('Données projet'!$B$12,Paramètres!$A$1:$I$89,3,0)*VLOOKUP('Données projet'!$B$12,Paramètres!$A$1:$I$89,5,0)</f>
        <v>222.62760000000006</v>
      </c>
      <c r="CA61" s="13">
        <f t="shared" si="69"/>
        <v>54.685586371535265</v>
      </c>
      <c r="CB61" s="20">
        <f t="shared" si="10"/>
        <v>482.98713293042402</v>
      </c>
      <c r="CC61" s="59">
        <f t="shared" si="11"/>
        <v>776.32046626375734</v>
      </c>
      <c r="CD61" s="59">
        <f ca="1">AVERAGE(OFFSET($CC$3,0,0,'Données projet'!$E$12+1,1))-AVERAGE(OFFSET($H$3,0,0,'Données projet'!$E$12+1,1))</f>
        <v>322.93502595881938</v>
      </c>
      <c r="CE61" s="59">
        <f t="shared" si="70"/>
        <v>302.67072119588164</v>
      </c>
      <c r="CF61" s="15">
        <f>IF(ISNA(VLOOKUP(A61,'Données projet'!$A$123:$I$143,3,0)),0,VLOOKUP(A61,'Données projet'!$A$123:$I$143,3,0))</f>
        <v>0</v>
      </c>
      <c r="CG61" s="15">
        <f>IF(ISNA(VLOOKUP(A61,'Données projet'!$A$123:$I$143,4,0)),0,VLOOKUP(A61,'Données projet'!$A$123:$I$143,4,0))</f>
        <v>0</v>
      </c>
      <c r="CH61" s="16">
        <f>IF(ISNA(VLOOKUP(A61,'Données projet'!$A$123:$I$143,5,0)),0%,VLOOKUP(A61,'Données projet'!$A$123:$I$143,5,0)*VLOOKUP('Données projet'!$B$12,Paramètres!$A$1:$I$89,7,0))</f>
        <v>0</v>
      </c>
      <c r="CI61" s="16">
        <f>IF(ISNA(VLOOKUP(A61,'Données projet'!$A$123:$I$143,6,0)),0%,VLOOKUP(A61,'Données projet'!$A$123:$I$143,6,0)*VLOOKUP('Données projet'!$B$12,Paramètres!$A$1:$I$89,7,0))</f>
        <v>0</v>
      </c>
      <c r="CJ61" s="16">
        <f>IF(ISNA(VLOOKUP(A61,'Données projet'!$A$123:$I$143,7,0)),0%,VLOOKUP(A61,'Données projet'!$A$123:$I$143,7,0))</f>
        <v>0</v>
      </c>
      <c r="CK61" s="21">
        <f>EXP(-LN(2)/35)*CK60+(1-EXP(-LN(2)/35))/(LN(2)/35)*CG61*CH61*VLOOKUP('Données projet'!$B$12,Paramètres!$A$1:$I$89,3,0)*0.475*44/12</f>
        <v>12.372315139299872</v>
      </c>
      <c r="CL61" s="21">
        <f>EXP(-LN(2)/25)*CL60+(1-EXP(-LN(2)/25))/(LN(2)/25)*Calculateur!CG61*Calculateur!CI61*VLOOKUP('Données projet'!$B$12,Paramètres!$A$1:$I$89,3,0)*0.475*44/12</f>
        <v>19.17140559872233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31.543720738022202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projet'!$A$149:$I$169,2,0)</f>
        <v>#N/A</v>
      </c>
      <c r="CR61" s="12" t="e">
        <f>VLOOKUP(A61,'Données projet'!$A$149:$I$169,9,0)</f>
        <v>#N/A</v>
      </c>
      <c r="CS61" s="12">
        <f t="array" ref="CS61">INDEX(CR:CR,MIN(IF(ISNUMBER(CR61:CR257),ROW(CR61:CR257),"")))</f>
        <v>6.3942307692307701</v>
      </c>
      <c r="CT61" s="12">
        <f>IF('Données projet'!$A$150&gt;35,CT60+CS61-DB60,IF(A61&lt;'Données projet'!$A$150,$CQ$205^A61,IF(A61='Données projet'!$A$150,'Données projet'!$B$150,CT60+CS61-DB60)))</f>
        <v>152.86217948717947</v>
      </c>
      <c r="CU61" s="17">
        <f>CT61*VLOOKUP('Données projet'!$B$13,Paramètres!$A$1:$I$89,3,0)*VLOOKUP('Données projet'!$B$13,Paramètres!$A$1:$I$89,5,0)</f>
        <v>155.00225</v>
      </c>
      <c r="CV61" s="13">
        <f t="shared" si="71"/>
        <v>39.713185446553709</v>
      </c>
      <c r="CW61" s="20">
        <f t="shared" si="13"/>
        <v>339.12938340274769</v>
      </c>
      <c r="CX61" s="59">
        <f t="shared" si="14"/>
        <v>632.46271673608101</v>
      </c>
      <c r="CY61" s="59">
        <f ca="1">AVERAGE(OFFSET($CX$3,0,0,'Données projet'!$E$13+1,1))-AVERAGE(OFFSET($H$3,0,0,'Données projet'!$E$13+1,1))</f>
        <v>250.31277422753283</v>
      </c>
      <c r="CZ61" s="59">
        <f t="shared" si="72"/>
        <v>159.20429420478047</v>
      </c>
      <c r="DA61" s="15">
        <f>IF(ISNA(VLOOKUP(A61,'Données projet'!$A$149:$I$169,3,0)),0,VLOOKUP(A61,'Données projet'!$A$149:$I$169,3,0))</f>
        <v>0</v>
      </c>
      <c r="DB61" s="15">
        <f>IF(ISNA(VLOOKUP(A61,'Données projet'!$A$149:$I$169,4,0)),0,VLOOKUP(A61,'Données projet'!$A$149:$I$169,4,0))</f>
        <v>0</v>
      </c>
      <c r="DC61" s="16">
        <f>IF(ISNA(VLOOKUP(A61,'Données projet'!$A$149:$I$169,5,0)),0%,VLOOKUP(A61,'Données projet'!$A$149:$I$169,5,0)*VLOOKUP('Données projet'!$B$13,Paramètres!$A$1:$I$89,7,0))</f>
        <v>0</v>
      </c>
      <c r="DD61" s="16">
        <f>IF(ISNA(VLOOKUP(A61,'Données projet'!$A$149:$I$169,6,0)),0%,VLOOKUP(A61,'Données projet'!$A$149:$I$169,6,0)*VLOOKUP('Données projet'!$B$13,Paramètres!$A$1:$I$89,7,0))</f>
        <v>0</v>
      </c>
      <c r="DE61" s="16">
        <f>IF(ISNA(VLOOKUP(A61,'Données projet'!$A$149:$I$169,7,0)),0%,VLOOKUP(A61,'Données projet'!$A$149:$I$169,7,0))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0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projet'!$A$175:$I$195,2,0)</f>
        <v>#N/A</v>
      </c>
      <c r="DM61" s="12" t="e">
        <f>VLOOKUP(A61,'Données projet'!$A$175:$I$195,9,0)</f>
        <v>#N/A</v>
      </c>
      <c r="DN61" s="12">
        <f t="array" ref="DN61">INDEX(DM:DM,MIN(IF(ISNUMBER(DM61:DM257),ROW(DM61:DM257),"")))</f>
        <v>7.4</v>
      </c>
      <c r="DO61" s="12">
        <f>IF('Données projet'!$A$176&gt;35,DO60+DN61-DW60,IF(A61&lt;'Données projet'!$A$176,$DL$205^A61,IF(A61='Données projet'!$A$176,'Données projet'!$B$176,DO60+DN61-DW60)))</f>
        <v>328.19999999999976</v>
      </c>
      <c r="DP61" s="17">
        <f>DO61*VLOOKUP('Données projet'!$B$14,Paramètres!$A$1:$I$89,3,0)*VLOOKUP('Données projet'!$B$14,Paramètres!$A$1:$I$89,5,0)</f>
        <v>240.63623999999982</v>
      </c>
      <c r="DQ61" s="13">
        <f t="shared" si="73"/>
        <v>58.576399517863109</v>
      </c>
      <c r="DR61" s="20">
        <f t="shared" si="16"/>
        <v>521.12868049361134</v>
      </c>
      <c r="DS61" s="59">
        <f t="shared" si="17"/>
        <v>814.46201382694471</v>
      </c>
      <c r="DT61" s="59">
        <f ca="1">AVERAGE(OFFSET($DS$3,0,0,'Données projet'!$E$14+1,1))-AVERAGE(OFFSET($H$3,0,0,'Données projet'!$E$14+1,1))</f>
        <v>296.91321813251051</v>
      </c>
      <c r="DU61" s="59">
        <f t="shared" si="74"/>
        <v>291.0718079639509</v>
      </c>
      <c r="DV61" s="15">
        <f>IF(ISNA(VLOOKUP(A61,'Données projet'!$A$175:$I$195,3,0)),0,VLOOKUP(A61,'Données projet'!$A$175:$I$195,3,0))</f>
        <v>0</v>
      </c>
      <c r="DW61" s="15">
        <f>IF(ISNA(VLOOKUP(A61,'Données projet'!$A$175:$I$195,4,0)),0,VLOOKUP(A61,'Données projet'!$A$175:$I$195,4,0))</f>
        <v>0</v>
      </c>
      <c r="DX61" s="16">
        <f>IF(ISNA(VLOOKUP(A61,'Données projet'!$A$175:$I$195,5,0)),0%,VLOOKUP(A61,'Données projet'!$A$175:$I$195,5,0)*VLOOKUP('Données projet'!$B$14,Paramètres!$A$1:$I$89,7,0))</f>
        <v>0</v>
      </c>
      <c r="DY61" s="16">
        <f>IF(ISNA(VLOOKUP(A61,'Données projet'!$A$175:$I$195,6,0)),0%,VLOOKUP(A61,'Données projet'!$A$175:$I$195,6,0)*VLOOKUP('Données projet'!$B$14,Paramètres!$A$1:$I$89,7,0))</f>
        <v>0</v>
      </c>
      <c r="DZ61" s="16">
        <f>IF(ISNA(VLOOKUP(A61,'Données projet'!$A$175:$I$195,7,0)),0%,VLOOKUP(A61,'Données projet'!$A$175:$I$195,7,0))</f>
        <v>0</v>
      </c>
      <c r="EA61" s="21">
        <f>EXP(-LN(2)/35)*EA60+(1-EXP(-LN(2)/35))/(LN(2)/35)*DW61*DX61*VLOOKUP('Données projet'!$B$14,Paramètres!$A$1:$I$89,3,0)*0.475*44/12</f>
        <v>38.53944161648274</v>
      </c>
      <c r="EB61" s="21">
        <f>EXP(-LN(2)/25)*EB60+(1-EXP(-LN(2)/25))/(LN(2)/25)*Calculateur!DW61*Calculateur!DY61*VLOOKUP('Données projet'!$B$14,Paramètres!$A$1:$I$89,3,0)*0.475*44/12</f>
        <v>8.3968508394986205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46.936292455981359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projet'!$A$201:$I$221,2,0)</f>
        <v>#N/A</v>
      </c>
      <c r="EH61" s="12" t="e">
        <f>VLOOKUP(A61,'Données projet'!$A$201:$I$221,9,0)</f>
        <v>#N/A</v>
      </c>
      <c r="EI61" s="12">
        <f t="array" ref="EI61">INDEX(EH:EH,MIN(IF(ISNUMBER(EH61:EH257),ROW(EH61:EH257),"")))</f>
        <v>10.763461538461542</v>
      </c>
      <c r="EJ61" s="12">
        <f>IF('Données projet'!$A$202&gt;35,EJ60+EI61-ER60,IF(A61&lt;'Données projet'!$A$202,$EG$205^A61,IF(A61='Données projet'!$A$202,'Données projet'!$B$202,EJ60+EI61-ER60)))</f>
        <v>296.875</v>
      </c>
      <c r="EK61" s="17">
        <f>EJ61*VLOOKUP('Données projet'!$B$15,Paramètres!$A$1:$I$89,3,0)*VLOOKUP('Données projet'!$B$15,Paramètres!$A$1:$I$89,5,0)</f>
        <v>138.9375</v>
      </c>
      <c r="EL61" s="13">
        <f t="shared" si="75"/>
        <v>36.053493849661677</v>
      </c>
      <c r="EM61" s="20">
        <f t="shared" si="19"/>
        <v>304.77598095482739</v>
      </c>
      <c r="EN61" s="59">
        <f t="shared" si="20"/>
        <v>598.1093142881607</v>
      </c>
      <c r="EO61" s="59">
        <f ca="1">AVERAGE(OFFSET($EN$3,0,0,'Données projet'!$E$15+1,1))-AVERAGE(OFFSET($H$3,0,0,'Données projet'!$E$15+1,1))</f>
        <v>147.64256291235483</v>
      </c>
      <c r="EP61" s="59">
        <f t="shared" si="76"/>
        <v>70.859031694091868</v>
      </c>
      <c r="EQ61" s="15">
        <f>IF(ISNA(VLOOKUP(A61,'Données projet'!$A$201:$I$221,3,0)),0,VLOOKUP(A61,'Données projet'!$A$201:$I$221,3,0))</f>
        <v>0</v>
      </c>
      <c r="ER61" s="15">
        <f>IF(ISNA(VLOOKUP(A61,'Données projet'!$A$201:$I$221,4,0)),0,VLOOKUP(A61,'Données projet'!$A$201:$I$221,4,0))</f>
        <v>0</v>
      </c>
      <c r="ES61" s="16">
        <f>IF(ISNA(VLOOKUP(A61,'Données projet'!$A$201:$I$221,5,0)),0%,VLOOKUP(A61,'Données projet'!$A$201:$I$221,5,0)*VLOOKUP('Données projet'!$B$15,Paramètres!$A$1:$I$89,7,0))</f>
        <v>0</v>
      </c>
      <c r="ET61" s="16">
        <f>IF(ISNA(VLOOKUP(A61,'Données projet'!$A$201:$I$221,6,0)),0%,VLOOKUP(A61,'Données projet'!$A$201:$I$221,6,0)*VLOOKUP('Données projet'!$B$15,Paramètres!$A$1:$I$89,7,0))</f>
        <v>0</v>
      </c>
      <c r="EU61" s="16">
        <f>IF(ISNA(VLOOKUP(A61,'Données projet'!$A$201:$I$221,7,0)),0%,VLOOKUP(A61,'Données projet'!$A$201:$I$221,7,0))</f>
        <v>0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15.734661637862489</v>
      </c>
      <c r="EX61" s="21">
        <f>EXP(-LN(2)/2)*EX60+(1-EXP(-LN(2)/2))/(LN(2)/2)*ER61*EU61*VLOOKUP('Données projet'!$B$15,Paramètres!$A$1:$I$89,3,0)*0.475*44/12</f>
        <v>2.067108739025306</v>
      </c>
      <c r="EY61" s="22">
        <f t="shared" si="21"/>
        <v>17.801770376887795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projet'!$A$227:$I$247,2,0)</f>
        <v>#N/A</v>
      </c>
      <c r="FC61" s="12" t="e">
        <f>VLOOKUP(A61,'Données projet'!$A$227:$I$247,9,0)</f>
        <v>#N/A</v>
      </c>
      <c r="FD61" s="12">
        <f t="array" ref="FD61">INDEX(FC:FC,MIN(IF(ISNUMBER(FC61:FC257),ROW(FC61:FC257),"")))</f>
        <v>5</v>
      </c>
      <c r="FE61" s="12">
        <f>IF('Données projet'!$A$228&gt;35,FE60+FD61-FM60,IF(A61&lt;'Données projet'!$A$228,$FB$205^A61,IF(A61='Données projet'!$A$228,'Données projet'!$B$228,FE60+FD61-FM60)))</f>
        <v>178.99999999999997</v>
      </c>
      <c r="FF61" s="17">
        <f>FE61*VLOOKUP('Données projet'!$B$16,Paramètres!$A$1:$I$89,3,0)*VLOOKUP('Données projet'!$B$16,Paramètres!$A$1:$I$89,5,0)</f>
        <v>187.0908</v>
      </c>
      <c r="FG61" s="13">
        <f t="shared" si="77"/>
        <v>46.896193582104758</v>
      </c>
      <c r="FH61" s="20">
        <f t="shared" si="22"/>
        <v>407.52734715549917</v>
      </c>
      <c r="FI61" s="59">
        <f t="shared" si="23"/>
        <v>700.86068048883249</v>
      </c>
      <c r="FJ61" s="59">
        <f ca="1">AVERAGE(OFFSET($FI$3,0,0,'Données projet'!$E$16+1,1))-AVERAGE(OFFSET($H$3,0,0,'Données projet'!$E$16+1,1))</f>
        <v>259.03906550253788</v>
      </c>
      <c r="FK61" s="59">
        <f t="shared" si="78"/>
        <v>235.54542903570831</v>
      </c>
      <c r="FL61" s="15">
        <f>IF(ISNA(VLOOKUP(A61,'Données projet'!$A$227:$I$247,3,0)),0,VLOOKUP(A61,'Données projet'!$A$227:$I$247,3,0))</f>
        <v>0</v>
      </c>
      <c r="FM61" s="15">
        <f>IF(ISNA(VLOOKUP(A61,'Données projet'!$A$227:$I$247,4,0)),0,VLOOKUP(A61,'Données projet'!$A$227:$I$247,4,0))</f>
        <v>0</v>
      </c>
      <c r="FN61" s="16">
        <f>IF(ISNA(VLOOKUP(A61,'Données projet'!$A$227:$I$247,5,0)),0%,VLOOKUP(A61,'Données projet'!$A$227:$I$247,5,0)*VLOOKUP('Données projet'!$B$16,Paramètres!$A$1:$I$89,7,0))</f>
        <v>0</v>
      </c>
      <c r="FO61" s="16">
        <f>IF(ISNA(VLOOKUP(A61,'Données projet'!$A$227:$I$247,6,0)),0%,VLOOKUP(A61,'Données projet'!$A$227:$I$247,6,0)*VLOOKUP('Données projet'!$B$16,Paramètres!$A$1:$I$89,7,0))</f>
        <v>0</v>
      </c>
      <c r="FP61" s="16">
        <f>IF(ISNA(VLOOKUP(A61,'Données projet'!$A$227:$I$247,7,0)),0%,VLOOKUP(A61,'Données projet'!$A$227:$I$247,7,0))</f>
        <v>0</v>
      </c>
      <c r="FQ61" s="21">
        <f>EXP(-LN(2)/35)*FQ60+(1-EXP(-LN(2)/35))/(LN(2)/35)*FM61*FN61*VLOOKUP('Données projet'!$B$16,Paramètres!$A$1:$I$89,3,0)*0.475*44/12</f>
        <v>3.1836206181856386</v>
      </c>
      <c r="FR61" s="21">
        <f>EXP(-LN(2)/25)*FR60+(1-EXP(-LN(2)/25))/(LN(2)/25)*Calculateur!FM61*Calculateur!FO61*VLOOKUP('Données projet'!$B$16,Paramètres!$A$1:$I$89,3,0)*0.475*44/12</f>
        <v>12.947552638860516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16.131173257046154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projet'!$A$253:$I$273,2,0)</f>
        <v>#N/A</v>
      </c>
      <c r="FX61" s="12" t="e">
        <f>VLOOKUP(A61,'Données projet'!$A$253:$I$273,9,0)</f>
        <v>#N/A</v>
      </c>
      <c r="FY61" s="12">
        <f t="array" ref="FY61">INDEX(FX:FX,MIN(IF(ISNUMBER(FX61:FX257),ROW(FX61:FX257),"")))</f>
        <v>5.2</v>
      </c>
      <c r="FZ61" s="12">
        <f>IF('Données projet'!$A$254&gt;35,FZ60+FY61-GH60,IF(A61&lt;'Données projet'!$A$254,$FW$205^A61,IF(A61='Données projet'!$A$254,'Données projet'!$B$254,FZ60+FY61-GH60)))</f>
        <v>234.59999999999985</v>
      </c>
      <c r="GA61" s="17">
        <f>FZ61*VLOOKUP('Données projet'!$B$17,Paramètres!$A$1:$I$89,3,0)*VLOOKUP('Données projet'!$B$17,Paramètres!$A$1:$I$89,5,0)</f>
        <v>204.94655999999989</v>
      </c>
      <c r="GB61" s="13">
        <f t="shared" si="79"/>
        <v>50.829721281867236</v>
      </c>
      <c r="GC61" s="20">
        <f t="shared" si="25"/>
        <v>445.47702323258522</v>
      </c>
      <c r="GD61" s="59">
        <f t="shared" si="26"/>
        <v>738.81035656591848</v>
      </c>
      <c r="GE61" s="59">
        <f ca="1">AVERAGE(OFFSET($GD$3,0,0,'Données projet'!$E$17+1,1))-AVERAGE(OFFSET($H$3,0,0,'Données projet'!$E$17+1,1))</f>
        <v>245.1983232777614</v>
      </c>
      <c r="GF61" s="59">
        <f t="shared" si="80"/>
        <v>242.34010522344573</v>
      </c>
      <c r="GG61" s="15">
        <f>IF(ISNA(VLOOKUP(A61,'Données projet'!$A$253:$I$273,3,0)),0,VLOOKUP(A61,'Données projet'!$A$253:$I$273,3,0))</f>
        <v>0</v>
      </c>
      <c r="GH61" s="15">
        <f>IF(ISNA(VLOOKUP(A61,'Données projet'!$A$253:$I$273,4,0)),0,VLOOKUP(A61,'Données projet'!$A$253:$I$273,4,0))</f>
        <v>0</v>
      </c>
      <c r="GI61" s="16">
        <f>IF(ISNA(VLOOKUP(A61,'Données projet'!$A$253:$I$273,5,0)),0%,VLOOKUP(A61,'Données projet'!$A$253:$I$273,5,0)*VLOOKUP('Données projet'!$B$17,Paramètres!$A$1:$I$89,7,0))</f>
        <v>0</v>
      </c>
      <c r="GJ61" s="16">
        <f>IF(ISNA(VLOOKUP(A61,'Données projet'!$A$253:$I$273,6,0)),0%,VLOOKUP(A61,'Données projet'!$A$253:$I$273,6,0)*VLOOKUP('Données projet'!$B$17,Paramètres!$A$1:$I$89,7,0))</f>
        <v>0</v>
      </c>
      <c r="GK61" s="16">
        <f>IF(ISNA(VLOOKUP(A61,'Données projet'!$A$253:$I$273,7,0)),0%,VLOOKUP(A61,'Données projet'!$A$253:$I$273,7,0))</f>
        <v>0</v>
      </c>
      <c r="GL61" s="21">
        <f>EXP(-LN(2)/35)*GL60+(1-EXP(-LN(2)/35))/(LN(2)/35)*GH61*GI61*VLOOKUP('Données projet'!$B$17,Paramètres!$A$1:$I$89,3,0)*0.475*44/12</f>
        <v>17.13090755773402</v>
      </c>
      <c r="GM61" s="21">
        <f>EXP(-LN(2)/25)*GM60+(1-EXP(-LN(2)/25))/(LN(2)/25)*Calculateur!GH61*Calculateur!GJ61*VLOOKUP('Données projet'!$B$17,Paramètres!$A$1:$I$89,3,0)*0.475*44/12</f>
        <v>10.713827149663336</v>
      </c>
      <c r="GN61" s="21">
        <f>EXP(-LN(2)/2)*GN60+(1-EXP(-LN(2)/2))/(LN(2)/2)*GH61*GK61*VLOOKUP('Données projet'!$B$17,Paramètres!$A$1:$I$89,3,0)*0.475*44/12</f>
        <v>0</v>
      </c>
      <c r="GO61" s="21">
        <f t="shared" si="27"/>
        <v>27.844734707397357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projet'!$A$279:$I$299,2,0)</f>
        <v>#N/A</v>
      </c>
      <c r="GS61" s="12" t="e">
        <f>VLOOKUP(A61,'Données projet'!$A$279:$I$299,9,0)</f>
        <v>#N/A</v>
      </c>
      <c r="GT61" s="12">
        <f t="array" ref="GT61">INDEX(GS:GS,MIN(IF(ISNUMBER(GS61:GS257),ROW(GS61:GS257),"")))</f>
        <v>12.6</v>
      </c>
      <c r="GU61" s="12">
        <f>IF('Données projet'!$A$280&gt;35,GU60+GT61-HC60,IF(A61&lt;'Données projet'!$A$280,$GR$205^A61,IF(A61='Données projet'!$A$280,'Données projet'!$B$280,GU60+GT61-HC60)))</f>
        <v>664.80000000000018</v>
      </c>
      <c r="GV61" s="17">
        <f>GU61*VLOOKUP('Données projet'!$B$18,Paramètres!$A$1:$I$89,3,0)*VLOOKUP('Données projet'!$B$18,Paramètres!$A$1:$I$89,5,0)</f>
        <v>267.91440000000006</v>
      </c>
      <c r="GW61" s="13">
        <f t="shared" si="81"/>
        <v>64.406452772434008</v>
      </c>
      <c r="GX61" s="20">
        <f t="shared" si="28"/>
        <v>578.79215191198932</v>
      </c>
      <c r="GY61" s="59">
        <f t="shared" si="29"/>
        <v>872.12548524532258</v>
      </c>
      <c r="GZ61" s="59">
        <f ca="1">AVERAGE(OFFSET($GY$3,0,0,'Données projet'!$E$18+1,1))-AVERAGE(OFFSET($H$3,0,0,'Données projet'!$E$18+1,1))</f>
        <v>324.36162935850876</v>
      </c>
      <c r="HA61" s="59">
        <f t="shared" si="82"/>
        <v>265.23571072429735</v>
      </c>
      <c r="HB61" s="15">
        <f>IF(ISNA(VLOOKUP(A61,'Données projet'!$A$279:$I$299,3,0)),0,VLOOKUP(A61,'Données projet'!$A$279:$I$299,3,0))</f>
        <v>0</v>
      </c>
      <c r="HC61" s="15">
        <f>IF(ISNA(VLOOKUP(A61,'Données projet'!$A$279:$I$299,4,0)),0,VLOOKUP(A61,'Données projet'!$A$279:$I$299,4,0))</f>
        <v>0</v>
      </c>
      <c r="HD61" s="16">
        <f>IF(ISNA(VLOOKUP(A61,'Données projet'!$A$279:$I$299,5,0)),0%,VLOOKUP(A61,'Données projet'!$A$279:$I$299,5,0)*VLOOKUP('Données projet'!$B$18,Paramètres!$A$1:$I$89,7,0))</f>
        <v>0</v>
      </c>
      <c r="HE61" s="16">
        <f>IF(ISNA(VLOOKUP(A61,'Données projet'!$A$279:$I$299,6,0)),0%,VLOOKUP(A61,'Données projet'!$A$279:$I$299,6,0)*VLOOKUP('Données projet'!$B$18,Paramètres!$A$1:$I$89,7,0))</f>
        <v>0</v>
      </c>
      <c r="HF61" s="16">
        <f>IF(ISNA(VLOOKUP($A61,'Données projet'!$A$279:$I$299,7,0)),0%,VLOOKUP($A61,'Données projet'!$A$279:$I$299,7,0))</f>
        <v>0</v>
      </c>
      <c r="HG61" s="21">
        <f>EXP(-LN(2)/35)*HG60+(1-EXP(-LN(2)/35))/(LN(2)/35)*HC61*HD61*VLOOKUP('Données projet'!$B$18,Paramètres!$A$1:$I$89,3,0)*0.475*44/12</f>
        <v>9.7938094250872343</v>
      </c>
      <c r="HH61" s="21">
        <f>EXP(-LN(2)/25)*HH60+(1-EXP(-LN(2)/25))/(LN(2)/25)*Calculateur!HC61*Calculateur!HE61*VLOOKUP('Données projet'!$B$18,Paramètres!$A$1:$I$89,3,0)*0.475*44/12</f>
        <v>11.556005496851188</v>
      </c>
      <c r="HI61" s="21">
        <f>EXP(-LN(2)/2)*HI60+(1-EXP(-LN(2)/2))/(LN(2)/2)*HC61*HF61*VLOOKUP('Données projet'!$B$18,Paramètres!$A$1:$I$89,3,0)*0.475*44/12</f>
        <v>0.29259549536938512</v>
      </c>
      <c r="HJ61" s="22">
        <f t="shared" si="30"/>
        <v>21.642410417307811</v>
      </c>
      <c r="HK61" s="74">
        <f>('Scénario référence'!$F$8+'Scénario référence'!$F$9+'Scénario référence'!$B$17+'Scénario référence'!$B$9+'Scénario référence'!$B$10)*70+IF((45+25*(1-EXP(-0.0175*$A61)))&lt;70,'Scénario référence'!$B$16*(45+25*(1-EXP(-0.0175*$A61))),70*'Scénario référence'!$B$16)+IF((32+38*(1-EXP(-0.0175*$A61)))&lt;70,'Scénario référence'!$B$18*(32+38*(1-EXP(-0.0175*$A61))),70*'Scénario référence'!$B$18)</f>
        <v>70</v>
      </c>
      <c r="HL61" s="12">
        <f>IF($A61&gt;30,10,('Scénario référence'!$B$16+'Scénario référence'!$B$17+'Scénario référence'!$B$18+'Scénario référence'!$B$9+'Scénario référence'!$B$10)*$A61*10/30+('Scénario référence'!$F$8+'Scénario référence'!$F$9)*10)</f>
        <v>10</v>
      </c>
      <c r="HM61" s="12" t="e">
        <f>VLOOKUP($A61,'Données projet'!$A$304:$I$324,2,0)</f>
        <v>#N/A</v>
      </c>
      <c r="HN61" s="12" t="e">
        <f>VLOOKUP($A61,'Données projet'!$A$304:$I$324,9,0)</f>
        <v>#N/A</v>
      </c>
      <c r="HO61" s="12">
        <f t="array" ref="HO61">INDEX(HN:HN,MIN(IF(ISNUMBER(HN61:HN257),ROW(HN61:HN257),"")))</f>
        <v>0</v>
      </c>
      <c r="HP61" s="12">
        <f>IF('Données projet'!$A$304&gt;35,HP60+HO61-HX60,IF($A61&lt;'Données projet'!$A$304,$CQ$205^$A61,IF($A61='Données projet'!$A$304,'Données projet'!$B$304,HP60+HO61-HX60)))</f>
        <v>0</v>
      </c>
      <c r="HQ61" s="17">
        <f>HP61*VLOOKUP('Données projet'!$B$19,Paramètres!$A$1:$I$89,3,0)*VLOOKUP('Données projet'!$B$19,Paramètres!$A$1:$I$89,5,0)</f>
        <v>0</v>
      </c>
      <c r="HR61" s="13" t="e">
        <f t="shared" si="83"/>
        <v>#NUM!</v>
      </c>
      <c r="HS61" s="14" t="e">
        <f t="shared" si="31"/>
        <v>#NUM!</v>
      </c>
      <c r="HT61" s="59" t="e">
        <f t="shared" si="32"/>
        <v>#NUM!</v>
      </c>
      <c r="HU61" s="59">
        <f ca="1">AVERAGE(OFFSET(HT$3,0,0,'Données projet'!$E$19+1,1))-AVERAGE(OFFSET($H$3,0,0,'Données projet'!$E$19+1,1))</f>
        <v>91.60721429656013</v>
      </c>
      <c r="HV61" s="59">
        <f t="shared" si="84"/>
        <v>258.94957804210856</v>
      </c>
      <c r="HW61" s="15">
        <f>IF(ISNA(VLOOKUP($A61,'Données projet'!$A$304:$I$324,3,0)),0,VLOOKUP($A61,'Données projet'!$A$304:$I$324,3,0))</f>
        <v>0</v>
      </c>
      <c r="HX61" s="15">
        <f>IF(ISNA(VLOOKUP($A61,'Données projet'!$A$304:$I$324,4,0)),0,VLOOKUP($A61,'Données projet'!$A$304:$I$324,4,0))</f>
        <v>0</v>
      </c>
      <c r="HY61" s="16">
        <f>IF(ISNA(VLOOKUP($A61,'Données projet'!$A$304:$I$324,5,0)),0%,VLOOKUP($A61,'Données projet'!$A$304:$I$324,5,0)*VLOOKUP('Données projet'!$B$19,Paramètres!$A$1:$I$89,7,0))</f>
        <v>0</v>
      </c>
      <c r="HZ61" s="16">
        <f>IF(ISNA(VLOOKUP($A61,'Données projet'!$A$304:$I$324,6,0)),0%,VLOOKUP($A61,'Données projet'!$A$304:$I$324,6,0)*VLOOKUP('Données projet'!$B$19,Paramètres!$A$1:$I$89,7,0))</f>
        <v>0</v>
      </c>
      <c r="IA61" s="16">
        <f>IF(ISNA(VLOOKUP($A61,'Données projet'!$A$304:$I$324,7,0)),0%,VLOOKUP($A61,'Données projet'!$A$304:$I$324,7,0))</f>
        <v>0</v>
      </c>
      <c r="IB61" s="21">
        <f>EXP(-LN(2)/35)*IB60+(1-EXP(-LN(2)/35))/(LN(2)/35)*HX61*HY61*VLOOKUP('Données projet'!$B$19,Paramètres!$A$1:$I$89,3,0)*0.475*44/12</f>
        <v>28.334198375939639</v>
      </c>
      <c r="IC61" s="21">
        <f>EXP(-LN(2)/25)*IC60+(1-EXP(-LN(2)/25))/(LN(2)/25)*Calculateur!HX61*Calculateur!HZ61*VLOOKUP('Données projet'!$B$19,Paramètres!$A$1:$I$89,3,0)*0.475*44/12</f>
        <v>4.4756669780190474</v>
      </c>
      <c r="ID61" s="21">
        <f>EXP(-LN(2)/2)*ID60+(1-EXP(-LN(2)/2))/(LN(2)/2)*HX61*IA61*VLOOKUP('Données projet'!$B$19,Paramètres!$A$1:$I$89,3,0)*0.475*44/12</f>
        <v>3.496413035546738E-5</v>
      </c>
      <c r="IE61" s="22">
        <f t="shared" si="33"/>
        <v>32.809900318089042</v>
      </c>
      <c r="IF61" s="74">
        <f>('Scénario référence'!$F$8+'Scénario référence'!$F$9+'Scénario référence'!$B$17+'Scénario référence'!$B$9+'Scénario référence'!$B$10)*70+IF((45+25*(1-EXP(-0.0175*$A61)))&lt;70,'Scénario référence'!$B$16*(45+25*(1-EXP(-0.0175*$A61))),70*'Scénario référence'!$B$16)+IF((32+38*(1-EXP(-0.0175*$A61)))&lt;70,'Scénario référence'!$B$18*(32+38*(1-EXP(-0.0175*$A61))),70*'Scénario référence'!$B$18)</f>
        <v>70</v>
      </c>
      <c r="IG61" s="12">
        <f>IF($A61&gt;30,10,('Scénario référence'!$B$16+'Scénario référence'!$B$17+'Scénario référence'!$B$18+'Scénario référence'!$B$9+'Scénario référence'!$B$10)*$A61*10/30+('Scénario référence'!$F$8+'Scénario référence'!$F$9)*10)</f>
        <v>10</v>
      </c>
      <c r="IH61" s="12" t="e">
        <f>VLOOKUP($A61,'Données projet'!$A$330:$I$350,2,0)</f>
        <v>#N/A</v>
      </c>
      <c r="II61" s="12" t="e">
        <f>VLOOKUP($A61,'Données projet'!$A$330:$I$350,9,0)</f>
        <v>#N/A</v>
      </c>
      <c r="IJ61" s="12">
        <f t="array" ref="IJ61">INDEX(II:II,MIN(IF(ISNUMBER(II61:II257),ROW(II61:II257),"")))</f>
        <v>0</v>
      </c>
      <c r="IK61" s="12">
        <f>IF('Données projet'!$A$330&gt;35,IK60+IJ61-IS60,IF($A61&lt;'Données projet'!$A$330,$CQ$205^$A61,IF($A61='Données projet'!$A$330,'Données projet'!$B$330,IK60+IJ61-IS60)))</f>
        <v>0</v>
      </c>
      <c r="IL61" s="17">
        <f>IK61*VLOOKUP('Données projet'!$B$20,Paramètres!$A$1:$I$89,3,0)*VLOOKUP('Données projet'!$B$20,Paramètres!$A$1:$I$89,5,0)</f>
        <v>0</v>
      </c>
      <c r="IM61" s="13" t="e">
        <f t="shared" si="85"/>
        <v>#NUM!</v>
      </c>
      <c r="IN61" s="20" t="e">
        <f t="shared" si="86"/>
        <v>#NUM!</v>
      </c>
      <c r="IO61" s="59" t="e">
        <f t="shared" si="87"/>
        <v>#NUM!</v>
      </c>
      <c r="IP61" s="59">
        <f ca="1">AVERAGE(OFFSET(IO$3,0,0,'Données projet'!$E$20+1,1))-AVERAGE(OFFSET($H$3,0,0,'Données projet'!$E$20+1,1))</f>
        <v>91.60721429656013</v>
      </c>
      <c r="IQ61" s="59">
        <f t="shared" si="88"/>
        <v>258.94957804210856</v>
      </c>
      <c r="IR61" s="15">
        <f>IF(ISNA(VLOOKUP($A61,'Données projet'!$A$330:$I$350,3,0)),0,VLOOKUP($A61,'Données projet'!$A$330:$I$350,3,0))</f>
        <v>0</v>
      </c>
      <c r="IS61" s="15">
        <f>IF(ISNA(VLOOKUP($A61,'Données projet'!$A$330:$I$350,4,0)),0,VLOOKUP($A61,'Données projet'!$A$330:$I$350,4,0))</f>
        <v>0</v>
      </c>
      <c r="IT61" s="16">
        <f>IF(ISNA(VLOOKUP($A61,'Données projet'!$A$330:$I$350,5,0)),0%,VLOOKUP($A61,'Données projet'!$A$330:$I$350,5,0)*VLOOKUP('Données projet'!$B$20,Paramètres!$A$1:$I$89,7,0))</f>
        <v>0</v>
      </c>
      <c r="IU61" s="16">
        <f>IF(ISNA(VLOOKUP($A61,'Données projet'!$A$330:$I$350,6,0)),0%,VLOOKUP($A61,'Données projet'!$A$330:$I$350,6,0)*VLOOKUP('Données projet'!$B$20,Paramètres!$A$1:$I$89,7,0))</f>
        <v>0</v>
      </c>
      <c r="IV61" s="16">
        <f>IF(ISNA(VLOOKUP($A61,'Données projet'!$A$330:$I$350,7,0)),0%,VLOOKUP($A61,'Données projet'!$A$330:$I$350,7,0))</f>
        <v>0</v>
      </c>
      <c r="IW61" s="21">
        <f>EXP(-LN(2)/35)*IW60+(1-EXP(-LN(2)/35))/(LN(2)/35)*IS61*IT61*VLOOKUP('Données projet'!$B$20,Paramètres!$A$1:$I$89,3,0)*0.475*44/12</f>
        <v>28.334198375939639</v>
      </c>
      <c r="IX61" s="21">
        <f>EXP(-LN(2)/25)*IX60+(1-EXP(-LN(2)/25))/(LN(2)/25)*Calculateur!IS61*Calculateur!IU61*VLOOKUP('Données projet'!$B$20,Paramètres!$A$1:$I$89,3,0)*0.475*44/12</f>
        <v>4.4756669780190474</v>
      </c>
      <c r="IY61" s="21">
        <f>EXP(-LN(2)/2)*IY60+(1-EXP(-LN(2)/2))/(LN(2)/2)*IS61*IV61*VLOOKUP('Données projet'!$B$20,Paramètres!$A$1:$I$89,3,0)*0.475*44/12</f>
        <v>3.496413035546738E-5</v>
      </c>
      <c r="IZ61" s="22">
        <f t="shared" si="89"/>
        <v>32.809900318089042</v>
      </c>
      <c r="JA61" s="74">
        <f>('Scénario référence'!$F$8+'Scénario référence'!$F$9+'Scénario référence'!$B$17+'Scénario référence'!$B$9+'Scénario référence'!$B$10)*70+IF((45+25*(1-EXP(-0.0175*$A61)))&lt;70,'Scénario référence'!$B$16*(45+25*(1-EXP(-0.0175*$A61))),70*'Scénario référence'!$B$16)+IF((32+38*(1-EXP(-0.0175*$A61)))&lt;70,'Scénario référence'!$B$18*(32+38*(1-EXP(-0.0175*$A61))),70*'Scénario référence'!$B$18)</f>
        <v>70</v>
      </c>
      <c r="JB61" s="12">
        <f>IF($A61&gt;30,10,('Scénario référence'!$B$16+'Scénario référence'!$B$17+'Scénario référence'!$B$18+'Scénario référence'!$B$9+'Scénario référence'!$B$10)*$A61*10/30+('Scénario référence'!$F$8+'Scénario référence'!$F$9)*10)</f>
        <v>10</v>
      </c>
      <c r="JC61" s="12" t="e">
        <f>VLOOKUP($A61,'Données projet'!$A$356:$I$376,2,0)</f>
        <v>#N/A</v>
      </c>
      <c r="JD61" s="12" t="e">
        <f>VLOOKUP($A61,'Données projet'!$A$356:$I$376,9,0)</f>
        <v>#N/A</v>
      </c>
      <c r="JE61" s="12">
        <f t="array" ref="JE61">INDEX(JD:JD,MIN(IF(ISNUMBER(JD61:JD257),ROW(JD61:JD257),"")))</f>
        <v>10.8</v>
      </c>
      <c r="JF61" s="12">
        <f>IF('Données projet'!$A$356&gt;35,JF60+JE61-JN60,IF($A61&lt;'Données projet'!$A$356,$CQ$205^$A61,IF($A61='Données projet'!$A$356,'Données projet'!$B$356,JF60+JE61-JN60)))</f>
        <v>248.40000000000012</v>
      </c>
      <c r="JG61" s="17">
        <f>JF61*VLOOKUP('Données projet'!$B$21,Paramètres!$A$1:$I$89,3,0)*VLOOKUP('Données projet'!$B$21,Paramètres!$A$1:$I$89,5,0)</f>
        <v>201.50208000000009</v>
      </c>
      <c r="JH61" s="13">
        <f t="shared" si="90"/>
        <v>50.074135554054685</v>
      </c>
      <c r="JI61" s="20">
        <f t="shared" si="91"/>
        <v>438.16190875664535</v>
      </c>
      <c r="JJ61" s="59">
        <f t="shared" si="92"/>
        <v>731.49524208997866</v>
      </c>
      <c r="JK61" s="59">
        <f ca="1">AVERAGE(OFFSET($JJ$3,0,0,'Données projet'!$E$22+1,1))-AVERAGE(OFFSET($H$3,0,0,'Données projet'!$E$22+1,1))</f>
        <v>353.35574633294613</v>
      </c>
      <c r="JL61" s="59">
        <f t="shared" si="93"/>
        <v>170.36796666474726</v>
      </c>
      <c r="JM61" s="15">
        <f>IF(ISNA(VLOOKUP($A61,'Données projet'!$A$356:$I$376,3,0)),0,VLOOKUP($A61,'Données projet'!$A$356:$I$376,3,0))</f>
        <v>0</v>
      </c>
      <c r="JN61" s="15">
        <f>IF(ISNA(VLOOKUP($A61,'Données projet'!$A$356:$I$376,4,0)),0,VLOOKUP($A61,'Données projet'!$A$356:$I$376,4,0))</f>
        <v>0</v>
      </c>
      <c r="JO61" s="16">
        <f>IF(ISNA(VLOOKUP($A61,'Données projet'!$A$356:$I$376,5,0)),0%,VLOOKUP($A61,'Données projet'!$A$356:$I$376,5,0)*VLOOKUP('Données projet'!$B$21,Paramètres!$A$1:$I$89,7,0))</f>
        <v>0</v>
      </c>
      <c r="JP61" s="16">
        <f>IF(ISNA(VLOOKUP($A61,'Données projet'!$A$356:$I$376,6,0)),0%,VLOOKUP($A61,'Données projet'!$A$356:$I$376,6,0)*VLOOKUP('Données projet'!$B$21,Paramètres!$A$1:$I$89,7,0))</f>
        <v>0</v>
      </c>
      <c r="JQ61" s="16">
        <f>IF(ISNA(VLOOKUP($A61,'Données projet'!$A$356:$I$376,7,0)),0%,VLOOKUP($A61,'Données projet'!$A$356:$I$376,7,0))</f>
        <v>0</v>
      </c>
      <c r="JR61" s="21">
        <f>EXP(-LN(2)/35)*JR60+(1-EXP(-LN(2)/35))/(LN(2)/35)*JN61*JO61*VLOOKUP('Données projet'!$B$21,Paramètres!$A$1:$I$89,3,0)*0.475*44/12</f>
        <v>0</v>
      </c>
      <c r="JS61" s="21">
        <f>EXP(-LN(2)/25)*JS60+(1-EXP(-LN(2)/25))/(LN(2)/25)*Calculateur!JN61*Calculateur!JP61*VLOOKUP('Données projet'!$B$21,Paramètres!$A$1:$I$89,3,0)*0.475*44/12</f>
        <v>5.8016072460442079</v>
      </c>
      <c r="JT61" s="21">
        <f>EXP(-LN(2)/2)*JT60+(1-EXP(-LN(2)/2))/(LN(2)/2)*JN61*JQ61*VLOOKUP('Données projet'!$B$21,Paramètres!$A$1:$I$89,3,0)*0.475*44/12</f>
        <v>2.7611221344495909</v>
      </c>
      <c r="JU61" s="18">
        <f t="shared" si="39"/>
        <v>8.5627293804937992</v>
      </c>
      <c r="JV61" s="74">
        <f>('Scénario référence'!$F$8+'Scénario référence'!$F$9+'Scénario référence'!$B$17+'Scénario référence'!$B$9+'Scénario référence'!$B$10)*70+IF((45+25*(1-EXP(-0.0175*$A61)))&lt;70,'Scénario référence'!$B$16*(45+25*(1-EXP(-0.0175*$A61))),70*'Scénario référence'!$B$16)+IF((32+38*(1-EXP(-0.0175*$A61)))&lt;70,'Scénario référence'!$B$18*(32+38*(1-EXP(-0.0175*$A61))),70*'Scénario référence'!$B$18)</f>
        <v>70</v>
      </c>
      <c r="JW61" s="12">
        <f>IF($A61&gt;30,10,('Scénario référence'!$B$16+'Scénario référence'!$B$17+'Scénario référence'!$B$18+'Scénario référence'!$B$9+'Scénario référence'!$B$10)*$A61*10/30+('Scénario référence'!$F$8+'Scénario référence'!$F$9)*10)</f>
        <v>10</v>
      </c>
      <c r="JX61" s="12" t="e">
        <f>VLOOKUP($A61,'Données projet'!$A$382:$I$402,2,0)</f>
        <v>#N/A</v>
      </c>
      <c r="JY61" s="12" t="e">
        <f>VLOOKUP($A61,'Données projet'!$A$382:$I$402,9,0)</f>
        <v>#N/A</v>
      </c>
      <c r="JZ61" s="12">
        <f t="array" ref="JZ61">INDEX(JY:JY,MIN(IF(ISNUMBER(JY61:JY257),ROW(JY61:JY257),"")))</f>
        <v>8.374198717948719</v>
      </c>
      <c r="KA61" s="12">
        <f>IF('Données projet'!$A$382&gt;35,KA60+JZ61-KI60,IF($A61&lt;'Données projet'!$A$382,$CQ$205^$A61,IF($A61='Données projet'!$A$382,'Données projet'!$B$382,KA60+JZ61-KI60)))</f>
        <v>178.41746794871796</v>
      </c>
      <c r="KB61" s="17">
        <f>KA61*VLOOKUP('Données projet'!$B$22,Paramètres!$A$1:$I$89,3,0)*VLOOKUP('Données projet'!$B$22,Paramètres!$A$1:$I$89,5,0)</f>
        <v>119.68243750000001</v>
      </c>
      <c r="KC61" s="13">
        <f t="shared" si="94"/>
        <v>31.6009216371965</v>
      </c>
      <c r="KD61" s="20">
        <f t="shared" si="95"/>
        <v>263.48518383061725</v>
      </c>
      <c r="KE61" s="59">
        <f t="shared" si="96"/>
        <v>556.81851716395056</v>
      </c>
      <c r="KF61" s="59">
        <f ca="1">AVERAGE(OFFSET($KE$3,0,0,'Données projet'!$E$22+1,1))-AVERAGE(OFFSET($H$3,0,0,'Données projet'!$E$22+1,1))</f>
        <v>193.91714772848269</v>
      </c>
      <c r="KG61" s="59">
        <f t="shared" si="97"/>
        <v>159.20429420478047</v>
      </c>
      <c r="KH61" s="15">
        <f>IF(ISNA(VLOOKUP($A61,'Données projet'!$A$382:$I$402,3,0)),0,VLOOKUP($A61,'Données projet'!$A$382:$I$402,3,0))</f>
        <v>0</v>
      </c>
      <c r="KI61" s="15">
        <f>IF(ISNA(VLOOKUP($A61,'Données projet'!$A$382:$I$402,4,0)),0,VLOOKUP($A61,'Données projet'!$A$382:$I$402,4,0))</f>
        <v>0</v>
      </c>
      <c r="KJ61" s="16">
        <f>IF(ISNA(VLOOKUP($A61,'Données projet'!$A$382:$I$402,5,0)),0%,VLOOKUP($A61,'Données projet'!$A$382:$I$402,5,0)*VLOOKUP('Données projet'!$B$22,Paramètres!$A$1:$I$89,7,0))</f>
        <v>0</v>
      </c>
      <c r="KK61" s="16">
        <f>IF(ISNA(VLOOKUP($A61,'Données projet'!$A$382:$I$402,6,0)),0%,VLOOKUP($A61,'Données projet'!$A$382:$I$402,6,0)*VLOOKUP('Données projet'!$B$22,Paramètres!$A$1:$I$89,7,0))</f>
        <v>0</v>
      </c>
      <c r="KL61" s="16">
        <f>IF(ISNA(VLOOKUP($A61,'Données projet'!$A$382:$I$402,7,0)),0%,VLOOKUP($A61,'Données projet'!$A$382:$I$402,7,0))</f>
        <v>0</v>
      </c>
      <c r="KM61" s="21">
        <f>EXP(-LN(2)/35)*KM60+(1-EXP(-LN(2)/35))/(LN(2)/35)*KI61*KJ61*VLOOKUP('Données projet'!$B$22,Paramètres!$A$1:$I$89,3,0)*0.475*44/12</f>
        <v>0</v>
      </c>
      <c r="KN61" s="21">
        <f>EXP(-LN(2)/25)*KN60+(1-EXP(-LN(2)/25))/(LN(2)/25)*Calculateur!KI61*Calculateur!KK61*VLOOKUP('Données projet'!$B$22,Paramètres!$A$1:$I$89,3,0)*0.475*44/12</f>
        <v>0</v>
      </c>
      <c r="KO61" s="21">
        <f>EXP(-LN(2)/2)*KO60+(1-EXP(-LN(2)/2))/(LN(2)/2)*KI61*KL61*VLOOKUP('Données projet'!$B$22,Paramètres!$A$1:$I$89,3,0)*0.475*44/12</f>
        <v>0</v>
      </c>
      <c r="KP61" s="22">
        <f t="shared" si="98"/>
        <v>0</v>
      </c>
      <c r="KQ61" s="74">
        <f>('Scénario référence'!$F$8+'Scénario référence'!$F$9+'Scénario référence'!$B$17+'Scénario référence'!$B$9+'Scénario référence'!$B$10)*70+IF((45+25*(1-EXP(-0.0175*$A61)))&lt;70,'Scénario référence'!$B$16*(45+25*(1-EXP(-0.0175*$A61))),70*'Scénario référence'!$B$16)+IF((32+38*(1-EXP(-0.0175*$A61)))&lt;70,'Scénario référence'!$B$18*(32+38*(1-EXP(-0.0175*$A61))),70*'Scénario référence'!$B$18)</f>
        <v>70</v>
      </c>
      <c r="KR61" s="12">
        <f>IF($A61&gt;30,10,('Scénario référence'!$B$16+'Scénario référence'!$B$17+'Scénario référence'!$B$18+'Scénario référence'!$B$9+'Scénario référence'!$B$10)*$A61*10/30+('Scénario référence'!$F$8+'Scénario référence'!$F$9)*10)</f>
        <v>10</v>
      </c>
      <c r="KS61" s="12" t="e">
        <f>VLOOKUP($A61,'Données projet'!$A$408:$I$428,2,0)</f>
        <v>#N/A</v>
      </c>
      <c r="KT61" s="12" t="e">
        <f>VLOOKUP($A61,'Données projet'!$A$408:$I$428,9,0)</f>
        <v>#N/A</v>
      </c>
      <c r="KU61" s="12">
        <f t="array" ref="KU61">INDEX(KT:KT,MIN(IF(ISNUMBER(KT61:KT257),ROW(KT61:KT257),"")))</f>
        <v>5.2</v>
      </c>
      <c r="KV61" s="12">
        <f>IF('Données projet'!$A$408&gt;35,KV60+KU61-LD60,IF($A61&lt;'Données projet'!$A$408,$CQ$205^$A61,IF($A61='Données projet'!$A$408,'Données projet'!$B$408,KV60+KU61-LD60)))</f>
        <v>234.59999999999988</v>
      </c>
      <c r="KW61" s="17">
        <f>KV61*VLOOKUP('Données projet'!$B$23,Paramètres!$A$1:$I$89,3,0)*VLOOKUP('Données projet'!$B$23,Paramètres!$A$1:$I$89,5,0)</f>
        <v>204.94655999999992</v>
      </c>
      <c r="KX61" s="13">
        <f t="shared" si="99"/>
        <v>50.829721281867236</v>
      </c>
      <c r="KY61" s="14">
        <f t="shared" si="43"/>
        <v>445.47702323258528</v>
      </c>
      <c r="KZ61" s="59">
        <f t="shared" si="44"/>
        <v>738.8103565659186</v>
      </c>
      <c r="LA61" s="59">
        <f ca="1">AVERAGE(OFFSET($KZ$3,0,0,'Données projet'!$E$23+1,1))-AVERAGE(OFFSET($H$3,0,0,'Données projet'!$E$23+1,1))</f>
        <v>248.33596943633819</v>
      </c>
      <c r="LB61" s="59">
        <f t="shared" si="100"/>
        <v>242.34010522344573</v>
      </c>
      <c r="LC61" s="15">
        <f>IF(ISNA(VLOOKUP($A61,'Données projet'!$A$408:$I$428,3,0)),0,VLOOKUP($A61,'Données projet'!$A$408:$I$428,3,0))</f>
        <v>0</v>
      </c>
      <c r="LD61" s="15">
        <f>IF(ISNA(VLOOKUP($A61,'Données projet'!$A$408:$I$428,4,0)),0,VLOOKUP($A61,'Données projet'!$A$408:$I$428,4,0))</f>
        <v>0</v>
      </c>
      <c r="LE61" s="16">
        <f>IF(ISNA(VLOOKUP($A61,'Données projet'!$A$408:$I$428,5,0)),0%,VLOOKUP($A61,'Données projet'!$A$408:$I$428,5,0)*VLOOKUP('Données projet'!$B$23,Paramètres!$A$1:$I$89,7,0))</f>
        <v>0</v>
      </c>
      <c r="LF61" s="16">
        <f>IF(ISNA(VLOOKUP($A61,'Données projet'!$A$408:$I$428,6,0)),0%,VLOOKUP($A61,'Données projet'!$A$408:$I$428,6,0)*VLOOKUP('Données projet'!$B$23,Paramètres!$A$1:$I$89,7,0))</f>
        <v>0</v>
      </c>
      <c r="LG61" s="16">
        <f>IF(ISNA(VLOOKUP($A61,'Données projet'!$A$408:$I$428,7,0)),0%,VLOOKUP($A61,'Données projet'!$A$408:$I$428,7,0))</f>
        <v>0</v>
      </c>
      <c r="LH61" s="21">
        <f>EXP(-LN(2)/35)*LH60+(1-EXP(-LN(2)/35))/(LN(2)/35)*LD61*LE61*VLOOKUP('Données projet'!$B$23,Paramètres!$A$1:$I$89,3,0)*0.475*44/12</f>
        <v>17.13090755773402</v>
      </c>
      <c r="LI61" s="21">
        <f>EXP(-LN(2)/25)*LI60+(1-EXP(-LN(2)/25))/(LN(2)/25)*Calculateur!LD61*Calculateur!LF61*VLOOKUP('Données projet'!$B$23,Paramètres!$A$1:$I$89,3,0)*0.475*44/12</f>
        <v>10.713827149663336</v>
      </c>
      <c r="LJ61" s="21">
        <f>EXP(-LN(2)/2)*LJ60+(1-EXP(-LN(2)/2))/(LN(2)/2)*LD61*LG61*VLOOKUP('Données projet'!$B$23,Paramètres!$A$1:$I$89,3,0)*0.475*44/12</f>
        <v>0</v>
      </c>
      <c r="LK61" s="22">
        <f t="shared" si="101"/>
        <v>27.844734707397357</v>
      </c>
      <c r="LL61" s="74">
        <f>('Scénario référence'!$F$8+'Scénario référence'!$F$9+'Scénario référence'!$B$17+'Scénario référence'!$B$9+'Scénario référence'!$B$10)*70+IF((45+25*(1-EXP(-0.0175*$A61)))&lt;70,'Scénario référence'!$B$16*(45+25*(1-EXP(-0.0175*$A61))),70*'Scénario référence'!$B$16)+IF((32+38*(1-EXP(-0.0175*$A61)))&lt;70,'Scénario référence'!$B$18*(32+38*(1-EXP(-0.0175*$A61))),70*'Scénario référence'!$B$18)</f>
        <v>70</v>
      </c>
      <c r="LM61" s="12">
        <f>IF($A61&gt;30,10,('Scénario référence'!$B$16+'Scénario référence'!$B$17+'Scénario référence'!$B$18+'Scénario référence'!$B$9+'Scénario référence'!$B$10)*$A61*10/30+('Scénario référence'!$F$8+'Scénario référence'!$F$9)*10)</f>
        <v>10</v>
      </c>
      <c r="LN61" s="12" t="e">
        <f>VLOOKUP($A61,'Données projet'!$A$434:$I$454,2,0)</f>
        <v>#N/A</v>
      </c>
      <c r="LO61" s="12" t="e">
        <f>VLOOKUP($A61,'Données projet'!$A$434:$I$454,9,0)</f>
        <v>#N/A</v>
      </c>
      <c r="LP61" s="12">
        <f t="array" ref="LP61">INDEX(LO:LO,MIN(IF(ISNUMBER(LO61:LO257),ROW(LO61:LO257),"")))</f>
        <v>6.3942307692307701</v>
      </c>
      <c r="LQ61" s="12">
        <f>IF('Données projet'!$A$434&gt;35,LQ60+LP61-LY60,IF($A61&lt;'Données projet'!$A$434,$CQ$205^$A61,IF($A61='Données projet'!$A$434,'Données projet'!$B$434,LQ60+LP61-LY60)))</f>
        <v>152.86217948717947</v>
      </c>
      <c r="LR61" s="17">
        <f>LQ61*VLOOKUP('Données projet'!$B$24,Paramètres!$A$1:$I$89,3,0)*VLOOKUP('Données projet'!$B$24,Paramètres!$A$1:$I$89,5,0)</f>
        <v>155.00225</v>
      </c>
      <c r="LS61" s="13">
        <f t="shared" si="102"/>
        <v>39.713185446553709</v>
      </c>
      <c r="LT61" s="14">
        <f t="shared" si="46"/>
        <v>339.12938340274769</v>
      </c>
      <c r="LU61" s="59">
        <f t="shared" si="103"/>
        <v>632.46271673608101</v>
      </c>
      <c r="LV61" s="59">
        <f ca="1">AVERAGE(OFFSET($LU$3,0,0,'Données projet'!$E$24+1,1))-AVERAGE(OFFSET($H$3,0,0,'Données projet'!$E$24+1,1))</f>
        <v>260.52627655062872</v>
      </c>
      <c r="LW61" s="59">
        <f t="shared" si="104"/>
        <v>159.20429420478047</v>
      </c>
      <c r="LX61" s="15">
        <f>IF(ISNA(VLOOKUP($A61,'Données projet'!$A$434:$I$454,3,0)),0,VLOOKUP($A61,'Données projet'!$A$434:$I$454,3,0))</f>
        <v>0</v>
      </c>
      <c r="LY61" s="15">
        <f>IF(ISNA(VLOOKUP($A61,'Données projet'!$A$434:$I$454,4,0)),0,VLOOKUP($A61,'Données projet'!$A$434:$I$454,4,0))</f>
        <v>0</v>
      </c>
      <c r="LZ61" s="16">
        <f>IF(ISNA(VLOOKUP($A61,'Données projet'!$A$434:$I$454,5,0)),0%,VLOOKUP($A61,'Données projet'!$A$434:$I$454,5,0)*VLOOKUP('Données projet'!$B$24,Paramètres!$A$1:$I$89,7,0))</f>
        <v>0</v>
      </c>
      <c r="MA61" s="16">
        <f>IF(ISNA(VLOOKUP($A61,'Données projet'!$A$434:$I$454,6,0)),0%,VLOOKUP($A61,'Données projet'!$A$434:$I$454,6,0)*VLOOKUP('Données projet'!$B$24,Paramètres!$A$1:$I$89,7,0))</f>
        <v>0</v>
      </c>
      <c r="MB61" s="16">
        <f>IF(ISNA(VLOOKUP($A61,'Données projet'!$A$434:$I$454,7,0)),0%,VLOOKUP($A61,'Données projet'!$A$434:$I$454,7,0))</f>
        <v>0</v>
      </c>
      <c r="MC61" s="21">
        <f>EXP(-LN(2)/35)*MC60+(1-EXP(-LN(2)/35))/(LN(2)/35)*LY61*LZ61*VLOOKUP('Données projet'!$B$24,Paramètres!$A$1:$I$89,3,0)*0.475*44/12</f>
        <v>0</v>
      </c>
      <c r="MD61" s="21">
        <f>EXP(-LN(2)/25)*MD60+(1-EXP(-LN(2)/25))/(LN(2)/25)*Calculateur!LY61*Calculateur!MA61*VLOOKUP('Données projet'!$B$24,Paramètres!$A$1:$I$89,3,0)*0.475*44/12</f>
        <v>0</v>
      </c>
      <c r="ME61" s="21">
        <f>EXP(-LN(2)/2)*ME60+(1-EXP(-LN(2)/2))/(LN(2)/2)*LY61*MB61*VLOOKUP('Données projet'!$B$24,Paramètres!$A$1:$I$89,3,0)*0.475*44/12</f>
        <v>0</v>
      </c>
      <c r="MF61" s="22">
        <f t="shared" si="105"/>
        <v>0</v>
      </c>
      <c r="MG61" s="74">
        <f>('Scénario référence'!$F$8+'Scénario référence'!$F$9+'Scénario référence'!$B$17+'Scénario référence'!$B$9+'Scénario référence'!$B$10)*70+IF((45+25*(1-EXP(-0.0175*$A61)))&lt;70,'Scénario référence'!$B$16*(45+25*(1-EXP(-0.0175*$A61))),70*'Scénario référence'!$B$16)+IF((32+38*(1-EXP(-0.0175*$A61)))&lt;70,'Scénario référence'!$B$18*(32+38*(1-EXP(-0.0175*$A61))),70*'Scénario référence'!$B$18)</f>
        <v>70</v>
      </c>
      <c r="MH61" s="12">
        <f>IF($A61&gt;30,10,('Scénario référence'!$B$16+'Scénario référence'!$B$17+'Scénario référence'!$B$18+'Scénario référence'!$B$9+'Scénario référence'!$B$10)*$A61*10/30+('Scénario référence'!$F$8+'Scénario référence'!$F$9)*10)</f>
        <v>10</v>
      </c>
      <c r="MI61" s="12" t="e">
        <f>VLOOKUP($A61,'Données projet'!$A$460:$I$480,2,0)</f>
        <v>#N/A</v>
      </c>
      <c r="MJ61" s="12" t="e">
        <f>VLOOKUP($A61,'Données projet'!$A$460:$I$480,9,0)</f>
        <v>#N/A</v>
      </c>
      <c r="MK61" s="12">
        <f t="array" ref="MK61">INDEX(MJ:MJ,MIN(IF(ISNUMBER(MJ61:MJ257),ROW(MJ61:MJ257),"")))</f>
        <v>0</v>
      </c>
      <c r="ML61" s="12">
        <f>IF('Données projet'!$A$460&gt;35,ML60+MK61-MT60,IF($A61&lt;'Données projet'!$A$460,$CQ$205^$A61,IF($A61='Données projet'!$A$460,'Données projet'!$B$460,ML60+MK61-MT60)))</f>
        <v>0</v>
      </c>
      <c r="MM61" s="17" t="e">
        <f>ML61*VLOOKUP('Données projet'!$B$25,Paramètres!$A$1:$I$89,3,0)*VLOOKUP('Données projet'!$B$25,Paramètres!$A$1:$I$89,5,0)</f>
        <v>#N/A</v>
      </c>
      <c r="MN61" s="13" t="e">
        <f t="shared" si="106"/>
        <v>#N/A</v>
      </c>
      <c r="MO61" s="14" t="e">
        <f t="shared" si="49"/>
        <v>#N/A</v>
      </c>
      <c r="MP61" s="59" t="e">
        <f t="shared" si="50"/>
        <v>#N/A</v>
      </c>
      <c r="MQ61" s="20" t="e">
        <f ca="1">AVERAGE(OFFSET($MP$3,0,0,'Données projet'!$E$25+1,1))-AVERAGE(OFFSET($H$3,0,0,'Données projet'!$E$25+1,1))</f>
        <v>#N/A</v>
      </c>
      <c r="MR61" s="59" t="e">
        <f t="shared" si="107"/>
        <v>#N/A</v>
      </c>
      <c r="MS61" s="15">
        <f>IF(ISNA(VLOOKUP($A61,'Données projet'!$A$460:$I$480,3,0)),0,VLOOKUP($A61,'Données projet'!$A$460:$I$480,3,0))</f>
        <v>0</v>
      </c>
      <c r="MT61" s="15">
        <f>IF(ISNA(VLOOKUP($A61,'Données projet'!$A$460:$I$480,4,0)),0,VLOOKUP($A61,'Données projet'!$A$460:$I$480,4,0))</f>
        <v>0</v>
      </c>
      <c r="MU61" s="16">
        <f>IF(ISNA(VLOOKUP($A61,'Données projet'!$A$460:$I$480,5,0)),0%,VLOOKUP($A61,'Données projet'!$A$460:$I$480,5,0)*VLOOKUP('Données projet'!$B$25,Paramètres!$A$1:$I$89,7,0))</f>
        <v>0</v>
      </c>
      <c r="MV61" s="16">
        <f>IF(ISNA(VLOOKUP($A61,'Données projet'!$A$460:$I$480,6,0)),0%,VLOOKUP($A61,'Données projet'!$A$460:$I$480,6,0)*VLOOKUP('Données projet'!$B$25,Paramètres!$A$1:$I$89,7,0))</f>
        <v>0</v>
      </c>
      <c r="MW61" s="16">
        <f>IF(ISNA(VLOOKUP($A61,'Données projet'!$A$460:$I$480,7,0)),0%,VLOOKUP($A61,'Données projet'!$A$460:$I$480,7,0))</f>
        <v>0</v>
      </c>
      <c r="MX61" s="21" t="e">
        <f>EXP(-LN(2)/35)*MX60+(1-EXP(-LN(2)/35))/(LN(2)/35)*MT61*MU61*VLOOKUP('Données projet'!$B$25,Paramètres!$A$1:$I$89,3,0)*0.475*44/12</f>
        <v>#N/A</v>
      </c>
      <c r="MY61" s="21" t="e">
        <f>EXP(-LN(2)/25)*MY60+(1-EXP(-LN(2)/25))/(LN(2)/25)*Calculateur!MT61*Calculateur!MV61*VLOOKUP('Données projet'!$B$25,Paramètres!$A$1:$I$89,3,0)*0.475*44/12</f>
        <v>#N/A</v>
      </c>
      <c r="MZ61" s="21" t="e">
        <f>EXP(-LN(2)/2)*MZ60+(1-EXP(-LN(2)/2))/(LN(2)/2)*MT61*MW61*VLOOKUP('Données projet'!$B$25,Paramètres!$A$1:$I$89,3,0)*0.475*44/12</f>
        <v>#N/A</v>
      </c>
      <c r="NA61" s="22" t="e">
        <f t="shared" si="108"/>
        <v>#N/A</v>
      </c>
      <c r="NB61" s="74">
        <f>('Scénario référence'!$F$8+'Scénario référence'!$F$9+'Scénario référence'!$B$17+'Scénario référence'!$B$9+'Scénario référence'!$B$10)*70+IF((45+25*(1-EXP(-0.0175*$A61)))&lt;70,'Scénario référence'!$B$16*(45+25*(1-EXP(-0.0175*$A61))),70*'Scénario référence'!$B$16)+IF((32+38*(1-EXP(-0.0175*$A61)))&lt;70,'Scénario référence'!$B$18*(32+38*(1-EXP(-0.0175*$A61))),70*'Scénario référence'!$B$18)</f>
        <v>70</v>
      </c>
      <c r="NC61" s="12">
        <f>IF($A61&gt;30,10,('Scénario référence'!$B$16+'Scénario référence'!$B$17+'Scénario référence'!$B$18+'Scénario référence'!$B$9+'Scénario référence'!$B$10)*$A61*10/30+('Scénario référence'!$F$8+'Scénario référence'!$F$9)*10)</f>
        <v>10</v>
      </c>
      <c r="ND61" s="12" t="e">
        <f>VLOOKUP($A61,'Données projet'!$A$486:$I$506,2,0)</f>
        <v>#N/A</v>
      </c>
      <c r="NE61" s="12" t="e">
        <f>VLOOKUP($A61,'Données projet'!$A$486:$I$506,9,0)</f>
        <v>#N/A</v>
      </c>
      <c r="NF61" s="12">
        <f t="array" ref="NF61">INDEX(NE:NE,MIN(IF(ISNUMBER(NE61:NE257),ROW(NE61:NE257),"")))</f>
        <v>0</v>
      </c>
      <c r="NG61" s="12">
        <f>IF('Données projet'!$A$486&gt;35,NG60+NF61-NO60,IF($A61&lt;'Données projet'!$A$486,$CQ$205^$A61,IF($A61='Données projet'!$A$486,'Données projet'!$B$486,NG60+NF61-NO60)))</f>
        <v>0</v>
      </c>
      <c r="NH61" s="17" t="e">
        <f>NG61*VLOOKUP('Données projet'!$B$26,Paramètres!$A$1:$I$89,3,0)*VLOOKUP('Données projet'!$B$26,Paramètres!$A$1:$I$89,5,0)</f>
        <v>#N/A</v>
      </c>
      <c r="NI61" s="13" t="e">
        <f t="shared" si="109"/>
        <v>#N/A</v>
      </c>
      <c r="NJ61" s="14" t="e">
        <f t="shared" si="52"/>
        <v>#N/A</v>
      </c>
      <c r="NK61" s="59" t="e">
        <f t="shared" si="53"/>
        <v>#N/A</v>
      </c>
      <c r="NL61" s="20" t="e">
        <f ca="1">AVERAGE(OFFSET($NK$3,0,0,'Données projet'!$E$26+1,1))-AVERAGE(OFFSET($H$3,0,0,'Données projet'!$E$26+1,1))</f>
        <v>#N/A</v>
      </c>
      <c r="NM61" s="59" t="e">
        <f t="shared" si="110"/>
        <v>#N/A</v>
      </c>
      <c r="NN61" s="15">
        <f>IF(ISNA(VLOOKUP($A61,'Données projet'!$A$486:$I$506,3,0)),0,VLOOKUP($A61,'Données projet'!$A$486:$I$506,3,0))</f>
        <v>0</v>
      </c>
      <c r="NO61" s="15">
        <f>IF(ISNA(VLOOKUP($A61,'Données projet'!$A$486:$I$506,4,0)),0,VLOOKUP($A61,'Données projet'!$A$486:$I$506,4,0))</f>
        <v>0</v>
      </c>
      <c r="NP61" s="16">
        <f>IF(ISNA(VLOOKUP($A61,'Données projet'!$A$486:$I$506,5,0)),0%,VLOOKUP($A61,'Données projet'!$A$486:$I$506,5,0)*VLOOKUP('Données projet'!$B$26,Paramètres!$A$1:$I$89,7,0))</f>
        <v>0</v>
      </c>
      <c r="NQ61" s="16">
        <f>IF(ISNA(VLOOKUP($A61,'Données projet'!$A$486:$I$506,6,0)),0%,VLOOKUP($A61,'Données projet'!$A$486:$I$506,6,0)*VLOOKUP('Données projet'!$B$26,Paramètres!$A$1:$I$89,7,0))</f>
        <v>0</v>
      </c>
      <c r="NR61" s="16">
        <f>IF(ISNA(VLOOKUP($A61,'Données projet'!$A$486:$I$506,7,0)),0%,VLOOKUP($A61,'Données projet'!$A$486:$I$506,7,0))</f>
        <v>0</v>
      </c>
      <c r="NS61" s="21" t="e">
        <f>EXP(-LN(2)/35)*NS60+(1-EXP(-LN(2)/35))/(LN(2)/35)*NO61*NP61*VLOOKUP('Données projet'!$B$26,Paramètres!$A$1:$I$89,3,0)*0.475*44/12</f>
        <v>#N/A</v>
      </c>
      <c r="NT61" s="21" t="e">
        <f>EXP(-LN(2)/25)*NT60+(1-EXP(-LN(2)/25))/(LN(2)/25)*Calculateur!NO61*Calculateur!NQ61*VLOOKUP('Données projet'!$B$26,Paramètres!$A$1:$I$89,3,0)*0.475*44/12</f>
        <v>#N/A</v>
      </c>
      <c r="NU61" s="21" t="e">
        <f>EXP(-LN(2)/2)*NU60+(1-EXP(-LN(2)/2))/(LN(2)/2)*NO61*NR61*VLOOKUP('Données projet'!$B$26,Paramètres!$A$1:$I$89,3,0)*0.475*44/12</f>
        <v>#N/A</v>
      </c>
      <c r="NV61" s="22" t="e">
        <f t="shared" si="111"/>
        <v>#N/A</v>
      </c>
      <c r="NW61" s="74">
        <f>('Scénario référence'!$F$8+'Scénario référence'!$F$9+'Scénario référence'!$B$17+'Scénario référence'!$B$9+'Scénario référence'!$B$10)*70+IF((45+25*(1-EXP(-0.0175*$A61)))&lt;70,'Scénario référence'!$B$16*(45+25*(1-EXP(-0.0175*$A61))),70*'Scénario référence'!$B$16)+IF((32+38*(1-EXP(-0.0175*$A61)))&lt;70,'Scénario référence'!$B$18*(32+38*(1-EXP(-0.0175*$A61))),70*'Scénario référence'!$B$18)</f>
        <v>70</v>
      </c>
      <c r="NX61" s="12">
        <f>IF($A61&gt;30,10,('Scénario référence'!$B$16+'Scénario référence'!$B$17+'Scénario référence'!$B$18+'Scénario référence'!$B$9+'Scénario référence'!$B$10)*$A61*10/30+('Scénario référence'!$F$8+'Scénario référence'!$F$9)*10)</f>
        <v>10</v>
      </c>
      <c r="NY61" s="12" t="e">
        <f>VLOOKUP($A61,'Données projet'!$A$512:$I$532,2,0)</f>
        <v>#N/A</v>
      </c>
      <c r="NZ61" s="12" t="e">
        <f>VLOOKUP($A61,'Données projet'!$A$512:$I$532,9,0)</f>
        <v>#N/A</v>
      </c>
      <c r="OA61" s="12">
        <f t="array" ref="OA61">INDEX(NZ:NZ,MIN(IF(ISNUMBER(NZ61:NZ257),ROW(NZ61:NZ257),"")))</f>
        <v>0</v>
      </c>
      <c r="OB61" s="12">
        <f>IF('Données projet'!$A$512&gt;35,OB60+OA61-OJ60,IF($A61&lt;'Données projet'!$A$512,$CQ$205^$A61,IF($A61='Données projet'!$A$512,'Données projet'!$B$512,OB60+OA61-OJ60)))</f>
        <v>0</v>
      </c>
      <c r="OC61" s="17" t="e">
        <f>OB61*VLOOKUP('Données projet'!$B$27,Paramètres!$A$1:$I$89,3,0)*VLOOKUP('Données projet'!$B$27,Paramètres!$A$1:$I$89,5,0)</f>
        <v>#N/A</v>
      </c>
      <c r="OD61" s="13" t="e">
        <f t="shared" si="112"/>
        <v>#N/A</v>
      </c>
      <c r="OE61" s="14" t="e">
        <f t="shared" si="55"/>
        <v>#N/A</v>
      </c>
      <c r="OF61" s="59" t="e">
        <f t="shared" si="56"/>
        <v>#N/A</v>
      </c>
      <c r="OG61" s="20" t="e">
        <f ca="1">AVERAGE(OFFSET($OF$3,0,0,'Données projet'!$E$27+1,1))-AVERAGE(OFFSET($H$3,0,0,'Données projet'!$E$27+1,1))</f>
        <v>#N/A</v>
      </c>
      <c r="OH61" s="59" t="e">
        <f t="shared" si="113"/>
        <v>#N/A</v>
      </c>
      <c r="OI61" s="15">
        <f>IF(ISNA(VLOOKUP($A61,'Données projet'!$A$512:$I$532,3,0)),0,VLOOKUP($A61,'Données projet'!$A$512:$I$532,3,0))</f>
        <v>0</v>
      </c>
      <c r="OJ61" s="15">
        <f>IF(ISNA(VLOOKUP($A61,'Données projet'!$A$512:$I$532,4,0)),0,VLOOKUP($A61,'Données projet'!$A$512:$I$532,4,0))</f>
        <v>0</v>
      </c>
      <c r="OK61" s="16">
        <f>IF(ISNA(VLOOKUP($A61,'Données projet'!$A$512:$I$532,5,0)),0%,VLOOKUP($A61,'Données projet'!$A$512:$I$532,5,0)*VLOOKUP('Données projet'!$B$27,Paramètres!$A$1:$I$89,7,0))</f>
        <v>0</v>
      </c>
      <c r="OL61" s="16">
        <f>IF(ISNA(VLOOKUP($A61,'Données projet'!$A$512:$I$532,6,0)),0%,VLOOKUP($A61,'Données projet'!$A$512:$I$532,6,0)*VLOOKUP('Données projet'!$B$27,Paramètres!$A$1:$I$89,7,0))</f>
        <v>0</v>
      </c>
      <c r="OM61" s="16">
        <f>IF(ISNA(VLOOKUP($A61,'Données projet'!$A$512:$I$532,7,0)),0%,VLOOKUP($A61,'Données projet'!$A$512:$I$532,7,0))</f>
        <v>0</v>
      </c>
      <c r="ON61" s="21" t="e">
        <f>EXP(-LN(2)/35)*ON60+(1-EXP(-LN(2)/35))/(LN(2)/35)*OJ61*OK61*VLOOKUP('Données projet'!$B$27,Paramètres!$A$1:$I$89,3,0)*0.475*44/12</f>
        <v>#N/A</v>
      </c>
      <c r="OO61" s="21" t="e">
        <f>EXP(-LN(2)/25)*OO60+(1-EXP(-LN(2)/25))/(LN(2)/25)*Calculateur!OJ61*Calculateur!OL61*VLOOKUP('Données projet'!$B$27,Paramètres!$A$1:$I$89,3,0)*0.475*44/12</f>
        <v>#N/A</v>
      </c>
      <c r="OP61" s="21" t="e">
        <f>EXP(-LN(2)/2)*OP60+(1-EXP(-LN(2)/2))/(LN(2)/2)*OJ61*OM61*VLOOKUP('Données projet'!$B$27,Paramètres!$A$1:$I$89,3,0)*0.475*44/12</f>
        <v>#N/A</v>
      </c>
      <c r="OQ61" s="22" t="e">
        <f t="shared" si="114"/>
        <v>#N/A</v>
      </c>
      <c r="OR61" s="74">
        <f>('Scénario référence'!$F$8+'Scénario référence'!$F$9+'Scénario référence'!$B$17+'Scénario référence'!$B$9+'Scénario référence'!$B$10)*70+IF((45+25*(1-EXP(-0.0175*$A61)))&lt;70,'Scénario référence'!$B$16*(45+25*(1-EXP(-0.0175*$A61))),70*'Scénario référence'!$B$16)+IF((32+38*(1-EXP(-0.0175*$A61)))&lt;70,'Scénario référence'!$B$18*(32+38*(1-EXP(-0.0175*$A61))),70*'Scénario référence'!$B$18)</f>
        <v>70</v>
      </c>
      <c r="OS61" s="12">
        <f>IF($A61&gt;30,10,('Scénario référence'!$B$16+'Scénario référence'!$B$17+'Scénario référence'!$B$18+'Scénario référence'!$B$9+'Scénario référence'!$B$10)*$A61*10/30+('Scénario référence'!$F$8+'Scénario référence'!$F$9)*10)</f>
        <v>10</v>
      </c>
      <c r="OT61" s="12" t="e">
        <f>VLOOKUP($A61,'Données projet'!$A$538:$I$558,2,0)</f>
        <v>#N/A</v>
      </c>
      <c r="OU61" s="12" t="e">
        <f>VLOOKUP($A61,'Données projet'!$A$538:$I$558,9,0)</f>
        <v>#N/A</v>
      </c>
      <c r="OV61" s="12">
        <f t="array" ref="OV61">INDEX(OU:OU,MIN(IF(ISNUMBER(OU61:OU257),ROW(OU61:OU257),"")))</f>
        <v>0</v>
      </c>
      <c r="OW61" s="12">
        <f>IF('Données projet'!$A$538&gt;35,OW60+OV61-PE60,IF($A61&lt;'Données projet'!$A$538,$CQ$205^$A61,IF($A61='Données projet'!$A$538,'Données projet'!$B$538,OW60+OV61-PE60)))</f>
        <v>0</v>
      </c>
      <c r="OX61" s="17" t="e">
        <f>OW61*VLOOKUP('Données projet'!$B$28,Paramètres!$A$1:$I$89,3,0)*VLOOKUP('Données projet'!$B$28,Paramètres!$A$1:$I$89,5,0)</f>
        <v>#N/A</v>
      </c>
      <c r="OY61" s="13" t="e">
        <f t="shared" si="115"/>
        <v>#N/A</v>
      </c>
      <c r="OZ61" s="14" t="e">
        <f t="shared" si="58"/>
        <v>#N/A</v>
      </c>
      <c r="PA61" s="59" t="e">
        <f t="shared" si="59"/>
        <v>#N/A</v>
      </c>
      <c r="PB61" s="20" t="e">
        <f ca="1">AVERAGE(OFFSET($PA$3,0,0,'Données projet'!$E$28+1,1))-AVERAGE(OFFSET($H$3,0,0,'Données projet'!$E$28+1,1))</f>
        <v>#N/A</v>
      </c>
      <c r="PC61" s="59" t="e">
        <f t="shared" si="116"/>
        <v>#N/A</v>
      </c>
      <c r="PD61" s="15">
        <f>IF(ISNA(VLOOKUP($A61,'Données projet'!$A$538:$I$558,3,0)),0,VLOOKUP($A61,'Données projet'!$A$538:$I$558,3,0))</f>
        <v>0</v>
      </c>
      <c r="PE61" s="15">
        <f>IF(ISNA(VLOOKUP($A61,'Données projet'!$A$538:$I$558,4,0)),0,VLOOKUP($A61,'Données projet'!$A$538:$I$558,4,0))</f>
        <v>0</v>
      </c>
      <c r="PF61" s="16">
        <f>IF(ISNA(VLOOKUP($A61,'Données projet'!$A$538:$I$558,5,0)),0%,VLOOKUP($A61,'Données projet'!$A$538:$I$558,5,0)*VLOOKUP('Données projet'!$B$28,Paramètres!$A$1:$I$89,7,0))</f>
        <v>0</v>
      </c>
      <c r="PG61" s="16">
        <f>IF(ISNA(VLOOKUP($A61,'Données projet'!$A$538:$I$558,6,0)),0%,VLOOKUP($A61,'Données projet'!$A$538:$I$558,6,0)*VLOOKUP('Données projet'!$B$28,Paramètres!$A$1:$I$89,7,0))</f>
        <v>0</v>
      </c>
      <c r="PH61" s="16">
        <f>IF(ISNA(VLOOKUP($A61,'Données projet'!$A$538:$I$558,7,0)),0%,VLOOKUP($A61,'Données projet'!$A$538:$I$558,7,0))</f>
        <v>0</v>
      </c>
      <c r="PI61" s="21" t="e">
        <f>EXP(-LN(2)/35)*PI60+(1-EXP(-LN(2)/35))/(LN(2)/35)*PE61*PF61*VLOOKUP('Données projet'!$B$28,Paramètres!$A$1:$I$89,3,0)*0.475*44/12</f>
        <v>#N/A</v>
      </c>
      <c r="PJ61" s="21" t="e">
        <f>EXP(-LN(2)/25)*PJ60+(1-EXP(-LN(2)/25))/(LN(2)/25)*Calculateur!PE61*Calculateur!PG61*VLOOKUP('Données projet'!$B$28,Paramètres!$A$1:$I$89,3,0)*0.475*44/12</f>
        <v>#N/A</v>
      </c>
      <c r="PK61" s="21" t="e">
        <f>EXP(-LN(2)/2)*PK60+(1-EXP(-LN(2)/2))/(LN(2)/2)*PE61*PH61*VLOOKUP('Données projet'!$B$28,Paramètres!$A$1:$I$89,3,0)*0.475*44/12</f>
        <v>#N/A</v>
      </c>
      <c r="PL61" s="22" t="e">
        <f t="shared" si="117"/>
        <v>#N/A</v>
      </c>
    </row>
    <row r="62" spans="1:428" x14ac:dyDescent="0.35">
      <c r="A62" s="10">
        <f t="shared" si="6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6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projet'!$A$45:$I$65,2,0)</f>
        <v>#N/A</v>
      </c>
      <c r="L62" s="12" t="e">
        <f>VLOOKUP(A62,'Données projet'!$A$45:$I$65,9,0)</f>
        <v>#N/A</v>
      </c>
      <c r="M62" s="12">
        <f t="array" ref="M62">INDEX(L:L,MIN(IF(ISNUMBER(L62:L258),ROW(L62:L258),"")))</f>
        <v>0</v>
      </c>
      <c r="N62" s="13">
        <f>IF('Données projet'!$A$46&gt;35,N61+M62-V61,IF(A62&lt;'Données projet'!$A$46,$K$205^A62,IF(A62='Données projet'!$A$46,'Données projet'!$B$46,N61+M62-V61)))</f>
        <v>-1.1368683772161603E-13</v>
      </c>
      <c r="O62" s="13">
        <f>N62*VLOOKUP('Données projet'!$B$9,Paramètres!$A$1:$I$89,3,0)*VLOOKUP('Données projet'!$B$9,Paramètres!$A$1:$I$89,5,0)</f>
        <v>-6.3550942286383367E-14</v>
      </c>
      <c r="P62" s="13" t="e">
        <f t="shared" si="63"/>
        <v>#NUM!</v>
      </c>
      <c r="Q62" s="20" t="e">
        <f t="shared" si="118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274.57619581652199</v>
      </c>
      <c r="T62" s="59">
        <f t="shared" si="64"/>
        <v>366.15117322598775</v>
      </c>
      <c r="U62" s="15">
        <f>IF(ISNA(VLOOKUP(A62,'Données projet'!$A$45:$I$65,3,0)),0,VLOOKUP(A62,'Données projet'!$A$45:$I$65,3,0))</f>
        <v>0</v>
      </c>
      <c r="V62" s="15">
        <f>IF(ISNA(VLOOKUP(A62,'Données projet'!$A$45:$I$65,4,0)),0,VLOOKUP(A62,'Données projet'!$A$45:$I$65,4,0))</f>
        <v>0</v>
      </c>
      <c r="W62" s="16">
        <f>IF(ISNA(VLOOKUP(A62,'Données projet'!$A$45:$I$65,5,0)),0%,VLOOKUP(A62,'Données projet'!$A$45:$I$65,5,0)*VLOOKUP('Données projet'!$B$9,Paramètres!$A$1:$I$89,7,0))</f>
        <v>0</v>
      </c>
      <c r="X62" s="16">
        <f>IF(ISNA(VLOOKUP(A62,'Données projet'!$A$45:$I$65,6,0)),0%,VLOOKUP(A62,'Données projet'!$A$45:$I$65,6,0)*VLOOKUP('Données projet'!$B$9,Paramètres!$A$1:$I$89,7,0))</f>
        <v>0</v>
      </c>
      <c r="Y62" s="16">
        <f>IF(ISNA(VLOOKUP(A62,'Données projet'!$A$45:$I$65,7,0)),0%,VLOOKUP(A62,'Données projet'!$A$45:$I$65,7,0))</f>
        <v>0</v>
      </c>
      <c r="Z62" s="21">
        <f>EXP(-LN(2)/35)*Z61+(1-EXP(-LN(2)/35))/(LN(2)/35)*V62*W62*VLOOKUP('Données projet'!$B$9,Paramètres!$A$1:$I$89,3,0)*0.475*44/12</f>
        <v>209.39478685858731</v>
      </c>
      <c r="AA62" s="21">
        <f>EXP(-LN(2)/25)*AA61+(1-EXP(-LN(2)/25))/(LN(2)/25)*Calculateur!V62*Calculateur!X62*VLOOKUP('Données projet'!$B$9,Paramètres!$A$1:$I$89,3,0)*0.475*44/12</f>
        <v>51.560318225480358</v>
      </c>
      <c r="AB62" s="21">
        <f>EXP(-LN(2)/2)*AB61+(1-EXP(-LN(2)/2))/(LN(2)/2)*V62*Y62*VLOOKUP('Données projet'!$B$9,Paramètres!$A$1:$I$89,3,0)*0.475*44/12</f>
        <v>8.5403260010281166</v>
      </c>
      <c r="AC62" s="22">
        <f t="shared" si="3"/>
        <v>269.49543108509579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projet'!$A$71:$I$91,2,0)</f>
        <v>#N/A</v>
      </c>
      <c r="AG62" s="12" t="e">
        <f>VLOOKUP(A62,'Données projet'!$A$71:$I$91,9,0)</f>
        <v>#N/A</v>
      </c>
      <c r="AH62" s="12">
        <f t="array" ref="AH62">INDEX(AG:AG,MIN(IF(ISNUMBER(AG62:AG258),ROW(AG62:AG258),"")))</f>
        <v>8.374198717948719</v>
      </c>
      <c r="AI62" s="13">
        <f>IF('Données projet'!$A$72&gt;35,AI61+AH62-AQ61,IF(A62&lt;'Données projet'!$A$72,$AF$205^A62,IF(A62='Données projet'!$A$72,'Données projet'!$B$72,AI61+AH62-AQ61)))</f>
        <v>186.79166666666674</v>
      </c>
      <c r="AJ62" s="13">
        <f>AI62*VLOOKUP('Données projet'!$B$10,Paramètres!$A$1:$I$89,3,0)*VLOOKUP('Données projet'!$B$10,Paramètres!$A$1:$I$89,5,0)</f>
        <v>169.00910000000005</v>
      </c>
      <c r="AK62" s="13">
        <f t="shared" si="65"/>
        <v>42.868019497909927</v>
      </c>
      <c r="AL62" s="20">
        <f t="shared" si="4"/>
        <v>369.01931645885981</v>
      </c>
      <c r="AM62" s="59">
        <f t="shared" si="5"/>
        <v>662.35264979219312</v>
      </c>
      <c r="AN62" s="59">
        <f ca="1">AVERAGE(OFFSET($AM$3,0,0,'Données projet'!$E$10+1,1))-AVERAGE(OFFSET($H$3,0,0,'Données projet'!$E$10+1,1))</f>
        <v>270.87836509222456</v>
      </c>
      <c r="AO62" s="59">
        <f t="shared" si="66"/>
        <v>205.24998237949734</v>
      </c>
      <c r="AP62" s="15">
        <f>IF(ISNA(VLOOKUP(A62,'Données projet'!$A$71:$I$91,3,0)),0,VLOOKUP(A62,'Données projet'!$A$71:$I$91,3,0))</f>
        <v>0</v>
      </c>
      <c r="AQ62" s="15">
        <f>IF(ISNA(VLOOKUP(A62,'Données projet'!$A$71:$I$91,4,0)),0,VLOOKUP(A62,'Données projet'!$A$71:$I$91,4,0))</f>
        <v>0</v>
      </c>
      <c r="AR62" s="16">
        <f>IF(ISNA(VLOOKUP(A62,'Données projet'!$A$71:$I$91,5,0)),0%,VLOOKUP(A62,'Données projet'!$A$71:$I$91,5,0)*VLOOKUP('Données projet'!$B$10,Paramètres!$A$1:$I$89,7,0))</f>
        <v>0</v>
      </c>
      <c r="AS62" s="16">
        <f>IF(ISNA(VLOOKUP(A62,'Données projet'!$A$71:$I$91,6,0)),0%,VLOOKUP(A62,'Données projet'!$A$71:$I$91,6,0)*VLOOKUP('Données projet'!$B$10,Paramètres!$A$1:$I$89,7,0))</f>
        <v>0</v>
      </c>
      <c r="AT62" s="16">
        <f>IF(ISNA(VLOOKUP(A62,'Données projet'!$A$71:$I$91,7,0)),0%,VLOOKUP(A62,'Données projet'!$A$71:$I$91,7,0))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projet'!$A$97:$I$117,2,0)</f>
        <v>#N/A</v>
      </c>
      <c r="BB62" s="12" t="e">
        <f>VLOOKUP(A62,'Données projet'!$A$97:$I$117,9,0)</f>
        <v>#N/A</v>
      </c>
      <c r="BC62" s="12">
        <f t="array" ref="BC62">INDEX(BB:BB,MIN(IF(ISNUMBER(BB62:BB258),ROW(BB62:BB258),"")))</f>
        <v>0</v>
      </c>
      <c r="BD62" s="12">
        <f>IF('Données projet'!$A$98&gt;35,BD61+BC62-BL61,IF(A62&lt;'Données projet'!$A$98,$BA$205^A62,IF(A62='Données projet'!$A$98,'Données projet'!$B$98,BD61+BC62-BL61)))</f>
        <v>-1.1368683772161603E-13</v>
      </c>
      <c r="BE62" s="13">
        <f>BD62*VLOOKUP('Données projet'!$B$11,Paramètres!$A$1:$I$89,3,0)*VLOOKUP('Données projet'!$B$11,Paramètres!$A$1:$I$89,5,0)</f>
        <v>-5.0249582272954292E-14</v>
      </c>
      <c r="BF62" s="13" t="e">
        <f t="shared" si="6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211.31057120485542</v>
      </c>
      <c r="BJ62" s="59">
        <f t="shared" si="68"/>
        <v>283.33292006714777</v>
      </c>
      <c r="BK62" s="15">
        <f>IF(ISNA(VLOOKUP(A62,'Données projet'!$A$97:$I$117,3,0)),0,VLOOKUP(A62,'Données projet'!$A$97:$I$117,3,0))</f>
        <v>0</v>
      </c>
      <c r="BL62" s="15">
        <f>IF(ISNA(VLOOKUP(A62,'Données projet'!$A$97:$I$117,4,0)),0,VLOOKUP(A62,'Données projet'!$A$97:$I$117,4,0))</f>
        <v>0</v>
      </c>
      <c r="BM62" s="16">
        <f>IF(ISNA(VLOOKUP(A62,'Données projet'!$A$97:$I$117,5,0)),0%,VLOOKUP(A62,'Données projet'!$A$97:$I$117,5,0)*VLOOKUP('Données projet'!$B$11,Paramètres!$A$1:$I$89,7,0))</f>
        <v>0</v>
      </c>
      <c r="BN62" s="16">
        <f>IF(ISNA(VLOOKUP(A62,'Données projet'!$A$97:$I$117,6,0)),0%,VLOOKUP(A62,'Données projet'!$A$97:$I$117,6,0)*VLOOKUP('Données projet'!$B$11,Paramètres!$A$1:$I$89,7,0))</f>
        <v>0</v>
      </c>
      <c r="BO62" s="16">
        <f>IF(ISNA(VLOOKUP(A62,'Données projet'!$A$97:$I$117,7,0)),0%,VLOOKUP(A62,'Données projet'!$A$97:$I$117,7,0))</f>
        <v>0</v>
      </c>
      <c r="BP62" s="21">
        <f>EXP(-LN(2)/35)*BP61+(1-EXP(-LN(2)/35))/(LN(2)/35)*BL62*BM62*VLOOKUP('Données projet'!$B$11,Paramètres!$A$1:$I$89,3,0)*0.475*44/12</f>
        <v>165.5679710044644</v>
      </c>
      <c r="BQ62" s="21">
        <f>EXP(-LN(2)/25)*BQ61+(1-EXP(-LN(2)/25))/(LN(2)/25)*Calculateur!BL62*Calculateur!BN62*VLOOKUP('Données projet'!$B$11,Paramètres!$A$1:$I$89,3,0)*0.475*44/12</f>
        <v>40.76862371317052</v>
      </c>
      <c r="BR62" s="21">
        <f>EXP(-LN(2)/2)*BR61+(1-EXP(-LN(2)/2))/(LN(2)/2)*BL62*BO62*VLOOKUP('Données projet'!$B$11,Paramètres!$A$1:$I$89,3,0)*0.475*44/12</f>
        <v>6.7528159077896728</v>
      </c>
      <c r="BS62" s="22">
        <f t="shared" si="9"/>
        <v>213.08941062542459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projet'!$A$123:$I$143,2,0)</f>
        <v>#N/A</v>
      </c>
      <c r="BW62" s="12" t="e">
        <f>VLOOKUP(A62,'Données projet'!$A$123:$I$143,9,0)</f>
        <v>#N/A</v>
      </c>
      <c r="BX62" s="12">
        <f t="array" ref="BX62">INDEX(BW:BW,MIN(IF(ISNUMBER(BW62:BW258),ROW(BW62:BW258),"")))</f>
        <v>6</v>
      </c>
      <c r="BY62" s="12">
        <f>IF('Données projet'!$A$124&gt;35,BY61+BX62-CG61,IF(A62&lt;'Données projet'!$A$124,$BV$205^A62,IF(A62='Données projet'!$A$124,'Données projet'!$B$124,BY61+BX62-CG61)))</f>
        <v>219.00000000000003</v>
      </c>
      <c r="BZ62" s="13">
        <f>BY62*VLOOKUP('Données projet'!$B$12,Paramètres!$A$1:$I$89,3,0)*VLOOKUP('Données projet'!$B$12,Paramètres!$A$1:$I$89,5,0)</f>
        <v>228.89880000000002</v>
      </c>
      <c r="CA62" s="13">
        <f t="shared" si="69"/>
        <v>56.044509878204664</v>
      </c>
      <c r="CB62" s="20">
        <f t="shared" si="10"/>
        <v>496.27626470453976</v>
      </c>
      <c r="CC62" s="59">
        <f t="shared" si="11"/>
        <v>789.60959803787307</v>
      </c>
      <c r="CD62" s="59">
        <f ca="1">AVERAGE(OFFSET($CC$3,0,0,'Données projet'!$E$12+1,1))-AVERAGE(OFFSET($H$3,0,0,'Données projet'!$E$12+1,1))</f>
        <v>322.93502595881938</v>
      </c>
      <c r="CE62" s="59">
        <f t="shared" si="70"/>
        <v>302.67072119588164</v>
      </c>
      <c r="CF62" s="15">
        <f>IF(ISNA(VLOOKUP(A62,'Données projet'!$A$123:$I$143,3,0)),0,VLOOKUP(A62,'Données projet'!$A$123:$I$143,3,0))</f>
        <v>0</v>
      </c>
      <c r="CG62" s="15">
        <f>IF(ISNA(VLOOKUP(A62,'Données projet'!$A$123:$I$143,4,0)),0,VLOOKUP(A62,'Données projet'!$A$123:$I$143,4,0))</f>
        <v>0</v>
      </c>
      <c r="CH62" s="16">
        <f>IF(ISNA(VLOOKUP(A62,'Données projet'!$A$123:$I$143,5,0)),0%,VLOOKUP(A62,'Données projet'!$A$123:$I$143,5,0)*VLOOKUP('Données projet'!$B$12,Paramètres!$A$1:$I$89,7,0))</f>
        <v>0</v>
      </c>
      <c r="CI62" s="16">
        <f>IF(ISNA(VLOOKUP(A62,'Données projet'!$A$123:$I$143,6,0)),0%,VLOOKUP(A62,'Données projet'!$A$123:$I$143,6,0)*VLOOKUP('Données projet'!$B$12,Paramètres!$A$1:$I$89,7,0))</f>
        <v>0</v>
      </c>
      <c r="CJ62" s="16">
        <f>IF(ISNA(VLOOKUP(A62,'Données projet'!$A$123:$I$143,7,0)),0%,VLOOKUP(A62,'Données projet'!$A$123:$I$143,7,0))</f>
        <v>0</v>
      </c>
      <c r="CK62" s="21">
        <f>EXP(-LN(2)/35)*CK61+(1-EXP(-LN(2)/35))/(LN(2)/35)*CG62*CH62*VLOOKUP('Données projet'!$B$12,Paramètres!$A$1:$I$89,3,0)*0.475*44/12</f>
        <v>12.129701585785295</v>
      </c>
      <c r="CL62" s="21">
        <f>EXP(-LN(2)/25)*CL61+(1-EXP(-LN(2)/25))/(LN(2)/25)*Calculateur!CG62*Calculateur!CI62*VLOOKUP('Données projet'!$B$12,Paramètres!$A$1:$I$89,3,0)*0.475*44/12</f>
        <v>18.647162504444864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30.776864090230159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>
        <f>VLOOKUP(A62,'Données projet'!$A$149:$I$169,2,0)</f>
        <v>159.25641025641025</v>
      </c>
      <c r="CR62" s="12">
        <f>VLOOKUP(A62,'Données projet'!$A$149:$I$169,9,0)</f>
        <v>6.3942307692307701</v>
      </c>
      <c r="CS62" s="12">
        <f t="array" ref="CS62">INDEX(CR:CR,MIN(IF(ISNUMBER(CR62:CR258),ROW(CR62:CR258),"")))</f>
        <v>6.3942307692307701</v>
      </c>
      <c r="CT62" s="12">
        <f>IF('Données projet'!$A$150&gt;35,CT61+CS62-DB61,IF(A62&lt;'Données projet'!$A$150,$CQ$205^A62,IF(A62='Données projet'!$A$150,'Données projet'!$B$150,CT61+CS62-DB61)))</f>
        <v>159.25641025641025</v>
      </c>
      <c r="CU62" s="17">
        <f>CT62*VLOOKUP('Données projet'!$B$13,Paramètres!$A$1:$I$89,3,0)*VLOOKUP('Données projet'!$B$13,Paramètres!$A$1:$I$89,5,0)</f>
        <v>161.48599999999999</v>
      </c>
      <c r="CV62" s="13">
        <f t="shared" si="71"/>
        <v>41.177506306658742</v>
      </c>
      <c r="CW62" s="20">
        <f t="shared" si="13"/>
        <v>352.97227348409729</v>
      </c>
      <c r="CX62" s="59">
        <f t="shared" si="14"/>
        <v>646.30560681743054</v>
      </c>
      <c r="CY62" s="59">
        <f ca="1">AVERAGE(OFFSET($CX$3,0,0,'Données projet'!$E$13+1,1))-AVERAGE(OFFSET($H$3,0,0,'Données projet'!$E$13+1,1))</f>
        <v>250.31277422753283</v>
      </c>
      <c r="CZ62" s="59">
        <f t="shared" si="72"/>
        <v>159.20429420478047</v>
      </c>
      <c r="DA62" s="15">
        <f>IF(ISNA(VLOOKUP(A62,'Données projet'!$A$149:$I$169,3,0)),0,VLOOKUP(A62,'Données projet'!$A$149:$I$169,3,0))</f>
        <v>3</v>
      </c>
      <c r="DB62" s="15">
        <f>IF(ISNA(VLOOKUP(A62,'Données projet'!$A$149:$I$169,4,0)),0,VLOOKUP(A62,'Données projet'!$A$149:$I$169,4,0))</f>
        <v>38.942307692307693</v>
      </c>
      <c r="DC62" s="16">
        <f>IF(ISNA(VLOOKUP(A62,'Données projet'!$A$149:$I$169,5,0)),0%,VLOOKUP(A62,'Données projet'!$A$149:$I$169,5,0)*VLOOKUP('Données projet'!$B$13,Paramètres!$A$1:$I$89,7,0))</f>
        <v>0</v>
      </c>
      <c r="DD62" s="16">
        <f>IF(ISNA(VLOOKUP(A62,'Données projet'!$A$149:$I$169,6,0)),0%,VLOOKUP(A62,'Données projet'!$A$149:$I$169,6,0)*VLOOKUP('Données projet'!$B$13,Paramètres!$A$1:$I$89,7,0))</f>
        <v>0</v>
      </c>
      <c r="DE62" s="16">
        <f>IF(ISNA(VLOOKUP(A62,'Données projet'!$A$149:$I$169,7,0)),0%,VLOOKUP(A62,'Données projet'!$A$149:$I$169,7,0))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0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projet'!$A$175:$I$195,2,0)</f>
        <v>#N/A</v>
      </c>
      <c r="DM62" s="12" t="e">
        <f>VLOOKUP(A62,'Données projet'!$A$175:$I$195,9,0)</f>
        <v>#N/A</v>
      </c>
      <c r="DN62" s="12">
        <f t="array" ref="DN62">INDEX(DM:DM,MIN(IF(ISNUMBER(DM62:DM258),ROW(DM62:DM258),"")))</f>
        <v>7.4</v>
      </c>
      <c r="DO62" s="12">
        <f>IF('Données projet'!$A$176&gt;35,DO61+DN62-DW61,IF(A62&lt;'Données projet'!$A$176,$DL$205^A62,IF(A62='Données projet'!$A$176,'Données projet'!$B$176,DO61+DN62-DW61)))</f>
        <v>335.59999999999974</v>
      </c>
      <c r="DP62" s="17">
        <f>DO62*VLOOKUP('Données projet'!$B$14,Paramètres!$A$1:$I$89,3,0)*VLOOKUP('Données projet'!$B$14,Paramètres!$A$1:$I$89,5,0)</f>
        <v>246.06191999999979</v>
      </c>
      <c r="DQ62" s="13">
        <f t="shared" si="73"/>
        <v>59.741882613953308</v>
      </c>
      <c r="DR62" s="20">
        <f t="shared" si="16"/>
        <v>532.60828955263503</v>
      </c>
      <c r="DS62" s="59">
        <f t="shared" si="17"/>
        <v>825.9416228859684</v>
      </c>
      <c r="DT62" s="59">
        <f ca="1">AVERAGE(OFFSET($DS$3,0,0,'Données projet'!$E$14+1,1))-AVERAGE(OFFSET($H$3,0,0,'Données projet'!$E$14+1,1))</f>
        <v>296.91321813251051</v>
      </c>
      <c r="DU62" s="59">
        <f t="shared" si="74"/>
        <v>291.0718079639509</v>
      </c>
      <c r="DV62" s="15">
        <f>IF(ISNA(VLOOKUP(A62,'Données projet'!$A$175:$I$195,3,0)),0,VLOOKUP(A62,'Données projet'!$A$175:$I$195,3,0))</f>
        <v>0</v>
      </c>
      <c r="DW62" s="15">
        <f>IF(ISNA(VLOOKUP(A62,'Données projet'!$A$175:$I$195,4,0)),0,VLOOKUP(A62,'Données projet'!$A$175:$I$195,4,0))</f>
        <v>0</v>
      </c>
      <c r="DX62" s="16">
        <f>IF(ISNA(VLOOKUP(A62,'Données projet'!$A$175:$I$195,5,0)),0%,VLOOKUP(A62,'Données projet'!$A$175:$I$195,5,0)*VLOOKUP('Données projet'!$B$14,Paramètres!$A$1:$I$89,7,0))</f>
        <v>0</v>
      </c>
      <c r="DY62" s="16">
        <f>IF(ISNA(VLOOKUP(A62,'Données projet'!$A$175:$I$195,6,0)),0%,VLOOKUP(A62,'Données projet'!$A$175:$I$195,6,0)*VLOOKUP('Données projet'!$B$14,Paramètres!$A$1:$I$89,7,0))</f>
        <v>0</v>
      </c>
      <c r="DZ62" s="16">
        <f>IF(ISNA(VLOOKUP(A62,'Données projet'!$A$175:$I$195,7,0)),0%,VLOOKUP(A62,'Données projet'!$A$175:$I$195,7,0))</f>
        <v>0</v>
      </c>
      <c r="EA62" s="21">
        <f>EXP(-LN(2)/35)*EA61+(1-EXP(-LN(2)/35))/(LN(2)/35)*DW62*DX62*VLOOKUP('Données projet'!$B$14,Paramètres!$A$1:$I$89,3,0)*0.475*44/12</f>
        <v>37.783706673121806</v>
      </c>
      <c r="EB62" s="21">
        <f>EXP(-LN(2)/25)*EB61+(1-EXP(-LN(2)/25))/(LN(2)/25)*Calculateur!DW62*Calculateur!DY62*VLOOKUP('Données projet'!$B$14,Paramètres!$A$1:$I$89,3,0)*0.475*44/12</f>
        <v>8.1672385117213366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45.950945184843142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projet'!$A$201:$I$221,2,0)</f>
        <v>#N/A</v>
      </c>
      <c r="EH62" s="12" t="e">
        <f>VLOOKUP(A62,'Données projet'!$A$201:$I$221,9,0)</f>
        <v>#N/A</v>
      </c>
      <c r="EI62" s="12">
        <f t="array" ref="EI62">INDEX(EH:EH,MIN(IF(ISNUMBER(EH62:EH258),ROW(EH62:EH258),"")))</f>
        <v>10.763461538461542</v>
      </c>
      <c r="EJ62" s="12">
        <f>IF('Données projet'!$A$202&gt;35,EJ61+EI62-ER61,IF(A62&lt;'Données projet'!$A$202,$EG$205^A62,IF(A62='Données projet'!$A$202,'Données projet'!$B$202,EJ61+EI62-ER61)))</f>
        <v>307.63846153846157</v>
      </c>
      <c r="EK62" s="17">
        <f>EJ62*VLOOKUP('Données projet'!$B$15,Paramètres!$A$1:$I$89,3,0)*VLOOKUP('Données projet'!$B$15,Paramètres!$A$1:$I$89,5,0)</f>
        <v>143.97480000000002</v>
      </c>
      <c r="EL62" s="13">
        <f t="shared" si="75"/>
        <v>37.206087411055172</v>
      </c>
      <c r="EM62" s="20">
        <f t="shared" si="19"/>
        <v>315.55671224092112</v>
      </c>
      <c r="EN62" s="59">
        <f t="shared" si="20"/>
        <v>608.89004557425437</v>
      </c>
      <c r="EO62" s="59">
        <f ca="1">AVERAGE(OFFSET($EN$3,0,0,'Données projet'!$E$15+1,1))-AVERAGE(OFFSET($H$3,0,0,'Données projet'!$E$15+1,1))</f>
        <v>147.64256291235483</v>
      </c>
      <c r="EP62" s="59">
        <f t="shared" si="76"/>
        <v>70.859031694091868</v>
      </c>
      <c r="EQ62" s="15">
        <f>IF(ISNA(VLOOKUP(A62,'Données projet'!$A$201:$I$221,3,0)),0,VLOOKUP(A62,'Données projet'!$A$201:$I$221,3,0))</f>
        <v>0</v>
      </c>
      <c r="ER62" s="15">
        <f>IF(ISNA(VLOOKUP(A62,'Données projet'!$A$201:$I$221,4,0)),0,VLOOKUP(A62,'Données projet'!$A$201:$I$221,4,0))</f>
        <v>0</v>
      </c>
      <c r="ES62" s="16">
        <f>IF(ISNA(VLOOKUP(A62,'Données projet'!$A$201:$I$221,5,0)),0%,VLOOKUP(A62,'Données projet'!$A$201:$I$221,5,0)*VLOOKUP('Données projet'!$B$15,Paramètres!$A$1:$I$89,7,0))</f>
        <v>0</v>
      </c>
      <c r="ET62" s="16">
        <f>IF(ISNA(VLOOKUP(A62,'Données projet'!$A$201:$I$221,6,0)),0%,VLOOKUP(A62,'Données projet'!$A$201:$I$221,6,0)*VLOOKUP('Données projet'!$B$15,Paramètres!$A$1:$I$89,7,0))</f>
        <v>0</v>
      </c>
      <c r="EU62" s="16">
        <f>IF(ISNA(VLOOKUP(A62,'Données projet'!$A$201:$I$221,7,0)),0%,VLOOKUP(A62,'Données projet'!$A$201:$I$221,7,0))</f>
        <v>0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15.304396487925246</v>
      </c>
      <c r="EX62" s="21">
        <f>EXP(-LN(2)/2)*EX61+(1-EXP(-LN(2)/2))/(LN(2)/2)*ER62*EU62*VLOOKUP('Données projet'!$B$15,Paramètres!$A$1:$I$89,3,0)*0.475*44/12</f>
        <v>1.4616666068147672</v>
      </c>
      <c r="EY62" s="22">
        <f t="shared" si="21"/>
        <v>16.766063094740012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projet'!$A$227:$I$247,2,0)</f>
        <v>#N/A</v>
      </c>
      <c r="FC62" s="12" t="e">
        <f>VLOOKUP(A62,'Données projet'!$A$227:$I$247,9,0)</f>
        <v>#N/A</v>
      </c>
      <c r="FD62" s="12">
        <f t="array" ref="FD62">INDEX(FC:FC,MIN(IF(ISNUMBER(FC62:FC258),ROW(FC62:FC258),"")))</f>
        <v>5</v>
      </c>
      <c r="FE62" s="12">
        <f>IF('Données projet'!$A$228&gt;35,FE61+FD62-FM61,IF(A62&lt;'Données projet'!$A$228,$FB$205^A62,IF(A62='Données projet'!$A$228,'Données projet'!$B$228,FE61+FD62-FM61)))</f>
        <v>183.99999999999997</v>
      </c>
      <c r="FF62" s="17">
        <f>FE62*VLOOKUP('Données projet'!$B$16,Paramètres!$A$1:$I$89,3,0)*VLOOKUP('Données projet'!$B$16,Paramètres!$A$1:$I$89,5,0)</f>
        <v>192.31679999999997</v>
      </c>
      <c r="FG62" s="13">
        <f t="shared" si="77"/>
        <v>48.05180257326473</v>
      </c>
      <c r="FH62" s="20">
        <f t="shared" si="22"/>
        <v>418.64198281510266</v>
      </c>
      <c r="FI62" s="59">
        <f t="shared" si="23"/>
        <v>711.97531614843592</v>
      </c>
      <c r="FJ62" s="59">
        <f ca="1">AVERAGE(OFFSET($FI$3,0,0,'Données projet'!$E$16+1,1))-AVERAGE(OFFSET($H$3,0,0,'Données projet'!$E$16+1,1))</f>
        <v>259.03906550253788</v>
      </c>
      <c r="FK62" s="59">
        <f t="shared" si="78"/>
        <v>235.54542903570831</v>
      </c>
      <c r="FL62" s="15">
        <f>IF(ISNA(VLOOKUP(A62,'Données projet'!$A$227:$I$247,3,0)),0,VLOOKUP(A62,'Données projet'!$A$227:$I$247,3,0))</f>
        <v>0</v>
      </c>
      <c r="FM62" s="15">
        <f>IF(ISNA(VLOOKUP(A62,'Données projet'!$A$227:$I$247,4,0)),0,VLOOKUP(A62,'Données projet'!$A$227:$I$247,4,0))</f>
        <v>0</v>
      </c>
      <c r="FN62" s="16">
        <f>IF(ISNA(VLOOKUP(A62,'Données projet'!$A$227:$I$247,5,0)),0%,VLOOKUP(A62,'Données projet'!$A$227:$I$247,5,0)*VLOOKUP('Données projet'!$B$16,Paramètres!$A$1:$I$89,7,0))</f>
        <v>0</v>
      </c>
      <c r="FO62" s="16">
        <f>IF(ISNA(VLOOKUP(A62,'Données projet'!$A$227:$I$247,6,0)),0%,VLOOKUP(A62,'Données projet'!$A$227:$I$247,6,0)*VLOOKUP('Données projet'!$B$16,Paramètres!$A$1:$I$89,7,0))</f>
        <v>0</v>
      </c>
      <c r="FP62" s="16">
        <f>IF(ISNA(VLOOKUP(A62,'Données projet'!$A$227:$I$247,7,0)),0%,VLOOKUP(A62,'Données projet'!$A$227:$I$247,7,0))</f>
        <v>0</v>
      </c>
      <c r="FQ62" s="21">
        <f>EXP(-LN(2)/35)*FQ61+(1-EXP(-LN(2)/35))/(LN(2)/35)*FM62*FN62*VLOOKUP('Données projet'!$B$16,Paramètres!$A$1:$I$89,3,0)*0.475*44/12</f>
        <v>3.1211917596798568</v>
      </c>
      <c r="FR62" s="21">
        <f>EXP(-LN(2)/25)*FR61+(1-EXP(-LN(2)/25))/(LN(2)/25)*Calculateur!FM62*Calculateur!FO62*VLOOKUP('Données projet'!$B$16,Paramètres!$A$1:$I$89,3,0)*0.475*44/12</f>
        <v>12.593501131068674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15.71469289074853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projet'!$A$253:$I$273,2,0)</f>
        <v>#N/A</v>
      </c>
      <c r="FX62" s="12" t="e">
        <f>VLOOKUP(A62,'Données projet'!$A$253:$I$273,9,0)</f>
        <v>#N/A</v>
      </c>
      <c r="FY62" s="12">
        <f t="array" ref="FY62">INDEX(FX:FX,MIN(IF(ISNUMBER(FX62:FX258),ROW(FX62:FX258),"")))</f>
        <v>5.2</v>
      </c>
      <c r="FZ62" s="12">
        <f>IF('Données projet'!$A$254&gt;35,FZ61+FY62-GH61,IF(A62&lt;'Données projet'!$A$254,$FW$205^A62,IF(A62='Données projet'!$A$254,'Données projet'!$B$254,FZ61+FY62-GH61)))</f>
        <v>239.79999999999984</v>
      </c>
      <c r="GA62" s="17">
        <f>FZ62*VLOOKUP('Données projet'!$B$17,Paramètres!$A$1:$I$89,3,0)*VLOOKUP('Données projet'!$B$17,Paramètres!$A$1:$I$89,5,0)</f>
        <v>209.48927999999989</v>
      </c>
      <c r="GB62" s="13">
        <f t="shared" si="79"/>
        <v>51.823964717594365</v>
      </c>
      <c r="GC62" s="20">
        <f t="shared" si="25"/>
        <v>455.12056788314334</v>
      </c>
      <c r="GD62" s="59">
        <f t="shared" si="26"/>
        <v>748.45390121647665</v>
      </c>
      <c r="GE62" s="59">
        <f ca="1">AVERAGE(OFFSET($GD$3,0,0,'Données projet'!$E$17+1,1))-AVERAGE(OFFSET($H$3,0,0,'Données projet'!$E$17+1,1))</f>
        <v>245.1983232777614</v>
      </c>
      <c r="GF62" s="59">
        <f t="shared" si="80"/>
        <v>242.34010522344573</v>
      </c>
      <c r="GG62" s="15">
        <f>IF(ISNA(VLOOKUP(A62,'Données projet'!$A$253:$I$273,3,0)),0,VLOOKUP(A62,'Données projet'!$A$253:$I$273,3,0))</f>
        <v>0</v>
      </c>
      <c r="GH62" s="15">
        <f>IF(ISNA(VLOOKUP(A62,'Données projet'!$A$253:$I$273,4,0)),0,VLOOKUP(A62,'Données projet'!$A$253:$I$273,4,0))</f>
        <v>0</v>
      </c>
      <c r="GI62" s="16">
        <f>IF(ISNA(VLOOKUP(A62,'Données projet'!$A$253:$I$273,5,0)),0%,VLOOKUP(A62,'Données projet'!$A$253:$I$273,5,0)*VLOOKUP('Données projet'!$B$17,Paramètres!$A$1:$I$89,7,0))</f>
        <v>0</v>
      </c>
      <c r="GJ62" s="16">
        <f>IF(ISNA(VLOOKUP(A62,'Données projet'!$A$253:$I$273,6,0)),0%,VLOOKUP(A62,'Données projet'!$A$253:$I$273,6,0)*VLOOKUP('Données projet'!$B$17,Paramètres!$A$1:$I$89,7,0))</f>
        <v>0</v>
      </c>
      <c r="GK62" s="16">
        <f>IF(ISNA(VLOOKUP(A62,'Données projet'!$A$253:$I$273,7,0)),0%,VLOOKUP(A62,'Données projet'!$A$253:$I$273,7,0))</f>
        <v>0</v>
      </c>
      <c r="GL62" s="21">
        <f>EXP(-LN(2)/35)*GL61+(1-EXP(-LN(2)/35))/(LN(2)/35)*GH62*GI62*VLOOKUP('Données projet'!$B$17,Paramètres!$A$1:$I$89,3,0)*0.475*44/12</f>
        <v>16.79498090934873</v>
      </c>
      <c r="GM62" s="21">
        <f>EXP(-LN(2)/25)*GM61+(1-EXP(-LN(2)/25))/(LN(2)/25)*Calculateur!GH62*Calculateur!GJ62*VLOOKUP('Données projet'!$B$17,Paramètres!$A$1:$I$89,3,0)*0.475*44/12</f>
        <v>10.420856982840109</v>
      </c>
      <c r="GN62" s="21">
        <f>EXP(-LN(2)/2)*GN61+(1-EXP(-LN(2)/2))/(LN(2)/2)*GH62*GK62*VLOOKUP('Données projet'!$B$17,Paramètres!$A$1:$I$89,3,0)*0.475*44/12</f>
        <v>0</v>
      </c>
      <c r="GO62" s="21">
        <f t="shared" si="27"/>
        <v>27.215837892188837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projet'!$A$279:$I$299,2,0)</f>
        <v>#N/A</v>
      </c>
      <c r="GS62" s="12" t="e">
        <f>VLOOKUP(A62,'Données projet'!$A$279:$I$299,9,0)</f>
        <v>#N/A</v>
      </c>
      <c r="GT62" s="12">
        <f t="array" ref="GT62">INDEX(GS:GS,MIN(IF(ISNUMBER(GS62:GS258),ROW(GS62:GS258),"")))</f>
        <v>12.6</v>
      </c>
      <c r="GU62" s="12">
        <f>IF('Données projet'!$A$280&gt;35,GU61+GT62-HC61,IF(A62&lt;'Données projet'!$A$280,$GR$205^A62,IF(A62='Données projet'!$A$280,'Données projet'!$B$280,GU61+GT62-HC61)))</f>
        <v>677.4000000000002</v>
      </c>
      <c r="GV62" s="17">
        <f>GU62*VLOOKUP('Données projet'!$B$18,Paramètres!$A$1:$I$89,3,0)*VLOOKUP('Données projet'!$B$18,Paramètres!$A$1:$I$89,5,0)</f>
        <v>272.99220000000008</v>
      </c>
      <c r="GW62" s="13">
        <f t="shared" si="81"/>
        <v>65.483881746374806</v>
      </c>
      <c r="GX62" s="20">
        <f t="shared" si="28"/>
        <v>589.51250904160293</v>
      </c>
      <c r="GY62" s="59">
        <f t="shared" si="29"/>
        <v>882.84584237493618</v>
      </c>
      <c r="GZ62" s="59">
        <f ca="1">AVERAGE(OFFSET($GY$3,0,0,'Données projet'!$E$18+1,1))-AVERAGE(OFFSET($H$3,0,0,'Données projet'!$E$18+1,1))</f>
        <v>324.36162935850876</v>
      </c>
      <c r="HA62" s="59">
        <f t="shared" si="82"/>
        <v>265.23571072429735</v>
      </c>
      <c r="HB62" s="15">
        <f>IF(ISNA(VLOOKUP(A62,'Données projet'!$A$279:$I$299,3,0)),0,VLOOKUP(A62,'Données projet'!$A$279:$I$299,3,0))</f>
        <v>0</v>
      </c>
      <c r="HC62" s="15">
        <f>IF(ISNA(VLOOKUP(A62,'Données projet'!$A$279:$I$299,4,0)),0,VLOOKUP(A62,'Données projet'!$A$279:$I$299,4,0))</f>
        <v>0</v>
      </c>
      <c r="HD62" s="16">
        <f>IF(ISNA(VLOOKUP(A62,'Données projet'!$A$279:$I$299,5,0)),0%,VLOOKUP(A62,'Données projet'!$A$279:$I$299,5,0)*VLOOKUP('Données projet'!$B$18,Paramètres!$A$1:$I$89,7,0))</f>
        <v>0</v>
      </c>
      <c r="HE62" s="16">
        <f>IF(ISNA(VLOOKUP(A62,'Données projet'!$A$279:$I$299,6,0)),0%,VLOOKUP(A62,'Données projet'!$A$279:$I$299,6,0)*VLOOKUP('Données projet'!$B$18,Paramètres!$A$1:$I$89,7,0))</f>
        <v>0</v>
      </c>
      <c r="HF62" s="16">
        <f>IF(ISNA(VLOOKUP($A62,'Données projet'!$A$279:$I$299,7,0)),0%,VLOOKUP($A62,'Données projet'!$A$279:$I$299,7,0))</f>
        <v>0</v>
      </c>
      <c r="HG62" s="21">
        <f>EXP(-LN(2)/35)*HG61+(1-EXP(-LN(2)/35))/(LN(2)/35)*HC62*HD62*VLOOKUP('Données projet'!$B$18,Paramètres!$A$1:$I$89,3,0)*0.475*44/12</f>
        <v>9.6017587958951758</v>
      </c>
      <c r="HH62" s="21">
        <f>EXP(-LN(2)/25)*HH61+(1-EXP(-LN(2)/25))/(LN(2)/25)*Calculateur!HC62*Calculateur!HE62*VLOOKUP('Données projet'!$B$18,Paramètres!$A$1:$I$89,3,0)*0.475*44/12</f>
        <v>11.240005918835875</v>
      </c>
      <c r="HI62" s="21">
        <f>EXP(-LN(2)/2)*HI61+(1-EXP(-LN(2)/2))/(LN(2)/2)*HC62*HF62*VLOOKUP('Données projet'!$B$18,Paramètres!$A$1:$I$89,3,0)*0.475*44/12</f>
        <v>0.20689625892032928</v>
      </c>
      <c r="HJ62" s="22">
        <f t="shared" si="30"/>
        <v>21.04866097365138</v>
      </c>
      <c r="HK62" s="74">
        <f>('Scénario référence'!$F$8+'Scénario référence'!$F$9+'Scénario référence'!$B$17+'Scénario référence'!$B$9+'Scénario référence'!$B$10)*70+IF((45+25*(1-EXP(-0.0175*$A62)))&lt;70,'Scénario référence'!$B$16*(45+25*(1-EXP(-0.0175*$A62))),70*'Scénario référence'!$B$16)+IF((32+38*(1-EXP(-0.0175*$A62)))&lt;70,'Scénario référence'!$B$18*(32+38*(1-EXP(-0.0175*$A62))),70*'Scénario référence'!$B$18)</f>
        <v>70</v>
      </c>
      <c r="HL62" s="12">
        <f>IF($A62&gt;30,10,('Scénario référence'!$B$16+'Scénario référence'!$B$17+'Scénario référence'!$B$18+'Scénario référence'!$B$9+'Scénario référence'!$B$10)*$A62*10/30+('Scénario référence'!$F$8+'Scénario référence'!$F$9)*10)</f>
        <v>10</v>
      </c>
      <c r="HM62" s="12" t="e">
        <f>VLOOKUP($A62,'Données projet'!$A$304:$I$324,2,0)</f>
        <v>#N/A</v>
      </c>
      <c r="HN62" s="12" t="e">
        <f>VLOOKUP($A62,'Données projet'!$A$304:$I$324,9,0)</f>
        <v>#N/A</v>
      </c>
      <c r="HO62" s="12">
        <f t="array" ref="HO62">INDEX(HN:HN,MIN(IF(ISNUMBER(HN62:HN258),ROW(HN62:HN258),"")))</f>
        <v>0</v>
      </c>
      <c r="HP62" s="12">
        <f>IF('Données projet'!$A$304&gt;35,HP61+HO62-HX61,IF($A62&lt;'Données projet'!$A$304,$CQ$205^$A62,IF($A62='Données projet'!$A$304,'Données projet'!$B$304,HP61+HO62-HX61)))</f>
        <v>0</v>
      </c>
      <c r="HQ62" s="17">
        <f>HP62*VLOOKUP('Données projet'!$B$19,Paramètres!$A$1:$I$89,3,0)*VLOOKUP('Données projet'!$B$19,Paramètres!$A$1:$I$89,5,0)</f>
        <v>0</v>
      </c>
      <c r="HR62" s="13" t="e">
        <f t="shared" si="83"/>
        <v>#NUM!</v>
      </c>
      <c r="HS62" s="14" t="e">
        <f t="shared" si="31"/>
        <v>#NUM!</v>
      </c>
      <c r="HT62" s="59" t="e">
        <f t="shared" si="32"/>
        <v>#NUM!</v>
      </c>
      <c r="HU62" s="59">
        <f ca="1">AVERAGE(OFFSET(HT$3,0,0,'Données projet'!$E$19+1,1))-AVERAGE(OFFSET($H$3,0,0,'Données projet'!$E$19+1,1))</f>
        <v>91.60721429656013</v>
      </c>
      <c r="HV62" s="59">
        <f t="shared" si="84"/>
        <v>258.94957804210856</v>
      </c>
      <c r="HW62" s="15">
        <f>IF(ISNA(VLOOKUP($A62,'Données projet'!$A$304:$I$324,3,0)),0,VLOOKUP($A62,'Données projet'!$A$304:$I$324,3,0))</f>
        <v>0</v>
      </c>
      <c r="HX62" s="15">
        <f>IF(ISNA(VLOOKUP($A62,'Données projet'!$A$304:$I$324,4,0)),0,VLOOKUP($A62,'Données projet'!$A$304:$I$324,4,0))</f>
        <v>0</v>
      </c>
      <c r="HY62" s="16">
        <f>IF(ISNA(VLOOKUP($A62,'Données projet'!$A$304:$I$324,5,0)),0%,VLOOKUP($A62,'Données projet'!$A$304:$I$324,5,0)*VLOOKUP('Données projet'!$B$19,Paramètres!$A$1:$I$89,7,0))</f>
        <v>0</v>
      </c>
      <c r="HZ62" s="16">
        <f>IF(ISNA(VLOOKUP($A62,'Données projet'!$A$304:$I$324,6,0)),0%,VLOOKUP($A62,'Données projet'!$A$304:$I$324,6,0)*VLOOKUP('Données projet'!$B$19,Paramètres!$A$1:$I$89,7,0))</f>
        <v>0</v>
      </c>
      <c r="IA62" s="16">
        <f>IF(ISNA(VLOOKUP($A62,'Données projet'!$A$304:$I$324,7,0)),0%,VLOOKUP($A62,'Données projet'!$A$304:$I$324,7,0))</f>
        <v>0</v>
      </c>
      <c r="IB62" s="21">
        <f>EXP(-LN(2)/35)*IB61+(1-EXP(-LN(2)/35))/(LN(2)/35)*HX62*HY62*VLOOKUP('Données projet'!$B$19,Paramètres!$A$1:$I$89,3,0)*0.475*44/12</f>
        <v>27.778582027942001</v>
      </c>
      <c r="IC62" s="21">
        <f>EXP(-LN(2)/25)*IC61+(1-EXP(-LN(2)/25))/(LN(2)/25)*Calculateur!HX62*Calculateur!HZ62*VLOOKUP('Données projet'!$B$19,Paramètres!$A$1:$I$89,3,0)*0.475*44/12</f>
        <v>4.3532796291400198</v>
      </c>
      <c r="ID62" s="21">
        <f>EXP(-LN(2)/2)*ID61+(1-EXP(-LN(2)/2))/(LN(2)/2)*HX62*IA62*VLOOKUP('Données projet'!$B$19,Paramètres!$A$1:$I$89,3,0)*0.475*44/12</f>
        <v>2.4723373672641397E-5</v>
      </c>
      <c r="IE62" s="22">
        <f t="shared" si="33"/>
        <v>32.13188638045569</v>
      </c>
      <c r="IF62" s="74">
        <f>('Scénario référence'!$F$8+'Scénario référence'!$F$9+'Scénario référence'!$B$17+'Scénario référence'!$B$9+'Scénario référence'!$B$10)*70+IF((45+25*(1-EXP(-0.0175*$A62)))&lt;70,'Scénario référence'!$B$16*(45+25*(1-EXP(-0.0175*$A62))),70*'Scénario référence'!$B$16)+IF((32+38*(1-EXP(-0.0175*$A62)))&lt;70,'Scénario référence'!$B$18*(32+38*(1-EXP(-0.0175*$A62))),70*'Scénario référence'!$B$18)</f>
        <v>70</v>
      </c>
      <c r="IG62" s="12">
        <f>IF($A62&gt;30,10,('Scénario référence'!$B$16+'Scénario référence'!$B$17+'Scénario référence'!$B$18+'Scénario référence'!$B$9+'Scénario référence'!$B$10)*$A62*10/30+('Scénario référence'!$F$8+'Scénario référence'!$F$9)*10)</f>
        <v>10</v>
      </c>
      <c r="IH62" s="12" t="e">
        <f>VLOOKUP($A62,'Données projet'!$A$330:$I$350,2,0)</f>
        <v>#N/A</v>
      </c>
      <c r="II62" s="12" t="e">
        <f>VLOOKUP($A62,'Données projet'!$A$330:$I$350,9,0)</f>
        <v>#N/A</v>
      </c>
      <c r="IJ62" s="12">
        <f t="array" ref="IJ62">INDEX(II:II,MIN(IF(ISNUMBER(II62:II258),ROW(II62:II258),"")))</f>
        <v>0</v>
      </c>
      <c r="IK62" s="12">
        <f>IF('Données projet'!$A$330&gt;35,IK61+IJ62-IS61,IF($A62&lt;'Données projet'!$A$330,$CQ$205^$A62,IF($A62='Données projet'!$A$330,'Données projet'!$B$330,IK61+IJ62-IS61)))</f>
        <v>0</v>
      </c>
      <c r="IL62" s="17">
        <f>IK62*VLOOKUP('Données projet'!$B$20,Paramètres!$A$1:$I$89,3,0)*VLOOKUP('Données projet'!$B$20,Paramètres!$A$1:$I$89,5,0)</f>
        <v>0</v>
      </c>
      <c r="IM62" s="13" t="e">
        <f t="shared" si="85"/>
        <v>#NUM!</v>
      </c>
      <c r="IN62" s="20" t="e">
        <f t="shared" si="86"/>
        <v>#NUM!</v>
      </c>
      <c r="IO62" s="59" t="e">
        <f t="shared" si="87"/>
        <v>#NUM!</v>
      </c>
      <c r="IP62" s="59">
        <f ca="1">AVERAGE(OFFSET(IO$3,0,0,'Données projet'!$E$20+1,1))-AVERAGE(OFFSET($H$3,0,0,'Données projet'!$E$20+1,1))</f>
        <v>91.60721429656013</v>
      </c>
      <c r="IQ62" s="59">
        <f t="shared" si="88"/>
        <v>258.94957804210856</v>
      </c>
      <c r="IR62" s="15">
        <f>IF(ISNA(VLOOKUP($A62,'Données projet'!$A$330:$I$350,3,0)),0,VLOOKUP($A62,'Données projet'!$A$330:$I$350,3,0))</f>
        <v>0</v>
      </c>
      <c r="IS62" s="15">
        <f>IF(ISNA(VLOOKUP($A62,'Données projet'!$A$330:$I$350,4,0)),0,VLOOKUP($A62,'Données projet'!$A$330:$I$350,4,0))</f>
        <v>0</v>
      </c>
      <c r="IT62" s="16">
        <f>IF(ISNA(VLOOKUP($A62,'Données projet'!$A$330:$I$350,5,0)),0%,VLOOKUP($A62,'Données projet'!$A$330:$I$350,5,0)*VLOOKUP('Données projet'!$B$20,Paramètres!$A$1:$I$89,7,0))</f>
        <v>0</v>
      </c>
      <c r="IU62" s="16">
        <f>IF(ISNA(VLOOKUP($A62,'Données projet'!$A$330:$I$350,6,0)),0%,VLOOKUP($A62,'Données projet'!$A$330:$I$350,6,0)*VLOOKUP('Données projet'!$B$20,Paramètres!$A$1:$I$89,7,0))</f>
        <v>0</v>
      </c>
      <c r="IV62" s="16">
        <f>IF(ISNA(VLOOKUP($A62,'Données projet'!$A$330:$I$350,7,0)),0%,VLOOKUP($A62,'Données projet'!$A$330:$I$350,7,0))</f>
        <v>0</v>
      </c>
      <c r="IW62" s="21">
        <f>EXP(-LN(2)/35)*IW61+(1-EXP(-LN(2)/35))/(LN(2)/35)*IS62*IT62*VLOOKUP('Données projet'!$B$20,Paramètres!$A$1:$I$89,3,0)*0.475*44/12</f>
        <v>27.778582027942001</v>
      </c>
      <c r="IX62" s="21">
        <f>EXP(-LN(2)/25)*IX61+(1-EXP(-LN(2)/25))/(LN(2)/25)*Calculateur!IS62*Calculateur!IU62*VLOOKUP('Données projet'!$B$20,Paramètres!$A$1:$I$89,3,0)*0.475*44/12</f>
        <v>4.3532796291400198</v>
      </c>
      <c r="IY62" s="21">
        <f>EXP(-LN(2)/2)*IY61+(1-EXP(-LN(2)/2))/(LN(2)/2)*IS62*IV62*VLOOKUP('Données projet'!$B$20,Paramètres!$A$1:$I$89,3,0)*0.475*44/12</f>
        <v>2.4723373672641397E-5</v>
      </c>
      <c r="IZ62" s="22">
        <f t="shared" si="89"/>
        <v>32.13188638045569</v>
      </c>
      <c r="JA62" s="74">
        <f>('Scénario référence'!$F$8+'Scénario référence'!$F$9+'Scénario référence'!$B$17+'Scénario référence'!$B$9+'Scénario référence'!$B$10)*70+IF((45+25*(1-EXP(-0.0175*$A62)))&lt;70,'Scénario référence'!$B$16*(45+25*(1-EXP(-0.0175*$A62))),70*'Scénario référence'!$B$16)+IF((32+38*(1-EXP(-0.0175*$A62)))&lt;70,'Scénario référence'!$B$18*(32+38*(1-EXP(-0.0175*$A62))),70*'Scénario référence'!$B$18)</f>
        <v>70</v>
      </c>
      <c r="JB62" s="12">
        <f>IF($A62&gt;30,10,('Scénario référence'!$B$16+'Scénario référence'!$B$17+'Scénario référence'!$B$18+'Scénario référence'!$B$9+'Scénario référence'!$B$10)*$A62*10/30+('Scénario référence'!$F$8+'Scénario référence'!$F$9)*10)</f>
        <v>10</v>
      </c>
      <c r="JC62" s="12" t="e">
        <f>VLOOKUP($A62,'Données projet'!$A$356:$I$376,2,0)</f>
        <v>#N/A</v>
      </c>
      <c r="JD62" s="12" t="e">
        <f>VLOOKUP($A62,'Données projet'!$A$356:$I$376,9,0)</f>
        <v>#N/A</v>
      </c>
      <c r="JE62" s="12">
        <f t="array" ref="JE62">INDEX(JD:JD,MIN(IF(ISNUMBER(JD62:JD258),ROW(JD62:JD258),"")))</f>
        <v>10.8</v>
      </c>
      <c r="JF62" s="12">
        <f>IF('Données projet'!$A$356&gt;35,JF61+JE62-JN61,IF($A62&lt;'Données projet'!$A$356,$CQ$205^$A62,IF($A62='Données projet'!$A$356,'Données projet'!$B$356,JF61+JE62-JN61)))</f>
        <v>259.2000000000001</v>
      </c>
      <c r="JG62" s="17">
        <f>JF62*VLOOKUP('Données projet'!$B$21,Paramètres!$A$1:$I$89,3,0)*VLOOKUP('Données projet'!$B$21,Paramètres!$A$1:$I$89,5,0)</f>
        <v>210.26304000000007</v>
      </c>
      <c r="JH62" s="13">
        <f t="shared" si="90"/>
        <v>51.993062367908024</v>
      </c>
      <c r="JI62" s="20">
        <f t="shared" si="91"/>
        <v>456.76271162410666</v>
      </c>
      <c r="JJ62" s="59">
        <f t="shared" si="92"/>
        <v>750.09604495743997</v>
      </c>
      <c r="JK62" s="59">
        <f ca="1">AVERAGE(OFFSET($JJ$3,0,0,'Données projet'!$E$22+1,1))-AVERAGE(OFFSET($H$3,0,0,'Données projet'!$E$22+1,1))</f>
        <v>353.35574633294613</v>
      </c>
      <c r="JL62" s="59">
        <f t="shared" si="93"/>
        <v>170.36796666474726</v>
      </c>
      <c r="JM62" s="15">
        <f>IF(ISNA(VLOOKUP($A62,'Données projet'!$A$356:$I$376,3,0)),0,VLOOKUP($A62,'Données projet'!$A$356:$I$376,3,0))</f>
        <v>0</v>
      </c>
      <c r="JN62" s="15">
        <f>IF(ISNA(VLOOKUP($A62,'Données projet'!$A$356:$I$376,4,0)),0,VLOOKUP($A62,'Données projet'!$A$356:$I$376,4,0))</f>
        <v>0</v>
      </c>
      <c r="JO62" s="16">
        <f>IF(ISNA(VLOOKUP($A62,'Données projet'!$A$356:$I$376,5,0)),0%,VLOOKUP($A62,'Données projet'!$A$356:$I$376,5,0)*VLOOKUP('Données projet'!$B$21,Paramètres!$A$1:$I$89,7,0))</f>
        <v>0</v>
      </c>
      <c r="JP62" s="16">
        <f>IF(ISNA(VLOOKUP($A62,'Données projet'!$A$356:$I$376,6,0)),0%,VLOOKUP($A62,'Données projet'!$A$356:$I$376,6,0)*VLOOKUP('Données projet'!$B$21,Paramètres!$A$1:$I$89,7,0))</f>
        <v>0</v>
      </c>
      <c r="JQ62" s="16">
        <f>IF(ISNA(VLOOKUP($A62,'Données projet'!$A$356:$I$376,7,0)),0%,VLOOKUP($A62,'Données projet'!$A$356:$I$376,7,0))</f>
        <v>0</v>
      </c>
      <c r="JR62" s="21">
        <f>EXP(-LN(2)/35)*JR61+(1-EXP(-LN(2)/35))/(LN(2)/35)*JN62*JO62*VLOOKUP('Données projet'!$B$21,Paramètres!$A$1:$I$89,3,0)*0.475*44/12</f>
        <v>0</v>
      </c>
      <c r="JS62" s="21">
        <f>EXP(-LN(2)/25)*JS61+(1-EXP(-LN(2)/25))/(LN(2)/25)*Calculateur!JN62*Calculateur!JP62*VLOOKUP('Données projet'!$B$21,Paramètres!$A$1:$I$89,3,0)*0.475*44/12</f>
        <v>5.6429619908078639</v>
      </c>
      <c r="JT62" s="21">
        <f>EXP(-LN(2)/2)*JT61+(1-EXP(-LN(2)/2))/(LN(2)/2)*JN62*JQ62*VLOOKUP('Données projet'!$B$21,Paramètres!$A$1:$I$89,3,0)*0.475*44/12</f>
        <v>1.9524081849535802</v>
      </c>
      <c r="JU62" s="18">
        <f t="shared" si="39"/>
        <v>7.5953701757614436</v>
      </c>
      <c r="JV62" s="74">
        <f>('Scénario référence'!$F$8+'Scénario référence'!$F$9+'Scénario référence'!$B$17+'Scénario référence'!$B$9+'Scénario référence'!$B$10)*70+IF((45+25*(1-EXP(-0.0175*$A62)))&lt;70,'Scénario référence'!$B$16*(45+25*(1-EXP(-0.0175*$A62))),70*'Scénario référence'!$B$16)+IF((32+38*(1-EXP(-0.0175*$A62)))&lt;70,'Scénario référence'!$B$18*(32+38*(1-EXP(-0.0175*$A62))),70*'Scénario référence'!$B$18)</f>
        <v>70</v>
      </c>
      <c r="JW62" s="12">
        <f>IF($A62&gt;30,10,('Scénario référence'!$B$16+'Scénario référence'!$B$17+'Scénario référence'!$B$18+'Scénario référence'!$B$9+'Scénario référence'!$B$10)*$A62*10/30+('Scénario référence'!$F$8+'Scénario référence'!$F$9)*10)</f>
        <v>10</v>
      </c>
      <c r="JX62" s="12" t="e">
        <f>VLOOKUP($A62,'Données projet'!$A$382:$I$402,2,0)</f>
        <v>#N/A</v>
      </c>
      <c r="JY62" s="12" t="e">
        <f>VLOOKUP($A62,'Données projet'!$A$382:$I$402,9,0)</f>
        <v>#N/A</v>
      </c>
      <c r="JZ62" s="12">
        <f t="array" ref="JZ62">INDEX(JY:JY,MIN(IF(ISNUMBER(JY62:JY258),ROW(JY62:JY258),"")))</f>
        <v>8.374198717948719</v>
      </c>
      <c r="KA62" s="12">
        <f>IF('Données projet'!$A$382&gt;35,KA61+JZ62-KI61,IF($A62&lt;'Données projet'!$A$382,$CQ$205^$A62,IF($A62='Données projet'!$A$382,'Données projet'!$B$382,KA61+JZ62-KI61)))</f>
        <v>186.79166666666669</v>
      </c>
      <c r="KB62" s="17">
        <f>KA62*VLOOKUP('Données projet'!$B$22,Paramètres!$A$1:$I$89,3,0)*VLOOKUP('Données projet'!$B$22,Paramètres!$A$1:$I$89,5,0)</f>
        <v>125.29985000000002</v>
      </c>
      <c r="KC62" s="13">
        <f t="shared" si="94"/>
        <v>32.907975993227389</v>
      </c>
      <c r="KD62" s="20">
        <f t="shared" si="95"/>
        <v>275.54529693820439</v>
      </c>
      <c r="KE62" s="59">
        <f t="shared" si="96"/>
        <v>568.87863027153776</v>
      </c>
      <c r="KF62" s="59">
        <f ca="1">AVERAGE(OFFSET($KE$3,0,0,'Données projet'!$E$22+1,1))-AVERAGE(OFFSET($H$3,0,0,'Données projet'!$E$22+1,1))</f>
        <v>193.91714772848269</v>
      </c>
      <c r="KG62" s="59">
        <f t="shared" si="97"/>
        <v>159.20429420478047</v>
      </c>
      <c r="KH62" s="15">
        <f>IF(ISNA(VLOOKUP($A62,'Données projet'!$A$382:$I$402,3,0)),0,VLOOKUP($A62,'Données projet'!$A$382:$I$402,3,0))</f>
        <v>0</v>
      </c>
      <c r="KI62" s="15">
        <f>IF(ISNA(VLOOKUP($A62,'Données projet'!$A$382:$I$402,4,0)),0,VLOOKUP($A62,'Données projet'!$A$382:$I$402,4,0))</f>
        <v>0</v>
      </c>
      <c r="KJ62" s="16">
        <f>IF(ISNA(VLOOKUP($A62,'Données projet'!$A$382:$I$402,5,0)),0%,VLOOKUP($A62,'Données projet'!$A$382:$I$402,5,0)*VLOOKUP('Données projet'!$B$22,Paramètres!$A$1:$I$89,7,0))</f>
        <v>0</v>
      </c>
      <c r="KK62" s="16">
        <f>IF(ISNA(VLOOKUP($A62,'Données projet'!$A$382:$I$402,6,0)),0%,VLOOKUP($A62,'Données projet'!$A$382:$I$402,6,0)*VLOOKUP('Données projet'!$B$22,Paramètres!$A$1:$I$89,7,0))</f>
        <v>0</v>
      </c>
      <c r="KL62" s="16">
        <f>IF(ISNA(VLOOKUP($A62,'Données projet'!$A$382:$I$402,7,0)),0%,VLOOKUP($A62,'Données projet'!$A$382:$I$402,7,0))</f>
        <v>0</v>
      </c>
      <c r="KM62" s="21">
        <f>EXP(-LN(2)/35)*KM61+(1-EXP(-LN(2)/35))/(LN(2)/35)*KI62*KJ62*VLOOKUP('Données projet'!$B$22,Paramètres!$A$1:$I$89,3,0)*0.475*44/12</f>
        <v>0</v>
      </c>
      <c r="KN62" s="21">
        <f>EXP(-LN(2)/25)*KN61+(1-EXP(-LN(2)/25))/(LN(2)/25)*Calculateur!KI62*Calculateur!KK62*VLOOKUP('Données projet'!$B$22,Paramètres!$A$1:$I$89,3,0)*0.475*44/12</f>
        <v>0</v>
      </c>
      <c r="KO62" s="21">
        <f>EXP(-LN(2)/2)*KO61+(1-EXP(-LN(2)/2))/(LN(2)/2)*KI62*KL62*VLOOKUP('Données projet'!$B$22,Paramètres!$A$1:$I$89,3,0)*0.475*44/12</f>
        <v>0</v>
      </c>
      <c r="KP62" s="22">
        <f t="shared" si="98"/>
        <v>0</v>
      </c>
      <c r="KQ62" s="74">
        <f>('Scénario référence'!$F$8+'Scénario référence'!$F$9+'Scénario référence'!$B$17+'Scénario référence'!$B$9+'Scénario référence'!$B$10)*70+IF((45+25*(1-EXP(-0.0175*$A62)))&lt;70,'Scénario référence'!$B$16*(45+25*(1-EXP(-0.0175*$A62))),70*'Scénario référence'!$B$16)+IF((32+38*(1-EXP(-0.0175*$A62)))&lt;70,'Scénario référence'!$B$18*(32+38*(1-EXP(-0.0175*$A62))),70*'Scénario référence'!$B$18)</f>
        <v>70</v>
      </c>
      <c r="KR62" s="12">
        <f>IF($A62&gt;30,10,('Scénario référence'!$B$16+'Scénario référence'!$B$17+'Scénario référence'!$B$18+'Scénario référence'!$B$9+'Scénario référence'!$B$10)*$A62*10/30+('Scénario référence'!$F$8+'Scénario référence'!$F$9)*10)</f>
        <v>10</v>
      </c>
      <c r="KS62" s="12" t="e">
        <f>VLOOKUP($A62,'Données projet'!$A$408:$I$428,2,0)</f>
        <v>#N/A</v>
      </c>
      <c r="KT62" s="12" t="e">
        <f>VLOOKUP($A62,'Données projet'!$A$408:$I$428,9,0)</f>
        <v>#N/A</v>
      </c>
      <c r="KU62" s="12">
        <f t="array" ref="KU62">INDEX(KT:KT,MIN(IF(ISNUMBER(KT62:KT258),ROW(KT62:KT258),"")))</f>
        <v>5.2</v>
      </c>
      <c r="KV62" s="12">
        <f>IF('Données projet'!$A$408&gt;35,KV61+KU62-LD61,IF($A62&lt;'Données projet'!$A$408,$CQ$205^$A62,IF($A62='Données projet'!$A$408,'Données projet'!$B$408,KV61+KU62-LD61)))</f>
        <v>239.79999999999987</v>
      </c>
      <c r="KW62" s="17">
        <f>KV62*VLOOKUP('Données projet'!$B$23,Paramètres!$A$1:$I$89,3,0)*VLOOKUP('Données projet'!$B$23,Paramètres!$A$1:$I$89,5,0)</f>
        <v>209.48927999999989</v>
      </c>
      <c r="KX62" s="13">
        <f t="shared" si="99"/>
        <v>51.823964717594365</v>
      </c>
      <c r="KY62" s="14">
        <f t="shared" si="43"/>
        <v>455.12056788314334</v>
      </c>
      <c r="KZ62" s="59">
        <f t="shared" si="44"/>
        <v>748.45390121647665</v>
      </c>
      <c r="LA62" s="59">
        <f ca="1">AVERAGE(OFFSET($KZ$3,0,0,'Données projet'!$E$23+1,1))-AVERAGE(OFFSET($H$3,0,0,'Données projet'!$E$23+1,1))</f>
        <v>248.33596943633819</v>
      </c>
      <c r="LB62" s="59">
        <f t="shared" si="100"/>
        <v>242.34010522344573</v>
      </c>
      <c r="LC62" s="15">
        <f>IF(ISNA(VLOOKUP($A62,'Données projet'!$A$408:$I$428,3,0)),0,VLOOKUP($A62,'Données projet'!$A$408:$I$428,3,0))</f>
        <v>0</v>
      </c>
      <c r="LD62" s="15">
        <f>IF(ISNA(VLOOKUP($A62,'Données projet'!$A$408:$I$428,4,0)),0,VLOOKUP($A62,'Données projet'!$A$408:$I$428,4,0))</f>
        <v>0</v>
      </c>
      <c r="LE62" s="16">
        <f>IF(ISNA(VLOOKUP($A62,'Données projet'!$A$408:$I$428,5,0)),0%,VLOOKUP($A62,'Données projet'!$A$408:$I$428,5,0)*VLOOKUP('Données projet'!$B$23,Paramètres!$A$1:$I$89,7,0))</f>
        <v>0</v>
      </c>
      <c r="LF62" s="16">
        <f>IF(ISNA(VLOOKUP($A62,'Données projet'!$A$408:$I$428,6,0)),0%,VLOOKUP($A62,'Données projet'!$A$408:$I$428,6,0)*VLOOKUP('Données projet'!$B$23,Paramètres!$A$1:$I$89,7,0))</f>
        <v>0</v>
      </c>
      <c r="LG62" s="16">
        <f>IF(ISNA(VLOOKUP($A62,'Données projet'!$A$408:$I$428,7,0)),0%,VLOOKUP($A62,'Données projet'!$A$408:$I$428,7,0))</f>
        <v>0</v>
      </c>
      <c r="LH62" s="21">
        <f>EXP(-LN(2)/35)*LH61+(1-EXP(-LN(2)/35))/(LN(2)/35)*LD62*LE62*VLOOKUP('Données projet'!$B$23,Paramètres!$A$1:$I$89,3,0)*0.475*44/12</f>
        <v>16.79498090934873</v>
      </c>
      <c r="LI62" s="21">
        <f>EXP(-LN(2)/25)*LI61+(1-EXP(-LN(2)/25))/(LN(2)/25)*Calculateur!LD62*Calculateur!LF62*VLOOKUP('Données projet'!$B$23,Paramètres!$A$1:$I$89,3,0)*0.475*44/12</f>
        <v>10.420856982840109</v>
      </c>
      <c r="LJ62" s="21">
        <f>EXP(-LN(2)/2)*LJ61+(1-EXP(-LN(2)/2))/(LN(2)/2)*LD62*LG62*VLOOKUP('Données projet'!$B$23,Paramètres!$A$1:$I$89,3,0)*0.475*44/12</f>
        <v>0</v>
      </c>
      <c r="LK62" s="22">
        <f t="shared" si="101"/>
        <v>27.215837892188837</v>
      </c>
      <c r="LL62" s="74">
        <f>('Scénario référence'!$F$8+'Scénario référence'!$F$9+'Scénario référence'!$B$17+'Scénario référence'!$B$9+'Scénario référence'!$B$10)*70+IF((45+25*(1-EXP(-0.0175*$A62)))&lt;70,'Scénario référence'!$B$16*(45+25*(1-EXP(-0.0175*$A62))),70*'Scénario référence'!$B$16)+IF((32+38*(1-EXP(-0.0175*$A62)))&lt;70,'Scénario référence'!$B$18*(32+38*(1-EXP(-0.0175*$A62))),70*'Scénario référence'!$B$18)</f>
        <v>70</v>
      </c>
      <c r="LM62" s="12">
        <f>IF($A62&gt;30,10,('Scénario référence'!$B$16+'Scénario référence'!$B$17+'Scénario référence'!$B$18+'Scénario référence'!$B$9+'Scénario référence'!$B$10)*$A62*10/30+('Scénario référence'!$F$8+'Scénario référence'!$F$9)*10)</f>
        <v>10</v>
      </c>
      <c r="LN62" s="12">
        <f>VLOOKUP($A62,'Données projet'!$A$434:$I$454,2,0)</f>
        <v>159.25641025641025</v>
      </c>
      <c r="LO62" s="12">
        <f>VLOOKUP($A62,'Données projet'!$A$434:$I$454,9,0)</f>
        <v>6.3942307692307701</v>
      </c>
      <c r="LP62" s="12">
        <f t="array" ref="LP62">INDEX(LO:LO,MIN(IF(ISNUMBER(LO62:LO258),ROW(LO62:LO258),"")))</f>
        <v>6.3942307692307701</v>
      </c>
      <c r="LQ62" s="12">
        <f>IF('Données projet'!$A$434&gt;35,LQ61+LP62-LY61,IF($A62&lt;'Données projet'!$A$434,$CQ$205^$A62,IF($A62='Données projet'!$A$434,'Données projet'!$B$434,LQ61+LP62-LY61)))</f>
        <v>159.25641025641025</v>
      </c>
      <c r="LR62" s="17">
        <f>LQ62*VLOOKUP('Données projet'!$B$24,Paramètres!$A$1:$I$89,3,0)*VLOOKUP('Données projet'!$B$24,Paramètres!$A$1:$I$89,5,0)</f>
        <v>161.48599999999999</v>
      </c>
      <c r="LS62" s="13">
        <f t="shared" si="102"/>
        <v>41.177506306658742</v>
      </c>
      <c r="LT62" s="14">
        <f t="shared" si="46"/>
        <v>352.97227348409729</v>
      </c>
      <c r="LU62" s="59">
        <f t="shared" si="103"/>
        <v>646.30560681743054</v>
      </c>
      <c r="LV62" s="59">
        <f ca="1">AVERAGE(OFFSET($LU$3,0,0,'Données projet'!$E$24+1,1))-AVERAGE(OFFSET($H$3,0,0,'Données projet'!$E$24+1,1))</f>
        <v>260.52627655062872</v>
      </c>
      <c r="LW62" s="59">
        <f t="shared" si="104"/>
        <v>159.20429420478047</v>
      </c>
      <c r="LX62" s="15">
        <f>IF(ISNA(VLOOKUP($A62,'Données projet'!$A$434:$I$454,3,0)),0,VLOOKUP($A62,'Données projet'!$A$434:$I$454,3,0))</f>
        <v>3</v>
      </c>
      <c r="LY62" s="15">
        <f>IF(ISNA(VLOOKUP($A62,'Données projet'!$A$434:$I$454,4,0)),0,VLOOKUP($A62,'Données projet'!$A$434:$I$454,4,0))</f>
        <v>38.942307692307693</v>
      </c>
      <c r="LZ62" s="16">
        <f>IF(ISNA(VLOOKUP($A62,'Données projet'!$A$434:$I$454,5,0)),0%,VLOOKUP($A62,'Données projet'!$A$434:$I$454,5,0)*VLOOKUP('Données projet'!$B$24,Paramètres!$A$1:$I$89,7,0))</f>
        <v>0</v>
      </c>
      <c r="MA62" s="16">
        <f>IF(ISNA(VLOOKUP($A62,'Données projet'!$A$434:$I$454,6,0)),0%,VLOOKUP($A62,'Données projet'!$A$434:$I$454,6,0)*VLOOKUP('Données projet'!$B$24,Paramètres!$A$1:$I$89,7,0))</f>
        <v>0</v>
      </c>
      <c r="MB62" s="16">
        <f>IF(ISNA(VLOOKUP($A62,'Données projet'!$A$434:$I$454,7,0)),0%,VLOOKUP($A62,'Données projet'!$A$434:$I$454,7,0))</f>
        <v>0</v>
      </c>
      <c r="MC62" s="21">
        <f>EXP(-LN(2)/35)*MC61+(1-EXP(-LN(2)/35))/(LN(2)/35)*LY62*LZ62*VLOOKUP('Données projet'!$B$24,Paramètres!$A$1:$I$89,3,0)*0.475*44/12</f>
        <v>0</v>
      </c>
      <c r="MD62" s="21">
        <f>EXP(-LN(2)/25)*MD61+(1-EXP(-LN(2)/25))/(LN(2)/25)*Calculateur!LY62*Calculateur!MA62*VLOOKUP('Données projet'!$B$24,Paramètres!$A$1:$I$89,3,0)*0.475*44/12</f>
        <v>0</v>
      </c>
      <c r="ME62" s="21">
        <f>EXP(-LN(2)/2)*ME61+(1-EXP(-LN(2)/2))/(LN(2)/2)*LY62*MB62*VLOOKUP('Données projet'!$B$24,Paramètres!$A$1:$I$89,3,0)*0.475*44/12</f>
        <v>0</v>
      </c>
      <c r="MF62" s="22">
        <f t="shared" si="105"/>
        <v>0</v>
      </c>
      <c r="MG62" s="74">
        <f>('Scénario référence'!$F$8+'Scénario référence'!$F$9+'Scénario référence'!$B$17+'Scénario référence'!$B$9+'Scénario référence'!$B$10)*70+IF((45+25*(1-EXP(-0.0175*$A62)))&lt;70,'Scénario référence'!$B$16*(45+25*(1-EXP(-0.0175*$A62))),70*'Scénario référence'!$B$16)+IF((32+38*(1-EXP(-0.0175*$A62)))&lt;70,'Scénario référence'!$B$18*(32+38*(1-EXP(-0.0175*$A62))),70*'Scénario référence'!$B$18)</f>
        <v>70</v>
      </c>
      <c r="MH62" s="12">
        <f>IF($A62&gt;30,10,('Scénario référence'!$B$16+'Scénario référence'!$B$17+'Scénario référence'!$B$18+'Scénario référence'!$B$9+'Scénario référence'!$B$10)*$A62*10/30+('Scénario référence'!$F$8+'Scénario référence'!$F$9)*10)</f>
        <v>10</v>
      </c>
      <c r="MI62" s="12" t="e">
        <f>VLOOKUP($A62,'Données projet'!$A$460:$I$480,2,0)</f>
        <v>#N/A</v>
      </c>
      <c r="MJ62" s="12" t="e">
        <f>VLOOKUP($A62,'Données projet'!$A$460:$I$480,9,0)</f>
        <v>#N/A</v>
      </c>
      <c r="MK62" s="12">
        <f t="array" ref="MK62">INDEX(MJ:MJ,MIN(IF(ISNUMBER(MJ62:MJ258),ROW(MJ62:MJ258),"")))</f>
        <v>0</v>
      </c>
      <c r="ML62" s="12">
        <f>IF('Données projet'!$A$460&gt;35,ML61+MK62-MT61,IF($A62&lt;'Données projet'!$A$460,$CQ$205^$A62,IF($A62='Données projet'!$A$460,'Données projet'!$B$460,ML61+MK62-MT61)))</f>
        <v>0</v>
      </c>
      <c r="MM62" s="17" t="e">
        <f>ML62*VLOOKUP('Données projet'!$B$25,Paramètres!$A$1:$I$89,3,0)*VLOOKUP('Données projet'!$B$25,Paramètres!$A$1:$I$89,5,0)</f>
        <v>#N/A</v>
      </c>
      <c r="MN62" s="13" t="e">
        <f t="shared" si="106"/>
        <v>#N/A</v>
      </c>
      <c r="MO62" s="14" t="e">
        <f t="shared" si="49"/>
        <v>#N/A</v>
      </c>
      <c r="MP62" s="59" t="e">
        <f t="shared" si="50"/>
        <v>#N/A</v>
      </c>
      <c r="MQ62" s="20" t="e">
        <f ca="1">AVERAGE(OFFSET($MP$3,0,0,'Données projet'!$E$25+1,1))-AVERAGE(OFFSET($H$3,0,0,'Données projet'!$E$25+1,1))</f>
        <v>#N/A</v>
      </c>
      <c r="MR62" s="59" t="e">
        <f t="shared" si="107"/>
        <v>#N/A</v>
      </c>
      <c r="MS62" s="15">
        <f>IF(ISNA(VLOOKUP($A62,'Données projet'!$A$460:$I$480,3,0)),0,VLOOKUP($A62,'Données projet'!$A$460:$I$480,3,0))</f>
        <v>0</v>
      </c>
      <c r="MT62" s="15">
        <f>IF(ISNA(VLOOKUP($A62,'Données projet'!$A$460:$I$480,4,0)),0,VLOOKUP($A62,'Données projet'!$A$460:$I$480,4,0))</f>
        <v>0</v>
      </c>
      <c r="MU62" s="16">
        <f>IF(ISNA(VLOOKUP($A62,'Données projet'!$A$460:$I$480,5,0)),0%,VLOOKUP($A62,'Données projet'!$A$460:$I$480,5,0)*VLOOKUP('Données projet'!$B$25,Paramètres!$A$1:$I$89,7,0))</f>
        <v>0</v>
      </c>
      <c r="MV62" s="16">
        <f>IF(ISNA(VLOOKUP($A62,'Données projet'!$A$460:$I$480,6,0)),0%,VLOOKUP($A62,'Données projet'!$A$460:$I$480,6,0)*VLOOKUP('Données projet'!$B$25,Paramètres!$A$1:$I$89,7,0))</f>
        <v>0</v>
      </c>
      <c r="MW62" s="16">
        <f>IF(ISNA(VLOOKUP($A62,'Données projet'!$A$460:$I$480,7,0)),0%,VLOOKUP($A62,'Données projet'!$A$460:$I$480,7,0))</f>
        <v>0</v>
      </c>
      <c r="MX62" s="21" t="e">
        <f>EXP(-LN(2)/35)*MX61+(1-EXP(-LN(2)/35))/(LN(2)/35)*MT62*MU62*VLOOKUP('Données projet'!$B$25,Paramètres!$A$1:$I$89,3,0)*0.475*44/12</f>
        <v>#N/A</v>
      </c>
      <c r="MY62" s="21" t="e">
        <f>EXP(-LN(2)/25)*MY61+(1-EXP(-LN(2)/25))/(LN(2)/25)*Calculateur!MT62*Calculateur!MV62*VLOOKUP('Données projet'!$B$25,Paramètres!$A$1:$I$89,3,0)*0.475*44/12</f>
        <v>#N/A</v>
      </c>
      <c r="MZ62" s="21" t="e">
        <f>EXP(-LN(2)/2)*MZ61+(1-EXP(-LN(2)/2))/(LN(2)/2)*MT62*MW62*VLOOKUP('Données projet'!$B$25,Paramètres!$A$1:$I$89,3,0)*0.475*44/12</f>
        <v>#N/A</v>
      </c>
      <c r="NA62" s="22" t="e">
        <f t="shared" si="108"/>
        <v>#N/A</v>
      </c>
      <c r="NB62" s="74">
        <f>('Scénario référence'!$F$8+'Scénario référence'!$F$9+'Scénario référence'!$B$17+'Scénario référence'!$B$9+'Scénario référence'!$B$10)*70+IF((45+25*(1-EXP(-0.0175*$A62)))&lt;70,'Scénario référence'!$B$16*(45+25*(1-EXP(-0.0175*$A62))),70*'Scénario référence'!$B$16)+IF((32+38*(1-EXP(-0.0175*$A62)))&lt;70,'Scénario référence'!$B$18*(32+38*(1-EXP(-0.0175*$A62))),70*'Scénario référence'!$B$18)</f>
        <v>70</v>
      </c>
      <c r="NC62" s="12">
        <f>IF($A62&gt;30,10,('Scénario référence'!$B$16+'Scénario référence'!$B$17+'Scénario référence'!$B$18+'Scénario référence'!$B$9+'Scénario référence'!$B$10)*$A62*10/30+('Scénario référence'!$F$8+'Scénario référence'!$F$9)*10)</f>
        <v>10</v>
      </c>
      <c r="ND62" s="12" t="e">
        <f>VLOOKUP($A62,'Données projet'!$A$486:$I$506,2,0)</f>
        <v>#N/A</v>
      </c>
      <c r="NE62" s="12" t="e">
        <f>VLOOKUP($A62,'Données projet'!$A$486:$I$506,9,0)</f>
        <v>#N/A</v>
      </c>
      <c r="NF62" s="12">
        <f t="array" ref="NF62">INDEX(NE:NE,MIN(IF(ISNUMBER(NE62:NE258),ROW(NE62:NE258),"")))</f>
        <v>0</v>
      </c>
      <c r="NG62" s="12">
        <f>IF('Données projet'!$A$486&gt;35,NG61+NF62-NO61,IF($A62&lt;'Données projet'!$A$486,$CQ$205^$A62,IF($A62='Données projet'!$A$486,'Données projet'!$B$486,NG61+NF62-NO61)))</f>
        <v>0</v>
      </c>
      <c r="NH62" s="17" t="e">
        <f>NG62*VLOOKUP('Données projet'!$B$26,Paramètres!$A$1:$I$89,3,0)*VLOOKUP('Données projet'!$B$26,Paramètres!$A$1:$I$89,5,0)</f>
        <v>#N/A</v>
      </c>
      <c r="NI62" s="13" t="e">
        <f t="shared" si="109"/>
        <v>#N/A</v>
      </c>
      <c r="NJ62" s="14" t="e">
        <f t="shared" si="52"/>
        <v>#N/A</v>
      </c>
      <c r="NK62" s="59" t="e">
        <f t="shared" si="53"/>
        <v>#N/A</v>
      </c>
      <c r="NL62" s="20" t="e">
        <f ca="1">AVERAGE(OFFSET($NK$3,0,0,'Données projet'!$E$26+1,1))-AVERAGE(OFFSET($H$3,0,0,'Données projet'!$E$26+1,1))</f>
        <v>#N/A</v>
      </c>
      <c r="NM62" s="59" t="e">
        <f t="shared" si="110"/>
        <v>#N/A</v>
      </c>
      <c r="NN62" s="15">
        <f>IF(ISNA(VLOOKUP($A62,'Données projet'!$A$486:$I$506,3,0)),0,VLOOKUP($A62,'Données projet'!$A$486:$I$506,3,0))</f>
        <v>0</v>
      </c>
      <c r="NO62" s="15">
        <f>IF(ISNA(VLOOKUP($A62,'Données projet'!$A$486:$I$506,4,0)),0,VLOOKUP($A62,'Données projet'!$A$486:$I$506,4,0))</f>
        <v>0</v>
      </c>
      <c r="NP62" s="16">
        <f>IF(ISNA(VLOOKUP($A62,'Données projet'!$A$486:$I$506,5,0)),0%,VLOOKUP($A62,'Données projet'!$A$486:$I$506,5,0)*VLOOKUP('Données projet'!$B$26,Paramètres!$A$1:$I$89,7,0))</f>
        <v>0</v>
      </c>
      <c r="NQ62" s="16">
        <f>IF(ISNA(VLOOKUP($A62,'Données projet'!$A$486:$I$506,6,0)),0%,VLOOKUP($A62,'Données projet'!$A$486:$I$506,6,0)*VLOOKUP('Données projet'!$B$26,Paramètres!$A$1:$I$89,7,0))</f>
        <v>0</v>
      </c>
      <c r="NR62" s="16">
        <f>IF(ISNA(VLOOKUP($A62,'Données projet'!$A$486:$I$506,7,0)),0%,VLOOKUP($A62,'Données projet'!$A$486:$I$506,7,0))</f>
        <v>0</v>
      </c>
      <c r="NS62" s="21" t="e">
        <f>EXP(-LN(2)/35)*NS61+(1-EXP(-LN(2)/35))/(LN(2)/35)*NO62*NP62*VLOOKUP('Données projet'!$B$26,Paramètres!$A$1:$I$89,3,0)*0.475*44/12</f>
        <v>#N/A</v>
      </c>
      <c r="NT62" s="21" t="e">
        <f>EXP(-LN(2)/25)*NT61+(1-EXP(-LN(2)/25))/(LN(2)/25)*Calculateur!NO62*Calculateur!NQ62*VLOOKUP('Données projet'!$B$26,Paramètres!$A$1:$I$89,3,0)*0.475*44/12</f>
        <v>#N/A</v>
      </c>
      <c r="NU62" s="21" t="e">
        <f>EXP(-LN(2)/2)*NU61+(1-EXP(-LN(2)/2))/(LN(2)/2)*NO62*NR62*VLOOKUP('Données projet'!$B$26,Paramètres!$A$1:$I$89,3,0)*0.475*44/12</f>
        <v>#N/A</v>
      </c>
      <c r="NV62" s="22" t="e">
        <f t="shared" si="111"/>
        <v>#N/A</v>
      </c>
      <c r="NW62" s="74">
        <f>('Scénario référence'!$F$8+'Scénario référence'!$F$9+'Scénario référence'!$B$17+'Scénario référence'!$B$9+'Scénario référence'!$B$10)*70+IF((45+25*(1-EXP(-0.0175*$A62)))&lt;70,'Scénario référence'!$B$16*(45+25*(1-EXP(-0.0175*$A62))),70*'Scénario référence'!$B$16)+IF((32+38*(1-EXP(-0.0175*$A62)))&lt;70,'Scénario référence'!$B$18*(32+38*(1-EXP(-0.0175*$A62))),70*'Scénario référence'!$B$18)</f>
        <v>70</v>
      </c>
      <c r="NX62" s="12">
        <f>IF($A62&gt;30,10,('Scénario référence'!$B$16+'Scénario référence'!$B$17+'Scénario référence'!$B$18+'Scénario référence'!$B$9+'Scénario référence'!$B$10)*$A62*10/30+('Scénario référence'!$F$8+'Scénario référence'!$F$9)*10)</f>
        <v>10</v>
      </c>
      <c r="NY62" s="12" t="e">
        <f>VLOOKUP($A62,'Données projet'!$A$512:$I$532,2,0)</f>
        <v>#N/A</v>
      </c>
      <c r="NZ62" s="12" t="e">
        <f>VLOOKUP($A62,'Données projet'!$A$512:$I$532,9,0)</f>
        <v>#N/A</v>
      </c>
      <c r="OA62" s="12">
        <f t="array" ref="OA62">INDEX(NZ:NZ,MIN(IF(ISNUMBER(NZ62:NZ258),ROW(NZ62:NZ258),"")))</f>
        <v>0</v>
      </c>
      <c r="OB62" s="12">
        <f>IF('Données projet'!$A$512&gt;35,OB61+OA62-OJ61,IF($A62&lt;'Données projet'!$A$512,$CQ$205^$A62,IF($A62='Données projet'!$A$512,'Données projet'!$B$512,OB61+OA62-OJ61)))</f>
        <v>0</v>
      </c>
      <c r="OC62" s="17" t="e">
        <f>OB62*VLOOKUP('Données projet'!$B$27,Paramètres!$A$1:$I$89,3,0)*VLOOKUP('Données projet'!$B$27,Paramètres!$A$1:$I$89,5,0)</f>
        <v>#N/A</v>
      </c>
      <c r="OD62" s="13" t="e">
        <f t="shared" si="112"/>
        <v>#N/A</v>
      </c>
      <c r="OE62" s="14" t="e">
        <f t="shared" si="55"/>
        <v>#N/A</v>
      </c>
      <c r="OF62" s="59" t="e">
        <f t="shared" si="56"/>
        <v>#N/A</v>
      </c>
      <c r="OG62" s="20" t="e">
        <f ca="1">AVERAGE(OFFSET($OF$3,0,0,'Données projet'!$E$27+1,1))-AVERAGE(OFFSET($H$3,0,0,'Données projet'!$E$27+1,1))</f>
        <v>#N/A</v>
      </c>
      <c r="OH62" s="59" t="e">
        <f t="shared" si="113"/>
        <v>#N/A</v>
      </c>
      <c r="OI62" s="15">
        <f>IF(ISNA(VLOOKUP($A62,'Données projet'!$A$512:$I$532,3,0)),0,VLOOKUP($A62,'Données projet'!$A$512:$I$532,3,0))</f>
        <v>0</v>
      </c>
      <c r="OJ62" s="15">
        <f>IF(ISNA(VLOOKUP($A62,'Données projet'!$A$512:$I$532,4,0)),0,VLOOKUP($A62,'Données projet'!$A$512:$I$532,4,0))</f>
        <v>0</v>
      </c>
      <c r="OK62" s="16">
        <f>IF(ISNA(VLOOKUP($A62,'Données projet'!$A$512:$I$532,5,0)),0%,VLOOKUP($A62,'Données projet'!$A$512:$I$532,5,0)*VLOOKUP('Données projet'!$B$27,Paramètres!$A$1:$I$89,7,0))</f>
        <v>0</v>
      </c>
      <c r="OL62" s="16">
        <f>IF(ISNA(VLOOKUP($A62,'Données projet'!$A$512:$I$532,6,0)),0%,VLOOKUP($A62,'Données projet'!$A$512:$I$532,6,0)*VLOOKUP('Données projet'!$B$27,Paramètres!$A$1:$I$89,7,0))</f>
        <v>0</v>
      </c>
      <c r="OM62" s="16">
        <f>IF(ISNA(VLOOKUP($A62,'Données projet'!$A$512:$I$532,7,0)),0%,VLOOKUP($A62,'Données projet'!$A$512:$I$532,7,0))</f>
        <v>0</v>
      </c>
      <c r="ON62" s="21" t="e">
        <f>EXP(-LN(2)/35)*ON61+(1-EXP(-LN(2)/35))/(LN(2)/35)*OJ62*OK62*VLOOKUP('Données projet'!$B$27,Paramètres!$A$1:$I$89,3,0)*0.475*44/12</f>
        <v>#N/A</v>
      </c>
      <c r="OO62" s="21" t="e">
        <f>EXP(-LN(2)/25)*OO61+(1-EXP(-LN(2)/25))/(LN(2)/25)*Calculateur!OJ62*Calculateur!OL62*VLOOKUP('Données projet'!$B$27,Paramètres!$A$1:$I$89,3,0)*0.475*44/12</f>
        <v>#N/A</v>
      </c>
      <c r="OP62" s="21" t="e">
        <f>EXP(-LN(2)/2)*OP61+(1-EXP(-LN(2)/2))/(LN(2)/2)*OJ62*OM62*VLOOKUP('Données projet'!$B$27,Paramètres!$A$1:$I$89,3,0)*0.475*44/12</f>
        <v>#N/A</v>
      </c>
      <c r="OQ62" s="22" t="e">
        <f t="shared" si="114"/>
        <v>#N/A</v>
      </c>
      <c r="OR62" s="74">
        <f>('Scénario référence'!$F$8+'Scénario référence'!$F$9+'Scénario référence'!$B$17+'Scénario référence'!$B$9+'Scénario référence'!$B$10)*70+IF((45+25*(1-EXP(-0.0175*$A62)))&lt;70,'Scénario référence'!$B$16*(45+25*(1-EXP(-0.0175*$A62))),70*'Scénario référence'!$B$16)+IF((32+38*(1-EXP(-0.0175*$A62)))&lt;70,'Scénario référence'!$B$18*(32+38*(1-EXP(-0.0175*$A62))),70*'Scénario référence'!$B$18)</f>
        <v>70</v>
      </c>
      <c r="OS62" s="12">
        <f>IF($A62&gt;30,10,('Scénario référence'!$B$16+'Scénario référence'!$B$17+'Scénario référence'!$B$18+'Scénario référence'!$B$9+'Scénario référence'!$B$10)*$A62*10/30+('Scénario référence'!$F$8+'Scénario référence'!$F$9)*10)</f>
        <v>10</v>
      </c>
      <c r="OT62" s="12" t="e">
        <f>VLOOKUP($A62,'Données projet'!$A$538:$I$558,2,0)</f>
        <v>#N/A</v>
      </c>
      <c r="OU62" s="12" t="e">
        <f>VLOOKUP($A62,'Données projet'!$A$538:$I$558,9,0)</f>
        <v>#N/A</v>
      </c>
      <c r="OV62" s="12">
        <f t="array" ref="OV62">INDEX(OU:OU,MIN(IF(ISNUMBER(OU62:OU258),ROW(OU62:OU258),"")))</f>
        <v>0</v>
      </c>
      <c r="OW62" s="12">
        <f>IF('Données projet'!$A$538&gt;35,OW61+OV62-PE61,IF($A62&lt;'Données projet'!$A$538,$CQ$205^$A62,IF($A62='Données projet'!$A$538,'Données projet'!$B$538,OW61+OV62-PE61)))</f>
        <v>0</v>
      </c>
      <c r="OX62" s="17" t="e">
        <f>OW62*VLOOKUP('Données projet'!$B$28,Paramètres!$A$1:$I$89,3,0)*VLOOKUP('Données projet'!$B$28,Paramètres!$A$1:$I$89,5,0)</f>
        <v>#N/A</v>
      </c>
      <c r="OY62" s="13" t="e">
        <f t="shared" si="115"/>
        <v>#N/A</v>
      </c>
      <c r="OZ62" s="14" t="e">
        <f t="shared" si="58"/>
        <v>#N/A</v>
      </c>
      <c r="PA62" s="59" t="e">
        <f t="shared" si="59"/>
        <v>#N/A</v>
      </c>
      <c r="PB62" s="20" t="e">
        <f ca="1">AVERAGE(OFFSET($PA$3,0,0,'Données projet'!$E$28+1,1))-AVERAGE(OFFSET($H$3,0,0,'Données projet'!$E$28+1,1))</f>
        <v>#N/A</v>
      </c>
      <c r="PC62" s="59" t="e">
        <f t="shared" si="116"/>
        <v>#N/A</v>
      </c>
      <c r="PD62" s="15">
        <f>IF(ISNA(VLOOKUP($A62,'Données projet'!$A$538:$I$558,3,0)),0,VLOOKUP($A62,'Données projet'!$A$538:$I$558,3,0))</f>
        <v>0</v>
      </c>
      <c r="PE62" s="15">
        <f>IF(ISNA(VLOOKUP($A62,'Données projet'!$A$538:$I$558,4,0)),0,VLOOKUP($A62,'Données projet'!$A$538:$I$558,4,0))</f>
        <v>0</v>
      </c>
      <c r="PF62" s="16">
        <f>IF(ISNA(VLOOKUP($A62,'Données projet'!$A$538:$I$558,5,0)),0%,VLOOKUP($A62,'Données projet'!$A$538:$I$558,5,0)*VLOOKUP('Données projet'!$B$28,Paramètres!$A$1:$I$89,7,0))</f>
        <v>0</v>
      </c>
      <c r="PG62" s="16">
        <f>IF(ISNA(VLOOKUP($A62,'Données projet'!$A$538:$I$558,6,0)),0%,VLOOKUP($A62,'Données projet'!$A$538:$I$558,6,0)*VLOOKUP('Données projet'!$B$28,Paramètres!$A$1:$I$89,7,0))</f>
        <v>0</v>
      </c>
      <c r="PH62" s="16">
        <f>IF(ISNA(VLOOKUP($A62,'Données projet'!$A$538:$I$558,7,0)),0%,VLOOKUP($A62,'Données projet'!$A$538:$I$558,7,0))</f>
        <v>0</v>
      </c>
      <c r="PI62" s="21" t="e">
        <f>EXP(-LN(2)/35)*PI61+(1-EXP(-LN(2)/35))/(LN(2)/35)*PE62*PF62*VLOOKUP('Données projet'!$B$28,Paramètres!$A$1:$I$89,3,0)*0.475*44/12</f>
        <v>#N/A</v>
      </c>
      <c r="PJ62" s="21" t="e">
        <f>EXP(-LN(2)/25)*PJ61+(1-EXP(-LN(2)/25))/(LN(2)/25)*Calculateur!PE62*Calculateur!PG62*VLOOKUP('Données projet'!$B$28,Paramètres!$A$1:$I$89,3,0)*0.475*44/12</f>
        <v>#N/A</v>
      </c>
      <c r="PK62" s="21" t="e">
        <f>EXP(-LN(2)/2)*PK61+(1-EXP(-LN(2)/2))/(LN(2)/2)*PE62*PH62*VLOOKUP('Données projet'!$B$28,Paramètres!$A$1:$I$89,3,0)*0.475*44/12</f>
        <v>#N/A</v>
      </c>
      <c r="PL62" s="22" t="e">
        <f t="shared" si="117"/>
        <v>#N/A</v>
      </c>
    </row>
    <row r="63" spans="1:428" x14ac:dyDescent="0.35">
      <c r="A63" s="10">
        <f t="shared" si="6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6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projet'!$A$45:$I$65,2,0)</f>
        <v>#N/A</v>
      </c>
      <c r="L63" s="12" t="e">
        <f>VLOOKUP(A63,'Données projet'!$A$45:$I$65,9,0)</f>
        <v>#N/A</v>
      </c>
      <c r="M63" s="12">
        <f t="array" ref="M63">INDEX(L:L,MIN(IF(ISNUMBER(L63:L259),ROW(L63:L259),"")))</f>
        <v>0</v>
      </c>
      <c r="N63" s="13">
        <f>IF('Données projet'!$A$46&gt;35,N62+M63-V62,IF(A63&lt;'Données projet'!$A$46,$K$205^A63,IF(A63='Données projet'!$A$46,'Données projet'!$B$46,N62+M63-V62)))</f>
        <v>-1.1368683772161603E-13</v>
      </c>
      <c r="O63" s="13">
        <f>N63*VLOOKUP('Données projet'!$B$9,Paramètres!$A$1:$I$89,3,0)*VLOOKUP('Données projet'!$B$9,Paramètres!$A$1:$I$89,5,0)</f>
        <v>-6.3550942286383367E-14</v>
      </c>
      <c r="P63" s="13" t="e">
        <f t="shared" si="63"/>
        <v>#NUM!</v>
      </c>
      <c r="Q63" s="20" t="e">
        <f t="shared" si="118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274.57619581652199</v>
      </c>
      <c r="T63" s="59">
        <f t="shared" si="64"/>
        <v>366.15117322598775</v>
      </c>
      <c r="U63" s="15">
        <f>IF(ISNA(VLOOKUP(A63,'Données projet'!$A$45:$I$65,3,0)),0,VLOOKUP(A63,'Données projet'!$A$45:$I$65,3,0))</f>
        <v>0</v>
      </c>
      <c r="V63" s="15">
        <f>IF(ISNA(VLOOKUP(A63,'Données projet'!$A$45:$I$65,4,0)),0,VLOOKUP(A63,'Données projet'!$A$45:$I$65,4,0))</f>
        <v>0</v>
      </c>
      <c r="W63" s="16">
        <f>IF(ISNA(VLOOKUP(A63,'Données projet'!$A$45:$I$65,5,0)),0%,VLOOKUP(A63,'Données projet'!$A$45:$I$65,5,0)*VLOOKUP('Données projet'!$B$9,Paramètres!$A$1:$I$89,7,0))</f>
        <v>0</v>
      </c>
      <c r="X63" s="16">
        <f>IF(ISNA(VLOOKUP(A63,'Données projet'!$A$45:$I$65,6,0)),0%,VLOOKUP(A63,'Données projet'!$A$45:$I$65,6,0)*VLOOKUP('Données projet'!$B$9,Paramètres!$A$1:$I$89,7,0))</f>
        <v>0</v>
      </c>
      <c r="Y63" s="16">
        <f>IF(ISNA(VLOOKUP(A63,'Données projet'!$A$45:$I$65,7,0)),0%,VLOOKUP(A63,'Données projet'!$A$45:$I$65,7,0))</f>
        <v>0</v>
      </c>
      <c r="Z63" s="21">
        <f>EXP(-LN(2)/35)*Z62+(1-EXP(-LN(2)/35))/(LN(2)/35)*V63*W63*VLOOKUP('Données projet'!$B$9,Paramètres!$A$1:$I$89,3,0)*0.475*44/12</f>
        <v>205.28868280649928</v>
      </c>
      <c r="AA63" s="21">
        <f>EXP(-LN(2)/25)*AA62+(1-EXP(-LN(2)/25))/(LN(2)/25)*Calculateur!V63*Calculateur!X63*VLOOKUP('Données projet'!$B$9,Paramètres!$A$1:$I$89,3,0)*0.475*44/12</f>
        <v>50.150398612165304</v>
      </c>
      <c r="AB63" s="21">
        <f>EXP(-LN(2)/2)*AB62+(1-EXP(-LN(2)/2))/(LN(2)/2)*V63*Y63*VLOOKUP('Données projet'!$B$9,Paramètres!$A$1:$I$89,3,0)*0.475*44/12</f>
        <v>6.0389224288707712</v>
      </c>
      <c r="AC63" s="22">
        <f t="shared" si="3"/>
        <v>261.47800384753538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projet'!$A$71:$I$91,2,0)</f>
        <v>#N/A</v>
      </c>
      <c r="AG63" s="12" t="e">
        <f>VLOOKUP(A63,'Données projet'!$A$71:$I$91,9,0)</f>
        <v>#N/A</v>
      </c>
      <c r="AH63" s="12">
        <f t="array" ref="AH63">INDEX(AG:AG,MIN(IF(ISNUMBER(AG63:AG259),ROW(AG63:AG259),"")))</f>
        <v>8.374198717948719</v>
      </c>
      <c r="AI63" s="13">
        <f>IF('Données projet'!$A$72&gt;35,AI62+AH63-AQ62,IF(A63&lt;'Données projet'!$A$72,$AF$205^A63,IF(A63='Données projet'!$A$72,'Données projet'!$B$72,AI62+AH63-AQ62)))</f>
        <v>195.16586538461547</v>
      </c>
      <c r="AJ63" s="13">
        <f>AI63*VLOOKUP('Données projet'!$B$10,Paramètres!$A$1:$I$89,3,0)*VLOOKUP('Données projet'!$B$10,Paramètres!$A$1:$I$89,5,0)</f>
        <v>176.58607500000008</v>
      </c>
      <c r="AK63" s="13">
        <f t="shared" si="65"/>
        <v>44.561806372041367</v>
      </c>
      <c r="AL63" s="20">
        <f t="shared" si="4"/>
        <v>385.16589338963877</v>
      </c>
      <c r="AM63" s="59">
        <f t="shared" si="5"/>
        <v>678.49922672297203</v>
      </c>
      <c r="AN63" s="59">
        <f ca="1">AVERAGE(OFFSET($AM$3,0,0,'Données projet'!$E$10+1,1))-AVERAGE(OFFSET($H$3,0,0,'Données projet'!$E$10+1,1))</f>
        <v>270.87836509222456</v>
      </c>
      <c r="AO63" s="59">
        <f t="shared" si="66"/>
        <v>205.24998237949734</v>
      </c>
      <c r="AP63" s="15">
        <f>IF(ISNA(VLOOKUP(A63,'Données projet'!$A$71:$I$91,3,0)),0,VLOOKUP(A63,'Données projet'!$A$71:$I$91,3,0))</f>
        <v>0</v>
      </c>
      <c r="AQ63" s="15">
        <f>IF(ISNA(VLOOKUP(A63,'Données projet'!$A$71:$I$91,4,0)),0,VLOOKUP(A63,'Données projet'!$A$71:$I$91,4,0))</f>
        <v>0</v>
      </c>
      <c r="AR63" s="16">
        <f>IF(ISNA(VLOOKUP(A63,'Données projet'!$A$71:$I$91,5,0)),0%,VLOOKUP(A63,'Données projet'!$A$71:$I$91,5,0)*VLOOKUP('Données projet'!$B$10,Paramètres!$A$1:$I$89,7,0))</f>
        <v>0</v>
      </c>
      <c r="AS63" s="16">
        <f>IF(ISNA(VLOOKUP(A63,'Données projet'!$A$71:$I$91,6,0)),0%,VLOOKUP(A63,'Données projet'!$A$71:$I$91,6,0)*VLOOKUP('Données projet'!$B$10,Paramètres!$A$1:$I$89,7,0))</f>
        <v>0</v>
      </c>
      <c r="AT63" s="16">
        <f>IF(ISNA(VLOOKUP(A63,'Données projet'!$A$71:$I$91,7,0)),0%,VLOOKUP(A63,'Données projet'!$A$71:$I$91,7,0))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projet'!$A$97:$I$117,2,0)</f>
        <v>#N/A</v>
      </c>
      <c r="BB63" s="12" t="e">
        <f>VLOOKUP(A63,'Données projet'!$A$97:$I$117,9,0)</f>
        <v>#N/A</v>
      </c>
      <c r="BC63" s="12">
        <f t="array" ref="BC63">INDEX(BB:BB,MIN(IF(ISNUMBER(BB63:BB259),ROW(BB63:BB259),"")))</f>
        <v>0</v>
      </c>
      <c r="BD63" s="12">
        <f>IF('Données projet'!$A$98&gt;35,BD62+BC63-BL62,IF(A63&lt;'Données projet'!$A$98,$BA$205^A63,IF(A63='Données projet'!$A$98,'Données projet'!$B$98,BD62+BC63-BL62)))</f>
        <v>-1.1368683772161603E-13</v>
      </c>
      <c r="BE63" s="13">
        <f>BD63*VLOOKUP('Données projet'!$B$11,Paramètres!$A$1:$I$89,3,0)*VLOOKUP('Données projet'!$B$11,Paramètres!$A$1:$I$89,5,0)</f>
        <v>-5.0249582272954292E-14</v>
      </c>
      <c r="BF63" s="13" t="e">
        <f t="shared" si="6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211.31057120485542</v>
      </c>
      <c r="BJ63" s="59">
        <f t="shared" si="68"/>
        <v>283.33292006714777</v>
      </c>
      <c r="BK63" s="15">
        <f>IF(ISNA(VLOOKUP(A63,'Données projet'!$A$97:$I$117,3,0)),0,VLOOKUP(A63,'Données projet'!$A$97:$I$117,3,0))</f>
        <v>0</v>
      </c>
      <c r="BL63" s="15">
        <f>IF(ISNA(VLOOKUP(A63,'Données projet'!$A$97:$I$117,4,0)),0,VLOOKUP(A63,'Données projet'!$A$97:$I$117,4,0))</f>
        <v>0</v>
      </c>
      <c r="BM63" s="16">
        <f>IF(ISNA(VLOOKUP(A63,'Données projet'!$A$97:$I$117,5,0)),0%,VLOOKUP(A63,'Données projet'!$A$97:$I$117,5,0)*VLOOKUP('Données projet'!$B$11,Paramètres!$A$1:$I$89,7,0))</f>
        <v>0</v>
      </c>
      <c r="BN63" s="16">
        <f>IF(ISNA(VLOOKUP(A63,'Données projet'!$A$97:$I$117,6,0)),0%,VLOOKUP(A63,'Données projet'!$A$97:$I$117,6,0)*VLOOKUP('Données projet'!$B$11,Paramètres!$A$1:$I$89,7,0))</f>
        <v>0</v>
      </c>
      <c r="BO63" s="16">
        <f>IF(ISNA(VLOOKUP(A63,'Données projet'!$A$97:$I$117,7,0)),0%,VLOOKUP(A63,'Données projet'!$A$97:$I$117,7,0))</f>
        <v>0</v>
      </c>
      <c r="BP63" s="21">
        <f>EXP(-LN(2)/35)*BP62+(1-EXP(-LN(2)/35))/(LN(2)/35)*BL63*BM63*VLOOKUP('Données projet'!$B$11,Paramètres!$A$1:$I$89,3,0)*0.475*44/12</f>
        <v>162.32128407955759</v>
      </c>
      <c r="BQ63" s="21">
        <f>EXP(-LN(2)/25)*BQ62+(1-EXP(-LN(2)/25))/(LN(2)/25)*Calculateur!BL63*Calculateur!BN63*VLOOKUP('Données projet'!$B$11,Paramètres!$A$1:$I$89,3,0)*0.475*44/12</f>
        <v>39.653803553805126</v>
      </c>
      <c r="BR63" s="21">
        <f>EXP(-LN(2)/2)*BR62+(1-EXP(-LN(2)/2))/(LN(2)/2)*BL63*BO63*VLOOKUP('Données projet'!$B$11,Paramètres!$A$1:$I$89,3,0)*0.475*44/12</f>
        <v>4.77496192050247</v>
      </c>
      <c r="BS63" s="22">
        <f t="shared" si="9"/>
        <v>206.75004955386518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projet'!$A$123:$I$143,2,0)</f>
        <v>225</v>
      </c>
      <c r="BW63" s="12">
        <f>VLOOKUP(A63,'Données projet'!$A$123:$I$143,9,0)</f>
        <v>6</v>
      </c>
      <c r="BX63" s="12">
        <f t="array" ref="BX63">INDEX(BW:BW,MIN(IF(ISNUMBER(BW63:BW259),ROW(BW63:BW259),"")))</f>
        <v>6</v>
      </c>
      <c r="BY63" s="12">
        <f>IF('Données projet'!$A$124&gt;35,BY62+BX63-CG62,IF(A63&lt;'Données projet'!$A$124,$BV$205^A63,IF(A63='Données projet'!$A$124,'Données projet'!$B$124,BY62+BX63-CG62)))</f>
        <v>225.00000000000003</v>
      </c>
      <c r="BZ63" s="13">
        <f>BY63*VLOOKUP('Données projet'!$B$12,Paramètres!$A$1:$I$89,3,0)*VLOOKUP('Données projet'!$B$12,Paramètres!$A$1:$I$89,5,0)</f>
        <v>235.17000000000004</v>
      </c>
      <c r="CA63" s="13">
        <f t="shared" si="69"/>
        <v>57.399106052685539</v>
      </c>
      <c r="CB63" s="20">
        <f t="shared" si="10"/>
        <v>509.55785970842743</v>
      </c>
      <c r="CC63" s="59">
        <f t="shared" si="11"/>
        <v>802.89119304176074</v>
      </c>
      <c r="CD63" s="59">
        <f ca="1">AVERAGE(OFFSET($CC$3,0,0,'Données projet'!$E$12+1,1))-AVERAGE(OFFSET($H$3,0,0,'Données projet'!$E$12+1,1))</f>
        <v>322.93502595881938</v>
      </c>
      <c r="CE63" s="59">
        <f t="shared" si="70"/>
        <v>302.67072119588164</v>
      </c>
      <c r="CF63" s="15">
        <f>IF(ISNA(VLOOKUP(A63,'Données projet'!$A$123:$I$143,3,0)),0,VLOOKUP(A63,'Données projet'!$A$123:$I$143,3,0))</f>
        <v>9</v>
      </c>
      <c r="CG63" s="15" t="str">
        <f>IF(ISNA(VLOOKUP(A63,'Données projet'!$A$123:$I$143,4,0)),0,VLOOKUP(A63,'Données projet'!$A$123:$I$143,4,0))</f>
        <v>21</v>
      </c>
      <c r="CH63" s="16">
        <f>IF(ISNA(VLOOKUP(A63,'Données projet'!$A$123:$I$143,5,0)),0%,VLOOKUP(A63,'Données projet'!$A$123:$I$143,5,0)*VLOOKUP('Données projet'!$B$12,Paramètres!$A$1:$I$89,7,0))</f>
        <v>0.215</v>
      </c>
      <c r="CI63" s="16">
        <f>IF(ISNA(VLOOKUP(A63,'Données projet'!$A$123:$I$143,6,0)),0%,VLOOKUP(A63,'Données projet'!$A$123:$I$143,6,0)*VLOOKUP('Données projet'!$B$12,Paramètres!$A$1:$I$89,7,0))</f>
        <v>0.17200000000000001</v>
      </c>
      <c r="CJ63" s="16">
        <f>IF(ISNA(VLOOKUP(A63,'Données projet'!$A$123:$I$143,7,0)),0%,VLOOKUP(A63,'Données projet'!$A$123:$I$143,7,0))</f>
        <v>0</v>
      </c>
      <c r="CK63" s="21">
        <f>EXP(-LN(2)/35)*CK62+(1-EXP(-LN(2)/35))/(LN(2)/35)*CG63*CH63*VLOOKUP('Données projet'!$B$12,Paramètres!$A$1:$I$89,3,0)*0.475*44/12</f>
        <v>17.108646483781079</v>
      </c>
      <c r="CL63" s="21">
        <f>EXP(-LN(2)/25)*CL62+(1-EXP(-LN(2)/25))/(LN(2)/25)*Calculateur!CG63*Calculateur!CI63*VLOOKUP('Données projet'!$B$12,Paramètres!$A$1:$I$89,3,0)*0.475*44/12</f>
        <v>22.294263196843147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39.402909680624226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projet'!$A$149:$I$169,2,0)</f>
        <v>#N/A</v>
      </c>
      <c r="CR63" s="12" t="e">
        <f>VLOOKUP(A63,'Données projet'!$A$149:$I$169,9,0)</f>
        <v>#N/A</v>
      </c>
      <c r="CS63" s="12">
        <f t="array" ref="CS63">INDEX(CR:CR,MIN(IF(ISNUMBER(CR63:CR259),ROW(CR63:CR259),"")))</f>
        <v>5.9431089743589762</v>
      </c>
      <c r="CT63" s="12">
        <f>IF('Données projet'!$A$150&gt;35,CT62+CS63-DB62,IF(A63&lt;'Données projet'!$A$150,$CQ$205^A63,IF(A63='Données projet'!$A$150,'Données projet'!$B$150,CT62+CS63-DB62)))</f>
        <v>126.25721153846153</v>
      </c>
      <c r="CU63" s="17">
        <f>CT63*VLOOKUP('Données projet'!$B$13,Paramètres!$A$1:$I$89,3,0)*VLOOKUP('Données projet'!$B$13,Paramètres!$A$1:$I$89,5,0)</f>
        <v>128.0248125</v>
      </c>
      <c r="CV63" s="13">
        <f t="shared" si="71"/>
        <v>33.539545602958114</v>
      </c>
      <c r="CW63" s="20">
        <f t="shared" si="13"/>
        <v>281.39125702931875</v>
      </c>
      <c r="CX63" s="59">
        <f t="shared" si="14"/>
        <v>574.72459036265207</v>
      </c>
      <c r="CY63" s="59">
        <f ca="1">AVERAGE(OFFSET($CX$3,0,0,'Données projet'!$E$13+1,1))-AVERAGE(OFFSET($H$3,0,0,'Données projet'!$E$13+1,1))</f>
        <v>250.31277422753283</v>
      </c>
      <c r="CZ63" s="59">
        <f t="shared" si="72"/>
        <v>159.20429420478047</v>
      </c>
      <c r="DA63" s="15">
        <f>IF(ISNA(VLOOKUP(A63,'Données projet'!$A$149:$I$169,3,0)),0,VLOOKUP(A63,'Données projet'!$A$149:$I$169,3,0))</f>
        <v>0</v>
      </c>
      <c r="DB63" s="15">
        <f>IF(ISNA(VLOOKUP(A63,'Données projet'!$A$149:$I$169,4,0)),0,VLOOKUP(A63,'Données projet'!$A$149:$I$169,4,0))</f>
        <v>0</v>
      </c>
      <c r="DC63" s="16">
        <f>IF(ISNA(VLOOKUP(A63,'Données projet'!$A$149:$I$169,5,0)),0%,VLOOKUP(A63,'Données projet'!$A$149:$I$169,5,0)*VLOOKUP('Données projet'!$B$13,Paramètres!$A$1:$I$89,7,0))</f>
        <v>0</v>
      </c>
      <c r="DD63" s="16">
        <f>IF(ISNA(VLOOKUP(A63,'Données projet'!$A$149:$I$169,6,0)),0%,VLOOKUP(A63,'Données projet'!$A$149:$I$169,6,0)*VLOOKUP('Données projet'!$B$13,Paramètres!$A$1:$I$89,7,0))</f>
        <v>0</v>
      </c>
      <c r="DE63" s="16">
        <f>IF(ISNA(VLOOKUP(A63,'Données projet'!$A$149:$I$169,7,0)),0%,VLOOKUP(A63,'Données projet'!$A$149:$I$169,7,0))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0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projet'!$A$175:$I$195,2,0)</f>
        <v>343</v>
      </c>
      <c r="DM63" s="12">
        <f>VLOOKUP(A63,'Données projet'!$A$175:$I$195,9,0)</f>
        <v>7.4</v>
      </c>
      <c r="DN63" s="12">
        <f t="array" ref="DN63">INDEX(DM:DM,MIN(IF(ISNUMBER(DM63:DM259),ROW(DM63:DM259),"")))</f>
        <v>7.4</v>
      </c>
      <c r="DO63" s="12">
        <f>IF('Données projet'!$A$176&gt;35,DO62+DN63-DW62,IF(A63&lt;'Données projet'!$A$176,$DL$205^A63,IF(A63='Données projet'!$A$176,'Données projet'!$B$176,DO62+DN63-DW62)))</f>
        <v>342.99999999999972</v>
      </c>
      <c r="DP63" s="17">
        <f>DO63*VLOOKUP('Données projet'!$B$14,Paramètres!$A$1:$I$89,3,0)*VLOOKUP('Données projet'!$B$14,Paramètres!$A$1:$I$89,5,0)</f>
        <v>251.48759999999979</v>
      </c>
      <c r="DQ63" s="13">
        <f t="shared" si="73"/>
        <v>60.904377929400603</v>
      </c>
      <c r="DR63" s="20">
        <f t="shared" si="16"/>
        <v>544.08269489370571</v>
      </c>
      <c r="DS63" s="59">
        <f t="shared" si="17"/>
        <v>837.41602822703908</v>
      </c>
      <c r="DT63" s="59">
        <f ca="1">AVERAGE(OFFSET($DS$3,0,0,'Données projet'!$E$14+1,1))-AVERAGE(OFFSET($H$3,0,0,'Données projet'!$E$14+1,1))</f>
        <v>296.91321813251051</v>
      </c>
      <c r="DU63" s="59">
        <f t="shared" si="74"/>
        <v>291.0718079639509</v>
      </c>
      <c r="DV63" s="15">
        <f>IF(ISNA(VLOOKUP(A63,'Données projet'!$A$175:$I$195,3,0)),0,VLOOKUP(A63,'Données projet'!$A$175:$I$195,3,0))</f>
        <v>11</v>
      </c>
      <c r="DW63" s="15">
        <f>IF(ISNA(VLOOKUP(A63,'Données projet'!$A$175:$I$195,4,0)),0,VLOOKUP(A63,'Données projet'!$A$175:$I$195,4,0))</f>
        <v>17</v>
      </c>
      <c r="DX63" s="16">
        <f>IF(ISNA(VLOOKUP(A63,'Données projet'!$A$175:$I$195,5,0)),0%,VLOOKUP(A63,'Données projet'!$A$175:$I$195,5,0)*VLOOKUP('Données projet'!$B$14,Paramètres!$A$1:$I$89,7,0))</f>
        <v>0.40419999999999995</v>
      </c>
      <c r="DY63" s="16">
        <f>IF(ISNA(VLOOKUP(A63,'Données projet'!$A$175:$I$195,6,0)),0%,VLOOKUP(A63,'Données projet'!$A$175:$I$195,6,0)*VLOOKUP('Données projet'!$B$14,Paramètres!$A$1:$I$89,7,0))</f>
        <v>0</v>
      </c>
      <c r="DZ63" s="16">
        <f>IF(ISNA(VLOOKUP(A63,'Données projet'!$A$175:$I$195,7,0)),0%,VLOOKUP(A63,'Données projet'!$A$175:$I$195,7,0))</f>
        <v>0</v>
      </c>
      <c r="EA63" s="21">
        <f>EXP(-LN(2)/35)*EA62+(1-EXP(-LN(2)/35))/(LN(2)/35)*DW63*DX63*VLOOKUP('Données projet'!$B$14,Paramètres!$A$1:$I$89,3,0)*0.475*44/12</f>
        <v>42.612273135501908</v>
      </c>
      <c r="EB63" s="21">
        <f>EXP(-LN(2)/25)*EB62+(1-EXP(-LN(2)/25))/(LN(2)/25)*Calculateur!DW63*Calculateur!DY63*VLOOKUP('Données projet'!$B$14,Paramètres!$A$1:$I$89,3,0)*0.475*44/12</f>
        <v>7.9439049451219095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50.556178080623816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projet'!$A$201:$I$221,2,0)</f>
        <v>#N/A</v>
      </c>
      <c r="EH63" s="12" t="e">
        <f>VLOOKUP(A63,'Données projet'!$A$201:$I$221,9,0)</f>
        <v>#N/A</v>
      </c>
      <c r="EI63" s="12">
        <f t="array" ref="EI63">INDEX(EH:EH,MIN(IF(ISNUMBER(EH63:EH259),ROW(EH63:EH259),"")))</f>
        <v>10.763461538461542</v>
      </c>
      <c r="EJ63" s="12">
        <f>IF('Données projet'!$A$202&gt;35,EJ62+EI63-ER62,IF(A63&lt;'Données projet'!$A$202,$EG$205^A63,IF(A63='Données projet'!$A$202,'Données projet'!$B$202,EJ62+EI63-ER62)))</f>
        <v>318.40192307692314</v>
      </c>
      <c r="EK63" s="17">
        <f>EJ63*VLOOKUP('Données projet'!$B$15,Paramètres!$A$1:$I$89,3,0)*VLOOKUP('Données projet'!$B$15,Paramètres!$A$1:$I$89,5,0)</f>
        <v>149.01210000000003</v>
      </c>
      <c r="EL63" s="13">
        <f t="shared" si="75"/>
        <v>38.353995535783497</v>
      </c>
      <c r="EM63" s="20">
        <f t="shared" si="19"/>
        <v>326.32928305815631</v>
      </c>
      <c r="EN63" s="59">
        <f t="shared" si="20"/>
        <v>619.66261639148956</v>
      </c>
      <c r="EO63" s="59">
        <f ca="1">AVERAGE(OFFSET($EN$3,0,0,'Données projet'!$E$15+1,1))-AVERAGE(OFFSET($H$3,0,0,'Données projet'!$E$15+1,1))</f>
        <v>147.64256291235483</v>
      </c>
      <c r="EP63" s="59">
        <f t="shared" si="76"/>
        <v>70.859031694091868</v>
      </c>
      <c r="EQ63" s="15">
        <f>IF(ISNA(VLOOKUP(A63,'Données projet'!$A$201:$I$221,3,0)),0,VLOOKUP(A63,'Données projet'!$A$201:$I$221,3,0))</f>
        <v>0</v>
      </c>
      <c r="ER63" s="15">
        <f>IF(ISNA(VLOOKUP(A63,'Données projet'!$A$201:$I$221,4,0)),0,VLOOKUP(A63,'Données projet'!$A$201:$I$221,4,0))</f>
        <v>0</v>
      </c>
      <c r="ES63" s="16">
        <f>IF(ISNA(VLOOKUP(A63,'Données projet'!$A$201:$I$221,5,0)),0%,VLOOKUP(A63,'Données projet'!$A$201:$I$221,5,0)*VLOOKUP('Données projet'!$B$15,Paramètres!$A$1:$I$89,7,0))</f>
        <v>0</v>
      </c>
      <c r="ET63" s="16">
        <f>IF(ISNA(VLOOKUP(A63,'Données projet'!$A$201:$I$221,6,0)),0%,VLOOKUP(A63,'Données projet'!$A$201:$I$221,6,0)*VLOOKUP('Données projet'!$B$15,Paramètres!$A$1:$I$89,7,0))</f>
        <v>0</v>
      </c>
      <c r="EU63" s="16">
        <f>IF(ISNA(VLOOKUP(A63,'Données projet'!$A$201:$I$221,7,0)),0%,VLOOKUP(A63,'Données projet'!$A$201:$I$221,7,0))</f>
        <v>0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14.885896961139697</v>
      </c>
      <c r="EX63" s="21">
        <f>EXP(-LN(2)/2)*EX62+(1-EXP(-LN(2)/2))/(LN(2)/2)*ER63*EU63*VLOOKUP('Données projet'!$B$15,Paramètres!$A$1:$I$89,3,0)*0.475*44/12</f>
        <v>1.033554369512653</v>
      </c>
      <c r="EY63" s="22">
        <f t="shared" si="21"/>
        <v>15.91945133065235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projet'!$A$227:$I$247,2,0)</f>
        <v>189</v>
      </c>
      <c r="FC63" s="12">
        <f>VLOOKUP(A63,'Données projet'!$A$227:$I$247,9,0)</f>
        <v>5</v>
      </c>
      <c r="FD63" s="12">
        <f t="array" ref="FD63">INDEX(FC:FC,MIN(IF(ISNUMBER(FC63:FC259),ROW(FC63:FC259),"")))</f>
        <v>5</v>
      </c>
      <c r="FE63" s="12">
        <f>IF('Données projet'!$A$228&gt;35,FE62+FD63-FM62,IF(A63&lt;'Données projet'!$A$228,$FB$205^A63,IF(A63='Données projet'!$A$228,'Données projet'!$B$228,FE62+FD63-FM62)))</f>
        <v>188.99999999999997</v>
      </c>
      <c r="FF63" s="17">
        <f>FE63*VLOOKUP('Données projet'!$B$16,Paramètres!$A$1:$I$89,3,0)*VLOOKUP('Données projet'!$B$16,Paramètres!$A$1:$I$89,5,0)</f>
        <v>197.5428</v>
      </c>
      <c r="FG63" s="13">
        <f t="shared" si="77"/>
        <v>49.203761623019211</v>
      </c>
      <c r="FH63" s="20">
        <f t="shared" si="22"/>
        <v>429.75026149342511</v>
      </c>
      <c r="FI63" s="59">
        <f t="shared" si="23"/>
        <v>723.08359482675837</v>
      </c>
      <c r="FJ63" s="59">
        <f ca="1">AVERAGE(OFFSET($FI$3,0,0,'Données projet'!$E$16+1,1))-AVERAGE(OFFSET($H$3,0,0,'Données projet'!$E$16+1,1))</f>
        <v>259.03906550253788</v>
      </c>
      <c r="FK63" s="59">
        <f t="shared" si="78"/>
        <v>235.54542903570831</v>
      </c>
      <c r="FL63" s="15">
        <f>IF(ISNA(VLOOKUP(A63,'Données projet'!$A$227:$I$247,3,0)),0,VLOOKUP(A63,'Données projet'!$A$227:$I$247,3,0))</f>
        <v>9</v>
      </c>
      <c r="FM63" s="15" t="str">
        <f>IF(ISNA(VLOOKUP(A63,'Données projet'!$A$227:$I$247,4,0)),0,VLOOKUP(A63,'Données projet'!$A$227:$I$247,4,0))</f>
        <v>16</v>
      </c>
      <c r="FN63" s="16">
        <f>IF(ISNA(VLOOKUP(A63,'Données projet'!$A$227:$I$247,5,0)),0%,VLOOKUP(A63,'Données projet'!$A$227:$I$247,5,0)*VLOOKUP('Données projet'!$B$16,Paramètres!$A$1:$I$89,7,0))</f>
        <v>0.17200000000000001</v>
      </c>
      <c r="FO63" s="16">
        <f>IF(ISNA(VLOOKUP(A63,'Données projet'!$A$227:$I$247,6,0)),0%,VLOOKUP(A63,'Données projet'!$A$227:$I$247,6,0)*VLOOKUP('Données projet'!$B$16,Paramètres!$A$1:$I$89,7,0))</f>
        <v>0.17200000000000001</v>
      </c>
      <c r="FP63" s="16">
        <f>IF(ISNA(VLOOKUP(A63,'Données projet'!$A$227:$I$247,7,0)),0%,VLOOKUP(A63,'Données projet'!$A$227:$I$247,7,0))</f>
        <v>0</v>
      </c>
      <c r="FQ63" s="21">
        <f>EXP(-LN(2)/35)*FQ62+(1-EXP(-LN(2)/35))/(LN(2)/35)*FM63*FN63*VLOOKUP('Données projet'!$B$16,Paramètres!$A$1:$I$89,3,0)*0.475*44/12</f>
        <v>6.2397514801844647</v>
      </c>
      <c r="FR63" s="21">
        <f>EXP(-LN(2)/25)*FR62+(1-EXP(-LN(2)/25))/(LN(2)/25)*Calculateur!FM63*Calculateur!FO63*VLOOKUP('Données projet'!$B$16,Paramètres!$A$1:$I$89,3,0)*0.475*44/12</f>
        <v>15.416375623571575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21.656127103756042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projet'!$A$253:$I$273,2,0)</f>
        <v>245</v>
      </c>
      <c r="FX63" s="12">
        <f>VLOOKUP(A63,'Données projet'!$A$253:$I$273,9,0)</f>
        <v>5.2</v>
      </c>
      <c r="FY63" s="12">
        <f t="array" ref="FY63">INDEX(FX:FX,MIN(IF(ISNUMBER(FX63:FX259),ROW(FX63:FX259),"")))</f>
        <v>5.2</v>
      </c>
      <c r="FZ63" s="12">
        <f>IF('Données projet'!$A$254&gt;35,FZ62+FY63-GH62,IF(A63&lt;'Données projet'!$A$254,$FW$205^A63,IF(A63='Données projet'!$A$254,'Données projet'!$B$254,FZ62+FY63-GH62)))</f>
        <v>244.99999999999983</v>
      </c>
      <c r="GA63" s="17">
        <f>FZ63*VLOOKUP('Données projet'!$B$17,Paramètres!$A$1:$I$89,3,0)*VLOOKUP('Données projet'!$B$17,Paramètres!$A$1:$I$89,5,0)</f>
        <v>214.03199999999987</v>
      </c>
      <c r="GB63" s="13">
        <f t="shared" si="79"/>
        <v>52.815701536972192</v>
      </c>
      <c r="GC63" s="20">
        <f t="shared" si="25"/>
        <v>464.7597468435597</v>
      </c>
      <c r="GD63" s="59">
        <f t="shared" si="26"/>
        <v>758.09308017689295</v>
      </c>
      <c r="GE63" s="59">
        <f ca="1">AVERAGE(OFFSET($GD$3,0,0,'Données projet'!$E$17+1,1))-AVERAGE(OFFSET($H$3,0,0,'Données projet'!$E$17+1,1))</f>
        <v>245.1983232777614</v>
      </c>
      <c r="GF63" s="59">
        <f t="shared" si="80"/>
        <v>242.34010522344573</v>
      </c>
      <c r="GG63" s="15">
        <f>IF(ISNA(VLOOKUP(A63,'Données projet'!$A$253:$I$273,3,0)),0,VLOOKUP(A63,'Données projet'!$A$253:$I$273,3,0))</f>
        <v>10</v>
      </c>
      <c r="GH63" s="15">
        <f>IF(ISNA(VLOOKUP(A63,'Données projet'!$A$253:$I$273,4,0)),0,VLOOKUP(A63,'Données projet'!$A$253:$I$273,4,0))</f>
        <v>12</v>
      </c>
      <c r="GI63" s="16">
        <f>IF(ISNA(VLOOKUP(A63,'Données projet'!$A$253:$I$273,5,0)),0%,VLOOKUP(A63,'Données projet'!$A$253:$I$273,5,0)*VLOOKUP('Données projet'!$B$17,Paramètres!$A$1:$I$89,7,0))</f>
        <v>0.3569</v>
      </c>
      <c r="GJ63" s="16">
        <f>IF(ISNA(VLOOKUP(A63,'Données projet'!$A$253:$I$273,6,0)),0%,VLOOKUP(A63,'Données projet'!$A$253:$I$273,6,0)*VLOOKUP('Données projet'!$B$17,Paramètres!$A$1:$I$89,7,0))</f>
        <v>3.44E-2</v>
      </c>
      <c r="GK63" s="16">
        <f>IF(ISNA(VLOOKUP(A63,'Données projet'!$A$253:$I$273,7,0)),0%,VLOOKUP(A63,'Données projet'!$A$253:$I$273,7,0))</f>
        <v>0</v>
      </c>
      <c r="GL63" s="21">
        <f>EXP(-LN(2)/35)*GL62+(1-EXP(-LN(2)/35))/(LN(2)/35)*GH63*GI63*VLOOKUP('Données projet'!$B$17,Paramètres!$A$1:$I$89,3,0)*0.475*44/12</f>
        <v>20.60170823946596</v>
      </c>
      <c r="GM63" s="21">
        <f>EXP(-LN(2)/25)*GM62+(1-EXP(-LN(2)/25))/(LN(2)/25)*Calculateur!GH63*Calculateur!GJ63*VLOOKUP('Données projet'!$B$17,Paramètres!$A$1:$I$89,3,0)*0.475*44/12</f>
        <v>10.532985463662779</v>
      </c>
      <c r="GN63" s="21">
        <f>EXP(-LN(2)/2)*GN62+(1-EXP(-LN(2)/2))/(LN(2)/2)*GH63*GK63*VLOOKUP('Données projet'!$B$17,Paramètres!$A$1:$I$89,3,0)*0.475*44/12</f>
        <v>0</v>
      </c>
      <c r="GO63" s="21">
        <f t="shared" si="27"/>
        <v>31.13469370312874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>
        <f>VLOOKUP(A63,'Données projet'!$A$279:$I$299,2,0)</f>
        <v>690</v>
      </c>
      <c r="GS63" s="12">
        <f>VLOOKUP(A63,'Données projet'!$A$279:$I$299,9,0)</f>
        <v>12.6</v>
      </c>
      <c r="GT63" s="12">
        <f t="array" ref="GT63">INDEX(GS:GS,MIN(IF(ISNUMBER(GS63:GS259),ROW(GS63:GS259),"")))</f>
        <v>12.6</v>
      </c>
      <c r="GU63" s="12">
        <f>IF('Données projet'!$A$280&gt;35,GU62+GT63-HC62,IF(A63&lt;'Données projet'!$A$280,$GR$205^A63,IF(A63='Données projet'!$A$280,'Données projet'!$B$280,GU62+GT63-HC62)))</f>
        <v>690.00000000000023</v>
      </c>
      <c r="GV63" s="17">
        <f>GU63*VLOOKUP('Données projet'!$B$18,Paramètres!$A$1:$I$89,3,0)*VLOOKUP('Données projet'!$B$18,Paramètres!$A$1:$I$89,5,0)</f>
        <v>278.07000000000011</v>
      </c>
      <c r="GW63" s="13">
        <f t="shared" si="81"/>
        <v>66.558980358276997</v>
      </c>
      <c r="GX63" s="20">
        <f t="shared" si="28"/>
        <v>600.22880745733255</v>
      </c>
      <c r="GY63" s="59">
        <f t="shared" si="29"/>
        <v>893.56214079066581</v>
      </c>
      <c r="GZ63" s="59">
        <f ca="1">AVERAGE(OFFSET($GY$3,0,0,'Données projet'!$E$18+1,1))-AVERAGE(OFFSET($H$3,0,0,'Données projet'!$E$18+1,1))</f>
        <v>324.36162935850876</v>
      </c>
      <c r="HA63" s="59">
        <f t="shared" si="82"/>
        <v>265.23571072429735</v>
      </c>
      <c r="HB63" s="15">
        <f>IF(ISNA(VLOOKUP(A63,'Données projet'!$A$279:$I$299,3,0)),0,VLOOKUP(A63,'Données projet'!$A$279:$I$299,3,0))</f>
        <v>9</v>
      </c>
      <c r="HC63" s="15">
        <f>IF(ISNA(VLOOKUP(A63,'Données projet'!$A$279:$I$299,4,0)),0,VLOOKUP(A63,'Données projet'!$A$279:$I$299,4,0))</f>
        <v>16</v>
      </c>
      <c r="HD63" s="16">
        <f>IF(ISNA(VLOOKUP(A63,'Données projet'!$A$279:$I$299,5,0)),0%,VLOOKUP(A63,'Données projet'!$A$279:$I$299,5,0)*VLOOKUP('Données projet'!$B$18,Paramètres!$A$1:$I$89,7,0))</f>
        <v>0.3928571428571429</v>
      </c>
      <c r="HE63" s="16">
        <f>IF(ISNA(VLOOKUP(A63,'Données projet'!$A$279:$I$299,6,0)),0%,VLOOKUP(A63,'Données projet'!$A$279:$I$299,6,0)*VLOOKUP('Données projet'!$B$18,Paramètres!$A$1:$I$89,7,0))</f>
        <v>0.10803571428571429</v>
      </c>
      <c r="HF63" s="16">
        <f>IF(ISNA(VLOOKUP($A63,'Données projet'!$A$279:$I$299,7,0)),0%,VLOOKUP($A63,'Données projet'!$A$279:$I$299,7,0))</f>
        <v>4.4642857142857144E-2</v>
      </c>
      <c r="HG63" s="21">
        <f>EXP(-LN(2)/35)*HG62+(1-EXP(-LN(2)/35))/(LN(2)/35)*HC63*HD63*VLOOKUP('Données projet'!$B$18,Paramètres!$A$1:$I$89,3,0)*0.475*44/12</f>
        <v>12.773851437238532</v>
      </c>
      <c r="HH63" s="21">
        <f>EXP(-LN(2)/25)*HH62+(1-EXP(-LN(2)/25))/(LN(2)/25)*Calculateur!HC63*Calculateur!HE63*VLOOKUP('Données projet'!$B$18,Paramètres!$A$1:$I$89,3,0)*0.475*44/12</f>
        <v>11.853112567901896</v>
      </c>
      <c r="HI63" s="21">
        <f>EXP(-LN(2)/2)*HI62+(1-EXP(-LN(2)/2))/(LN(2)/2)*HC63*HF63*VLOOKUP('Données projet'!$B$18,Paramètres!$A$1:$I$89,3,0)*0.475*44/12</f>
        <v>0.4722189019012395</v>
      </c>
      <c r="HJ63" s="22">
        <f t="shared" si="30"/>
        <v>25.099182907041669</v>
      </c>
      <c r="HK63" s="74">
        <f>('Scénario référence'!$F$8+'Scénario référence'!$F$9+'Scénario référence'!$B$17+'Scénario référence'!$B$9+'Scénario référence'!$B$10)*70+IF((45+25*(1-EXP(-0.0175*$A63)))&lt;70,'Scénario référence'!$B$16*(45+25*(1-EXP(-0.0175*$A63))),70*'Scénario référence'!$B$16)+IF((32+38*(1-EXP(-0.0175*$A63)))&lt;70,'Scénario référence'!$B$18*(32+38*(1-EXP(-0.0175*$A63))),70*'Scénario référence'!$B$18)</f>
        <v>70</v>
      </c>
      <c r="HL63" s="12">
        <f>IF($A63&gt;30,10,('Scénario référence'!$B$16+'Scénario référence'!$B$17+'Scénario référence'!$B$18+'Scénario référence'!$B$9+'Scénario référence'!$B$10)*$A63*10/30+('Scénario référence'!$F$8+'Scénario référence'!$F$9)*10)</f>
        <v>10</v>
      </c>
      <c r="HM63" s="12" t="e">
        <f>VLOOKUP($A63,'Données projet'!$A$304:$I$324,2,0)</f>
        <v>#N/A</v>
      </c>
      <c r="HN63" s="12" t="e">
        <f>VLOOKUP($A63,'Données projet'!$A$304:$I$324,9,0)</f>
        <v>#N/A</v>
      </c>
      <c r="HO63" s="12">
        <f t="array" ref="HO63">INDEX(HN:HN,MIN(IF(ISNUMBER(HN63:HN259),ROW(HN63:HN259),"")))</f>
        <v>0</v>
      </c>
      <c r="HP63" s="12">
        <f>IF('Données projet'!$A$304&gt;35,HP62+HO63-HX62,IF($A63&lt;'Données projet'!$A$304,$CQ$205^$A63,IF($A63='Données projet'!$A$304,'Données projet'!$B$304,HP62+HO63-HX62)))</f>
        <v>0</v>
      </c>
      <c r="HQ63" s="17">
        <f>HP63*VLOOKUP('Données projet'!$B$19,Paramètres!$A$1:$I$89,3,0)*VLOOKUP('Données projet'!$B$19,Paramètres!$A$1:$I$89,5,0)</f>
        <v>0</v>
      </c>
      <c r="HR63" s="13" t="e">
        <f t="shared" si="83"/>
        <v>#NUM!</v>
      </c>
      <c r="HS63" s="14" t="e">
        <f t="shared" si="31"/>
        <v>#NUM!</v>
      </c>
      <c r="HT63" s="59" t="e">
        <f t="shared" si="32"/>
        <v>#NUM!</v>
      </c>
      <c r="HU63" s="59">
        <f ca="1">AVERAGE(OFFSET(HT$3,0,0,'Données projet'!$E$19+1,1))-AVERAGE(OFFSET($H$3,0,0,'Données projet'!$E$19+1,1))</f>
        <v>91.60721429656013</v>
      </c>
      <c r="HV63" s="59">
        <f t="shared" si="84"/>
        <v>258.94957804210856</v>
      </c>
      <c r="HW63" s="15">
        <f>IF(ISNA(VLOOKUP($A63,'Données projet'!$A$304:$I$324,3,0)),0,VLOOKUP($A63,'Données projet'!$A$304:$I$324,3,0))</f>
        <v>0</v>
      </c>
      <c r="HX63" s="15">
        <f>IF(ISNA(VLOOKUP($A63,'Données projet'!$A$304:$I$324,4,0)),0,VLOOKUP($A63,'Données projet'!$A$304:$I$324,4,0))</f>
        <v>0</v>
      </c>
      <c r="HY63" s="16">
        <f>IF(ISNA(VLOOKUP($A63,'Données projet'!$A$304:$I$324,5,0)),0%,VLOOKUP($A63,'Données projet'!$A$304:$I$324,5,0)*VLOOKUP('Données projet'!$B$19,Paramètres!$A$1:$I$89,7,0))</f>
        <v>0</v>
      </c>
      <c r="HZ63" s="16">
        <f>IF(ISNA(VLOOKUP($A63,'Données projet'!$A$304:$I$324,6,0)),0%,VLOOKUP($A63,'Données projet'!$A$304:$I$324,6,0)*VLOOKUP('Données projet'!$B$19,Paramètres!$A$1:$I$89,7,0))</f>
        <v>0</v>
      </c>
      <c r="IA63" s="16">
        <f>IF(ISNA(VLOOKUP($A63,'Données projet'!$A$304:$I$324,7,0)),0%,VLOOKUP($A63,'Données projet'!$A$304:$I$324,7,0))</f>
        <v>0</v>
      </c>
      <c r="IB63" s="21">
        <f>EXP(-LN(2)/35)*IB62+(1-EXP(-LN(2)/35))/(LN(2)/35)*HX63*HY63*VLOOKUP('Données projet'!$B$19,Paramètres!$A$1:$I$89,3,0)*0.475*44/12</f>
        <v>27.233860977636088</v>
      </c>
      <c r="IC63" s="21">
        <f>EXP(-LN(2)/25)*IC62+(1-EXP(-LN(2)/25))/(LN(2)/25)*Calculateur!HX63*Calculateur!HZ63*VLOOKUP('Données projet'!$B$19,Paramètres!$A$1:$I$89,3,0)*0.475*44/12</f>
        <v>4.2342389687521598</v>
      </c>
      <c r="ID63" s="21">
        <f>EXP(-LN(2)/2)*ID62+(1-EXP(-LN(2)/2))/(LN(2)/2)*HX63*IA63*VLOOKUP('Données projet'!$B$19,Paramètres!$A$1:$I$89,3,0)*0.475*44/12</f>
        <v>1.748206517773369E-5</v>
      </c>
      <c r="IE63" s="22">
        <f t="shared" si="33"/>
        <v>31.468117428453425</v>
      </c>
      <c r="IF63" s="74">
        <f>('Scénario référence'!$F$8+'Scénario référence'!$F$9+'Scénario référence'!$B$17+'Scénario référence'!$B$9+'Scénario référence'!$B$10)*70+IF((45+25*(1-EXP(-0.0175*$A63)))&lt;70,'Scénario référence'!$B$16*(45+25*(1-EXP(-0.0175*$A63))),70*'Scénario référence'!$B$16)+IF((32+38*(1-EXP(-0.0175*$A63)))&lt;70,'Scénario référence'!$B$18*(32+38*(1-EXP(-0.0175*$A63))),70*'Scénario référence'!$B$18)</f>
        <v>70</v>
      </c>
      <c r="IG63" s="12">
        <f>IF($A63&gt;30,10,('Scénario référence'!$B$16+'Scénario référence'!$B$17+'Scénario référence'!$B$18+'Scénario référence'!$B$9+'Scénario référence'!$B$10)*$A63*10/30+('Scénario référence'!$F$8+'Scénario référence'!$F$9)*10)</f>
        <v>10</v>
      </c>
      <c r="IH63" s="12" t="e">
        <f>VLOOKUP($A63,'Données projet'!$A$330:$I$350,2,0)</f>
        <v>#N/A</v>
      </c>
      <c r="II63" s="12" t="e">
        <f>VLOOKUP($A63,'Données projet'!$A$330:$I$350,9,0)</f>
        <v>#N/A</v>
      </c>
      <c r="IJ63" s="12">
        <f t="array" ref="IJ63">INDEX(II:II,MIN(IF(ISNUMBER(II63:II259),ROW(II63:II259),"")))</f>
        <v>0</v>
      </c>
      <c r="IK63" s="12">
        <f>IF('Données projet'!$A$330&gt;35,IK62+IJ63-IS62,IF($A63&lt;'Données projet'!$A$330,$CQ$205^$A63,IF($A63='Données projet'!$A$330,'Données projet'!$B$330,IK62+IJ63-IS62)))</f>
        <v>0</v>
      </c>
      <c r="IL63" s="17">
        <f>IK63*VLOOKUP('Données projet'!$B$20,Paramètres!$A$1:$I$89,3,0)*VLOOKUP('Données projet'!$B$20,Paramètres!$A$1:$I$89,5,0)</f>
        <v>0</v>
      </c>
      <c r="IM63" s="13" t="e">
        <f t="shared" si="85"/>
        <v>#NUM!</v>
      </c>
      <c r="IN63" s="20" t="e">
        <f t="shared" si="86"/>
        <v>#NUM!</v>
      </c>
      <c r="IO63" s="59" t="e">
        <f t="shared" si="87"/>
        <v>#NUM!</v>
      </c>
      <c r="IP63" s="59">
        <f ca="1">AVERAGE(OFFSET(IO$3,0,0,'Données projet'!$E$20+1,1))-AVERAGE(OFFSET($H$3,0,0,'Données projet'!$E$20+1,1))</f>
        <v>91.60721429656013</v>
      </c>
      <c r="IQ63" s="59">
        <f t="shared" si="88"/>
        <v>258.94957804210856</v>
      </c>
      <c r="IR63" s="15">
        <f>IF(ISNA(VLOOKUP($A63,'Données projet'!$A$330:$I$350,3,0)),0,VLOOKUP($A63,'Données projet'!$A$330:$I$350,3,0))</f>
        <v>0</v>
      </c>
      <c r="IS63" s="15">
        <f>IF(ISNA(VLOOKUP($A63,'Données projet'!$A$330:$I$350,4,0)),0,VLOOKUP($A63,'Données projet'!$A$330:$I$350,4,0))</f>
        <v>0</v>
      </c>
      <c r="IT63" s="16">
        <f>IF(ISNA(VLOOKUP($A63,'Données projet'!$A$330:$I$350,5,0)),0%,VLOOKUP($A63,'Données projet'!$A$330:$I$350,5,0)*VLOOKUP('Données projet'!$B$20,Paramètres!$A$1:$I$89,7,0))</f>
        <v>0</v>
      </c>
      <c r="IU63" s="16">
        <f>IF(ISNA(VLOOKUP($A63,'Données projet'!$A$330:$I$350,6,0)),0%,VLOOKUP($A63,'Données projet'!$A$330:$I$350,6,0)*VLOOKUP('Données projet'!$B$20,Paramètres!$A$1:$I$89,7,0))</f>
        <v>0</v>
      </c>
      <c r="IV63" s="16">
        <f>IF(ISNA(VLOOKUP($A63,'Données projet'!$A$330:$I$350,7,0)),0%,VLOOKUP($A63,'Données projet'!$A$330:$I$350,7,0))</f>
        <v>0</v>
      </c>
      <c r="IW63" s="21">
        <f>EXP(-LN(2)/35)*IW62+(1-EXP(-LN(2)/35))/(LN(2)/35)*IS63*IT63*VLOOKUP('Données projet'!$B$20,Paramètres!$A$1:$I$89,3,0)*0.475*44/12</f>
        <v>27.233860977636088</v>
      </c>
      <c r="IX63" s="21">
        <f>EXP(-LN(2)/25)*IX62+(1-EXP(-LN(2)/25))/(LN(2)/25)*Calculateur!IS63*Calculateur!IU63*VLOOKUP('Données projet'!$B$20,Paramètres!$A$1:$I$89,3,0)*0.475*44/12</f>
        <v>4.2342389687521598</v>
      </c>
      <c r="IY63" s="21">
        <f>EXP(-LN(2)/2)*IY62+(1-EXP(-LN(2)/2))/(LN(2)/2)*IS63*IV63*VLOOKUP('Données projet'!$B$20,Paramètres!$A$1:$I$89,3,0)*0.475*44/12</f>
        <v>1.748206517773369E-5</v>
      </c>
      <c r="IZ63" s="22">
        <f t="shared" si="89"/>
        <v>31.468117428453425</v>
      </c>
      <c r="JA63" s="74">
        <f>('Scénario référence'!$F$8+'Scénario référence'!$F$9+'Scénario référence'!$B$17+'Scénario référence'!$B$9+'Scénario référence'!$B$10)*70+IF((45+25*(1-EXP(-0.0175*$A63)))&lt;70,'Scénario référence'!$B$16*(45+25*(1-EXP(-0.0175*$A63))),70*'Scénario référence'!$B$16)+IF((32+38*(1-EXP(-0.0175*$A63)))&lt;70,'Scénario référence'!$B$18*(32+38*(1-EXP(-0.0175*$A63))),70*'Scénario référence'!$B$18)</f>
        <v>70</v>
      </c>
      <c r="JB63" s="12">
        <f>IF($A63&gt;30,10,('Scénario référence'!$B$16+'Scénario référence'!$B$17+'Scénario référence'!$B$18+'Scénario référence'!$B$9+'Scénario référence'!$B$10)*$A63*10/30+('Scénario référence'!$F$8+'Scénario référence'!$F$9)*10)</f>
        <v>10</v>
      </c>
      <c r="JC63" s="12">
        <f>VLOOKUP($A63,'Données projet'!$A$356:$I$376,2,0)</f>
        <v>270</v>
      </c>
      <c r="JD63" s="12">
        <f>VLOOKUP($A63,'Données projet'!$A$356:$I$376,9,0)</f>
        <v>10.8</v>
      </c>
      <c r="JE63" s="12">
        <f t="array" ref="JE63">INDEX(JD:JD,MIN(IF(ISNUMBER(JD63:JD259),ROW(JD63:JD259),"")))</f>
        <v>10.8</v>
      </c>
      <c r="JF63" s="12">
        <f>IF('Données projet'!$A$356&gt;35,JF62+JE63-JN62,IF($A63&lt;'Données projet'!$A$356,$CQ$205^$A63,IF($A63='Données projet'!$A$356,'Données projet'!$B$356,JF62+JE63-JN62)))</f>
        <v>270.00000000000011</v>
      </c>
      <c r="JG63" s="17">
        <f>JF63*VLOOKUP('Données projet'!$B$21,Paramètres!$A$1:$I$89,3,0)*VLOOKUP('Données projet'!$B$21,Paramètres!$A$1:$I$89,5,0)</f>
        <v>219.02400000000011</v>
      </c>
      <c r="JH63" s="13">
        <f t="shared" si="90"/>
        <v>53.902702081308355</v>
      </c>
      <c r="JI63" s="20">
        <f t="shared" si="91"/>
        <v>475.3473394582789</v>
      </c>
      <c r="JJ63" s="59">
        <f t="shared" si="92"/>
        <v>768.68067279161221</v>
      </c>
      <c r="JK63" s="59">
        <f ca="1">AVERAGE(OFFSET($JJ$3,0,0,'Données projet'!$E$22+1,1))-AVERAGE(OFFSET($H$3,0,0,'Données projet'!$E$22+1,1))</f>
        <v>353.35574633294613</v>
      </c>
      <c r="JL63" s="59">
        <f t="shared" si="93"/>
        <v>170.36796666474726</v>
      </c>
      <c r="JM63" s="15">
        <f>IF(ISNA(VLOOKUP($A63,'Données projet'!$A$356:$I$376,3,0)),0,VLOOKUP($A63,'Données projet'!$A$356:$I$376,3,0))</f>
        <v>8</v>
      </c>
      <c r="JN63" s="15">
        <f>IF(ISNA(VLOOKUP($A63,'Données projet'!$A$356:$I$376,4,0)),0,VLOOKUP($A63,'Données projet'!$A$356:$I$376,4,0))</f>
        <v>28</v>
      </c>
      <c r="JO63" s="16">
        <f>IF(ISNA(VLOOKUP($A63,'Données projet'!$A$356:$I$376,5,0)),0%,VLOOKUP($A63,'Données projet'!$A$356:$I$376,5,0)*VLOOKUP('Données projet'!$B$21,Paramètres!$A$1:$I$89,7,0))</f>
        <v>0</v>
      </c>
      <c r="JP63" s="16">
        <f>IF(ISNA(VLOOKUP($A63,'Données projet'!$A$356:$I$376,6,0)),0%,VLOOKUP($A63,'Données projet'!$A$356:$I$376,6,0)*VLOOKUP('Données projet'!$B$21,Paramètres!$A$1:$I$89,7,0))</f>
        <v>0.129</v>
      </c>
      <c r="JQ63" s="16">
        <f>IF(ISNA(VLOOKUP($A63,'Données projet'!$A$356:$I$376,7,0)),0%,VLOOKUP($A63,'Données projet'!$A$356:$I$376,7,0))</f>
        <v>0.3</v>
      </c>
      <c r="JR63" s="21">
        <f>EXP(-LN(2)/35)*JR62+(1-EXP(-LN(2)/35))/(LN(2)/35)*JN63*JO63*VLOOKUP('Données projet'!$B$21,Paramètres!$A$1:$I$89,3,0)*0.475*44/12</f>
        <v>0</v>
      </c>
      <c r="JS63" s="21">
        <f>EXP(-LN(2)/25)*JS62+(1-EXP(-LN(2)/25))/(LN(2)/25)*Calculateur!JN63*Calculateur!JP63*VLOOKUP('Données projet'!$B$21,Paramètres!$A$1:$I$89,3,0)*0.475*44/12</f>
        <v>8.7149897230170641</v>
      </c>
      <c r="JT63" s="21">
        <f>EXP(-LN(2)/2)*JT62+(1-EXP(-LN(2)/2))/(LN(2)/2)*JN63*JQ63*VLOOKUP('Données projet'!$B$21,Paramètres!$A$1:$I$89,3,0)*0.475*44/12</f>
        <v>7.8098289454990795</v>
      </c>
      <c r="JU63" s="18">
        <f t="shared" si="39"/>
        <v>16.524818668516144</v>
      </c>
      <c r="JV63" s="74">
        <f>('Scénario référence'!$F$8+'Scénario référence'!$F$9+'Scénario référence'!$B$17+'Scénario référence'!$B$9+'Scénario référence'!$B$10)*70+IF((45+25*(1-EXP(-0.0175*$A63)))&lt;70,'Scénario référence'!$B$16*(45+25*(1-EXP(-0.0175*$A63))),70*'Scénario référence'!$B$16)+IF((32+38*(1-EXP(-0.0175*$A63)))&lt;70,'Scénario référence'!$B$18*(32+38*(1-EXP(-0.0175*$A63))),70*'Scénario référence'!$B$18)</f>
        <v>70</v>
      </c>
      <c r="JW63" s="12">
        <f>IF($A63&gt;30,10,('Scénario référence'!$B$16+'Scénario référence'!$B$17+'Scénario référence'!$B$18+'Scénario référence'!$B$9+'Scénario référence'!$B$10)*$A63*10/30+('Scénario référence'!$F$8+'Scénario référence'!$F$9)*10)</f>
        <v>10</v>
      </c>
      <c r="JX63" s="12" t="e">
        <f>VLOOKUP($A63,'Données projet'!$A$382:$I$402,2,0)</f>
        <v>#N/A</v>
      </c>
      <c r="JY63" s="12" t="e">
        <f>VLOOKUP($A63,'Données projet'!$A$382:$I$402,9,0)</f>
        <v>#N/A</v>
      </c>
      <c r="JZ63" s="12">
        <f t="array" ref="JZ63">INDEX(JY:JY,MIN(IF(ISNUMBER(JY63:JY259),ROW(JY63:JY259),"")))</f>
        <v>8.374198717948719</v>
      </c>
      <c r="KA63" s="12">
        <f>IF('Données projet'!$A$382&gt;35,KA62+JZ63-KI62,IF($A63&lt;'Données projet'!$A$382,$CQ$205^$A63,IF($A63='Données projet'!$A$382,'Données projet'!$B$382,KA62+JZ63-KI62)))</f>
        <v>195.16586538461542</v>
      </c>
      <c r="KB63" s="17">
        <f>KA63*VLOOKUP('Données projet'!$B$22,Paramètres!$A$1:$I$89,3,0)*VLOOKUP('Données projet'!$B$22,Paramètres!$A$1:$I$89,5,0)</f>
        <v>130.91726250000002</v>
      </c>
      <c r="KC63" s="13">
        <f t="shared" si="94"/>
        <v>34.208224953743922</v>
      </c>
      <c r="KD63" s="20">
        <f t="shared" si="95"/>
        <v>287.59355731527063</v>
      </c>
      <c r="KE63" s="59">
        <f t="shared" si="96"/>
        <v>580.92689064860394</v>
      </c>
      <c r="KF63" s="59">
        <f ca="1">AVERAGE(OFFSET($KE$3,0,0,'Données projet'!$E$22+1,1))-AVERAGE(OFFSET($H$3,0,0,'Données projet'!$E$22+1,1))</f>
        <v>193.91714772848269</v>
      </c>
      <c r="KG63" s="59">
        <f t="shared" si="97"/>
        <v>159.20429420478047</v>
      </c>
      <c r="KH63" s="15">
        <f>IF(ISNA(VLOOKUP($A63,'Données projet'!$A$382:$I$402,3,0)),0,VLOOKUP($A63,'Données projet'!$A$382:$I$402,3,0))</f>
        <v>0</v>
      </c>
      <c r="KI63" s="15">
        <f>IF(ISNA(VLOOKUP($A63,'Données projet'!$A$382:$I$402,4,0)),0,VLOOKUP($A63,'Données projet'!$A$382:$I$402,4,0))</f>
        <v>0</v>
      </c>
      <c r="KJ63" s="16">
        <f>IF(ISNA(VLOOKUP($A63,'Données projet'!$A$382:$I$402,5,0)),0%,VLOOKUP($A63,'Données projet'!$A$382:$I$402,5,0)*VLOOKUP('Données projet'!$B$22,Paramètres!$A$1:$I$89,7,0))</f>
        <v>0</v>
      </c>
      <c r="KK63" s="16">
        <f>IF(ISNA(VLOOKUP($A63,'Données projet'!$A$382:$I$402,6,0)),0%,VLOOKUP($A63,'Données projet'!$A$382:$I$402,6,0)*VLOOKUP('Données projet'!$B$22,Paramètres!$A$1:$I$89,7,0))</f>
        <v>0</v>
      </c>
      <c r="KL63" s="16">
        <f>IF(ISNA(VLOOKUP($A63,'Données projet'!$A$382:$I$402,7,0)),0%,VLOOKUP($A63,'Données projet'!$A$382:$I$402,7,0))</f>
        <v>0</v>
      </c>
      <c r="KM63" s="21">
        <f>EXP(-LN(2)/35)*KM62+(1-EXP(-LN(2)/35))/(LN(2)/35)*KI63*KJ63*VLOOKUP('Données projet'!$B$22,Paramètres!$A$1:$I$89,3,0)*0.475*44/12</f>
        <v>0</v>
      </c>
      <c r="KN63" s="21">
        <f>EXP(-LN(2)/25)*KN62+(1-EXP(-LN(2)/25))/(LN(2)/25)*Calculateur!KI63*Calculateur!KK63*VLOOKUP('Données projet'!$B$22,Paramètres!$A$1:$I$89,3,0)*0.475*44/12</f>
        <v>0</v>
      </c>
      <c r="KO63" s="21">
        <f>EXP(-LN(2)/2)*KO62+(1-EXP(-LN(2)/2))/(LN(2)/2)*KI63*KL63*VLOOKUP('Données projet'!$B$22,Paramètres!$A$1:$I$89,3,0)*0.475*44/12</f>
        <v>0</v>
      </c>
      <c r="KP63" s="22">
        <f t="shared" si="98"/>
        <v>0</v>
      </c>
      <c r="KQ63" s="74">
        <f>('Scénario référence'!$F$8+'Scénario référence'!$F$9+'Scénario référence'!$B$17+'Scénario référence'!$B$9+'Scénario référence'!$B$10)*70+IF((45+25*(1-EXP(-0.0175*$A63)))&lt;70,'Scénario référence'!$B$16*(45+25*(1-EXP(-0.0175*$A63))),70*'Scénario référence'!$B$16)+IF((32+38*(1-EXP(-0.0175*$A63)))&lt;70,'Scénario référence'!$B$18*(32+38*(1-EXP(-0.0175*$A63))),70*'Scénario référence'!$B$18)</f>
        <v>70</v>
      </c>
      <c r="KR63" s="12">
        <f>IF($A63&gt;30,10,('Scénario référence'!$B$16+'Scénario référence'!$B$17+'Scénario référence'!$B$18+'Scénario référence'!$B$9+'Scénario référence'!$B$10)*$A63*10/30+('Scénario référence'!$F$8+'Scénario référence'!$F$9)*10)</f>
        <v>10</v>
      </c>
      <c r="KS63" s="12">
        <f>VLOOKUP($A63,'Données projet'!$A$408:$I$428,2,0)</f>
        <v>245</v>
      </c>
      <c r="KT63" s="12">
        <f>VLOOKUP($A63,'Données projet'!$A$408:$I$428,9,0)</f>
        <v>5.2</v>
      </c>
      <c r="KU63" s="12">
        <f t="array" ref="KU63">INDEX(KT:KT,MIN(IF(ISNUMBER(KT63:KT259),ROW(KT63:KT259),"")))</f>
        <v>5.2</v>
      </c>
      <c r="KV63" s="12">
        <f>IF('Données projet'!$A$408&gt;35,KV62+KU63-LD62,IF($A63&lt;'Données projet'!$A$408,$CQ$205^$A63,IF($A63='Données projet'!$A$408,'Données projet'!$B$408,KV62+KU63-LD62)))</f>
        <v>244.99999999999986</v>
      </c>
      <c r="KW63" s="17">
        <f>KV63*VLOOKUP('Données projet'!$B$23,Paramètres!$A$1:$I$89,3,0)*VLOOKUP('Données projet'!$B$23,Paramètres!$A$1:$I$89,5,0)</f>
        <v>214.0319999999999</v>
      </c>
      <c r="KX63" s="13">
        <f t="shared" si="99"/>
        <v>52.815701536972192</v>
      </c>
      <c r="KY63" s="14">
        <f t="shared" si="43"/>
        <v>464.7597468435597</v>
      </c>
      <c r="KZ63" s="59">
        <f t="shared" si="44"/>
        <v>758.09308017689295</v>
      </c>
      <c r="LA63" s="59">
        <f ca="1">AVERAGE(OFFSET($KZ$3,0,0,'Données projet'!$E$23+1,1))-AVERAGE(OFFSET($H$3,0,0,'Données projet'!$E$23+1,1))</f>
        <v>248.33596943633819</v>
      </c>
      <c r="LB63" s="59">
        <f t="shared" si="100"/>
        <v>242.34010522344573</v>
      </c>
      <c r="LC63" s="15">
        <f>IF(ISNA(VLOOKUP($A63,'Données projet'!$A$408:$I$428,3,0)),0,VLOOKUP($A63,'Données projet'!$A$408:$I$428,3,0))</f>
        <v>10</v>
      </c>
      <c r="LD63" s="15">
        <f>IF(ISNA(VLOOKUP($A63,'Données projet'!$A$408:$I$428,4,0)),0,VLOOKUP($A63,'Données projet'!$A$408:$I$428,4,0))</f>
        <v>12</v>
      </c>
      <c r="LE63" s="16">
        <f>IF(ISNA(VLOOKUP($A63,'Données projet'!$A$408:$I$428,5,0)),0%,VLOOKUP($A63,'Données projet'!$A$408:$I$428,5,0)*VLOOKUP('Données projet'!$B$23,Paramètres!$A$1:$I$89,7,0))</f>
        <v>0.3569</v>
      </c>
      <c r="LF63" s="16">
        <f>IF(ISNA(VLOOKUP($A63,'Données projet'!$A$408:$I$428,6,0)),0%,VLOOKUP($A63,'Données projet'!$A$408:$I$428,6,0)*VLOOKUP('Données projet'!$B$23,Paramètres!$A$1:$I$89,7,0))</f>
        <v>3.44E-2</v>
      </c>
      <c r="LG63" s="16">
        <f>IF(ISNA(VLOOKUP($A63,'Données projet'!$A$408:$I$428,7,0)),0%,VLOOKUP($A63,'Données projet'!$A$408:$I$428,7,0))</f>
        <v>0</v>
      </c>
      <c r="LH63" s="21">
        <f>EXP(-LN(2)/35)*LH62+(1-EXP(-LN(2)/35))/(LN(2)/35)*LD63*LE63*VLOOKUP('Données projet'!$B$23,Paramètres!$A$1:$I$89,3,0)*0.475*44/12</f>
        <v>20.60170823946596</v>
      </c>
      <c r="LI63" s="21">
        <f>EXP(-LN(2)/25)*LI62+(1-EXP(-LN(2)/25))/(LN(2)/25)*Calculateur!LD63*Calculateur!LF63*VLOOKUP('Données projet'!$B$23,Paramètres!$A$1:$I$89,3,0)*0.475*44/12</f>
        <v>10.532985463662779</v>
      </c>
      <c r="LJ63" s="21">
        <f>EXP(-LN(2)/2)*LJ62+(1-EXP(-LN(2)/2))/(LN(2)/2)*LD63*LG63*VLOOKUP('Données projet'!$B$23,Paramètres!$A$1:$I$89,3,0)*0.475*44/12</f>
        <v>0</v>
      </c>
      <c r="LK63" s="22">
        <f t="shared" si="101"/>
        <v>31.13469370312874</v>
      </c>
      <c r="LL63" s="74">
        <f>('Scénario référence'!$F$8+'Scénario référence'!$F$9+'Scénario référence'!$B$17+'Scénario référence'!$B$9+'Scénario référence'!$B$10)*70+IF((45+25*(1-EXP(-0.0175*$A63)))&lt;70,'Scénario référence'!$B$16*(45+25*(1-EXP(-0.0175*$A63))),70*'Scénario référence'!$B$16)+IF((32+38*(1-EXP(-0.0175*$A63)))&lt;70,'Scénario référence'!$B$18*(32+38*(1-EXP(-0.0175*$A63))),70*'Scénario référence'!$B$18)</f>
        <v>70</v>
      </c>
      <c r="LM63" s="12">
        <f>IF($A63&gt;30,10,('Scénario référence'!$B$16+'Scénario référence'!$B$17+'Scénario référence'!$B$18+'Scénario référence'!$B$9+'Scénario référence'!$B$10)*$A63*10/30+('Scénario référence'!$F$8+'Scénario référence'!$F$9)*10)</f>
        <v>10</v>
      </c>
      <c r="LN63" s="12" t="e">
        <f>VLOOKUP($A63,'Données projet'!$A$434:$I$454,2,0)</f>
        <v>#N/A</v>
      </c>
      <c r="LO63" s="12" t="e">
        <f>VLOOKUP($A63,'Données projet'!$A$434:$I$454,9,0)</f>
        <v>#N/A</v>
      </c>
      <c r="LP63" s="12">
        <f t="array" ref="LP63">INDEX(LO:LO,MIN(IF(ISNUMBER(LO63:LO259),ROW(LO63:LO259),"")))</f>
        <v>5.9431089743589762</v>
      </c>
      <c r="LQ63" s="12">
        <f>IF('Données projet'!$A$434&gt;35,LQ62+LP63-LY62,IF($A63&lt;'Données projet'!$A$434,$CQ$205^$A63,IF($A63='Données projet'!$A$434,'Données projet'!$B$434,LQ62+LP63-LY62)))</f>
        <v>126.25721153846153</v>
      </c>
      <c r="LR63" s="17">
        <f>LQ63*VLOOKUP('Données projet'!$B$24,Paramètres!$A$1:$I$89,3,0)*VLOOKUP('Données projet'!$B$24,Paramètres!$A$1:$I$89,5,0)</f>
        <v>128.0248125</v>
      </c>
      <c r="LS63" s="13">
        <f t="shared" si="102"/>
        <v>33.539545602958114</v>
      </c>
      <c r="LT63" s="14">
        <f t="shared" si="46"/>
        <v>281.39125702931875</v>
      </c>
      <c r="LU63" s="59">
        <f t="shared" si="103"/>
        <v>574.72459036265207</v>
      </c>
      <c r="LV63" s="59">
        <f ca="1">AVERAGE(OFFSET($LU$3,0,0,'Données projet'!$E$24+1,1))-AVERAGE(OFFSET($H$3,0,0,'Données projet'!$E$24+1,1))</f>
        <v>260.52627655062872</v>
      </c>
      <c r="LW63" s="59">
        <f t="shared" si="104"/>
        <v>159.20429420478047</v>
      </c>
      <c r="LX63" s="15">
        <f>IF(ISNA(VLOOKUP($A63,'Données projet'!$A$434:$I$454,3,0)),0,VLOOKUP($A63,'Données projet'!$A$434:$I$454,3,0))</f>
        <v>0</v>
      </c>
      <c r="LY63" s="15">
        <f>IF(ISNA(VLOOKUP($A63,'Données projet'!$A$434:$I$454,4,0)),0,VLOOKUP($A63,'Données projet'!$A$434:$I$454,4,0))</f>
        <v>0</v>
      </c>
      <c r="LZ63" s="16">
        <f>IF(ISNA(VLOOKUP($A63,'Données projet'!$A$434:$I$454,5,0)),0%,VLOOKUP($A63,'Données projet'!$A$434:$I$454,5,0)*VLOOKUP('Données projet'!$B$24,Paramètres!$A$1:$I$89,7,0))</f>
        <v>0</v>
      </c>
      <c r="MA63" s="16">
        <f>IF(ISNA(VLOOKUP($A63,'Données projet'!$A$434:$I$454,6,0)),0%,VLOOKUP($A63,'Données projet'!$A$434:$I$454,6,0)*VLOOKUP('Données projet'!$B$24,Paramètres!$A$1:$I$89,7,0))</f>
        <v>0</v>
      </c>
      <c r="MB63" s="16">
        <f>IF(ISNA(VLOOKUP($A63,'Données projet'!$A$434:$I$454,7,0)),0%,VLOOKUP($A63,'Données projet'!$A$434:$I$454,7,0))</f>
        <v>0</v>
      </c>
      <c r="MC63" s="21">
        <f>EXP(-LN(2)/35)*MC62+(1-EXP(-LN(2)/35))/(LN(2)/35)*LY63*LZ63*VLOOKUP('Données projet'!$B$24,Paramètres!$A$1:$I$89,3,0)*0.475*44/12</f>
        <v>0</v>
      </c>
      <c r="MD63" s="21">
        <f>EXP(-LN(2)/25)*MD62+(1-EXP(-LN(2)/25))/(LN(2)/25)*Calculateur!LY63*Calculateur!MA63*VLOOKUP('Données projet'!$B$24,Paramètres!$A$1:$I$89,3,0)*0.475*44/12</f>
        <v>0</v>
      </c>
      <c r="ME63" s="21">
        <f>EXP(-LN(2)/2)*ME62+(1-EXP(-LN(2)/2))/(LN(2)/2)*LY63*MB63*VLOOKUP('Données projet'!$B$24,Paramètres!$A$1:$I$89,3,0)*0.475*44/12</f>
        <v>0</v>
      </c>
      <c r="MF63" s="22">
        <f t="shared" si="105"/>
        <v>0</v>
      </c>
      <c r="MG63" s="74">
        <f>('Scénario référence'!$F$8+'Scénario référence'!$F$9+'Scénario référence'!$B$17+'Scénario référence'!$B$9+'Scénario référence'!$B$10)*70+IF((45+25*(1-EXP(-0.0175*$A63)))&lt;70,'Scénario référence'!$B$16*(45+25*(1-EXP(-0.0175*$A63))),70*'Scénario référence'!$B$16)+IF((32+38*(1-EXP(-0.0175*$A63)))&lt;70,'Scénario référence'!$B$18*(32+38*(1-EXP(-0.0175*$A63))),70*'Scénario référence'!$B$18)</f>
        <v>70</v>
      </c>
      <c r="MH63" s="12">
        <f>IF($A63&gt;30,10,('Scénario référence'!$B$16+'Scénario référence'!$B$17+'Scénario référence'!$B$18+'Scénario référence'!$B$9+'Scénario référence'!$B$10)*$A63*10/30+('Scénario référence'!$F$8+'Scénario référence'!$F$9)*10)</f>
        <v>10</v>
      </c>
      <c r="MI63" s="12" t="e">
        <f>VLOOKUP($A63,'Données projet'!$A$460:$I$480,2,0)</f>
        <v>#N/A</v>
      </c>
      <c r="MJ63" s="12" t="e">
        <f>VLOOKUP($A63,'Données projet'!$A$460:$I$480,9,0)</f>
        <v>#N/A</v>
      </c>
      <c r="MK63" s="12">
        <f t="array" ref="MK63">INDEX(MJ:MJ,MIN(IF(ISNUMBER(MJ63:MJ259),ROW(MJ63:MJ259),"")))</f>
        <v>0</v>
      </c>
      <c r="ML63" s="12">
        <f>IF('Données projet'!$A$460&gt;35,ML62+MK63-MT62,IF($A63&lt;'Données projet'!$A$460,$CQ$205^$A63,IF($A63='Données projet'!$A$460,'Données projet'!$B$460,ML62+MK63-MT62)))</f>
        <v>0</v>
      </c>
      <c r="MM63" s="17" t="e">
        <f>ML63*VLOOKUP('Données projet'!$B$25,Paramètres!$A$1:$I$89,3,0)*VLOOKUP('Données projet'!$B$25,Paramètres!$A$1:$I$89,5,0)</f>
        <v>#N/A</v>
      </c>
      <c r="MN63" s="13" t="e">
        <f t="shared" si="106"/>
        <v>#N/A</v>
      </c>
      <c r="MO63" s="14" t="e">
        <f t="shared" si="49"/>
        <v>#N/A</v>
      </c>
      <c r="MP63" s="59" t="e">
        <f t="shared" si="50"/>
        <v>#N/A</v>
      </c>
      <c r="MQ63" s="20" t="e">
        <f ca="1">AVERAGE(OFFSET($MP$3,0,0,'Données projet'!$E$25+1,1))-AVERAGE(OFFSET($H$3,0,0,'Données projet'!$E$25+1,1))</f>
        <v>#N/A</v>
      </c>
      <c r="MR63" s="59" t="e">
        <f t="shared" si="107"/>
        <v>#N/A</v>
      </c>
      <c r="MS63" s="15">
        <f>IF(ISNA(VLOOKUP($A63,'Données projet'!$A$460:$I$480,3,0)),0,VLOOKUP($A63,'Données projet'!$A$460:$I$480,3,0))</f>
        <v>0</v>
      </c>
      <c r="MT63" s="15">
        <f>IF(ISNA(VLOOKUP($A63,'Données projet'!$A$460:$I$480,4,0)),0,VLOOKUP($A63,'Données projet'!$A$460:$I$480,4,0))</f>
        <v>0</v>
      </c>
      <c r="MU63" s="16">
        <f>IF(ISNA(VLOOKUP($A63,'Données projet'!$A$460:$I$480,5,0)),0%,VLOOKUP($A63,'Données projet'!$A$460:$I$480,5,0)*VLOOKUP('Données projet'!$B$25,Paramètres!$A$1:$I$89,7,0))</f>
        <v>0</v>
      </c>
      <c r="MV63" s="16">
        <f>IF(ISNA(VLOOKUP($A63,'Données projet'!$A$460:$I$480,6,0)),0%,VLOOKUP($A63,'Données projet'!$A$460:$I$480,6,0)*VLOOKUP('Données projet'!$B$25,Paramètres!$A$1:$I$89,7,0))</f>
        <v>0</v>
      </c>
      <c r="MW63" s="16">
        <f>IF(ISNA(VLOOKUP($A63,'Données projet'!$A$460:$I$480,7,0)),0%,VLOOKUP($A63,'Données projet'!$A$460:$I$480,7,0))</f>
        <v>0</v>
      </c>
      <c r="MX63" s="21" t="e">
        <f>EXP(-LN(2)/35)*MX62+(1-EXP(-LN(2)/35))/(LN(2)/35)*MT63*MU63*VLOOKUP('Données projet'!$B$25,Paramètres!$A$1:$I$89,3,0)*0.475*44/12</f>
        <v>#N/A</v>
      </c>
      <c r="MY63" s="21" t="e">
        <f>EXP(-LN(2)/25)*MY62+(1-EXP(-LN(2)/25))/(LN(2)/25)*Calculateur!MT63*Calculateur!MV63*VLOOKUP('Données projet'!$B$25,Paramètres!$A$1:$I$89,3,0)*0.475*44/12</f>
        <v>#N/A</v>
      </c>
      <c r="MZ63" s="21" t="e">
        <f>EXP(-LN(2)/2)*MZ62+(1-EXP(-LN(2)/2))/(LN(2)/2)*MT63*MW63*VLOOKUP('Données projet'!$B$25,Paramètres!$A$1:$I$89,3,0)*0.475*44/12</f>
        <v>#N/A</v>
      </c>
      <c r="NA63" s="22" t="e">
        <f t="shared" si="108"/>
        <v>#N/A</v>
      </c>
      <c r="NB63" s="74">
        <f>('Scénario référence'!$F$8+'Scénario référence'!$F$9+'Scénario référence'!$B$17+'Scénario référence'!$B$9+'Scénario référence'!$B$10)*70+IF((45+25*(1-EXP(-0.0175*$A63)))&lt;70,'Scénario référence'!$B$16*(45+25*(1-EXP(-0.0175*$A63))),70*'Scénario référence'!$B$16)+IF((32+38*(1-EXP(-0.0175*$A63)))&lt;70,'Scénario référence'!$B$18*(32+38*(1-EXP(-0.0175*$A63))),70*'Scénario référence'!$B$18)</f>
        <v>70</v>
      </c>
      <c r="NC63" s="12">
        <f>IF($A63&gt;30,10,('Scénario référence'!$B$16+'Scénario référence'!$B$17+'Scénario référence'!$B$18+'Scénario référence'!$B$9+'Scénario référence'!$B$10)*$A63*10/30+('Scénario référence'!$F$8+'Scénario référence'!$F$9)*10)</f>
        <v>10</v>
      </c>
      <c r="ND63" s="12" t="e">
        <f>VLOOKUP($A63,'Données projet'!$A$486:$I$506,2,0)</f>
        <v>#N/A</v>
      </c>
      <c r="NE63" s="12" t="e">
        <f>VLOOKUP($A63,'Données projet'!$A$486:$I$506,9,0)</f>
        <v>#N/A</v>
      </c>
      <c r="NF63" s="12">
        <f t="array" ref="NF63">INDEX(NE:NE,MIN(IF(ISNUMBER(NE63:NE259),ROW(NE63:NE259),"")))</f>
        <v>0</v>
      </c>
      <c r="NG63" s="12">
        <f>IF('Données projet'!$A$486&gt;35,NG62+NF63-NO62,IF($A63&lt;'Données projet'!$A$486,$CQ$205^$A63,IF($A63='Données projet'!$A$486,'Données projet'!$B$486,NG62+NF63-NO62)))</f>
        <v>0</v>
      </c>
      <c r="NH63" s="17" t="e">
        <f>NG63*VLOOKUP('Données projet'!$B$26,Paramètres!$A$1:$I$89,3,0)*VLOOKUP('Données projet'!$B$26,Paramètres!$A$1:$I$89,5,0)</f>
        <v>#N/A</v>
      </c>
      <c r="NI63" s="13" t="e">
        <f t="shared" si="109"/>
        <v>#N/A</v>
      </c>
      <c r="NJ63" s="14" t="e">
        <f t="shared" si="52"/>
        <v>#N/A</v>
      </c>
      <c r="NK63" s="59" t="e">
        <f t="shared" si="53"/>
        <v>#N/A</v>
      </c>
      <c r="NL63" s="20" t="e">
        <f ca="1">AVERAGE(OFFSET($NK$3,0,0,'Données projet'!$E$26+1,1))-AVERAGE(OFFSET($H$3,0,0,'Données projet'!$E$26+1,1))</f>
        <v>#N/A</v>
      </c>
      <c r="NM63" s="59" t="e">
        <f t="shared" si="110"/>
        <v>#N/A</v>
      </c>
      <c r="NN63" s="15">
        <f>IF(ISNA(VLOOKUP($A63,'Données projet'!$A$486:$I$506,3,0)),0,VLOOKUP($A63,'Données projet'!$A$486:$I$506,3,0))</f>
        <v>0</v>
      </c>
      <c r="NO63" s="15">
        <f>IF(ISNA(VLOOKUP($A63,'Données projet'!$A$486:$I$506,4,0)),0,VLOOKUP($A63,'Données projet'!$A$486:$I$506,4,0))</f>
        <v>0</v>
      </c>
      <c r="NP63" s="16">
        <f>IF(ISNA(VLOOKUP($A63,'Données projet'!$A$486:$I$506,5,0)),0%,VLOOKUP($A63,'Données projet'!$A$486:$I$506,5,0)*VLOOKUP('Données projet'!$B$26,Paramètres!$A$1:$I$89,7,0))</f>
        <v>0</v>
      </c>
      <c r="NQ63" s="16">
        <f>IF(ISNA(VLOOKUP($A63,'Données projet'!$A$486:$I$506,6,0)),0%,VLOOKUP($A63,'Données projet'!$A$486:$I$506,6,0)*VLOOKUP('Données projet'!$B$26,Paramètres!$A$1:$I$89,7,0))</f>
        <v>0</v>
      </c>
      <c r="NR63" s="16">
        <f>IF(ISNA(VLOOKUP($A63,'Données projet'!$A$486:$I$506,7,0)),0%,VLOOKUP($A63,'Données projet'!$A$486:$I$506,7,0))</f>
        <v>0</v>
      </c>
      <c r="NS63" s="21" t="e">
        <f>EXP(-LN(2)/35)*NS62+(1-EXP(-LN(2)/35))/(LN(2)/35)*NO63*NP63*VLOOKUP('Données projet'!$B$26,Paramètres!$A$1:$I$89,3,0)*0.475*44/12</f>
        <v>#N/A</v>
      </c>
      <c r="NT63" s="21" t="e">
        <f>EXP(-LN(2)/25)*NT62+(1-EXP(-LN(2)/25))/(LN(2)/25)*Calculateur!NO63*Calculateur!NQ63*VLOOKUP('Données projet'!$B$26,Paramètres!$A$1:$I$89,3,0)*0.475*44/12</f>
        <v>#N/A</v>
      </c>
      <c r="NU63" s="21" t="e">
        <f>EXP(-LN(2)/2)*NU62+(1-EXP(-LN(2)/2))/(LN(2)/2)*NO63*NR63*VLOOKUP('Données projet'!$B$26,Paramètres!$A$1:$I$89,3,0)*0.475*44/12</f>
        <v>#N/A</v>
      </c>
      <c r="NV63" s="22" t="e">
        <f t="shared" si="111"/>
        <v>#N/A</v>
      </c>
      <c r="NW63" s="74">
        <f>('Scénario référence'!$F$8+'Scénario référence'!$F$9+'Scénario référence'!$B$17+'Scénario référence'!$B$9+'Scénario référence'!$B$10)*70+IF((45+25*(1-EXP(-0.0175*$A63)))&lt;70,'Scénario référence'!$B$16*(45+25*(1-EXP(-0.0175*$A63))),70*'Scénario référence'!$B$16)+IF((32+38*(1-EXP(-0.0175*$A63)))&lt;70,'Scénario référence'!$B$18*(32+38*(1-EXP(-0.0175*$A63))),70*'Scénario référence'!$B$18)</f>
        <v>70</v>
      </c>
      <c r="NX63" s="12">
        <f>IF($A63&gt;30,10,('Scénario référence'!$B$16+'Scénario référence'!$B$17+'Scénario référence'!$B$18+'Scénario référence'!$B$9+'Scénario référence'!$B$10)*$A63*10/30+('Scénario référence'!$F$8+'Scénario référence'!$F$9)*10)</f>
        <v>10</v>
      </c>
      <c r="NY63" s="12" t="e">
        <f>VLOOKUP($A63,'Données projet'!$A$512:$I$532,2,0)</f>
        <v>#N/A</v>
      </c>
      <c r="NZ63" s="12" t="e">
        <f>VLOOKUP($A63,'Données projet'!$A$512:$I$532,9,0)</f>
        <v>#N/A</v>
      </c>
      <c r="OA63" s="12">
        <f t="array" ref="OA63">INDEX(NZ:NZ,MIN(IF(ISNUMBER(NZ63:NZ259),ROW(NZ63:NZ259),"")))</f>
        <v>0</v>
      </c>
      <c r="OB63" s="12">
        <f>IF('Données projet'!$A$512&gt;35,OB62+OA63-OJ62,IF($A63&lt;'Données projet'!$A$512,$CQ$205^$A63,IF($A63='Données projet'!$A$512,'Données projet'!$B$512,OB62+OA63-OJ62)))</f>
        <v>0</v>
      </c>
      <c r="OC63" s="17" t="e">
        <f>OB63*VLOOKUP('Données projet'!$B$27,Paramètres!$A$1:$I$89,3,0)*VLOOKUP('Données projet'!$B$27,Paramètres!$A$1:$I$89,5,0)</f>
        <v>#N/A</v>
      </c>
      <c r="OD63" s="13" t="e">
        <f t="shared" si="112"/>
        <v>#N/A</v>
      </c>
      <c r="OE63" s="14" t="e">
        <f t="shared" si="55"/>
        <v>#N/A</v>
      </c>
      <c r="OF63" s="59" t="e">
        <f t="shared" si="56"/>
        <v>#N/A</v>
      </c>
      <c r="OG63" s="20" t="e">
        <f ca="1">AVERAGE(OFFSET($OF$3,0,0,'Données projet'!$E$27+1,1))-AVERAGE(OFFSET($H$3,0,0,'Données projet'!$E$27+1,1))</f>
        <v>#N/A</v>
      </c>
      <c r="OH63" s="59" t="e">
        <f t="shared" si="113"/>
        <v>#N/A</v>
      </c>
      <c r="OI63" s="15">
        <f>IF(ISNA(VLOOKUP($A63,'Données projet'!$A$512:$I$532,3,0)),0,VLOOKUP($A63,'Données projet'!$A$512:$I$532,3,0))</f>
        <v>0</v>
      </c>
      <c r="OJ63" s="15">
        <f>IF(ISNA(VLOOKUP($A63,'Données projet'!$A$512:$I$532,4,0)),0,VLOOKUP($A63,'Données projet'!$A$512:$I$532,4,0))</f>
        <v>0</v>
      </c>
      <c r="OK63" s="16">
        <f>IF(ISNA(VLOOKUP($A63,'Données projet'!$A$512:$I$532,5,0)),0%,VLOOKUP($A63,'Données projet'!$A$512:$I$532,5,0)*VLOOKUP('Données projet'!$B$27,Paramètres!$A$1:$I$89,7,0))</f>
        <v>0</v>
      </c>
      <c r="OL63" s="16">
        <f>IF(ISNA(VLOOKUP($A63,'Données projet'!$A$512:$I$532,6,0)),0%,VLOOKUP($A63,'Données projet'!$A$512:$I$532,6,0)*VLOOKUP('Données projet'!$B$27,Paramètres!$A$1:$I$89,7,0))</f>
        <v>0</v>
      </c>
      <c r="OM63" s="16">
        <f>IF(ISNA(VLOOKUP($A63,'Données projet'!$A$512:$I$532,7,0)),0%,VLOOKUP($A63,'Données projet'!$A$512:$I$532,7,0))</f>
        <v>0</v>
      </c>
      <c r="ON63" s="21" t="e">
        <f>EXP(-LN(2)/35)*ON62+(1-EXP(-LN(2)/35))/(LN(2)/35)*OJ63*OK63*VLOOKUP('Données projet'!$B$27,Paramètres!$A$1:$I$89,3,0)*0.475*44/12</f>
        <v>#N/A</v>
      </c>
      <c r="OO63" s="21" t="e">
        <f>EXP(-LN(2)/25)*OO62+(1-EXP(-LN(2)/25))/(LN(2)/25)*Calculateur!OJ63*Calculateur!OL63*VLOOKUP('Données projet'!$B$27,Paramètres!$A$1:$I$89,3,0)*0.475*44/12</f>
        <v>#N/A</v>
      </c>
      <c r="OP63" s="21" t="e">
        <f>EXP(-LN(2)/2)*OP62+(1-EXP(-LN(2)/2))/(LN(2)/2)*OJ63*OM63*VLOOKUP('Données projet'!$B$27,Paramètres!$A$1:$I$89,3,0)*0.475*44/12</f>
        <v>#N/A</v>
      </c>
      <c r="OQ63" s="22" t="e">
        <f t="shared" si="114"/>
        <v>#N/A</v>
      </c>
      <c r="OR63" s="74">
        <f>('Scénario référence'!$F$8+'Scénario référence'!$F$9+'Scénario référence'!$B$17+'Scénario référence'!$B$9+'Scénario référence'!$B$10)*70+IF((45+25*(1-EXP(-0.0175*$A63)))&lt;70,'Scénario référence'!$B$16*(45+25*(1-EXP(-0.0175*$A63))),70*'Scénario référence'!$B$16)+IF((32+38*(1-EXP(-0.0175*$A63)))&lt;70,'Scénario référence'!$B$18*(32+38*(1-EXP(-0.0175*$A63))),70*'Scénario référence'!$B$18)</f>
        <v>70</v>
      </c>
      <c r="OS63" s="12">
        <f>IF($A63&gt;30,10,('Scénario référence'!$B$16+'Scénario référence'!$B$17+'Scénario référence'!$B$18+'Scénario référence'!$B$9+'Scénario référence'!$B$10)*$A63*10/30+('Scénario référence'!$F$8+'Scénario référence'!$F$9)*10)</f>
        <v>10</v>
      </c>
      <c r="OT63" s="12" t="e">
        <f>VLOOKUP($A63,'Données projet'!$A$538:$I$558,2,0)</f>
        <v>#N/A</v>
      </c>
      <c r="OU63" s="12" t="e">
        <f>VLOOKUP($A63,'Données projet'!$A$538:$I$558,9,0)</f>
        <v>#N/A</v>
      </c>
      <c r="OV63" s="12">
        <f t="array" ref="OV63">INDEX(OU:OU,MIN(IF(ISNUMBER(OU63:OU259),ROW(OU63:OU259),"")))</f>
        <v>0</v>
      </c>
      <c r="OW63" s="12">
        <f>IF('Données projet'!$A$538&gt;35,OW62+OV63-PE62,IF($A63&lt;'Données projet'!$A$538,$CQ$205^$A63,IF($A63='Données projet'!$A$538,'Données projet'!$B$538,OW62+OV63-PE62)))</f>
        <v>0</v>
      </c>
      <c r="OX63" s="17" t="e">
        <f>OW63*VLOOKUP('Données projet'!$B$28,Paramètres!$A$1:$I$89,3,0)*VLOOKUP('Données projet'!$B$28,Paramètres!$A$1:$I$89,5,0)</f>
        <v>#N/A</v>
      </c>
      <c r="OY63" s="13" t="e">
        <f t="shared" si="115"/>
        <v>#N/A</v>
      </c>
      <c r="OZ63" s="14" t="e">
        <f t="shared" si="58"/>
        <v>#N/A</v>
      </c>
      <c r="PA63" s="59" t="e">
        <f t="shared" si="59"/>
        <v>#N/A</v>
      </c>
      <c r="PB63" s="20" t="e">
        <f ca="1">AVERAGE(OFFSET($PA$3,0,0,'Données projet'!$E$28+1,1))-AVERAGE(OFFSET($H$3,0,0,'Données projet'!$E$28+1,1))</f>
        <v>#N/A</v>
      </c>
      <c r="PC63" s="59" t="e">
        <f t="shared" si="116"/>
        <v>#N/A</v>
      </c>
      <c r="PD63" s="15">
        <f>IF(ISNA(VLOOKUP($A63,'Données projet'!$A$538:$I$558,3,0)),0,VLOOKUP($A63,'Données projet'!$A$538:$I$558,3,0))</f>
        <v>0</v>
      </c>
      <c r="PE63" s="15">
        <f>IF(ISNA(VLOOKUP($A63,'Données projet'!$A$538:$I$558,4,0)),0,VLOOKUP($A63,'Données projet'!$A$538:$I$558,4,0))</f>
        <v>0</v>
      </c>
      <c r="PF63" s="16">
        <f>IF(ISNA(VLOOKUP($A63,'Données projet'!$A$538:$I$558,5,0)),0%,VLOOKUP($A63,'Données projet'!$A$538:$I$558,5,0)*VLOOKUP('Données projet'!$B$28,Paramètres!$A$1:$I$89,7,0))</f>
        <v>0</v>
      </c>
      <c r="PG63" s="16">
        <f>IF(ISNA(VLOOKUP($A63,'Données projet'!$A$538:$I$558,6,0)),0%,VLOOKUP($A63,'Données projet'!$A$538:$I$558,6,0)*VLOOKUP('Données projet'!$B$28,Paramètres!$A$1:$I$89,7,0))</f>
        <v>0</v>
      </c>
      <c r="PH63" s="16">
        <f>IF(ISNA(VLOOKUP($A63,'Données projet'!$A$538:$I$558,7,0)),0%,VLOOKUP($A63,'Données projet'!$A$538:$I$558,7,0))</f>
        <v>0</v>
      </c>
      <c r="PI63" s="21" t="e">
        <f>EXP(-LN(2)/35)*PI62+(1-EXP(-LN(2)/35))/(LN(2)/35)*PE63*PF63*VLOOKUP('Données projet'!$B$28,Paramètres!$A$1:$I$89,3,0)*0.475*44/12</f>
        <v>#N/A</v>
      </c>
      <c r="PJ63" s="21" t="e">
        <f>EXP(-LN(2)/25)*PJ62+(1-EXP(-LN(2)/25))/(LN(2)/25)*Calculateur!PE63*Calculateur!PG63*VLOOKUP('Données projet'!$B$28,Paramètres!$A$1:$I$89,3,0)*0.475*44/12</f>
        <v>#N/A</v>
      </c>
      <c r="PK63" s="21" t="e">
        <f>EXP(-LN(2)/2)*PK62+(1-EXP(-LN(2)/2))/(LN(2)/2)*PE63*PH63*VLOOKUP('Données projet'!$B$28,Paramètres!$A$1:$I$89,3,0)*0.475*44/12</f>
        <v>#N/A</v>
      </c>
      <c r="PL63" s="22" t="e">
        <f t="shared" si="117"/>
        <v>#N/A</v>
      </c>
    </row>
    <row r="64" spans="1:428" x14ac:dyDescent="0.35">
      <c r="A64" s="10">
        <f t="shared" si="6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6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projet'!$A$45:$I$65,2,0)</f>
        <v>#N/A</v>
      </c>
      <c r="L64" s="12" t="e">
        <f>VLOOKUP(A64,'Données projet'!$A$45:$I$65,9,0)</f>
        <v>#N/A</v>
      </c>
      <c r="M64" s="12">
        <f t="array" ref="M64">INDEX(L:L,MIN(IF(ISNUMBER(L64:L260),ROW(L64:L260),"")))</f>
        <v>0</v>
      </c>
      <c r="N64" s="13">
        <f>IF('Données projet'!$A$46&gt;35,N63+M64-V63,IF(A64&lt;'Données projet'!$A$46,$K$205^A64,IF(A64='Données projet'!$A$46,'Données projet'!$B$46,N63+M64-V63)))</f>
        <v>-1.1368683772161603E-13</v>
      </c>
      <c r="O64" s="13">
        <f>N64*VLOOKUP('Données projet'!$B$9,Paramètres!$A$1:$I$89,3,0)*VLOOKUP('Données projet'!$B$9,Paramètres!$A$1:$I$89,5,0)</f>
        <v>-6.3550942286383367E-14</v>
      </c>
      <c r="P64" s="13" t="e">
        <f t="shared" si="63"/>
        <v>#NUM!</v>
      </c>
      <c r="Q64" s="20" t="e">
        <f t="shared" si="118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274.57619581652199</v>
      </c>
      <c r="T64" s="59">
        <f t="shared" si="64"/>
        <v>366.15117322598775</v>
      </c>
      <c r="U64" s="15">
        <f>IF(ISNA(VLOOKUP(A64,'Données projet'!$A$45:$I$65,3,0)),0,VLOOKUP(A64,'Données projet'!$A$45:$I$65,3,0))</f>
        <v>0</v>
      </c>
      <c r="V64" s="15">
        <f>IF(ISNA(VLOOKUP(A64,'Données projet'!$A$45:$I$65,4,0)),0,VLOOKUP(A64,'Données projet'!$A$45:$I$65,4,0))</f>
        <v>0</v>
      </c>
      <c r="W64" s="16">
        <f>IF(ISNA(VLOOKUP(A64,'Données projet'!$A$45:$I$65,5,0)),0%,VLOOKUP(A64,'Données projet'!$A$45:$I$65,5,0)*VLOOKUP('Données projet'!$B$9,Paramètres!$A$1:$I$89,7,0))</f>
        <v>0</v>
      </c>
      <c r="X64" s="16">
        <f>IF(ISNA(VLOOKUP(A64,'Données projet'!$A$45:$I$65,6,0)),0%,VLOOKUP(A64,'Données projet'!$A$45:$I$65,6,0)*VLOOKUP('Données projet'!$B$9,Paramètres!$A$1:$I$89,7,0))</f>
        <v>0</v>
      </c>
      <c r="Y64" s="16">
        <f>IF(ISNA(VLOOKUP(A64,'Données projet'!$A$45:$I$65,7,0)),0%,VLOOKUP(A64,'Données projet'!$A$45:$I$65,7,0))</f>
        <v>0</v>
      </c>
      <c r="Z64" s="21">
        <f>EXP(-LN(2)/35)*Z63+(1-EXP(-LN(2)/35))/(LN(2)/35)*V64*W64*VLOOKUP('Données projet'!$B$9,Paramètres!$A$1:$I$89,3,0)*0.475*44/12</f>
        <v>201.26309695039652</v>
      </c>
      <c r="AA64" s="21">
        <f>EXP(-LN(2)/25)*AA63+(1-EXP(-LN(2)/25))/(LN(2)/25)*Calculateur!V64*Calculateur!X64*VLOOKUP('Données projet'!$B$9,Paramètres!$A$1:$I$89,3,0)*0.475*44/12</f>
        <v>48.779033324820801</v>
      </c>
      <c r="AB64" s="21">
        <f>EXP(-LN(2)/2)*AB63+(1-EXP(-LN(2)/2))/(LN(2)/2)*V64*Y64*VLOOKUP('Données projet'!$B$9,Paramètres!$A$1:$I$89,3,0)*0.475*44/12</f>
        <v>4.2701630005140592</v>
      </c>
      <c r="AC64" s="22">
        <f t="shared" si="3"/>
        <v>254.31229327573138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projet'!$A$71:$I$91,2,0)</f>
        <v>#N/A</v>
      </c>
      <c r="AG64" s="12" t="e">
        <f>VLOOKUP(A64,'Données projet'!$A$71:$I$91,9,0)</f>
        <v>#N/A</v>
      </c>
      <c r="AH64" s="12">
        <f t="array" ref="AH64">INDEX(AG:AG,MIN(IF(ISNUMBER(AG64:AG260),ROW(AG64:AG260),"")))</f>
        <v>8.374198717948719</v>
      </c>
      <c r="AI64" s="13">
        <f>IF('Données projet'!$A$72&gt;35,AI63+AH64-AQ63,IF(A64&lt;'Données projet'!$A$72,$AF$205^A64,IF(A64='Données projet'!$A$72,'Données projet'!$B$72,AI63+AH64-AQ63)))</f>
        <v>203.5400641025642</v>
      </c>
      <c r="AJ64" s="13">
        <f>AI64*VLOOKUP('Données projet'!$B$10,Paramètres!$A$1:$I$89,3,0)*VLOOKUP('Données projet'!$B$10,Paramètres!$A$1:$I$89,5,0)</f>
        <v>184.16305000000008</v>
      </c>
      <c r="AK64" s="13">
        <f t="shared" si="65"/>
        <v>46.247151975893182</v>
      </c>
      <c r="AL64" s="20">
        <f t="shared" si="4"/>
        <v>401.29776844134739</v>
      </c>
      <c r="AM64" s="59">
        <f t="shared" si="5"/>
        <v>694.6311017746807</v>
      </c>
      <c r="AN64" s="59">
        <f ca="1">AVERAGE(OFFSET($AM$3,0,0,'Données projet'!$E$10+1,1))-AVERAGE(OFFSET($H$3,0,0,'Données projet'!$E$10+1,1))</f>
        <v>270.87836509222456</v>
      </c>
      <c r="AO64" s="59">
        <f t="shared" si="66"/>
        <v>205.24998237949734</v>
      </c>
      <c r="AP64" s="15">
        <f>IF(ISNA(VLOOKUP(A64,'Données projet'!$A$71:$I$91,3,0)),0,VLOOKUP(A64,'Données projet'!$A$71:$I$91,3,0))</f>
        <v>0</v>
      </c>
      <c r="AQ64" s="15">
        <f>IF(ISNA(VLOOKUP(A64,'Données projet'!$A$71:$I$91,4,0)),0,VLOOKUP(A64,'Données projet'!$A$71:$I$91,4,0))</f>
        <v>0</v>
      </c>
      <c r="AR64" s="16">
        <f>IF(ISNA(VLOOKUP(A64,'Données projet'!$A$71:$I$91,5,0)),0%,VLOOKUP(A64,'Données projet'!$A$71:$I$91,5,0)*VLOOKUP('Données projet'!$B$10,Paramètres!$A$1:$I$89,7,0))</f>
        <v>0</v>
      </c>
      <c r="AS64" s="16">
        <f>IF(ISNA(VLOOKUP(A64,'Données projet'!$A$71:$I$91,6,0)),0%,VLOOKUP(A64,'Données projet'!$A$71:$I$91,6,0)*VLOOKUP('Données projet'!$B$10,Paramètres!$A$1:$I$89,7,0))</f>
        <v>0</v>
      </c>
      <c r="AT64" s="16">
        <f>IF(ISNA(VLOOKUP(A64,'Données projet'!$A$71:$I$91,7,0)),0%,VLOOKUP(A64,'Données projet'!$A$71:$I$91,7,0))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projet'!$A$97:$I$117,2,0)</f>
        <v>#N/A</v>
      </c>
      <c r="BB64" s="12" t="e">
        <f>VLOOKUP(A64,'Données projet'!$A$97:$I$117,9,0)</f>
        <v>#N/A</v>
      </c>
      <c r="BC64" s="12">
        <f t="array" ref="BC64">INDEX(BB:BB,MIN(IF(ISNUMBER(BB64:BB260),ROW(BB64:BB260),"")))</f>
        <v>0</v>
      </c>
      <c r="BD64" s="12">
        <f>IF('Données projet'!$A$98&gt;35,BD63+BC64-BL63,IF(A64&lt;'Données projet'!$A$98,$BA$205^A64,IF(A64='Données projet'!$A$98,'Données projet'!$B$98,BD63+BC64-BL63)))</f>
        <v>-1.1368683772161603E-13</v>
      </c>
      <c r="BE64" s="13">
        <f>BD64*VLOOKUP('Données projet'!$B$11,Paramètres!$A$1:$I$89,3,0)*VLOOKUP('Données projet'!$B$11,Paramètres!$A$1:$I$89,5,0)</f>
        <v>-5.0249582272954292E-14</v>
      </c>
      <c r="BF64" s="13" t="e">
        <f t="shared" si="6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211.31057120485542</v>
      </c>
      <c r="BJ64" s="59">
        <f t="shared" si="68"/>
        <v>283.33292006714777</v>
      </c>
      <c r="BK64" s="15">
        <f>IF(ISNA(VLOOKUP(A64,'Données projet'!$A$97:$I$117,3,0)),0,VLOOKUP(A64,'Données projet'!$A$97:$I$117,3,0))</f>
        <v>0</v>
      </c>
      <c r="BL64" s="15">
        <f>IF(ISNA(VLOOKUP(A64,'Données projet'!$A$97:$I$117,4,0)),0,VLOOKUP(A64,'Données projet'!$A$97:$I$117,4,0))</f>
        <v>0</v>
      </c>
      <c r="BM64" s="16">
        <f>IF(ISNA(VLOOKUP(A64,'Données projet'!$A$97:$I$117,5,0)),0%,VLOOKUP(A64,'Données projet'!$A$97:$I$117,5,0)*VLOOKUP('Données projet'!$B$11,Paramètres!$A$1:$I$89,7,0))</f>
        <v>0</v>
      </c>
      <c r="BN64" s="16">
        <f>IF(ISNA(VLOOKUP(A64,'Données projet'!$A$97:$I$117,6,0)),0%,VLOOKUP(A64,'Données projet'!$A$97:$I$117,6,0)*VLOOKUP('Données projet'!$B$11,Paramètres!$A$1:$I$89,7,0))</f>
        <v>0</v>
      </c>
      <c r="BO64" s="16">
        <f>IF(ISNA(VLOOKUP(A64,'Données projet'!$A$97:$I$117,7,0)),0%,VLOOKUP(A64,'Données projet'!$A$97:$I$117,7,0))</f>
        <v>0</v>
      </c>
      <c r="BP64" s="21">
        <f>EXP(-LN(2)/35)*BP63+(1-EXP(-LN(2)/35))/(LN(2)/35)*BL64*BM64*VLOOKUP('Données projet'!$B$11,Paramètres!$A$1:$I$89,3,0)*0.475*44/12</f>
        <v>159.13826270496469</v>
      </c>
      <c r="BQ64" s="21">
        <f>EXP(-LN(2)/25)*BQ63+(1-EXP(-LN(2)/25))/(LN(2)/25)*Calculateur!BL64*Calculateur!BN64*VLOOKUP('Données projet'!$B$11,Paramètres!$A$1:$I$89,3,0)*0.475*44/12</f>
        <v>38.569468210323429</v>
      </c>
      <c r="BR64" s="21">
        <f>EXP(-LN(2)/2)*BR63+(1-EXP(-LN(2)/2))/(LN(2)/2)*BL64*BO64*VLOOKUP('Données projet'!$B$11,Paramètres!$A$1:$I$89,3,0)*0.475*44/12</f>
        <v>3.3764079538948368</v>
      </c>
      <c r="BS64" s="22">
        <f t="shared" si="9"/>
        <v>201.08413886918296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projet'!$A$123:$I$143,2,0)</f>
        <v>#N/A</v>
      </c>
      <c r="BW64" s="12" t="e">
        <f>VLOOKUP(A64,'Données projet'!$A$123:$I$143,9,0)</f>
        <v>#N/A</v>
      </c>
      <c r="BX64" s="12">
        <f t="array" ref="BX64">INDEX(BW:BW,MIN(IF(ISNUMBER(BW64:BW260),ROW(BW64:BW260),"")))</f>
        <v>5.6</v>
      </c>
      <c r="BY64" s="12">
        <f>IF('Données projet'!$A$124&gt;35,BY63+BX64-CG63,IF(A64&lt;'Données projet'!$A$124,$BV$205^A64,IF(A64='Données projet'!$A$124,'Données projet'!$B$124,BY63+BX64-CG63)))</f>
        <v>209.60000000000002</v>
      </c>
      <c r="BZ64" s="13">
        <f>BY64*VLOOKUP('Données projet'!$B$12,Paramètres!$A$1:$I$89,3,0)*VLOOKUP('Données projet'!$B$12,Paramètres!$A$1:$I$89,5,0)</f>
        <v>219.07392000000004</v>
      </c>
      <c r="CA64" s="13">
        <f t="shared" si="69"/>
        <v>53.913557419387772</v>
      </c>
      <c r="CB64" s="20">
        <f t="shared" si="10"/>
        <v>475.45318983876706</v>
      </c>
      <c r="CC64" s="59">
        <f t="shared" si="11"/>
        <v>768.78652317210037</v>
      </c>
      <c r="CD64" s="59">
        <f ca="1">AVERAGE(OFFSET($CC$3,0,0,'Données projet'!$E$12+1,1))-AVERAGE(OFFSET($H$3,0,0,'Données projet'!$E$12+1,1))</f>
        <v>322.93502595881938</v>
      </c>
      <c r="CE64" s="59">
        <f t="shared" si="70"/>
        <v>302.67072119588164</v>
      </c>
      <c r="CF64" s="15">
        <f>IF(ISNA(VLOOKUP(A64,'Données projet'!$A$123:$I$143,3,0)),0,VLOOKUP(A64,'Données projet'!$A$123:$I$143,3,0))</f>
        <v>0</v>
      </c>
      <c r="CG64" s="15">
        <f>IF(ISNA(VLOOKUP(A64,'Données projet'!$A$123:$I$143,4,0)),0,VLOOKUP(A64,'Données projet'!$A$123:$I$143,4,0))</f>
        <v>0</v>
      </c>
      <c r="CH64" s="16">
        <f>IF(ISNA(VLOOKUP(A64,'Données projet'!$A$123:$I$143,5,0)),0%,VLOOKUP(A64,'Données projet'!$A$123:$I$143,5,0)*VLOOKUP('Données projet'!$B$12,Paramètres!$A$1:$I$89,7,0))</f>
        <v>0</v>
      </c>
      <c r="CI64" s="16">
        <f>IF(ISNA(VLOOKUP(A64,'Données projet'!$A$123:$I$143,6,0)),0%,VLOOKUP(A64,'Données projet'!$A$123:$I$143,6,0)*VLOOKUP('Données projet'!$B$12,Paramètres!$A$1:$I$89,7,0))</f>
        <v>0</v>
      </c>
      <c r="CJ64" s="16">
        <f>IF(ISNA(VLOOKUP(A64,'Données projet'!$A$123:$I$143,7,0)),0%,VLOOKUP(A64,'Données projet'!$A$123:$I$143,7,0))</f>
        <v>0</v>
      </c>
      <c r="CK64" s="21">
        <f>EXP(-LN(2)/35)*CK63+(1-EXP(-LN(2)/35))/(LN(2)/35)*CG64*CH64*VLOOKUP('Données projet'!$B$12,Paramètres!$A$1:$I$89,3,0)*0.475*44/12</f>
        <v>16.773156361478094</v>
      </c>
      <c r="CL64" s="21">
        <f>EXP(-LN(2)/25)*CL63+(1-EXP(-LN(2)/25))/(LN(2)/25)*Calculateur!CG64*Calculateur!CI64*VLOOKUP('Données projet'!$B$12,Paramètres!$A$1:$I$89,3,0)*0.475*44/12</f>
        <v>21.684625397321124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38.457781758799214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projet'!$A$149:$I$169,2,0)</f>
        <v>#N/A</v>
      </c>
      <c r="CR64" s="12" t="e">
        <f>VLOOKUP(A64,'Données projet'!$A$149:$I$169,9,0)</f>
        <v>#N/A</v>
      </c>
      <c r="CS64" s="12">
        <f t="array" ref="CS64">INDEX(CR:CR,MIN(IF(ISNUMBER(CR64:CR260),ROW(CR64:CR260),"")))</f>
        <v>5.9431089743589762</v>
      </c>
      <c r="CT64" s="12">
        <f>IF('Données projet'!$A$150&gt;35,CT63+CS64-DB63,IF(A64&lt;'Données projet'!$A$150,$CQ$205^A64,IF(A64='Données projet'!$A$150,'Données projet'!$B$150,CT63+CS64-DB63)))</f>
        <v>132.2003205128205</v>
      </c>
      <c r="CU64" s="17">
        <f>CT64*VLOOKUP('Données projet'!$B$13,Paramètres!$A$1:$I$89,3,0)*VLOOKUP('Données projet'!$B$13,Paramètres!$A$1:$I$89,5,0)</f>
        <v>134.05112499999998</v>
      </c>
      <c r="CV64" s="13">
        <f t="shared" si="71"/>
        <v>34.930776988059094</v>
      </c>
      <c r="CW64" s="20">
        <f t="shared" si="13"/>
        <v>294.31014596253618</v>
      </c>
      <c r="CX64" s="59">
        <f t="shared" si="14"/>
        <v>587.6434792958695</v>
      </c>
      <c r="CY64" s="59">
        <f ca="1">AVERAGE(OFFSET($CX$3,0,0,'Données projet'!$E$13+1,1))-AVERAGE(OFFSET($H$3,0,0,'Données projet'!$E$13+1,1))</f>
        <v>250.31277422753283</v>
      </c>
      <c r="CZ64" s="59">
        <f t="shared" si="72"/>
        <v>159.20429420478047</v>
      </c>
      <c r="DA64" s="15">
        <f>IF(ISNA(VLOOKUP(A64,'Données projet'!$A$149:$I$169,3,0)),0,VLOOKUP(A64,'Données projet'!$A$149:$I$169,3,0))</f>
        <v>0</v>
      </c>
      <c r="DB64" s="15">
        <f>IF(ISNA(VLOOKUP(A64,'Données projet'!$A$149:$I$169,4,0)),0,VLOOKUP(A64,'Données projet'!$A$149:$I$169,4,0))</f>
        <v>0</v>
      </c>
      <c r="DC64" s="16">
        <f>IF(ISNA(VLOOKUP(A64,'Données projet'!$A$149:$I$169,5,0)),0%,VLOOKUP(A64,'Données projet'!$A$149:$I$169,5,0)*VLOOKUP('Données projet'!$B$13,Paramètres!$A$1:$I$89,7,0))</f>
        <v>0</v>
      </c>
      <c r="DD64" s="16">
        <f>IF(ISNA(VLOOKUP(A64,'Données projet'!$A$149:$I$169,6,0)),0%,VLOOKUP(A64,'Données projet'!$A$149:$I$169,6,0)*VLOOKUP('Données projet'!$B$13,Paramètres!$A$1:$I$89,7,0))</f>
        <v>0</v>
      </c>
      <c r="DE64" s="16">
        <f>IF(ISNA(VLOOKUP(A64,'Données projet'!$A$149:$I$169,7,0)),0%,VLOOKUP(A64,'Données projet'!$A$149:$I$169,7,0))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0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projet'!$A$175:$I$195,2,0)</f>
        <v>#N/A</v>
      </c>
      <c r="DM64" s="12" t="e">
        <f>VLOOKUP(A64,'Données projet'!$A$175:$I$195,9,0)</f>
        <v>#N/A</v>
      </c>
      <c r="DN64" s="12">
        <f t="array" ref="DN64">INDEX(DM:DM,MIN(IF(ISNUMBER(DM64:DM260),ROW(DM64:DM260),"")))</f>
        <v>6</v>
      </c>
      <c r="DO64" s="12">
        <f>IF('Données projet'!$A$176&gt;35,DO63+DN64-DW63,IF(A64&lt;'Données projet'!$A$176,$DL$205^A64,IF(A64='Données projet'!$A$176,'Données projet'!$B$176,DO63+DN64-DW63)))</f>
        <v>331.99999999999972</v>
      </c>
      <c r="DP64" s="17">
        <f>DO64*VLOOKUP('Données projet'!$B$14,Paramètres!$A$1:$I$89,3,0)*VLOOKUP('Données projet'!$B$14,Paramètres!$A$1:$I$89,5,0)</f>
        <v>243.42239999999978</v>
      </c>
      <c r="DQ64" s="13">
        <f t="shared" si="73"/>
        <v>59.175268615646175</v>
      </c>
      <c r="DR64" s="20">
        <f t="shared" si="16"/>
        <v>527.02427283891677</v>
      </c>
      <c r="DS64" s="59">
        <f t="shared" si="17"/>
        <v>820.35760617225014</v>
      </c>
      <c r="DT64" s="59">
        <f ca="1">AVERAGE(OFFSET($DS$3,0,0,'Données projet'!$E$14+1,1))-AVERAGE(OFFSET($H$3,0,0,'Données projet'!$E$14+1,1))</f>
        <v>296.91321813251051</v>
      </c>
      <c r="DU64" s="59">
        <f t="shared" si="74"/>
        <v>291.0718079639509</v>
      </c>
      <c r="DV64" s="15">
        <f>IF(ISNA(VLOOKUP(A64,'Données projet'!$A$175:$I$195,3,0)),0,VLOOKUP(A64,'Données projet'!$A$175:$I$195,3,0))</f>
        <v>0</v>
      </c>
      <c r="DW64" s="15">
        <f>IF(ISNA(VLOOKUP(A64,'Données projet'!$A$175:$I$195,4,0)),0,VLOOKUP(A64,'Données projet'!$A$175:$I$195,4,0))</f>
        <v>0</v>
      </c>
      <c r="DX64" s="16">
        <f>IF(ISNA(VLOOKUP(A64,'Données projet'!$A$175:$I$195,5,0)),0%,VLOOKUP(A64,'Données projet'!$A$175:$I$195,5,0)*VLOOKUP('Données projet'!$B$14,Paramètres!$A$1:$I$89,7,0))</f>
        <v>0</v>
      </c>
      <c r="DY64" s="16">
        <f>IF(ISNA(VLOOKUP(A64,'Données projet'!$A$175:$I$195,6,0)),0%,VLOOKUP(A64,'Données projet'!$A$175:$I$195,6,0)*VLOOKUP('Données projet'!$B$14,Paramètres!$A$1:$I$89,7,0))</f>
        <v>0</v>
      </c>
      <c r="DZ64" s="16">
        <f>IF(ISNA(VLOOKUP(A64,'Données projet'!$A$175:$I$195,7,0)),0%,VLOOKUP(A64,'Données projet'!$A$175:$I$195,7,0))</f>
        <v>0</v>
      </c>
      <c r="EA64" s="21">
        <f>EXP(-LN(2)/35)*EA63+(1-EXP(-LN(2)/35))/(LN(2)/35)*DW64*DX64*VLOOKUP('Données projet'!$B$14,Paramètres!$A$1:$I$89,3,0)*0.475*44/12</f>
        <v>41.77667245023494</v>
      </c>
      <c r="EB64" s="21">
        <f>EXP(-LN(2)/25)*EB63+(1-EXP(-LN(2)/25))/(LN(2)/25)*Calculateur!DW64*Calculateur!DY64*VLOOKUP('Données projet'!$B$14,Paramètres!$A$1:$I$89,3,0)*0.475*44/12</f>
        <v>7.7266784466457459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49.50335089688069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projet'!$A$201:$I$221,2,0)</f>
        <v>#N/A</v>
      </c>
      <c r="EH64" s="12" t="e">
        <f>VLOOKUP(A64,'Données projet'!$A$201:$I$221,9,0)</f>
        <v>#N/A</v>
      </c>
      <c r="EI64" s="12">
        <f t="array" ref="EI64">INDEX(EH:EH,MIN(IF(ISNUMBER(EH64:EH260),ROW(EH64:EH260),"")))</f>
        <v>10.763461538461542</v>
      </c>
      <c r="EJ64" s="12">
        <f>IF('Données projet'!$A$202&gt;35,EJ63+EI64-ER63,IF(A64&lt;'Données projet'!$A$202,$EG$205^A64,IF(A64='Données projet'!$A$202,'Données projet'!$B$202,EJ63+EI64-ER63)))</f>
        <v>329.16538461538471</v>
      </c>
      <c r="EK64" s="17">
        <f>EJ64*VLOOKUP('Données projet'!$B$15,Paramètres!$A$1:$I$89,3,0)*VLOOKUP('Données projet'!$B$15,Paramètres!$A$1:$I$89,5,0)</f>
        <v>154.04940000000005</v>
      </c>
      <c r="EL64" s="13">
        <f t="shared" si="75"/>
        <v>39.497394770746702</v>
      </c>
      <c r="EM64" s="20">
        <f t="shared" si="19"/>
        <v>337.09400089238392</v>
      </c>
      <c r="EN64" s="59">
        <f t="shared" si="20"/>
        <v>630.42733422571723</v>
      </c>
      <c r="EO64" s="59">
        <f ca="1">AVERAGE(OFFSET($EN$3,0,0,'Données projet'!$E$15+1,1))-AVERAGE(OFFSET($H$3,0,0,'Données projet'!$E$15+1,1))</f>
        <v>147.64256291235483</v>
      </c>
      <c r="EP64" s="59">
        <f t="shared" si="76"/>
        <v>70.859031694091868</v>
      </c>
      <c r="EQ64" s="15">
        <f>IF(ISNA(VLOOKUP(A64,'Données projet'!$A$201:$I$221,3,0)),0,VLOOKUP(A64,'Données projet'!$A$201:$I$221,3,0))</f>
        <v>0</v>
      </c>
      <c r="ER64" s="15">
        <f>IF(ISNA(VLOOKUP(A64,'Données projet'!$A$201:$I$221,4,0)),0,VLOOKUP(A64,'Données projet'!$A$201:$I$221,4,0))</f>
        <v>0</v>
      </c>
      <c r="ES64" s="16">
        <f>IF(ISNA(VLOOKUP(A64,'Données projet'!$A$201:$I$221,5,0)),0%,VLOOKUP(A64,'Données projet'!$A$201:$I$221,5,0)*VLOOKUP('Données projet'!$B$15,Paramètres!$A$1:$I$89,7,0))</f>
        <v>0</v>
      </c>
      <c r="ET64" s="16">
        <f>IF(ISNA(VLOOKUP(A64,'Données projet'!$A$201:$I$221,6,0)),0%,VLOOKUP(A64,'Données projet'!$A$201:$I$221,6,0)*VLOOKUP('Données projet'!$B$15,Paramètres!$A$1:$I$89,7,0))</f>
        <v>0</v>
      </c>
      <c r="EU64" s="16">
        <f>IF(ISNA(VLOOKUP(A64,'Données projet'!$A$201:$I$221,7,0)),0%,VLOOKUP(A64,'Données projet'!$A$201:$I$221,7,0))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14.478841325922032</v>
      </c>
      <c r="EX64" s="21">
        <f>EXP(-LN(2)/2)*EX63+(1-EXP(-LN(2)/2))/(LN(2)/2)*ER64*EU64*VLOOKUP('Données projet'!$B$15,Paramètres!$A$1:$I$89,3,0)*0.475*44/12</f>
        <v>0.73083330340738362</v>
      </c>
      <c r="EY64" s="22">
        <f t="shared" si="21"/>
        <v>15.209674629329415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projet'!$A$227:$I$247,2,0)</f>
        <v>#N/A</v>
      </c>
      <c r="FC64" s="12" t="e">
        <f>VLOOKUP(A64,'Données projet'!$A$227:$I$247,9,0)</f>
        <v>#N/A</v>
      </c>
      <c r="FD64" s="12">
        <f t="array" ref="FD64">INDEX(FC:FC,MIN(IF(ISNUMBER(FC64:FC260),ROW(FC64:FC260),"")))</f>
        <v>4.4000000000000004</v>
      </c>
      <c r="FE64" s="12">
        <f>IF('Données projet'!$A$228&gt;35,FE63+FD64-FM63,IF(A64&lt;'Données projet'!$A$228,$FB$205^A64,IF(A64='Données projet'!$A$228,'Données projet'!$B$228,FE63+FD64-FM63)))</f>
        <v>177.39999999999998</v>
      </c>
      <c r="FF64" s="17">
        <f>FE64*VLOOKUP('Données projet'!$B$16,Paramètres!$A$1:$I$89,3,0)*VLOOKUP('Données projet'!$B$16,Paramètres!$A$1:$I$89,5,0)</f>
        <v>185.41847999999999</v>
      </c>
      <c r="FG64" s="13">
        <f t="shared" si="77"/>
        <v>46.525609399376847</v>
      </c>
      <c r="FH64" s="20">
        <f t="shared" si="22"/>
        <v>403.96928903724796</v>
      </c>
      <c r="FI64" s="59">
        <f t="shared" si="23"/>
        <v>697.30262237058128</v>
      </c>
      <c r="FJ64" s="59">
        <f ca="1">AVERAGE(OFFSET($FI$3,0,0,'Données projet'!$E$16+1,1))-AVERAGE(OFFSET($H$3,0,0,'Données projet'!$E$16+1,1))</f>
        <v>259.03906550253788</v>
      </c>
      <c r="FK64" s="59">
        <f t="shared" si="78"/>
        <v>235.54542903570831</v>
      </c>
      <c r="FL64" s="15">
        <f>IF(ISNA(VLOOKUP(A64,'Données projet'!$A$227:$I$247,3,0)),0,VLOOKUP(A64,'Données projet'!$A$227:$I$247,3,0))</f>
        <v>0</v>
      </c>
      <c r="FM64" s="15">
        <f>IF(ISNA(VLOOKUP(A64,'Données projet'!$A$227:$I$247,4,0)),0,VLOOKUP(A64,'Données projet'!$A$227:$I$247,4,0))</f>
        <v>0</v>
      </c>
      <c r="FN64" s="16">
        <f>IF(ISNA(VLOOKUP(A64,'Données projet'!$A$227:$I$247,5,0)),0%,VLOOKUP(A64,'Données projet'!$A$227:$I$247,5,0)*VLOOKUP('Données projet'!$B$16,Paramètres!$A$1:$I$89,7,0))</f>
        <v>0</v>
      </c>
      <c r="FO64" s="16">
        <f>IF(ISNA(VLOOKUP(A64,'Données projet'!$A$227:$I$247,6,0)),0%,VLOOKUP(A64,'Données projet'!$A$227:$I$247,6,0)*VLOOKUP('Données projet'!$B$16,Paramètres!$A$1:$I$89,7,0))</f>
        <v>0</v>
      </c>
      <c r="FP64" s="16">
        <f>IF(ISNA(VLOOKUP(A64,'Données projet'!$A$227:$I$247,7,0)),0%,VLOOKUP(A64,'Données projet'!$A$227:$I$247,7,0))</f>
        <v>0</v>
      </c>
      <c r="FQ64" s="21">
        <f>EXP(-LN(2)/35)*FQ63+(1-EXP(-LN(2)/35))/(LN(2)/35)*FM64*FN64*VLOOKUP('Données projet'!$B$16,Paramètres!$A$1:$I$89,3,0)*0.475*44/12</f>
        <v>6.1173937595306516</v>
      </c>
      <c r="FR64" s="21">
        <f>EXP(-LN(2)/25)*FR63+(1-EXP(-LN(2)/25))/(LN(2)/25)*Calculateur!FM64*Calculateur!FO64*VLOOKUP('Données projet'!$B$16,Paramètres!$A$1:$I$89,3,0)*0.475*44/12</f>
        <v>14.994814021433051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21.112207780963701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projet'!$A$253:$I$273,2,0)</f>
        <v>#N/A</v>
      </c>
      <c r="FX64" s="12" t="e">
        <f>VLOOKUP(A64,'Données projet'!$A$253:$I$273,9,0)</f>
        <v>#N/A</v>
      </c>
      <c r="FY64" s="12">
        <f t="array" ref="FY64">INDEX(FX:FX,MIN(IF(ISNUMBER(FX64:FX260),ROW(FX64:FX260),"")))</f>
        <v>4.4000000000000004</v>
      </c>
      <c r="FZ64" s="12">
        <f>IF('Données projet'!$A$254&gt;35,FZ63+FY64-GH63,IF(A64&lt;'Données projet'!$A$254,$FW$205^A64,IF(A64='Données projet'!$A$254,'Données projet'!$B$254,FZ63+FY64-GH63)))</f>
        <v>237.39999999999984</v>
      </c>
      <c r="GA64" s="17">
        <f>FZ64*VLOOKUP('Données projet'!$B$17,Paramètres!$A$1:$I$89,3,0)*VLOOKUP('Données projet'!$B$17,Paramètres!$A$1:$I$89,5,0)</f>
        <v>207.39263999999989</v>
      </c>
      <c r="GB64" s="13">
        <f t="shared" si="79"/>
        <v>51.365398298247158</v>
      </c>
      <c r="GC64" s="20">
        <f t="shared" si="25"/>
        <v>450.67025003611349</v>
      </c>
      <c r="GD64" s="59">
        <f t="shared" si="26"/>
        <v>744.0035833694468</v>
      </c>
      <c r="GE64" s="59">
        <f ca="1">AVERAGE(OFFSET($GD$3,0,0,'Données projet'!$E$17+1,1))-AVERAGE(OFFSET($H$3,0,0,'Données projet'!$E$17+1,1))</f>
        <v>245.1983232777614</v>
      </c>
      <c r="GF64" s="59">
        <f t="shared" si="80"/>
        <v>242.34010522344573</v>
      </c>
      <c r="GG64" s="15">
        <f>IF(ISNA(VLOOKUP(A64,'Données projet'!$A$253:$I$273,3,0)),0,VLOOKUP(A64,'Données projet'!$A$253:$I$273,3,0))</f>
        <v>0</v>
      </c>
      <c r="GH64" s="15">
        <f>IF(ISNA(VLOOKUP(A64,'Données projet'!$A$253:$I$273,4,0)),0,VLOOKUP(A64,'Données projet'!$A$253:$I$273,4,0))</f>
        <v>0</v>
      </c>
      <c r="GI64" s="16">
        <f>IF(ISNA(VLOOKUP(A64,'Données projet'!$A$253:$I$273,5,0)),0%,VLOOKUP(A64,'Données projet'!$A$253:$I$273,5,0)*VLOOKUP('Données projet'!$B$17,Paramètres!$A$1:$I$89,7,0))</f>
        <v>0</v>
      </c>
      <c r="GJ64" s="16">
        <f>IF(ISNA(VLOOKUP(A64,'Données projet'!$A$253:$I$273,6,0)),0%,VLOOKUP(A64,'Données projet'!$A$253:$I$273,6,0)*VLOOKUP('Données projet'!$B$17,Paramètres!$A$1:$I$89,7,0))</f>
        <v>0</v>
      </c>
      <c r="GK64" s="16">
        <f>IF(ISNA(VLOOKUP(A64,'Données projet'!$A$253:$I$273,7,0)),0%,VLOOKUP(A64,'Données projet'!$A$253:$I$273,7,0))</f>
        <v>0</v>
      </c>
      <c r="GL64" s="21">
        <f>EXP(-LN(2)/35)*GL63+(1-EXP(-LN(2)/35))/(LN(2)/35)*GH64*GI64*VLOOKUP('Données projet'!$B$17,Paramètres!$A$1:$I$89,3,0)*0.475*44/12</f>
        <v>20.197721306691289</v>
      </c>
      <c r="GM64" s="21">
        <f>EXP(-LN(2)/25)*GM63+(1-EXP(-LN(2)/25))/(LN(2)/25)*Calculateur!GH64*Calculateur!GJ64*VLOOKUP('Données projet'!$B$17,Paramètres!$A$1:$I$89,3,0)*0.475*44/12</f>
        <v>10.244960422253289</v>
      </c>
      <c r="GN64" s="21">
        <f>EXP(-LN(2)/2)*GN63+(1-EXP(-LN(2)/2))/(LN(2)/2)*GH64*GK64*VLOOKUP('Données projet'!$B$17,Paramètres!$A$1:$I$89,3,0)*0.475*44/12</f>
        <v>0</v>
      </c>
      <c r="GO64" s="21">
        <f t="shared" si="27"/>
        <v>30.442681728944578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projet'!$A$279:$I$299,2,0)</f>
        <v>#N/A</v>
      </c>
      <c r="GS64" s="12" t="e">
        <f>VLOOKUP(A64,'Données projet'!$A$279:$I$299,9,0)</f>
        <v>#N/A</v>
      </c>
      <c r="GT64" s="12">
        <f t="array" ref="GT64">INDEX(GS:GS,MIN(IF(ISNUMBER(GS64:GS260),ROW(GS64:GS260),"")))</f>
        <v>12</v>
      </c>
      <c r="GU64" s="12">
        <f>IF('Données projet'!$A$280&gt;35,GU63+GT64-HC63,IF(A64&lt;'Données projet'!$A$280,$GR$205^A64,IF(A64='Données projet'!$A$280,'Données projet'!$B$280,GU63+GT64-HC63)))</f>
        <v>686.00000000000023</v>
      </c>
      <c r="GV64" s="17">
        <f>GU64*VLOOKUP('Données projet'!$B$18,Paramètres!$A$1:$I$89,3,0)*VLOOKUP('Données projet'!$B$18,Paramètres!$A$1:$I$89,5,0)</f>
        <v>276.45800000000014</v>
      </c>
      <c r="GW64" s="13">
        <f t="shared" si="81"/>
        <v>66.217928761313388</v>
      </c>
      <c r="GX64" s="20">
        <f t="shared" si="28"/>
        <v>596.82724259262102</v>
      </c>
      <c r="GY64" s="59">
        <f t="shared" si="29"/>
        <v>890.16057592595439</v>
      </c>
      <c r="GZ64" s="59">
        <f ca="1">AVERAGE(OFFSET($GY$3,0,0,'Données projet'!$E$18+1,1))-AVERAGE(OFFSET($H$3,0,0,'Données projet'!$E$18+1,1))</f>
        <v>324.36162935850876</v>
      </c>
      <c r="HA64" s="59">
        <f t="shared" si="82"/>
        <v>265.23571072429735</v>
      </c>
      <c r="HB64" s="15">
        <f>IF(ISNA(VLOOKUP(A64,'Données projet'!$A$279:$I$299,3,0)),0,VLOOKUP(A64,'Données projet'!$A$279:$I$299,3,0))</f>
        <v>0</v>
      </c>
      <c r="HC64" s="15">
        <f>IF(ISNA(VLOOKUP(A64,'Données projet'!$A$279:$I$299,4,0)),0,VLOOKUP(A64,'Données projet'!$A$279:$I$299,4,0))</f>
        <v>0</v>
      </c>
      <c r="HD64" s="16">
        <f>IF(ISNA(VLOOKUP(A64,'Données projet'!$A$279:$I$299,5,0)),0%,VLOOKUP(A64,'Données projet'!$A$279:$I$299,5,0)*VLOOKUP('Données projet'!$B$18,Paramètres!$A$1:$I$89,7,0))</f>
        <v>0</v>
      </c>
      <c r="HE64" s="16">
        <f>IF(ISNA(VLOOKUP(A64,'Données projet'!$A$279:$I$299,6,0)),0%,VLOOKUP(A64,'Données projet'!$A$279:$I$299,6,0)*VLOOKUP('Données projet'!$B$18,Paramètres!$A$1:$I$89,7,0))</f>
        <v>0</v>
      </c>
      <c r="HF64" s="16">
        <f>IF(ISNA(VLOOKUP($A64,'Données projet'!$A$279:$I$299,7,0)),0%,VLOOKUP($A64,'Données projet'!$A$279:$I$299,7,0))</f>
        <v>0</v>
      </c>
      <c r="HG64" s="21">
        <f>EXP(-LN(2)/35)*HG63+(1-EXP(-LN(2)/35))/(LN(2)/35)*HC64*HD64*VLOOKUP('Données projet'!$B$18,Paramètres!$A$1:$I$89,3,0)*0.475*44/12</f>
        <v>12.523364001834336</v>
      </c>
      <c r="HH64" s="21">
        <f>EXP(-LN(2)/25)*HH63+(1-EXP(-LN(2)/25))/(LN(2)/25)*Calculateur!HC64*Calculateur!HE64*VLOOKUP('Données projet'!$B$18,Paramètres!$A$1:$I$89,3,0)*0.475*44/12</f>
        <v>11.528988581404519</v>
      </c>
      <c r="HI64" s="21">
        <f>EXP(-LN(2)/2)*HI63+(1-EXP(-LN(2)/2))/(LN(2)/2)*HC64*HF64*VLOOKUP('Données projet'!$B$18,Paramètres!$A$1:$I$89,3,0)*0.475*44/12</f>
        <v>0.33390918773883155</v>
      </c>
      <c r="HJ64" s="22">
        <f t="shared" si="30"/>
        <v>24.38626177097769</v>
      </c>
      <c r="HK64" s="74">
        <f>('Scénario référence'!$F$8+'Scénario référence'!$F$9+'Scénario référence'!$B$17+'Scénario référence'!$B$9+'Scénario référence'!$B$10)*70+IF((45+25*(1-EXP(-0.0175*$A64)))&lt;70,'Scénario référence'!$B$16*(45+25*(1-EXP(-0.0175*$A64))),70*'Scénario référence'!$B$16)+IF((32+38*(1-EXP(-0.0175*$A64)))&lt;70,'Scénario référence'!$B$18*(32+38*(1-EXP(-0.0175*$A64))),70*'Scénario référence'!$B$18)</f>
        <v>70</v>
      </c>
      <c r="HL64" s="12">
        <f>IF($A64&gt;30,10,('Scénario référence'!$B$16+'Scénario référence'!$B$17+'Scénario référence'!$B$18+'Scénario référence'!$B$9+'Scénario référence'!$B$10)*$A64*10/30+('Scénario référence'!$F$8+'Scénario référence'!$F$9)*10)</f>
        <v>10</v>
      </c>
      <c r="HM64" s="12" t="e">
        <f>VLOOKUP($A64,'Données projet'!$A$304:$I$324,2,0)</f>
        <v>#N/A</v>
      </c>
      <c r="HN64" s="12" t="e">
        <f>VLOOKUP($A64,'Données projet'!$A$304:$I$324,9,0)</f>
        <v>#N/A</v>
      </c>
      <c r="HO64" s="12">
        <f t="array" ref="HO64">INDEX(HN:HN,MIN(IF(ISNUMBER(HN64:HN260),ROW(HN64:HN260),"")))</f>
        <v>0</v>
      </c>
      <c r="HP64" s="12">
        <f>IF('Données projet'!$A$304&gt;35,HP63+HO64-HX63,IF($A64&lt;'Données projet'!$A$304,$CQ$205^$A64,IF($A64='Données projet'!$A$304,'Données projet'!$B$304,HP63+HO64-HX63)))</f>
        <v>0</v>
      </c>
      <c r="HQ64" s="17">
        <f>HP64*VLOOKUP('Données projet'!$B$19,Paramètres!$A$1:$I$89,3,0)*VLOOKUP('Données projet'!$B$19,Paramètres!$A$1:$I$89,5,0)</f>
        <v>0</v>
      </c>
      <c r="HR64" s="13" t="e">
        <f t="shared" si="83"/>
        <v>#NUM!</v>
      </c>
      <c r="HS64" s="14" t="e">
        <f t="shared" si="31"/>
        <v>#NUM!</v>
      </c>
      <c r="HT64" s="59" t="e">
        <f t="shared" si="32"/>
        <v>#NUM!</v>
      </c>
      <c r="HU64" s="59">
        <f ca="1">AVERAGE(OFFSET(HT$3,0,0,'Données projet'!$E$19+1,1))-AVERAGE(OFFSET($H$3,0,0,'Données projet'!$E$19+1,1))</f>
        <v>91.60721429656013</v>
      </c>
      <c r="HV64" s="59">
        <f t="shared" si="84"/>
        <v>258.94957804210856</v>
      </c>
      <c r="HW64" s="15">
        <f>IF(ISNA(VLOOKUP($A64,'Données projet'!$A$304:$I$324,3,0)),0,VLOOKUP($A64,'Données projet'!$A$304:$I$324,3,0))</f>
        <v>0</v>
      </c>
      <c r="HX64" s="15">
        <f>IF(ISNA(VLOOKUP($A64,'Données projet'!$A$304:$I$324,4,0)),0,VLOOKUP($A64,'Données projet'!$A$304:$I$324,4,0))</f>
        <v>0</v>
      </c>
      <c r="HY64" s="16">
        <f>IF(ISNA(VLOOKUP($A64,'Données projet'!$A$304:$I$324,5,0)),0%,VLOOKUP($A64,'Données projet'!$A$304:$I$324,5,0)*VLOOKUP('Données projet'!$B$19,Paramètres!$A$1:$I$89,7,0))</f>
        <v>0</v>
      </c>
      <c r="HZ64" s="16">
        <f>IF(ISNA(VLOOKUP($A64,'Données projet'!$A$304:$I$324,6,0)),0%,VLOOKUP($A64,'Données projet'!$A$304:$I$324,6,0)*VLOOKUP('Données projet'!$B$19,Paramètres!$A$1:$I$89,7,0))</f>
        <v>0</v>
      </c>
      <c r="IA64" s="16">
        <f>IF(ISNA(VLOOKUP($A64,'Données projet'!$A$304:$I$324,7,0)),0%,VLOOKUP($A64,'Données projet'!$A$304:$I$324,7,0))</f>
        <v>0</v>
      </c>
      <c r="IB64" s="21">
        <f>EXP(-LN(2)/35)*IB63+(1-EXP(-LN(2)/35))/(LN(2)/35)*HX64*HY64*VLOOKUP('Données projet'!$B$19,Paramètres!$A$1:$I$89,3,0)*0.475*44/12</f>
        <v>26.699821574879639</v>
      </c>
      <c r="IC64" s="21">
        <f>EXP(-LN(2)/25)*IC63+(1-EXP(-LN(2)/25))/(LN(2)/25)*Calculateur!HX64*Calculateur!HZ64*VLOOKUP('Données projet'!$B$19,Paramètres!$A$1:$I$89,3,0)*0.475*44/12</f>
        <v>4.1184534814826819</v>
      </c>
      <c r="ID64" s="21">
        <f>EXP(-LN(2)/2)*ID63+(1-EXP(-LN(2)/2))/(LN(2)/2)*HX64*IA64*VLOOKUP('Données projet'!$B$19,Paramètres!$A$1:$I$89,3,0)*0.475*44/12</f>
        <v>1.2361686836320698E-5</v>
      </c>
      <c r="IE64" s="22">
        <f t="shared" si="33"/>
        <v>30.818287418049156</v>
      </c>
      <c r="IF64" s="74">
        <f>('Scénario référence'!$F$8+'Scénario référence'!$F$9+'Scénario référence'!$B$17+'Scénario référence'!$B$9+'Scénario référence'!$B$10)*70+IF((45+25*(1-EXP(-0.0175*$A64)))&lt;70,'Scénario référence'!$B$16*(45+25*(1-EXP(-0.0175*$A64))),70*'Scénario référence'!$B$16)+IF((32+38*(1-EXP(-0.0175*$A64)))&lt;70,'Scénario référence'!$B$18*(32+38*(1-EXP(-0.0175*$A64))),70*'Scénario référence'!$B$18)</f>
        <v>70</v>
      </c>
      <c r="IG64" s="12">
        <f>IF($A64&gt;30,10,('Scénario référence'!$B$16+'Scénario référence'!$B$17+'Scénario référence'!$B$18+'Scénario référence'!$B$9+'Scénario référence'!$B$10)*$A64*10/30+('Scénario référence'!$F$8+'Scénario référence'!$F$9)*10)</f>
        <v>10</v>
      </c>
      <c r="IH64" s="12" t="e">
        <f>VLOOKUP($A64,'Données projet'!$A$330:$I$350,2,0)</f>
        <v>#N/A</v>
      </c>
      <c r="II64" s="12" t="e">
        <f>VLOOKUP($A64,'Données projet'!$A$330:$I$350,9,0)</f>
        <v>#N/A</v>
      </c>
      <c r="IJ64" s="12">
        <f t="array" ref="IJ64">INDEX(II:II,MIN(IF(ISNUMBER(II64:II260),ROW(II64:II260),"")))</f>
        <v>0</v>
      </c>
      <c r="IK64" s="12">
        <f>IF('Données projet'!$A$330&gt;35,IK63+IJ64-IS63,IF($A64&lt;'Données projet'!$A$330,$CQ$205^$A64,IF($A64='Données projet'!$A$330,'Données projet'!$B$330,IK63+IJ64-IS63)))</f>
        <v>0</v>
      </c>
      <c r="IL64" s="17">
        <f>IK64*VLOOKUP('Données projet'!$B$20,Paramètres!$A$1:$I$89,3,0)*VLOOKUP('Données projet'!$B$20,Paramètres!$A$1:$I$89,5,0)</f>
        <v>0</v>
      </c>
      <c r="IM64" s="13" t="e">
        <f t="shared" si="85"/>
        <v>#NUM!</v>
      </c>
      <c r="IN64" s="20" t="e">
        <f t="shared" si="86"/>
        <v>#NUM!</v>
      </c>
      <c r="IO64" s="59" t="e">
        <f t="shared" si="87"/>
        <v>#NUM!</v>
      </c>
      <c r="IP64" s="59">
        <f ca="1">AVERAGE(OFFSET(IO$3,0,0,'Données projet'!$E$20+1,1))-AVERAGE(OFFSET($H$3,0,0,'Données projet'!$E$20+1,1))</f>
        <v>91.60721429656013</v>
      </c>
      <c r="IQ64" s="59">
        <f t="shared" si="88"/>
        <v>258.94957804210856</v>
      </c>
      <c r="IR64" s="15">
        <f>IF(ISNA(VLOOKUP($A64,'Données projet'!$A$330:$I$350,3,0)),0,VLOOKUP($A64,'Données projet'!$A$330:$I$350,3,0))</f>
        <v>0</v>
      </c>
      <c r="IS64" s="15">
        <f>IF(ISNA(VLOOKUP($A64,'Données projet'!$A$330:$I$350,4,0)),0,VLOOKUP($A64,'Données projet'!$A$330:$I$350,4,0))</f>
        <v>0</v>
      </c>
      <c r="IT64" s="16">
        <f>IF(ISNA(VLOOKUP($A64,'Données projet'!$A$330:$I$350,5,0)),0%,VLOOKUP($A64,'Données projet'!$A$330:$I$350,5,0)*VLOOKUP('Données projet'!$B$20,Paramètres!$A$1:$I$89,7,0))</f>
        <v>0</v>
      </c>
      <c r="IU64" s="16">
        <f>IF(ISNA(VLOOKUP($A64,'Données projet'!$A$330:$I$350,6,0)),0%,VLOOKUP($A64,'Données projet'!$A$330:$I$350,6,0)*VLOOKUP('Données projet'!$B$20,Paramètres!$A$1:$I$89,7,0))</f>
        <v>0</v>
      </c>
      <c r="IV64" s="16">
        <f>IF(ISNA(VLOOKUP($A64,'Données projet'!$A$330:$I$350,7,0)),0%,VLOOKUP($A64,'Données projet'!$A$330:$I$350,7,0))</f>
        <v>0</v>
      </c>
      <c r="IW64" s="21">
        <f>EXP(-LN(2)/35)*IW63+(1-EXP(-LN(2)/35))/(LN(2)/35)*IS64*IT64*VLOOKUP('Données projet'!$B$20,Paramètres!$A$1:$I$89,3,0)*0.475*44/12</f>
        <v>26.699821574879639</v>
      </c>
      <c r="IX64" s="21">
        <f>EXP(-LN(2)/25)*IX63+(1-EXP(-LN(2)/25))/(LN(2)/25)*Calculateur!IS64*Calculateur!IU64*VLOOKUP('Données projet'!$B$20,Paramètres!$A$1:$I$89,3,0)*0.475*44/12</f>
        <v>4.1184534814826819</v>
      </c>
      <c r="IY64" s="21">
        <f>EXP(-LN(2)/2)*IY63+(1-EXP(-LN(2)/2))/(LN(2)/2)*IS64*IV64*VLOOKUP('Données projet'!$B$20,Paramètres!$A$1:$I$89,3,0)*0.475*44/12</f>
        <v>1.2361686836320698E-5</v>
      </c>
      <c r="IZ64" s="22">
        <f t="shared" si="89"/>
        <v>30.818287418049156</v>
      </c>
      <c r="JA64" s="74">
        <f>('Scénario référence'!$F$8+'Scénario référence'!$F$9+'Scénario référence'!$B$17+'Scénario référence'!$B$9+'Scénario référence'!$B$10)*70+IF((45+25*(1-EXP(-0.0175*$A64)))&lt;70,'Scénario référence'!$B$16*(45+25*(1-EXP(-0.0175*$A64))),70*'Scénario référence'!$B$16)+IF((32+38*(1-EXP(-0.0175*$A64)))&lt;70,'Scénario référence'!$B$18*(32+38*(1-EXP(-0.0175*$A64))),70*'Scénario référence'!$B$18)</f>
        <v>70</v>
      </c>
      <c r="JB64" s="12">
        <f>IF($A64&gt;30,10,('Scénario référence'!$B$16+'Scénario référence'!$B$17+'Scénario référence'!$B$18+'Scénario référence'!$B$9+'Scénario référence'!$B$10)*$A64*10/30+('Scénario référence'!$F$8+'Scénario référence'!$F$9)*10)</f>
        <v>10</v>
      </c>
      <c r="JC64" s="12" t="e">
        <f>VLOOKUP($A64,'Données projet'!$A$356:$I$376,2,0)</f>
        <v>#N/A</v>
      </c>
      <c r="JD64" s="12" t="e">
        <f>VLOOKUP($A64,'Données projet'!$A$356:$I$376,9,0)</f>
        <v>#N/A</v>
      </c>
      <c r="JE64" s="12">
        <f t="array" ref="JE64">INDEX(JD:JD,MIN(IF(ISNUMBER(JD64:JD260),ROW(JD64:JD260),"")))</f>
        <v>10.4</v>
      </c>
      <c r="JF64" s="12">
        <f>IF('Données projet'!$A$356&gt;35,JF63+JE64-JN63,IF($A64&lt;'Données projet'!$A$356,$CQ$205^$A64,IF($A64='Données projet'!$A$356,'Données projet'!$B$356,JF63+JE64-JN63)))</f>
        <v>252.40000000000009</v>
      </c>
      <c r="JG64" s="17">
        <f>JF64*VLOOKUP('Données projet'!$B$21,Paramètres!$A$1:$I$89,3,0)*VLOOKUP('Données projet'!$B$21,Paramètres!$A$1:$I$89,5,0)</f>
        <v>204.74688000000009</v>
      </c>
      <c r="JH64" s="13">
        <f t="shared" si="90"/>
        <v>50.785959801489987</v>
      </c>
      <c r="JI64" s="20">
        <f t="shared" si="91"/>
        <v>445.05302932092849</v>
      </c>
      <c r="JJ64" s="59">
        <f t="shared" si="92"/>
        <v>738.3863626542618</v>
      </c>
      <c r="JK64" s="59">
        <f ca="1">AVERAGE(OFFSET($JJ$3,0,0,'Données projet'!$E$22+1,1))-AVERAGE(OFFSET($H$3,0,0,'Données projet'!$E$22+1,1))</f>
        <v>353.35574633294613</v>
      </c>
      <c r="JL64" s="59">
        <f t="shared" si="93"/>
        <v>170.36796666474726</v>
      </c>
      <c r="JM64" s="15">
        <f>IF(ISNA(VLOOKUP($A64,'Données projet'!$A$356:$I$376,3,0)),0,VLOOKUP($A64,'Données projet'!$A$356:$I$376,3,0))</f>
        <v>0</v>
      </c>
      <c r="JN64" s="15">
        <f>IF(ISNA(VLOOKUP($A64,'Données projet'!$A$356:$I$376,4,0)),0,VLOOKUP($A64,'Données projet'!$A$356:$I$376,4,0))</f>
        <v>0</v>
      </c>
      <c r="JO64" s="16">
        <f>IF(ISNA(VLOOKUP($A64,'Données projet'!$A$356:$I$376,5,0)),0%,VLOOKUP($A64,'Données projet'!$A$356:$I$376,5,0)*VLOOKUP('Données projet'!$B$21,Paramètres!$A$1:$I$89,7,0))</f>
        <v>0</v>
      </c>
      <c r="JP64" s="16">
        <f>IF(ISNA(VLOOKUP($A64,'Données projet'!$A$356:$I$376,6,0)),0%,VLOOKUP($A64,'Données projet'!$A$356:$I$376,6,0)*VLOOKUP('Données projet'!$B$21,Paramètres!$A$1:$I$89,7,0))</f>
        <v>0</v>
      </c>
      <c r="JQ64" s="16">
        <f>IF(ISNA(VLOOKUP($A64,'Données projet'!$A$356:$I$376,7,0)),0%,VLOOKUP($A64,'Données projet'!$A$356:$I$376,7,0))</f>
        <v>0</v>
      </c>
      <c r="JR64" s="21">
        <f>EXP(-LN(2)/35)*JR63+(1-EXP(-LN(2)/35))/(LN(2)/35)*JN64*JO64*VLOOKUP('Données projet'!$B$21,Paramètres!$A$1:$I$89,3,0)*0.475*44/12</f>
        <v>0</v>
      </c>
      <c r="JS64" s="21">
        <f>EXP(-LN(2)/25)*JS63+(1-EXP(-LN(2)/25))/(LN(2)/25)*Calculateur!JN64*Calculateur!JP64*VLOOKUP('Données projet'!$B$21,Paramètres!$A$1:$I$89,3,0)*0.475*44/12</f>
        <v>8.4766778707397705</v>
      </c>
      <c r="JT64" s="21">
        <f>EXP(-LN(2)/2)*JT63+(1-EXP(-LN(2)/2))/(LN(2)/2)*JN64*JQ64*VLOOKUP('Données projet'!$B$21,Paramètres!$A$1:$I$89,3,0)*0.475*44/12</f>
        <v>5.5223830072693829</v>
      </c>
      <c r="JU64" s="18">
        <f t="shared" si="39"/>
        <v>13.999060878009153</v>
      </c>
      <c r="JV64" s="74">
        <f>('Scénario référence'!$F$8+'Scénario référence'!$F$9+'Scénario référence'!$B$17+'Scénario référence'!$B$9+'Scénario référence'!$B$10)*70+IF((45+25*(1-EXP(-0.0175*$A64)))&lt;70,'Scénario référence'!$B$16*(45+25*(1-EXP(-0.0175*$A64))),70*'Scénario référence'!$B$16)+IF((32+38*(1-EXP(-0.0175*$A64)))&lt;70,'Scénario référence'!$B$18*(32+38*(1-EXP(-0.0175*$A64))),70*'Scénario référence'!$B$18)</f>
        <v>70</v>
      </c>
      <c r="JW64" s="12">
        <f>IF($A64&gt;30,10,('Scénario référence'!$B$16+'Scénario référence'!$B$17+'Scénario référence'!$B$18+'Scénario référence'!$B$9+'Scénario référence'!$B$10)*$A64*10/30+('Scénario référence'!$F$8+'Scénario référence'!$F$9)*10)</f>
        <v>10</v>
      </c>
      <c r="JX64" s="12" t="e">
        <f>VLOOKUP($A64,'Données projet'!$A$382:$I$402,2,0)</f>
        <v>#N/A</v>
      </c>
      <c r="JY64" s="12" t="e">
        <f>VLOOKUP($A64,'Données projet'!$A$382:$I$402,9,0)</f>
        <v>#N/A</v>
      </c>
      <c r="JZ64" s="12">
        <f t="array" ref="JZ64">INDEX(JY:JY,MIN(IF(ISNUMBER(JY64:JY260),ROW(JY64:JY260),"")))</f>
        <v>8.374198717948719</v>
      </c>
      <c r="KA64" s="12">
        <f>IF('Données projet'!$A$382&gt;35,KA63+JZ64-KI63,IF($A64&lt;'Données projet'!$A$382,$CQ$205^$A64,IF($A64='Données projet'!$A$382,'Données projet'!$B$382,KA63+JZ64-KI63)))</f>
        <v>203.54006410256414</v>
      </c>
      <c r="KB64" s="17">
        <f>KA64*VLOOKUP('Données projet'!$B$22,Paramètres!$A$1:$I$89,3,0)*VLOOKUP('Données projet'!$B$22,Paramètres!$A$1:$I$89,5,0)</f>
        <v>136.53467500000002</v>
      </c>
      <c r="KC64" s="13">
        <f t="shared" si="94"/>
        <v>35.501993906017326</v>
      </c>
      <c r="KD64" s="20">
        <f t="shared" si="95"/>
        <v>299.63053167798017</v>
      </c>
      <c r="KE64" s="59">
        <f t="shared" si="96"/>
        <v>592.96386501131349</v>
      </c>
      <c r="KF64" s="59">
        <f ca="1">AVERAGE(OFFSET($KE$3,0,0,'Données projet'!$E$22+1,1))-AVERAGE(OFFSET($H$3,0,0,'Données projet'!$E$22+1,1))</f>
        <v>193.91714772848269</v>
      </c>
      <c r="KG64" s="59">
        <f t="shared" si="97"/>
        <v>159.20429420478047</v>
      </c>
      <c r="KH64" s="15">
        <f>IF(ISNA(VLOOKUP($A64,'Données projet'!$A$382:$I$402,3,0)),0,VLOOKUP($A64,'Données projet'!$A$382:$I$402,3,0))</f>
        <v>0</v>
      </c>
      <c r="KI64" s="15">
        <f>IF(ISNA(VLOOKUP($A64,'Données projet'!$A$382:$I$402,4,0)),0,VLOOKUP($A64,'Données projet'!$A$382:$I$402,4,0))</f>
        <v>0</v>
      </c>
      <c r="KJ64" s="16">
        <f>IF(ISNA(VLOOKUP($A64,'Données projet'!$A$382:$I$402,5,0)),0%,VLOOKUP($A64,'Données projet'!$A$382:$I$402,5,0)*VLOOKUP('Données projet'!$B$22,Paramètres!$A$1:$I$89,7,0))</f>
        <v>0</v>
      </c>
      <c r="KK64" s="16">
        <f>IF(ISNA(VLOOKUP($A64,'Données projet'!$A$382:$I$402,6,0)),0%,VLOOKUP($A64,'Données projet'!$A$382:$I$402,6,0)*VLOOKUP('Données projet'!$B$22,Paramètres!$A$1:$I$89,7,0))</f>
        <v>0</v>
      </c>
      <c r="KL64" s="16">
        <f>IF(ISNA(VLOOKUP($A64,'Données projet'!$A$382:$I$402,7,0)),0%,VLOOKUP($A64,'Données projet'!$A$382:$I$402,7,0))</f>
        <v>0</v>
      </c>
      <c r="KM64" s="21">
        <f>EXP(-LN(2)/35)*KM63+(1-EXP(-LN(2)/35))/(LN(2)/35)*KI64*KJ64*VLOOKUP('Données projet'!$B$22,Paramètres!$A$1:$I$89,3,0)*0.475*44/12</f>
        <v>0</v>
      </c>
      <c r="KN64" s="21">
        <f>EXP(-LN(2)/25)*KN63+(1-EXP(-LN(2)/25))/(LN(2)/25)*Calculateur!KI64*Calculateur!KK64*VLOOKUP('Données projet'!$B$22,Paramètres!$A$1:$I$89,3,0)*0.475*44/12</f>
        <v>0</v>
      </c>
      <c r="KO64" s="21">
        <f>EXP(-LN(2)/2)*KO63+(1-EXP(-LN(2)/2))/(LN(2)/2)*KI64*KL64*VLOOKUP('Données projet'!$B$22,Paramètres!$A$1:$I$89,3,0)*0.475*44/12</f>
        <v>0</v>
      </c>
      <c r="KP64" s="22">
        <f t="shared" si="98"/>
        <v>0</v>
      </c>
      <c r="KQ64" s="74">
        <f>('Scénario référence'!$F$8+'Scénario référence'!$F$9+'Scénario référence'!$B$17+'Scénario référence'!$B$9+'Scénario référence'!$B$10)*70+IF((45+25*(1-EXP(-0.0175*$A64)))&lt;70,'Scénario référence'!$B$16*(45+25*(1-EXP(-0.0175*$A64))),70*'Scénario référence'!$B$16)+IF((32+38*(1-EXP(-0.0175*$A64)))&lt;70,'Scénario référence'!$B$18*(32+38*(1-EXP(-0.0175*$A64))),70*'Scénario référence'!$B$18)</f>
        <v>70</v>
      </c>
      <c r="KR64" s="12">
        <f>IF($A64&gt;30,10,('Scénario référence'!$B$16+'Scénario référence'!$B$17+'Scénario référence'!$B$18+'Scénario référence'!$B$9+'Scénario référence'!$B$10)*$A64*10/30+('Scénario référence'!$F$8+'Scénario référence'!$F$9)*10)</f>
        <v>10</v>
      </c>
      <c r="KS64" s="12" t="e">
        <f>VLOOKUP($A64,'Données projet'!$A$408:$I$428,2,0)</f>
        <v>#N/A</v>
      </c>
      <c r="KT64" s="12" t="e">
        <f>VLOOKUP($A64,'Données projet'!$A$408:$I$428,9,0)</f>
        <v>#N/A</v>
      </c>
      <c r="KU64" s="12">
        <f t="array" ref="KU64">INDEX(KT:KT,MIN(IF(ISNUMBER(KT64:KT260),ROW(KT64:KT260),"")))</f>
        <v>4.4000000000000004</v>
      </c>
      <c r="KV64" s="12">
        <f>IF('Données projet'!$A$408&gt;35,KV63+KU64-LD63,IF($A64&lt;'Données projet'!$A$408,$CQ$205^$A64,IF($A64='Données projet'!$A$408,'Données projet'!$B$408,KV63+KU64-LD63)))</f>
        <v>237.39999999999986</v>
      </c>
      <c r="KW64" s="17">
        <f>KV64*VLOOKUP('Données projet'!$B$23,Paramètres!$A$1:$I$89,3,0)*VLOOKUP('Données projet'!$B$23,Paramètres!$A$1:$I$89,5,0)</f>
        <v>207.39263999999989</v>
      </c>
      <c r="KX64" s="13">
        <f t="shared" si="99"/>
        <v>51.365398298247158</v>
      </c>
      <c r="KY64" s="14">
        <f t="shared" si="43"/>
        <v>450.67025003611349</v>
      </c>
      <c r="KZ64" s="59">
        <f t="shared" si="44"/>
        <v>744.0035833694468</v>
      </c>
      <c r="LA64" s="59">
        <f ca="1">AVERAGE(OFFSET($KZ$3,0,0,'Données projet'!$E$23+1,1))-AVERAGE(OFFSET($H$3,0,0,'Données projet'!$E$23+1,1))</f>
        <v>248.33596943633819</v>
      </c>
      <c r="LB64" s="59">
        <f t="shared" si="100"/>
        <v>242.34010522344573</v>
      </c>
      <c r="LC64" s="15">
        <f>IF(ISNA(VLOOKUP($A64,'Données projet'!$A$408:$I$428,3,0)),0,VLOOKUP($A64,'Données projet'!$A$408:$I$428,3,0))</f>
        <v>0</v>
      </c>
      <c r="LD64" s="15">
        <f>IF(ISNA(VLOOKUP($A64,'Données projet'!$A$408:$I$428,4,0)),0,VLOOKUP($A64,'Données projet'!$A$408:$I$428,4,0))</f>
        <v>0</v>
      </c>
      <c r="LE64" s="16">
        <f>IF(ISNA(VLOOKUP($A64,'Données projet'!$A$408:$I$428,5,0)),0%,VLOOKUP($A64,'Données projet'!$A$408:$I$428,5,0)*VLOOKUP('Données projet'!$B$23,Paramètres!$A$1:$I$89,7,0))</f>
        <v>0</v>
      </c>
      <c r="LF64" s="16">
        <f>IF(ISNA(VLOOKUP($A64,'Données projet'!$A$408:$I$428,6,0)),0%,VLOOKUP($A64,'Données projet'!$A$408:$I$428,6,0)*VLOOKUP('Données projet'!$B$23,Paramètres!$A$1:$I$89,7,0))</f>
        <v>0</v>
      </c>
      <c r="LG64" s="16">
        <f>IF(ISNA(VLOOKUP($A64,'Données projet'!$A$408:$I$428,7,0)),0%,VLOOKUP($A64,'Données projet'!$A$408:$I$428,7,0))</f>
        <v>0</v>
      </c>
      <c r="LH64" s="21">
        <f>EXP(-LN(2)/35)*LH63+(1-EXP(-LN(2)/35))/(LN(2)/35)*LD64*LE64*VLOOKUP('Données projet'!$B$23,Paramètres!$A$1:$I$89,3,0)*0.475*44/12</f>
        <v>20.197721306691289</v>
      </c>
      <c r="LI64" s="21">
        <f>EXP(-LN(2)/25)*LI63+(1-EXP(-LN(2)/25))/(LN(2)/25)*Calculateur!LD64*Calculateur!LF64*VLOOKUP('Données projet'!$B$23,Paramètres!$A$1:$I$89,3,0)*0.475*44/12</f>
        <v>10.244960422253289</v>
      </c>
      <c r="LJ64" s="21">
        <f>EXP(-LN(2)/2)*LJ63+(1-EXP(-LN(2)/2))/(LN(2)/2)*LD64*LG64*VLOOKUP('Données projet'!$B$23,Paramètres!$A$1:$I$89,3,0)*0.475*44/12</f>
        <v>0</v>
      </c>
      <c r="LK64" s="22">
        <f t="shared" si="101"/>
        <v>30.442681728944578</v>
      </c>
      <c r="LL64" s="74">
        <f>('Scénario référence'!$F$8+'Scénario référence'!$F$9+'Scénario référence'!$B$17+'Scénario référence'!$B$9+'Scénario référence'!$B$10)*70+IF((45+25*(1-EXP(-0.0175*$A64)))&lt;70,'Scénario référence'!$B$16*(45+25*(1-EXP(-0.0175*$A64))),70*'Scénario référence'!$B$16)+IF((32+38*(1-EXP(-0.0175*$A64)))&lt;70,'Scénario référence'!$B$18*(32+38*(1-EXP(-0.0175*$A64))),70*'Scénario référence'!$B$18)</f>
        <v>70</v>
      </c>
      <c r="LM64" s="12">
        <f>IF($A64&gt;30,10,('Scénario référence'!$B$16+'Scénario référence'!$B$17+'Scénario référence'!$B$18+'Scénario référence'!$B$9+'Scénario référence'!$B$10)*$A64*10/30+('Scénario référence'!$F$8+'Scénario référence'!$F$9)*10)</f>
        <v>10</v>
      </c>
      <c r="LN64" s="12" t="e">
        <f>VLOOKUP($A64,'Données projet'!$A$434:$I$454,2,0)</f>
        <v>#N/A</v>
      </c>
      <c r="LO64" s="12" t="e">
        <f>VLOOKUP($A64,'Données projet'!$A$434:$I$454,9,0)</f>
        <v>#N/A</v>
      </c>
      <c r="LP64" s="12">
        <f t="array" ref="LP64">INDEX(LO:LO,MIN(IF(ISNUMBER(LO64:LO260),ROW(LO64:LO260),"")))</f>
        <v>5.9431089743589762</v>
      </c>
      <c r="LQ64" s="12">
        <f>IF('Données projet'!$A$434&gt;35,LQ63+LP64-LY63,IF($A64&lt;'Données projet'!$A$434,$CQ$205^$A64,IF($A64='Données projet'!$A$434,'Données projet'!$B$434,LQ63+LP64-LY63)))</f>
        <v>132.2003205128205</v>
      </c>
      <c r="LR64" s="17">
        <f>LQ64*VLOOKUP('Données projet'!$B$24,Paramètres!$A$1:$I$89,3,0)*VLOOKUP('Données projet'!$B$24,Paramètres!$A$1:$I$89,5,0)</f>
        <v>134.05112499999998</v>
      </c>
      <c r="LS64" s="13">
        <f t="shared" si="102"/>
        <v>34.930776988059094</v>
      </c>
      <c r="LT64" s="14">
        <f t="shared" si="46"/>
        <v>294.31014596253618</v>
      </c>
      <c r="LU64" s="59">
        <f t="shared" si="103"/>
        <v>587.6434792958695</v>
      </c>
      <c r="LV64" s="59">
        <f ca="1">AVERAGE(OFFSET($LU$3,0,0,'Données projet'!$E$24+1,1))-AVERAGE(OFFSET($H$3,0,0,'Données projet'!$E$24+1,1))</f>
        <v>260.52627655062872</v>
      </c>
      <c r="LW64" s="59">
        <f t="shared" si="104"/>
        <v>159.20429420478047</v>
      </c>
      <c r="LX64" s="15">
        <f>IF(ISNA(VLOOKUP($A64,'Données projet'!$A$434:$I$454,3,0)),0,VLOOKUP($A64,'Données projet'!$A$434:$I$454,3,0))</f>
        <v>0</v>
      </c>
      <c r="LY64" s="15">
        <f>IF(ISNA(VLOOKUP($A64,'Données projet'!$A$434:$I$454,4,0)),0,VLOOKUP($A64,'Données projet'!$A$434:$I$454,4,0))</f>
        <v>0</v>
      </c>
      <c r="LZ64" s="16">
        <f>IF(ISNA(VLOOKUP($A64,'Données projet'!$A$434:$I$454,5,0)),0%,VLOOKUP($A64,'Données projet'!$A$434:$I$454,5,0)*VLOOKUP('Données projet'!$B$24,Paramètres!$A$1:$I$89,7,0))</f>
        <v>0</v>
      </c>
      <c r="MA64" s="16">
        <f>IF(ISNA(VLOOKUP($A64,'Données projet'!$A$434:$I$454,6,0)),0%,VLOOKUP($A64,'Données projet'!$A$434:$I$454,6,0)*VLOOKUP('Données projet'!$B$24,Paramètres!$A$1:$I$89,7,0))</f>
        <v>0</v>
      </c>
      <c r="MB64" s="16">
        <f>IF(ISNA(VLOOKUP($A64,'Données projet'!$A$434:$I$454,7,0)),0%,VLOOKUP($A64,'Données projet'!$A$434:$I$454,7,0))</f>
        <v>0</v>
      </c>
      <c r="MC64" s="21">
        <f>EXP(-LN(2)/35)*MC63+(1-EXP(-LN(2)/35))/(LN(2)/35)*LY64*LZ64*VLOOKUP('Données projet'!$B$24,Paramètres!$A$1:$I$89,3,0)*0.475*44/12</f>
        <v>0</v>
      </c>
      <c r="MD64" s="21">
        <f>EXP(-LN(2)/25)*MD63+(1-EXP(-LN(2)/25))/(LN(2)/25)*Calculateur!LY64*Calculateur!MA64*VLOOKUP('Données projet'!$B$24,Paramètres!$A$1:$I$89,3,0)*0.475*44/12</f>
        <v>0</v>
      </c>
      <c r="ME64" s="21">
        <f>EXP(-LN(2)/2)*ME63+(1-EXP(-LN(2)/2))/(LN(2)/2)*LY64*MB64*VLOOKUP('Données projet'!$B$24,Paramètres!$A$1:$I$89,3,0)*0.475*44/12</f>
        <v>0</v>
      </c>
      <c r="MF64" s="22">
        <f t="shared" si="105"/>
        <v>0</v>
      </c>
      <c r="MG64" s="74">
        <f>('Scénario référence'!$F$8+'Scénario référence'!$F$9+'Scénario référence'!$B$17+'Scénario référence'!$B$9+'Scénario référence'!$B$10)*70+IF((45+25*(1-EXP(-0.0175*$A64)))&lt;70,'Scénario référence'!$B$16*(45+25*(1-EXP(-0.0175*$A64))),70*'Scénario référence'!$B$16)+IF((32+38*(1-EXP(-0.0175*$A64)))&lt;70,'Scénario référence'!$B$18*(32+38*(1-EXP(-0.0175*$A64))),70*'Scénario référence'!$B$18)</f>
        <v>70</v>
      </c>
      <c r="MH64" s="12">
        <f>IF($A64&gt;30,10,('Scénario référence'!$B$16+'Scénario référence'!$B$17+'Scénario référence'!$B$18+'Scénario référence'!$B$9+'Scénario référence'!$B$10)*$A64*10/30+('Scénario référence'!$F$8+'Scénario référence'!$F$9)*10)</f>
        <v>10</v>
      </c>
      <c r="MI64" s="12" t="e">
        <f>VLOOKUP($A64,'Données projet'!$A$460:$I$480,2,0)</f>
        <v>#N/A</v>
      </c>
      <c r="MJ64" s="12" t="e">
        <f>VLOOKUP($A64,'Données projet'!$A$460:$I$480,9,0)</f>
        <v>#N/A</v>
      </c>
      <c r="MK64" s="12">
        <f t="array" ref="MK64">INDEX(MJ:MJ,MIN(IF(ISNUMBER(MJ64:MJ260),ROW(MJ64:MJ260),"")))</f>
        <v>0</v>
      </c>
      <c r="ML64" s="12">
        <f>IF('Données projet'!$A$460&gt;35,ML63+MK64-MT63,IF($A64&lt;'Données projet'!$A$460,$CQ$205^$A64,IF($A64='Données projet'!$A$460,'Données projet'!$B$460,ML63+MK64-MT63)))</f>
        <v>0</v>
      </c>
      <c r="MM64" s="17" t="e">
        <f>ML64*VLOOKUP('Données projet'!$B$25,Paramètres!$A$1:$I$89,3,0)*VLOOKUP('Données projet'!$B$25,Paramètres!$A$1:$I$89,5,0)</f>
        <v>#N/A</v>
      </c>
      <c r="MN64" s="13" t="e">
        <f t="shared" si="106"/>
        <v>#N/A</v>
      </c>
      <c r="MO64" s="14" t="e">
        <f t="shared" si="49"/>
        <v>#N/A</v>
      </c>
      <c r="MP64" s="59" t="e">
        <f t="shared" si="50"/>
        <v>#N/A</v>
      </c>
      <c r="MQ64" s="20" t="e">
        <f ca="1">AVERAGE(OFFSET($MP$3,0,0,'Données projet'!$E$25+1,1))-AVERAGE(OFFSET($H$3,0,0,'Données projet'!$E$25+1,1))</f>
        <v>#N/A</v>
      </c>
      <c r="MR64" s="59" t="e">
        <f t="shared" si="107"/>
        <v>#N/A</v>
      </c>
      <c r="MS64" s="15">
        <f>IF(ISNA(VLOOKUP($A64,'Données projet'!$A$460:$I$480,3,0)),0,VLOOKUP($A64,'Données projet'!$A$460:$I$480,3,0))</f>
        <v>0</v>
      </c>
      <c r="MT64" s="15">
        <f>IF(ISNA(VLOOKUP($A64,'Données projet'!$A$460:$I$480,4,0)),0,VLOOKUP($A64,'Données projet'!$A$460:$I$480,4,0))</f>
        <v>0</v>
      </c>
      <c r="MU64" s="16">
        <f>IF(ISNA(VLOOKUP($A64,'Données projet'!$A$460:$I$480,5,0)),0%,VLOOKUP($A64,'Données projet'!$A$460:$I$480,5,0)*VLOOKUP('Données projet'!$B$25,Paramètres!$A$1:$I$89,7,0))</f>
        <v>0</v>
      </c>
      <c r="MV64" s="16">
        <f>IF(ISNA(VLOOKUP($A64,'Données projet'!$A$460:$I$480,6,0)),0%,VLOOKUP($A64,'Données projet'!$A$460:$I$480,6,0)*VLOOKUP('Données projet'!$B$25,Paramètres!$A$1:$I$89,7,0))</f>
        <v>0</v>
      </c>
      <c r="MW64" s="16">
        <f>IF(ISNA(VLOOKUP($A64,'Données projet'!$A$460:$I$480,7,0)),0%,VLOOKUP($A64,'Données projet'!$A$460:$I$480,7,0))</f>
        <v>0</v>
      </c>
      <c r="MX64" s="21" t="e">
        <f>EXP(-LN(2)/35)*MX63+(1-EXP(-LN(2)/35))/(LN(2)/35)*MT64*MU64*VLOOKUP('Données projet'!$B$25,Paramètres!$A$1:$I$89,3,0)*0.475*44/12</f>
        <v>#N/A</v>
      </c>
      <c r="MY64" s="21" t="e">
        <f>EXP(-LN(2)/25)*MY63+(1-EXP(-LN(2)/25))/(LN(2)/25)*Calculateur!MT64*Calculateur!MV64*VLOOKUP('Données projet'!$B$25,Paramètres!$A$1:$I$89,3,0)*0.475*44/12</f>
        <v>#N/A</v>
      </c>
      <c r="MZ64" s="21" t="e">
        <f>EXP(-LN(2)/2)*MZ63+(1-EXP(-LN(2)/2))/(LN(2)/2)*MT64*MW64*VLOOKUP('Données projet'!$B$25,Paramètres!$A$1:$I$89,3,0)*0.475*44/12</f>
        <v>#N/A</v>
      </c>
      <c r="NA64" s="22" t="e">
        <f t="shared" si="108"/>
        <v>#N/A</v>
      </c>
      <c r="NB64" s="74">
        <f>('Scénario référence'!$F$8+'Scénario référence'!$F$9+'Scénario référence'!$B$17+'Scénario référence'!$B$9+'Scénario référence'!$B$10)*70+IF((45+25*(1-EXP(-0.0175*$A64)))&lt;70,'Scénario référence'!$B$16*(45+25*(1-EXP(-0.0175*$A64))),70*'Scénario référence'!$B$16)+IF((32+38*(1-EXP(-0.0175*$A64)))&lt;70,'Scénario référence'!$B$18*(32+38*(1-EXP(-0.0175*$A64))),70*'Scénario référence'!$B$18)</f>
        <v>70</v>
      </c>
      <c r="NC64" s="12">
        <f>IF($A64&gt;30,10,('Scénario référence'!$B$16+'Scénario référence'!$B$17+'Scénario référence'!$B$18+'Scénario référence'!$B$9+'Scénario référence'!$B$10)*$A64*10/30+('Scénario référence'!$F$8+'Scénario référence'!$F$9)*10)</f>
        <v>10</v>
      </c>
      <c r="ND64" s="12" t="e">
        <f>VLOOKUP($A64,'Données projet'!$A$486:$I$506,2,0)</f>
        <v>#N/A</v>
      </c>
      <c r="NE64" s="12" t="e">
        <f>VLOOKUP($A64,'Données projet'!$A$486:$I$506,9,0)</f>
        <v>#N/A</v>
      </c>
      <c r="NF64" s="12">
        <f t="array" ref="NF64">INDEX(NE:NE,MIN(IF(ISNUMBER(NE64:NE260),ROW(NE64:NE260),"")))</f>
        <v>0</v>
      </c>
      <c r="NG64" s="12">
        <f>IF('Données projet'!$A$486&gt;35,NG63+NF64-NO63,IF($A64&lt;'Données projet'!$A$486,$CQ$205^$A64,IF($A64='Données projet'!$A$486,'Données projet'!$B$486,NG63+NF64-NO63)))</f>
        <v>0</v>
      </c>
      <c r="NH64" s="17" t="e">
        <f>NG64*VLOOKUP('Données projet'!$B$26,Paramètres!$A$1:$I$89,3,0)*VLOOKUP('Données projet'!$B$26,Paramètres!$A$1:$I$89,5,0)</f>
        <v>#N/A</v>
      </c>
      <c r="NI64" s="13" t="e">
        <f t="shared" si="109"/>
        <v>#N/A</v>
      </c>
      <c r="NJ64" s="14" t="e">
        <f t="shared" si="52"/>
        <v>#N/A</v>
      </c>
      <c r="NK64" s="59" t="e">
        <f t="shared" si="53"/>
        <v>#N/A</v>
      </c>
      <c r="NL64" s="20" t="e">
        <f ca="1">AVERAGE(OFFSET($NK$3,0,0,'Données projet'!$E$26+1,1))-AVERAGE(OFFSET($H$3,0,0,'Données projet'!$E$26+1,1))</f>
        <v>#N/A</v>
      </c>
      <c r="NM64" s="59" t="e">
        <f t="shared" si="110"/>
        <v>#N/A</v>
      </c>
      <c r="NN64" s="15">
        <f>IF(ISNA(VLOOKUP($A64,'Données projet'!$A$486:$I$506,3,0)),0,VLOOKUP($A64,'Données projet'!$A$486:$I$506,3,0))</f>
        <v>0</v>
      </c>
      <c r="NO64" s="15">
        <f>IF(ISNA(VLOOKUP($A64,'Données projet'!$A$486:$I$506,4,0)),0,VLOOKUP($A64,'Données projet'!$A$486:$I$506,4,0))</f>
        <v>0</v>
      </c>
      <c r="NP64" s="16">
        <f>IF(ISNA(VLOOKUP($A64,'Données projet'!$A$486:$I$506,5,0)),0%,VLOOKUP($A64,'Données projet'!$A$486:$I$506,5,0)*VLOOKUP('Données projet'!$B$26,Paramètres!$A$1:$I$89,7,0))</f>
        <v>0</v>
      </c>
      <c r="NQ64" s="16">
        <f>IF(ISNA(VLOOKUP($A64,'Données projet'!$A$486:$I$506,6,0)),0%,VLOOKUP($A64,'Données projet'!$A$486:$I$506,6,0)*VLOOKUP('Données projet'!$B$26,Paramètres!$A$1:$I$89,7,0))</f>
        <v>0</v>
      </c>
      <c r="NR64" s="16">
        <f>IF(ISNA(VLOOKUP($A64,'Données projet'!$A$486:$I$506,7,0)),0%,VLOOKUP($A64,'Données projet'!$A$486:$I$506,7,0))</f>
        <v>0</v>
      </c>
      <c r="NS64" s="21" t="e">
        <f>EXP(-LN(2)/35)*NS63+(1-EXP(-LN(2)/35))/(LN(2)/35)*NO64*NP64*VLOOKUP('Données projet'!$B$26,Paramètres!$A$1:$I$89,3,0)*0.475*44/12</f>
        <v>#N/A</v>
      </c>
      <c r="NT64" s="21" t="e">
        <f>EXP(-LN(2)/25)*NT63+(1-EXP(-LN(2)/25))/(LN(2)/25)*Calculateur!NO64*Calculateur!NQ64*VLOOKUP('Données projet'!$B$26,Paramètres!$A$1:$I$89,3,0)*0.475*44/12</f>
        <v>#N/A</v>
      </c>
      <c r="NU64" s="21" t="e">
        <f>EXP(-LN(2)/2)*NU63+(1-EXP(-LN(2)/2))/(LN(2)/2)*NO64*NR64*VLOOKUP('Données projet'!$B$26,Paramètres!$A$1:$I$89,3,0)*0.475*44/12</f>
        <v>#N/A</v>
      </c>
      <c r="NV64" s="22" t="e">
        <f t="shared" si="111"/>
        <v>#N/A</v>
      </c>
      <c r="NW64" s="74">
        <f>('Scénario référence'!$F$8+'Scénario référence'!$F$9+'Scénario référence'!$B$17+'Scénario référence'!$B$9+'Scénario référence'!$B$10)*70+IF((45+25*(1-EXP(-0.0175*$A64)))&lt;70,'Scénario référence'!$B$16*(45+25*(1-EXP(-0.0175*$A64))),70*'Scénario référence'!$B$16)+IF((32+38*(1-EXP(-0.0175*$A64)))&lt;70,'Scénario référence'!$B$18*(32+38*(1-EXP(-0.0175*$A64))),70*'Scénario référence'!$B$18)</f>
        <v>70</v>
      </c>
      <c r="NX64" s="12">
        <f>IF($A64&gt;30,10,('Scénario référence'!$B$16+'Scénario référence'!$B$17+'Scénario référence'!$B$18+'Scénario référence'!$B$9+'Scénario référence'!$B$10)*$A64*10/30+('Scénario référence'!$F$8+'Scénario référence'!$F$9)*10)</f>
        <v>10</v>
      </c>
      <c r="NY64" s="12" t="e">
        <f>VLOOKUP($A64,'Données projet'!$A$512:$I$532,2,0)</f>
        <v>#N/A</v>
      </c>
      <c r="NZ64" s="12" t="e">
        <f>VLOOKUP($A64,'Données projet'!$A$512:$I$532,9,0)</f>
        <v>#N/A</v>
      </c>
      <c r="OA64" s="12">
        <f t="array" ref="OA64">INDEX(NZ:NZ,MIN(IF(ISNUMBER(NZ64:NZ260),ROW(NZ64:NZ260),"")))</f>
        <v>0</v>
      </c>
      <c r="OB64" s="12">
        <f>IF('Données projet'!$A$512&gt;35,OB63+OA64-OJ63,IF($A64&lt;'Données projet'!$A$512,$CQ$205^$A64,IF($A64='Données projet'!$A$512,'Données projet'!$B$512,OB63+OA64-OJ63)))</f>
        <v>0</v>
      </c>
      <c r="OC64" s="17" t="e">
        <f>OB64*VLOOKUP('Données projet'!$B$27,Paramètres!$A$1:$I$89,3,0)*VLOOKUP('Données projet'!$B$27,Paramètres!$A$1:$I$89,5,0)</f>
        <v>#N/A</v>
      </c>
      <c r="OD64" s="13" t="e">
        <f t="shared" si="112"/>
        <v>#N/A</v>
      </c>
      <c r="OE64" s="14" t="e">
        <f t="shared" si="55"/>
        <v>#N/A</v>
      </c>
      <c r="OF64" s="59" t="e">
        <f t="shared" si="56"/>
        <v>#N/A</v>
      </c>
      <c r="OG64" s="20" t="e">
        <f ca="1">AVERAGE(OFFSET($OF$3,0,0,'Données projet'!$E$27+1,1))-AVERAGE(OFFSET($H$3,0,0,'Données projet'!$E$27+1,1))</f>
        <v>#N/A</v>
      </c>
      <c r="OH64" s="59" t="e">
        <f t="shared" si="113"/>
        <v>#N/A</v>
      </c>
      <c r="OI64" s="15">
        <f>IF(ISNA(VLOOKUP($A64,'Données projet'!$A$512:$I$532,3,0)),0,VLOOKUP($A64,'Données projet'!$A$512:$I$532,3,0))</f>
        <v>0</v>
      </c>
      <c r="OJ64" s="15">
        <f>IF(ISNA(VLOOKUP($A64,'Données projet'!$A$512:$I$532,4,0)),0,VLOOKUP($A64,'Données projet'!$A$512:$I$532,4,0))</f>
        <v>0</v>
      </c>
      <c r="OK64" s="16">
        <f>IF(ISNA(VLOOKUP($A64,'Données projet'!$A$512:$I$532,5,0)),0%,VLOOKUP($A64,'Données projet'!$A$512:$I$532,5,0)*VLOOKUP('Données projet'!$B$27,Paramètres!$A$1:$I$89,7,0))</f>
        <v>0</v>
      </c>
      <c r="OL64" s="16">
        <f>IF(ISNA(VLOOKUP($A64,'Données projet'!$A$512:$I$532,6,0)),0%,VLOOKUP($A64,'Données projet'!$A$512:$I$532,6,0)*VLOOKUP('Données projet'!$B$27,Paramètres!$A$1:$I$89,7,0))</f>
        <v>0</v>
      </c>
      <c r="OM64" s="16">
        <f>IF(ISNA(VLOOKUP($A64,'Données projet'!$A$512:$I$532,7,0)),0%,VLOOKUP($A64,'Données projet'!$A$512:$I$532,7,0))</f>
        <v>0</v>
      </c>
      <c r="ON64" s="21" t="e">
        <f>EXP(-LN(2)/35)*ON63+(1-EXP(-LN(2)/35))/(LN(2)/35)*OJ64*OK64*VLOOKUP('Données projet'!$B$27,Paramètres!$A$1:$I$89,3,0)*0.475*44/12</f>
        <v>#N/A</v>
      </c>
      <c r="OO64" s="21" t="e">
        <f>EXP(-LN(2)/25)*OO63+(1-EXP(-LN(2)/25))/(LN(2)/25)*Calculateur!OJ64*Calculateur!OL64*VLOOKUP('Données projet'!$B$27,Paramètres!$A$1:$I$89,3,0)*0.475*44/12</f>
        <v>#N/A</v>
      </c>
      <c r="OP64" s="21" t="e">
        <f>EXP(-LN(2)/2)*OP63+(1-EXP(-LN(2)/2))/(LN(2)/2)*OJ64*OM64*VLOOKUP('Données projet'!$B$27,Paramètres!$A$1:$I$89,3,0)*0.475*44/12</f>
        <v>#N/A</v>
      </c>
      <c r="OQ64" s="22" t="e">
        <f t="shared" si="114"/>
        <v>#N/A</v>
      </c>
      <c r="OR64" s="74">
        <f>('Scénario référence'!$F$8+'Scénario référence'!$F$9+'Scénario référence'!$B$17+'Scénario référence'!$B$9+'Scénario référence'!$B$10)*70+IF((45+25*(1-EXP(-0.0175*$A64)))&lt;70,'Scénario référence'!$B$16*(45+25*(1-EXP(-0.0175*$A64))),70*'Scénario référence'!$B$16)+IF((32+38*(1-EXP(-0.0175*$A64)))&lt;70,'Scénario référence'!$B$18*(32+38*(1-EXP(-0.0175*$A64))),70*'Scénario référence'!$B$18)</f>
        <v>70</v>
      </c>
      <c r="OS64" s="12">
        <f>IF($A64&gt;30,10,('Scénario référence'!$B$16+'Scénario référence'!$B$17+'Scénario référence'!$B$18+'Scénario référence'!$B$9+'Scénario référence'!$B$10)*$A64*10/30+('Scénario référence'!$F$8+'Scénario référence'!$F$9)*10)</f>
        <v>10</v>
      </c>
      <c r="OT64" s="12" t="e">
        <f>VLOOKUP($A64,'Données projet'!$A$538:$I$558,2,0)</f>
        <v>#N/A</v>
      </c>
      <c r="OU64" s="12" t="e">
        <f>VLOOKUP($A64,'Données projet'!$A$538:$I$558,9,0)</f>
        <v>#N/A</v>
      </c>
      <c r="OV64" s="12">
        <f t="array" ref="OV64">INDEX(OU:OU,MIN(IF(ISNUMBER(OU64:OU260),ROW(OU64:OU260),"")))</f>
        <v>0</v>
      </c>
      <c r="OW64" s="12">
        <f>IF('Données projet'!$A$538&gt;35,OW63+OV64-PE63,IF($A64&lt;'Données projet'!$A$538,$CQ$205^$A64,IF($A64='Données projet'!$A$538,'Données projet'!$B$538,OW63+OV64-PE63)))</f>
        <v>0</v>
      </c>
      <c r="OX64" s="17" t="e">
        <f>OW64*VLOOKUP('Données projet'!$B$28,Paramètres!$A$1:$I$89,3,0)*VLOOKUP('Données projet'!$B$28,Paramètres!$A$1:$I$89,5,0)</f>
        <v>#N/A</v>
      </c>
      <c r="OY64" s="13" t="e">
        <f t="shared" si="115"/>
        <v>#N/A</v>
      </c>
      <c r="OZ64" s="14" t="e">
        <f t="shared" si="58"/>
        <v>#N/A</v>
      </c>
      <c r="PA64" s="59" t="e">
        <f t="shared" si="59"/>
        <v>#N/A</v>
      </c>
      <c r="PB64" s="20" t="e">
        <f ca="1">AVERAGE(OFFSET($PA$3,0,0,'Données projet'!$E$28+1,1))-AVERAGE(OFFSET($H$3,0,0,'Données projet'!$E$28+1,1))</f>
        <v>#N/A</v>
      </c>
      <c r="PC64" s="59" t="e">
        <f t="shared" si="116"/>
        <v>#N/A</v>
      </c>
      <c r="PD64" s="15">
        <f>IF(ISNA(VLOOKUP($A64,'Données projet'!$A$538:$I$558,3,0)),0,VLOOKUP($A64,'Données projet'!$A$538:$I$558,3,0))</f>
        <v>0</v>
      </c>
      <c r="PE64" s="15">
        <f>IF(ISNA(VLOOKUP($A64,'Données projet'!$A$538:$I$558,4,0)),0,VLOOKUP($A64,'Données projet'!$A$538:$I$558,4,0))</f>
        <v>0</v>
      </c>
      <c r="PF64" s="16">
        <f>IF(ISNA(VLOOKUP($A64,'Données projet'!$A$538:$I$558,5,0)),0%,VLOOKUP($A64,'Données projet'!$A$538:$I$558,5,0)*VLOOKUP('Données projet'!$B$28,Paramètres!$A$1:$I$89,7,0))</f>
        <v>0</v>
      </c>
      <c r="PG64" s="16">
        <f>IF(ISNA(VLOOKUP($A64,'Données projet'!$A$538:$I$558,6,0)),0%,VLOOKUP($A64,'Données projet'!$A$538:$I$558,6,0)*VLOOKUP('Données projet'!$B$28,Paramètres!$A$1:$I$89,7,0))</f>
        <v>0</v>
      </c>
      <c r="PH64" s="16">
        <f>IF(ISNA(VLOOKUP($A64,'Données projet'!$A$538:$I$558,7,0)),0%,VLOOKUP($A64,'Données projet'!$A$538:$I$558,7,0))</f>
        <v>0</v>
      </c>
      <c r="PI64" s="21" t="e">
        <f>EXP(-LN(2)/35)*PI63+(1-EXP(-LN(2)/35))/(LN(2)/35)*PE64*PF64*VLOOKUP('Données projet'!$B$28,Paramètres!$A$1:$I$89,3,0)*0.475*44/12</f>
        <v>#N/A</v>
      </c>
      <c r="PJ64" s="21" t="e">
        <f>EXP(-LN(2)/25)*PJ63+(1-EXP(-LN(2)/25))/(LN(2)/25)*Calculateur!PE64*Calculateur!PG64*VLOOKUP('Données projet'!$B$28,Paramètres!$A$1:$I$89,3,0)*0.475*44/12</f>
        <v>#N/A</v>
      </c>
      <c r="PK64" s="21" t="e">
        <f>EXP(-LN(2)/2)*PK63+(1-EXP(-LN(2)/2))/(LN(2)/2)*PE64*PH64*VLOOKUP('Données projet'!$B$28,Paramètres!$A$1:$I$89,3,0)*0.475*44/12</f>
        <v>#N/A</v>
      </c>
      <c r="PL64" s="22" t="e">
        <f t="shared" si="117"/>
        <v>#N/A</v>
      </c>
    </row>
    <row r="65" spans="1:428" x14ac:dyDescent="0.35">
      <c r="A65" s="10">
        <f t="shared" si="6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6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projet'!$A$45:$I$65,2,0)</f>
        <v>#N/A</v>
      </c>
      <c r="L65" s="12" t="e">
        <f>VLOOKUP(A65,'Données projet'!$A$45:$I$65,9,0)</f>
        <v>#N/A</v>
      </c>
      <c r="M65" s="12">
        <f t="array" ref="M65">INDEX(L:L,MIN(IF(ISNUMBER(L65:L261),ROW(L65:L261),"")))</f>
        <v>0</v>
      </c>
      <c r="N65" s="13">
        <f>IF('Données projet'!$A$46&gt;35,N64+M65-V64,IF(A65&lt;'Données projet'!$A$46,$K$205^A65,IF(A65='Données projet'!$A$46,'Données projet'!$B$46,N64+M65-V64)))</f>
        <v>-1.1368683772161603E-13</v>
      </c>
      <c r="O65" s="13">
        <f>N65*VLOOKUP('Données projet'!$B$9,Paramètres!$A$1:$I$89,3,0)*VLOOKUP('Données projet'!$B$9,Paramètres!$A$1:$I$89,5,0)</f>
        <v>-6.3550942286383367E-14</v>
      </c>
      <c r="P65" s="13" t="e">
        <f t="shared" si="63"/>
        <v>#NUM!</v>
      </c>
      <c r="Q65" s="20" t="e">
        <f t="shared" si="118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274.57619581652199</v>
      </c>
      <c r="T65" s="59">
        <f t="shared" si="64"/>
        <v>366.15117322598775</v>
      </c>
      <c r="U65" s="15">
        <f>IF(ISNA(VLOOKUP(A65,'Données projet'!$A$45:$I$65,3,0)),0,VLOOKUP(A65,'Données projet'!$A$45:$I$65,3,0))</f>
        <v>0</v>
      </c>
      <c r="V65" s="15">
        <f>IF(ISNA(VLOOKUP(A65,'Données projet'!$A$45:$I$65,4,0)),0,VLOOKUP(A65,'Données projet'!$A$45:$I$65,4,0))</f>
        <v>0</v>
      </c>
      <c r="W65" s="16">
        <f>IF(ISNA(VLOOKUP(A65,'Données projet'!$A$45:$I$65,5,0)),0%,VLOOKUP(A65,'Données projet'!$A$45:$I$65,5,0)*VLOOKUP('Données projet'!$B$9,Paramètres!$A$1:$I$89,7,0))</f>
        <v>0</v>
      </c>
      <c r="X65" s="16">
        <f>IF(ISNA(VLOOKUP(A65,'Données projet'!$A$45:$I$65,6,0)),0%,VLOOKUP(A65,'Données projet'!$A$45:$I$65,6,0)*VLOOKUP('Données projet'!$B$9,Paramètres!$A$1:$I$89,7,0))</f>
        <v>0</v>
      </c>
      <c r="Y65" s="16">
        <f>IF(ISNA(VLOOKUP(A65,'Données projet'!$A$45:$I$65,7,0)),0%,VLOOKUP(A65,'Données projet'!$A$45:$I$65,7,0))</f>
        <v>0</v>
      </c>
      <c r="Z65" s="21">
        <f>EXP(-LN(2)/35)*Z64+(1-EXP(-LN(2)/35))/(LN(2)/35)*V65*W65*VLOOKUP('Données projet'!$B$9,Paramètres!$A$1:$I$89,3,0)*0.475*44/12</f>
        <v>197.31645037756701</v>
      </c>
      <c r="AA65" s="21">
        <f>EXP(-LN(2)/25)*AA64+(1-EXP(-LN(2)/25))/(LN(2)/25)*Calculateur!V65*Calculateur!X65*VLOOKUP('Données projet'!$B$9,Paramètres!$A$1:$I$89,3,0)*0.475*44/12</f>
        <v>47.445168093375699</v>
      </c>
      <c r="AB65" s="21">
        <f>EXP(-LN(2)/2)*AB64+(1-EXP(-LN(2)/2))/(LN(2)/2)*V65*Y65*VLOOKUP('Données projet'!$B$9,Paramètres!$A$1:$I$89,3,0)*0.475*44/12</f>
        <v>3.0194612144353861</v>
      </c>
      <c r="AC65" s="22">
        <f t="shared" si="3"/>
        <v>247.7810796853781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projet'!$A$71:$I$91,2,0)</f>
        <v>#N/A</v>
      </c>
      <c r="AG65" s="12" t="e">
        <f>VLOOKUP(A65,'Données projet'!$A$71:$I$91,9,0)</f>
        <v>#N/A</v>
      </c>
      <c r="AH65" s="12">
        <f t="array" ref="AH65">INDEX(AG:AG,MIN(IF(ISNUMBER(AG65:AG261),ROW(AG65:AG261),"")))</f>
        <v>8.374198717948719</v>
      </c>
      <c r="AI65" s="13">
        <f>IF('Données projet'!$A$72&gt;35,AI64+AH65-AQ64,IF(A65&lt;'Données projet'!$A$72,$AF$205^A65,IF(A65='Données projet'!$A$72,'Données projet'!$B$72,AI64+AH65-AQ64)))</f>
        <v>211.91426282051293</v>
      </c>
      <c r="AJ65" s="13">
        <f>AI65*VLOOKUP('Données projet'!$B$10,Paramètres!$A$1:$I$89,3,0)*VLOOKUP('Données projet'!$B$10,Paramètres!$A$1:$I$89,5,0)</f>
        <v>191.74002500000009</v>
      </c>
      <c r="AK65" s="13">
        <f t="shared" si="65"/>
        <v>47.924443327659169</v>
      </c>
      <c r="AL65" s="20">
        <f t="shared" si="4"/>
        <v>417.41561567067316</v>
      </c>
      <c r="AM65" s="59">
        <f t="shared" si="5"/>
        <v>710.74894900400648</v>
      </c>
      <c r="AN65" s="59">
        <f ca="1">AVERAGE(OFFSET($AM$3,0,0,'Données projet'!$E$10+1,1))-AVERAGE(OFFSET($H$3,0,0,'Données projet'!$E$10+1,1))</f>
        <v>270.87836509222456</v>
      </c>
      <c r="AO65" s="59">
        <f t="shared" si="66"/>
        <v>205.24998237949734</v>
      </c>
      <c r="AP65" s="15">
        <f>IF(ISNA(VLOOKUP(A65,'Données projet'!$A$71:$I$91,3,0)),0,VLOOKUP(A65,'Données projet'!$A$71:$I$91,3,0))</f>
        <v>0</v>
      </c>
      <c r="AQ65" s="15">
        <f>IF(ISNA(VLOOKUP(A65,'Données projet'!$A$71:$I$91,4,0)),0,VLOOKUP(A65,'Données projet'!$A$71:$I$91,4,0))</f>
        <v>0</v>
      </c>
      <c r="AR65" s="16">
        <f>IF(ISNA(VLOOKUP(A65,'Données projet'!$A$71:$I$91,5,0)),0%,VLOOKUP(A65,'Données projet'!$A$71:$I$91,5,0)*VLOOKUP('Données projet'!$B$10,Paramètres!$A$1:$I$89,7,0))</f>
        <v>0</v>
      </c>
      <c r="AS65" s="16">
        <f>IF(ISNA(VLOOKUP(A65,'Données projet'!$A$71:$I$91,6,0)),0%,VLOOKUP(A65,'Données projet'!$A$71:$I$91,6,0)*VLOOKUP('Données projet'!$B$10,Paramètres!$A$1:$I$89,7,0))</f>
        <v>0</v>
      </c>
      <c r="AT65" s="16">
        <f>IF(ISNA(VLOOKUP(A65,'Données projet'!$A$71:$I$91,7,0)),0%,VLOOKUP(A65,'Données projet'!$A$71:$I$91,7,0))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projet'!$A$97:$I$117,2,0)</f>
        <v>#N/A</v>
      </c>
      <c r="BB65" s="12" t="e">
        <f>VLOOKUP(A65,'Données projet'!$A$97:$I$117,9,0)</f>
        <v>#N/A</v>
      </c>
      <c r="BC65" s="12">
        <f t="array" ref="BC65">INDEX(BB:BB,MIN(IF(ISNUMBER(BB65:BB261),ROW(BB65:BB261),"")))</f>
        <v>0</v>
      </c>
      <c r="BD65" s="12">
        <f>IF('Données projet'!$A$98&gt;35,BD64+BC65-BL64,IF(A65&lt;'Données projet'!$A$98,$BA$205^A65,IF(A65='Données projet'!$A$98,'Données projet'!$B$98,BD64+BC65-BL64)))</f>
        <v>-1.1368683772161603E-13</v>
      </c>
      <c r="BE65" s="13">
        <f>BD65*VLOOKUP('Données projet'!$B$11,Paramètres!$A$1:$I$89,3,0)*VLOOKUP('Données projet'!$B$11,Paramètres!$A$1:$I$89,5,0)</f>
        <v>-5.0249582272954292E-14</v>
      </c>
      <c r="BF65" s="13" t="e">
        <f t="shared" si="6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211.31057120485542</v>
      </c>
      <c r="BJ65" s="59">
        <f t="shared" si="68"/>
        <v>283.33292006714777</v>
      </c>
      <c r="BK65" s="15">
        <f>IF(ISNA(VLOOKUP(A65,'Données projet'!$A$97:$I$117,3,0)),0,VLOOKUP(A65,'Données projet'!$A$97:$I$117,3,0))</f>
        <v>0</v>
      </c>
      <c r="BL65" s="15">
        <f>IF(ISNA(VLOOKUP(A65,'Données projet'!$A$97:$I$117,4,0)),0,VLOOKUP(A65,'Données projet'!$A$97:$I$117,4,0))</f>
        <v>0</v>
      </c>
      <c r="BM65" s="16">
        <f>IF(ISNA(VLOOKUP(A65,'Données projet'!$A$97:$I$117,5,0)),0%,VLOOKUP(A65,'Données projet'!$A$97:$I$117,5,0)*VLOOKUP('Données projet'!$B$11,Paramètres!$A$1:$I$89,7,0))</f>
        <v>0</v>
      </c>
      <c r="BN65" s="16">
        <f>IF(ISNA(VLOOKUP(A65,'Données projet'!$A$97:$I$117,6,0)),0%,VLOOKUP(A65,'Données projet'!$A$97:$I$117,6,0)*VLOOKUP('Données projet'!$B$11,Paramètres!$A$1:$I$89,7,0))</f>
        <v>0</v>
      </c>
      <c r="BO65" s="16">
        <f>IF(ISNA(VLOOKUP(A65,'Données projet'!$A$97:$I$117,7,0)),0%,VLOOKUP(A65,'Données projet'!$A$97:$I$117,7,0))</f>
        <v>0</v>
      </c>
      <c r="BP65" s="21">
        <f>EXP(-LN(2)/35)*BP64+(1-EXP(-LN(2)/35))/(LN(2)/35)*BL65*BM65*VLOOKUP('Données projet'!$B$11,Paramètres!$A$1:$I$89,3,0)*0.475*44/12</f>
        <v>156.01765843807624</v>
      </c>
      <c r="BQ65" s="21">
        <f>EXP(-LN(2)/25)*BQ64+(1-EXP(-LN(2)/25))/(LN(2)/25)*Calculateur!BL65*Calculateur!BN65*VLOOKUP('Données projet'!$B$11,Paramètres!$A$1:$I$89,3,0)*0.475*44/12</f>
        <v>37.514784073831954</v>
      </c>
      <c r="BR65" s="21">
        <f>EXP(-LN(2)/2)*BR64+(1-EXP(-LN(2)/2))/(LN(2)/2)*BL65*BO65*VLOOKUP('Données projet'!$B$11,Paramètres!$A$1:$I$89,3,0)*0.475*44/12</f>
        <v>2.387480960251235</v>
      </c>
      <c r="BS65" s="22">
        <f t="shared" si="9"/>
        <v>195.91992347215941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projet'!$A$123:$I$143,2,0)</f>
        <v>#N/A</v>
      </c>
      <c r="BW65" s="12" t="e">
        <f>VLOOKUP(A65,'Données projet'!$A$123:$I$143,9,0)</f>
        <v>#N/A</v>
      </c>
      <c r="BX65" s="12">
        <f t="array" ref="BX65">INDEX(BW:BW,MIN(IF(ISNUMBER(BW65:BW261),ROW(BW65:BW261),"")))</f>
        <v>5.6</v>
      </c>
      <c r="BY65" s="12">
        <f>IF('Données projet'!$A$124&gt;35,BY64+BX65-CG64,IF(A65&lt;'Données projet'!$A$124,$BV$205^A65,IF(A65='Données projet'!$A$124,'Données projet'!$B$124,BY64+BX65-CG64)))</f>
        <v>215.20000000000002</v>
      </c>
      <c r="BZ65" s="13">
        <f>BY65*VLOOKUP('Données projet'!$B$12,Paramètres!$A$1:$I$89,3,0)*VLOOKUP('Données projet'!$B$12,Paramètres!$A$1:$I$89,5,0)</f>
        <v>224.92704000000006</v>
      </c>
      <c r="CA65" s="13">
        <f t="shared" si="69"/>
        <v>55.184369220926527</v>
      </c>
      <c r="CB65" s="20">
        <f t="shared" si="10"/>
        <v>487.86070439311379</v>
      </c>
      <c r="CC65" s="59">
        <f t="shared" si="11"/>
        <v>781.19403772644705</v>
      </c>
      <c r="CD65" s="59">
        <f ca="1">AVERAGE(OFFSET($CC$3,0,0,'Données projet'!$E$12+1,1))-AVERAGE(OFFSET($H$3,0,0,'Données projet'!$E$12+1,1))</f>
        <v>322.93502595881938</v>
      </c>
      <c r="CE65" s="59">
        <f t="shared" si="70"/>
        <v>302.67072119588164</v>
      </c>
      <c r="CF65" s="15">
        <f>IF(ISNA(VLOOKUP(A65,'Données projet'!$A$123:$I$143,3,0)),0,VLOOKUP(A65,'Données projet'!$A$123:$I$143,3,0))</f>
        <v>0</v>
      </c>
      <c r="CG65" s="15">
        <f>IF(ISNA(VLOOKUP(A65,'Données projet'!$A$123:$I$143,4,0)),0,VLOOKUP(A65,'Données projet'!$A$123:$I$143,4,0))</f>
        <v>0</v>
      </c>
      <c r="CH65" s="16">
        <f>IF(ISNA(VLOOKUP(A65,'Données projet'!$A$123:$I$143,5,0)),0%,VLOOKUP(A65,'Données projet'!$A$123:$I$143,5,0)*VLOOKUP('Données projet'!$B$12,Paramètres!$A$1:$I$89,7,0))</f>
        <v>0</v>
      </c>
      <c r="CI65" s="16">
        <f>IF(ISNA(VLOOKUP(A65,'Données projet'!$A$123:$I$143,6,0)),0%,VLOOKUP(A65,'Données projet'!$A$123:$I$143,6,0)*VLOOKUP('Données projet'!$B$12,Paramètres!$A$1:$I$89,7,0))</f>
        <v>0</v>
      </c>
      <c r="CJ65" s="16">
        <f>IF(ISNA(VLOOKUP(A65,'Données projet'!$A$123:$I$143,7,0)),0%,VLOOKUP(A65,'Données projet'!$A$123:$I$143,7,0))</f>
        <v>0</v>
      </c>
      <c r="CK65" s="21">
        <f>EXP(-LN(2)/35)*CK64+(1-EXP(-LN(2)/35))/(LN(2)/35)*CG65*CH65*VLOOKUP('Données projet'!$B$12,Paramètres!$A$1:$I$89,3,0)*0.475*44/12</f>
        <v>16.444244995844699</v>
      </c>
      <c r="CL65" s="21">
        <f>EXP(-LN(2)/25)*CL64+(1-EXP(-LN(2)/25))/(LN(2)/25)*Calculateur!CG65*Calculateur!CI65*VLOOKUP('Données projet'!$B$12,Paramètres!$A$1:$I$89,3,0)*0.475*44/12</f>
        <v>21.09165817548649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37.535903171331185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projet'!$A$149:$I$169,2,0)</f>
        <v>#N/A</v>
      </c>
      <c r="CR65" s="12" t="e">
        <f>VLOOKUP(A65,'Données projet'!$A$149:$I$169,9,0)</f>
        <v>#N/A</v>
      </c>
      <c r="CS65" s="12">
        <f t="array" ref="CS65">INDEX(CR:CR,MIN(IF(ISNUMBER(CR65:CR261),ROW(CR65:CR261),"")))</f>
        <v>5.9431089743589762</v>
      </c>
      <c r="CT65" s="12">
        <f>IF('Données projet'!$A$150&gt;35,CT64+CS65-DB64,IF(A65&lt;'Données projet'!$A$150,$CQ$205^A65,IF(A65='Données projet'!$A$150,'Données projet'!$B$150,CT64+CS65-DB64)))</f>
        <v>138.14342948717947</v>
      </c>
      <c r="CU65" s="17">
        <f>CT65*VLOOKUP('Données projet'!$B$13,Paramètres!$A$1:$I$89,3,0)*VLOOKUP('Données projet'!$B$13,Paramètres!$A$1:$I$89,5,0)</f>
        <v>140.0774375</v>
      </c>
      <c r="CV65" s="13">
        <f t="shared" si="71"/>
        <v>36.314744767883546</v>
      </c>
      <c r="CW65" s="20">
        <f t="shared" si="13"/>
        <v>307.2163841165638</v>
      </c>
      <c r="CX65" s="59">
        <f t="shared" si="14"/>
        <v>600.54971744989712</v>
      </c>
      <c r="CY65" s="59">
        <f ca="1">AVERAGE(OFFSET($CX$3,0,0,'Données projet'!$E$13+1,1))-AVERAGE(OFFSET($H$3,0,0,'Données projet'!$E$13+1,1))</f>
        <v>250.31277422753283</v>
      </c>
      <c r="CZ65" s="59">
        <f t="shared" si="72"/>
        <v>159.20429420478047</v>
      </c>
      <c r="DA65" s="15">
        <f>IF(ISNA(VLOOKUP(A65,'Données projet'!$A$149:$I$169,3,0)),0,VLOOKUP(A65,'Données projet'!$A$149:$I$169,3,0))</f>
        <v>0</v>
      </c>
      <c r="DB65" s="15">
        <f>IF(ISNA(VLOOKUP(A65,'Données projet'!$A$149:$I$169,4,0)),0,VLOOKUP(A65,'Données projet'!$A$149:$I$169,4,0))</f>
        <v>0</v>
      </c>
      <c r="DC65" s="16">
        <f>IF(ISNA(VLOOKUP(A65,'Données projet'!$A$149:$I$169,5,0)),0%,VLOOKUP(A65,'Données projet'!$A$149:$I$169,5,0)*VLOOKUP('Données projet'!$B$13,Paramètres!$A$1:$I$89,7,0))</f>
        <v>0</v>
      </c>
      <c r="DD65" s="16">
        <f>IF(ISNA(VLOOKUP(A65,'Données projet'!$A$149:$I$169,6,0)),0%,VLOOKUP(A65,'Données projet'!$A$149:$I$169,6,0)*VLOOKUP('Données projet'!$B$13,Paramètres!$A$1:$I$89,7,0))</f>
        <v>0</v>
      </c>
      <c r="DE65" s="16">
        <f>IF(ISNA(VLOOKUP(A65,'Données projet'!$A$149:$I$169,7,0)),0%,VLOOKUP(A65,'Données projet'!$A$149:$I$169,7,0))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0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projet'!$A$175:$I$195,2,0)</f>
        <v>#N/A</v>
      </c>
      <c r="DM65" s="12" t="e">
        <f>VLOOKUP(A65,'Données projet'!$A$175:$I$195,9,0)</f>
        <v>#N/A</v>
      </c>
      <c r="DN65" s="12">
        <f t="array" ref="DN65">INDEX(DM:DM,MIN(IF(ISNUMBER(DM65:DM261),ROW(DM65:DM261),"")))</f>
        <v>6</v>
      </c>
      <c r="DO65" s="12">
        <f>IF('Données projet'!$A$176&gt;35,DO64+DN65-DW64,IF(A65&lt;'Données projet'!$A$176,$DL$205^A65,IF(A65='Données projet'!$A$176,'Données projet'!$B$176,DO64+DN65-DW64)))</f>
        <v>337.99999999999972</v>
      </c>
      <c r="DP65" s="17">
        <f>DO65*VLOOKUP('Données projet'!$B$14,Paramètres!$A$1:$I$89,3,0)*VLOOKUP('Données projet'!$B$14,Paramètres!$A$1:$I$89,5,0)</f>
        <v>247.82159999999982</v>
      </c>
      <c r="DQ65" s="13">
        <f t="shared" si="73"/>
        <v>60.119231945607517</v>
      </c>
      <c r="DR65" s="20">
        <f t="shared" si="16"/>
        <v>536.330282305266</v>
      </c>
      <c r="DS65" s="59">
        <f t="shared" si="17"/>
        <v>829.66361563859937</v>
      </c>
      <c r="DT65" s="59">
        <f ca="1">AVERAGE(OFFSET($DS$3,0,0,'Données projet'!$E$14+1,1))-AVERAGE(OFFSET($H$3,0,0,'Données projet'!$E$14+1,1))</f>
        <v>296.91321813251051</v>
      </c>
      <c r="DU65" s="59">
        <f t="shared" si="74"/>
        <v>291.0718079639509</v>
      </c>
      <c r="DV65" s="15">
        <f>IF(ISNA(VLOOKUP(A65,'Données projet'!$A$175:$I$195,3,0)),0,VLOOKUP(A65,'Données projet'!$A$175:$I$195,3,0))</f>
        <v>0</v>
      </c>
      <c r="DW65" s="15">
        <f>IF(ISNA(VLOOKUP(A65,'Données projet'!$A$175:$I$195,4,0)),0,VLOOKUP(A65,'Données projet'!$A$175:$I$195,4,0))</f>
        <v>0</v>
      </c>
      <c r="DX65" s="16">
        <f>IF(ISNA(VLOOKUP(A65,'Données projet'!$A$175:$I$195,5,0)),0%,VLOOKUP(A65,'Données projet'!$A$175:$I$195,5,0)*VLOOKUP('Données projet'!$B$14,Paramètres!$A$1:$I$89,7,0))</f>
        <v>0</v>
      </c>
      <c r="DY65" s="16">
        <f>IF(ISNA(VLOOKUP(A65,'Données projet'!$A$175:$I$195,6,0)),0%,VLOOKUP(A65,'Données projet'!$A$175:$I$195,6,0)*VLOOKUP('Données projet'!$B$14,Paramètres!$A$1:$I$89,7,0))</f>
        <v>0</v>
      </c>
      <c r="DZ65" s="16">
        <f>IF(ISNA(VLOOKUP(A65,'Données projet'!$A$175:$I$195,7,0)),0%,VLOOKUP(A65,'Données projet'!$A$175:$I$195,7,0))</f>
        <v>0</v>
      </c>
      <c r="EA65" s="21">
        <f>EXP(-LN(2)/35)*EA64+(1-EXP(-LN(2)/35))/(LN(2)/35)*DW65*DX65*VLOOKUP('Données projet'!$B$14,Paramètres!$A$1:$I$89,3,0)*0.475*44/12</f>
        <v>40.957457384739961</v>
      </c>
      <c r="EB65" s="21">
        <f>EXP(-LN(2)/25)*EB64+(1-EXP(-LN(2)/25))/(LN(2)/25)*Calculateur!DW65*Calculateur!DY65*VLOOKUP('Données projet'!$B$14,Paramètres!$A$1:$I$89,3,0)*0.475*44/12</f>
        <v>7.5153920181938583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48.472849402933818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projet'!$A$201:$I$221,2,0)</f>
        <v>#N/A</v>
      </c>
      <c r="EH65" s="12" t="e">
        <f>VLOOKUP(A65,'Données projet'!$A$201:$I$221,9,0)</f>
        <v>#N/A</v>
      </c>
      <c r="EI65" s="12">
        <f t="array" ref="EI65">INDEX(EH:EH,MIN(IF(ISNUMBER(EH65:EH261),ROW(EH65:EH261),"")))</f>
        <v>10.763461538461542</v>
      </c>
      <c r="EJ65" s="12">
        <f>IF('Données projet'!$A$202&gt;35,EJ64+EI65-ER64,IF(A65&lt;'Données projet'!$A$202,$EG$205^A65,IF(A65='Données projet'!$A$202,'Données projet'!$B$202,EJ64+EI65-ER64)))</f>
        <v>339.92884615384628</v>
      </c>
      <c r="EK65" s="17">
        <f>EJ65*VLOOKUP('Données projet'!$B$15,Paramètres!$A$1:$I$89,3,0)*VLOOKUP('Données projet'!$B$15,Paramètres!$A$1:$I$89,5,0)</f>
        <v>159.08670000000006</v>
      </c>
      <c r="EL65" s="13">
        <f t="shared" si="75"/>
        <v>40.636449461585293</v>
      </c>
      <c r="EM65" s="20">
        <f t="shared" si="19"/>
        <v>347.85115197892782</v>
      </c>
      <c r="EN65" s="59">
        <f t="shared" si="20"/>
        <v>641.18448531226113</v>
      </c>
      <c r="EO65" s="59">
        <f ca="1">AVERAGE(OFFSET($EN$3,0,0,'Données projet'!$E$15+1,1))-AVERAGE(OFFSET($H$3,0,0,'Données projet'!$E$15+1,1))</f>
        <v>147.64256291235483</v>
      </c>
      <c r="EP65" s="59">
        <f t="shared" si="76"/>
        <v>70.859031694091868</v>
      </c>
      <c r="EQ65" s="15">
        <f>IF(ISNA(VLOOKUP(A65,'Données projet'!$A$201:$I$221,3,0)),0,VLOOKUP(A65,'Données projet'!$A$201:$I$221,3,0))</f>
        <v>0</v>
      </c>
      <c r="ER65" s="15">
        <f>IF(ISNA(VLOOKUP(A65,'Données projet'!$A$201:$I$221,4,0)),0,VLOOKUP(A65,'Données projet'!$A$201:$I$221,4,0))</f>
        <v>0</v>
      </c>
      <c r="ES65" s="16">
        <f>IF(ISNA(VLOOKUP(A65,'Données projet'!$A$201:$I$221,5,0)),0%,VLOOKUP(A65,'Données projet'!$A$201:$I$221,5,0)*VLOOKUP('Données projet'!$B$15,Paramètres!$A$1:$I$89,7,0))</f>
        <v>0</v>
      </c>
      <c r="ET65" s="16">
        <f>IF(ISNA(VLOOKUP(A65,'Données projet'!$A$201:$I$221,6,0)),0%,VLOOKUP(A65,'Données projet'!$A$201:$I$221,6,0)*VLOOKUP('Données projet'!$B$15,Paramètres!$A$1:$I$89,7,0))</f>
        <v>0</v>
      </c>
      <c r="EU65" s="16">
        <f>IF(ISNA(VLOOKUP(A65,'Données projet'!$A$201:$I$221,7,0)),0%,VLOOKUP(A65,'Données projet'!$A$201:$I$221,7,0))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14.082916648455519</v>
      </c>
      <c r="EX65" s="21">
        <f>EXP(-LN(2)/2)*EX64+(1-EXP(-LN(2)/2))/(LN(2)/2)*ER65*EU65*VLOOKUP('Données projet'!$B$15,Paramètres!$A$1:$I$89,3,0)*0.475*44/12</f>
        <v>0.5167771847563265</v>
      </c>
      <c r="EY65" s="22">
        <f t="shared" si="21"/>
        <v>14.599693833211846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projet'!$A$227:$I$247,2,0)</f>
        <v>#N/A</v>
      </c>
      <c r="FC65" s="12" t="e">
        <f>VLOOKUP(A65,'Données projet'!$A$227:$I$247,9,0)</f>
        <v>#N/A</v>
      </c>
      <c r="FD65" s="12">
        <f t="array" ref="FD65">INDEX(FC:FC,MIN(IF(ISNUMBER(FC65:FC261),ROW(FC65:FC261),"")))</f>
        <v>4.4000000000000004</v>
      </c>
      <c r="FE65" s="12">
        <f>IF('Données projet'!$A$228&gt;35,FE64+FD65-FM64,IF(A65&lt;'Données projet'!$A$228,$FB$205^A65,IF(A65='Données projet'!$A$228,'Données projet'!$B$228,FE64+FD65-FM64)))</f>
        <v>181.79999999999998</v>
      </c>
      <c r="FF65" s="17">
        <f>FE65*VLOOKUP('Données projet'!$B$16,Paramètres!$A$1:$I$89,3,0)*VLOOKUP('Données projet'!$B$16,Paramètres!$A$1:$I$89,5,0)</f>
        <v>190.01736</v>
      </c>
      <c r="FG65" s="13">
        <f t="shared" si="77"/>
        <v>47.543790880338349</v>
      </c>
      <c r="FH65" s="20">
        <f t="shared" si="22"/>
        <v>413.75233778325588</v>
      </c>
      <c r="FI65" s="59">
        <f t="shared" si="23"/>
        <v>707.0856711165892</v>
      </c>
      <c r="FJ65" s="59">
        <f ca="1">AVERAGE(OFFSET($FI$3,0,0,'Données projet'!$E$16+1,1))-AVERAGE(OFFSET($H$3,0,0,'Données projet'!$E$16+1,1))</f>
        <v>259.03906550253788</v>
      </c>
      <c r="FK65" s="59">
        <f t="shared" si="78"/>
        <v>235.54542903570831</v>
      </c>
      <c r="FL65" s="15">
        <f>IF(ISNA(VLOOKUP(A65,'Données projet'!$A$227:$I$247,3,0)),0,VLOOKUP(A65,'Données projet'!$A$227:$I$247,3,0))</f>
        <v>0</v>
      </c>
      <c r="FM65" s="15">
        <f>IF(ISNA(VLOOKUP(A65,'Données projet'!$A$227:$I$247,4,0)),0,VLOOKUP(A65,'Données projet'!$A$227:$I$247,4,0))</f>
        <v>0</v>
      </c>
      <c r="FN65" s="16">
        <f>IF(ISNA(VLOOKUP(A65,'Données projet'!$A$227:$I$247,5,0)),0%,VLOOKUP(A65,'Données projet'!$A$227:$I$247,5,0)*VLOOKUP('Données projet'!$B$16,Paramètres!$A$1:$I$89,7,0))</f>
        <v>0</v>
      </c>
      <c r="FO65" s="16">
        <f>IF(ISNA(VLOOKUP(A65,'Données projet'!$A$227:$I$247,6,0)),0%,VLOOKUP(A65,'Données projet'!$A$227:$I$247,6,0)*VLOOKUP('Données projet'!$B$16,Paramètres!$A$1:$I$89,7,0))</f>
        <v>0</v>
      </c>
      <c r="FP65" s="16">
        <f>IF(ISNA(VLOOKUP(A65,'Données projet'!$A$227:$I$247,7,0)),0%,VLOOKUP(A65,'Données projet'!$A$227:$I$247,7,0))</f>
        <v>0</v>
      </c>
      <c r="FQ65" s="21">
        <f>EXP(-LN(2)/35)*FQ64+(1-EXP(-LN(2)/35))/(LN(2)/35)*FM65*FN65*VLOOKUP('Données projet'!$B$16,Paramètres!$A$1:$I$89,3,0)*0.475*44/12</f>
        <v>5.9974353991480189</v>
      </c>
      <c r="FR65" s="21">
        <f>EXP(-LN(2)/25)*FR64+(1-EXP(-LN(2)/25))/(LN(2)/25)*Calculateur!FM65*Calculateur!FO65*VLOOKUP('Données projet'!$B$16,Paramètres!$A$1:$I$89,3,0)*0.475*44/12</f>
        <v>14.584780043473966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20.582215442621987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projet'!$A$253:$I$273,2,0)</f>
        <v>#N/A</v>
      </c>
      <c r="FX65" s="12" t="e">
        <f>VLOOKUP(A65,'Données projet'!$A$253:$I$273,9,0)</f>
        <v>#N/A</v>
      </c>
      <c r="FY65" s="12">
        <f t="array" ref="FY65">INDEX(FX:FX,MIN(IF(ISNUMBER(FX65:FX261),ROW(FX65:FX261),"")))</f>
        <v>4.4000000000000004</v>
      </c>
      <c r="FZ65" s="12">
        <f>IF('Données projet'!$A$254&gt;35,FZ64+FY65-GH64,IF(A65&lt;'Données projet'!$A$254,$FW$205^A65,IF(A65='Données projet'!$A$254,'Données projet'!$B$254,FZ64+FY65-GH64)))</f>
        <v>241.79999999999984</v>
      </c>
      <c r="GA65" s="17">
        <f>FZ65*VLOOKUP('Données projet'!$B$17,Paramètres!$A$1:$I$89,3,0)*VLOOKUP('Données projet'!$B$17,Paramètres!$A$1:$I$89,5,0)</f>
        <v>211.23647999999989</v>
      </c>
      <c r="GB65" s="13">
        <f t="shared" si="79"/>
        <v>52.205695296687686</v>
      </c>
      <c r="GC65" s="20">
        <f t="shared" si="25"/>
        <v>458.82845530839751</v>
      </c>
      <c r="GD65" s="59">
        <f t="shared" si="26"/>
        <v>752.16178864173082</v>
      </c>
      <c r="GE65" s="59">
        <f ca="1">AVERAGE(OFFSET($GD$3,0,0,'Données projet'!$E$17+1,1))-AVERAGE(OFFSET($H$3,0,0,'Données projet'!$E$17+1,1))</f>
        <v>245.1983232777614</v>
      </c>
      <c r="GF65" s="59">
        <f t="shared" si="80"/>
        <v>242.34010522344573</v>
      </c>
      <c r="GG65" s="15">
        <f>IF(ISNA(VLOOKUP(A65,'Données projet'!$A$253:$I$273,3,0)),0,VLOOKUP(A65,'Données projet'!$A$253:$I$273,3,0))</f>
        <v>0</v>
      </c>
      <c r="GH65" s="15">
        <f>IF(ISNA(VLOOKUP(A65,'Données projet'!$A$253:$I$273,4,0)),0,VLOOKUP(A65,'Données projet'!$A$253:$I$273,4,0))</f>
        <v>0</v>
      </c>
      <c r="GI65" s="16">
        <f>IF(ISNA(VLOOKUP(A65,'Données projet'!$A$253:$I$273,5,0)),0%,VLOOKUP(A65,'Données projet'!$A$253:$I$273,5,0)*VLOOKUP('Données projet'!$B$17,Paramètres!$A$1:$I$89,7,0))</f>
        <v>0</v>
      </c>
      <c r="GJ65" s="16">
        <f>IF(ISNA(VLOOKUP(A65,'Données projet'!$A$253:$I$273,6,0)),0%,VLOOKUP(A65,'Données projet'!$A$253:$I$273,6,0)*VLOOKUP('Données projet'!$B$17,Paramètres!$A$1:$I$89,7,0))</f>
        <v>0</v>
      </c>
      <c r="GK65" s="16">
        <f>IF(ISNA(VLOOKUP(A65,'Données projet'!$A$253:$I$273,7,0)),0%,VLOOKUP(A65,'Données projet'!$A$253:$I$273,7,0))</f>
        <v>0</v>
      </c>
      <c r="GL65" s="21">
        <f>EXP(-LN(2)/35)*GL64+(1-EXP(-LN(2)/35))/(LN(2)/35)*GH65*GI65*VLOOKUP('Données projet'!$B$17,Paramètres!$A$1:$I$89,3,0)*0.475*44/12</f>
        <v>19.801656311260629</v>
      </c>
      <c r="GM65" s="21">
        <f>EXP(-LN(2)/25)*GM64+(1-EXP(-LN(2)/25))/(LN(2)/25)*Calculateur!GH65*Calculateur!GJ65*VLOOKUP('Données projet'!$B$17,Paramètres!$A$1:$I$89,3,0)*0.475*44/12</f>
        <v>9.9648114407477202</v>
      </c>
      <c r="GN65" s="21">
        <f>EXP(-LN(2)/2)*GN64+(1-EXP(-LN(2)/2))/(LN(2)/2)*GH65*GK65*VLOOKUP('Données projet'!$B$17,Paramètres!$A$1:$I$89,3,0)*0.475*44/12</f>
        <v>0</v>
      </c>
      <c r="GO65" s="21">
        <f t="shared" si="27"/>
        <v>29.766467752008349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projet'!$A$279:$I$299,2,0)</f>
        <v>#N/A</v>
      </c>
      <c r="GS65" s="12" t="e">
        <f>VLOOKUP(A65,'Données projet'!$A$279:$I$299,9,0)</f>
        <v>#N/A</v>
      </c>
      <c r="GT65" s="12">
        <f t="array" ref="GT65">INDEX(GS:GS,MIN(IF(ISNUMBER(GS65:GS261),ROW(GS65:GS261),"")))</f>
        <v>12</v>
      </c>
      <c r="GU65" s="12">
        <f>IF('Données projet'!$A$280&gt;35,GU64+GT65-HC64,IF(A65&lt;'Données projet'!$A$280,$GR$205^A65,IF(A65='Données projet'!$A$280,'Données projet'!$B$280,GU64+GT65-HC64)))</f>
        <v>698.00000000000023</v>
      </c>
      <c r="GV65" s="17">
        <f>GU65*VLOOKUP('Données projet'!$B$18,Paramètres!$A$1:$I$89,3,0)*VLOOKUP('Données projet'!$B$18,Paramètres!$A$1:$I$89,5,0)</f>
        <v>281.2940000000001</v>
      </c>
      <c r="GW65" s="13">
        <f t="shared" si="81"/>
        <v>67.240394853797113</v>
      </c>
      <c r="GX65" s="20">
        <f t="shared" si="28"/>
        <v>607.03073770369667</v>
      </c>
      <c r="GY65" s="59">
        <f t="shared" si="29"/>
        <v>900.36407103703004</v>
      </c>
      <c r="GZ65" s="59">
        <f ca="1">AVERAGE(OFFSET($GY$3,0,0,'Données projet'!$E$18+1,1))-AVERAGE(OFFSET($H$3,0,0,'Données projet'!$E$18+1,1))</f>
        <v>324.36162935850876</v>
      </c>
      <c r="HA65" s="59">
        <f t="shared" si="82"/>
        <v>265.23571072429735</v>
      </c>
      <c r="HB65" s="15">
        <f>IF(ISNA(VLOOKUP(A65,'Données projet'!$A$279:$I$299,3,0)),0,VLOOKUP(A65,'Données projet'!$A$279:$I$299,3,0))</f>
        <v>0</v>
      </c>
      <c r="HC65" s="15">
        <f>IF(ISNA(VLOOKUP(A65,'Données projet'!$A$279:$I$299,4,0)),0,VLOOKUP(A65,'Données projet'!$A$279:$I$299,4,0))</f>
        <v>0</v>
      </c>
      <c r="HD65" s="16">
        <f>IF(ISNA(VLOOKUP(A65,'Données projet'!$A$279:$I$299,5,0)),0%,VLOOKUP(A65,'Données projet'!$A$279:$I$299,5,0)*VLOOKUP('Données projet'!$B$18,Paramètres!$A$1:$I$89,7,0))</f>
        <v>0</v>
      </c>
      <c r="HE65" s="16">
        <f>IF(ISNA(VLOOKUP(A65,'Données projet'!$A$279:$I$299,6,0)),0%,VLOOKUP(A65,'Données projet'!$A$279:$I$299,6,0)*VLOOKUP('Données projet'!$B$18,Paramètres!$A$1:$I$89,7,0))</f>
        <v>0</v>
      </c>
      <c r="HF65" s="16">
        <f>IF(ISNA(VLOOKUP($A65,'Données projet'!$A$279:$I$299,7,0)),0%,VLOOKUP($A65,'Données projet'!$A$279:$I$299,7,0))</f>
        <v>0</v>
      </c>
      <c r="HG65" s="21">
        <f>EXP(-LN(2)/35)*HG64+(1-EXP(-LN(2)/35))/(LN(2)/35)*HC65*HD65*VLOOKUP('Données projet'!$B$18,Paramètres!$A$1:$I$89,3,0)*0.475*44/12</f>
        <v>12.277788472256168</v>
      </c>
      <c r="HH65" s="21">
        <f>EXP(-LN(2)/25)*HH64+(1-EXP(-LN(2)/25))/(LN(2)/25)*Calculateur!HC65*Calculateur!HE65*VLOOKUP('Données projet'!$B$18,Paramètres!$A$1:$I$89,3,0)*0.475*44/12</f>
        <v>11.213727782362852</v>
      </c>
      <c r="HI65" s="21">
        <f>EXP(-LN(2)/2)*HI64+(1-EXP(-LN(2)/2))/(LN(2)/2)*HC65*HF65*VLOOKUP('Données projet'!$B$18,Paramètres!$A$1:$I$89,3,0)*0.475*44/12</f>
        <v>0.2361094509506198</v>
      </c>
      <c r="HJ65" s="22">
        <f t="shared" si="30"/>
        <v>23.72762570556964</v>
      </c>
      <c r="HK65" s="74">
        <f>('Scénario référence'!$F$8+'Scénario référence'!$F$9+'Scénario référence'!$B$17+'Scénario référence'!$B$9+'Scénario référence'!$B$10)*70+IF((45+25*(1-EXP(-0.0175*$A65)))&lt;70,'Scénario référence'!$B$16*(45+25*(1-EXP(-0.0175*$A65))),70*'Scénario référence'!$B$16)+IF((32+38*(1-EXP(-0.0175*$A65)))&lt;70,'Scénario référence'!$B$18*(32+38*(1-EXP(-0.0175*$A65))),70*'Scénario référence'!$B$18)</f>
        <v>70</v>
      </c>
      <c r="HL65" s="12">
        <f>IF($A65&gt;30,10,('Scénario référence'!$B$16+'Scénario référence'!$B$17+'Scénario référence'!$B$18+'Scénario référence'!$B$9+'Scénario référence'!$B$10)*$A65*10/30+('Scénario référence'!$F$8+'Scénario référence'!$F$9)*10)</f>
        <v>10</v>
      </c>
      <c r="HM65" s="12" t="e">
        <f>VLOOKUP($A65,'Données projet'!$A$304:$I$324,2,0)</f>
        <v>#N/A</v>
      </c>
      <c r="HN65" s="12" t="e">
        <f>VLOOKUP($A65,'Données projet'!$A$304:$I$324,9,0)</f>
        <v>#N/A</v>
      </c>
      <c r="HO65" s="12">
        <f t="array" ref="HO65">INDEX(HN:HN,MIN(IF(ISNUMBER(HN65:HN261),ROW(HN65:HN261),"")))</f>
        <v>0</v>
      </c>
      <c r="HP65" s="12">
        <f>IF('Données projet'!$A$304&gt;35,HP64+HO65-HX64,IF($A65&lt;'Données projet'!$A$304,$CQ$205^$A65,IF($A65='Données projet'!$A$304,'Données projet'!$B$304,HP64+HO65-HX64)))</f>
        <v>0</v>
      </c>
      <c r="HQ65" s="17">
        <f>HP65*VLOOKUP('Données projet'!$B$19,Paramètres!$A$1:$I$89,3,0)*VLOOKUP('Données projet'!$B$19,Paramètres!$A$1:$I$89,5,0)</f>
        <v>0</v>
      </c>
      <c r="HR65" s="13" t="e">
        <f t="shared" si="83"/>
        <v>#NUM!</v>
      </c>
      <c r="HS65" s="14" t="e">
        <f t="shared" si="31"/>
        <v>#NUM!</v>
      </c>
      <c r="HT65" s="59" t="e">
        <f t="shared" si="32"/>
        <v>#NUM!</v>
      </c>
      <c r="HU65" s="59">
        <f ca="1">AVERAGE(OFFSET(HT$3,0,0,'Données projet'!$E$19+1,1))-AVERAGE(OFFSET($H$3,0,0,'Données projet'!$E$19+1,1))</f>
        <v>91.60721429656013</v>
      </c>
      <c r="HV65" s="59">
        <f t="shared" si="84"/>
        <v>258.94957804210856</v>
      </c>
      <c r="HW65" s="15">
        <f>IF(ISNA(VLOOKUP($A65,'Données projet'!$A$304:$I$324,3,0)),0,VLOOKUP($A65,'Données projet'!$A$304:$I$324,3,0))</f>
        <v>0</v>
      </c>
      <c r="HX65" s="15">
        <f>IF(ISNA(VLOOKUP($A65,'Données projet'!$A$304:$I$324,4,0)),0,VLOOKUP($A65,'Données projet'!$A$304:$I$324,4,0))</f>
        <v>0</v>
      </c>
      <c r="HY65" s="16">
        <f>IF(ISNA(VLOOKUP($A65,'Données projet'!$A$304:$I$324,5,0)),0%,VLOOKUP($A65,'Données projet'!$A$304:$I$324,5,0)*VLOOKUP('Données projet'!$B$19,Paramètres!$A$1:$I$89,7,0))</f>
        <v>0</v>
      </c>
      <c r="HZ65" s="16">
        <f>IF(ISNA(VLOOKUP($A65,'Données projet'!$A$304:$I$324,6,0)),0%,VLOOKUP($A65,'Données projet'!$A$304:$I$324,6,0)*VLOOKUP('Données projet'!$B$19,Paramètres!$A$1:$I$89,7,0))</f>
        <v>0</v>
      </c>
      <c r="IA65" s="16">
        <f>IF(ISNA(VLOOKUP($A65,'Données projet'!$A$304:$I$324,7,0)),0%,VLOOKUP($A65,'Données projet'!$A$304:$I$324,7,0))</f>
        <v>0</v>
      </c>
      <c r="IB65" s="21">
        <f>EXP(-LN(2)/35)*IB64+(1-EXP(-LN(2)/35))/(LN(2)/35)*HX65*HY65*VLOOKUP('Données projet'!$B$19,Paramètres!$A$1:$I$89,3,0)*0.475*44/12</f>
        <v>26.176254359079373</v>
      </c>
      <c r="IC65" s="21">
        <f>EXP(-LN(2)/25)*IC64+(1-EXP(-LN(2)/25))/(LN(2)/25)*Calculateur!HX65*Calculateur!HZ65*VLOOKUP('Données projet'!$B$19,Paramètres!$A$1:$I$89,3,0)*0.475*44/12</f>
        <v>4.0058341544514819</v>
      </c>
      <c r="ID65" s="21">
        <f>EXP(-LN(2)/2)*ID64+(1-EXP(-LN(2)/2))/(LN(2)/2)*HX65*IA65*VLOOKUP('Données projet'!$B$19,Paramètres!$A$1:$I$89,3,0)*0.475*44/12</f>
        <v>8.7410325888668449E-6</v>
      </c>
      <c r="IE65" s="22">
        <f t="shared" si="33"/>
        <v>30.182097254563441</v>
      </c>
      <c r="IF65" s="74">
        <f>('Scénario référence'!$F$8+'Scénario référence'!$F$9+'Scénario référence'!$B$17+'Scénario référence'!$B$9+'Scénario référence'!$B$10)*70+IF((45+25*(1-EXP(-0.0175*$A65)))&lt;70,'Scénario référence'!$B$16*(45+25*(1-EXP(-0.0175*$A65))),70*'Scénario référence'!$B$16)+IF((32+38*(1-EXP(-0.0175*$A65)))&lt;70,'Scénario référence'!$B$18*(32+38*(1-EXP(-0.0175*$A65))),70*'Scénario référence'!$B$18)</f>
        <v>70</v>
      </c>
      <c r="IG65" s="12">
        <f>IF($A65&gt;30,10,('Scénario référence'!$B$16+'Scénario référence'!$B$17+'Scénario référence'!$B$18+'Scénario référence'!$B$9+'Scénario référence'!$B$10)*$A65*10/30+('Scénario référence'!$F$8+'Scénario référence'!$F$9)*10)</f>
        <v>10</v>
      </c>
      <c r="IH65" s="12" t="e">
        <f>VLOOKUP($A65,'Données projet'!$A$330:$I$350,2,0)</f>
        <v>#N/A</v>
      </c>
      <c r="II65" s="12" t="e">
        <f>VLOOKUP($A65,'Données projet'!$A$330:$I$350,9,0)</f>
        <v>#N/A</v>
      </c>
      <c r="IJ65" s="12">
        <f t="array" ref="IJ65">INDEX(II:II,MIN(IF(ISNUMBER(II65:II261),ROW(II65:II261),"")))</f>
        <v>0</v>
      </c>
      <c r="IK65" s="12">
        <f>IF('Données projet'!$A$330&gt;35,IK64+IJ65-IS64,IF($A65&lt;'Données projet'!$A$330,$CQ$205^$A65,IF($A65='Données projet'!$A$330,'Données projet'!$B$330,IK64+IJ65-IS64)))</f>
        <v>0</v>
      </c>
      <c r="IL65" s="17">
        <f>IK65*VLOOKUP('Données projet'!$B$20,Paramètres!$A$1:$I$89,3,0)*VLOOKUP('Données projet'!$B$20,Paramètres!$A$1:$I$89,5,0)</f>
        <v>0</v>
      </c>
      <c r="IM65" s="13" t="e">
        <f t="shared" si="85"/>
        <v>#NUM!</v>
      </c>
      <c r="IN65" s="20" t="e">
        <f t="shared" si="86"/>
        <v>#NUM!</v>
      </c>
      <c r="IO65" s="59" t="e">
        <f t="shared" si="87"/>
        <v>#NUM!</v>
      </c>
      <c r="IP65" s="59">
        <f ca="1">AVERAGE(OFFSET(IO$3,0,0,'Données projet'!$E$20+1,1))-AVERAGE(OFFSET($H$3,0,0,'Données projet'!$E$20+1,1))</f>
        <v>91.60721429656013</v>
      </c>
      <c r="IQ65" s="59">
        <f t="shared" si="88"/>
        <v>258.94957804210856</v>
      </c>
      <c r="IR65" s="15">
        <f>IF(ISNA(VLOOKUP($A65,'Données projet'!$A$330:$I$350,3,0)),0,VLOOKUP($A65,'Données projet'!$A$330:$I$350,3,0))</f>
        <v>0</v>
      </c>
      <c r="IS65" s="15">
        <f>IF(ISNA(VLOOKUP($A65,'Données projet'!$A$330:$I$350,4,0)),0,VLOOKUP($A65,'Données projet'!$A$330:$I$350,4,0))</f>
        <v>0</v>
      </c>
      <c r="IT65" s="16">
        <f>IF(ISNA(VLOOKUP($A65,'Données projet'!$A$330:$I$350,5,0)),0%,VLOOKUP($A65,'Données projet'!$A$330:$I$350,5,0)*VLOOKUP('Données projet'!$B$20,Paramètres!$A$1:$I$89,7,0))</f>
        <v>0</v>
      </c>
      <c r="IU65" s="16">
        <f>IF(ISNA(VLOOKUP($A65,'Données projet'!$A$330:$I$350,6,0)),0%,VLOOKUP($A65,'Données projet'!$A$330:$I$350,6,0)*VLOOKUP('Données projet'!$B$20,Paramètres!$A$1:$I$89,7,0))</f>
        <v>0</v>
      </c>
      <c r="IV65" s="16">
        <f>IF(ISNA(VLOOKUP($A65,'Données projet'!$A$330:$I$350,7,0)),0%,VLOOKUP($A65,'Données projet'!$A$330:$I$350,7,0))</f>
        <v>0</v>
      </c>
      <c r="IW65" s="21">
        <f>EXP(-LN(2)/35)*IW64+(1-EXP(-LN(2)/35))/(LN(2)/35)*IS65*IT65*VLOOKUP('Données projet'!$B$20,Paramètres!$A$1:$I$89,3,0)*0.475*44/12</f>
        <v>26.176254359079373</v>
      </c>
      <c r="IX65" s="21">
        <f>EXP(-LN(2)/25)*IX64+(1-EXP(-LN(2)/25))/(LN(2)/25)*Calculateur!IS65*Calculateur!IU65*VLOOKUP('Données projet'!$B$20,Paramètres!$A$1:$I$89,3,0)*0.475*44/12</f>
        <v>4.0058341544514819</v>
      </c>
      <c r="IY65" s="21">
        <f>EXP(-LN(2)/2)*IY64+(1-EXP(-LN(2)/2))/(LN(2)/2)*IS65*IV65*VLOOKUP('Données projet'!$B$20,Paramètres!$A$1:$I$89,3,0)*0.475*44/12</f>
        <v>8.7410325888668449E-6</v>
      </c>
      <c r="IZ65" s="22">
        <f t="shared" si="89"/>
        <v>30.182097254563441</v>
      </c>
      <c r="JA65" s="74">
        <f>('Scénario référence'!$F$8+'Scénario référence'!$F$9+'Scénario référence'!$B$17+'Scénario référence'!$B$9+'Scénario référence'!$B$10)*70+IF((45+25*(1-EXP(-0.0175*$A65)))&lt;70,'Scénario référence'!$B$16*(45+25*(1-EXP(-0.0175*$A65))),70*'Scénario référence'!$B$16)+IF((32+38*(1-EXP(-0.0175*$A65)))&lt;70,'Scénario référence'!$B$18*(32+38*(1-EXP(-0.0175*$A65))),70*'Scénario référence'!$B$18)</f>
        <v>70</v>
      </c>
      <c r="JB65" s="12">
        <f>IF($A65&gt;30,10,('Scénario référence'!$B$16+'Scénario référence'!$B$17+'Scénario référence'!$B$18+'Scénario référence'!$B$9+'Scénario référence'!$B$10)*$A65*10/30+('Scénario référence'!$F$8+'Scénario référence'!$F$9)*10)</f>
        <v>10</v>
      </c>
      <c r="JC65" s="12" t="e">
        <f>VLOOKUP($A65,'Données projet'!$A$356:$I$376,2,0)</f>
        <v>#N/A</v>
      </c>
      <c r="JD65" s="12" t="e">
        <f>VLOOKUP($A65,'Données projet'!$A$356:$I$376,9,0)</f>
        <v>#N/A</v>
      </c>
      <c r="JE65" s="12">
        <f t="array" ref="JE65">INDEX(JD:JD,MIN(IF(ISNUMBER(JD65:JD261),ROW(JD65:JD261),"")))</f>
        <v>10.4</v>
      </c>
      <c r="JF65" s="12">
        <f>IF('Données projet'!$A$356&gt;35,JF64+JE65-JN64,IF($A65&lt;'Données projet'!$A$356,$CQ$205^$A65,IF($A65='Données projet'!$A$356,'Données projet'!$B$356,JF64+JE65-JN64)))</f>
        <v>262.80000000000007</v>
      </c>
      <c r="JG65" s="17">
        <f>JF65*VLOOKUP('Données projet'!$B$21,Paramètres!$A$1:$I$89,3,0)*VLOOKUP('Données projet'!$B$21,Paramètres!$A$1:$I$89,5,0)</f>
        <v>213.18336000000005</v>
      </c>
      <c r="JH65" s="13">
        <f t="shared" si="90"/>
        <v>52.630619656078551</v>
      </c>
      <c r="JI65" s="20">
        <f t="shared" si="91"/>
        <v>462.95934790100347</v>
      </c>
      <c r="JJ65" s="59">
        <f t="shared" si="92"/>
        <v>756.29268123433678</v>
      </c>
      <c r="JK65" s="59">
        <f ca="1">AVERAGE(OFFSET($JJ$3,0,0,'Données projet'!$E$22+1,1))-AVERAGE(OFFSET($H$3,0,0,'Données projet'!$E$22+1,1))</f>
        <v>353.35574633294613</v>
      </c>
      <c r="JL65" s="59">
        <f t="shared" si="93"/>
        <v>170.36796666474726</v>
      </c>
      <c r="JM65" s="15">
        <f>IF(ISNA(VLOOKUP($A65,'Données projet'!$A$356:$I$376,3,0)),0,VLOOKUP($A65,'Données projet'!$A$356:$I$376,3,0))</f>
        <v>0</v>
      </c>
      <c r="JN65" s="15">
        <f>IF(ISNA(VLOOKUP($A65,'Données projet'!$A$356:$I$376,4,0)),0,VLOOKUP($A65,'Données projet'!$A$356:$I$376,4,0))</f>
        <v>0</v>
      </c>
      <c r="JO65" s="16">
        <f>IF(ISNA(VLOOKUP($A65,'Données projet'!$A$356:$I$376,5,0)),0%,VLOOKUP($A65,'Données projet'!$A$356:$I$376,5,0)*VLOOKUP('Données projet'!$B$21,Paramètres!$A$1:$I$89,7,0))</f>
        <v>0</v>
      </c>
      <c r="JP65" s="16">
        <f>IF(ISNA(VLOOKUP($A65,'Données projet'!$A$356:$I$376,6,0)),0%,VLOOKUP($A65,'Données projet'!$A$356:$I$376,6,0)*VLOOKUP('Données projet'!$B$21,Paramètres!$A$1:$I$89,7,0))</f>
        <v>0</v>
      </c>
      <c r="JQ65" s="16">
        <f>IF(ISNA(VLOOKUP($A65,'Données projet'!$A$356:$I$376,7,0)),0%,VLOOKUP($A65,'Données projet'!$A$356:$I$376,7,0))</f>
        <v>0</v>
      </c>
      <c r="JR65" s="21">
        <f>EXP(-LN(2)/35)*JR64+(1-EXP(-LN(2)/35))/(LN(2)/35)*JN65*JO65*VLOOKUP('Données projet'!$B$21,Paramètres!$A$1:$I$89,3,0)*0.475*44/12</f>
        <v>0</v>
      </c>
      <c r="JS65" s="21">
        <f>EXP(-LN(2)/25)*JS64+(1-EXP(-LN(2)/25))/(LN(2)/25)*Calculateur!JN65*Calculateur!JP65*VLOOKUP('Données projet'!$B$21,Paramètres!$A$1:$I$89,3,0)*0.475*44/12</f>
        <v>8.2448826685952756</v>
      </c>
      <c r="JT65" s="21">
        <f>EXP(-LN(2)/2)*JT64+(1-EXP(-LN(2)/2))/(LN(2)/2)*JN65*JQ65*VLOOKUP('Données projet'!$B$21,Paramètres!$A$1:$I$89,3,0)*0.475*44/12</f>
        <v>3.9049144727495402</v>
      </c>
      <c r="JU65" s="18">
        <f t="shared" si="39"/>
        <v>12.149797141344816</v>
      </c>
      <c r="JV65" s="74">
        <f>('Scénario référence'!$F$8+'Scénario référence'!$F$9+'Scénario référence'!$B$17+'Scénario référence'!$B$9+'Scénario référence'!$B$10)*70+IF((45+25*(1-EXP(-0.0175*$A65)))&lt;70,'Scénario référence'!$B$16*(45+25*(1-EXP(-0.0175*$A65))),70*'Scénario référence'!$B$16)+IF((32+38*(1-EXP(-0.0175*$A65)))&lt;70,'Scénario référence'!$B$18*(32+38*(1-EXP(-0.0175*$A65))),70*'Scénario référence'!$B$18)</f>
        <v>70</v>
      </c>
      <c r="JW65" s="12">
        <f>IF($A65&gt;30,10,('Scénario référence'!$B$16+'Scénario référence'!$B$17+'Scénario référence'!$B$18+'Scénario référence'!$B$9+'Scénario référence'!$B$10)*$A65*10/30+('Scénario référence'!$F$8+'Scénario référence'!$F$9)*10)</f>
        <v>10</v>
      </c>
      <c r="JX65" s="12" t="e">
        <f>VLOOKUP($A65,'Données projet'!$A$382:$I$402,2,0)</f>
        <v>#N/A</v>
      </c>
      <c r="JY65" s="12" t="e">
        <f>VLOOKUP($A65,'Données projet'!$A$382:$I$402,9,0)</f>
        <v>#N/A</v>
      </c>
      <c r="JZ65" s="12">
        <f t="array" ref="JZ65">INDEX(JY:JY,MIN(IF(ISNUMBER(JY65:JY261),ROW(JY65:JY261),"")))</f>
        <v>8.374198717948719</v>
      </c>
      <c r="KA65" s="12">
        <f>IF('Données projet'!$A$382&gt;35,KA64+JZ65-KI64,IF($A65&lt;'Données projet'!$A$382,$CQ$205^$A65,IF($A65='Données projet'!$A$382,'Données projet'!$B$382,KA64+JZ65-KI64)))</f>
        <v>211.91426282051287</v>
      </c>
      <c r="KB65" s="17">
        <f>KA65*VLOOKUP('Données projet'!$B$22,Paramètres!$A$1:$I$89,3,0)*VLOOKUP('Données projet'!$B$22,Paramètres!$A$1:$I$89,5,0)</f>
        <v>142.15208750000002</v>
      </c>
      <c r="KC65" s="13">
        <f t="shared" si="94"/>
        <v>36.789579947641087</v>
      </c>
      <c r="KD65" s="20">
        <f t="shared" si="95"/>
        <v>311.6567374713083</v>
      </c>
      <c r="KE65" s="59">
        <f t="shared" si="96"/>
        <v>604.99007080464162</v>
      </c>
      <c r="KF65" s="59">
        <f ca="1">AVERAGE(OFFSET($KE$3,0,0,'Données projet'!$E$22+1,1))-AVERAGE(OFFSET($H$3,0,0,'Données projet'!$E$22+1,1))</f>
        <v>193.91714772848269</v>
      </c>
      <c r="KG65" s="59">
        <f t="shared" si="97"/>
        <v>159.20429420478047</v>
      </c>
      <c r="KH65" s="15">
        <f>IF(ISNA(VLOOKUP($A65,'Données projet'!$A$382:$I$402,3,0)),0,VLOOKUP($A65,'Données projet'!$A$382:$I$402,3,0))</f>
        <v>0</v>
      </c>
      <c r="KI65" s="15">
        <f>IF(ISNA(VLOOKUP($A65,'Données projet'!$A$382:$I$402,4,0)),0,VLOOKUP($A65,'Données projet'!$A$382:$I$402,4,0))</f>
        <v>0</v>
      </c>
      <c r="KJ65" s="16">
        <f>IF(ISNA(VLOOKUP($A65,'Données projet'!$A$382:$I$402,5,0)),0%,VLOOKUP($A65,'Données projet'!$A$382:$I$402,5,0)*VLOOKUP('Données projet'!$B$22,Paramètres!$A$1:$I$89,7,0))</f>
        <v>0</v>
      </c>
      <c r="KK65" s="16">
        <f>IF(ISNA(VLOOKUP($A65,'Données projet'!$A$382:$I$402,6,0)),0%,VLOOKUP($A65,'Données projet'!$A$382:$I$402,6,0)*VLOOKUP('Données projet'!$B$22,Paramètres!$A$1:$I$89,7,0))</f>
        <v>0</v>
      </c>
      <c r="KL65" s="16">
        <f>IF(ISNA(VLOOKUP($A65,'Données projet'!$A$382:$I$402,7,0)),0%,VLOOKUP($A65,'Données projet'!$A$382:$I$402,7,0))</f>
        <v>0</v>
      </c>
      <c r="KM65" s="21">
        <f>EXP(-LN(2)/35)*KM64+(1-EXP(-LN(2)/35))/(LN(2)/35)*KI65*KJ65*VLOOKUP('Données projet'!$B$22,Paramètres!$A$1:$I$89,3,0)*0.475*44/12</f>
        <v>0</v>
      </c>
      <c r="KN65" s="21">
        <f>EXP(-LN(2)/25)*KN64+(1-EXP(-LN(2)/25))/(LN(2)/25)*Calculateur!KI65*Calculateur!KK65*VLOOKUP('Données projet'!$B$22,Paramètres!$A$1:$I$89,3,0)*0.475*44/12</f>
        <v>0</v>
      </c>
      <c r="KO65" s="21">
        <f>EXP(-LN(2)/2)*KO64+(1-EXP(-LN(2)/2))/(LN(2)/2)*KI65*KL65*VLOOKUP('Données projet'!$B$22,Paramètres!$A$1:$I$89,3,0)*0.475*44/12</f>
        <v>0</v>
      </c>
      <c r="KP65" s="22">
        <f t="shared" si="98"/>
        <v>0</v>
      </c>
      <c r="KQ65" s="74">
        <f>('Scénario référence'!$F$8+'Scénario référence'!$F$9+'Scénario référence'!$B$17+'Scénario référence'!$B$9+'Scénario référence'!$B$10)*70+IF((45+25*(1-EXP(-0.0175*$A65)))&lt;70,'Scénario référence'!$B$16*(45+25*(1-EXP(-0.0175*$A65))),70*'Scénario référence'!$B$16)+IF((32+38*(1-EXP(-0.0175*$A65)))&lt;70,'Scénario référence'!$B$18*(32+38*(1-EXP(-0.0175*$A65))),70*'Scénario référence'!$B$18)</f>
        <v>70</v>
      </c>
      <c r="KR65" s="12">
        <f>IF($A65&gt;30,10,('Scénario référence'!$B$16+'Scénario référence'!$B$17+'Scénario référence'!$B$18+'Scénario référence'!$B$9+'Scénario référence'!$B$10)*$A65*10/30+('Scénario référence'!$F$8+'Scénario référence'!$F$9)*10)</f>
        <v>10</v>
      </c>
      <c r="KS65" s="12" t="e">
        <f>VLOOKUP($A65,'Données projet'!$A$408:$I$428,2,0)</f>
        <v>#N/A</v>
      </c>
      <c r="KT65" s="12" t="e">
        <f>VLOOKUP($A65,'Données projet'!$A$408:$I$428,9,0)</f>
        <v>#N/A</v>
      </c>
      <c r="KU65" s="12">
        <f t="array" ref="KU65">INDEX(KT:KT,MIN(IF(ISNUMBER(KT65:KT261),ROW(KT65:KT261),"")))</f>
        <v>4.4000000000000004</v>
      </c>
      <c r="KV65" s="12">
        <f>IF('Données projet'!$A$408&gt;35,KV64+KU65-LD64,IF($A65&lt;'Données projet'!$A$408,$CQ$205^$A65,IF($A65='Données projet'!$A$408,'Données projet'!$B$408,KV64+KU65-LD64)))</f>
        <v>241.79999999999987</v>
      </c>
      <c r="KW65" s="17">
        <f>KV65*VLOOKUP('Données projet'!$B$23,Paramètres!$A$1:$I$89,3,0)*VLOOKUP('Données projet'!$B$23,Paramètres!$A$1:$I$89,5,0)</f>
        <v>211.23647999999989</v>
      </c>
      <c r="KX65" s="13">
        <f t="shared" si="99"/>
        <v>52.205695296687686</v>
      </c>
      <c r="KY65" s="14">
        <f t="shared" si="43"/>
        <v>458.82845530839751</v>
      </c>
      <c r="KZ65" s="59">
        <f t="shared" si="44"/>
        <v>752.16178864173082</v>
      </c>
      <c r="LA65" s="59">
        <f ca="1">AVERAGE(OFFSET($KZ$3,0,0,'Données projet'!$E$23+1,1))-AVERAGE(OFFSET($H$3,0,0,'Données projet'!$E$23+1,1))</f>
        <v>248.33596943633819</v>
      </c>
      <c r="LB65" s="59">
        <f t="shared" si="100"/>
        <v>242.34010522344573</v>
      </c>
      <c r="LC65" s="15">
        <f>IF(ISNA(VLOOKUP($A65,'Données projet'!$A$408:$I$428,3,0)),0,VLOOKUP($A65,'Données projet'!$A$408:$I$428,3,0))</f>
        <v>0</v>
      </c>
      <c r="LD65" s="15">
        <f>IF(ISNA(VLOOKUP($A65,'Données projet'!$A$408:$I$428,4,0)),0,VLOOKUP($A65,'Données projet'!$A$408:$I$428,4,0))</f>
        <v>0</v>
      </c>
      <c r="LE65" s="16">
        <f>IF(ISNA(VLOOKUP($A65,'Données projet'!$A$408:$I$428,5,0)),0%,VLOOKUP($A65,'Données projet'!$A$408:$I$428,5,0)*VLOOKUP('Données projet'!$B$23,Paramètres!$A$1:$I$89,7,0))</f>
        <v>0</v>
      </c>
      <c r="LF65" s="16">
        <f>IF(ISNA(VLOOKUP($A65,'Données projet'!$A$408:$I$428,6,0)),0%,VLOOKUP($A65,'Données projet'!$A$408:$I$428,6,0)*VLOOKUP('Données projet'!$B$23,Paramètres!$A$1:$I$89,7,0))</f>
        <v>0</v>
      </c>
      <c r="LG65" s="16">
        <f>IF(ISNA(VLOOKUP($A65,'Données projet'!$A$408:$I$428,7,0)),0%,VLOOKUP($A65,'Données projet'!$A$408:$I$428,7,0))</f>
        <v>0</v>
      </c>
      <c r="LH65" s="21">
        <f>EXP(-LN(2)/35)*LH64+(1-EXP(-LN(2)/35))/(LN(2)/35)*LD65*LE65*VLOOKUP('Données projet'!$B$23,Paramètres!$A$1:$I$89,3,0)*0.475*44/12</f>
        <v>19.801656311260629</v>
      </c>
      <c r="LI65" s="21">
        <f>EXP(-LN(2)/25)*LI64+(1-EXP(-LN(2)/25))/(LN(2)/25)*Calculateur!LD65*Calculateur!LF65*VLOOKUP('Données projet'!$B$23,Paramètres!$A$1:$I$89,3,0)*0.475*44/12</f>
        <v>9.9648114407477202</v>
      </c>
      <c r="LJ65" s="21">
        <f>EXP(-LN(2)/2)*LJ64+(1-EXP(-LN(2)/2))/(LN(2)/2)*LD65*LG65*VLOOKUP('Données projet'!$B$23,Paramètres!$A$1:$I$89,3,0)*0.475*44/12</f>
        <v>0</v>
      </c>
      <c r="LK65" s="22">
        <f t="shared" si="101"/>
        <v>29.766467752008349</v>
      </c>
      <c r="LL65" s="74">
        <f>('Scénario référence'!$F$8+'Scénario référence'!$F$9+'Scénario référence'!$B$17+'Scénario référence'!$B$9+'Scénario référence'!$B$10)*70+IF((45+25*(1-EXP(-0.0175*$A65)))&lt;70,'Scénario référence'!$B$16*(45+25*(1-EXP(-0.0175*$A65))),70*'Scénario référence'!$B$16)+IF((32+38*(1-EXP(-0.0175*$A65)))&lt;70,'Scénario référence'!$B$18*(32+38*(1-EXP(-0.0175*$A65))),70*'Scénario référence'!$B$18)</f>
        <v>70</v>
      </c>
      <c r="LM65" s="12">
        <f>IF($A65&gt;30,10,('Scénario référence'!$B$16+'Scénario référence'!$B$17+'Scénario référence'!$B$18+'Scénario référence'!$B$9+'Scénario référence'!$B$10)*$A65*10/30+('Scénario référence'!$F$8+'Scénario référence'!$F$9)*10)</f>
        <v>10</v>
      </c>
      <c r="LN65" s="12" t="e">
        <f>VLOOKUP($A65,'Données projet'!$A$434:$I$454,2,0)</f>
        <v>#N/A</v>
      </c>
      <c r="LO65" s="12" t="e">
        <f>VLOOKUP($A65,'Données projet'!$A$434:$I$454,9,0)</f>
        <v>#N/A</v>
      </c>
      <c r="LP65" s="12">
        <f t="array" ref="LP65">INDEX(LO:LO,MIN(IF(ISNUMBER(LO65:LO261),ROW(LO65:LO261),"")))</f>
        <v>5.9431089743589762</v>
      </c>
      <c r="LQ65" s="12">
        <f>IF('Données projet'!$A$434&gt;35,LQ64+LP65-LY64,IF($A65&lt;'Données projet'!$A$434,$CQ$205^$A65,IF($A65='Données projet'!$A$434,'Données projet'!$B$434,LQ64+LP65-LY64)))</f>
        <v>138.14342948717947</v>
      </c>
      <c r="LR65" s="17">
        <f>LQ65*VLOOKUP('Données projet'!$B$24,Paramètres!$A$1:$I$89,3,0)*VLOOKUP('Données projet'!$B$24,Paramètres!$A$1:$I$89,5,0)</f>
        <v>140.0774375</v>
      </c>
      <c r="LS65" s="13">
        <f t="shared" si="102"/>
        <v>36.314744767883546</v>
      </c>
      <c r="LT65" s="14">
        <f t="shared" si="46"/>
        <v>307.2163841165638</v>
      </c>
      <c r="LU65" s="59">
        <f t="shared" si="103"/>
        <v>600.54971744989712</v>
      </c>
      <c r="LV65" s="59">
        <f ca="1">AVERAGE(OFFSET($LU$3,0,0,'Données projet'!$E$24+1,1))-AVERAGE(OFFSET($H$3,0,0,'Données projet'!$E$24+1,1))</f>
        <v>260.52627655062872</v>
      </c>
      <c r="LW65" s="59">
        <f t="shared" si="104"/>
        <v>159.20429420478047</v>
      </c>
      <c r="LX65" s="15">
        <f>IF(ISNA(VLOOKUP($A65,'Données projet'!$A$434:$I$454,3,0)),0,VLOOKUP($A65,'Données projet'!$A$434:$I$454,3,0))</f>
        <v>0</v>
      </c>
      <c r="LY65" s="15">
        <f>IF(ISNA(VLOOKUP($A65,'Données projet'!$A$434:$I$454,4,0)),0,VLOOKUP($A65,'Données projet'!$A$434:$I$454,4,0))</f>
        <v>0</v>
      </c>
      <c r="LZ65" s="16">
        <f>IF(ISNA(VLOOKUP($A65,'Données projet'!$A$434:$I$454,5,0)),0%,VLOOKUP($A65,'Données projet'!$A$434:$I$454,5,0)*VLOOKUP('Données projet'!$B$24,Paramètres!$A$1:$I$89,7,0))</f>
        <v>0</v>
      </c>
      <c r="MA65" s="16">
        <f>IF(ISNA(VLOOKUP($A65,'Données projet'!$A$434:$I$454,6,0)),0%,VLOOKUP($A65,'Données projet'!$A$434:$I$454,6,0)*VLOOKUP('Données projet'!$B$24,Paramètres!$A$1:$I$89,7,0))</f>
        <v>0</v>
      </c>
      <c r="MB65" s="16">
        <f>IF(ISNA(VLOOKUP($A65,'Données projet'!$A$434:$I$454,7,0)),0%,VLOOKUP($A65,'Données projet'!$A$434:$I$454,7,0))</f>
        <v>0</v>
      </c>
      <c r="MC65" s="21">
        <f>EXP(-LN(2)/35)*MC64+(1-EXP(-LN(2)/35))/(LN(2)/35)*LY65*LZ65*VLOOKUP('Données projet'!$B$24,Paramètres!$A$1:$I$89,3,0)*0.475*44/12</f>
        <v>0</v>
      </c>
      <c r="MD65" s="21">
        <f>EXP(-LN(2)/25)*MD64+(1-EXP(-LN(2)/25))/(LN(2)/25)*Calculateur!LY65*Calculateur!MA65*VLOOKUP('Données projet'!$B$24,Paramètres!$A$1:$I$89,3,0)*0.475*44/12</f>
        <v>0</v>
      </c>
      <c r="ME65" s="21">
        <f>EXP(-LN(2)/2)*ME64+(1-EXP(-LN(2)/2))/(LN(2)/2)*LY65*MB65*VLOOKUP('Données projet'!$B$24,Paramètres!$A$1:$I$89,3,0)*0.475*44/12</f>
        <v>0</v>
      </c>
      <c r="MF65" s="22">
        <f t="shared" si="105"/>
        <v>0</v>
      </c>
      <c r="MG65" s="74">
        <f>('Scénario référence'!$F$8+'Scénario référence'!$F$9+'Scénario référence'!$B$17+'Scénario référence'!$B$9+'Scénario référence'!$B$10)*70+IF((45+25*(1-EXP(-0.0175*$A65)))&lt;70,'Scénario référence'!$B$16*(45+25*(1-EXP(-0.0175*$A65))),70*'Scénario référence'!$B$16)+IF((32+38*(1-EXP(-0.0175*$A65)))&lt;70,'Scénario référence'!$B$18*(32+38*(1-EXP(-0.0175*$A65))),70*'Scénario référence'!$B$18)</f>
        <v>70</v>
      </c>
      <c r="MH65" s="12">
        <f>IF($A65&gt;30,10,('Scénario référence'!$B$16+'Scénario référence'!$B$17+'Scénario référence'!$B$18+'Scénario référence'!$B$9+'Scénario référence'!$B$10)*$A65*10/30+('Scénario référence'!$F$8+'Scénario référence'!$F$9)*10)</f>
        <v>10</v>
      </c>
      <c r="MI65" s="12" t="e">
        <f>VLOOKUP($A65,'Données projet'!$A$460:$I$480,2,0)</f>
        <v>#N/A</v>
      </c>
      <c r="MJ65" s="12" t="e">
        <f>VLOOKUP($A65,'Données projet'!$A$460:$I$480,9,0)</f>
        <v>#N/A</v>
      </c>
      <c r="MK65" s="12">
        <f t="array" ref="MK65">INDEX(MJ:MJ,MIN(IF(ISNUMBER(MJ65:MJ261),ROW(MJ65:MJ261),"")))</f>
        <v>0</v>
      </c>
      <c r="ML65" s="12">
        <f>IF('Données projet'!$A$460&gt;35,ML64+MK65-MT64,IF($A65&lt;'Données projet'!$A$460,$CQ$205^$A65,IF($A65='Données projet'!$A$460,'Données projet'!$B$460,ML64+MK65-MT64)))</f>
        <v>0</v>
      </c>
      <c r="MM65" s="17" t="e">
        <f>ML65*VLOOKUP('Données projet'!$B$25,Paramètres!$A$1:$I$89,3,0)*VLOOKUP('Données projet'!$B$25,Paramètres!$A$1:$I$89,5,0)</f>
        <v>#N/A</v>
      </c>
      <c r="MN65" s="13" t="e">
        <f t="shared" si="106"/>
        <v>#N/A</v>
      </c>
      <c r="MO65" s="14" t="e">
        <f t="shared" si="49"/>
        <v>#N/A</v>
      </c>
      <c r="MP65" s="59" t="e">
        <f t="shared" si="50"/>
        <v>#N/A</v>
      </c>
      <c r="MQ65" s="20" t="e">
        <f ca="1">AVERAGE(OFFSET($MP$3,0,0,'Données projet'!$E$25+1,1))-AVERAGE(OFFSET($H$3,0,0,'Données projet'!$E$25+1,1))</f>
        <v>#N/A</v>
      </c>
      <c r="MR65" s="59" t="e">
        <f t="shared" si="107"/>
        <v>#N/A</v>
      </c>
      <c r="MS65" s="15">
        <f>IF(ISNA(VLOOKUP($A65,'Données projet'!$A$460:$I$480,3,0)),0,VLOOKUP($A65,'Données projet'!$A$460:$I$480,3,0))</f>
        <v>0</v>
      </c>
      <c r="MT65" s="15">
        <f>IF(ISNA(VLOOKUP($A65,'Données projet'!$A$460:$I$480,4,0)),0,VLOOKUP($A65,'Données projet'!$A$460:$I$480,4,0))</f>
        <v>0</v>
      </c>
      <c r="MU65" s="16">
        <f>IF(ISNA(VLOOKUP($A65,'Données projet'!$A$460:$I$480,5,0)),0%,VLOOKUP($A65,'Données projet'!$A$460:$I$480,5,0)*VLOOKUP('Données projet'!$B$25,Paramètres!$A$1:$I$89,7,0))</f>
        <v>0</v>
      </c>
      <c r="MV65" s="16">
        <f>IF(ISNA(VLOOKUP($A65,'Données projet'!$A$460:$I$480,6,0)),0%,VLOOKUP($A65,'Données projet'!$A$460:$I$480,6,0)*VLOOKUP('Données projet'!$B$25,Paramètres!$A$1:$I$89,7,0))</f>
        <v>0</v>
      </c>
      <c r="MW65" s="16">
        <f>IF(ISNA(VLOOKUP($A65,'Données projet'!$A$460:$I$480,7,0)),0%,VLOOKUP($A65,'Données projet'!$A$460:$I$480,7,0))</f>
        <v>0</v>
      </c>
      <c r="MX65" s="21" t="e">
        <f>EXP(-LN(2)/35)*MX64+(1-EXP(-LN(2)/35))/(LN(2)/35)*MT65*MU65*VLOOKUP('Données projet'!$B$25,Paramètres!$A$1:$I$89,3,0)*0.475*44/12</f>
        <v>#N/A</v>
      </c>
      <c r="MY65" s="21" t="e">
        <f>EXP(-LN(2)/25)*MY64+(1-EXP(-LN(2)/25))/(LN(2)/25)*Calculateur!MT65*Calculateur!MV65*VLOOKUP('Données projet'!$B$25,Paramètres!$A$1:$I$89,3,0)*0.475*44/12</f>
        <v>#N/A</v>
      </c>
      <c r="MZ65" s="21" t="e">
        <f>EXP(-LN(2)/2)*MZ64+(1-EXP(-LN(2)/2))/(LN(2)/2)*MT65*MW65*VLOOKUP('Données projet'!$B$25,Paramètres!$A$1:$I$89,3,0)*0.475*44/12</f>
        <v>#N/A</v>
      </c>
      <c r="NA65" s="22" t="e">
        <f t="shared" si="108"/>
        <v>#N/A</v>
      </c>
      <c r="NB65" s="74">
        <f>('Scénario référence'!$F$8+'Scénario référence'!$F$9+'Scénario référence'!$B$17+'Scénario référence'!$B$9+'Scénario référence'!$B$10)*70+IF((45+25*(1-EXP(-0.0175*$A65)))&lt;70,'Scénario référence'!$B$16*(45+25*(1-EXP(-0.0175*$A65))),70*'Scénario référence'!$B$16)+IF((32+38*(1-EXP(-0.0175*$A65)))&lt;70,'Scénario référence'!$B$18*(32+38*(1-EXP(-0.0175*$A65))),70*'Scénario référence'!$B$18)</f>
        <v>70</v>
      </c>
      <c r="NC65" s="12">
        <f>IF($A65&gt;30,10,('Scénario référence'!$B$16+'Scénario référence'!$B$17+'Scénario référence'!$B$18+'Scénario référence'!$B$9+'Scénario référence'!$B$10)*$A65*10/30+('Scénario référence'!$F$8+'Scénario référence'!$F$9)*10)</f>
        <v>10</v>
      </c>
      <c r="ND65" s="12" t="e">
        <f>VLOOKUP($A65,'Données projet'!$A$486:$I$506,2,0)</f>
        <v>#N/A</v>
      </c>
      <c r="NE65" s="12" t="e">
        <f>VLOOKUP($A65,'Données projet'!$A$486:$I$506,9,0)</f>
        <v>#N/A</v>
      </c>
      <c r="NF65" s="12">
        <f t="array" ref="NF65">INDEX(NE:NE,MIN(IF(ISNUMBER(NE65:NE261),ROW(NE65:NE261),"")))</f>
        <v>0</v>
      </c>
      <c r="NG65" s="12">
        <f>IF('Données projet'!$A$486&gt;35,NG64+NF65-NO64,IF($A65&lt;'Données projet'!$A$486,$CQ$205^$A65,IF($A65='Données projet'!$A$486,'Données projet'!$B$486,NG64+NF65-NO64)))</f>
        <v>0</v>
      </c>
      <c r="NH65" s="17" t="e">
        <f>NG65*VLOOKUP('Données projet'!$B$26,Paramètres!$A$1:$I$89,3,0)*VLOOKUP('Données projet'!$B$26,Paramètres!$A$1:$I$89,5,0)</f>
        <v>#N/A</v>
      </c>
      <c r="NI65" s="13" t="e">
        <f t="shared" si="109"/>
        <v>#N/A</v>
      </c>
      <c r="NJ65" s="14" t="e">
        <f t="shared" si="52"/>
        <v>#N/A</v>
      </c>
      <c r="NK65" s="59" t="e">
        <f t="shared" si="53"/>
        <v>#N/A</v>
      </c>
      <c r="NL65" s="20" t="e">
        <f ca="1">AVERAGE(OFFSET($NK$3,0,0,'Données projet'!$E$26+1,1))-AVERAGE(OFFSET($H$3,0,0,'Données projet'!$E$26+1,1))</f>
        <v>#N/A</v>
      </c>
      <c r="NM65" s="59" t="e">
        <f t="shared" si="110"/>
        <v>#N/A</v>
      </c>
      <c r="NN65" s="15">
        <f>IF(ISNA(VLOOKUP($A65,'Données projet'!$A$486:$I$506,3,0)),0,VLOOKUP($A65,'Données projet'!$A$486:$I$506,3,0))</f>
        <v>0</v>
      </c>
      <c r="NO65" s="15">
        <f>IF(ISNA(VLOOKUP($A65,'Données projet'!$A$486:$I$506,4,0)),0,VLOOKUP($A65,'Données projet'!$A$486:$I$506,4,0))</f>
        <v>0</v>
      </c>
      <c r="NP65" s="16">
        <f>IF(ISNA(VLOOKUP($A65,'Données projet'!$A$486:$I$506,5,0)),0%,VLOOKUP($A65,'Données projet'!$A$486:$I$506,5,0)*VLOOKUP('Données projet'!$B$26,Paramètres!$A$1:$I$89,7,0))</f>
        <v>0</v>
      </c>
      <c r="NQ65" s="16">
        <f>IF(ISNA(VLOOKUP($A65,'Données projet'!$A$486:$I$506,6,0)),0%,VLOOKUP($A65,'Données projet'!$A$486:$I$506,6,0)*VLOOKUP('Données projet'!$B$26,Paramètres!$A$1:$I$89,7,0))</f>
        <v>0</v>
      </c>
      <c r="NR65" s="16">
        <f>IF(ISNA(VLOOKUP($A65,'Données projet'!$A$486:$I$506,7,0)),0%,VLOOKUP($A65,'Données projet'!$A$486:$I$506,7,0))</f>
        <v>0</v>
      </c>
      <c r="NS65" s="21" t="e">
        <f>EXP(-LN(2)/35)*NS64+(1-EXP(-LN(2)/35))/(LN(2)/35)*NO65*NP65*VLOOKUP('Données projet'!$B$26,Paramètres!$A$1:$I$89,3,0)*0.475*44/12</f>
        <v>#N/A</v>
      </c>
      <c r="NT65" s="21" t="e">
        <f>EXP(-LN(2)/25)*NT64+(1-EXP(-LN(2)/25))/(LN(2)/25)*Calculateur!NO65*Calculateur!NQ65*VLOOKUP('Données projet'!$B$26,Paramètres!$A$1:$I$89,3,0)*0.475*44/12</f>
        <v>#N/A</v>
      </c>
      <c r="NU65" s="21" t="e">
        <f>EXP(-LN(2)/2)*NU64+(1-EXP(-LN(2)/2))/(LN(2)/2)*NO65*NR65*VLOOKUP('Données projet'!$B$26,Paramètres!$A$1:$I$89,3,0)*0.475*44/12</f>
        <v>#N/A</v>
      </c>
      <c r="NV65" s="22" t="e">
        <f t="shared" si="111"/>
        <v>#N/A</v>
      </c>
      <c r="NW65" s="74">
        <f>('Scénario référence'!$F$8+'Scénario référence'!$F$9+'Scénario référence'!$B$17+'Scénario référence'!$B$9+'Scénario référence'!$B$10)*70+IF((45+25*(1-EXP(-0.0175*$A65)))&lt;70,'Scénario référence'!$B$16*(45+25*(1-EXP(-0.0175*$A65))),70*'Scénario référence'!$B$16)+IF((32+38*(1-EXP(-0.0175*$A65)))&lt;70,'Scénario référence'!$B$18*(32+38*(1-EXP(-0.0175*$A65))),70*'Scénario référence'!$B$18)</f>
        <v>70</v>
      </c>
      <c r="NX65" s="12">
        <f>IF($A65&gt;30,10,('Scénario référence'!$B$16+'Scénario référence'!$B$17+'Scénario référence'!$B$18+'Scénario référence'!$B$9+'Scénario référence'!$B$10)*$A65*10/30+('Scénario référence'!$F$8+'Scénario référence'!$F$9)*10)</f>
        <v>10</v>
      </c>
      <c r="NY65" s="12" t="e">
        <f>VLOOKUP($A65,'Données projet'!$A$512:$I$532,2,0)</f>
        <v>#N/A</v>
      </c>
      <c r="NZ65" s="12" t="e">
        <f>VLOOKUP($A65,'Données projet'!$A$512:$I$532,9,0)</f>
        <v>#N/A</v>
      </c>
      <c r="OA65" s="12">
        <f t="array" ref="OA65">INDEX(NZ:NZ,MIN(IF(ISNUMBER(NZ65:NZ261),ROW(NZ65:NZ261),"")))</f>
        <v>0</v>
      </c>
      <c r="OB65" s="12">
        <f>IF('Données projet'!$A$512&gt;35,OB64+OA65-OJ64,IF($A65&lt;'Données projet'!$A$512,$CQ$205^$A65,IF($A65='Données projet'!$A$512,'Données projet'!$B$512,OB64+OA65-OJ64)))</f>
        <v>0</v>
      </c>
      <c r="OC65" s="17" t="e">
        <f>OB65*VLOOKUP('Données projet'!$B$27,Paramètres!$A$1:$I$89,3,0)*VLOOKUP('Données projet'!$B$27,Paramètres!$A$1:$I$89,5,0)</f>
        <v>#N/A</v>
      </c>
      <c r="OD65" s="13" t="e">
        <f t="shared" si="112"/>
        <v>#N/A</v>
      </c>
      <c r="OE65" s="14" t="e">
        <f t="shared" si="55"/>
        <v>#N/A</v>
      </c>
      <c r="OF65" s="59" t="e">
        <f t="shared" si="56"/>
        <v>#N/A</v>
      </c>
      <c r="OG65" s="20" t="e">
        <f ca="1">AVERAGE(OFFSET($OF$3,0,0,'Données projet'!$E$27+1,1))-AVERAGE(OFFSET($H$3,0,0,'Données projet'!$E$27+1,1))</f>
        <v>#N/A</v>
      </c>
      <c r="OH65" s="59" t="e">
        <f t="shared" si="113"/>
        <v>#N/A</v>
      </c>
      <c r="OI65" s="15">
        <f>IF(ISNA(VLOOKUP($A65,'Données projet'!$A$512:$I$532,3,0)),0,VLOOKUP($A65,'Données projet'!$A$512:$I$532,3,0))</f>
        <v>0</v>
      </c>
      <c r="OJ65" s="15">
        <f>IF(ISNA(VLOOKUP($A65,'Données projet'!$A$512:$I$532,4,0)),0,VLOOKUP($A65,'Données projet'!$A$512:$I$532,4,0))</f>
        <v>0</v>
      </c>
      <c r="OK65" s="16">
        <f>IF(ISNA(VLOOKUP($A65,'Données projet'!$A$512:$I$532,5,0)),0%,VLOOKUP($A65,'Données projet'!$A$512:$I$532,5,0)*VLOOKUP('Données projet'!$B$27,Paramètres!$A$1:$I$89,7,0))</f>
        <v>0</v>
      </c>
      <c r="OL65" s="16">
        <f>IF(ISNA(VLOOKUP($A65,'Données projet'!$A$512:$I$532,6,0)),0%,VLOOKUP($A65,'Données projet'!$A$512:$I$532,6,0)*VLOOKUP('Données projet'!$B$27,Paramètres!$A$1:$I$89,7,0))</f>
        <v>0</v>
      </c>
      <c r="OM65" s="16">
        <f>IF(ISNA(VLOOKUP($A65,'Données projet'!$A$512:$I$532,7,0)),0%,VLOOKUP($A65,'Données projet'!$A$512:$I$532,7,0))</f>
        <v>0</v>
      </c>
      <c r="ON65" s="21" t="e">
        <f>EXP(-LN(2)/35)*ON64+(1-EXP(-LN(2)/35))/(LN(2)/35)*OJ65*OK65*VLOOKUP('Données projet'!$B$27,Paramètres!$A$1:$I$89,3,0)*0.475*44/12</f>
        <v>#N/A</v>
      </c>
      <c r="OO65" s="21" t="e">
        <f>EXP(-LN(2)/25)*OO64+(1-EXP(-LN(2)/25))/(LN(2)/25)*Calculateur!OJ65*Calculateur!OL65*VLOOKUP('Données projet'!$B$27,Paramètres!$A$1:$I$89,3,0)*0.475*44/12</f>
        <v>#N/A</v>
      </c>
      <c r="OP65" s="21" t="e">
        <f>EXP(-LN(2)/2)*OP64+(1-EXP(-LN(2)/2))/(LN(2)/2)*OJ65*OM65*VLOOKUP('Données projet'!$B$27,Paramètres!$A$1:$I$89,3,0)*0.475*44/12</f>
        <v>#N/A</v>
      </c>
      <c r="OQ65" s="22" t="e">
        <f t="shared" si="114"/>
        <v>#N/A</v>
      </c>
      <c r="OR65" s="74">
        <f>('Scénario référence'!$F$8+'Scénario référence'!$F$9+'Scénario référence'!$B$17+'Scénario référence'!$B$9+'Scénario référence'!$B$10)*70+IF((45+25*(1-EXP(-0.0175*$A65)))&lt;70,'Scénario référence'!$B$16*(45+25*(1-EXP(-0.0175*$A65))),70*'Scénario référence'!$B$16)+IF((32+38*(1-EXP(-0.0175*$A65)))&lt;70,'Scénario référence'!$B$18*(32+38*(1-EXP(-0.0175*$A65))),70*'Scénario référence'!$B$18)</f>
        <v>70</v>
      </c>
      <c r="OS65" s="12">
        <f>IF($A65&gt;30,10,('Scénario référence'!$B$16+'Scénario référence'!$B$17+'Scénario référence'!$B$18+'Scénario référence'!$B$9+'Scénario référence'!$B$10)*$A65*10/30+('Scénario référence'!$F$8+'Scénario référence'!$F$9)*10)</f>
        <v>10</v>
      </c>
      <c r="OT65" s="12" t="e">
        <f>VLOOKUP($A65,'Données projet'!$A$538:$I$558,2,0)</f>
        <v>#N/A</v>
      </c>
      <c r="OU65" s="12" t="e">
        <f>VLOOKUP($A65,'Données projet'!$A$538:$I$558,9,0)</f>
        <v>#N/A</v>
      </c>
      <c r="OV65" s="12">
        <f t="array" ref="OV65">INDEX(OU:OU,MIN(IF(ISNUMBER(OU65:OU261),ROW(OU65:OU261),"")))</f>
        <v>0</v>
      </c>
      <c r="OW65" s="12">
        <f>IF('Données projet'!$A$538&gt;35,OW64+OV65-PE64,IF($A65&lt;'Données projet'!$A$538,$CQ$205^$A65,IF($A65='Données projet'!$A$538,'Données projet'!$B$538,OW64+OV65-PE64)))</f>
        <v>0</v>
      </c>
      <c r="OX65" s="17" t="e">
        <f>OW65*VLOOKUP('Données projet'!$B$28,Paramètres!$A$1:$I$89,3,0)*VLOOKUP('Données projet'!$B$28,Paramètres!$A$1:$I$89,5,0)</f>
        <v>#N/A</v>
      </c>
      <c r="OY65" s="13" t="e">
        <f t="shared" si="115"/>
        <v>#N/A</v>
      </c>
      <c r="OZ65" s="14" t="e">
        <f t="shared" si="58"/>
        <v>#N/A</v>
      </c>
      <c r="PA65" s="59" t="e">
        <f t="shared" si="59"/>
        <v>#N/A</v>
      </c>
      <c r="PB65" s="20" t="e">
        <f ca="1">AVERAGE(OFFSET($PA$3,0,0,'Données projet'!$E$28+1,1))-AVERAGE(OFFSET($H$3,0,0,'Données projet'!$E$28+1,1))</f>
        <v>#N/A</v>
      </c>
      <c r="PC65" s="59" t="e">
        <f t="shared" si="116"/>
        <v>#N/A</v>
      </c>
      <c r="PD65" s="15">
        <f>IF(ISNA(VLOOKUP($A65,'Données projet'!$A$538:$I$558,3,0)),0,VLOOKUP($A65,'Données projet'!$A$538:$I$558,3,0))</f>
        <v>0</v>
      </c>
      <c r="PE65" s="15">
        <f>IF(ISNA(VLOOKUP($A65,'Données projet'!$A$538:$I$558,4,0)),0,VLOOKUP($A65,'Données projet'!$A$538:$I$558,4,0))</f>
        <v>0</v>
      </c>
      <c r="PF65" s="16">
        <f>IF(ISNA(VLOOKUP($A65,'Données projet'!$A$538:$I$558,5,0)),0%,VLOOKUP($A65,'Données projet'!$A$538:$I$558,5,0)*VLOOKUP('Données projet'!$B$28,Paramètres!$A$1:$I$89,7,0))</f>
        <v>0</v>
      </c>
      <c r="PG65" s="16">
        <f>IF(ISNA(VLOOKUP($A65,'Données projet'!$A$538:$I$558,6,0)),0%,VLOOKUP($A65,'Données projet'!$A$538:$I$558,6,0)*VLOOKUP('Données projet'!$B$28,Paramètres!$A$1:$I$89,7,0))</f>
        <v>0</v>
      </c>
      <c r="PH65" s="16">
        <f>IF(ISNA(VLOOKUP($A65,'Données projet'!$A$538:$I$558,7,0)),0%,VLOOKUP($A65,'Données projet'!$A$538:$I$558,7,0))</f>
        <v>0</v>
      </c>
      <c r="PI65" s="21" t="e">
        <f>EXP(-LN(2)/35)*PI64+(1-EXP(-LN(2)/35))/(LN(2)/35)*PE65*PF65*VLOOKUP('Données projet'!$B$28,Paramètres!$A$1:$I$89,3,0)*0.475*44/12</f>
        <v>#N/A</v>
      </c>
      <c r="PJ65" s="21" t="e">
        <f>EXP(-LN(2)/25)*PJ64+(1-EXP(-LN(2)/25))/(LN(2)/25)*Calculateur!PE65*Calculateur!PG65*VLOOKUP('Données projet'!$B$28,Paramètres!$A$1:$I$89,3,0)*0.475*44/12</f>
        <v>#N/A</v>
      </c>
      <c r="PK65" s="21" t="e">
        <f>EXP(-LN(2)/2)*PK64+(1-EXP(-LN(2)/2))/(LN(2)/2)*PE65*PH65*VLOOKUP('Données projet'!$B$28,Paramètres!$A$1:$I$89,3,0)*0.475*44/12</f>
        <v>#N/A</v>
      </c>
      <c r="PL65" s="22" t="e">
        <f t="shared" si="117"/>
        <v>#N/A</v>
      </c>
    </row>
    <row r="66" spans="1:428" x14ac:dyDescent="0.35">
      <c r="A66" s="10">
        <f t="shared" si="6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6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projet'!$A$45:$I$65,2,0)</f>
        <v>#N/A</v>
      </c>
      <c r="L66" s="12" t="e">
        <f>VLOOKUP(A66,'Données projet'!$A$45:$I$65,9,0)</f>
        <v>#N/A</v>
      </c>
      <c r="M66" s="12">
        <f t="array" ref="M66">INDEX(L:L,MIN(IF(ISNUMBER(L66:L262),ROW(L66:L262),"")))</f>
        <v>0</v>
      </c>
      <c r="N66" s="13">
        <f>IF('Données projet'!$A$46&gt;35,N65+M66-V65,IF(A66&lt;'Données projet'!$A$46,$K$205^A66,IF(A66='Données projet'!$A$46,'Données projet'!$B$46,N65+M66-V65)))</f>
        <v>-1.1368683772161603E-13</v>
      </c>
      <c r="O66" s="13">
        <f>N66*VLOOKUP('Données projet'!$B$9,Paramètres!$A$1:$I$89,3,0)*VLOOKUP('Données projet'!$B$9,Paramètres!$A$1:$I$89,5,0)</f>
        <v>-6.3550942286383367E-14</v>
      </c>
      <c r="P66" s="13" t="e">
        <f t="shared" si="63"/>
        <v>#NUM!</v>
      </c>
      <c r="Q66" s="20" t="e">
        <f t="shared" si="118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274.57619581652199</v>
      </c>
      <c r="T66" s="59">
        <f t="shared" si="64"/>
        <v>366.15117322598775</v>
      </c>
      <c r="U66" s="15">
        <f>IF(ISNA(VLOOKUP(A66,'Données projet'!$A$45:$I$65,3,0)),0,VLOOKUP(A66,'Données projet'!$A$45:$I$65,3,0))</f>
        <v>0</v>
      </c>
      <c r="V66" s="15">
        <f>IF(ISNA(VLOOKUP(A66,'Données projet'!$A$45:$I$65,4,0)),0,VLOOKUP(A66,'Données projet'!$A$45:$I$65,4,0))</f>
        <v>0</v>
      </c>
      <c r="W66" s="16">
        <f>IF(ISNA(VLOOKUP(A66,'Données projet'!$A$45:$I$65,5,0)),0%,VLOOKUP(A66,'Données projet'!$A$45:$I$65,5,0)*VLOOKUP('Données projet'!$B$9,Paramètres!$A$1:$I$89,7,0))</f>
        <v>0</v>
      </c>
      <c r="X66" s="16">
        <f>IF(ISNA(VLOOKUP(A66,'Données projet'!$A$45:$I$65,6,0)),0%,VLOOKUP(A66,'Données projet'!$A$45:$I$65,6,0)*VLOOKUP('Données projet'!$B$9,Paramètres!$A$1:$I$89,7,0))</f>
        <v>0</v>
      </c>
      <c r="Y66" s="16">
        <f>IF(ISNA(VLOOKUP(A66,'Données projet'!$A$45:$I$65,7,0)),0%,VLOOKUP(A66,'Données projet'!$A$45:$I$65,7,0))</f>
        <v>0</v>
      </c>
      <c r="Z66" s="21">
        <f>EXP(-LN(2)/35)*Z65+(1-EXP(-LN(2)/35))/(LN(2)/35)*V66*W66*VLOOKUP('Données projet'!$B$9,Paramètres!$A$1:$I$89,3,0)*0.475*44/12</f>
        <v>193.44719513681397</v>
      </c>
      <c r="AA66" s="21">
        <f>EXP(-LN(2)/25)*AA65+(1-EXP(-LN(2)/25))/(LN(2)/25)*Calculateur!V66*Calculateur!X66*VLOOKUP('Données projet'!$B$9,Paramètres!$A$1:$I$89,3,0)*0.475*44/12</f>
        <v>46.14777747682939</v>
      </c>
      <c r="AB66" s="21">
        <f>EXP(-LN(2)/2)*AB65+(1-EXP(-LN(2)/2))/(LN(2)/2)*V66*Y66*VLOOKUP('Données projet'!$B$9,Paramètres!$A$1:$I$89,3,0)*0.475*44/12</f>
        <v>2.1350815002570296</v>
      </c>
      <c r="AC66" s="22">
        <f t="shared" si="3"/>
        <v>241.73005411390039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>
        <f>VLOOKUP(A66,'Données projet'!$A$71:$I$91,2,0)</f>
        <v>220.28846153846152</v>
      </c>
      <c r="AG66" s="12">
        <f>VLOOKUP(A66,'Données projet'!$A$71:$I$91,9,0)</f>
        <v>8.374198717948719</v>
      </c>
      <c r="AH66" s="12">
        <f t="array" ref="AH66">INDEX(AG:AG,MIN(IF(ISNUMBER(AG66:AG262),ROW(AG66:AG262),"")))</f>
        <v>8.374198717948719</v>
      </c>
      <c r="AI66" s="13">
        <f>IF('Données projet'!$A$72&gt;35,AI65+AH66-AQ65,IF(A66&lt;'Données projet'!$A$72,$AF$205^A66,IF(A66='Données projet'!$A$72,'Données projet'!$B$72,AI65+AH66-AQ65)))</f>
        <v>220.28846153846166</v>
      </c>
      <c r="AJ66" s="13">
        <f>AI66*VLOOKUP('Données projet'!$B$10,Paramètres!$A$1:$I$89,3,0)*VLOOKUP('Données projet'!$B$10,Paramètres!$A$1:$I$89,5,0)</f>
        <v>199.31700000000009</v>
      </c>
      <c r="AK66" s="13">
        <f t="shared" si="65"/>
        <v>49.594035126387503</v>
      </c>
      <c r="AL66" s="20">
        <f t="shared" si="4"/>
        <v>433.52005284512506</v>
      </c>
      <c r="AM66" s="59">
        <f t="shared" si="5"/>
        <v>726.85338617845832</v>
      </c>
      <c r="AN66" s="59">
        <f ca="1">AVERAGE(OFFSET($AM$3,0,0,'Données projet'!$E$10+1,1))-AVERAGE(OFFSET($H$3,0,0,'Données projet'!$E$10+1,1))</f>
        <v>270.87836509222456</v>
      </c>
      <c r="AO66" s="59">
        <f t="shared" si="66"/>
        <v>205.24998237949734</v>
      </c>
      <c r="AP66" s="15">
        <f>IF(ISNA(VLOOKUP(A66,'Données projet'!$A$71:$I$91,3,0)),0,VLOOKUP(A66,'Données projet'!$A$71:$I$91,3,0))</f>
        <v>5</v>
      </c>
      <c r="AQ66" s="15">
        <f>IF(ISNA(VLOOKUP(A66,'Données projet'!$A$71:$I$91,4,0)),0,VLOOKUP(A66,'Données projet'!$A$71:$I$91,4,0))</f>
        <v>41.724358974358978</v>
      </c>
      <c r="AR66" s="16">
        <f>IF(ISNA(VLOOKUP(A66,'Données projet'!$A$71:$I$91,5,0)),0%,VLOOKUP(A66,'Données projet'!$A$71:$I$91,5,0)*VLOOKUP('Données projet'!$B$10,Paramètres!$A$1:$I$89,7,0))</f>
        <v>0.30099999999999999</v>
      </c>
      <c r="AS66" s="16">
        <f>IF(ISNA(VLOOKUP(A66,'Données projet'!$A$71:$I$91,6,0)),0%,VLOOKUP(A66,'Données projet'!$A$71:$I$91,6,0)*VLOOKUP('Données projet'!$B$10,Paramètres!$A$1:$I$89,7,0))</f>
        <v>0</v>
      </c>
      <c r="AT66" s="16">
        <f>IF(ISNA(VLOOKUP(A66,'Données projet'!$A$71:$I$91,7,0)),0%,VLOOKUP(A66,'Données projet'!$A$71:$I$91,7,0))</f>
        <v>0</v>
      </c>
      <c r="AU66" s="21">
        <f>EXP(-LN(2)/35)*AU65+(1-EXP(-LN(2)/35))/(LN(2)/35)*AQ66*AR66*VLOOKUP('Données projet'!$B$10,Paramètres!$A$1:$I$89,3,0)*0.475*44/12</f>
        <v>12.561915597523354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12.561915597523354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projet'!$A$97:$I$117,2,0)</f>
        <v>#N/A</v>
      </c>
      <c r="BB66" s="12" t="e">
        <f>VLOOKUP(A66,'Données projet'!$A$97:$I$117,9,0)</f>
        <v>#N/A</v>
      </c>
      <c r="BC66" s="12">
        <f t="array" ref="BC66">INDEX(BB:BB,MIN(IF(ISNUMBER(BB66:BB262),ROW(BB66:BB262),"")))</f>
        <v>0</v>
      </c>
      <c r="BD66" s="12">
        <f>IF('Données projet'!$A$98&gt;35,BD65+BC66-BL65,IF(A66&lt;'Données projet'!$A$98,$BA$205^A66,IF(A66='Données projet'!$A$98,'Données projet'!$B$98,BD65+BC66-BL65)))</f>
        <v>-1.1368683772161603E-13</v>
      </c>
      <c r="BE66" s="13">
        <f>BD66*VLOOKUP('Données projet'!$B$11,Paramètres!$A$1:$I$89,3,0)*VLOOKUP('Données projet'!$B$11,Paramètres!$A$1:$I$89,5,0)</f>
        <v>-5.0249582272954292E-14</v>
      </c>
      <c r="BF66" s="13" t="e">
        <f t="shared" si="6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211.31057120485542</v>
      </c>
      <c r="BJ66" s="59">
        <f t="shared" si="68"/>
        <v>283.33292006714777</v>
      </c>
      <c r="BK66" s="15">
        <f>IF(ISNA(VLOOKUP(A66,'Données projet'!$A$97:$I$117,3,0)),0,VLOOKUP(A66,'Données projet'!$A$97:$I$117,3,0))</f>
        <v>0</v>
      </c>
      <c r="BL66" s="15">
        <f>IF(ISNA(VLOOKUP(A66,'Données projet'!$A$97:$I$117,4,0)),0,VLOOKUP(A66,'Données projet'!$A$97:$I$117,4,0))</f>
        <v>0</v>
      </c>
      <c r="BM66" s="16">
        <f>IF(ISNA(VLOOKUP(A66,'Données projet'!$A$97:$I$117,5,0)),0%,VLOOKUP(A66,'Données projet'!$A$97:$I$117,5,0)*VLOOKUP('Données projet'!$B$11,Paramètres!$A$1:$I$89,7,0))</f>
        <v>0</v>
      </c>
      <c r="BN66" s="16">
        <f>IF(ISNA(VLOOKUP(A66,'Données projet'!$A$97:$I$117,6,0)),0%,VLOOKUP(A66,'Données projet'!$A$97:$I$117,6,0)*VLOOKUP('Données projet'!$B$11,Paramètres!$A$1:$I$89,7,0))</f>
        <v>0</v>
      </c>
      <c r="BO66" s="16">
        <f>IF(ISNA(VLOOKUP(A66,'Données projet'!$A$97:$I$117,7,0)),0%,VLOOKUP(A66,'Données projet'!$A$97:$I$117,7,0))</f>
        <v>0</v>
      </c>
      <c r="BP66" s="21">
        <f>EXP(-LN(2)/35)*BP65+(1-EXP(-LN(2)/35))/(LN(2)/35)*BL66*BM66*VLOOKUP('Données projet'!$B$11,Paramètres!$A$1:$I$89,3,0)*0.475*44/12</f>
        <v>152.95824731748081</v>
      </c>
      <c r="BQ66" s="21">
        <f>EXP(-LN(2)/25)*BQ65+(1-EXP(-LN(2)/25))/(LN(2)/25)*Calculateur!BL66*Calculateur!BN66*VLOOKUP('Données projet'!$B$11,Paramètres!$A$1:$I$89,3,0)*0.475*44/12</f>
        <v>36.488940330516265</v>
      </c>
      <c r="BR66" s="21">
        <f>EXP(-LN(2)/2)*BR65+(1-EXP(-LN(2)/2))/(LN(2)/2)*BL66*BO66*VLOOKUP('Données projet'!$B$11,Paramètres!$A$1:$I$89,3,0)*0.475*44/12</f>
        <v>1.6882039769474184</v>
      </c>
      <c r="BS66" s="22">
        <f t="shared" si="9"/>
        <v>191.1353916249445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projet'!$A$123:$I$143,2,0)</f>
        <v>#N/A</v>
      </c>
      <c r="BW66" s="12" t="e">
        <f>VLOOKUP(A66,'Données projet'!$A$123:$I$143,9,0)</f>
        <v>#N/A</v>
      </c>
      <c r="BX66" s="12">
        <f t="array" ref="BX66">INDEX(BW:BW,MIN(IF(ISNUMBER(BW66:BW262),ROW(BW66:BW262),"")))</f>
        <v>5.6</v>
      </c>
      <c r="BY66" s="12">
        <f>IF('Données projet'!$A$124&gt;35,BY65+BX66-CG65,IF(A66&lt;'Données projet'!$A$124,$BV$205^A66,IF(A66='Données projet'!$A$124,'Données projet'!$B$124,BY65+BX66-CG65)))</f>
        <v>220.8</v>
      </c>
      <c r="BZ66" s="13">
        <f>BY66*VLOOKUP('Données projet'!$B$12,Paramètres!$A$1:$I$89,3,0)*VLOOKUP('Données projet'!$B$12,Paramètres!$A$1:$I$89,5,0)</f>
        <v>230.78016000000002</v>
      </c>
      <c r="CA66" s="13">
        <f t="shared" si="69"/>
        <v>56.451337103640888</v>
      </c>
      <c r="CB66" s="20">
        <f t="shared" si="10"/>
        <v>500.26152412217448</v>
      </c>
      <c r="CC66" s="59">
        <f t="shared" si="11"/>
        <v>793.59485745550774</v>
      </c>
      <c r="CD66" s="59">
        <f ca="1">AVERAGE(OFFSET($CC$3,0,0,'Données projet'!$E$12+1,1))-AVERAGE(OFFSET($H$3,0,0,'Données projet'!$E$12+1,1))</f>
        <v>322.93502595881938</v>
      </c>
      <c r="CE66" s="59">
        <f t="shared" si="70"/>
        <v>302.67072119588164</v>
      </c>
      <c r="CF66" s="15">
        <f>IF(ISNA(VLOOKUP(A66,'Données projet'!$A$123:$I$143,3,0)),0,VLOOKUP(A66,'Données projet'!$A$123:$I$143,3,0))</f>
        <v>0</v>
      </c>
      <c r="CG66" s="15">
        <f>IF(ISNA(VLOOKUP(A66,'Données projet'!$A$123:$I$143,4,0)),0,VLOOKUP(A66,'Données projet'!$A$123:$I$143,4,0))</f>
        <v>0</v>
      </c>
      <c r="CH66" s="16">
        <f>IF(ISNA(VLOOKUP(A66,'Données projet'!$A$123:$I$143,5,0)),0%,VLOOKUP(A66,'Données projet'!$A$123:$I$143,5,0)*VLOOKUP('Données projet'!$B$12,Paramètres!$A$1:$I$89,7,0))</f>
        <v>0</v>
      </c>
      <c r="CI66" s="16">
        <f>IF(ISNA(VLOOKUP(A66,'Données projet'!$A$123:$I$143,6,0)),0%,VLOOKUP(A66,'Données projet'!$A$123:$I$143,6,0)*VLOOKUP('Données projet'!$B$12,Paramètres!$A$1:$I$89,7,0))</f>
        <v>0</v>
      </c>
      <c r="CJ66" s="16">
        <f>IF(ISNA(VLOOKUP(A66,'Données projet'!$A$123:$I$143,7,0)),0%,VLOOKUP(A66,'Données projet'!$A$123:$I$143,7,0))</f>
        <v>0</v>
      </c>
      <c r="CK66" s="21">
        <f>EXP(-LN(2)/35)*CK65+(1-EXP(-LN(2)/35))/(LN(2)/35)*CG66*CH66*VLOOKUP('Données projet'!$B$12,Paramètres!$A$1:$I$89,3,0)*0.475*44/12</f>
        <v>16.12178338147525</v>
      </c>
      <c r="CL66" s="21">
        <f>EXP(-LN(2)/25)*CL65+(1-EXP(-LN(2)/25))/(LN(2)/25)*Calculateur!CG66*Calculateur!CI66*VLOOKUP('Données projet'!$B$12,Paramètres!$A$1:$I$89,3,0)*0.475*44/12</f>
        <v>20.514905673515713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36.636689054990967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projet'!$A$149:$I$169,2,0)</f>
        <v>#N/A</v>
      </c>
      <c r="CR66" s="12" t="e">
        <f>VLOOKUP(A66,'Données projet'!$A$149:$I$169,9,0)</f>
        <v>#N/A</v>
      </c>
      <c r="CS66" s="12">
        <f t="array" ref="CS66">INDEX(CR:CR,MIN(IF(ISNUMBER(CR66:CR262),ROW(CR66:CR262),"")))</f>
        <v>5.9431089743589762</v>
      </c>
      <c r="CT66" s="12">
        <f>IF('Données projet'!$A$150&gt;35,CT65+CS66-DB65,IF(A66&lt;'Données projet'!$A$150,$CQ$205^A66,IF(A66='Données projet'!$A$150,'Données projet'!$B$150,CT65+CS66-DB65)))</f>
        <v>144.08653846153845</v>
      </c>
      <c r="CU66" s="17">
        <f>CT66*VLOOKUP('Données projet'!$B$13,Paramètres!$A$1:$I$89,3,0)*VLOOKUP('Données projet'!$B$13,Paramètres!$A$1:$I$89,5,0)</f>
        <v>146.10374999999999</v>
      </c>
      <c r="CV66" s="13">
        <f t="shared" si="71"/>
        <v>37.691797153104957</v>
      </c>
      <c r="CW66" s="20">
        <f t="shared" si="13"/>
        <v>320.11057795832443</v>
      </c>
      <c r="CX66" s="59">
        <f t="shared" si="14"/>
        <v>613.44391129165774</v>
      </c>
      <c r="CY66" s="59">
        <f ca="1">AVERAGE(OFFSET($CX$3,0,0,'Données projet'!$E$13+1,1))-AVERAGE(OFFSET($H$3,0,0,'Données projet'!$E$13+1,1))</f>
        <v>250.31277422753283</v>
      </c>
      <c r="CZ66" s="59">
        <f t="shared" si="72"/>
        <v>159.20429420478047</v>
      </c>
      <c r="DA66" s="15">
        <f>IF(ISNA(VLOOKUP(A66,'Données projet'!$A$149:$I$169,3,0)),0,VLOOKUP(A66,'Données projet'!$A$149:$I$169,3,0))</f>
        <v>0</v>
      </c>
      <c r="DB66" s="15">
        <f>IF(ISNA(VLOOKUP(A66,'Données projet'!$A$149:$I$169,4,0)),0,VLOOKUP(A66,'Données projet'!$A$149:$I$169,4,0))</f>
        <v>0</v>
      </c>
      <c r="DC66" s="16">
        <f>IF(ISNA(VLOOKUP(A66,'Données projet'!$A$149:$I$169,5,0)),0%,VLOOKUP(A66,'Données projet'!$A$149:$I$169,5,0)*VLOOKUP('Données projet'!$B$13,Paramètres!$A$1:$I$89,7,0))</f>
        <v>0</v>
      </c>
      <c r="DD66" s="16">
        <f>IF(ISNA(VLOOKUP(A66,'Données projet'!$A$149:$I$169,6,0)),0%,VLOOKUP(A66,'Données projet'!$A$149:$I$169,6,0)*VLOOKUP('Données projet'!$B$13,Paramètres!$A$1:$I$89,7,0))</f>
        <v>0</v>
      </c>
      <c r="DE66" s="16">
        <f>IF(ISNA(VLOOKUP(A66,'Données projet'!$A$149:$I$169,7,0)),0%,VLOOKUP(A66,'Données projet'!$A$149:$I$169,7,0))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0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projet'!$A$175:$I$195,2,0)</f>
        <v>#N/A</v>
      </c>
      <c r="DM66" s="12" t="e">
        <f>VLOOKUP(A66,'Données projet'!$A$175:$I$195,9,0)</f>
        <v>#N/A</v>
      </c>
      <c r="DN66" s="12">
        <f t="array" ref="DN66">INDEX(DM:DM,MIN(IF(ISNUMBER(DM66:DM262),ROW(DM66:DM262),"")))</f>
        <v>6</v>
      </c>
      <c r="DO66" s="12">
        <f>IF('Données projet'!$A$176&gt;35,DO65+DN66-DW65,IF(A66&lt;'Données projet'!$A$176,$DL$205^A66,IF(A66='Données projet'!$A$176,'Données projet'!$B$176,DO65+DN66-DW65)))</f>
        <v>343.99999999999972</v>
      </c>
      <c r="DP66" s="17">
        <f>DO66*VLOOKUP('Données projet'!$B$14,Paramètres!$A$1:$I$89,3,0)*VLOOKUP('Données projet'!$B$14,Paramètres!$A$1:$I$89,5,0)</f>
        <v>252.2207999999998</v>
      </c>
      <c r="DQ66" s="13">
        <f t="shared" si="73"/>
        <v>61.061246695931573</v>
      </c>
      <c r="DR66" s="20">
        <f t="shared" si="16"/>
        <v>545.63289799541383</v>
      </c>
      <c r="DS66" s="59">
        <f t="shared" si="17"/>
        <v>838.9662313287472</v>
      </c>
      <c r="DT66" s="59">
        <f ca="1">AVERAGE(OFFSET($DS$3,0,0,'Données projet'!$E$14+1,1))-AVERAGE(OFFSET($H$3,0,0,'Données projet'!$E$14+1,1))</f>
        <v>296.91321813251051</v>
      </c>
      <c r="DU66" s="59">
        <f t="shared" si="74"/>
        <v>291.0718079639509</v>
      </c>
      <c r="DV66" s="15">
        <f>IF(ISNA(VLOOKUP(A66,'Données projet'!$A$175:$I$195,3,0)),0,VLOOKUP(A66,'Données projet'!$A$175:$I$195,3,0))</f>
        <v>0</v>
      </c>
      <c r="DW66" s="15">
        <f>IF(ISNA(VLOOKUP(A66,'Données projet'!$A$175:$I$195,4,0)),0,VLOOKUP(A66,'Données projet'!$A$175:$I$195,4,0))</f>
        <v>0</v>
      </c>
      <c r="DX66" s="16">
        <f>IF(ISNA(VLOOKUP(A66,'Données projet'!$A$175:$I$195,5,0)),0%,VLOOKUP(A66,'Données projet'!$A$175:$I$195,5,0)*VLOOKUP('Données projet'!$B$14,Paramètres!$A$1:$I$89,7,0))</f>
        <v>0</v>
      </c>
      <c r="DY66" s="16">
        <f>IF(ISNA(VLOOKUP(A66,'Données projet'!$A$175:$I$195,6,0)),0%,VLOOKUP(A66,'Données projet'!$A$175:$I$195,6,0)*VLOOKUP('Données projet'!$B$14,Paramètres!$A$1:$I$89,7,0))</f>
        <v>0</v>
      </c>
      <c r="DZ66" s="16">
        <f>IF(ISNA(VLOOKUP(A66,'Données projet'!$A$175:$I$195,7,0)),0%,VLOOKUP(A66,'Données projet'!$A$175:$I$195,7,0))</f>
        <v>0</v>
      </c>
      <c r="EA66" s="21">
        <f>EXP(-LN(2)/35)*EA65+(1-EXP(-LN(2)/35))/(LN(2)/35)*DW66*DX66*VLOOKUP('Données projet'!$B$14,Paramètres!$A$1:$I$89,3,0)*0.475*44/12</f>
        <v>40.154306627007486</v>
      </c>
      <c r="EB66" s="21">
        <f>EXP(-LN(2)/25)*EB65+(1-EXP(-LN(2)/25))/(LN(2)/25)*Calculateur!DW66*Calculateur!DY66*VLOOKUP('Données projet'!$B$14,Paramètres!$A$1:$I$89,3,0)*0.475*44/12</f>
        <v>7.309883228239058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47.464189855246545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>
        <f>VLOOKUP(A66,'Données projet'!$A$201:$I$221,2,0)</f>
        <v>350.69230769230768</v>
      </c>
      <c r="EH66" s="12">
        <f>VLOOKUP(A66,'Données projet'!$A$201:$I$221,9,0)</f>
        <v>10.763461538461542</v>
      </c>
      <c r="EI66" s="12">
        <f t="array" ref="EI66">INDEX(EH:EH,MIN(IF(ISNUMBER(EH66:EH262),ROW(EH66:EH262),"")))</f>
        <v>10.763461538461542</v>
      </c>
      <c r="EJ66" s="12">
        <f>IF('Données projet'!$A$202&gt;35,EJ65+EI66-ER65,IF(A66&lt;'Données projet'!$A$202,$EG$205^A66,IF(A66='Données projet'!$A$202,'Données projet'!$B$202,EJ65+EI66-ER65)))</f>
        <v>350.69230769230785</v>
      </c>
      <c r="EK66" s="17">
        <f>EJ66*VLOOKUP('Données projet'!$B$15,Paramètres!$A$1:$I$89,3,0)*VLOOKUP('Données projet'!$B$15,Paramètres!$A$1:$I$89,5,0)</f>
        <v>164.12400000000008</v>
      </c>
      <c r="EL66" s="13">
        <f t="shared" si="75"/>
        <v>41.771312955270602</v>
      </c>
      <c r="EM66" s="20">
        <f t="shared" si="19"/>
        <v>358.60100339709646</v>
      </c>
      <c r="EN66" s="59">
        <f t="shared" si="20"/>
        <v>651.93433673042978</v>
      </c>
      <c r="EO66" s="59">
        <f ca="1">AVERAGE(OFFSET($EN$3,0,0,'Données projet'!$E$15+1,1))-AVERAGE(OFFSET($H$3,0,0,'Données projet'!$E$15+1,1))</f>
        <v>147.64256291235483</v>
      </c>
      <c r="EP66" s="59">
        <f t="shared" si="76"/>
        <v>70.859031694091868</v>
      </c>
      <c r="EQ66" s="15">
        <f>IF(ISNA(VLOOKUP(A66,'Données projet'!$A$201:$I$221,3,0)),0,VLOOKUP(A66,'Données projet'!$A$201:$I$221,3,0))</f>
        <v>2</v>
      </c>
      <c r="ER66" s="15">
        <f>IF(ISNA(VLOOKUP(A66,'Données projet'!$A$201:$I$221,4,0)),0,VLOOKUP(A66,'Données projet'!$A$201:$I$221,4,0))</f>
        <v>108.08461538461538</v>
      </c>
      <c r="ES66" s="16">
        <f>IF(ISNA(VLOOKUP(A66,'Données projet'!$A$201:$I$221,5,0)),0%,VLOOKUP(A66,'Données projet'!$A$201:$I$221,5,0)*VLOOKUP('Données projet'!$B$15,Paramètres!$A$1:$I$89,7,0))</f>
        <v>0.38500000000000001</v>
      </c>
      <c r="ET66" s="16">
        <f>IF(ISNA(VLOOKUP(A66,'Données projet'!$A$201:$I$221,6,0)),0%,VLOOKUP(A66,'Données projet'!$A$201:$I$221,6,0)*VLOOKUP('Données projet'!$B$15,Paramètres!$A$1:$I$89,7,0))</f>
        <v>9.240000000000001E-2</v>
      </c>
      <c r="EU66" s="16">
        <f>IF(ISNA(VLOOKUP(A66,'Données projet'!$A$201:$I$221,7,0)),0%,VLOOKUP(A66,'Données projet'!$A$201:$I$221,7,0))</f>
        <v>0.13200000000000001</v>
      </c>
      <c r="EV66" s="21">
        <f>EXP(-LN(2)/35)*EV65+(1-EXP(-LN(2)/35))/(LN(2)/35)*ER66*ES66*VLOOKUP('Données projet'!$B$15,Paramètres!$A$1:$I$89,3,0)*0.475*44/12</f>
        <v>25.834426228446034</v>
      </c>
      <c r="EW66" s="21">
        <f>EXP(-LN(2)/25)*EW65+(1-EXP(-LN(2)/25))/(LN(2)/25)*Calculateur!ER66*Calculateur!ET66*VLOOKUP('Données projet'!$B$15,Paramètres!$A$1:$I$89,3,0)*0.475*44/12</f>
        <v>19.873668051802269</v>
      </c>
      <c r="EX66" s="21">
        <f>EXP(-LN(2)/2)*EX65+(1-EXP(-LN(2)/2))/(LN(2)/2)*ER66*EU66*VLOOKUP('Données projet'!$B$15,Paramètres!$A$1:$I$89,3,0)*0.475*44/12</f>
        <v>7.9253715568647767</v>
      </c>
      <c r="EY66" s="22">
        <f t="shared" si="21"/>
        <v>53.633465837113079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projet'!$A$227:$I$247,2,0)</f>
        <v>#N/A</v>
      </c>
      <c r="FC66" s="12" t="e">
        <f>VLOOKUP(A66,'Données projet'!$A$227:$I$247,9,0)</f>
        <v>#N/A</v>
      </c>
      <c r="FD66" s="12">
        <f t="array" ref="FD66">INDEX(FC:FC,MIN(IF(ISNUMBER(FC66:FC262),ROW(FC66:FC262),"")))</f>
        <v>4.4000000000000004</v>
      </c>
      <c r="FE66" s="12">
        <f>IF('Données projet'!$A$228&gt;35,FE65+FD66-FM65,IF(A66&lt;'Données projet'!$A$228,$FB$205^A66,IF(A66='Données projet'!$A$228,'Données projet'!$B$228,FE65+FD66-FM65)))</f>
        <v>186.2</v>
      </c>
      <c r="FF66" s="17">
        <f>FE66*VLOOKUP('Données projet'!$B$16,Paramètres!$A$1:$I$89,3,0)*VLOOKUP('Données projet'!$B$16,Paramètres!$A$1:$I$89,5,0)</f>
        <v>194.61624</v>
      </c>
      <c r="FG66" s="13">
        <f t="shared" si="77"/>
        <v>48.559107720402245</v>
      </c>
      <c r="FH66" s="20">
        <f t="shared" si="22"/>
        <v>423.53039727970054</v>
      </c>
      <c r="FI66" s="59">
        <f t="shared" si="23"/>
        <v>716.86373061303379</v>
      </c>
      <c r="FJ66" s="59">
        <f ca="1">AVERAGE(OFFSET($FI$3,0,0,'Données projet'!$E$16+1,1))-AVERAGE(OFFSET($H$3,0,0,'Données projet'!$E$16+1,1))</f>
        <v>259.03906550253788</v>
      </c>
      <c r="FK66" s="59">
        <f t="shared" si="78"/>
        <v>235.54542903570831</v>
      </c>
      <c r="FL66" s="15">
        <f>IF(ISNA(VLOOKUP(A66,'Données projet'!$A$227:$I$247,3,0)),0,VLOOKUP(A66,'Données projet'!$A$227:$I$247,3,0))</f>
        <v>0</v>
      </c>
      <c r="FM66" s="15">
        <f>IF(ISNA(VLOOKUP(A66,'Données projet'!$A$227:$I$247,4,0)),0,VLOOKUP(A66,'Données projet'!$A$227:$I$247,4,0))</f>
        <v>0</v>
      </c>
      <c r="FN66" s="16">
        <f>IF(ISNA(VLOOKUP(A66,'Données projet'!$A$227:$I$247,5,0)),0%,VLOOKUP(A66,'Données projet'!$A$227:$I$247,5,0)*VLOOKUP('Données projet'!$B$16,Paramètres!$A$1:$I$89,7,0))</f>
        <v>0</v>
      </c>
      <c r="FO66" s="16">
        <f>IF(ISNA(VLOOKUP(A66,'Données projet'!$A$227:$I$247,6,0)),0%,VLOOKUP(A66,'Données projet'!$A$227:$I$247,6,0)*VLOOKUP('Données projet'!$B$16,Paramètres!$A$1:$I$89,7,0))</f>
        <v>0</v>
      </c>
      <c r="FP66" s="16">
        <f>IF(ISNA(VLOOKUP(A66,'Données projet'!$A$227:$I$247,7,0)),0%,VLOOKUP(A66,'Données projet'!$A$227:$I$247,7,0))</f>
        <v>0</v>
      </c>
      <c r="FQ66" s="21">
        <f>EXP(-LN(2)/35)*FQ65+(1-EXP(-LN(2)/35))/(LN(2)/35)*FM66*FN66*VLOOKUP('Données projet'!$B$16,Paramètres!$A$1:$I$89,3,0)*0.475*44/12</f>
        <v>5.8798293490451146</v>
      </c>
      <c r="FR66" s="21">
        <f>EXP(-LN(2)/25)*FR65+(1-EXP(-LN(2)/25))/(LN(2)/25)*Calculateur!FM66*Calculateur!FO66*VLOOKUP('Données projet'!$B$16,Paramètres!$A$1:$I$89,3,0)*0.475*44/12</f>
        <v>14.185958466204921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20.065787815250037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projet'!$A$253:$I$273,2,0)</f>
        <v>#N/A</v>
      </c>
      <c r="FX66" s="12" t="e">
        <f>VLOOKUP(A66,'Données projet'!$A$253:$I$273,9,0)</f>
        <v>#N/A</v>
      </c>
      <c r="FY66" s="12">
        <f t="array" ref="FY66">INDEX(FX:FX,MIN(IF(ISNUMBER(FX66:FX262),ROW(FX66:FX262),"")))</f>
        <v>4.4000000000000004</v>
      </c>
      <c r="FZ66" s="12">
        <f>IF('Données projet'!$A$254&gt;35,FZ65+FY66-GH65,IF(A66&lt;'Données projet'!$A$254,$FW$205^A66,IF(A66='Données projet'!$A$254,'Données projet'!$B$254,FZ65+FY66-GH65)))</f>
        <v>246.19999999999985</v>
      </c>
      <c r="GA66" s="17">
        <f>FZ66*VLOOKUP('Données projet'!$B$17,Paramètres!$A$1:$I$89,3,0)*VLOOKUP('Données projet'!$B$17,Paramètres!$A$1:$I$89,5,0)</f>
        <v>215.08031999999989</v>
      </c>
      <c r="GB66" s="13">
        <f t="shared" si="79"/>
        <v>53.044214230061456</v>
      </c>
      <c r="GC66" s="20">
        <f t="shared" si="25"/>
        <v>466.98356378402349</v>
      </c>
      <c r="GD66" s="59">
        <f t="shared" si="26"/>
        <v>760.3168971173568</v>
      </c>
      <c r="GE66" s="59">
        <f ca="1">AVERAGE(OFFSET($GD$3,0,0,'Données projet'!$E$17+1,1))-AVERAGE(OFFSET($H$3,0,0,'Données projet'!$E$17+1,1))</f>
        <v>245.1983232777614</v>
      </c>
      <c r="GF66" s="59">
        <f t="shared" si="80"/>
        <v>242.34010522344573</v>
      </c>
      <c r="GG66" s="15">
        <f>IF(ISNA(VLOOKUP(A66,'Données projet'!$A$253:$I$273,3,0)),0,VLOOKUP(A66,'Données projet'!$A$253:$I$273,3,0))</f>
        <v>0</v>
      </c>
      <c r="GH66" s="15">
        <f>IF(ISNA(VLOOKUP(A66,'Données projet'!$A$253:$I$273,4,0)),0,VLOOKUP(A66,'Données projet'!$A$253:$I$273,4,0))</f>
        <v>0</v>
      </c>
      <c r="GI66" s="16">
        <f>IF(ISNA(VLOOKUP(A66,'Données projet'!$A$253:$I$273,5,0)),0%,VLOOKUP(A66,'Données projet'!$A$253:$I$273,5,0)*VLOOKUP('Données projet'!$B$17,Paramètres!$A$1:$I$89,7,0))</f>
        <v>0</v>
      </c>
      <c r="GJ66" s="16">
        <f>IF(ISNA(VLOOKUP(A66,'Données projet'!$A$253:$I$273,6,0)),0%,VLOOKUP(A66,'Données projet'!$A$253:$I$273,6,0)*VLOOKUP('Données projet'!$B$17,Paramètres!$A$1:$I$89,7,0))</f>
        <v>0</v>
      </c>
      <c r="GK66" s="16">
        <f>IF(ISNA(VLOOKUP(A66,'Données projet'!$A$253:$I$273,7,0)),0%,VLOOKUP(A66,'Données projet'!$A$253:$I$273,7,0))</f>
        <v>0</v>
      </c>
      <c r="GL66" s="21">
        <f>EXP(-LN(2)/35)*GL65+(1-EXP(-LN(2)/35))/(LN(2)/35)*GH66*GI66*VLOOKUP('Données projet'!$B$17,Paramètres!$A$1:$I$89,3,0)*0.475*44/12</f>
        <v>19.413357908814572</v>
      </c>
      <c r="GM66" s="21">
        <f>EXP(-LN(2)/25)*GM65+(1-EXP(-LN(2)/25))/(LN(2)/25)*Calculateur!GH66*Calculateur!GJ66*VLOOKUP('Données projet'!$B$17,Paramètres!$A$1:$I$89,3,0)*0.475*44/12</f>
        <v>9.6923231478738145</v>
      </c>
      <c r="GN66" s="21">
        <f>EXP(-LN(2)/2)*GN65+(1-EXP(-LN(2)/2))/(LN(2)/2)*GH66*GK66*VLOOKUP('Données projet'!$B$17,Paramètres!$A$1:$I$89,3,0)*0.475*44/12</f>
        <v>0</v>
      </c>
      <c r="GO66" s="21">
        <f t="shared" si="27"/>
        <v>29.105681056688386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projet'!$A$279:$I$299,2,0)</f>
        <v>#N/A</v>
      </c>
      <c r="GS66" s="12" t="e">
        <f>VLOOKUP(A66,'Données projet'!$A$279:$I$299,9,0)</f>
        <v>#N/A</v>
      </c>
      <c r="GT66" s="12">
        <f t="array" ref="GT66">INDEX(GS:GS,MIN(IF(ISNUMBER(GS66:GS262),ROW(GS66:GS262),"")))</f>
        <v>12</v>
      </c>
      <c r="GU66" s="12">
        <f>IF('Données projet'!$A$280&gt;35,GU65+GT66-HC65,IF(A66&lt;'Données projet'!$A$280,$GR$205^A66,IF(A66='Données projet'!$A$280,'Données projet'!$B$280,GU65+GT66-HC65)))</f>
        <v>710.00000000000023</v>
      </c>
      <c r="GV66" s="17">
        <f>GU66*VLOOKUP('Données projet'!$B$18,Paramètres!$A$1:$I$89,3,0)*VLOOKUP('Données projet'!$B$18,Paramètres!$A$1:$I$89,5,0)</f>
        <v>286.13000000000011</v>
      </c>
      <c r="GW66" s="13">
        <f t="shared" si="81"/>
        <v>68.260816781668098</v>
      </c>
      <c r="GX66" s="20">
        <f t="shared" si="28"/>
        <v>617.23067256140541</v>
      </c>
      <c r="GY66" s="59">
        <f t="shared" si="29"/>
        <v>910.56400589473878</v>
      </c>
      <c r="GZ66" s="59">
        <f ca="1">AVERAGE(OFFSET($GY$3,0,0,'Données projet'!$E$18+1,1))-AVERAGE(OFFSET($H$3,0,0,'Données projet'!$E$18+1,1))</f>
        <v>324.36162935850876</v>
      </c>
      <c r="HA66" s="59">
        <f t="shared" si="82"/>
        <v>265.23571072429735</v>
      </c>
      <c r="HB66" s="15">
        <f>IF(ISNA(VLOOKUP(A66,'Données projet'!$A$279:$I$299,3,0)),0,VLOOKUP(A66,'Données projet'!$A$279:$I$299,3,0))</f>
        <v>0</v>
      </c>
      <c r="HC66" s="15">
        <f>IF(ISNA(VLOOKUP(A66,'Données projet'!$A$279:$I$299,4,0)),0,VLOOKUP(A66,'Données projet'!$A$279:$I$299,4,0))</f>
        <v>0</v>
      </c>
      <c r="HD66" s="16">
        <f>IF(ISNA(VLOOKUP(A66,'Données projet'!$A$279:$I$299,5,0)),0%,VLOOKUP(A66,'Données projet'!$A$279:$I$299,5,0)*VLOOKUP('Données projet'!$B$18,Paramètres!$A$1:$I$89,7,0))</f>
        <v>0</v>
      </c>
      <c r="HE66" s="16">
        <f>IF(ISNA(VLOOKUP(A66,'Données projet'!$A$279:$I$299,6,0)),0%,VLOOKUP(A66,'Données projet'!$A$279:$I$299,6,0)*VLOOKUP('Données projet'!$B$18,Paramètres!$A$1:$I$89,7,0))</f>
        <v>0</v>
      </c>
      <c r="HF66" s="16">
        <f>IF(ISNA(VLOOKUP($A66,'Données projet'!$A$279:$I$299,7,0)),0%,VLOOKUP($A66,'Données projet'!$A$279:$I$299,7,0))</f>
        <v>0</v>
      </c>
      <c r="HG66" s="21">
        <f>EXP(-LN(2)/35)*HG65+(1-EXP(-LN(2)/35))/(LN(2)/35)*HC66*HD66*VLOOKUP('Données projet'!$B$18,Paramètres!$A$1:$I$89,3,0)*0.475*44/12</f>
        <v>12.037028529026744</v>
      </c>
      <c r="HH66" s="21">
        <f>EXP(-LN(2)/25)*HH65+(1-EXP(-LN(2)/25))/(LN(2)/25)*Calculateur!HC66*Calculateur!HE66*VLOOKUP('Données projet'!$B$18,Paramètres!$A$1:$I$89,3,0)*0.475*44/12</f>
        <v>10.907087806449825</v>
      </c>
      <c r="HI66" s="21">
        <f>EXP(-LN(2)/2)*HI65+(1-EXP(-LN(2)/2))/(LN(2)/2)*HC66*HF66*VLOOKUP('Données projet'!$B$18,Paramètres!$A$1:$I$89,3,0)*0.475*44/12</f>
        <v>0.1669545938694158</v>
      </c>
      <c r="HJ66" s="22">
        <f t="shared" si="30"/>
        <v>23.111070929345985</v>
      </c>
      <c r="HK66" s="74">
        <f>('Scénario référence'!$F$8+'Scénario référence'!$F$9+'Scénario référence'!$B$17+'Scénario référence'!$B$9+'Scénario référence'!$B$10)*70+IF((45+25*(1-EXP(-0.0175*$A66)))&lt;70,'Scénario référence'!$B$16*(45+25*(1-EXP(-0.0175*$A66))),70*'Scénario référence'!$B$16)+IF((32+38*(1-EXP(-0.0175*$A66)))&lt;70,'Scénario référence'!$B$18*(32+38*(1-EXP(-0.0175*$A66))),70*'Scénario référence'!$B$18)</f>
        <v>70</v>
      </c>
      <c r="HL66" s="12">
        <f>IF($A66&gt;30,10,('Scénario référence'!$B$16+'Scénario référence'!$B$17+'Scénario référence'!$B$18+'Scénario référence'!$B$9+'Scénario référence'!$B$10)*$A66*10/30+('Scénario référence'!$F$8+'Scénario référence'!$F$9)*10)</f>
        <v>10</v>
      </c>
      <c r="HM66" s="12" t="e">
        <f>VLOOKUP($A66,'Données projet'!$A$304:$I$324,2,0)</f>
        <v>#N/A</v>
      </c>
      <c r="HN66" s="12" t="e">
        <f>VLOOKUP($A66,'Données projet'!$A$304:$I$324,9,0)</f>
        <v>#N/A</v>
      </c>
      <c r="HO66" s="12">
        <f t="array" ref="HO66">INDEX(HN:HN,MIN(IF(ISNUMBER(HN66:HN262),ROW(HN66:HN262),"")))</f>
        <v>0</v>
      </c>
      <c r="HP66" s="12">
        <f>IF('Données projet'!$A$304&gt;35,HP65+HO66-HX65,IF($A66&lt;'Données projet'!$A$304,$CQ$205^$A66,IF($A66='Données projet'!$A$304,'Données projet'!$B$304,HP65+HO66-HX65)))</f>
        <v>0</v>
      </c>
      <c r="HQ66" s="17">
        <f>HP66*VLOOKUP('Données projet'!$B$19,Paramètres!$A$1:$I$89,3,0)*VLOOKUP('Données projet'!$B$19,Paramètres!$A$1:$I$89,5,0)</f>
        <v>0</v>
      </c>
      <c r="HR66" s="13" t="e">
        <f t="shared" si="83"/>
        <v>#NUM!</v>
      </c>
      <c r="HS66" s="14" t="e">
        <f t="shared" si="31"/>
        <v>#NUM!</v>
      </c>
      <c r="HT66" s="59" t="e">
        <f t="shared" si="32"/>
        <v>#NUM!</v>
      </c>
      <c r="HU66" s="59">
        <f ca="1">AVERAGE(OFFSET(HT$3,0,0,'Données projet'!$E$19+1,1))-AVERAGE(OFFSET($H$3,0,0,'Données projet'!$E$19+1,1))</f>
        <v>91.60721429656013</v>
      </c>
      <c r="HV66" s="59">
        <f t="shared" si="84"/>
        <v>258.94957804210856</v>
      </c>
      <c r="HW66" s="15">
        <f>IF(ISNA(VLOOKUP($A66,'Données projet'!$A$304:$I$324,3,0)),0,VLOOKUP($A66,'Données projet'!$A$304:$I$324,3,0))</f>
        <v>0</v>
      </c>
      <c r="HX66" s="15">
        <f>IF(ISNA(VLOOKUP($A66,'Données projet'!$A$304:$I$324,4,0)),0,VLOOKUP($A66,'Données projet'!$A$304:$I$324,4,0))</f>
        <v>0</v>
      </c>
      <c r="HY66" s="16">
        <f>IF(ISNA(VLOOKUP($A66,'Données projet'!$A$304:$I$324,5,0)),0%,VLOOKUP($A66,'Données projet'!$A$304:$I$324,5,0)*VLOOKUP('Données projet'!$B$19,Paramètres!$A$1:$I$89,7,0))</f>
        <v>0</v>
      </c>
      <c r="HZ66" s="16">
        <f>IF(ISNA(VLOOKUP($A66,'Données projet'!$A$304:$I$324,6,0)),0%,VLOOKUP($A66,'Données projet'!$A$304:$I$324,6,0)*VLOOKUP('Données projet'!$B$19,Paramètres!$A$1:$I$89,7,0))</f>
        <v>0</v>
      </c>
      <c r="IA66" s="16">
        <f>IF(ISNA(VLOOKUP($A66,'Données projet'!$A$304:$I$324,7,0)),0%,VLOOKUP($A66,'Données projet'!$A$304:$I$324,7,0))</f>
        <v>0</v>
      </c>
      <c r="IB66" s="21">
        <f>EXP(-LN(2)/35)*IB65+(1-EXP(-LN(2)/35))/(LN(2)/35)*HX66*HY66*VLOOKUP('Données projet'!$B$19,Paramètres!$A$1:$I$89,3,0)*0.475*44/12</f>
        <v>25.66295397703648</v>
      </c>
      <c r="IC66" s="21">
        <f>EXP(-LN(2)/25)*IC65+(1-EXP(-LN(2)/25))/(LN(2)/25)*Calculateur!HX66*Calculateur!HZ66*VLOOKUP('Données projet'!$B$19,Paramètres!$A$1:$I$89,3,0)*0.475*44/12</f>
        <v>3.8962944088403435</v>
      </c>
      <c r="ID66" s="21">
        <f>EXP(-LN(2)/2)*ID65+(1-EXP(-LN(2)/2))/(LN(2)/2)*HX66*IA66*VLOOKUP('Données projet'!$B$19,Paramètres!$A$1:$I$89,3,0)*0.475*44/12</f>
        <v>6.1808434181603492E-6</v>
      </c>
      <c r="IE66" s="22">
        <f t="shared" si="33"/>
        <v>29.559254566720242</v>
      </c>
      <c r="IF66" s="74">
        <f>('Scénario référence'!$F$8+'Scénario référence'!$F$9+'Scénario référence'!$B$17+'Scénario référence'!$B$9+'Scénario référence'!$B$10)*70+IF((45+25*(1-EXP(-0.0175*$A66)))&lt;70,'Scénario référence'!$B$16*(45+25*(1-EXP(-0.0175*$A66))),70*'Scénario référence'!$B$16)+IF((32+38*(1-EXP(-0.0175*$A66)))&lt;70,'Scénario référence'!$B$18*(32+38*(1-EXP(-0.0175*$A66))),70*'Scénario référence'!$B$18)</f>
        <v>70</v>
      </c>
      <c r="IG66" s="12">
        <f>IF($A66&gt;30,10,('Scénario référence'!$B$16+'Scénario référence'!$B$17+'Scénario référence'!$B$18+'Scénario référence'!$B$9+'Scénario référence'!$B$10)*$A66*10/30+('Scénario référence'!$F$8+'Scénario référence'!$F$9)*10)</f>
        <v>10</v>
      </c>
      <c r="IH66" s="12" t="e">
        <f>VLOOKUP($A66,'Données projet'!$A$330:$I$350,2,0)</f>
        <v>#N/A</v>
      </c>
      <c r="II66" s="12" t="e">
        <f>VLOOKUP($A66,'Données projet'!$A$330:$I$350,9,0)</f>
        <v>#N/A</v>
      </c>
      <c r="IJ66" s="12">
        <f t="array" ref="IJ66">INDEX(II:II,MIN(IF(ISNUMBER(II66:II262),ROW(II66:II262),"")))</f>
        <v>0</v>
      </c>
      <c r="IK66" s="12">
        <f>IF('Données projet'!$A$330&gt;35,IK65+IJ66-IS65,IF($A66&lt;'Données projet'!$A$330,$CQ$205^$A66,IF($A66='Données projet'!$A$330,'Données projet'!$B$330,IK65+IJ66-IS65)))</f>
        <v>0</v>
      </c>
      <c r="IL66" s="17">
        <f>IK66*VLOOKUP('Données projet'!$B$20,Paramètres!$A$1:$I$89,3,0)*VLOOKUP('Données projet'!$B$20,Paramètres!$A$1:$I$89,5,0)</f>
        <v>0</v>
      </c>
      <c r="IM66" s="13" t="e">
        <f t="shared" si="85"/>
        <v>#NUM!</v>
      </c>
      <c r="IN66" s="20" t="e">
        <f t="shared" si="86"/>
        <v>#NUM!</v>
      </c>
      <c r="IO66" s="59" t="e">
        <f t="shared" si="87"/>
        <v>#NUM!</v>
      </c>
      <c r="IP66" s="59">
        <f ca="1">AVERAGE(OFFSET(IO$3,0,0,'Données projet'!$E$20+1,1))-AVERAGE(OFFSET($H$3,0,0,'Données projet'!$E$20+1,1))</f>
        <v>91.60721429656013</v>
      </c>
      <c r="IQ66" s="59">
        <f t="shared" si="88"/>
        <v>258.94957804210856</v>
      </c>
      <c r="IR66" s="15">
        <f>IF(ISNA(VLOOKUP($A66,'Données projet'!$A$330:$I$350,3,0)),0,VLOOKUP($A66,'Données projet'!$A$330:$I$350,3,0))</f>
        <v>0</v>
      </c>
      <c r="IS66" s="15">
        <f>IF(ISNA(VLOOKUP($A66,'Données projet'!$A$330:$I$350,4,0)),0,VLOOKUP($A66,'Données projet'!$A$330:$I$350,4,0))</f>
        <v>0</v>
      </c>
      <c r="IT66" s="16">
        <f>IF(ISNA(VLOOKUP($A66,'Données projet'!$A$330:$I$350,5,0)),0%,VLOOKUP($A66,'Données projet'!$A$330:$I$350,5,0)*VLOOKUP('Données projet'!$B$20,Paramètres!$A$1:$I$89,7,0))</f>
        <v>0</v>
      </c>
      <c r="IU66" s="16">
        <f>IF(ISNA(VLOOKUP($A66,'Données projet'!$A$330:$I$350,6,0)),0%,VLOOKUP($A66,'Données projet'!$A$330:$I$350,6,0)*VLOOKUP('Données projet'!$B$20,Paramètres!$A$1:$I$89,7,0))</f>
        <v>0</v>
      </c>
      <c r="IV66" s="16">
        <f>IF(ISNA(VLOOKUP($A66,'Données projet'!$A$330:$I$350,7,0)),0%,VLOOKUP($A66,'Données projet'!$A$330:$I$350,7,0))</f>
        <v>0</v>
      </c>
      <c r="IW66" s="21">
        <f>EXP(-LN(2)/35)*IW65+(1-EXP(-LN(2)/35))/(LN(2)/35)*IS66*IT66*VLOOKUP('Données projet'!$B$20,Paramètres!$A$1:$I$89,3,0)*0.475*44/12</f>
        <v>25.66295397703648</v>
      </c>
      <c r="IX66" s="21">
        <f>EXP(-LN(2)/25)*IX65+(1-EXP(-LN(2)/25))/(LN(2)/25)*Calculateur!IS66*Calculateur!IU66*VLOOKUP('Données projet'!$B$20,Paramètres!$A$1:$I$89,3,0)*0.475*44/12</f>
        <v>3.8962944088403435</v>
      </c>
      <c r="IY66" s="21">
        <f>EXP(-LN(2)/2)*IY65+(1-EXP(-LN(2)/2))/(LN(2)/2)*IS66*IV66*VLOOKUP('Données projet'!$B$20,Paramètres!$A$1:$I$89,3,0)*0.475*44/12</f>
        <v>6.1808434181603492E-6</v>
      </c>
      <c r="IZ66" s="22">
        <f t="shared" si="89"/>
        <v>29.559254566720242</v>
      </c>
      <c r="JA66" s="74">
        <f>('Scénario référence'!$F$8+'Scénario référence'!$F$9+'Scénario référence'!$B$17+'Scénario référence'!$B$9+'Scénario référence'!$B$10)*70+IF((45+25*(1-EXP(-0.0175*$A66)))&lt;70,'Scénario référence'!$B$16*(45+25*(1-EXP(-0.0175*$A66))),70*'Scénario référence'!$B$16)+IF((32+38*(1-EXP(-0.0175*$A66)))&lt;70,'Scénario référence'!$B$18*(32+38*(1-EXP(-0.0175*$A66))),70*'Scénario référence'!$B$18)</f>
        <v>70</v>
      </c>
      <c r="JB66" s="12">
        <f>IF($A66&gt;30,10,('Scénario référence'!$B$16+'Scénario référence'!$B$17+'Scénario référence'!$B$18+'Scénario référence'!$B$9+'Scénario référence'!$B$10)*$A66*10/30+('Scénario référence'!$F$8+'Scénario référence'!$F$9)*10)</f>
        <v>10</v>
      </c>
      <c r="JC66" s="12" t="e">
        <f>VLOOKUP($A66,'Données projet'!$A$356:$I$376,2,0)</f>
        <v>#N/A</v>
      </c>
      <c r="JD66" s="12" t="e">
        <f>VLOOKUP($A66,'Données projet'!$A$356:$I$376,9,0)</f>
        <v>#N/A</v>
      </c>
      <c r="JE66" s="12">
        <f t="array" ref="JE66">INDEX(JD:JD,MIN(IF(ISNUMBER(JD66:JD262),ROW(JD66:JD262),"")))</f>
        <v>10.4</v>
      </c>
      <c r="JF66" s="12">
        <f>IF('Données projet'!$A$356&gt;35,JF65+JE66-JN65,IF($A66&lt;'Données projet'!$A$356,$CQ$205^$A66,IF($A66='Données projet'!$A$356,'Données projet'!$B$356,JF65+JE66-JN65)))</f>
        <v>273.20000000000005</v>
      </c>
      <c r="JG66" s="17">
        <f>JF66*VLOOKUP('Données projet'!$B$21,Paramètres!$A$1:$I$89,3,0)*VLOOKUP('Données projet'!$B$21,Paramètres!$A$1:$I$89,5,0)</f>
        <v>221.61984000000004</v>
      </c>
      <c r="JH66" s="13">
        <f t="shared" si="90"/>
        <v>54.466799486030538</v>
      </c>
      <c r="JI66" s="20">
        <f t="shared" si="91"/>
        <v>480.85089710483652</v>
      </c>
      <c r="JJ66" s="59">
        <f t="shared" si="92"/>
        <v>774.18423043816983</v>
      </c>
      <c r="JK66" s="59">
        <f ca="1">AVERAGE(OFFSET($JJ$3,0,0,'Données projet'!$E$22+1,1))-AVERAGE(OFFSET($H$3,0,0,'Données projet'!$E$22+1,1))</f>
        <v>353.35574633294613</v>
      </c>
      <c r="JL66" s="59">
        <f t="shared" si="93"/>
        <v>170.36796666474726</v>
      </c>
      <c r="JM66" s="15">
        <f>IF(ISNA(VLOOKUP($A66,'Données projet'!$A$356:$I$376,3,0)),0,VLOOKUP($A66,'Données projet'!$A$356:$I$376,3,0))</f>
        <v>0</v>
      </c>
      <c r="JN66" s="15">
        <f>IF(ISNA(VLOOKUP($A66,'Données projet'!$A$356:$I$376,4,0)),0,VLOOKUP($A66,'Données projet'!$A$356:$I$376,4,0))</f>
        <v>0</v>
      </c>
      <c r="JO66" s="16">
        <f>IF(ISNA(VLOOKUP($A66,'Données projet'!$A$356:$I$376,5,0)),0%,VLOOKUP($A66,'Données projet'!$A$356:$I$376,5,0)*VLOOKUP('Données projet'!$B$21,Paramètres!$A$1:$I$89,7,0))</f>
        <v>0</v>
      </c>
      <c r="JP66" s="16">
        <f>IF(ISNA(VLOOKUP($A66,'Données projet'!$A$356:$I$376,6,0)),0%,VLOOKUP($A66,'Données projet'!$A$356:$I$376,6,0)*VLOOKUP('Données projet'!$B$21,Paramètres!$A$1:$I$89,7,0))</f>
        <v>0</v>
      </c>
      <c r="JQ66" s="16">
        <f>IF(ISNA(VLOOKUP($A66,'Données projet'!$A$356:$I$376,7,0)),0%,VLOOKUP($A66,'Données projet'!$A$356:$I$376,7,0))</f>
        <v>0</v>
      </c>
      <c r="JR66" s="21">
        <f>EXP(-LN(2)/35)*JR65+(1-EXP(-LN(2)/35))/(LN(2)/35)*JN66*JO66*VLOOKUP('Données projet'!$B$21,Paramètres!$A$1:$I$89,3,0)*0.475*44/12</f>
        <v>0</v>
      </c>
      <c r="JS66" s="21">
        <f>EXP(-LN(2)/25)*JS65+(1-EXP(-LN(2)/25))/(LN(2)/25)*Calculateur!JN66*Calculateur!JP66*VLOOKUP('Données projet'!$B$21,Paramètres!$A$1:$I$89,3,0)*0.475*44/12</f>
        <v>8.0194259184430017</v>
      </c>
      <c r="JT66" s="21">
        <f>EXP(-LN(2)/2)*JT65+(1-EXP(-LN(2)/2))/(LN(2)/2)*JN66*JQ66*VLOOKUP('Données projet'!$B$21,Paramètres!$A$1:$I$89,3,0)*0.475*44/12</f>
        <v>2.7611915036346919</v>
      </c>
      <c r="JU66" s="18">
        <f t="shared" si="39"/>
        <v>10.780617422077693</v>
      </c>
      <c r="JV66" s="74">
        <f>('Scénario référence'!$F$8+'Scénario référence'!$F$9+'Scénario référence'!$B$17+'Scénario référence'!$B$9+'Scénario référence'!$B$10)*70+IF((45+25*(1-EXP(-0.0175*$A66)))&lt;70,'Scénario référence'!$B$16*(45+25*(1-EXP(-0.0175*$A66))),70*'Scénario référence'!$B$16)+IF((32+38*(1-EXP(-0.0175*$A66)))&lt;70,'Scénario référence'!$B$18*(32+38*(1-EXP(-0.0175*$A66))),70*'Scénario référence'!$B$18)</f>
        <v>70</v>
      </c>
      <c r="JW66" s="12">
        <f>IF($A66&gt;30,10,('Scénario référence'!$B$16+'Scénario référence'!$B$17+'Scénario référence'!$B$18+'Scénario référence'!$B$9+'Scénario référence'!$B$10)*$A66*10/30+('Scénario référence'!$F$8+'Scénario référence'!$F$9)*10)</f>
        <v>10</v>
      </c>
      <c r="JX66" s="12">
        <f>VLOOKUP($A66,'Données projet'!$A$382:$I$402,2,0)</f>
        <v>220.28846153846152</v>
      </c>
      <c r="JY66" s="12">
        <f>VLOOKUP($A66,'Données projet'!$A$382:$I$402,9,0)</f>
        <v>8.374198717948719</v>
      </c>
      <c r="JZ66" s="12">
        <f t="array" ref="JZ66">INDEX(JY:JY,MIN(IF(ISNUMBER(JY66:JY262),ROW(JY66:JY262),"")))</f>
        <v>8.374198717948719</v>
      </c>
      <c r="KA66" s="12">
        <f>IF('Données projet'!$A$382&gt;35,KA65+JZ66-KI65,IF($A66&lt;'Données projet'!$A$382,$CQ$205^$A66,IF($A66='Données projet'!$A$382,'Données projet'!$B$382,KA65+JZ66-KI65)))</f>
        <v>220.2884615384616</v>
      </c>
      <c r="KB66" s="17">
        <f>KA66*VLOOKUP('Données projet'!$B$22,Paramètres!$A$1:$I$89,3,0)*VLOOKUP('Données projet'!$B$22,Paramètres!$A$1:$I$89,5,0)</f>
        <v>147.76950000000005</v>
      </c>
      <c r="KC66" s="13">
        <f t="shared" si="94"/>
        <v>38.071255366159519</v>
      </c>
      <c r="KD66" s="20">
        <f t="shared" si="95"/>
        <v>323.6726489293946</v>
      </c>
      <c r="KE66" s="59">
        <f t="shared" si="96"/>
        <v>617.00598226272791</v>
      </c>
      <c r="KF66" s="59">
        <f ca="1">AVERAGE(OFFSET($KE$3,0,0,'Données projet'!$E$22+1,1))-AVERAGE(OFFSET($H$3,0,0,'Données projet'!$E$22+1,1))</f>
        <v>193.91714772848269</v>
      </c>
      <c r="KG66" s="59">
        <f t="shared" si="97"/>
        <v>159.20429420478047</v>
      </c>
      <c r="KH66" s="15">
        <f>IF(ISNA(VLOOKUP($A66,'Données projet'!$A$382:$I$402,3,0)),0,VLOOKUP($A66,'Données projet'!$A$382:$I$402,3,0))</f>
        <v>5</v>
      </c>
      <c r="KI66" s="15">
        <f>IF(ISNA(VLOOKUP($A66,'Données projet'!$A$382:$I$402,4,0)),0,VLOOKUP($A66,'Données projet'!$A$382:$I$402,4,0))</f>
        <v>41.724358974358978</v>
      </c>
      <c r="KJ66" s="16">
        <f>IF(ISNA(VLOOKUP($A66,'Données projet'!$A$382:$I$402,5,0)),0%,VLOOKUP($A66,'Données projet'!$A$382:$I$402,5,0)*VLOOKUP('Données projet'!$B$22,Paramètres!$A$1:$I$89,7,0))</f>
        <v>0.371</v>
      </c>
      <c r="KK66" s="16">
        <f>IF(ISNA(VLOOKUP($A66,'Données projet'!$A$382:$I$402,6,0)),0%,VLOOKUP($A66,'Données projet'!$A$382:$I$402,6,0)*VLOOKUP('Données projet'!$B$22,Paramètres!$A$1:$I$89,7,0))</f>
        <v>0</v>
      </c>
      <c r="KL66" s="16">
        <f>IF(ISNA(VLOOKUP($A66,'Données projet'!$A$382:$I$402,7,0)),0%,VLOOKUP($A66,'Données projet'!$A$382:$I$402,7,0))</f>
        <v>0</v>
      </c>
      <c r="KM66" s="21">
        <f>EXP(-LN(2)/35)*KM65+(1-EXP(-LN(2)/35))/(LN(2)/35)*KI66*KJ66*VLOOKUP('Données projet'!$B$22,Paramètres!$A$1:$I$89,3,0)*0.475*44/12</f>
        <v>11.478991839116169</v>
      </c>
      <c r="KN66" s="21">
        <f>EXP(-LN(2)/25)*KN65+(1-EXP(-LN(2)/25))/(LN(2)/25)*Calculateur!KI66*Calculateur!KK66*VLOOKUP('Données projet'!$B$22,Paramètres!$A$1:$I$89,3,0)*0.475*44/12</f>
        <v>0</v>
      </c>
      <c r="KO66" s="21">
        <f>EXP(-LN(2)/2)*KO65+(1-EXP(-LN(2)/2))/(LN(2)/2)*KI66*KL66*VLOOKUP('Données projet'!$B$22,Paramètres!$A$1:$I$89,3,0)*0.475*44/12</f>
        <v>0</v>
      </c>
      <c r="KP66" s="22">
        <f t="shared" si="98"/>
        <v>11.478991839116169</v>
      </c>
      <c r="KQ66" s="74">
        <f>('Scénario référence'!$F$8+'Scénario référence'!$F$9+'Scénario référence'!$B$17+'Scénario référence'!$B$9+'Scénario référence'!$B$10)*70+IF((45+25*(1-EXP(-0.0175*$A66)))&lt;70,'Scénario référence'!$B$16*(45+25*(1-EXP(-0.0175*$A66))),70*'Scénario référence'!$B$16)+IF((32+38*(1-EXP(-0.0175*$A66)))&lt;70,'Scénario référence'!$B$18*(32+38*(1-EXP(-0.0175*$A66))),70*'Scénario référence'!$B$18)</f>
        <v>70</v>
      </c>
      <c r="KR66" s="12">
        <f>IF($A66&gt;30,10,('Scénario référence'!$B$16+'Scénario référence'!$B$17+'Scénario référence'!$B$18+'Scénario référence'!$B$9+'Scénario référence'!$B$10)*$A66*10/30+('Scénario référence'!$F$8+'Scénario référence'!$F$9)*10)</f>
        <v>10</v>
      </c>
      <c r="KS66" s="12" t="e">
        <f>VLOOKUP($A66,'Données projet'!$A$408:$I$428,2,0)</f>
        <v>#N/A</v>
      </c>
      <c r="KT66" s="12" t="e">
        <f>VLOOKUP($A66,'Données projet'!$A$408:$I$428,9,0)</f>
        <v>#N/A</v>
      </c>
      <c r="KU66" s="12">
        <f t="array" ref="KU66">INDEX(KT:KT,MIN(IF(ISNUMBER(KT66:KT262),ROW(KT66:KT262),"")))</f>
        <v>4.4000000000000004</v>
      </c>
      <c r="KV66" s="12">
        <f>IF('Données projet'!$A$408&gt;35,KV65+KU66-LD65,IF($A66&lt;'Données projet'!$A$408,$CQ$205^$A66,IF($A66='Données projet'!$A$408,'Données projet'!$B$408,KV65+KU66-LD65)))</f>
        <v>246.19999999999987</v>
      </c>
      <c r="KW66" s="17">
        <f>KV66*VLOOKUP('Données projet'!$B$23,Paramètres!$A$1:$I$89,3,0)*VLOOKUP('Données projet'!$B$23,Paramètres!$A$1:$I$89,5,0)</f>
        <v>215.08031999999994</v>
      </c>
      <c r="KX66" s="13">
        <f t="shared" si="99"/>
        <v>53.044214230061456</v>
      </c>
      <c r="KY66" s="14">
        <f t="shared" si="43"/>
        <v>466.98356378402354</v>
      </c>
      <c r="KZ66" s="59">
        <f t="shared" si="44"/>
        <v>760.3168971173568</v>
      </c>
      <c r="LA66" s="59">
        <f ca="1">AVERAGE(OFFSET($KZ$3,0,0,'Données projet'!$E$23+1,1))-AVERAGE(OFFSET($H$3,0,0,'Données projet'!$E$23+1,1))</f>
        <v>248.33596943633819</v>
      </c>
      <c r="LB66" s="59">
        <f t="shared" si="100"/>
        <v>242.34010522344573</v>
      </c>
      <c r="LC66" s="15">
        <f>IF(ISNA(VLOOKUP($A66,'Données projet'!$A$408:$I$428,3,0)),0,VLOOKUP($A66,'Données projet'!$A$408:$I$428,3,0))</f>
        <v>0</v>
      </c>
      <c r="LD66" s="15">
        <f>IF(ISNA(VLOOKUP($A66,'Données projet'!$A$408:$I$428,4,0)),0,VLOOKUP($A66,'Données projet'!$A$408:$I$428,4,0))</f>
        <v>0</v>
      </c>
      <c r="LE66" s="16">
        <f>IF(ISNA(VLOOKUP($A66,'Données projet'!$A$408:$I$428,5,0)),0%,VLOOKUP($A66,'Données projet'!$A$408:$I$428,5,0)*VLOOKUP('Données projet'!$B$23,Paramètres!$A$1:$I$89,7,0))</f>
        <v>0</v>
      </c>
      <c r="LF66" s="16">
        <f>IF(ISNA(VLOOKUP($A66,'Données projet'!$A$408:$I$428,6,0)),0%,VLOOKUP($A66,'Données projet'!$A$408:$I$428,6,0)*VLOOKUP('Données projet'!$B$23,Paramètres!$A$1:$I$89,7,0))</f>
        <v>0</v>
      </c>
      <c r="LG66" s="16">
        <f>IF(ISNA(VLOOKUP($A66,'Données projet'!$A$408:$I$428,7,0)),0%,VLOOKUP($A66,'Données projet'!$A$408:$I$428,7,0))</f>
        <v>0</v>
      </c>
      <c r="LH66" s="21">
        <f>EXP(-LN(2)/35)*LH65+(1-EXP(-LN(2)/35))/(LN(2)/35)*LD66*LE66*VLOOKUP('Données projet'!$B$23,Paramètres!$A$1:$I$89,3,0)*0.475*44/12</f>
        <v>19.413357908814572</v>
      </c>
      <c r="LI66" s="21">
        <f>EXP(-LN(2)/25)*LI65+(1-EXP(-LN(2)/25))/(LN(2)/25)*Calculateur!LD66*Calculateur!LF66*VLOOKUP('Données projet'!$B$23,Paramètres!$A$1:$I$89,3,0)*0.475*44/12</f>
        <v>9.6923231478738145</v>
      </c>
      <c r="LJ66" s="21">
        <f>EXP(-LN(2)/2)*LJ65+(1-EXP(-LN(2)/2))/(LN(2)/2)*LD66*LG66*VLOOKUP('Données projet'!$B$23,Paramètres!$A$1:$I$89,3,0)*0.475*44/12</f>
        <v>0</v>
      </c>
      <c r="LK66" s="22">
        <f t="shared" si="101"/>
        <v>29.105681056688386</v>
      </c>
      <c r="LL66" s="74">
        <f>('Scénario référence'!$F$8+'Scénario référence'!$F$9+'Scénario référence'!$B$17+'Scénario référence'!$B$9+'Scénario référence'!$B$10)*70+IF((45+25*(1-EXP(-0.0175*$A66)))&lt;70,'Scénario référence'!$B$16*(45+25*(1-EXP(-0.0175*$A66))),70*'Scénario référence'!$B$16)+IF((32+38*(1-EXP(-0.0175*$A66)))&lt;70,'Scénario référence'!$B$18*(32+38*(1-EXP(-0.0175*$A66))),70*'Scénario référence'!$B$18)</f>
        <v>70</v>
      </c>
      <c r="LM66" s="12">
        <f>IF($A66&gt;30,10,('Scénario référence'!$B$16+'Scénario référence'!$B$17+'Scénario référence'!$B$18+'Scénario référence'!$B$9+'Scénario référence'!$B$10)*$A66*10/30+('Scénario référence'!$F$8+'Scénario référence'!$F$9)*10)</f>
        <v>10</v>
      </c>
      <c r="LN66" s="12" t="e">
        <f>VLOOKUP($A66,'Données projet'!$A$434:$I$454,2,0)</f>
        <v>#N/A</v>
      </c>
      <c r="LO66" s="12" t="e">
        <f>VLOOKUP($A66,'Données projet'!$A$434:$I$454,9,0)</f>
        <v>#N/A</v>
      </c>
      <c r="LP66" s="12">
        <f t="array" ref="LP66">INDEX(LO:LO,MIN(IF(ISNUMBER(LO66:LO262),ROW(LO66:LO262),"")))</f>
        <v>5.9431089743589762</v>
      </c>
      <c r="LQ66" s="12">
        <f>IF('Données projet'!$A$434&gt;35,LQ65+LP66-LY65,IF($A66&lt;'Données projet'!$A$434,$CQ$205^$A66,IF($A66='Données projet'!$A$434,'Données projet'!$B$434,LQ65+LP66-LY65)))</f>
        <v>144.08653846153845</v>
      </c>
      <c r="LR66" s="17">
        <f>LQ66*VLOOKUP('Données projet'!$B$24,Paramètres!$A$1:$I$89,3,0)*VLOOKUP('Données projet'!$B$24,Paramètres!$A$1:$I$89,5,0)</f>
        <v>146.10374999999999</v>
      </c>
      <c r="LS66" s="13">
        <f t="shared" si="102"/>
        <v>37.691797153104957</v>
      </c>
      <c r="LT66" s="14">
        <f t="shared" si="46"/>
        <v>320.11057795832443</v>
      </c>
      <c r="LU66" s="59">
        <f t="shared" si="103"/>
        <v>613.44391129165774</v>
      </c>
      <c r="LV66" s="59">
        <f ca="1">AVERAGE(OFFSET($LU$3,0,0,'Données projet'!$E$24+1,1))-AVERAGE(OFFSET($H$3,0,0,'Données projet'!$E$24+1,1))</f>
        <v>260.52627655062872</v>
      </c>
      <c r="LW66" s="59">
        <f t="shared" si="104"/>
        <v>159.20429420478047</v>
      </c>
      <c r="LX66" s="15">
        <f>IF(ISNA(VLOOKUP($A66,'Données projet'!$A$434:$I$454,3,0)),0,VLOOKUP($A66,'Données projet'!$A$434:$I$454,3,0))</f>
        <v>0</v>
      </c>
      <c r="LY66" s="15">
        <f>IF(ISNA(VLOOKUP($A66,'Données projet'!$A$434:$I$454,4,0)),0,VLOOKUP($A66,'Données projet'!$A$434:$I$454,4,0))</f>
        <v>0</v>
      </c>
      <c r="LZ66" s="16">
        <f>IF(ISNA(VLOOKUP($A66,'Données projet'!$A$434:$I$454,5,0)),0%,VLOOKUP($A66,'Données projet'!$A$434:$I$454,5,0)*VLOOKUP('Données projet'!$B$24,Paramètres!$A$1:$I$89,7,0))</f>
        <v>0</v>
      </c>
      <c r="MA66" s="16">
        <f>IF(ISNA(VLOOKUP($A66,'Données projet'!$A$434:$I$454,6,0)),0%,VLOOKUP($A66,'Données projet'!$A$434:$I$454,6,0)*VLOOKUP('Données projet'!$B$24,Paramètres!$A$1:$I$89,7,0))</f>
        <v>0</v>
      </c>
      <c r="MB66" s="16">
        <f>IF(ISNA(VLOOKUP($A66,'Données projet'!$A$434:$I$454,7,0)),0%,VLOOKUP($A66,'Données projet'!$A$434:$I$454,7,0))</f>
        <v>0</v>
      </c>
      <c r="MC66" s="21">
        <f>EXP(-LN(2)/35)*MC65+(1-EXP(-LN(2)/35))/(LN(2)/35)*LY66*LZ66*VLOOKUP('Données projet'!$B$24,Paramètres!$A$1:$I$89,3,0)*0.475*44/12</f>
        <v>0</v>
      </c>
      <c r="MD66" s="21">
        <f>EXP(-LN(2)/25)*MD65+(1-EXP(-LN(2)/25))/(LN(2)/25)*Calculateur!LY66*Calculateur!MA66*VLOOKUP('Données projet'!$B$24,Paramètres!$A$1:$I$89,3,0)*0.475*44/12</f>
        <v>0</v>
      </c>
      <c r="ME66" s="21">
        <f>EXP(-LN(2)/2)*ME65+(1-EXP(-LN(2)/2))/(LN(2)/2)*LY66*MB66*VLOOKUP('Données projet'!$B$24,Paramètres!$A$1:$I$89,3,0)*0.475*44/12</f>
        <v>0</v>
      </c>
      <c r="MF66" s="22">
        <f t="shared" si="105"/>
        <v>0</v>
      </c>
      <c r="MG66" s="74">
        <f>('Scénario référence'!$F$8+'Scénario référence'!$F$9+'Scénario référence'!$B$17+'Scénario référence'!$B$9+'Scénario référence'!$B$10)*70+IF((45+25*(1-EXP(-0.0175*$A66)))&lt;70,'Scénario référence'!$B$16*(45+25*(1-EXP(-0.0175*$A66))),70*'Scénario référence'!$B$16)+IF((32+38*(1-EXP(-0.0175*$A66)))&lt;70,'Scénario référence'!$B$18*(32+38*(1-EXP(-0.0175*$A66))),70*'Scénario référence'!$B$18)</f>
        <v>70</v>
      </c>
      <c r="MH66" s="12">
        <f>IF($A66&gt;30,10,('Scénario référence'!$B$16+'Scénario référence'!$B$17+'Scénario référence'!$B$18+'Scénario référence'!$B$9+'Scénario référence'!$B$10)*$A66*10/30+('Scénario référence'!$F$8+'Scénario référence'!$F$9)*10)</f>
        <v>10</v>
      </c>
      <c r="MI66" s="12" t="e">
        <f>VLOOKUP($A66,'Données projet'!$A$460:$I$480,2,0)</f>
        <v>#N/A</v>
      </c>
      <c r="MJ66" s="12" t="e">
        <f>VLOOKUP($A66,'Données projet'!$A$460:$I$480,9,0)</f>
        <v>#N/A</v>
      </c>
      <c r="MK66" s="12">
        <f t="array" ref="MK66">INDEX(MJ:MJ,MIN(IF(ISNUMBER(MJ66:MJ262),ROW(MJ66:MJ262),"")))</f>
        <v>0</v>
      </c>
      <c r="ML66" s="12">
        <f>IF('Données projet'!$A$460&gt;35,ML65+MK66-MT65,IF($A66&lt;'Données projet'!$A$460,$CQ$205^$A66,IF($A66='Données projet'!$A$460,'Données projet'!$B$460,ML65+MK66-MT65)))</f>
        <v>0</v>
      </c>
      <c r="MM66" s="17" t="e">
        <f>ML66*VLOOKUP('Données projet'!$B$25,Paramètres!$A$1:$I$89,3,0)*VLOOKUP('Données projet'!$B$25,Paramètres!$A$1:$I$89,5,0)</f>
        <v>#N/A</v>
      </c>
      <c r="MN66" s="13" t="e">
        <f t="shared" si="106"/>
        <v>#N/A</v>
      </c>
      <c r="MO66" s="14" t="e">
        <f t="shared" si="49"/>
        <v>#N/A</v>
      </c>
      <c r="MP66" s="59" t="e">
        <f t="shared" si="50"/>
        <v>#N/A</v>
      </c>
      <c r="MQ66" s="20" t="e">
        <f ca="1">AVERAGE(OFFSET($MP$3,0,0,'Données projet'!$E$25+1,1))-AVERAGE(OFFSET($H$3,0,0,'Données projet'!$E$25+1,1))</f>
        <v>#N/A</v>
      </c>
      <c r="MR66" s="59" t="e">
        <f t="shared" si="107"/>
        <v>#N/A</v>
      </c>
      <c r="MS66" s="15">
        <f>IF(ISNA(VLOOKUP($A66,'Données projet'!$A$460:$I$480,3,0)),0,VLOOKUP($A66,'Données projet'!$A$460:$I$480,3,0))</f>
        <v>0</v>
      </c>
      <c r="MT66" s="15">
        <f>IF(ISNA(VLOOKUP($A66,'Données projet'!$A$460:$I$480,4,0)),0,VLOOKUP($A66,'Données projet'!$A$460:$I$480,4,0))</f>
        <v>0</v>
      </c>
      <c r="MU66" s="16">
        <f>IF(ISNA(VLOOKUP($A66,'Données projet'!$A$460:$I$480,5,0)),0%,VLOOKUP($A66,'Données projet'!$A$460:$I$480,5,0)*VLOOKUP('Données projet'!$B$25,Paramètres!$A$1:$I$89,7,0))</f>
        <v>0</v>
      </c>
      <c r="MV66" s="16">
        <f>IF(ISNA(VLOOKUP($A66,'Données projet'!$A$460:$I$480,6,0)),0%,VLOOKUP($A66,'Données projet'!$A$460:$I$480,6,0)*VLOOKUP('Données projet'!$B$25,Paramètres!$A$1:$I$89,7,0))</f>
        <v>0</v>
      </c>
      <c r="MW66" s="16">
        <f>IF(ISNA(VLOOKUP($A66,'Données projet'!$A$460:$I$480,7,0)),0%,VLOOKUP($A66,'Données projet'!$A$460:$I$480,7,0))</f>
        <v>0</v>
      </c>
      <c r="MX66" s="21" t="e">
        <f>EXP(-LN(2)/35)*MX65+(1-EXP(-LN(2)/35))/(LN(2)/35)*MT66*MU66*VLOOKUP('Données projet'!$B$25,Paramètres!$A$1:$I$89,3,0)*0.475*44/12</f>
        <v>#N/A</v>
      </c>
      <c r="MY66" s="21" t="e">
        <f>EXP(-LN(2)/25)*MY65+(1-EXP(-LN(2)/25))/(LN(2)/25)*Calculateur!MT66*Calculateur!MV66*VLOOKUP('Données projet'!$B$25,Paramètres!$A$1:$I$89,3,0)*0.475*44/12</f>
        <v>#N/A</v>
      </c>
      <c r="MZ66" s="21" t="e">
        <f>EXP(-LN(2)/2)*MZ65+(1-EXP(-LN(2)/2))/(LN(2)/2)*MT66*MW66*VLOOKUP('Données projet'!$B$25,Paramètres!$A$1:$I$89,3,0)*0.475*44/12</f>
        <v>#N/A</v>
      </c>
      <c r="NA66" s="22" t="e">
        <f t="shared" si="108"/>
        <v>#N/A</v>
      </c>
      <c r="NB66" s="74">
        <f>('Scénario référence'!$F$8+'Scénario référence'!$F$9+'Scénario référence'!$B$17+'Scénario référence'!$B$9+'Scénario référence'!$B$10)*70+IF((45+25*(1-EXP(-0.0175*$A66)))&lt;70,'Scénario référence'!$B$16*(45+25*(1-EXP(-0.0175*$A66))),70*'Scénario référence'!$B$16)+IF((32+38*(1-EXP(-0.0175*$A66)))&lt;70,'Scénario référence'!$B$18*(32+38*(1-EXP(-0.0175*$A66))),70*'Scénario référence'!$B$18)</f>
        <v>70</v>
      </c>
      <c r="NC66" s="12">
        <f>IF($A66&gt;30,10,('Scénario référence'!$B$16+'Scénario référence'!$B$17+'Scénario référence'!$B$18+'Scénario référence'!$B$9+'Scénario référence'!$B$10)*$A66*10/30+('Scénario référence'!$F$8+'Scénario référence'!$F$9)*10)</f>
        <v>10</v>
      </c>
      <c r="ND66" s="12" t="e">
        <f>VLOOKUP($A66,'Données projet'!$A$486:$I$506,2,0)</f>
        <v>#N/A</v>
      </c>
      <c r="NE66" s="12" t="e">
        <f>VLOOKUP($A66,'Données projet'!$A$486:$I$506,9,0)</f>
        <v>#N/A</v>
      </c>
      <c r="NF66" s="12">
        <f t="array" ref="NF66">INDEX(NE:NE,MIN(IF(ISNUMBER(NE66:NE262),ROW(NE66:NE262),"")))</f>
        <v>0</v>
      </c>
      <c r="NG66" s="12">
        <f>IF('Données projet'!$A$486&gt;35,NG65+NF66-NO65,IF($A66&lt;'Données projet'!$A$486,$CQ$205^$A66,IF($A66='Données projet'!$A$486,'Données projet'!$B$486,NG65+NF66-NO65)))</f>
        <v>0</v>
      </c>
      <c r="NH66" s="17" t="e">
        <f>NG66*VLOOKUP('Données projet'!$B$26,Paramètres!$A$1:$I$89,3,0)*VLOOKUP('Données projet'!$B$26,Paramètres!$A$1:$I$89,5,0)</f>
        <v>#N/A</v>
      </c>
      <c r="NI66" s="13" t="e">
        <f t="shared" si="109"/>
        <v>#N/A</v>
      </c>
      <c r="NJ66" s="14" t="e">
        <f t="shared" si="52"/>
        <v>#N/A</v>
      </c>
      <c r="NK66" s="59" t="e">
        <f t="shared" si="53"/>
        <v>#N/A</v>
      </c>
      <c r="NL66" s="20" t="e">
        <f ca="1">AVERAGE(OFFSET($NK$3,0,0,'Données projet'!$E$26+1,1))-AVERAGE(OFFSET($H$3,0,0,'Données projet'!$E$26+1,1))</f>
        <v>#N/A</v>
      </c>
      <c r="NM66" s="59" t="e">
        <f t="shared" si="110"/>
        <v>#N/A</v>
      </c>
      <c r="NN66" s="15">
        <f>IF(ISNA(VLOOKUP($A66,'Données projet'!$A$486:$I$506,3,0)),0,VLOOKUP($A66,'Données projet'!$A$486:$I$506,3,0))</f>
        <v>0</v>
      </c>
      <c r="NO66" s="15">
        <f>IF(ISNA(VLOOKUP($A66,'Données projet'!$A$486:$I$506,4,0)),0,VLOOKUP($A66,'Données projet'!$A$486:$I$506,4,0))</f>
        <v>0</v>
      </c>
      <c r="NP66" s="16">
        <f>IF(ISNA(VLOOKUP($A66,'Données projet'!$A$486:$I$506,5,0)),0%,VLOOKUP($A66,'Données projet'!$A$486:$I$506,5,0)*VLOOKUP('Données projet'!$B$26,Paramètres!$A$1:$I$89,7,0))</f>
        <v>0</v>
      </c>
      <c r="NQ66" s="16">
        <f>IF(ISNA(VLOOKUP($A66,'Données projet'!$A$486:$I$506,6,0)),0%,VLOOKUP($A66,'Données projet'!$A$486:$I$506,6,0)*VLOOKUP('Données projet'!$B$26,Paramètres!$A$1:$I$89,7,0))</f>
        <v>0</v>
      </c>
      <c r="NR66" s="16">
        <f>IF(ISNA(VLOOKUP($A66,'Données projet'!$A$486:$I$506,7,0)),0%,VLOOKUP($A66,'Données projet'!$A$486:$I$506,7,0))</f>
        <v>0</v>
      </c>
      <c r="NS66" s="21" t="e">
        <f>EXP(-LN(2)/35)*NS65+(1-EXP(-LN(2)/35))/(LN(2)/35)*NO66*NP66*VLOOKUP('Données projet'!$B$26,Paramètres!$A$1:$I$89,3,0)*0.475*44/12</f>
        <v>#N/A</v>
      </c>
      <c r="NT66" s="21" t="e">
        <f>EXP(-LN(2)/25)*NT65+(1-EXP(-LN(2)/25))/(LN(2)/25)*Calculateur!NO66*Calculateur!NQ66*VLOOKUP('Données projet'!$B$26,Paramètres!$A$1:$I$89,3,0)*0.475*44/12</f>
        <v>#N/A</v>
      </c>
      <c r="NU66" s="21" t="e">
        <f>EXP(-LN(2)/2)*NU65+(1-EXP(-LN(2)/2))/(LN(2)/2)*NO66*NR66*VLOOKUP('Données projet'!$B$26,Paramètres!$A$1:$I$89,3,0)*0.475*44/12</f>
        <v>#N/A</v>
      </c>
      <c r="NV66" s="22" t="e">
        <f t="shared" si="111"/>
        <v>#N/A</v>
      </c>
      <c r="NW66" s="74">
        <f>('Scénario référence'!$F$8+'Scénario référence'!$F$9+'Scénario référence'!$B$17+'Scénario référence'!$B$9+'Scénario référence'!$B$10)*70+IF((45+25*(1-EXP(-0.0175*$A66)))&lt;70,'Scénario référence'!$B$16*(45+25*(1-EXP(-0.0175*$A66))),70*'Scénario référence'!$B$16)+IF((32+38*(1-EXP(-0.0175*$A66)))&lt;70,'Scénario référence'!$B$18*(32+38*(1-EXP(-0.0175*$A66))),70*'Scénario référence'!$B$18)</f>
        <v>70</v>
      </c>
      <c r="NX66" s="12">
        <f>IF($A66&gt;30,10,('Scénario référence'!$B$16+'Scénario référence'!$B$17+'Scénario référence'!$B$18+'Scénario référence'!$B$9+'Scénario référence'!$B$10)*$A66*10/30+('Scénario référence'!$F$8+'Scénario référence'!$F$9)*10)</f>
        <v>10</v>
      </c>
      <c r="NY66" s="12" t="e">
        <f>VLOOKUP($A66,'Données projet'!$A$512:$I$532,2,0)</f>
        <v>#N/A</v>
      </c>
      <c r="NZ66" s="12" t="e">
        <f>VLOOKUP($A66,'Données projet'!$A$512:$I$532,9,0)</f>
        <v>#N/A</v>
      </c>
      <c r="OA66" s="12">
        <f t="array" ref="OA66">INDEX(NZ:NZ,MIN(IF(ISNUMBER(NZ66:NZ262),ROW(NZ66:NZ262),"")))</f>
        <v>0</v>
      </c>
      <c r="OB66" s="12">
        <f>IF('Données projet'!$A$512&gt;35,OB65+OA66-OJ65,IF($A66&lt;'Données projet'!$A$512,$CQ$205^$A66,IF($A66='Données projet'!$A$512,'Données projet'!$B$512,OB65+OA66-OJ65)))</f>
        <v>0</v>
      </c>
      <c r="OC66" s="17" t="e">
        <f>OB66*VLOOKUP('Données projet'!$B$27,Paramètres!$A$1:$I$89,3,0)*VLOOKUP('Données projet'!$B$27,Paramètres!$A$1:$I$89,5,0)</f>
        <v>#N/A</v>
      </c>
      <c r="OD66" s="13" t="e">
        <f t="shared" si="112"/>
        <v>#N/A</v>
      </c>
      <c r="OE66" s="14" t="e">
        <f t="shared" si="55"/>
        <v>#N/A</v>
      </c>
      <c r="OF66" s="59" t="e">
        <f t="shared" si="56"/>
        <v>#N/A</v>
      </c>
      <c r="OG66" s="20" t="e">
        <f ca="1">AVERAGE(OFFSET($OF$3,0,0,'Données projet'!$E$27+1,1))-AVERAGE(OFFSET($H$3,0,0,'Données projet'!$E$27+1,1))</f>
        <v>#N/A</v>
      </c>
      <c r="OH66" s="59" t="e">
        <f t="shared" si="113"/>
        <v>#N/A</v>
      </c>
      <c r="OI66" s="15">
        <f>IF(ISNA(VLOOKUP($A66,'Données projet'!$A$512:$I$532,3,0)),0,VLOOKUP($A66,'Données projet'!$A$512:$I$532,3,0))</f>
        <v>0</v>
      </c>
      <c r="OJ66" s="15">
        <f>IF(ISNA(VLOOKUP($A66,'Données projet'!$A$512:$I$532,4,0)),0,VLOOKUP($A66,'Données projet'!$A$512:$I$532,4,0))</f>
        <v>0</v>
      </c>
      <c r="OK66" s="16">
        <f>IF(ISNA(VLOOKUP($A66,'Données projet'!$A$512:$I$532,5,0)),0%,VLOOKUP($A66,'Données projet'!$A$512:$I$532,5,0)*VLOOKUP('Données projet'!$B$27,Paramètres!$A$1:$I$89,7,0))</f>
        <v>0</v>
      </c>
      <c r="OL66" s="16">
        <f>IF(ISNA(VLOOKUP($A66,'Données projet'!$A$512:$I$532,6,0)),0%,VLOOKUP($A66,'Données projet'!$A$512:$I$532,6,0)*VLOOKUP('Données projet'!$B$27,Paramètres!$A$1:$I$89,7,0))</f>
        <v>0</v>
      </c>
      <c r="OM66" s="16">
        <f>IF(ISNA(VLOOKUP($A66,'Données projet'!$A$512:$I$532,7,0)),0%,VLOOKUP($A66,'Données projet'!$A$512:$I$532,7,0))</f>
        <v>0</v>
      </c>
      <c r="ON66" s="21" t="e">
        <f>EXP(-LN(2)/35)*ON65+(1-EXP(-LN(2)/35))/(LN(2)/35)*OJ66*OK66*VLOOKUP('Données projet'!$B$27,Paramètres!$A$1:$I$89,3,0)*0.475*44/12</f>
        <v>#N/A</v>
      </c>
      <c r="OO66" s="21" t="e">
        <f>EXP(-LN(2)/25)*OO65+(1-EXP(-LN(2)/25))/(LN(2)/25)*Calculateur!OJ66*Calculateur!OL66*VLOOKUP('Données projet'!$B$27,Paramètres!$A$1:$I$89,3,0)*0.475*44/12</f>
        <v>#N/A</v>
      </c>
      <c r="OP66" s="21" t="e">
        <f>EXP(-LN(2)/2)*OP65+(1-EXP(-LN(2)/2))/(LN(2)/2)*OJ66*OM66*VLOOKUP('Données projet'!$B$27,Paramètres!$A$1:$I$89,3,0)*0.475*44/12</f>
        <v>#N/A</v>
      </c>
      <c r="OQ66" s="22" t="e">
        <f t="shared" si="114"/>
        <v>#N/A</v>
      </c>
      <c r="OR66" s="74">
        <f>('Scénario référence'!$F$8+'Scénario référence'!$F$9+'Scénario référence'!$B$17+'Scénario référence'!$B$9+'Scénario référence'!$B$10)*70+IF((45+25*(1-EXP(-0.0175*$A66)))&lt;70,'Scénario référence'!$B$16*(45+25*(1-EXP(-0.0175*$A66))),70*'Scénario référence'!$B$16)+IF((32+38*(1-EXP(-0.0175*$A66)))&lt;70,'Scénario référence'!$B$18*(32+38*(1-EXP(-0.0175*$A66))),70*'Scénario référence'!$B$18)</f>
        <v>70</v>
      </c>
      <c r="OS66" s="12">
        <f>IF($A66&gt;30,10,('Scénario référence'!$B$16+'Scénario référence'!$B$17+'Scénario référence'!$B$18+'Scénario référence'!$B$9+'Scénario référence'!$B$10)*$A66*10/30+('Scénario référence'!$F$8+'Scénario référence'!$F$9)*10)</f>
        <v>10</v>
      </c>
      <c r="OT66" s="12" t="e">
        <f>VLOOKUP($A66,'Données projet'!$A$538:$I$558,2,0)</f>
        <v>#N/A</v>
      </c>
      <c r="OU66" s="12" t="e">
        <f>VLOOKUP($A66,'Données projet'!$A$538:$I$558,9,0)</f>
        <v>#N/A</v>
      </c>
      <c r="OV66" s="12">
        <f t="array" ref="OV66">INDEX(OU:OU,MIN(IF(ISNUMBER(OU66:OU262),ROW(OU66:OU262),"")))</f>
        <v>0</v>
      </c>
      <c r="OW66" s="12">
        <f>IF('Données projet'!$A$538&gt;35,OW65+OV66-PE65,IF($A66&lt;'Données projet'!$A$538,$CQ$205^$A66,IF($A66='Données projet'!$A$538,'Données projet'!$B$538,OW65+OV66-PE65)))</f>
        <v>0</v>
      </c>
      <c r="OX66" s="17" t="e">
        <f>OW66*VLOOKUP('Données projet'!$B$28,Paramètres!$A$1:$I$89,3,0)*VLOOKUP('Données projet'!$B$28,Paramètres!$A$1:$I$89,5,0)</f>
        <v>#N/A</v>
      </c>
      <c r="OY66" s="13" t="e">
        <f t="shared" si="115"/>
        <v>#N/A</v>
      </c>
      <c r="OZ66" s="14" t="e">
        <f t="shared" si="58"/>
        <v>#N/A</v>
      </c>
      <c r="PA66" s="59" t="e">
        <f t="shared" si="59"/>
        <v>#N/A</v>
      </c>
      <c r="PB66" s="20" t="e">
        <f ca="1">AVERAGE(OFFSET($PA$3,0,0,'Données projet'!$E$28+1,1))-AVERAGE(OFFSET($H$3,0,0,'Données projet'!$E$28+1,1))</f>
        <v>#N/A</v>
      </c>
      <c r="PC66" s="59" t="e">
        <f t="shared" si="116"/>
        <v>#N/A</v>
      </c>
      <c r="PD66" s="15">
        <f>IF(ISNA(VLOOKUP($A66,'Données projet'!$A$538:$I$558,3,0)),0,VLOOKUP($A66,'Données projet'!$A$538:$I$558,3,0))</f>
        <v>0</v>
      </c>
      <c r="PE66" s="15">
        <f>IF(ISNA(VLOOKUP($A66,'Données projet'!$A$538:$I$558,4,0)),0,VLOOKUP($A66,'Données projet'!$A$538:$I$558,4,0))</f>
        <v>0</v>
      </c>
      <c r="PF66" s="16">
        <f>IF(ISNA(VLOOKUP($A66,'Données projet'!$A$538:$I$558,5,0)),0%,VLOOKUP($A66,'Données projet'!$A$538:$I$558,5,0)*VLOOKUP('Données projet'!$B$28,Paramètres!$A$1:$I$89,7,0))</f>
        <v>0</v>
      </c>
      <c r="PG66" s="16">
        <f>IF(ISNA(VLOOKUP($A66,'Données projet'!$A$538:$I$558,6,0)),0%,VLOOKUP($A66,'Données projet'!$A$538:$I$558,6,0)*VLOOKUP('Données projet'!$B$28,Paramètres!$A$1:$I$89,7,0))</f>
        <v>0</v>
      </c>
      <c r="PH66" s="16">
        <f>IF(ISNA(VLOOKUP($A66,'Données projet'!$A$538:$I$558,7,0)),0%,VLOOKUP($A66,'Données projet'!$A$538:$I$558,7,0))</f>
        <v>0</v>
      </c>
      <c r="PI66" s="21" t="e">
        <f>EXP(-LN(2)/35)*PI65+(1-EXP(-LN(2)/35))/(LN(2)/35)*PE66*PF66*VLOOKUP('Données projet'!$B$28,Paramètres!$A$1:$I$89,3,0)*0.475*44/12</f>
        <v>#N/A</v>
      </c>
      <c r="PJ66" s="21" t="e">
        <f>EXP(-LN(2)/25)*PJ65+(1-EXP(-LN(2)/25))/(LN(2)/25)*Calculateur!PE66*Calculateur!PG66*VLOOKUP('Données projet'!$B$28,Paramètres!$A$1:$I$89,3,0)*0.475*44/12</f>
        <v>#N/A</v>
      </c>
      <c r="PK66" s="21" t="e">
        <f>EXP(-LN(2)/2)*PK65+(1-EXP(-LN(2)/2))/(LN(2)/2)*PE66*PH66*VLOOKUP('Données projet'!$B$28,Paramètres!$A$1:$I$89,3,0)*0.475*44/12</f>
        <v>#N/A</v>
      </c>
      <c r="PL66" s="22" t="e">
        <f t="shared" si="117"/>
        <v>#N/A</v>
      </c>
    </row>
    <row r="67" spans="1:428" x14ac:dyDescent="0.35">
      <c r="A67" s="10">
        <f t="shared" si="6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6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projet'!$A$45:$I$65,2,0)</f>
        <v>#N/A</v>
      </c>
      <c r="L67" s="12" t="e">
        <f>VLOOKUP(A67,'Données projet'!$A$45:$I$65,9,0)</f>
        <v>#N/A</v>
      </c>
      <c r="M67" s="12">
        <f t="array" ref="M67">INDEX(L:L,MIN(IF(ISNUMBER(L67:L263),ROW(L67:L263),"")))</f>
        <v>0</v>
      </c>
      <c r="N67" s="13">
        <f>IF('Données projet'!$A$46&gt;35,N66+M67-V66,IF(A67&lt;'Données projet'!$A$46,$K$205^A67,IF(A67='Données projet'!$A$46,'Données projet'!$B$46,N66+M67-V66)))</f>
        <v>-1.1368683772161603E-13</v>
      </c>
      <c r="O67" s="13">
        <f>N67*VLOOKUP('Données projet'!$B$9,Paramètres!$A$1:$I$89,3,0)*VLOOKUP('Données projet'!$B$9,Paramètres!$A$1:$I$89,5,0)</f>
        <v>-6.3550942286383367E-14</v>
      </c>
      <c r="P67" s="13" t="e">
        <f t="shared" si="63"/>
        <v>#NUM!</v>
      </c>
      <c r="Q67" s="20" t="e">
        <f t="shared" ref="Q67:Q98" si="119">(O67+P67)*0.475*44/12</f>
        <v>#NUM!</v>
      </c>
      <c r="R67" s="59" t="e">
        <f t="shared" ref="R67:R130" si="120">Q67+(I67+J67)*44/12</f>
        <v>#NUM!</v>
      </c>
      <c r="S67" s="59">
        <f ca="1">AVERAGE(OFFSET($R$3,0,0,'Données projet'!$E$9+1,1))-AVERAGE(OFFSET($H$3,0,0,'Données projet'!$E$9+1,1))</f>
        <v>274.57619581652199</v>
      </c>
      <c r="T67" s="59">
        <f t="shared" si="64"/>
        <v>366.15117322598775</v>
      </c>
      <c r="U67" s="15">
        <f>IF(ISNA(VLOOKUP(A67,'Données projet'!$A$45:$I$65,3,0)),0,VLOOKUP(A67,'Données projet'!$A$45:$I$65,3,0))</f>
        <v>0</v>
      </c>
      <c r="V67" s="15">
        <f>IF(ISNA(VLOOKUP(A67,'Données projet'!$A$45:$I$65,4,0)),0,VLOOKUP(A67,'Données projet'!$A$45:$I$65,4,0))</f>
        <v>0</v>
      </c>
      <c r="W67" s="16">
        <f>IF(ISNA(VLOOKUP(A67,'Données projet'!$A$45:$I$65,5,0)),0%,VLOOKUP(A67,'Données projet'!$A$45:$I$65,5,0)*VLOOKUP('Données projet'!$B$9,Paramètres!$A$1:$I$89,7,0))</f>
        <v>0</v>
      </c>
      <c r="X67" s="16">
        <f>IF(ISNA(VLOOKUP(A67,'Données projet'!$A$45:$I$65,6,0)),0%,VLOOKUP(A67,'Données projet'!$A$45:$I$65,6,0)*VLOOKUP('Données projet'!$B$9,Paramètres!$A$1:$I$89,7,0))</f>
        <v>0</v>
      </c>
      <c r="Y67" s="16">
        <f>IF(ISNA(VLOOKUP(A67,'Données projet'!$A$45:$I$65,7,0)),0%,VLOOKUP(A67,'Données projet'!$A$45:$I$65,7,0))</f>
        <v>0</v>
      </c>
      <c r="Z67" s="21">
        <f>EXP(-LN(2)/35)*Z66+(1-EXP(-LN(2)/35))/(LN(2)/35)*V67*W67*VLOOKUP('Données projet'!$B$9,Paramètres!$A$1:$I$89,3,0)*0.475*44/12</f>
        <v>189.65381363131942</v>
      </c>
      <c r="AA67" s="21">
        <f>EXP(-LN(2)/25)*AA66+(1-EXP(-LN(2)/25))/(LN(2)/25)*Calculateur!V67*Calculateur!X67*VLOOKUP('Données projet'!$B$9,Paramètres!$A$1:$I$89,3,0)*0.475*44/12</f>
        <v>44.885864074919347</v>
      </c>
      <c r="AB67" s="21">
        <f>EXP(-LN(2)/2)*AB66+(1-EXP(-LN(2)/2))/(LN(2)/2)*V67*Y67*VLOOKUP('Données projet'!$B$9,Paramètres!$A$1:$I$89,3,0)*0.475*44/12</f>
        <v>1.509730607217693</v>
      </c>
      <c r="AC67" s="22">
        <f t="shared" si="3"/>
        <v>236.04940831345647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projet'!$A$71:$I$91,2,0)</f>
        <v>#N/A</v>
      </c>
      <c r="AG67" s="12" t="e">
        <f>VLOOKUP(A67,'Données projet'!$A$71:$I$91,9,0)</f>
        <v>#N/A</v>
      </c>
      <c r="AH67" s="12">
        <f t="array" ref="AH67">INDEX(AG:AG,MIN(IF(ISNUMBER(AG67:AG263),ROW(AG67:AG263),"")))</f>
        <v>8.1001602564102626</v>
      </c>
      <c r="AI67" s="13">
        <f>IF('Données projet'!$A$72&gt;35,AI66+AH67-AQ66,IF(A67&lt;'Données projet'!$A$72,$AF$205^A67,IF(A67='Données projet'!$A$72,'Données projet'!$B$72,AI66+AH67-AQ66)))</f>
        <v>186.66426282051296</v>
      </c>
      <c r="AJ67" s="13">
        <f>AI67*VLOOKUP('Données projet'!$B$10,Paramètres!$A$1:$I$89,3,0)*VLOOKUP('Données projet'!$B$10,Paramètres!$A$1:$I$89,5,0)</f>
        <v>168.89382500000013</v>
      </c>
      <c r="AK67" s="13">
        <f t="shared" si="65"/>
        <v>42.842183132845896</v>
      </c>
      <c r="AL67" s="20">
        <f t="shared" si="4"/>
        <v>368.77354749804016</v>
      </c>
      <c r="AM67" s="59">
        <f t="shared" si="5"/>
        <v>662.10688083137347</v>
      </c>
      <c r="AN67" s="59">
        <f ca="1">AVERAGE(OFFSET($AM$3,0,0,'Données projet'!$E$10+1,1))-AVERAGE(OFFSET($H$3,0,0,'Données projet'!$E$10+1,1))</f>
        <v>270.87836509222456</v>
      </c>
      <c r="AO67" s="59">
        <f t="shared" si="66"/>
        <v>205.24998237949734</v>
      </c>
      <c r="AP67" s="15">
        <f>IF(ISNA(VLOOKUP(A67,'Données projet'!$A$71:$I$91,3,0)),0,VLOOKUP(A67,'Données projet'!$A$71:$I$91,3,0))</f>
        <v>0</v>
      </c>
      <c r="AQ67" s="15">
        <f>IF(ISNA(VLOOKUP(A67,'Données projet'!$A$71:$I$91,4,0)),0,VLOOKUP(A67,'Données projet'!$A$71:$I$91,4,0))</f>
        <v>0</v>
      </c>
      <c r="AR67" s="16">
        <f>IF(ISNA(VLOOKUP(A67,'Données projet'!$A$71:$I$91,5,0)),0%,VLOOKUP(A67,'Données projet'!$A$71:$I$91,5,0)*VLOOKUP('Données projet'!$B$10,Paramètres!$A$1:$I$89,7,0))</f>
        <v>0</v>
      </c>
      <c r="AS67" s="16">
        <f>IF(ISNA(VLOOKUP(A67,'Données projet'!$A$71:$I$91,6,0)),0%,VLOOKUP(A67,'Données projet'!$A$71:$I$91,6,0)*VLOOKUP('Données projet'!$B$10,Paramètres!$A$1:$I$89,7,0))</f>
        <v>0</v>
      </c>
      <c r="AT67" s="16">
        <f>IF(ISNA(VLOOKUP(A67,'Données projet'!$A$71:$I$91,7,0)),0%,VLOOKUP(A67,'Données projet'!$A$71:$I$91,7,0))</f>
        <v>0</v>
      </c>
      <c r="AU67" s="21">
        <f>EXP(-LN(2)/35)*AU66+(1-EXP(-LN(2)/35))/(LN(2)/35)*AQ67*AR67*VLOOKUP('Données projet'!$B$10,Paramètres!$A$1:$I$89,3,0)*0.475*44/12</f>
        <v>12.315584094667875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12.315584094667875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projet'!$A$97:$I$117,2,0)</f>
        <v>#N/A</v>
      </c>
      <c r="BB67" s="12" t="e">
        <f>VLOOKUP(A67,'Données projet'!$A$97:$I$117,9,0)</f>
        <v>#N/A</v>
      </c>
      <c r="BC67" s="12">
        <f t="array" ref="BC67">INDEX(BB:BB,MIN(IF(ISNUMBER(BB67:BB263),ROW(BB67:BB263),"")))</f>
        <v>0</v>
      </c>
      <c r="BD67" s="12">
        <f>IF('Données projet'!$A$98&gt;35,BD66+BC67-BL66,IF(A67&lt;'Données projet'!$A$98,$BA$205^A67,IF(A67='Données projet'!$A$98,'Données projet'!$B$98,BD66+BC67-BL66)))</f>
        <v>-1.1368683772161603E-13</v>
      </c>
      <c r="BE67" s="13">
        <f>BD67*VLOOKUP('Données projet'!$B$11,Paramètres!$A$1:$I$89,3,0)*VLOOKUP('Données projet'!$B$11,Paramètres!$A$1:$I$89,5,0)</f>
        <v>-5.0249582272954292E-14</v>
      </c>
      <c r="BF67" s="13" t="e">
        <f t="shared" si="6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211.31057120485542</v>
      </c>
      <c r="BJ67" s="59">
        <f t="shared" si="68"/>
        <v>283.33292006714777</v>
      </c>
      <c r="BK67" s="15">
        <f>IF(ISNA(VLOOKUP(A67,'Données projet'!$A$97:$I$117,3,0)),0,VLOOKUP(A67,'Données projet'!$A$97:$I$117,3,0))</f>
        <v>0</v>
      </c>
      <c r="BL67" s="15">
        <f>IF(ISNA(VLOOKUP(A67,'Données projet'!$A$97:$I$117,4,0)),0,VLOOKUP(A67,'Données projet'!$A$97:$I$117,4,0))</f>
        <v>0</v>
      </c>
      <c r="BM67" s="16">
        <f>IF(ISNA(VLOOKUP(A67,'Données projet'!$A$97:$I$117,5,0)),0%,VLOOKUP(A67,'Données projet'!$A$97:$I$117,5,0)*VLOOKUP('Données projet'!$B$11,Paramètres!$A$1:$I$89,7,0))</f>
        <v>0</v>
      </c>
      <c r="BN67" s="16">
        <f>IF(ISNA(VLOOKUP(A67,'Données projet'!$A$97:$I$117,6,0)),0%,VLOOKUP(A67,'Données projet'!$A$97:$I$117,6,0)*VLOOKUP('Données projet'!$B$11,Paramètres!$A$1:$I$89,7,0))</f>
        <v>0</v>
      </c>
      <c r="BO67" s="16">
        <f>IF(ISNA(VLOOKUP(A67,'Données projet'!$A$97:$I$117,7,0)),0%,VLOOKUP(A67,'Données projet'!$A$97:$I$117,7,0))</f>
        <v>0</v>
      </c>
      <c r="BP67" s="21">
        <f>EXP(-LN(2)/35)*BP66+(1-EXP(-LN(2)/35))/(LN(2)/35)*BL67*BM67*VLOOKUP('Données projet'!$B$11,Paramètres!$A$1:$I$89,3,0)*0.475*44/12</f>
        <v>149.95882938290373</v>
      </c>
      <c r="BQ67" s="21">
        <f>EXP(-LN(2)/25)*BQ66+(1-EXP(-LN(2)/25))/(LN(2)/25)*Calculateur!BL67*Calculateur!BN67*VLOOKUP('Données projet'!$B$11,Paramètres!$A$1:$I$89,3,0)*0.475*44/12</f>
        <v>35.491148338308321</v>
      </c>
      <c r="BR67" s="21">
        <f>EXP(-LN(2)/2)*BR66+(1-EXP(-LN(2)/2))/(LN(2)/2)*BL67*BO67*VLOOKUP('Données projet'!$B$11,Paramètres!$A$1:$I$89,3,0)*0.475*44/12</f>
        <v>1.1937404801256175</v>
      </c>
      <c r="BS67" s="22">
        <f t="shared" si="9"/>
        <v>186.64371820133769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projet'!$A$123:$I$143,2,0)</f>
        <v>#N/A</v>
      </c>
      <c r="BW67" s="12" t="e">
        <f>VLOOKUP(A67,'Données projet'!$A$123:$I$143,9,0)</f>
        <v>#N/A</v>
      </c>
      <c r="BX67" s="12">
        <f t="array" ref="BX67">INDEX(BW:BW,MIN(IF(ISNUMBER(BW67:BW263),ROW(BW67:BW263),"")))</f>
        <v>5.6</v>
      </c>
      <c r="BY67" s="12">
        <f>IF('Données projet'!$A$124&gt;35,BY66+BX67-CG66,IF(A67&lt;'Données projet'!$A$124,$BV$205^A67,IF(A67='Données projet'!$A$124,'Données projet'!$B$124,BY66+BX67-CG66)))</f>
        <v>226.4</v>
      </c>
      <c r="BZ67" s="13">
        <f>BY67*VLOOKUP('Données projet'!$B$12,Paramètres!$A$1:$I$89,3,0)*VLOOKUP('Données projet'!$B$12,Paramètres!$A$1:$I$89,5,0)</f>
        <v>236.63328000000004</v>
      </c>
      <c r="CA67" s="13">
        <f t="shared" si="69"/>
        <v>57.71456976922498</v>
      </c>
      <c r="CB67" s="20">
        <f t="shared" si="10"/>
        <v>512.65583834806694</v>
      </c>
      <c r="CC67" s="59">
        <f t="shared" si="11"/>
        <v>805.98917168140019</v>
      </c>
      <c r="CD67" s="59">
        <f ca="1">AVERAGE(OFFSET($CC$3,0,0,'Données projet'!$E$12+1,1))-AVERAGE(OFFSET($H$3,0,0,'Données projet'!$E$12+1,1))</f>
        <v>322.93502595881938</v>
      </c>
      <c r="CE67" s="59">
        <f t="shared" si="70"/>
        <v>302.67072119588164</v>
      </c>
      <c r="CF67" s="15">
        <f>IF(ISNA(VLOOKUP(A67,'Données projet'!$A$123:$I$143,3,0)),0,VLOOKUP(A67,'Données projet'!$A$123:$I$143,3,0))</f>
        <v>0</v>
      </c>
      <c r="CG67" s="15">
        <f>IF(ISNA(VLOOKUP(A67,'Données projet'!$A$123:$I$143,4,0)),0,VLOOKUP(A67,'Données projet'!$A$123:$I$143,4,0))</f>
        <v>0</v>
      </c>
      <c r="CH67" s="16">
        <f>IF(ISNA(VLOOKUP(A67,'Données projet'!$A$123:$I$143,5,0)),0%,VLOOKUP(A67,'Données projet'!$A$123:$I$143,5,0)*VLOOKUP('Données projet'!$B$12,Paramètres!$A$1:$I$89,7,0))</f>
        <v>0</v>
      </c>
      <c r="CI67" s="16">
        <f>IF(ISNA(VLOOKUP(A67,'Données projet'!$A$123:$I$143,6,0)),0%,VLOOKUP(A67,'Données projet'!$A$123:$I$143,6,0)*VLOOKUP('Données projet'!$B$12,Paramètres!$A$1:$I$89,7,0))</f>
        <v>0</v>
      </c>
      <c r="CJ67" s="16">
        <f>IF(ISNA(VLOOKUP(A67,'Données projet'!$A$123:$I$143,7,0)),0%,VLOOKUP(A67,'Données projet'!$A$123:$I$143,7,0))</f>
        <v>0</v>
      </c>
      <c r="CK67" s="21">
        <f>EXP(-LN(2)/35)*CK66+(1-EXP(-LN(2)/35))/(LN(2)/35)*CG67*CH67*VLOOKUP('Données projet'!$B$12,Paramètres!$A$1:$I$89,3,0)*0.475*44/12</f>
        <v>15.805645042681425</v>
      </c>
      <c r="CL67" s="21">
        <f>EXP(-LN(2)/25)*CL66+(1-EXP(-LN(2)/25))/(LN(2)/25)*Calculateur!CG67*Calculateur!CI67*VLOOKUP('Données projet'!$B$12,Paramètres!$A$1:$I$89,3,0)*0.475*44/12</f>
        <v>19.953924499041424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35.759569541722847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projet'!$A$149:$I$169,2,0)</f>
        <v>#N/A</v>
      </c>
      <c r="CR67" s="12" t="e">
        <f>VLOOKUP(A67,'Données projet'!$A$149:$I$169,9,0)</f>
        <v>#N/A</v>
      </c>
      <c r="CS67" s="12">
        <f t="array" ref="CS67">INDEX(CR:CR,MIN(IF(ISNUMBER(CR67:CR263),ROW(CR67:CR263),"")))</f>
        <v>5.9431089743589762</v>
      </c>
      <c r="CT67" s="12">
        <f>IF('Données projet'!$A$150&gt;35,CT66+CS67-DB66,IF(A67&lt;'Données projet'!$A$150,$CQ$205^A67,IF(A67='Données projet'!$A$150,'Données projet'!$B$150,CT66+CS67-DB66)))</f>
        <v>150.02964743589743</v>
      </c>
      <c r="CU67" s="17">
        <f>CT67*VLOOKUP('Données projet'!$B$13,Paramètres!$A$1:$I$89,3,0)*VLOOKUP('Données projet'!$B$13,Paramètres!$A$1:$I$89,5,0)</f>
        <v>152.13006250000001</v>
      </c>
      <c r="CV67" s="13">
        <f t="shared" si="71"/>
        <v>39.06225200390233</v>
      </c>
      <c r="CW67" s="20">
        <f t="shared" si="13"/>
        <v>332.99328109429655</v>
      </c>
      <c r="CX67" s="59">
        <f t="shared" si="14"/>
        <v>626.32661442762992</v>
      </c>
      <c r="CY67" s="59">
        <f ca="1">AVERAGE(OFFSET($CX$3,0,0,'Données projet'!$E$13+1,1))-AVERAGE(OFFSET($H$3,0,0,'Données projet'!$E$13+1,1))</f>
        <v>250.31277422753283</v>
      </c>
      <c r="CZ67" s="59">
        <f t="shared" si="72"/>
        <v>159.20429420478047</v>
      </c>
      <c r="DA67" s="15">
        <f>IF(ISNA(VLOOKUP(A67,'Données projet'!$A$149:$I$169,3,0)),0,VLOOKUP(A67,'Données projet'!$A$149:$I$169,3,0))</f>
        <v>0</v>
      </c>
      <c r="DB67" s="15">
        <f>IF(ISNA(VLOOKUP(A67,'Données projet'!$A$149:$I$169,4,0)),0,VLOOKUP(A67,'Données projet'!$A$149:$I$169,4,0))</f>
        <v>0</v>
      </c>
      <c r="DC67" s="16">
        <f>IF(ISNA(VLOOKUP(A67,'Données projet'!$A$149:$I$169,5,0)),0%,VLOOKUP(A67,'Données projet'!$A$149:$I$169,5,0)*VLOOKUP('Données projet'!$B$13,Paramètres!$A$1:$I$89,7,0))</f>
        <v>0</v>
      </c>
      <c r="DD67" s="16">
        <f>IF(ISNA(VLOOKUP(A67,'Données projet'!$A$149:$I$169,6,0)),0%,VLOOKUP(A67,'Données projet'!$A$149:$I$169,6,0)*VLOOKUP('Données projet'!$B$13,Paramètres!$A$1:$I$89,7,0))</f>
        <v>0</v>
      </c>
      <c r="DE67" s="16">
        <f>IF(ISNA(VLOOKUP(A67,'Données projet'!$A$149:$I$169,7,0)),0%,VLOOKUP(A67,'Données projet'!$A$149:$I$169,7,0))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0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projet'!$A$175:$I$195,2,0)</f>
        <v>#N/A</v>
      </c>
      <c r="DM67" s="12" t="e">
        <f>VLOOKUP(A67,'Données projet'!$A$175:$I$195,9,0)</f>
        <v>#N/A</v>
      </c>
      <c r="DN67" s="12">
        <f t="array" ref="DN67">INDEX(DM:DM,MIN(IF(ISNUMBER(DM67:DM263),ROW(DM67:DM263),"")))</f>
        <v>6</v>
      </c>
      <c r="DO67" s="12">
        <f>IF('Données projet'!$A$176&gt;35,DO66+DN67-DW66,IF(A67&lt;'Données projet'!$A$176,$DL$205^A67,IF(A67='Données projet'!$A$176,'Données projet'!$B$176,DO66+DN67-DW66)))</f>
        <v>349.99999999999972</v>
      </c>
      <c r="DP67" s="17">
        <f>DO67*VLOOKUP('Données projet'!$B$14,Paramètres!$A$1:$I$89,3,0)*VLOOKUP('Données projet'!$B$14,Paramètres!$A$1:$I$89,5,0)</f>
        <v>256.61999999999978</v>
      </c>
      <c r="DQ67" s="13">
        <f t="shared" si="73"/>
        <v>62.001350774926514</v>
      </c>
      <c r="DR67" s="20">
        <f t="shared" si="16"/>
        <v>554.9321859329965</v>
      </c>
      <c r="DS67" s="59">
        <f t="shared" si="17"/>
        <v>848.26551926632987</v>
      </c>
      <c r="DT67" s="59">
        <f ca="1">AVERAGE(OFFSET($DS$3,0,0,'Données projet'!$E$14+1,1))-AVERAGE(OFFSET($H$3,0,0,'Données projet'!$E$14+1,1))</f>
        <v>296.91321813251051</v>
      </c>
      <c r="DU67" s="59">
        <f t="shared" si="74"/>
        <v>291.0718079639509</v>
      </c>
      <c r="DV67" s="15">
        <f>IF(ISNA(VLOOKUP(A67,'Données projet'!$A$175:$I$195,3,0)),0,VLOOKUP(A67,'Données projet'!$A$175:$I$195,3,0))</f>
        <v>0</v>
      </c>
      <c r="DW67" s="15">
        <f>IF(ISNA(VLOOKUP(A67,'Données projet'!$A$175:$I$195,4,0)),0,VLOOKUP(A67,'Données projet'!$A$175:$I$195,4,0))</f>
        <v>0</v>
      </c>
      <c r="DX67" s="16">
        <f>IF(ISNA(VLOOKUP(A67,'Données projet'!$A$175:$I$195,5,0)),0%,VLOOKUP(A67,'Données projet'!$A$175:$I$195,5,0)*VLOOKUP('Données projet'!$B$14,Paramètres!$A$1:$I$89,7,0))</f>
        <v>0</v>
      </c>
      <c r="DY67" s="16">
        <f>IF(ISNA(VLOOKUP(A67,'Données projet'!$A$175:$I$195,6,0)),0%,VLOOKUP(A67,'Données projet'!$A$175:$I$195,6,0)*VLOOKUP('Données projet'!$B$14,Paramètres!$A$1:$I$89,7,0))</f>
        <v>0</v>
      </c>
      <c r="DZ67" s="16">
        <f>IF(ISNA(VLOOKUP(A67,'Données projet'!$A$175:$I$195,7,0)),0%,VLOOKUP(A67,'Données projet'!$A$175:$I$195,7,0))</f>
        <v>0</v>
      </c>
      <c r="EA67" s="21">
        <f>EXP(-LN(2)/35)*EA66+(1-EXP(-LN(2)/35))/(LN(2)/35)*DW67*DX67*VLOOKUP('Données projet'!$B$14,Paramètres!$A$1:$I$89,3,0)*0.475*44/12</f>
        <v>39.366905165760556</v>
      </c>
      <c r="EB67" s="21">
        <f>EXP(-LN(2)/25)*EB66+(1-EXP(-LN(2)/25))/(LN(2)/25)*Calculateur!DW67*Calculateur!DY67*VLOOKUP('Données projet'!$B$14,Paramètres!$A$1:$I$89,3,0)*0.475*44/12</f>
        <v>7.1099940869528089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46.476899252713366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projet'!$A$201:$I$221,2,0)</f>
        <v>#N/A</v>
      </c>
      <c r="EH67" s="12" t="e">
        <f>VLOOKUP(A67,'Données projet'!$A$201:$I$221,9,0)</f>
        <v>#N/A</v>
      </c>
      <c r="EI67" s="12">
        <f t="array" ref="EI67">INDEX(EH:EH,MIN(IF(ISNUMBER(EH67:EH263),ROW(EH67:EH263),"")))</f>
        <v>9.8224358974358967</v>
      </c>
      <c r="EJ67" s="12">
        <f>IF('Données projet'!$A$202&gt;35,EJ66+EI67-ER66,IF(A67&lt;'Données projet'!$A$202,$EG$205^A67,IF(A67='Données projet'!$A$202,'Données projet'!$B$202,EJ66+EI67-ER66)))</f>
        <v>252.4301282051284</v>
      </c>
      <c r="EK67" s="17">
        <f>EJ67*VLOOKUP('Données projet'!$B$15,Paramètres!$A$1:$I$89,3,0)*VLOOKUP('Données projet'!$B$15,Paramètres!$A$1:$I$89,5,0)</f>
        <v>118.1373000000001</v>
      </c>
      <c r="EL67" s="13">
        <f t="shared" si="75"/>
        <v>31.240160341179944</v>
      </c>
      <c r="EM67" s="20">
        <f t="shared" si="19"/>
        <v>260.16574342755524</v>
      </c>
      <c r="EN67" s="59">
        <f t="shared" si="20"/>
        <v>553.49907676088856</v>
      </c>
      <c r="EO67" s="59">
        <f ca="1">AVERAGE(OFFSET($EN$3,0,0,'Données projet'!$E$15+1,1))-AVERAGE(OFFSET($H$3,0,0,'Données projet'!$E$15+1,1))</f>
        <v>147.64256291235483</v>
      </c>
      <c r="EP67" s="59">
        <f t="shared" si="76"/>
        <v>70.859031694091868</v>
      </c>
      <c r="EQ67" s="15">
        <f>IF(ISNA(VLOOKUP(A67,'Données projet'!$A$201:$I$221,3,0)),0,VLOOKUP(A67,'Données projet'!$A$201:$I$221,3,0))</f>
        <v>0</v>
      </c>
      <c r="ER67" s="15">
        <f>IF(ISNA(VLOOKUP(A67,'Données projet'!$A$201:$I$221,4,0)),0,VLOOKUP(A67,'Données projet'!$A$201:$I$221,4,0))</f>
        <v>0</v>
      </c>
      <c r="ES67" s="16">
        <f>IF(ISNA(VLOOKUP(A67,'Données projet'!$A$201:$I$221,5,0)),0%,VLOOKUP(A67,'Données projet'!$A$201:$I$221,5,0)*VLOOKUP('Données projet'!$B$15,Paramètres!$A$1:$I$89,7,0))</f>
        <v>0</v>
      </c>
      <c r="ET67" s="16">
        <f>IF(ISNA(VLOOKUP(A67,'Données projet'!$A$201:$I$221,6,0)),0%,VLOOKUP(A67,'Données projet'!$A$201:$I$221,6,0)*VLOOKUP('Données projet'!$B$15,Paramètres!$A$1:$I$89,7,0))</f>
        <v>0</v>
      </c>
      <c r="EU67" s="16">
        <f>IF(ISNA(VLOOKUP(A67,'Données projet'!$A$201:$I$221,7,0)),0%,VLOOKUP(A67,'Données projet'!$A$201:$I$221,7,0))</f>
        <v>0</v>
      </c>
      <c r="EV67" s="21">
        <f>EXP(-LN(2)/35)*EV66+(1-EXP(-LN(2)/35))/(LN(2)/35)*ER67*ES67*VLOOKUP('Données projet'!$B$15,Paramètres!$A$1:$I$89,3,0)*0.475*44/12</f>
        <v>25.327828887550289</v>
      </c>
      <c r="EW67" s="21">
        <f>EXP(-LN(2)/25)*EW66+(1-EXP(-LN(2)/25))/(LN(2)/25)*Calculateur!ER67*Calculateur!ET67*VLOOKUP('Données projet'!$B$15,Paramètres!$A$1:$I$89,3,0)*0.475*44/12</f>
        <v>19.330221553814955</v>
      </c>
      <c r="EX67" s="21">
        <f>EXP(-LN(2)/2)*EX66+(1-EXP(-LN(2)/2))/(LN(2)/2)*ER67*EU67*VLOOKUP('Données projet'!$B$15,Paramètres!$A$1:$I$89,3,0)*0.475*44/12</f>
        <v>5.6040839712820691</v>
      </c>
      <c r="EY67" s="22">
        <f t="shared" si="21"/>
        <v>50.262134412647313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projet'!$A$227:$I$247,2,0)</f>
        <v>#N/A</v>
      </c>
      <c r="FC67" s="12" t="e">
        <f>VLOOKUP(A67,'Données projet'!$A$227:$I$247,9,0)</f>
        <v>#N/A</v>
      </c>
      <c r="FD67" s="12">
        <f t="array" ref="FD67">INDEX(FC:FC,MIN(IF(ISNUMBER(FC67:FC263),ROW(FC67:FC263),"")))</f>
        <v>4.4000000000000004</v>
      </c>
      <c r="FE67" s="12">
        <f>IF('Données projet'!$A$228&gt;35,FE66+FD67-FM66,IF(A67&lt;'Données projet'!$A$228,$FB$205^A67,IF(A67='Données projet'!$A$228,'Données projet'!$B$228,FE66+FD67-FM66)))</f>
        <v>190.6</v>
      </c>
      <c r="FF67" s="17">
        <f>FE67*VLOOKUP('Données projet'!$B$16,Paramètres!$A$1:$I$89,3,0)*VLOOKUP('Données projet'!$B$16,Paramètres!$A$1:$I$89,5,0)</f>
        <v>199.21512000000001</v>
      </c>
      <c r="FG67" s="13">
        <f t="shared" si="77"/>
        <v>49.571635402297147</v>
      </c>
      <c r="FH67" s="20">
        <f t="shared" si="22"/>
        <v>433.30359899233423</v>
      </c>
      <c r="FI67" s="59">
        <f t="shared" si="23"/>
        <v>726.63693232566754</v>
      </c>
      <c r="FJ67" s="59">
        <f ca="1">AVERAGE(OFFSET($FI$3,0,0,'Données projet'!$E$16+1,1))-AVERAGE(OFFSET($H$3,0,0,'Données projet'!$E$16+1,1))</f>
        <v>259.03906550253788</v>
      </c>
      <c r="FK67" s="59">
        <f t="shared" si="78"/>
        <v>235.54542903570831</v>
      </c>
      <c r="FL67" s="15">
        <f>IF(ISNA(VLOOKUP(A67,'Données projet'!$A$227:$I$247,3,0)),0,VLOOKUP(A67,'Données projet'!$A$227:$I$247,3,0))</f>
        <v>0</v>
      </c>
      <c r="FM67" s="15">
        <f>IF(ISNA(VLOOKUP(A67,'Données projet'!$A$227:$I$247,4,0)),0,VLOOKUP(A67,'Données projet'!$A$227:$I$247,4,0))</f>
        <v>0</v>
      </c>
      <c r="FN67" s="16">
        <f>IF(ISNA(VLOOKUP(A67,'Données projet'!$A$227:$I$247,5,0)),0%,VLOOKUP(A67,'Données projet'!$A$227:$I$247,5,0)*VLOOKUP('Données projet'!$B$16,Paramètres!$A$1:$I$89,7,0))</f>
        <v>0</v>
      </c>
      <c r="FO67" s="16">
        <f>IF(ISNA(VLOOKUP(A67,'Données projet'!$A$227:$I$247,6,0)),0%,VLOOKUP(A67,'Données projet'!$A$227:$I$247,6,0)*VLOOKUP('Données projet'!$B$16,Paramètres!$A$1:$I$89,7,0))</f>
        <v>0</v>
      </c>
      <c r="FP67" s="16">
        <f>IF(ISNA(VLOOKUP(A67,'Données projet'!$A$227:$I$247,7,0)),0%,VLOOKUP(A67,'Données projet'!$A$227:$I$247,7,0))</f>
        <v>0</v>
      </c>
      <c r="FQ67" s="21">
        <f>EXP(-LN(2)/35)*FQ66+(1-EXP(-LN(2)/35))/(LN(2)/35)*FM67*FN67*VLOOKUP('Données projet'!$B$16,Paramètres!$A$1:$I$89,3,0)*0.475*44/12</f>
        <v>5.7645294818521213</v>
      </c>
      <c r="FR67" s="21">
        <f>EXP(-LN(2)/25)*FR66+(1-EXP(-LN(2)/25))/(LN(2)/25)*Calculateur!FM67*Calculateur!FO67*VLOOKUP('Données projet'!$B$16,Paramètres!$A$1:$I$89,3,0)*0.475*44/12</f>
        <v>13.798042685939414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19.562572167791537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projet'!$A$253:$I$273,2,0)</f>
        <v>#N/A</v>
      </c>
      <c r="FX67" s="12" t="e">
        <f>VLOOKUP(A67,'Données projet'!$A$253:$I$273,9,0)</f>
        <v>#N/A</v>
      </c>
      <c r="FY67" s="12">
        <f t="array" ref="FY67">INDEX(FX:FX,MIN(IF(ISNUMBER(FX67:FX263),ROW(FX67:FX263),"")))</f>
        <v>4.4000000000000004</v>
      </c>
      <c r="FZ67" s="12">
        <f>IF('Données projet'!$A$254&gt;35,FZ66+FY67-GH66,IF(A67&lt;'Données projet'!$A$254,$FW$205^A67,IF(A67='Données projet'!$A$254,'Données projet'!$B$254,FZ66+FY67-GH66)))</f>
        <v>250.59999999999985</v>
      </c>
      <c r="GA67" s="17">
        <f>FZ67*VLOOKUP('Données projet'!$B$17,Paramètres!$A$1:$I$89,3,0)*VLOOKUP('Données projet'!$B$17,Paramètres!$A$1:$I$89,5,0)</f>
        <v>218.92415999999989</v>
      </c>
      <c r="GB67" s="13">
        <f t="shared" si="79"/>
        <v>53.880990541091087</v>
      </c>
      <c r="GC67" s="20">
        <f t="shared" si="25"/>
        <v>475.13563719240005</v>
      </c>
      <c r="GD67" s="59">
        <f t="shared" si="26"/>
        <v>768.46897052573331</v>
      </c>
      <c r="GE67" s="59">
        <f ca="1">AVERAGE(OFFSET($GD$3,0,0,'Données projet'!$E$17+1,1))-AVERAGE(OFFSET($H$3,0,0,'Données projet'!$E$17+1,1))</f>
        <v>245.1983232777614</v>
      </c>
      <c r="GF67" s="59">
        <f t="shared" si="80"/>
        <v>242.34010522344573</v>
      </c>
      <c r="GG67" s="15">
        <f>IF(ISNA(VLOOKUP(A67,'Données projet'!$A$253:$I$273,3,0)),0,VLOOKUP(A67,'Données projet'!$A$253:$I$273,3,0))</f>
        <v>0</v>
      </c>
      <c r="GH67" s="15">
        <f>IF(ISNA(VLOOKUP(A67,'Données projet'!$A$253:$I$273,4,0)),0,VLOOKUP(A67,'Données projet'!$A$253:$I$273,4,0))</f>
        <v>0</v>
      </c>
      <c r="GI67" s="16">
        <f>IF(ISNA(VLOOKUP(A67,'Données projet'!$A$253:$I$273,5,0)),0%,VLOOKUP(A67,'Données projet'!$A$253:$I$273,5,0)*VLOOKUP('Données projet'!$B$17,Paramètres!$A$1:$I$89,7,0))</f>
        <v>0</v>
      </c>
      <c r="GJ67" s="16">
        <f>IF(ISNA(VLOOKUP(A67,'Données projet'!$A$253:$I$273,6,0)),0%,VLOOKUP(A67,'Données projet'!$A$253:$I$273,6,0)*VLOOKUP('Données projet'!$B$17,Paramètres!$A$1:$I$89,7,0))</f>
        <v>0</v>
      </c>
      <c r="GK67" s="16">
        <f>IF(ISNA(VLOOKUP(A67,'Données projet'!$A$253:$I$273,7,0)),0%,VLOOKUP(A67,'Données projet'!$A$253:$I$273,7,0))</f>
        <v>0</v>
      </c>
      <c r="GL67" s="21">
        <f>EXP(-LN(2)/35)*GL66+(1-EXP(-LN(2)/35))/(LN(2)/35)*GH67*GI67*VLOOKUP('Données projet'!$B$17,Paramètres!$A$1:$I$89,3,0)*0.475*44/12</f>
        <v>19.032673801201842</v>
      </c>
      <c r="GM67" s="21">
        <f>EXP(-LN(2)/25)*GM66+(1-EXP(-LN(2)/25))/(LN(2)/25)*Calculateur!GH67*Calculateur!GJ67*VLOOKUP('Données projet'!$B$17,Paramètres!$A$1:$I$89,3,0)*0.475*44/12</f>
        <v>9.4272860616980836</v>
      </c>
      <c r="GN67" s="21">
        <f>EXP(-LN(2)/2)*GN66+(1-EXP(-LN(2)/2))/(LN(2)/2)*GH67*GK67*VLOOKUP('Données projet'!$B$17,Paramètres!$A$1:$I$89,3,0)*0.475*44/12</f>
        <v>0</v>
      </c>
      <c r="GO67" s="21">
        <f t="shared" si="27"/>
        <v>28.459959862899925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projet'!$A$279:$I$299,2,0)</f>
        <v>#N/A</v>
      </c>
      <c r="GS67" s="12" t="e">
        <f>VLOOKUP(A67,'Données projet'!$A$279:$I$299,9,0)</f>
        <v>#N/A</v>
      </c>
      <c r="GT67" s="12">
        <f t="array" ref="GT67">INDEX(GS:GS,MIN(IF(ISNUMBER(GS67:GS263),ROW(GS67:GS263),"")))</f>
        <v>12</v>
      </c>
      <c r="GU67" s="12">
        <f>IF('Données projet'!$A$280&gt;35,GU66+GT67-HC66,IF(A67&lt;'Données projet'!$A$280,$GR$205^A67,IF(A67='Données projet'!$A$280,'Données projet'!$B$280,GU66+GT67-HC66)))</f>
        <v>722.00000000000023</v>
      </c>
      <c r="GV67" s="17">
        <f>GU67*VLOOKUP('Données projet'!$B$18,Paramètres!$A$1:$I$89,3,0)*VLOOKUP('Données projet'!$B$18,Paramètres!$A$1:$I$89,5,0)</f>
        <v>290.96600000000012</v>
      </c>
      <c r="GW67" s="13">
        <f t="shared" si="81"/>
        <v>69.279233081503236</v>
      </c>
      <c r="GX67" s="20">
        <f t="shared" si="28"/>
        <v>627.42711428361827</v>
      </c>
      <c r="GY67" s="59">
        <f t="shared" si="29"/>
        <v>920.76044761695152</v>
      </c>
      <c r="GZ67" s="59">
        <f ca="1">AVERAGE(OFFSET($GY$3,0,0,'Données projet'!$E$18+1,1))-AVERAGE(OFFSET($H$3,0,0,'Données projet'!$E$18+1,1))</f>
        <v>324.36162935850876</v>
      </c>
      <c r="HA67" s="59">
        <f t="shared" si="82"/>
        <v>265.23571072429735</v>
      </c>
      <c r="HB67" s="15">
        <f>IF(ISNA(VLOOKUP(A67,'Données projet'!$A$279:$I$299,3,0)),0,VLOOKUP(A67,'Données projet'!$A$279:$I$299,3,0))</f>
        <v>0</v>
      </c>
      <c r="HC67" s="15">
        <f>IF(ISNA(VLOOKUP(A67,'Données projet'!$A$279:$I$299,4,0)),0,VLOOKUP(A67,'Données projet'!$A$279:$I$299,4,0))</f>
        <v>0</v>
      </c>
      <c r="HD67" s="16">
        <f>IF(ISNA(VLOOKUP(A67,'Données projet'!$A$279:$I$299,5,0)),0%,VLOOKUP(A67,'Données projet'!$A$279:$I$299,5,0)*VLOOKUP('Données projet'!$B$18,Paramètres!$A$1:$I$89,7,0))</f>
        <v>0</v>
      </c>
      <c r="HE67" s="16">
        <f>IF(ISNA(VLOOKUP(A67,'Données projet'!$A$279:$I$299,6,0)),0%,VLOOKUP(A67,'Données projet'!$A$279:$I$299,6,0)*VLOOKUP('Données projet'!$B$18,Paramètres!$A$1:$I$89,7,0))</f>
        <v>0</v>
      </c>
      <c r="HF67" s="16">
        <f>IF(ISNA(VLOOKUP($A67,'Données projet'!$A$279:$I$299,7,0)),0%,VLOOKUP($A67,'Données projet'!$A$279:$I$299,7,0))</f>
        <v>0</v>
      </c>
      <c r="HG67" s="21">
        <f>EXP(-LN(2)/35)*HG66+(1-EXP(-LN(2)/35))/(LN(2)/35)*HC67*HD67*VLOOKUP('Données projet'!$B$18,Paramètres!$A$1:$I$89,3,0)*0.475*44/12</f>
        <v>11.800989741434984</v>
      </c>
      <c r="HH67" s="21">
        <f>EXP(-LN(2)/25)*HH66+(1-EXP(-LN(2)/25))/(LN(2)/25)*Calculateur!HC67*Calculateur!HE67*VLOOKUP('Données projet'!$B$18,Paramètres!$A$1:$I$89,3,0)*0.475*44/12</f>
        <v>10.608832916803635</v>
      </c>
      <c r="HI67" s="21">
        <f>EXP(-LN(2)/2)*HI66+(1-EXP(-LN(2)/2))/(LN(2)/2)*HC67*HF67*VLOOKUP('Données projet'!$B$18,Paramètres!$A$1:$I$89,3,0)*0.475*44/12</f>
        <v>0.11805472547530992</v>
      </c>
      <c r="HJ67" s="22">
        <f t="shared" si="30"/>
        <v>22.527877383713928</v>
      </c>
      <c r="HK67" s="74">
        <f>('Scénario référence'!$F$8+'Scénario référence'!$F$9+'Scénario référence'!$B$17+'Scénario référence'!$B$9+'Scénario référence'!$B$10)*70+IF((45+25*(1-EXP(-0.0175*$A67)))&lt;70,'Scénario référence'!$B$16*(45+25*(1-EXP(-0.0175*$A67))),70*'Scénario référence'!$B$16)+IF((32+38*(1-EXP(-0.0175*$A67)))&lt;70,'Scénario référence'!$B$18*(32+38*(1-EXP(-0.0175*$A67))),70*'Scénario référence'!$B$18)</f>
        <v>70</v>
      </c>
      <c r="HL67" s="12">
        <f>IF($A67&gt;30,10,('Scénario référence'!$B$16+'Scénario référence'!$B$17+'Scénario référence'!$B$18+'Scénario référence'!$B$9+'Scénario référence'!$B$10)*$A67*10/30+('Scénario référence'!$F$8+'Scénario référence'!$F$9)*10)</f>
        <v>10</v>
      </c>
      <c r="HM67" s="12" t="e">
        <f>VLOOKUP($A67,'Données projet'!$A$304:$I$324,2,0)</f>
        <v>#N/A</v>
      </c>
      <c r="HN67" s="12" t="e">
        <f>VLOOKUP($A67,'Données projet'!$A$304:$I$324,9,0)</f>
        <v>#N/A</v>
      </c>
      <c r="HO67" s="12">
        <f t="array" ref="HO67">INDEX(HN:HN,MIN(IF(ISNUMBER(HN67:HN263),ROW(HN67:HN263),"")))</f>
        <v>0</v>
      </c>
      <c r="HP67" s="12">
        <f>IF('Données projet'!$A$304&gt;35,HP66+HO67-HX66,IF($A67&lt;'Données projet'!$A$304,$CQ$205^$A67,IF($A67='Données projet'!$A$304,'Données projet'!$B$304,HP66+HO67-HX66)))</f>
        <v>0</v>
      </c>
      <c r="HQ67" s="17">
        <f>HP67*VLOOKUP('Données projet'!$B$19,Paramètres!$A$1:$I$89,3,0)*VLOOKUP('Données projet'!$B$19,Paramètres!$A$1:$I$89,5,0)</f>
        <v>0</v>
      </c>
      <c r="HR67" s="13" t="e">
        <f t="shared" si="83"/>
        <v>#NUM!</v>
      </c>
      <c r="HS67" s="14" t="e">
        <f t="shared" si="31"/>
        <v>#NUM!</v>
      </c>
      <c r="HT67" s="59" t="e">
        <f t="shared" si="32"/>
        <v>#NUM!</v>
      </c>
      <c r="HU67" s="59">
        <f ca="1">AVERAGE(OFFSET(HT$3,0,0,'Données projet'!$E$19+1,1))-AVERAGE(OFFSET($H$3,0,0,'Données projet'!$E$19+1,1))</f>
        <v>91.60721429656013</v>
      </c>
      <c r="HV67" s="59">
        <f t="shared" si="84"/>
        <v>258.94957804210856</v>
      </c>
      <c r="HW67" s="15">
        <f>IF(ISNA(VLOOKUP($A67,'Données projet'!$A$304:$I$324,3,0)),0,VLOOKUP($A67,'Données projet'!$A$304:$I$324,3,0))</f>
        <v>0</v>
      </c>
      <c r="HX67" s="15">
        <f>IF(ISNA(VLOOKUP($A67,'Données projet'!$A$304:$I$324,4,0)),0,VLOOKUP($A67,'Données projet'!$A$304:$I$324,4,0))</f>
        <v>0</v>
      </c>
      <c r="HY67" s="16">
        <f>IF(ISNA(VLOOKUP($A67,'Données projet'!$A$304:$I$324,5,0)),0%,VLOOKUP($A67,'Données projet'!$A$304:$I$324,5,0)*VLOOKUP('Données projet'!$B$19,Paramètres!$A$1:$I$89,7,0))</f>
        <v>0</v>
      </c>
      <c r="HZ67" s="16">
        <f>IF(ISNA(VLOOKUP($A67,'Données projet'!$A$304:$I$324,6,0)),0%,VLOOKUP($A67,'Données projet'!$A$304:$I$324,6,0)*VLOOKUP('Données projet'!$B$19,Paramètres!$A$1:$I$89,7,0))</f>
        <v>0</v>
      </c>
      <c r="IA67" s="16">
        <f>IF(ISNA(VLOOKUP($A67,'Données projet'!$A$304:$I$324,7,0)),0%,VLOOKUP($A67,'Données projet'!$A$304:$I$324,7,0))</f>
        <v>0</v>
      </c>
      <c r="IB67" s="21">
        <f>EXP(-LN(2)/35)*IB66+(1-EXP(-LN(2)/35))/(LN(2)/35)*HX67*HY67*VLOOKUP('Données projet'!$B$19,Paramètres!$A$1:$I$89,3,0)*0.475*44/12</f>
        <v>25.15971910240313</v>
      </c>
      <c r="IC67" s="21">
        <f>EXP(-LN(2)/25)*IC66+(1-EXP(-LN(2)/25))/(LN(2)/25)*Calculateur!HX67*Calculateur!HZ67*VLOOKUP('Données projet'!$B$19,Paramètres!$A$1:$I$89,3,0)*0.475*44/12</f>
        <v>3.7897500333333864</v>
      </c>
      <c r="ID67" s="21">
        <f>EXP(-LN(2)/2)*ID66+(1-EXP(-LN(2)/2))/(LN(2)/2)*HX67*IA67*VLOOKUP('Données projet'!$B$19,Paramètres!$A$1:$I$89,3,0)*0.475*44/12</f>
        <v>4.3705162944334225E-6</v>
      </c>
      <c r="IE67" s="22">
        <f t="shared" si="33"/>
        <v>28.949473506252811</v>
      </c>
      <c r="IF67" s="74">
        <f>('Scénario référence'!$F$8+'Scénario référence'!$F$9+'Scénario référence'!$B$17+'Scénario référence'!$B$9+'Scénario référence'!$B$10)*70+IF((45+25*(1-EXP(-0.0175*$A67)))&lt;70,'Scénario référence'!$B$16*(45+25*(1-EXP(-0.0175*$A67))),70*'Scénario référence'!$B$16)+IF((32+38*(1-EXP(-0.0175*$A67)))&lt;70,'Scénario référence'!$B$18*(32+38*(1-EXP(-0.0175*$A67))),70*'Scénario référence'!$B$18)</f>
        <v>70</v>
      </c>
      <c r="IG67" s="12">
        <f>IF($A67&gt;30,10,('Scénario référence'!$B$16+'Scénario référence'!$B$17+'Scénario référence'!$B$18+'Scénario référence'!$B$9+'Scénario référence'!$B$10)*$A67*10/30+('Scénario référence'!$F$8+'Scénario référence'!$F$9)*10)</f>
        <v>10</v>
      </c>
      <c r="IH67" s="12" t="e">
        <f>VLOOKUP($A67,'Données projet'!$A$330:$I$350,2,0)</f>
        <v>#N/A</v>
      </c>
      <c r="II67" s="12" t="e">
        <f>VLOOKUP($A67,'Données projet'!$A$330:$I$350,9,0)</f>
        <v>#N/A</v>
      </c>
      <c r="IJ67" s="12">
        <f t="array" ref="IJ67">INDEX(II:II,MIN(IF(ISNUMBER(II67:II263),ROW(II67:II263),"")))</f>
        <v>0</v>
      </c>
      <c r="IK67" s="12">
        <f>IF('Données projet'!$A$330&gt;35,IK66+IJ67-IS66,IF($A67&lt;'Données projet'!$A$330,$CQ$205^$A67,IF($A67='Données projet'!$A$330,'Données projet'!$B$330,IK66+IJ67-IS66)))</f>
        <v>0</v>
      </c>
      <c r="IL67" s="17">
        <f>IK67*VLOOKUP('Données projet'!$B$20,Paramètres!$A$1:$I$89,3,0)*VLOOKUP('Données projet'!$B$20,Paramètres!$A$1:$I$89,5,0)</f>
        <v>0</v>
      </c>
      <c r="IM67" s="13" t="e">
        <f t="shared" si="85"/>
        <v>#NUM!</v>
      </c>
      <c r="IN67" s="20" t="e">
        <f t="shared" si="86"/>
        <v>#NUM!</v>
      </c>
      <c r="IO67" s="59" t="e">
        <f t="shared" si="87"/>
        <v>#NUM!</v>
      </c>
      <c r="IP67" s="59">
        <f ca="1">AVERAGE(OFFSET(IO$3,0,0,'Données projet'!$E$20+1,1))-AVERAGE(OFFSET($H$3,0,0,'Données projet'!$E$20+1,1))</f>
        <v>91.60721429656013</v>
      </c>
      <c r="IQ67" s="59">
        <f t="shared" si="88"/>
        <v>258.94957804210856</v>
      </c>
      <c r="IR67" s="15">
        <f>IF(ISNA(VLOOKUP($A67,'Données projet'!$A$330:$I$350,3,0)),0,VLOOKUP($A67,'Données projet'!$A$330:$I$350,3,0))</f>
        <v>0</v>
      </c>
      <c r="IS67" s="15">
        <f>IF(ISNA(VLOOKUP($A67,'Données projet'!$A$330:$I$350,4,0)),0,VLOOKUP($A67,'Données projet'!$A$330:$I$350,4,0))</f>
        <v>0</v>
      </c>
      <c r="IT67" s="16">
        <f>IF(ISNA(VLOOKUP($A67,'Données projet'!$A$330:$I$350,5,0)),0%,VLOOKUP($A67,'Données projet'!$A$330:$I$350,5,0)*VLOOKUP('Données projet'!$B$20,Paramètres!$A$1:$I$89,7,0))</f>
        <v>0</v>
      </c>
      <c r="IU67" s="16">
        <f>IF(ISNA(VLOOKUP($A67,'Données projet'!$A$330:$I$350,6,0)),0%,VLOOKUP($A67,'Données projet'!$A$330:$I$350,6,0)*VLOOKUP('Données projet'!$B$20,Paramètres!$A$1:$I$89,7,0))</f>
        <v>0</v>
      </c>
      <c r="IV67" s="16">
        <f>IF(ISNA(VLOOKUP($A67,'Données projet'!$A$330:$I$350,7,0)),0%,VLOOKUP($A67,'Données projet'!$A$330:$I$350,7,0))</f>
        <v>0</v>
      </c>
      <c r="IW67" s="21">
        <f>EXP(-LN(2)/35)*IW66+(1-EXP(-LN(2)/35))/(LN(2)/35)*IS67*IT67*VLOOKUP('Données projet'!$B$20,Paramètres!$A$1:$I$89,3,0)*0.475*44/12</f>
        <v>25.15971910240313</v>
      </c>
      <c r="IX67" s="21">
        <f>EXP(-LN(2)/25)*IX66+(1-EXP(-LN(2)/25))/(LN(2)/25)*Calculateur!IS67*Calculateur!IU67*VLOOKUP('Données projet'!$B$20,Paramètres!$A$1:$I$89,3,0)*0.475*44/12</f>
        <v>3.7897500333333864</v>
      </c>
      <c r="IY67" s="21">
        <f>EXP(-LN(2)/2)*IY66+(1-EXP(-LN(2)/2))/(LN(2)/2)*IS67*IV67*VLOOKUP('Données projet'!$B$20,Paramètres!$A$1:$I$89,3,0)*0.475*44/12</f>
        <v>4.3705162944334225E-6</v>
      </c>
      <c r="IZ67" s="22">
        <f t="shared" si="89"/>
        <v>28.949473506252811</v>
      </c>
      <c r="JA67" s="74">
        <f>('Scénario référence'!$F$8+'Scénario référence'!$F$9+'Scénario référence'!$B$17+'Scénario référence'!$B$9+'Scénario référence'!$B$10)*70+IF((45+25*(1-EXP(-0.0175*$A67)))&lt;70,'Scénario référence'!$B$16*(45+25*(1-EXP(-0.0175*$A67))),70*'Scénario référence'!$B$16)+IF((32+38*(1-EXP(-0.0175*$A67)))&lt;70,'Scénario référence'!$B$18*(32+38*(1-EXP(-0.0175*$A67))),70*'Scénario référence'!$B$18)</f>
        <v>70</v>
      </c>
      <c r="JB67" s="12">
        <f>IF($A67&gt;30,10,('Scénario référence'!$B$16+'Scénario référence'!$B$17+'Scénario référence'!$B$18+'Scénario référence'!$B$9+'Scénario référence'!$B$10)*$A67*10/30+('Scénario référence'!$F$8+'Scénario référence'!$F$9)*10)</f>
        <v>10</v>
      </c>
      <c r="JC67" s="12" t="e">
        <f>VLOOKUP($A67,'Données projet'!$A$356:$I$376,2,0)</f>
        <v>#N/A</v>
      </c>
      <c r="JD67" s="12" t="e">
        <f>VLOOKUP($A67,'Données projet'!$A$356:$I$376,9,0)</f>
        <v>#N/A</v>
      </c>
      <c r="JE67" s="12">
        <f t="array" ref="JE67">INDEX(JD:JD,MIN(IF(ISNUMBER(JD67:JD263),ROW(JD67:JD263),"")))</f>
        <v>10.4</v>
      </c>
      <c r="JF67" s="12">
        <f>IF('Données projet'!$A$356&gt;35,JF66+JE67-JN66,IF($A67&lt;'Données projet'!$A$356,$CQ$205^$A67,IF($A67='Données projet'!$A$356,'Données projet'!$B$356,JF66+JE67-JN66)))</f>
        <v>283.60000000000002</v>
      </c>
      <c r="JG67" s="17">
        <f>JF67*VLOOKUP('Données projet'!$B$21,Paramètres!$A$1:$I$89,3,0)*VLOOKUP('Données projet'!$B$21,Paramètres!$A$1:$I$89,5,0)</f>
        <v>230.05632000000003</v>
      </c>
      <c r="JH67" s="13">
        <f t="shared" si="90"/>
        <v>56.294859058369248</v>
      </c>
      <c r="JI67" s="20">
        <f t="shared" si="91"/>
        <v>498.72830352665977</v>
      </c>
      <c r="JJ67" s="59">
        <f t="shared" si="92"/>
        <v>792.06163685999309</v>
      </c>
      <c r="JK67" s="59">
        <f ca="1">AVERAGE(OFFSET($JJ$3,0,0,'Données projet'!$E$22+1,1))-AVERAGE(OFFSET($H$3,0,0,'Données projet'!$E$22+1,1))</f>
        <v>353.35574633294613</v>
      </c>
      <c r="JL67" s="59">
        <f t="shared" si="93"/>
        <v>170.36796666474726</v>
      </c>
      <c r="JM67" s="15">
        <f>IF(ISNA(VLOOKUP($A67,'Données projet'!$A$356:$I$376,3,0)),0,VLOOKUP($A67,'Données projet'!$A$356:$I$376,3,0))</f>
        <v>0</v>
      </c>
      <c r="JN67" s="15">
        <f>IF(ISNA(VLOOKUP($A67,'Données projet'!$A$356:$I$376,4,0)),0,VLOOKUP($A67,'Données projet'!$A$356:$I$376,4,0))</f>
        <v>0</v>
      </c>
      <c r="JO67" s="16">
        <f>IF(ISNA(VLOOKUP($A67,'Données projet'!$A$356:$I$376,5,0)),0%,VLOOKUP($A67,'Données projet'!$A$356:$I$376,5,0)*VLOOKUP('Données projet'!$B$21,Paramètres!$A$1:$I$89,7,0))</f>
        <v>0</v>
      </c>
      <c r="JP67" s="16">
        <f>IF(ISNA(VLOOKUP($A67,'Données projet'!$A$356:$I$376,6,0)),0%,VLOOKUP($A67,'Données projet'!$A$356:$I$376,6,0)*VLOOKUP('Données projet'!$B$21,Paramètres!$A$1:$I$89,7,0))</f>
        <v>0</v>
      </c>
      <c r="JQ67" s="16">
        <f>IF(ISNA(VLOOKUP($A67,'Données projet'!$A$356:$I$376,7,0)),0%,VLOOKUP($A67,'Données projet'!$A$356:$I$376,7,0))</f>
        <v>0</v>
      </c>
      <c r="JR67" s="21">
        <f>EXP(-LN(2)/35)*JR66+(1-EXP(-LN(2)/35))/(LN(2)/35)*JN67*JO67*VLOOKUP('Données projet'!$B$21,Paramètres!$A$1:$I$89,3,0)*0.475*44/12</f>
        <v>0</v>
      </c>
      <c r="JS67" s="21">
        <f>EXP(-LN(2)/25)*JS66+(1-EXP(-LN(2)/25))/(LN(2)/25)*Calculateur!JN67*Calculateur!JP67*VLOOKUP('Données projet'!$B$21,Paramètres!$A$1:$I$89,3,0)*0.475*44/12</f>
        <v>7.8001342949798973</v>
      </c>
      <c r="JT67" s="21">
        <f>EXP(-LN(2)/2)*JT66+(1-EXP(-LN(2)/2))/(LN(2)/2)*JN67*JQ67*VLOOKUP('Données projet'!$B$21,Paramètres!$A$1:$I$89,3,0)*0.475*44/12</f>
        <v>1.9524572363747703</v>
      </c>
      <c r="JU67" s="18">
        <f t="shared" si="39"/>
        <v>9.7525915313546676</v>
      </c>
      <c r="JV67" s="74">
        <f>('Scénario référence'!$F$8+'Scénario référence'!$F$9+'Scénario référence'!$B$17+'Scénario référence'!$B$9+'Scénario référence'!$B$10)*70+IF((45+25*(1-EXP(-0.0175*$A67)))&lt;70,'Scénario référence'!$B$16*(45+25*(1-EXP(-0.0175*$A67))),70*'Scénario référence'!$B$16)+IF((32+38*(1-EXP(-0.0175*$A67)))&lt;70,'Scénario référence'!$B$18*(32+38*(1-EXP(-0.0175*$A67))),70*'Scénario référence'!$B$18)</f>
        <v>70</v>
      </c>
      <c r="JW67" s="12">
        <f>IF($A67&gt;30,10,('Scénario référence'!$B$16+'Scénario référence'!$B$17+'Scénario référence'!$B$18+'Scénario référence'!$B$9+'Scénario référence'!$B$10)*$A67*10/30+('Scénario référence'!$F$8+'Scénario référence'!$F$9)*10)</f>
        <v>10</v>
      </c>
      <c r="JX67" s="12" t="e">
        <f>VLOOKUP($A67,'Données projet'!$A$382:$I$402,2,0)</f>
        <v>#N/A</v>
      </c>
      <c r="JY67" s="12" t="e">
        <f>VLOOKUP($A67,'Données projet'!$A$382:$I$402,9,0)</f>
        <v>#N/A</v>
      </c>
      <c r="JZ67" s="12">
        <f t="array" ref="JZ67">INDEX(JY:JY,MIN(IF(ISNUMBER(JY67:JY263),ROW(JY67:JY263),"")))</f>
        <v>8.1001602564102626</v>
      </c>
      <c r="KA67" s="12">
        <f>IF('Données projet'!$A$382&gt;35,KA66+JZ67-KI66,IF($A67&lt;'Données projet'!$A$382,$CQ$205^$A67,IF($A67='Données projet'!$A$382,'Données projet'!$B$382,KA66+JZ67-KI66)))</f>
        <v>186.6642628205129</v>
      </c>
      <c r="KB67" s="17">
        <f>KA67*VLOOKUP('Données projet'!$B$22,Paramètres!$A$1:$I$89,3,0)*VLOOKUP('Données projet'!$B$22,Paramètres!$A$1:$I$89,5,0)</f>
        <v>125.21438750000006</v>
      </c>
      <c r="KC67" s="13">
        <f t="shared" si="94"/>
        <v>32.888142502171846</v>
      </c>
      <c r="KD67" s="20">
        <f t="shared" si="95"/>
        <v>275.36190642044943</v>
      </c>
      <c r="KE67" s="59">
        <f t="shared" si="96"/>
        <v>568.69523975378274</v>
      </c>
      <c r="KF67" s="59">
        <f ca="1">AVERAGE(OFFSET($KE$3,0,0,'Données projet'!$E$22+1,1))-AVERAGE(OFFSET($H$3,0,0,'Données projet'!$E$22+1,1))</f>
        <v>193.91714772848269</v>
      </c>
      <c r="KG67" s="59">
        <f t="shared" si="97"/>
        <v>159.20429420478047</v>
      </c>
      <c r="KH67" s="15">
        <f>IF(ISNA(VLOOKUP($A67,'Données projet'!$A$382:$I$402,3,0)),0,VLOOKUP($A67,'Données projet'!$A$382:$I$402,3,0))</f>
        <v>0</v>
      </c>
      <c r="KI67" s="15">
        <f>IF(ISNA(VLOOKUP($A67,'Données projet'!$A$382:$I$402,4,0)),0,VLOOKUP($A67,'Données projet'!$A$382:$I$402,4,0))</f>
        <v>0</v>
      </c>
      <c r="KJ67" s="16">
        <f>IF(ISNA(VLOOKUP($A67,'Données projet'!$A$382:$I$402,5,0)),0%,VLOOKUP($A67,'Données projet'!$A$382:$I$402,5,0)*VLOOKUP('Données projet'!$B$22,Paramètres!$A$1:$I$89,7,0))</f>
        <v>0</v>
      </c>
      <c r="KK67" s="16">
        <f>IF(ISNA(VLOOKUP($A67,'Données projet'!$A$382:$I$402,6,0)),0%,VLOOKUP($A67,'Données projet'!$A$382:$I$402,6,0)*VLOOKUP('Données projet'!$B$22,Paramètres!$A$1:$I$89,7,0))</f>
        <v>0</v>
      </c>
      <c r="KL67" s="16">
        <f>IF(ISNA(VLOOKUP($A67,'Données projet'!$A$382:$I$402,7,0)),0%,VLOOKUP($A67,'Données projet'!$A$382:$I$402,7,0))</f>
        <v>0</v>
      </c>
      <c r="KM67" s="21">
        <f>EXP(-LN(2)/35)*KM66+(1-EXP(-LN(2)/35))/(LN(2)/35)*KI67*KJ67*VLOOKUP('Données projet'!$B$22,Paramètres!$A$1:$I$89,3,0)*0.475*44/12</f>
        <v>11.253895810644783</v>
      </c>
      <c r="KN67" s="21">
        <f>EXP(-LN(2)/25)*KN66+(1-EXP(-LN(2)/25))/(LN(2)/25)*Calculateur!KI67*Calculateur!KK67*VLOOKUP('Données projet'!$B$22,Paramètres!$A$1:$I$89,3,0)*0.475*44/12</f>
        <v>0</v>
      </c>
      <c r="KO67" s="21">
        <f>EXP(-LN(2)/2)*KO66+(1-EXP(-LN(2)/2))/(LN(2)/2)*KI67*KL67*VLOOKUP('Données projet'!$B$22,Paramètres!$A$1:$I$89,3,0)*0.475*44/12</f>
        <v>0</v>
      </c>
      <c r="KP67" s="22">
        <f t="shared" si="98"/>
        <v>11.253895810644783</v>
      </c>
      <c r="KQ67" s="74">
        <f>('Scénario référence'!$F$8+'Scénario référence'!$F$9+'Scénario référence'!$B$17+'Scénario référence'!$B$9+'Scénario référence'!$B$10)*70+IF((45+25*(1-EXP(-0.0175*$A67)))&lt;70,'Scénario référence'!$B$16*(45+25*(1-EXP(-0.0175*$A67))),70*'Scénario référence'!$B$16)+IF((32+38*(1-EXP(-0.0175*$A67)))&lt;70,'Scénario référence'!$B$18*(32+38*(1-EXP(-0.0175*$A67))),70*'Scénario référence'!$B$18)</f>
        <v>70</v>
      </c>
      <c r="KR67" s="12">
        <f>IF($A67&gt;30,10,('Scénario référence'!$B$16+'Scénario référence'!$B$17+'Scénario référence'!$B$18+'Scénario référence'!$B$9+'Scénario référence'!$B$10)*$A67*10/30+('Scénario référence'!$F$8+'Scénario référence'!$F$9)*10)</f>
        <v>10</v>
      </c>
      <c r="KS67" s="12" t="e">
        <f>VLOOKUP($A67,'Données projet'!$A$408:$I$428,2,0)</f>
        <v>#N/A</v>
      </c>
      <c r="KT67" s="12" t="e">
        <f>VLOOKUP($A67,'Données projet'!$A$408:$I$428,9,0)</f>
        <v>#N/A</v>
      </c>
      <c r="KU67" s="12">
        <f t="array" ref="KU67">INDEX(KT:KT,MIN(IF(ISNUMBER(KT67:KT263),ROW(KT67:KT263),"")))</f>
        <v>4.4000000000000004</v>
      </c>
      <c r="KV67" s="12">
        <f>IF('Données projet'!$A$408&gt;35,KV66+KU67-LD66,IF($A67&lt;'Données projet'!$A$408,$CQ$205^$A67,IF($A67='Données projet'!$A$408,'Données projet'!$B$408,KV66+KU67-LD66)))</f>
        <v>250.59999999999988</v>
      </c>
      <c r="KW67" s="17">
        <f>KV67*VLOOKUP('Données projet'!$B$23,Paramètres!$A$1:$I$89,3,0)*VLOOKUP('Données projet'!$B$23,Paramètres!$A$1:$I$89,5,0)</f>
        <v>218.92415999999994</v>
      </c>
      <c r="KX67" s="13">
        <f t="shared" si="99"/>
        <v>53.880990541091087</v>
      </c>
      <c r="KY67" s="14">
        <f t="shared" si="43"/>
        <v>475.13563719240022</v>
      </c>
      <c r="KZ67" s="59">
        <f t="shared" si="44"/>
        <v>768.46897052573354</v>
      </c>
      <c r="LA67" s="59">
        <f ca="1">AVERAGE(OFFSET($KZ$3,0,0,'Données projet'!$E$23+1,1))-AVERAGE(OFFSET($H$3,0,0,'Données projet'!$E$23+1,1))</f>
        <v>248.33596943633819</v>
      </c>
      <c r="LB67" s="59">
        <f t="shared" si="100"/>
        <v>242.34010522344573</v>
      </c>
      <c r="LC67" s="15">
        <f>IF(ISNA(VLOOKUP($A67,'Données projet'!$A$408:$I$428,3,0)),0,VLOOKUP($A67,'Données projet'!$A$408:$I$428,3,0))</f>
        <v>0</v>
      </c>
      <c r="LD67" s="15">
        <f>IF(ISNA(VLOOKUP($A67,'Données projet'!$A$408:$I$428,4,0)),0,VLOOKUP($A67,'Données projet'!$A$408:$I$428,4,0))</f>
        <v>0</v>
      </c>
      <c r="LE67" s="16">
        <f>IF(ISNA(VLOOKUP($A67,'Données projet'!$A$408:$I$428,5,0)),0%,VLOOKUP($A67,'Données projet'!$A$408:$I$428,5,0)*VLOOKUP('Données projet'!$B$23,Paramètres!$A$1:$I$89,7,0))</f>
        <v>0</v>
      </c>
      <c r="LF67" s="16">
        <f>IF(ISNA(VLOOKUP($A67,'Données projet'!$A$408:$I$428,6,0)),0%,VLOOKUP($A67,'Données projet'!$A$408:$I$428,6,0)*VLOOKUP('Données projet'!$B$23,Paramètres!$A$1:$I$89,7,0))</f>
        <v>0</v>
      </c>
      <c r="LG67" s="16">
        <f>IF(ISNA(VLOOKUP($A67,'Données projet'!$A$408:$I$428,7,0)),0%,VLOOKUP($A67,'Données projet'!$A$408:$I$428,7,0))</f>
        <v>0</v>
      </c>
      <c r="LH67" s="21">
        <f>EXP(-LN(2)/35)*LH66+(1-EXP(-LN(2)/35))/(LN(2)/35)*LD67*LE67*VLOOKUP('Données projet'!$B$23,Paramètres!$A$1:$I$89,3,0)*0.475*44/12</f>
        <v>19.032673801201842</v>
      </c>
      <c r="LI67" s="21">
        <f>EXP(-LN(2)/25)*LI66+(1-EXP(-LN(2)/25))/(LN(2)/25)*Calculateur!LD67*Calculateur!LF67*VLOOKUP('Données projet'!$B$23,Paramètres!$A$1:$I$89,3,0)*0.475*44/12</f>
        <v>9.4272860616980836</v>
      </c>
      <c r="LJ67" s="21">
        <f>EXP(-LN(2)/2)*LJ66+(1-EXP(-LN(2)/2))/(LN(2)/2)*LD67*LG67*VLOOKUP('Données projet'!$B$23,Paramètres!$A$1:$I$89,3,0)*0.475*44/12</f>
        <v>0</v>
      </c>
      <c r="LK67" s="22">
        <f t="shared" si="101"/>
        <v>28.459959862899925</v>
      </c>
      <c r="LL67" s="74">
        <f>('Scénario référence'!$F$8+'Scénario référence'!$F$9+'Scénario référence'!$B$17+'Scénario référence'!$B$9+'Scénario référence'!$B$10)*70+IF((45+25*(1-EXP(-0.0175*$A67)))&lt;70,'Scénario référence'!$B$16*(45+25*(1-EXP(-0.0175*$A67))),70*'Scénario référence'!$B$16)+IF((32+38*(1-EXP(-0.0175*$A67)))&lt;70,'Scénario référence'!$B$18*(32+38*(1-EXP(-0.0175*$A67))),70*'Scénario référence'!$B$18)</f>
        <v>70</v>
      </c>
      <c r="LM67" s="12">
        <f>IF($A67&gt;30,10,('Scénario référence'!$B$16+'Scénario référence'!$B$17+'Scénario référence'!$B$18+'Scénario référence'!$B$9+'Scénario référence'!$B$10)*$A67*10/30+('Scénario référence'!$F$8+'Scénario référence'!$F$9)*10)</f>
        <v>10</v>
      </c>
      <c r="LN67" s="12" t="e">
        <f>VLOOKUP($A67,'Données projet'!$A$434:$I$454,2,0)</f>
        <v>#N/A</v>
      </c>
      <c r="LO67" s="12" t="e">
        <f>VLOOKUP($A67,'Données projet'!$A$434:$I$454,9,0)</f>
        <v>#N/A</v>
      </c>
      <c r="LP67" s="12">
        <f t="array" ref="LP67">INDEX(LO:LO,MIN(IF(ISNUMBER(LO67:LO263),ROW(LO67:LO263),"")))</f>
        <v>5.9431089743589762</v>
      </c>
      <c r="LQ67" s="12">
        <f>IF('Données projet'!$A$434&gt;35,LQ66+LP67-LY66,IF($A67&lt;'Données projet'!$A$434,$CQ$205^$A67,IF($A67='Données projet'!$A$434,'Données projet'!$B$434,LQ66+LP67-LY66)))</f>
        <v>150.02964743589743</v>
      </c>
      <c r="LR67" s="17">
        <f>LQ67*VLOOKUP('Données projet'!$B$24,Paramètres!$A$1:$I$89,3,0)*VLOOKUP('Données projet'!$B$24,Paramètres!$A$1:$I$89,5,0)</f>
        <v>152.13006250000001</v>
      </c>
      <c r="LS67" s="13">
        <f t="shared" si="102"/>
        <v>39.06225200390233</v>
      </c>
      <c r="LT67" s="14">
        <f t="shared" si="46"/>
        <v>332.99328109429655</v>
      </c>
      <c r="LU67" s="59">
        <f t="shared" si="103"/>
        <v>626.32661442762992</v>
      </c>
      <c r="LV67" s="59">
        <f ca="1">AVERAGE(OFFSET($LU$3,0,0,'Données projet'!$E$24+1,1))-AVERAGE(OFFSET($H$3,0,0,'Données projet'!$E$24+1,1))</f>
        <v>260.52627655062872</v>
      </c>
      <c r="LW67" s="59">
        <f t="shared" si="104"/>
        <v>159.20429420478047</v>
      </c>
      <c r="LX67" s="15">
        <f>IF(ISNA(VLOOKUP($A67,'Données projet'!$A$434:$I$454,3,0)),0,VLOOKUP($A67,'Données projet'!$A$434:$I$454,3,0))</f>
        <v>0</v>
      </c>
      <c r="LY67" s="15">
        <f>IF(ISNA(VLOOKUP($A67,'Données projet'!$A$434:$I$454,4,0)),0,VLOOKUP($A67,'Données projet'!$A$434:$I$454,4,0))</f>
        <v>0</v>
      </c>
      <c r="LZ67" s="16">
        <f>IF(ISNA(VLOOKUP($A67,'Données projet'!$A$434:$I$454,5,0)),0%,VLOOKUP($A67,'Données projet'!$A$434:$I$454,5,0)*VLOOKUP('Données projet'!$B$24,Paramètres!$A$1:$I$89,7,0))</f>
        <v>0</v>
      </c>
      <c r="MA67" s="16">
        <f>IF(ISNA(VLOOKUP($A67,'Données projet'!$A$434:$I$454,6,0)),0%,VLOOKUP($A67,'Données projet'!$A$434:$I$454,6,0)*VLOOKUP('Données projet'!$B$24,Paramètres!$A$1:$I$89,7,0))</f>
        <v>0</v>
      </c>
      <c r="MB67" s="16">
        <f>IF(ISNA(VLOOKUP($A67,'Données projet'!$A$434:$I$454,7,0)),0%,VLOOKUP($A67,'Données projet'!$A$434:$I$454,7,0))</f>
        <v>0</v>
      </c>
      <c r="MC67" s="21">
        <f>EXP(-LN(2)/35)*MC66+(1-EXP(-LN(2)/35))/(LN(2)/35)*LY67*LZ67*VLOOKUP('Données projet'!$B$24,Paramètres!$A$1:$I$89,3,0)*0.475*44/12</f>
        <v>0</v>
      </c>
      <c r="MD67" s="21">
        <f>EXP(-LN(2)/25)*MD66+(1-EXP(-LN(2)/25))/(LN(2)/25)*Calculateur!LY67*Calculateur!MA67*VLOOKUP('Données projet'!$B$24,Paramètres!$A$1:$I$89,3,0)*0.475*44/12</f>
        <v>0</v>
      </c>
      <c r="ME67" s="21">
        <f>EXP(-LN(2)/2)*ME66+(1-EXP(-LN(2)/2))/(LN(2)/2)*LY67*MB67*VLOOKUP('Données projet'!$B$24,Paramètres!$A$1:$I$89,3,0)*0.475*44/12</f>
        <v>0</v>
      </c>
      <c r="MF67" s="22">
        <f t="shared" si="105"/>
        <v>0</v>
      </c>
      <c r="MG67" s="74">
        <f>('Scénario référence'!$F$8+'Scénario référence'!$F$9+'Scénario référence'!$B$17+'Scénario référence'!$B$9+'Scénario référence'!$B$10)*70+IF((45+25*(1-EXP(-0.0175*$A67)))&lt;70,'Scénario référence'!$B$16*(45+25*(1-EXP(-0.0175*$A67))),70*'Scénario référence'!$B$16)+IF((32+38*(1-EXP(-0.0175*$A67)))&lt;70,'Scénario référence'!$B$18*(32+38*(1-EXP(-0.0175*$A67))),70*'Scénario référence'!$B$18)</f>
        <v>70</v>
      </c>
      <c r="MH67" s="12">
        <f>IF($A67&gt;30,10,('Scénario référence'!$B$16+'Scénario référence'!$B$17+'Scénario référence'!$B$18+'Scénario référence'!$B$9+'Scénario référence'!$B$10)*$A67*10/30+('Scénario référence'!$F$8+'Scénario référence'!$F$9)*10)</f>
        <v>10</v>
      </c>
      <c r="MI67" s="12" t="e">
        <f>VLOOKUP($A67,'Données projet'!$A$460:$I$480,2,0)</f>
        <v>#N/A</v>
      </c>
      <c r="MJ67" s="12" t="e">
        <f>VLOOKUP($A67,'Données projet'!$A$460:$I$480,9,0)</f>
        <v>#N/A</v>
      </c>
      <c r="MK67" s="12">
        <f t="array" ref="MK67">INDEX(MJ:MJ,MIN(IF(ISNUMBER(MJ67:MJ263),ROW(MJ67:MJ263),"")))</f>
        <v>0</v>
      </c>
      <c r="ML67" s="12">
        <f>IF('Données projet'!$A$460&gt;35,ML66+MK67-MT66,IF($A67&lt;'Données projet'!$A$460,$CQ$205^$A67,IF($A67='Données projet'!$A$460,'Données projet'!$B$460,ML66+MK67-MT66)))</f>
        <v>0</v>
      </c>
      <c r="MM67" s="17" t="e">
        <f>ML67*VLOOKUP('Données projet'!$B$25,Paramètres!$A$1:$I$89,3,0)*VLOOKUP('Données projet'!$B$25,Paramètres!$A$1:$I$89,5,0)</f>
        <v>#N/A</v>
      </c>
      <c r="MN67" s="13" t="e">
        <f t="shared" si="106"/>
        <v>#N/A</v>
      </c>
      <c r="MO67" s="14" t="e">
        <f t="shared" si="49"/>
        <v>#N/A</v>
      </c>
      <c r="MP67" s="59" t="e">
        <f t="shared" si="50"/>
        <v>#N/A</v>
      </c>
      <c r="MQ67" s="20" t="e">
        <f ca="1">AVERAGE(OFFSET($MP$3,0,0,'Données projet'!$E$25+1,1))-AVERAGE(OFFSET($H$3,0,0,'Données projet'!$E$25+1,1))</f>
        <v>#N/A</v>
      </c>
      <c r="MR67" s="59" t="e">
        <f t="shared" si="107"/>
        <v>#N/A</v>
      </c>
      <c r="MS67" s="15">
        <f>IF(ISNA(VLOOKUP($A67,'Données projet'!$A$460:$I$480,3,0)),0,VLOOKUP($A67,'Données projet'!$A$460:$I$480,3,0))</f>
        <v>0</v>
      </c>
      <c r="MT67" s="15">
        <f>IF(ISNA(VLOOKUP($A67,'Données projet'!$A$460:$I$480,4,0)),0,VLOOKUP($A67,'Données projet'!$A$460:$I$480,4,0))</f>
        <v>0</v>
      </c>
      <c r="MU67" s="16">
        <f>IF(ISNA(VLOOKUP($A67,'Données projet'!$A$460:$I$480,5,0)),0%,VLOOKUP($A67,'Données projet'!$A$460:$I$480,5,0)*VLOOKUP('Données projet'!$B$25,Paramètres!$A$1:$I$89,7,0))</f>
        <v>0</v>
      </c>
      <c r="MV67" s="16">
        <f>IF(ISNA(VLOOKUP($A67,'Données projet'!$A$460:$I$480,6,0)),0%,VLOOKUP($A67,'Données projet'!$A$460:$I$480,6,0)*VLOOKUP('Données projet'!$B$25,Paramètres!$A$1:$I$89,7,0))</f>
        <v>0</v>
      </c>
      <c r="MW67" s="16">
        <f>IF(ISNA(VLOOKUP($A67,'Données projet'!$A$460:$I$480,7,0)),0%,VLOOKUP($A67,'Données projet'!$A$460:$I$480,7,0))</f>
        <v>0</v>
      </c>
      <c r="MX67" s="21" t="e">
        <f>EXP(-LN(2)/35)*MX66+(1-EXP(-LN(2)/35))/(LN(2)/35)*MT67*MU67*VLOOKUP('Données projet'!$B$25,Paramètres!$A$1:$I$89,3,0)*0.475*44/12</f>
        <v>#N/A</v>
      </c>
      <c r="MY67" s="21" t="e">
        <f>EXP(-LN(2)/25)*MY66+(1-EXP(-LN(2)/25))/(LN(2)/25)*Calculateur!MT67*Calculateur!MV67*VLOOKUP('Données projet'!$B$25,Paramètres!$A$1:$I$89,3,0)*0.475*44/12</f>
        <v>#N/A</v>
      </c>
      <c r="MZ67" s="21" t="e">
        <f>EXP(-LN(2)/2)*MZ66+(1-EXP(-LN(2)/2))/(LN(2)/2)*MT67*MW67*VLOOKUP('Données projet'!$B$25,Paramètres!$A$1:$I$89,3,0)*0.475*44/12</f>
        <v>#N/A</v>
      </c>
      <c r="NA67" s="22" t="e">
        <f t="shared" si="108"/>
        <v>#N/A</v>
      </c>
      <c r="NB67" s="74">
        <f>('Scénario référence'!$F$8+'Scénario référence'!$F$9+'Scénario référence'!$B$17+'Scénario référence'!$B$9+'Scénario référence'!$B$10)*70+IF((45+25*(1-EXP(-0.0175*$A67)))&lt;70,'Scénario référence'!$B$16*(45+25*(1-EXP(-0.0175*$A67))),70*'Scénario référence'!$B$16)+IF((32+38*(1-EXP(-0.0175*$A67)))&lt;70,'Scénario référence'!$B$18*(32+38*(1-EXP(-0.0175*$A67))),70*'Scénario référence'!$B$18)</f>
        <v>70</v>
      </c>
      <c r="NC67" s="12">
        <f>IF($A67&gt;30,10,('Scénario référence'!$B$16+'Scénario référence'!$B$17+'Scénario référence'!$B$18+'Scénario référence'!$B$9+'Scénario référence'!$B$10)*$A67*10/30+('Scénario référence'!$F$8+'Scénario référence'!$F$9)*10)</f>
        <v>10</v>
      </c>
      <c r="ND67" s="12" t="e">
        <f>VLOOKUP($A67,'Données projet'!$A$486:$I$506,2,0)</f>
        <v>#N/A</v>
      </c>
      <c r="NE67" s="12" t="e">
        <f>VLOOKUP($A67,'Données projet'!$A$486:$I$506,9,0)</f>
        <v>#N/A</v>
      </c>
      <c r="NF67" s="12">
        <f t="array" ref="NF67">INDEX(NE:NE,MIN(IF(ISNUMBER(NE67:NE263),ROW(NE67:NE263),"")))</f>
        <v>0</v>
      </c>
      <c r="NG67" s="12">
        <f>IF('Données projet'!$A$486&gt;35,NG66+NF67-NO66,IF($A67&lt;'Données projet'!$A$486,$CQ$205^$A67,IF($A67='Données projet'!$A$486,'Données projet'!$B$486,NG66+NF67-NO66)))</f>
        <v>0</v>
      </c>
      <c r="NH67" s="17" t="e">
        <f>NG67*VLOOKUP('Données projet'!$B$26,Paramètres!$A$1:$I$89,3,0)*VLOOKUP('Données projet'!$B$26,Paramètres!$A$1:$I$89,5,0)</f>
        <v>#N/A</v>
      </c>
      <c r="NI67" s="13" t="e">
        <f t="shared" si="109"/>
        <v>#N/A</v>
      </c>
      <c r="NJ67" s="14" t="e">
        <f t="shared" si="52"/>
        <v>#N/A</v>
      </c>
      <c r="NK67" s="59" t="e">
        <f t="shared" si="53"/>
        <v>#N/A</v>
      </c>
      <c r="NL67" s="20" t="e">
        <f ca="1">AVERAGE(OFFSET($NK$3,0,0,'Données projet'!$E$26+1,1))-AVERAGE(OFFSET($H$3,0,0,'Données projet'!$E$26+1,1))</f>
        <v>#N/A</v>
      </c>
      <c r="NM67" s="59" t="e">
        <f t="shared" si="110"/>
        <v>#N/A</v>
      </c>
      <c r="NN67" s="15">
        <f>IF(ISNA(VLOOKUP($A67,'Données projet'!$A$486:$I$506,3,0)),0,VLOOKUP($A67,'Données projet'!$A$486:$I$506,3,0))</f>
        <v>0</v>
      </c>
      <c r="NO67" s="15">
        <f>IF(ISNA(VLOOKUP($A67,'Données projet'!$A$486:$I$506,4,0)),0,VLOOKUP($A67,'Données projet'!$A$486:$I$506,4,0))</f>
        <v>0</v>
      </c>
      <c r="NP67" s="16">
        <f>IF(ISNA(VLOOKUP($A67,'Données projet'!$A$486:$I$506,5,0)),0%,VLOOKUP($A67,'Données projet'!$A$486:$I$506,5,0)*VLOOKUP('Données projet'!$B$26,Paramètres!$A$1:$I$89,7,0))</f>
        <v>0</v>
      </c>
      <c r="NQ67" s="16">
        <f>IF(ISNA(VLOOKUP($A67,'Données projet'!$A$486:$I$506,6,0)),0%,VLOOKUP($A67,'Données projet'!$A$486:$I$506,6,0)*VLOOKUP('Données projet'!$B$26,Paramètres!$A$1:$I$89,7,0))</f>
        <v>0</v>
      </c>
      <c r="NR67" s="16">
        <f>IF(ISNA(VLOOKUP($A67,'Données projet'!$A$486:$I$506,7,0)),0%,VLOOKUP($A67,'Données projet'!$A$486:$I$506,7,0))</f>
        <v>0</v>
      </c>
      <c r="NS67" s="21" t="e">
        <f>EXP(-LN(2)/35)*NS66+(1-EXP(-LN(2)/35))/(LN(2)/35)*NO67*NP67*VLOOKUP('Données projet'!$B$26,Paramètres!$A$1:$I$89,3,0)*0.475*44/12</f>
        <v>#N/A</v>
      </c>
      <c r="NT67" s="21" t="e">
        <f>EXP(-LN(2)/25)*NT66+(1-EXP(-LN(2)/25))/(LN(2)/25)*Calculateur!NO67*Calculateur!NQ67*VLOOKUP('Données projet'!$B$26,Paramètres!$A$1:$I$89,3,0)*0.475*44/12</f>
        <v>#N/A</v>
      </c>
      <c r="NU67" s="21" t="e">
        <f>EXP(-LN(2)/2)*NU66+(1-EXP(-LN(2)/2))/(LN(2)/2)*NO67*NR67*VLOOKUP('Données projet'!$B$26,Paramètres!$A$1:$I$89,3,0)*0.475*44/12</f>
        <v>#N/A</v>
      </c>
      <c r="NV67" s="22" t="e">
        <f t="shared" si="111"/>
        <v>#N/A</v>
      </c>
      <c r="NW67" s="74">
        <f>('Scénario référence'!$F$8+'Scénario référence'!$F$9+'Scénario référence'!$B$17+'Scénario référence'!$B$9+'Scénario référence'!$B$10)*70+IF((45+25*(1-EXP(-0.0175*$A67)))&lt;70,'Scénario référence'!$B$16*(45+25*(1-EXP(-0.0175*$A67))),70*'Scénario référence'!$B$16)+IF((32+38*(1-EXP(-0.0175*$A67)))&lt;70,'Scénario référence'!$B$18*(32+38*(1-EXP(-0.0175*$A67))),70*'Scénario référence'!$B$18)</f>
        <v>70</v>
      </c>
      <c r="NX67" s="12">
        <f>IF($A67&gt;30,10,('Scénario référence'!$B$16+'Scénario référence'!$B$17+'Scénario référence'!$B$18+'Scénario référence'!$B$9+'Scénario référence'!$B$10)*$A67*10/30+('Scénario référence'!$F$8+'Scénario référence'!$F$9)*10)</f>
        <v>10</v>
      </c>
      <c r="NY67" s="12" t="e">
        <f>VLOOKUP($A67,'Données projet'!$A$512:$I$532,2,0)</f>
        <v>#N/A</v>
      </c>
      <c r="NZ67" s="12" t="e">
        <f>VLOOKUP($A67,'Données projet'!$A$512:$I$532,9,0)</f>
        <v>#N/A</v>
      </c>
      <c r="OA67" s="12">
        <f t="array" ref="OA67">INDEX(NZ:NZ,MIN(IF(ISNUMBER(NZ67:NZ263),ROW(NZ67:NZ263),"")))</f>
        <v>0</v>
      </c>
      <c r="OB67" s="12">
        <f>IF('Données projet'!$A$512&gt;35,OB66+OA67-OJ66,IF($A67&lt;'Données projet'!$A$512,$CQ$205^$A67,IF($A67='Données projet'!$A$512,'Données projet'!$B$512,OB66+OA67-OJ66)))</f>
        <v>0</v>
      </c>
      <c r="OC67" s="17" t="e">
        <f>OB67*VLOOKUP('Données projet'!$B$27,Paramètres!$A$1:$I$89,3,0)*VLOOKUP('Données projet'!$B$27,Paramètres!$A$1:$I$89,5,0)</f>
        <v>#N/A</v>
      </c>
      <c r="OD67" s="13" t="e">
        <f t="shared" si="112"/>
        <v>#N/A</v>
      </c>
      <c r="OE67" s="14" t="e">
        <f t="shared" si="55"/>
        <v>#N/A</v>
      </c>
      <c r="OF67" s="59" t="e">
        <f t="shared" si="56"/>
        <v>#N/A</v>
      </c>
      <c r="OG67" s="20" t="e">
        <f ca="1">AVERAGE(OFFSET($OF$3,0,0,'Données projet'!$E$27+1,1))-AVERAGE(OFFSET($H$3,0,0,'Données projet'!$E$27+1,1))</f>
        <v>#N/A</v>
      </c>
      <c r="OH67" s="59" t="e">
        <f t="shared" si="113"/>
        <v>#N/A</v>
      </c>
      <c r="OI67" s="15">
        <f>IF(ISNA(VLOOKUP($A67,'Données projet'!$A$512:$I$532,3,0)),0,VLOOKUP($A67,'Données projet'!$A$512:$I$532,3,0))</f>
        <v>0</v>
      </c>
      <c r="OJ67" s="15">
        <f>IF(ISNA(VLOOKUP($A67,'Données projet'!$A$512:$I$532,4,0)),0,VLOOKUP($A67,'Données projet'!$A$512:$I$532,4,0))</f>
        <v>0</v>
      </c>
      <c r="OK67" s="16">
        <f>IF(ISNA(VLOOKUP($A67,'Données projet'!$A$512:$I$532,5,0)),0%,VLOOKUP($A67,'Données projet'!$A$512:$I$532,5,0)*VLOOKUP('Données projet'!$B$27,Paramètres!$A$1:$I$89,7,0))</f>
        <v>0</v>
      </c>
      <c r="OL67" s="16">
        <f>IF(ISNA(VLOOKUP($A67,'Données projet'!$A$512:$I$532,6,0)),0%,VLOOKUP($A67,'Données projet'!$A$512:$I$532,6,0)*VLOOKUP('Données projet'!$B$27,Paramètres!$A$1:$I$89,7,0))</f>
        <v>0</v>
      </c>
      <c r="OM67" s="16">
        <f>IF(ISNA(VLOOKUP($A67,'Données projet'!$A$512:$I$532,7,0)),0%,VLOOKUP($A67,'Données projet'!$A$512:$I$532,7,0))</f>
        <v>0</v>
      </c>
      <c r="ON67" s="21" t="e">
        <f>EXP(-LN(2)/35)*ON66+(1-EXP(-LN(2)/35))/(LN(2)/35)*OJ67*OK67*VLOOKUP('Données projet'!$B$27,Paramètres!$A$1:$I$89,3,0)*0.475*44/12</f>
        <v>#N/A</v>
      </c>
      <c r="OO67" s="21" t="e">
        <f>EXP(-LN(2)/25)*OO66+(1-EXP(-LN(2)/25))/(LN(2)/25)*Calculateur!OJ67*Calculateur!OL67*VLOOKUP('Données projet'!$B$27,Paramètres!$A$1:$I$89,3,0)*0.475*44/12</f>
        <v>#N/A</v>
      </c>
      <c r="OP67" s="21" t="e">
        <f>EXP(-LN(2)/2)*OP66+(1-EXP(-LN(2)/2))/(LN(2)/2)*OJ67*OM67*VLOOKUP('Données projet'!$B$27,Paramètres!$A$1:$I$89,3,0)*0.475*44/12</f>
        <v>#N/A</v>
      </c>
      <c r="OQ67" s="22" t="e">
        <f t="shared" si="114"/>
        <v>#N/A</v>
      </c>
      <c r="OR67" s="74">
        <f>('Scénario référence'!$F$8+'Scénario référence'!$F$9+'Scénario référence'!$B$17+'Scénario référence'!$B$9+'Scénario référence'!$B$10)*70+IF((45+25*(1-EXP(-0.0175*$A67)))&lt;70,'Scénario référence'!$B$16*(45+25*(1-EXP(-0.0175*$A67))),70*'Scénario référence'!$B$16)+IF((32+38*(1-EXP(-0.0175*$A67)))&lt;70,'Scénario référence'!$B$18*(32+38*(1-EXP(-0.0175*$A67))),70*'Scénario référence'!$B$18)</f>
        <v>70</v>
      </c>
      <c r="OS67" s="12">
        <f>IF($A67&gt;30,10,('Scénario référence'!$B$16+'Scénario référence'!$B$17+'Scénario référence'!$B$18+'Scénario référence'!$B$9+'Scénario référence'!$B$10)*$A67*10/30+('Scénario référence'!$F$8+'Scénario référence'!$F$9)*10)</f>
        <v>10</v>
      </c>
      <c r="OT67" s="12" t="e">
        <f>VLOOKUP($A67,'Données projet'!$A$538:$I$558,2,0)</f>
        <v>#N/A</v>
      </c>
      <c r="OU67" s="12" t="e">
        <f>VLOOKUP($A67,'Données projet'!$A$538:$I$558,9,0)</f>
        <v>#N/A</v>
      </c>
      <c r="OV67" s="12">
        <f t="array" ref="OV67">INDEX(OU:OU,MIN(IF(ISNUMBER(OU67:OU263),ROW(OU67:OU263),"")))</f>
        <v>0</v>
      </c>
      <c r="OW67" s="12">
        <f>IF('Données projet'!$A$538&gt;35,OW66+OV67-PE66,IF($A67&lt;'Données projet'!$A$538,$CQ$205^$A67,IF($A67='Données projet'!$A$538,'Données projet'!$B$538,OW66+OV67-PE66)))</f>
        <v>0</v>
      </c>
      <c r="OX67" s="17" t="e">
        <f>OW67*VLOOKUP('Données projet'!$B$28,Paramètres!$A$1:$I$89,3,0)*VLOOKUP('Données projet'!$B$28,Paramètres!$A$1:$I$89,5,0)</f>
        <v>#N/A</v>
      </c>
      <c r="OY67" s="13" t="e">
        <f t="shared" si="115"/>
        <v>#N/A</v>
      </c>
      <c r="OZ67" s="14" t="e">
        <f t="shared" si="58"/>
        <v>#N/A</v>
      </c>
      <c r="PA67" s="59" t="e">
        <f t="shared" si="59"/>
        <v>#N/A</v>
      </c>
      <c r="PB67" s="20" t="e">
        <f ca="1">AVERAGE(OFFSET($PA$3,0,0,'Données projet'!$E$28+1,1))-AVERAGE(OFFSET($H$3,0,0,'Données projet'!$E$28+1,1))</f>
        <v>#N/A</v>
      </c>
      <c r="PC67" s="59" t="e">
        <f t="shared" si="116"/>
        <v>#N/A</v>
      </c>
      <c r="PD67" s="15">
        <f>IF(ISNA(VLOOKUP($A67,'Données projet'!$A$538:$I$558,3,0)),0,VLOOKUP($A67,'Données projet'!$A$538:$I$558,3,0))</f>
        <v>0</v>
      </c>
      <c r="PE67" s="15">
        <f>IF(ISNA(VLOOKUP($A67,'Données projet'!$A$538:$I$558,4,0)),0,VLOOKUP($A67,'Données projet'!$A$538:$I$558,4,0))</f>
        <v>0</v>
      </c>
      <c r="PF67" s="16">
        <f>IF(ISNA(VLOOKUP($A67,'Données projet'!$A$538:$I$558,5,0)),0%,VLOOKUP($A67,'Données projet'!$A$538:$I$558,5,0)*VLOOKUP('Données projet'!$B$28,Paramètres!$A$1:$I$89,7,0))</f>
        <v>0</v>
      </c>
      <c r="PG67" s="16">
        <f>IF(ISNA(VLOOKUP($A67,'Données projet'!$A$538:$I$558,6,0)),0%,VLOOKUP($A67,'Données projet'!$A$538:$I$558,6,0)*VLOOKUP('Données projet'!$B$28,Paramètres!$A$1:$I$89,7,0))</f>
        <v>0</v>
      </c>
      <c r="PH67" s="16">
        <f>IF(ISNA(VLOOKUP($A67,'Données projet'!$A$538:$I$558,7,0)),0%,VLOOKUP($A67,'Données projet'!$A$538:$I$558,7,0))</f>
        <v>0</v>
      </c>
      <c r="PI67" s="21" t="e">
        <f>EXP(-LN(2)/35)*PI66+(1-EXP(-LN(2)/35))/(LN(2)/35)*PE67*PF67*VLOOKUP('Données projet'!$B$28,Paramètres!$A$1:$I$89,3,0)*0.475*44/12</f>
        <v>#N/A</v>
      </c>
      <c r="PJ67" s="21" t="e">
        <f>EXP(-LN(2)/25)*PJ66+(1-EXP(-LN(2)/25))/(LN(2)/25)*Calculateur!PE67*Calculateur!PG67*VLOOKUP('Données projet'!$B$28,Paramètres!$A$1:$I$89,3,0)*0.475*44/12</f>
        <v>#N/A</v>
      </c>
      <c r="PK67" s="21" t="e">
        <f>EXP(-LN(2)/2)*PK66+(1-EXP(-LN(2)/2))/(LN(2)/2)*PE67*PH67*VLOOKUP('Données projet'!$B$28,Paramètres!$A$1:$I$89,3,0)*0.475*44/12</f>
        <v>#N/A</v>
      </c>
      <c r="PL67" s="22" t="e">
        <f t="shared" si="117"/>
        <v>#N/A</v>
      </c>
    </row>
    <row r="68" spans="1:428" x14ac:dyDescent="0.35">
      <c r="A68" s="10">
        <f t="shared" si="6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6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121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projet'!$A$45:$I$65,2,0)</f>
        <v>#N/A</v>
      </c>
      <c r="L68" s="12" t="e">
        <f>VLOOKUP(A68,'Données projet'!$A$45:$I$65,9,0)</f>
        <v>#N/A</v>
      </c>
      <c r="M68" s="12">
        <f t="array" ref="M68">INDEX(L:L,MIN(IF(ISNUMBER(L68:L264),ROW(L68:L264),"")))</f>
        <v>0</v>
      </c>
      <c r="N68" s="13">
        <f>IF('Données projet'!$A$46&gt;35,N67+M68-V67,IF(A68&lt;'Données projet'!$A$46,$K$205^A68,IF(A68='Données projet'!$A$46,'Données projet'!$B$46,N67+M68-V67)))</f>
        <v>-1.1368683772161603E-13</v>
      </c>
      <c r="O68" s="13">
        <f>N68*VLOOKUP('Données projet'!$B$9,Paramètres!$A$1:$I$89,3,0)*VLOOKUP('Données projet'!$B$9,Paramètres!$A$1:$I$89,5,0)</f>
        <v>-6.3550942286383367E-14</v>
      </c>
      <c r="P68" s="13" t="e">
        <f t="shared" si="63"/>
        <v>#NUM!</v>
      </c>
      <c r="Q68" s="20" t="e">
        <f t="shared" si="119"/>
        <v>#NUM!</v>
      </c>
      <c r="R68" s="59" t="e">
        <f t="shared" si="120"/>
        <v>#NUM!</v>
      </c>
      <c r="S68" s="59">
        <f ca="1">AVERAGE(OFFSET($R$3,0,0,'Données projet'!$E$9+1,1))-AVERAGE(OFFSET($H$3,0,0,'Données projet'!$E$9+1,1))</f>
        <v>274.57619581652199</v>
      </c>
      <c r="T68" s="59">
        <f t="shared" si="64"/>
        <v>366.15117322598775</v>
      </c>
      <c r="U68" s="15">
        <f>IF(ISNA(VLOOKUP(A68,'Données projet'!$A$45:$I$65,3,0)),0,VLOOKUP(A68,'Données projet'!$A$45:$I$65,3,0))</f>
        <v>0</v>
      </c>
      <c r="V68" s="15">
        <f>IF(ISNA(VLOOKUP(A68,'Données projet'!$A$45:$I$65,4,0)),0,VLOOKUP(A68,'Données projet'!$A$45:$I$65,4,0))</f>
        <v>0</v>
      </c>
      <c r="W68" s="16">
        <f>IF(ISNA(VLOOKUP(A68,'Données projet'!$A$45:$I$65,5,0)),0%,VLOOKUP(A68,'Données projet'!$A$45:$I$65,5,0)*VLOOKUP('Données projet'!$B$9,Paramètres!$A$1:$I$89,7,0))</f>
        <v>0</v>
      </c>
      <c r="X68" s="16">
        <f>IF(ISNA(VLOOKUP(A68,'Données projet'!$A$45:$I$65,6,0)),0%,VLOOKUP(A68,'Données projet'!$A$45:$I$65,6,0)*VLOOKUP('Données projet'!$B$9,Paramètres!$A$1:$I$89,7,0))</f>
        <v>0</v>
      </c>
      <c r="Y68" s="16">
        <f>IF(ISNA(VLOOKUP(A68,'Données projet'!$A$45:$I$65,7,0)),0%,VLOOKUP(A68,'Données projet'!$A$45:$I$65,7,0))</f>
        <v>0</v>
      </c>
      <c r="Z68" s="21">
        <f>EXP(-LN(2)/35)*Z67+(1-EXP(-LN(2)/35))/(LN(2)/35)*V68*W68*VLOOKUP('Données projet'!$B$9,Paramètres!$A$1:$I$89,3,0)*0.475*44/12</f>
        <v>185.93481802341336</v>
      </c>
      <c r="AA68" s="21">
        <f>EXP(-LN(2)/25)*AA67+(1-EXP(-LN(2)/25))/(LN(2)/25)*Calculateur!V68*Calculateur!X68*VLOOKUP('Données projet'!$B$9,Paramètres!$A$1:$I$89,3,0)*0.475*44/12</f>
        <v>43.658457761345673</v>
      </c>
      <c r="AB68" s="21">
        <f>EXP(-LN(2)/2)*AB67+(1-EXP(-LN(2)/2))/(LN(2)/2)*V68*Y68*VLOOKUP('Données projet'!$B$9,Paramètres!$A$1:$I$89,3,0)*0.475*44/12</f>
        <v>1.0675407501285148</v>
      </c>
      <c r="AC68" s="22">
        <f t="shared" ref="AC68:AC131" si="122">SUM(Z68:AB68)</f>
        <v>230.66081653488754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projet'!$A$71:$I$91,2,0)</f>
        <v>#N/A</v>
      </c>
      <c r="AG68" s="12" t="e">
        <f>VLOOKUP(A68,'Données projet'!$A$71:$I$91,9,0)</f>
        <v>#N/A</v>
      </c>
      <c r="AH68" s="12">
        <f t="array" ref="AH68">INDEX(AG:AG,MIN(IF(ISNUMBER(AG68:AG264),ROW(AG68:AG264),"")))</f>
        <v>8.1001602564102626</v>
      </c>
      <c r="AI68" s="13">
        <f>IF('Données projet'!$A$72&gt;35,AI67+AH68-AQ67,IF(A68&lt;'Données projet'!$A$72,$AF$205^A68,IF(A68='Données projet'!$A$72,'Données projet'!$B$72,AI67+AH68-AQ67)))</f>
        <v>194.76442307692321</v>
      </c>
      <c r="AJ68" s="13">
        <f>AI68*VLOOKUP('Données projet'!$B$10,Paramètres!$A$1:$I$89,3,0)*VLOOKUP('Données projet'!$B$10,Paramètres!$A$1:$I$89,5,0)</f>
        <v>176.22285000000011</v>
      </c>
      <c r="AK68" s="13">
        <f t="shared" si="65"/>
        <v>44.480805480154558</v>
      </c>
      <c r="AL68" s="20">
        <f t="shared" ref="AL68:AL131" si="123">(AJ68+AK68)*0.475*44/12</f>
        <v>384.3921999612694</v>
      </c>
      <c r="AM68" s="59">
        <f t="shared" ref="AM68:AM131" si="124">AL68+(AD68+AE68)*44/12</f>
        <v>677.72553329460266</v>
      </c>
      <c r="AN68" s="59">
        <f ca="1">AVERAGE(OFFSET($AM$3,0,0,'Données projet'!$E$10+1,1))-AVERAGE(OFFSET($H$3,0,0,'Données projet'!$E$10+1,1))</f>
        <v>270.87836509222456</v>
      </c>
      <c r="AO68" s="59">
        <f t="shared" si="66"/>
        <v>205.24998237949734</v>
      </c>
      <c r="AP68" s="15">
        <f>IF(ISNA(VLOOKUP(A68,'Données projet'!$A$71:$I$91,3,0)),0,VLOOKUP(A68,'Données projet'!$A$71:$I$91,3,0))</f>
        <v>0</v>
      </c>
      <c r="AQ68" s="15">
        <f>IF(ISNA(VLOOKUP(A68,'Données projet'!$A$71:$I$91,4,0)),0,VLOOKUP(A68,'Données projet'!$A$71:$I$91,4,0))</f>
        <v>0</v>
      </c>
      <c r="AR68" s="16">
        <f>IF(ISNA(VLOOKUP(A68,'Données projet'!$A$71:$I$91,5,0)),0%,VLOOKUP(A68,'Données projet'!$A$71:$I$91,5,0)*VLOOKUP('Données projet'!$B$10,Paramètres!$A$1:$I$89,7,0))</f>
        <v>0</v>
      </c>
      <c r="AS68" s="16">
        <f>IF(ISNA(VLOOKUP(A68,'Données projet'!$A$71:$I$91,6,0)),0%,VLOOKUP(A68,'Données projet'!$A$71:$I$91,6,0)*VLOOKUP('Données projet'!$B$10,Paramètres!$A$1:$I$89,7,0))</f>
        <v>0</v>
      </c>
      <c r="AT68" s="16">
        <f>IF(ISNA(VLOOKUP(A68,'Données projet'!$A$71:$I$91,7,0)),0%,VLOOKUP(A68,'Données projet'!$A$71:$I$91,7,0))</f>
        <v>0</v>
      </c>
      <c r="AU68" s="21">
        <f>EXP(-LN(2)/35)*AU67+(1-EXP(-LN(2)/35))/(LN(2)/35)*AQ68*AR68*VLOOKUP('Données projet'!$B$10,Paramètres!$A$1:$I$89,3,0)*0.475*44/12</f>
        <v>12.07408300233601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125">SUM(AU68:AW68)</f>
        <v>12.07408300233601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projet'!$A$97:$I$117,2,0)</f>
        <v>#N/A</v>
      </c>
      <c r="BB68" s="12" t="e">
        <f>VLOOKUP(A68,'Données projet'!$A$97:$I$117,9,0)</f>
        <v>#N/A</v>
      </c>
      <c r="BC68" s="12">
        <f t="array" ref="BC68">INDEX(BB:BB,MIN(IF(ISNUMBER(BB68:BB264),ROW(BB68:BB264),"")))</f>
        <v>0</v>
      </c>
      <c r="BD68" s="12">
        <f>IF('Données projet'!$A$98&gt;35,BD67+BC68-BL67,IF(A68&lt;'Données projet'!$A$98,$BA$205^A68,IF(A68='Données projet'!$A$98,'Données projet'!$B$98,BD67+BC68-BL67)))</f>
        <v>-1.1368683772161603E-13</v>
      </c>
      <c r="BE68" s="13">
        <f>BD68*VLOOKUP('Données projet'!$B$11,Paramètres!$A$1:$I$89,3,0)*VLOOKUP('Données projet'!$B$11,Paramètres!$A$1:$I$89,5,0)</f>
        <v>-5.0249582272954292E-14</v>
      </c>
      <c r="BF68" s="13" t="e">
        <f t="shared" si="67"/>
        <v>#NUM!</v>
      </c>
      <c r="BG68" s="20" t="e">
        <f t="shared" ref="BG68:BG131" si="126">(BE68+BF68)*0.475*44/12</f>
        <v>#NUM!</v>
      </c>
      <c r="BH68" s="59" t="e">
        <f t="shared" ref="BH68:BH131" si="127">BG68+(AY68+AZ68)*44/12</f>
        <v>#NUM!</v>
      </c>
      <c r="BI68" s="59">
        <f ca="1">AVERAGE(OFFSET($BH$3,0,0,'Données projet'!$E$11+1,1))-AVERAGE(OFFSET($H$3,0,0,'Données projet'!$E$11+1,1))</f>
        <v>211.31057120485542</v>
      </c>
      <c r="BJ68" s="59">
        <f t="shared" si="68"/>
        <v>283.33292006714777</v>
      </c>
      <c r="BK68" s="15">
        <f>IF(ISNA(VLOOKUP(A68,'Données projet'!$A$97:$I$117,3,0)),0,VLOOKUP(A68,'Données projet'!$A$97:$I$117,3,0))</f>
        <v>0</v>
      </c>
      <c r="BL68" s="15">
        <f>IF(ISNA(VLOOKUP(A68,'Données projet'!$A$97:$I$117,4,0)),0,VLOOKUP(A68,'Données projet'!$A$97:$I$117,4,0))</f>
        <v>0</v>
      </c>
      <c r="BM68" s="16">
        <f>IF(ISNA(VLOOKUP(A68,'Données projet'!$A$97:$I$117,5,0)),0%,VLOOKUP(A68,'Données projet'!$A$97:$I$117,5,0)*VLOOKUP('Données projet'!$B$11,Paramètres!$A$1:$I$89,7,0))</f>
        <v>0</v>
      </c>
      <c r="BN68" s="16">
        <f>IF(ISNA(VLOOKUP(A68,'Données projet'!$A$97:$I$117,6,0)),0%,VLOOKUP(A68,'Données projet'!$A$97:$I$117,6,0)*VLOOKUP('Données projet'!$B$11,Paramètres!$A$1:$I$89,7,0))</f>
        <v>0</v>
      </c>
      <c r="BO68" s="16">
        <f>IF(ISNA(VLOOKUP(A68,'Données projet'!$A$97:$I$117,7,0)),0%,VLOOKUP(A68,'Données projet'!$A$97:$I$117,7,0))</f>
        <v>0</v>
      </c>
      <c r="BP68" s="21">
        <f>EXP(-LN(2)/35)*BP67+(1-EXP(-LN(2)/35))/(LN(2)/35)*BL68*BM68*VLOOKUP('Données projet'!$B$11,Paramètres!$A$1:$I$89,3,0)*0.475*44/12</f>
        <v>147.01822820455942</v>
      </c>
      <c r="BQ68" s="21">
        <f>EXP(-LN(2)/25)*BQ67+(1-EXP(-LN(2)/25))/(LN(2)/25)*Calculateur!BL68*Calculateur!BN68*VLOOKUP('Données projet'!$B$11,Paramètres!$A$1:$I$89,3,0)*0.475*44/12</f>
        <v>34.520641020598902</v>
      </c>
      <c r="BR68" s="21">
        <f>EXP(-LN(2)/2)*BR67+(1-EXP(-LN(2)/2))/(LN(2)/2)*BL68*BO68*VLOOKUP('Données projet'!$B$11,Paramètres!$A$1:$I$89,3,0)*0.475*44/12</f>
        <v>0.84410198847370921</v>
      </c>
      <c r="BS68" s="22">
        <f t="shared" ref="BS68:BS131" si="128">SUM(BP68:BR68)</f>
        <v>182.38297121363203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projet'!$A$123:$I$143,2,0)</f>
        <v>232</v>
      </c>
      <c r="BW68" s="12">
        <f>VLOOKUP(A68,'Données projet'!$A$123:$I$143,9,0)</f>
        <v>5.6</v>
      </c>
      <c r="BX68" s="12">
        <f t="array" ref="BX68">INDEX(BW:BW,MIN(IF(ISNUMBER(BW68:BW264),ROW(BW68:BW264),"")))</f>
        <v>5.6</v>
      </c>
      <c r="BY68" s="12">
        <f>IF('Données projet'!$A$124&gt;35,BY67+BX68-CG67,IF(A68&lt;'Données projet'!$A$124,$BV$205^A68,IF(A68='Données projet'!$A$124,'Données projet'!$B$124,BY67+BX68-CG67)))</f>
        <v>232</v>
      </c>
      <c r="BZ68" s="13">
        <f>BY68*VLOOKUP('Données projet'!$B$12,Paramètres!$A$1:$I$89,3,0)*VLOOKUP('Données projet'!$B$12,Paramètres!$A$1:$I$89,5,0)</f>
        <v>242.4864</v>
      </c>
      <c r="CA68" s="13">
        <f t="shared" si="69"/>
        <v>58.974170235372419</v>
      </c>
      <c r="CB68" s="20">
        <f t="shared" ref="CB68:CB131" si="129">(BZ68+CA68)*0.475*44/12</f>
        <v>525.04382649327351</v>
      </c>
      <c r="CC68" s="59">
        <f t="shared" ref="CC68:CC131" si="130">CB68+(BT68+BU68)*44/12</f>
        <v>818.37715982660688</v>
      </c>
      <c r="CD68" s="59">
        <f ca="1">AVERAGE(OFFSET($CC$3,0,0,'Données projet'!$E$12+1,1))-AVERAGE(OFFSET($H$3,0,0,'Données projet'!$E$12+1,1))</f>
        <v>322.93502595881938</v>
      </c>
      <c r="CE68" s="59">
        <f t="shared" si="70"/>
        <v>302.67072119588164</v>
      </c>
      <c r="CF68" s="15">
        <f>IF(ISNA(VLOOKUP(A68,'Données projet'!$A$123:$I$143,3,0)),0,VLOOKUP(A68,'Données projet'!$A$123:$I$143,3,0))</f>
        <v>10</v>
      </c>
      <c r="CG68" s="15" t="str">
        <f>IF(ISNA(VLOOKUP(A68,'Données projet'!$A$123:$I$143,4,0)),0,VLOOKUP(A68,'Données projet'!$A$123:$I$143,4,0))</f>
        <v>20</v>
      </c>
      <c r="CH68" s="16">
        <f>IF(ISNA(VLOOKUP(A68,'Données projet'!$A$123:$I$143,5,0)),0%,VLOOKUP(A68,'Données projet'!$A$123:$I$143,5,0)*VLOOKUP('Données projet'!$B$12,Paramètres!$A$1:$I$89,7,0))</f>
        <v>0.215</v>
      </c>
      <c r="CI68" s="16">
        <f>IF(ISNA(VLOOKUP(A68,'Données projet'!$A$123:$I$143,6,0)),0%,VLOOKUP(A68,'Données projet'!$A$123:$I$143,6,0)*VLOOKUP('Données projet'!$B$12,Paramètres!$A$1:$I$89,7,0))</f>
        <v>0.17200000000000001</v>
      </c>
      <c r="CJ68" s="16">
        <f>IF(ISNA(VLOOKUP(A68,'Données projet'!$A$123:$I$143,7,0)),0%,VLOOKUP(A68,'Données projet'!$A$123:$I$143,7,0))</f>
        <v>0</v>
      </c>
      <c r="CK68" s="21">
        <f>EXP(-LN(2)/35)*CK67+(1-EXP(-LN(2)/35))/(LN(2)/35)*CG68*CH68*VLOOKUP('Données projet'!$B$12,Paramètres!$A$1:$I$89,3,0)*0.475*44/12</f>
        <v>20.46408783884371</v>
      </c>
      <c r="CL68" s="21">
        <f>EXP(-LN(2)/25)*CL67+(1-EXP(-LN(2)/25))/(LN(2)/25)*Calculateur!CG68*Calculateur!CI68*VLOOKUP('Données projet'!$B$12,Paramètres!$A$1:$I$89,3,0)*0.475*44/12</f>
        <v>23.367338938278124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131">SUM(CK68:CM68)</f>
        <v>43.831426777121834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projet'!$A$149:$I$169,2,0)</f>
        <v>#N/A</v>
      </c>
      <c r="CR68" s="12" t="e">
        <f>VLOOKUP(A68,'Données projet'!$A$149:$I$169,9,0)</f>
        <v>#N/A</v>
      </c>
      <c r="CS68" s="12">
        <f t="array" ref="CS68">INDEX(CR:CR,MIN(IF(ISNUMBER(CR68:CR264),ROW(CR68:CR264),"")))</f>
        <v>5.9431089743589762</v>
      </c>
      <c r="CT68" s="12">
        <f>IF('Données projet'!$A$150&gt;35,CT67+CS68-DB67,IF(A68&lt;'Données projet'!$A$150,$CQ$205^A68,IF(A68='Données projet'!$A$150,'Données projet'!$B$150,CT67+CS68-DB67)))</f>
        <v>155.97275641025641</v>
      </c>
      <c r="CU68" s="17">
        <f>CT68*VLOOKUP('Données projet'!$B$13,Paramètres!$A$1:$I$89,3,0)*VLOOKUP('Données projet'!$B$13,Paramètres!$A$1:$I$89,5,0)</f>
        <v>158.15637500000003</v>
      </c>
      <c r="CV68" s="13">
        <f t="shared" si="71"/>
        <v>40.426400572135641</v>
      </c>
      <c r="CW68" s="20">
        <f t="shared" ref="CW68:CW131" si="132">(CU68+CV68)*0.475*44/12</f>
        <v>345.86500078813629</v>
      </c>
      <c r="CX68" s="59">
        <f t="shared" ref="CX68:CX131" si="133">CW68+(CO68+CP68)*44/12</f>
        <v>639.19833412146954</v>
      </c>
      <c r="CY68" s="59">
        <f ca="1">AVERAGE(OFFSET($CX$3,0,0,'Données projet'!$E$13+1,1))-AVERAGE(OFFSET($H$3,0,0,'Données projet'!$E$13+1,1))</f>
        <v>250.31277422753283</v>
      </c>
      <c r="CZ68" s="59">
        <f t="shared" si="72"/>
        <v>159.20429420478047</v>
      </c>
      <c r="DA68" s="15">
        <f>IF(ISNA(VLOOKUP(A68,'Données projet'!$A$149:$I$169,3,0)),0,VLOOKUP(A68,'Données projet'!$A$149:$I$169,3,0))</f>
        <v>0</v>
      </c>
      <c r="DB68" s="15">
        <f>IF(ISNA(VLOOKUP(A68,'Données projet'!$A$149:$I$169,4,0)),0,VLOOKUP(A68,'Données projet'!$A$149:$I$169,4,0))</f>
        <v>0</v>
      </c>
      <c r="DC68" s="16">
        <f>IF(ISNA(VLOOKUP(A68,'Données projet'!$A$149:$I$169,5,0)),0%,VLOOKUP(A68,'Données projet'!$A$149:$I$169,5,0)*VLOOKUP('Données projet'!$B$13,Paramètres!$A$1:$I$89,7,0))</f>
        <v>0</v>
      </c>
      <c r="DD68" s="16">
        <f>IF(ISNA(VLOOKUP(A68,'Données projet'!$A$149:$I$169,6,0)),0%,VLOOKUP(A68,'Données projet'!$A$149:$I$169,6,0)*VLOOKUP('Données projet'!$B$13,Paramètres!$A$1:$I$89,7,0))</f>
        <v>0</v>
      </c>
      <c r="DE68" s="16">
        <f>IF(ISNA(VLOOKUP(A68,'Données projet'!$A$149:$I$169,7,0)),0%,VLOOKUP(A68,'Données projet'!$A$149:$I$169,7,0))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134">SUM(DF68:DH68)</f>
        <v>0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projet'!$A$175:$I$195,2,0)</f>
        <v>356</v>
      </c>
      <c r="DM68" s="12">
        <f>VLOOKUP(A68,'Données projet'!$A$175:$I$195,9,0)</f>
        <v>6</v>
      </c>
      <c r="DN68" s="12">
        <f t="array" ref="DN68">INDEX(DM:DM,MIN(IF(ISNUMBER(DM68:DM264),ROW(DM68:DM264),"")))</f>
        <v>6</v>
      </c>
      <c r="DO68" s="12">
        <f>IF('Données projet'!$A$176&gt;35,DO67+DN68-DW67,IF(A68&lt;'Données projet'!$A$176,$DL$205^A68,IF(A68='Données projet'!$A$176,'Données projet'!$B$176,DO67+DN68-DW67)))</f>
        <v>355.99999999999972</v>
      </c>
      <c r="DP68" s="17">
        <f>DO68*VLOOKUP('Données projet'!$B$14,Paramètres!$A$1:$I$89,3,0)*VLOOKUP('Données projet'!$B$14,Paramètres!$A$1:$I$89,5,0)</f>
        <v>261.01919999999978</v>
      </c>
      <c r="DQ68" s="13">
        <f t="shared" si="73"/>
        <v>62.939580716713571</v>
      </c>
      <c r="DR68" s="20">
        <f t="shared" ref="DR68:DR131" si="135">(DP68+DQ68)*0.475*44/12</f>
        <v>564.22820974827573</v>
      </c>
      <c r="DS68" s="59">
        <f t="shared" ref="DS68:DS131" si="136">DR68+(DJ68+DK68)*44/12</f>
        <v>857.56154308160899</v>
      </c>
      <c r="DT68" s="59">
        <f ca="1">AVERAGE(OFFSET($DS$3,0,0,'Données projet'!$E$14+1,1))-AVERAGE(OFFSET($H$3,0,0,'Données projet'!$E$14+1,1))</f>
        <v>296.91321813251051</v>
      </c>
      <c r="DU68" s="59">
        <f t="shared" si="74"/>
        <v>291.0718079639509</v>
      </c>
      <c r="DV68" s="15">
        <f>IF(ISNA(VLOOKUP(A68,'Données projet'!$A$175:$I$195,3,0)),0,VLOOKUP(A68,'Données projet'!$A$175:$I$195,3,0))</f>
        <v>12</v>
      </c>
      <c r="DW68" s="15">
        <f>IF(ISNA(VLOOKUP(A68,'Données projet'!$A$175:$I$195,4,0)),0,VLOOKUP(A68,'Données projet'!$A$175:$I$195,4,0))</f>
        <v>16</v>
      </c>
      <c r="DX68" s="16">
        <f>IF(ISNA(VLOOKUP(A68,'Données projet'!$A$175:$I$195,5,0)),0%,VLOOKUP(A68,'Données projet'!$A$175:$I$195,5,0)*VLOOKUP('Données projet'!$B$14,Paramètres!$A$1:$I$89,7,0))</f>
        <v>0.40419999999999995</v>
      </c>
      <c r="DY68" s="16">
        <f>IF(ISNA(VLOOKUP(A68,'Données projet'!$A$175:$I$195,6,0)),0%,VLOOKUP(A68,'Données projet'!$A$175:$I$195,6,0)*VLOOKUP('Données projet'!$B$14,Paramètres!$A$1:$I$89,7,0))</f>
        <v>2.58E-2</v>
      </c>
      <c r="DZ68" s="16">
        <f>IF(ISNA(VLOOKUP(A68,'Données projet'!$A$175:$I$195,7,0)),0%,VLOOKUP(A68,'Données projet'!$A$175:$I$195,7,0))</f>
        <v>0</v>
      </c>
      <c r="EA68" s="21">
        <f>EXP(-LN(2)/35)*EA67+(1-EXP(-LN(2)/35))/(LN(2)/35)*DW68*DX68*VLOOKUP('Données projet'!$B$14,Paramètres!$A$1:$I$89,3,0)*0.475*44/12</f>
        <v>43.836809488740769</v>
      </c>
      <c r="EB68" s="21">
        <f>EXP(-LN(2)/25)*EB67+(1-EXP(-LN(2)/25))/(LN(2)/25)*Calculateur!DW68*Calculateur!DY68*VLOOKUP('Données projet'!$B$14,Paramètres!$A$1:$I$89,3,0)*0.475*44/12</f>
        <v>7.2488406758590989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137">SUM(EA68:EC68)</f>
        <v>51.085650164599869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projet'!$A$201:$I$221,2,0)</f>
        <v>#N/A</v>
      </c>
      <c r="EH68" s="12" t="e">
        <f>VLOOKUP(A68,'Données projet'!$A$201:$I$221,9,0)</f>
        <v>#N/A</v>
      </c>
      <c r="EI68" s="12">
        <f t="array" ref="EI68">INDEX(EH:EH,MIN(IF(ISNUMBER(EH68:EH264),ROW(EH68:EH264),"")))</f>
        <v>9.8224358974358967</v>
      </c>
      <c r="EJ68" s="12">
        <f>IF('Données projet'!$A$202&gt;35,EJ67+EI68-ER67,IF(A68&lt;'Données projet'!$A$202,$EG$205^A68,IF(A68='Données projet'!$A$202,'Données projet'!$B$202,EJ67+EI68-ER67)))</f>
        <v>262.25256410256429</v>
      </c>
      <c r="EK68" s="17">
        <f>EJ68*VLOOKUP('Données projet'!$B$15,Paramètres!$A$1:$I$89,3,0)*VLOOKUP('Données projet'!$B$15,Paramètres!$A$1:$I$89,5,0)</f>
        <v>122.73420000000009</v>
      </c>
      <c r="EL68" s="13">
        <f t="shared" si="75"/>
        <v>32.311867973295051</v>
      </c>
      <c r="EM68" s="20">
        <f t="shared" ref="EM68:EM131" si="138">(EK68+EL68)*0.475*44/12</f>
        <v>270.03856838682231</v>
      </c>
      <c r="EN68" s="59">
        <f t="shared" ref="EN68:EN131" si="139">EM68+(EE68+EF68)*44/12</f>
        <v>563.37190172015562</v>
      </c>
      <c r="EO68" s="59">
        <f ca="1">AVERAGE(OFFSET($EN$3,0,0,'Données projet'!$E$15+1,1))-AVERAGE(OFFSET($H$3,0,0,'Données projet'!$E$15+1,1))</f>
        <v>147.64256291235483</v>
      </c>
      <c r="EP68" s="59">
        <f t="shared" si="76"/>
        <v>70.859031694091868</v>
      </c>
      <c r="EQ68" s="15">
        <f>IF(ISNA(VLOOKUP(A68,'Données projet'!$A$201:$I$221,3,0)),0,VLOOKUP(A68,'Données projet'!$A$201:$I$221,3,0))</f>
        <v>0</v>
      </c>
      <c r="ER68" s="15">
        <f>IF(ISNA(VLOOKUP(A68,'Données projet'!$A$201:$I$221,4,0)),0,VLOOKUP(A68,'Données projet'!$A$201:$I$221,4,0))</f>
        <v>0</v>
      </c>
      <c r="ES68" s="16">
        <f>IF(ISNA(VLOOKUP(A68,'Données projet'!$A$201:$I$221,5,0)),0%,VLOOKUP(A68,'Données projet'!$A$201:$I$221,5,0)*VLOOKUP('Données projet'!$B$15,Paramètres!$A$1:$I$89,7,0))</f>
        <v>0</v>
      </c>
      <c r="ET68" s="16">
        <f>IF(ISNA(VLOOKUP(A68,'Données projet'!$A$201:$I$221,6,0)),0%,VLOOKUP(A68,'Données projet'!$A$201:$I$221,6,0)*VLOOKUP('Données projet'!$B$15,Paramètres!$A$1:$I$89,7,0))</f>
        <v>0</v>
      </c>
      <c r="EU68" s="16">
        <f>IF(ISNA(VLOOKUP(A68,'Données projet'!$A$201:$I$221,7,0)),0%,VLOOKUP(A68,'Données projet'!$A$201:$I$221,7,0))</f>
        <v>0</v>
      </c>
      <c r="EV68" s="21">
        <f>EXP(-LN(2)/35)*EV67+(1-EXP(-LN(2)/35))/(LN(2)/35)*ER68*ES68*VLOOKUP('Données projet'!$B$15,Paramètres!$A$1:$I$89,3,0)*0.475*44/12</f>
        <v>24.83116561151564</v>
      </c>
      <c r="EW68" s="21">
        <f>EXP(-LN(2)/25)*EW67+(1-EXP(-LN(2)/25))/(LN(2)/25)*Calculateur!ER68*Calculateur!ET68*VLOOKUP('Données projet'!$B$15,Paramètres!$A$1:$I$89,3,0)*0.475*44/12</f>
        <v>18.801635628893713</v>
      </c>
      <c r="EX68" s="21">
        <f>EXP(-LN(2)/2)*EX67+(1-EXP(-LN(2)/2))/(LN(2)/2)*ER68*EU68*VLOOKUP('Données projet'!$B$15,Paramètres!$A$1:$I$89,3,0)*0.475*44/12</f>
        <v>3.9626857784323888</v>
      </c>
      <c r="EY68" s="22">
        <f t="shared" ref="EY68:EY131" si="140">SUM(EV68:EX68)</f>
        <v>47.595487018841737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projet'!$A$227:$I$247,2,0)</f>
        <v>195</v>
      </c>
      <c r="FC68" s="12">
        <f>VLOOKUP(A68,'Données projet'!$A$227:$I$247,9,0)</f>
        <v>4.4000000000000004</v>
      </c>
      <c r="FD68" s="12">
        <f t="array" ref="FD68">INDEX(FC:FC,MIN(IF(ISNUMBER(FC68:FC264),ROW(FC68:FC264),"")))</f>
        <v>4.4000000000000004</v>
      </c>
      <c r="FE68" s="12">
        <f>IF('Données projet'!$A$228&gt;35,FE67+FD68-FM67,IF(A68&lt;'Données projet'!$A$228,$FB$205^A68,IF(A68='Données projet'!$A$228,'Données projet'!$B$228,FE67+FD68-FM67)))</f>
        <v>195</v>
      </c>
      <c r="FF68" s="17">
        <f>FE68*VLOOKUP('Données projet'!$B$16,Paramètres!$A$1:$I$89,3,0)*VLOOKUP('Données projet'!$B$16,Paramètres!$A$1:$I$89,5,0)</f>
        <v>203.81400000000002</v>
      </c>
      <c r="FG68" s="13">
        <f t="shared" si="77"/>
        <v>50.581445724851562</v>
      </c>
      <c r="FH68" s="20">
        <f t="shared" ref="FH68:FH131" si="141">(FF68+FG68)*0.475*44/12</f>
        <v>443.07206797078311</v>
      </c>
      <c r="FI68" s="59">
        <f t="shared" ref="FI68:FI131" si="142">FH68+(EZ68+FA68)*44/12</f>
        <v>736.40540130411637</v>
      </c>
      <c r="FJ68" s="59">
        <f ca="1">AVERAGE(OFFSET($FI$3,0,0,'Données projet'!$E$16+1,1))-AVERAGE(OFFSET($H$3,0,0,'Données projet'!$E$16+1,1))</f>
        <v>259.03906550253788</v>
      </c>
      <c r="FK68" s="59">
        <f t="shared" si="78"/>
        <v>235.54542903570831</v>
      </c>
      <c r="FL68" s="15">
        <f>IF(ISNA(VLOOKUP(A68,'Données projet'!$A$227:$I$247,3,0)),0,VLOOKUP(A68,'Données projet'!$A$227:$I$247,3,0))</f>
        <v>10</v>
      </c>
      <c r="FM68" s="15" t="str">
        <f>IF(ISNA(VLOOKUP(A68,'Données projet'!$A$227:$I$247,4,0)),0,VLOOKUP(A68,'Données projet'!$A$227:$I$247,4,0))</f>
        <v>15</v>
      </c>
      <c r="FN68" s="16">
        <f>IF(ISNA(VLOOKUP(A68,'Données projet'!$A$227:$I$247,5,0)),0%,VLOOKUP(A68,'Données projet'!$A$227:$I$247,5,0)*VLOOKUP('Données projet'!$B$16,Paramètres!$A$1:$I$89,7,0))</f>
        <v>0.17200000000000001</v>
      </c>
      <c r="FO68" s="16">
        <f>IF(ISNA(VLOOKUP(A68,'Données projet'!$A$227:$I$247,6,0)),0%,VLOOKUP(A68,'Données projet'!$A$227:$I$247,6,0)*VLOOKUP('Données projet'!$B$16,Paramètres!$A$1:$I$89,7,0))</f>
        <v>0.17200000000000001</v>
      </c>
      <c r="FP68" s="16">
        <f>IF(ISNA(VLOOKUP(A68,'Données projet'!$A$227:$I$247,7,0)),0%,VLOOKUP(A68,'Données projet'!$A$227:$I$247,7,0))</f>
        <v>0</v>
      </c>
      <c r="FQ68" s="21">
        <f>EXP(-LN(2)/35)*FQ67+(1-EXP(-LN(2)/35))/(LN(2)/35)*FM68*FN68*VLOOKUP('Données projet'!$B$16,Paramètres!$A$1:$I$89,3,0)*0.475*44/12</f>
        <v>8.632519687703434</v>
      </c>
      <c r="FR68" s="21">
        <f>EXP(-LN(2)/25)*FR67+(1-EXP(-LN(2)/25))/(LN(2)/25)*Calculateur!FM68*Calculateur!FO68*VLOOKUP('Données projet'!$B$16,Paramètres!$A$1:$I$89,3,0)*0.475*44/12</f>
        <v>16.390026148580574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143">SUM(FQ68:FS68)</f>
        <v>25.02254583628401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>
        <f>VLOOKUP(A68,'Données projet'!$A$253:$I$273,2,0)</f>
        <v>255</v>
      </c>
      <c r="FX68" s="12">
        <f>VLOOKUP(A68,'Données projet'!$A$253:$I$273,9,0)</f>
        <v>4.4000000000000004</v>
      </c>
      <c r="FY68" s="12">
        <f t="array" ref="FY68">INDEX(FX:FX,MIN(IF(ISNUMBER(FX68:FX264),ROW(FX68:FX264),"")))</f>
        <v>4.4000000000000004</v>
      </c>
      <c r="FZ68" s="12">
        <f>IF('Données projet'!$A$254&gt;35,FZ67+FY68-GH67,IF(A68&lt;'Données projet'!$A$254,$FW$205^A68,IF(A68='Données projet'!$A$254,'Données projet'!$B$254,FZ67+FY68-GH67)))</f>
        <v>254.99999999999986</v>
      </c>
      <c r="GA68" s="17">
        <f>FZ68*VLOOKUP('Données projet'!$B$17,Paramètres!$A$1:$I$89,3,0)*VLOOKUP('Données projet'!$B$17,Paramètres!$A$1:$I$89,5,0)</f>
        <v>222.76799999999989</v>
      </c>
      <c r="GB68" s="13">
        <f t="shared" si="79"/>
        <v>54.716058356609459</v>
      </c>
      <c r="GC68" s="20">
        <f t="shared" ref="GC68:GC131" si="144">(GA68+GB68)*0.475*44/12</f>
        <v>483.28473497109462</v>
      </c>
      <c r="GD68" s="59">
        <f t="shared" ref="GD68:GD131" si="145">GC68+(FU68+FV68)*44/12</f>
        <v>776.61806830442788</v>
      </c>
      <c r="GE68" s="59">
        <f ca="1">AVERAGE(OFFSET($GD$3,0,0,'Données projet'!$E$17+1,1))-AVERAGE(OFFSET($H$3,0,0,'Données projet'!$E$17+1,1))</f>
        <v>245.1983232777614</v>
      </c>
      <c r="GF68" s="59">
        <f t="shared" si="80"/>
        <v>242.34010522344573</v>
      </c>
      <c r="GG68" s="15">
        <f>IF(ISNA(VLOOKUP(A68,'Données projet'!$A$253:$I$273,3,0)),0,VLOOKUP(A68,'Données projet'!$A$253:$I$273,3,0))</f>
        <v>11</v>
      </c>
      <c r="GH68" s="15">
        <f>IF(ISNA(VLOOKUP(A68,'Données projet'!$A$253:$I$273,4,0)),0,VLOOKUP(A68,'Données projet'!$A$253:$I$273,4,0))</f>
        <v>11</v>
      </c>
      <c r="GI68" s="16">
        <f>IF(ISNA(VLOOKUP(A68,'Données projet'!$A$253:$I$273,5,0)),0%,VLOOKUP(A68,'Données projet'!$A$253:$I$273,5,0)*VLOOKUP('Données projet'!$B$17,Paramètres!$A$1:$I$89,7,0))</f>
        <v>0.35259999999999997</v>
      </c>
      <c r="GJ68" s="16">
        <f>IF(ISNA(VLOOKUP(A68,'Données projet'!$A$253:$I$273,6,0)),0%,VLOOKUP(A68,'Données projet'!$A$253:$I$273,6,0)*VLOOKUP('Données projet'!$B$17,Paramètres!$A$1:$I$89,7,0))</f>
        <v>3.8699999999999998E-2</v>
      </c>
      <c r="GK68" s="16">
        <f>IF(ISNA(VLOOKUP(A68,'Données projet'!$A$253:$I$273,7,0)),0%,VLOOKUP(A68,'Données projet'!$A$253:$I$273,7,0))</f>
        <v>0</v>
      </c>
      <c r="GL68" s="21">
        <f>EXP(-LN(2)/35)*GL67+(1-EXP(-LN(2)/35))/(LN(2)/35)*GH68*GI68*VLOOKUP('Données projet'!$B$17,Paramètres!$A$1:$I$89,3,0)*0.475*44/12</f>
        <v>22.405169665664779</v>
      </c>
      <c r="GM68" s="21">
        <f>EXP(-LN(2)/25)*GM67+(1-EXP(-LN(2)/25))/(LN(2)/25)*Calculateur!GH68*Calculateur!GJ68*VLOOKUP('Données projet'!$B$17,Paramètres!$A$1:$I$89,3,0)*0.475*44/12</f>
        <v>9.5789927717036143</v>
      </c>
      <c r="GN68" s="21">
        <f>EXP(-LN(2)/2)*GN67+(1-EXP(-LN(2)/2))/(LN(2)/2)*GH68*GK68*VLOOKUP('Données projet'!$B$17,Paramètres!$A$1:$I$89,3,0)*0.475*44/12</f>
        <v>0</v>
      </c>
      <c r="GO68" s="21">
        <f t="shared" ref="GO68:GO131" si="146">SUM(GL68:GN68)</f>
        <v>31.984162437368393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>
        <f>VLOOKUP(A68,'Données projet'!$A$279:$I$299,2,0)</f>
        <v>734</v>
      </c>
      <c r="GS68" s="12">
        <f>VLOOKUP(A68,'Données projet'!$A$279:$I$299,9,0)</f>
        <v>12</v>
      </c>
      <c r="GT68" s="12">
        <f t="array" ref="GT68">INDEX(GS:GS,MIN(IF(ISNUMBER(GS68:GS264),ROW(GS68:GS264),"")))</f>
        <v>12</v>
      </c>
      <c r="GU68" s="12">
        <f>IF('Données projet'!$A$280&gt;35,GU67+GT68-HC67,IF(A68&lt;'Données projet'!$A$280,$GR$205^A68,IF(A68='Données projet'!$A$280,'Données projet'!$B$280,GU67+GT68-HC67)))</f>
        <v>734.00000000000023</v>
      </c>
      <c r="GV68" s="17">
        <f>GU68*VLOOKUP('Données projet'!$B$18,Paramètres!$A$1:$I$89,3,0)*VLOOKUP('Données projet'!$B$18,Paramètres!$A$1:$I$89,5,0)</f>
        <v>295.80200000000013</v>
      </c>
      <c r="GW68" s="13">
        <f t="shared" si="81"/>
        <v>70.295680935455152</v>
      </c>
      <c r="GX68" s="20">
        <f t="shared" ref="GX68:GX131" si="147">(GV68+GW68)*0.475*44/12</f>
        <v>637.62012762925121</v>
      </c>
      <c r="GY68" s="59">
        <f t="shared" ref="GY68:GY131" si="148">GX68+(GP68+GQ68)*44/12</f>
        <v>930.95346096258459</v>
      </c>
      <c r="GZ68" s="59">
        <f ca="1">AVERAGE(OFFSET($GY$3,0,0,'Données projet'!$E$18+1,1))-AVERAGE(OFFSET($H$3,0,0,'Données projet'!$E$18+1,1))</f>
        <v>324.36162935850876</v>
      </c>
      <c r="HA68" s="59">
        <f t="shared" si="82"/>
        <v>265.23571072429735</v>
      </c>
      <c r="HB68" s="15">
        <f>IF(ISNA(VLOOKUP(A68,'Données projet'!$A$279:$I$299,3,0)),0,VLOOKUP(A68,'Données projet'!$A$279:$I$299,3,0))</f>
        <v>10</v>
      </c>
      <c r="HC68" s="15">
        <f>IF(ISNA(VLOOKUP(A68,'Données projet'!$A$279:$I$299,4,0)),0,VLOOKUP(A68,'Données projet'!$A$279:$I$299,4,0))</f>
        <v>14</v>
      </c>
      <c r="HD68" s="16">
        <f>IF(ISNA(VLOOKUP(A68,'Données projet'!$A$279:$I$299,5,0)),0%,VLOOKUP(A68,'Données projet'!$A$279:$I$299,5,0)*VLOOKUP('Données projet'!$B$18,Paramètres!$A$1:$I$89,7,0))</f>
        <v>0.43365384615384617</v>
      </c>
      <c r="HE68" s="16">
        <f>IF(ISNA(VLOOKUP(A68,'Données projet'!$A$279:$I$299,6,0)),0%,VLOOKUP(A68,'Données projet'!$A$279:$I$299,6,0)*VLOOKUP('Données projet'!$B$18,Paramètres!$A$1:$I$89,7,0))</f>
        <v>7.4038461538461539E-2</v>
      </c>
      <c r="HF68" s="16">
        <f>IF(ISNA(VLOOKUP($A68,'Données projet'!$A$279:$I$299,7,0)),0%,VLOOKUP($A68,'Données projet'!$A$279:$I$299,7,0))</f>
        <v>3.8461538461538464E-2</v>
      </c>
      <c r="HG68" s="21">
        <f>EXP(-LN(2)/35)*HG67+(1-EXP(-LN(2)/35))/(LN(2)/35)*HC68*HD68*VLOOKUP('Données projet'!$B$18,Paramètres!$A$1:$I$89,3,0)*0.475*44/12</f>
        <v>14.81525161951099</v>
      </c>
      <c r="HH68" s="21">
        <f>EXP(-LN(2)/25)*HH67+(1-EXP(-LN(2)/25))/(LN(2)/25)*Calculateur!HC68*Calculateur!HE68*VLOOKUP('Données projet'!$B$18,Paramètres!$A$1:$I$89,3,0)*0.475*44/12</f>
        <v>10.870691103021327</v>
      </c>
      <c r="HI68" s="21">
        <f>EXP(-LN(2)/2)*HI67+(1-EXP(-LN(2)/2))/(LN(2)/2)*HC68*HF68*VLOOKUP('Données projet'!$B$18,Paramètres!$A$1:$I$89,3,0)*0.475*44/12</f>
        <v>0.32917170549795105</v>
      </c>
      <c r="HJ68" s="22">
        <f t="shared" ref="HJ68:HJ131" si="149">SUM(HG68:HI68)</f>
        <v>26.01511442803027</v>
      </c>
      <c r="HK68" s="74">
        <f>('Scénario référence'!$F$8+'Scénario référence'!$F$9+'Scénario référence'!$B$17+'Scénario référence'!$B$9+'Scénario référence'!$B$10)*70+IF((45+25*(1-EXP(-0.0175*$A68)))&lt;70,'Scénario référence'!$B$16*(45+25*(1-EXP(-0.0175*$A68))),70*'Scénario référence'!$B$16)+IF((32+38*(1-EXP(-0.0175*$A68)))&lt;70,'Scénario référence'!$B$18*(32+38*(1-EXP(-0.0175*$A68))),70*'Scénario référence'!$B$18)</f>
        <v>70</v>
      </c>
      <c r="HL68" s="12">
        <f>IF($A68&gt;30,10,('Scénario référence'!$B$16+'Scénario référence'!$B$17+'Scénario référence'!$B$18+'Scénario référence'!$B$9+'Scénario référence'!$B$10)*$A68*10/30+('Scénario référence'!$F$8+'Scénario référence'!$F$9)*10)</f>
        <v>10</v>
      </c>
      <c r="HM68" s="12" t="e">
        <f>VLOOKUP($A68,'Données projet'!$A$304:$I$324,2,0)</f>
        <v>#N/A</v>
      </c>
      <c r="HN68" s="12" t="e">
        <f>VLOOKUP($A68,'Données projet'!$A$304:$I$324,9,0)</f>
        <v>#N/A</v>
      </c>
      <c r="HO68" s="12">
        <f t="array" ref="HO68">INDEX(HN:HN,MIN(IF(ISNUMBER(HN68:HN264),ROW(HN68:HN264),"")))</f>
        <v>0</v>
      </c>
      <c r="HP68" s="12">
        <f>IF('Données projet'!$A$304&gt;35,HP67+HO68-HX67,IF($A68&lt;'Données projet'!$A$304,$CQ$205^$A68,IF($A68='Données projet'!$A$304,'Données projet'!$B$304,HP67+HO68-HX67)))</f>
        <v>0</v>
      </c>
      <c r="HQ68" s="17">
        <f>HP68*VLOOKUP('Données projet'!$B$19,Paramètres!$A$1:$I$89,3,0)*VLOOKUP('Données projet'!$B$19,Paramètres!$A$1:$I$89,5,0)</f>
        <v>0</v>
      </c>
      <c r="HR68" s="13" t="e">
        <f t="shared" si="83"/>
        <v>#NUM!</v>
      </c>
      <c r="HS68" s="14" t="e">
        <f t="shared" ref="HS68:HS131" si="150">(HQ68+HR68)*0.475*44/12</f>
        <v>#NUM!</v>
      </c>
      <c r="HT68" s="59" t="e">
        <f t="shared" ref="HT68:HT131" si="151">HS68+(HK68+HL68)*44/12</f>
        <v>#NUM!</v>
      </c>
      <c r="HU68" s="59">
        <f ca="1">AVERAGE(OFFSET(HT$3,0,0,'Données projet'!$E$19+1,1))-AVERAGE(OFFSET($H$3,0,0,'Données projet'!$E$19+1,1))</f>
        <v>91.60721429656013</v>
      </c>
      <c r="HV68" s="59">
        <f t="shared" si="84"/>
        <v>258.94957804210856</v>
      </c>
      <c r="HW68" s="15">
        <f>IF(ISNA(VLOOKUP($A68,'Données projet'!$A$304:$I$324,3,0)),0,VLOOKUP($A68,'Données projet'!$A$304:$I$324,3,0))</f>
        <v>0</v>
      </c>
      <c r="HX68" s="15">
        <f>IF(ISNA(VLOOKUP($A68,'Données projet'!$A$304:$I$324,4,0)),0,VLOOKUP($A68,'Données projet'!$A$304:$I$324,4,0))</f>
        <v>0</v>
      </c>
      <c r="HY68" s="16">
        <f>IF(ISNA(VLOOKUP($A68,'Données projet'!$A$304:$I$324,5,0)),0%,VLOOKUP($A68,'Données projet'!$A$304:$I$324,5,0)*VLOOKUP('Données projet'!$B$19,Paramètres!$A$1:$I$89,7,0))</f>
        <v>0</v>
      </c>
      <c r="HZ68" s="16">
        <f>IF(ISNA(VLOOKUP($A68,'Données projet'!$A$304:$I$324,6,0)),0%,VLOOKUP($A68,'Données projet'!$A$304:$I$324,6,0)*VLOOKUP('Données projet'!$B$19,Paramètres!$A$1:$I$89,7,0))</f>
        <v>0</v>
      </c>
      <c r="IA68" s="16">
        <f>IF(ISNA(VLOOKUP($A68,'Données projet'!$A$304:$I$324,7,0)),0%,VLOOKUP($A68,'Données projet'!$A$304:$I$324,7,0))</f>
        <v>0</v>
      </c>
      <c r="IB68" s="21">
        <f>EXP(-LN(2)/35)*IB67+(1-EXP(-LN(2)/35))/(LN(2)/35)*HX68*HY68*VLOOKUP('Données projet'!$B$19,Paramètres!$A$1:$I$89,3,0)*0.475*44/12</f>
        <v>24.666352356718374</v>
      </c>
      <c r="IC68" s="21">
        <f>EXP(-LN(2)/25)*IC67+(1-EXP(-LN(2)/25))/(LN(2)/25)*Calculateur!HX68*Calculateur!HZ68*VLOOKUP('Données projet'!$B$19,Paramètres!$A$1:$I$89,3,0)*0.475*44/12</f>
        <v>3.6861191193775924</v>
      </c>
      <c r="ID68" s="21">
        <f>EXP(-LN(2)/2)*ID67+(1-EXP(-LN(2)/2))/(LN(2)/2)*HX68*IA68*VLOOKUP('Données projet'!$B$19,Paramètres!$A$1:$I$89,3,0)*0.475*44/12</f>
        <v>3.0904217090801746E-6</v>
      </c>
      <c r="IE68" s="22">
        <f t="shared" ref="IE68:IE131" si="152">SUM(IB68:ID68)</f>
        <v>28.352474566517678</v>
      </c>
      <c r="IF68" s="74">
        <f>('Scénario référence'!$F$8+'Scénario référence'!$F$9+'Scénario référence'!$B$17+'Scénario référence'!$B$9+'Scénario référence'!$B$10)*70+IF((45+25*(1-EXP(-0.0175*$A68)))&lt;70,'Scénario référence'!$B$16*(45+25*(1-EXP(-0.0175*$A68))),70*'Scénario référence'!$B$16)+IF((32+38*(1-EXP(-0.0175*$A68)))&lt;70,'Scénario référence'!$B$18*(32+38*(1-EXP(-0.0175*$A68))),70*'Scénario référence'!$B$18)</f>
        <v>70</v>
      </c>
      <c r="IG68" s="12">
        <f>IF($A68&gt;30,10,('Scénario référence'!$B$16+'Scénario référence'!$B$17+'Scénario référence'!$B$18+'Scénario référence'!$B$9+'Scénario référence'!$B$10)*$A68*10/30+('Scénario référence'!$F$8+'Scénario référence'!$F$9)*10)</f>
        <v>10</v>
      </c>
      <c r="IH68" s="12" t="e">
        <f>VLOOKUP($A68,'Données projet'!$A$330:$I$350,2,0)</f>
        <v>#N/A</v>
      </c>
      <c r="II68" s="12" t="e">
        <f>VLOOKUP($A68,'Données projet'!$A$330:$I$350,9,0)</f>
        <v>#N/A</v>
      </c>
      <c r="IJ68" s="12">
        <f t="array" ref="IJ68">INDEX(II:II,MIN(IF(ISNUMBER(II68:II264),ROW(II68:II264),"")))</f>
        <v>0</v>
      </c>
      <c r="IK68" s="12">
        <f>IF('Données projet'!$A$330&gt;35,IK67+IJ68-IS67,IF($A68&lt;'Données projet'!$A$330,$CQ$205^$A68,IF($A68='Données projet'!$A$330,'Données projet'!$B$330,IK67+IJ68-IS67)))</f>
        <v>0</v>
      </c>
      <c r="IL68" s="17">
        <f>IK68*VLOOKUP('Données projet'!$B$20,Paramètres!$A$1:$I$89,3,0)*VLOOKUP('Données projet'!$B$20,Paramètres!$A$1:$I$89,5,0)</f>
        <v>0</v>
      </c>
      <c r="IM68" s="13" t="e">
        <f t="shared" si="85"/>
        <v>#NUM!</v>
      </c>
      <c r="IN68" s="20" t="e">
        <f t="shared" ref="IN68:IN131" si="153">(IL68+IM68)*0.475*44/12</f>
        <v>#NUM!</v>
      </c>
      <c r="IO68" s="59" t="e">
        <f t="shared" ref="IO68:IO131" si="154">IN68+(IF68+IG68)*44/12</f>
        <v>#NUM!</v>
      </c>
      <c r="IP68" s="59">
        <f ca="1">AVERAGE(OFFSET(IO$3,0,0,'Données projet'!$E$20+1,1))-AVERAGE(OFFSET($H$3,0,0,'Données projet'!$E$20+1,1))</f>
        <v>91.60721429656013</v>
      </c>
      <c r="IQ68" s="59">
        <f t="shared" si="88"/>
        <v>258.94957804210856</v>
      </c>
      <c r="IR68" s="15">
        <f>IF(ISNA(VLOOKUP($A68,'Données projet'!$A$330:$I$350,3,0)),0,VLOOKUP($A68,'Données projet'!$A$330:$I$350,3,0))</f>
        <v>0</v>
      </c>
      <c r="IS68" s="15">
        <f>IF(ISNA(VLOOKUP($A68,'Données projet'!$A$330:$I$350,4,0)),0,VLOOKUP($A68,'Données projet'!$A$330:$I$350,4,0))</f>
        <v>0</v>
      </c>
      <c r="IT68" s="16">
        <f>IF(ISNA(VLOOKUP($A68,'Données projet'!$A$330:$I$350,5,0)),0%,VLOOKUP($A68,'Données projet'!$A$330:$I$350,5,0)*VLOOKUP('Données projet'!$B$20,Paramètres!$A$1:$I$89,7,0))</f>
        <v>0</v>
      </c>
      <c r="IU68" s="16">
        <f>IF(ISNA(VLOOKUP($A68,'Données projet'!$A$330:$I$350,6,0)),0%,VLOOKUP($A68,'Données projet'!$A$330:$I$350,6,0)*VLOOKUP('Données projet'!$B$20,Paramètres!$A$1:$I$89,7,0))</f>
        <v>0</v>
      </c>
      <c r="IV68" s="16">
        <f>IF(ISNA(VLOOKUP($A68,'Données projet'!$A$330:$I$350,7,0)),0%,VLOOKUP($A68,'Données projet'!$A$330:$I$350,7,0))</f>
        <v>0</v>
      </c>
      <c r="IW68" s="21">
        <f>EXP(-LN(2)/35)*IW67+(1-EXP(-LN(2)/35))/(LN(2)/35)*IS68*IT68*VLOOKUP('Données projet'!$B$20,Paramètres!$A$1:$I$89,3,0)*0.475*44/12</f>
        <v>24.666352356718374</v>
      </c>
      <c r="IX68" s="21">
        <f>EXP(-LN(2)/25)*IX67+(1-EXP(-LN(2)/25))/(LN(2)/25)*Calculateur!IS68*Calculateur!IU68*VLOOKUP('Données projet'!$B$20,Paramètres!$A$1:$I$89,3,0)*0.475*44/12</f>
        <v>3.6861191193775924</v>
      </c>
      <c r="IY68" s="21">
        <f>EXP(-LN(2)/2)*IY67+(1-EXP(-LN(2)/2))/(LN(2)/2)*IS68*IV68*VLOOKUP('Données projet'!$B$20,Paramètres!$A$1:$I$89,3,0)*0.475*44/12</f>
        <v>3.0904217090801746E-6</v>
      </c>
      <c r="IZ68" s="22">
        <f t="shared" ref="IZ68:IZ131" si="155">SUM(IW68:IY68)</f>
        <v>28.352474566517678</v>
      </c>
      <c r="JA68" s="74">
        <f>('Scénario référence'!$F$8+'Scénario référence'!$F$9+'Scénario référence'!$B$17+'Scénario référence'!$B$9+'Scénario référence'!$B$10)*70+IF((45+25*(1-EXP(-0.0175*$A68)))&lt;70,'Scénario référence'!$B$16*(45+25*(1-EXP(-0.0175*$A68))),70*'Scénario référence'!$B$16)+IF((32+38*(1-EXP(-0.0175*$A68)))&lt;70,'Scénario référence'!$B$18*(32+38*(1-EXP(-0.0175*$A68))),70*'Scénario référence'!$B$18)</f>
        <v>70</v>
      </c>
      <c r="JB68" s="12">
        <f>IF($A68&gt;30,10,('Scénario référence'!$B$16+'Scénario référence'!$B$17+'Scénario référence'!$B$18+'Scénario référence'!$B$9+'Scénario référence'!$B$10)*$A68*10/30+('Scénario référence'!$F$8+'Scénario référence'!$F$9)*10)</f>
        <v>10</v>
      </c>
      <c r="JC68" s="12">
        <f>VLOOKUP($A68,'Données projet'!$A$356:$I$376,2,0)</f>
        <v>294</v>
      </c>
      <c r="JD68" s="12">
        <f>VLOOKUP($A68,'Données projet'!$A$356:$I$376,9,0)</f>
        <v>10.4</v>
      </c>
      <c r="JE68" s="12">
        <f t="array" ref="JE68">INDEX(JD:JD,MIN(IF(ISNUMBER(JD68:JD264),ROW(JD68:JD264),"")))</f>
        <v>10.4</v>
      </c>
      <c r="JF68" s="12">
        <f>IF('Données projet'!$A$356&gt;35,JF67+JE68-JN67,IF($A68&lt;'Données projet'!$A$356,$CQ$205^$A68,IF($A68='Données projet'!$A$356,'Données projet'!$B$356,JF67+JE68-JN67)))</f>
        <v>294</v>
      </c>
      <c r="JG68" s="17">
        <f>JF68*VLOOKUP('Données projet'!$B$21,Paramètres!$A$1:$I$89,3,0)*VLOOKUP('Données projet'!$B$21,Paramètres!$A$1:$I$89,5,0)</f>
        <v>238.49279999999999</v>
      </c>
      <c r="JH68" s="13">
        <f t="shared" si="90"/>
        <v>58.115130258576542</v>
      </c>
      <c r="JI68" s="20">
        <f t="shared" ref="JI68:JI131" si="156">(JG68+JH68)*0.475*44/12</f>
        <v>516.59214520035414</v>
      </c>
      <c r="JJ68" s="59">
        <f t="shared" ref="JJ68:JJ131" si="157">JI68+(JA68+JB68)*44/12</f>
        <v>809.92547853368751</v>
      </c>
      <c r="JK68" s="59">
        <f ca="1">AVERAGE(OFFSET($JJ$3,0,0,'Données projet'!$E$22+1,1))-AVERAGE(OFFSET($H$3,0,0,'Données projet'!$E$22+1,1))</f>
        <v>353.35574633294613</v>
      </c>
      <c r="JL68" s="59">
        <f t="shared" si="93"/>
        <v>170.36796666474726</v>
      </c>
      <c r="JM68" s="15">
        <f>IF(ISNA(VLOOKUP($A68,'Données projet'!$A$356:$I$376,3,0)),0,VLOOKUP($A68,'Données projet'!$A$356:$I$376,3,0))</f>
        <v>9</v>
      </c>
      <c r="JN68" s="15">
        <f>IF(ISNA(VLOOKUP($A68,'Données projet'!$A$356:$I$376,4,0)),0,VLOOKUP($A68,'Données projet'!$A$356:$I$376,4,0))</f>
        <v>28</v>
      </c>
      <c r="JO68" s="16">
        <f>IF(ISNA(VLOOKUP($A68,'Données projet'!$A$356:$I$376,5,0)),0%,VLOOKUP($A68,'Données projet'!$A$356:$I$376,5,0)*VLOOKUP('Données projet'!$B$21,Paramètres!$A$1:$I$89,7,0))</f>
        <v>0</v>
      </c>
      <c r="JP68" s="16">
        <f>IF(ISNA(VLOOKUP($A68,'Données projet'!$A$356:$I$376,6,0)),0%,VLOOKUP($A68,'Données projet'!$A$356:$I$376,6,0)*VLOOKUP('Données projet'!$B$21,Paramètres!$A$1:$I$89,7,0))</f>
        <v>0.129</v>
      </c>
      <c r="JQ68" s="16">
        <f>IF(ISNA(VLOOKUP($A68,'Données projet'!$A$356:$I$376,7,0)),0%,VLOOKUP($A68,'Données projet'!$A$356:$I$376,7,0))</f>
        <v>0.3</v>
      </c>
      <c r="JR68" s="21">
        <f>EXP(-LN(2)/35)*JR67+(1-EXP(-LN(2)/35))/(LN(2)/35)*JN68*JO68*VLOOKUP('Données projet'!$B$21,Paramètres!$A$1:$I$89,3,0)*0.475*44/12</f>
        <v>0</v>
      </c>
      <c r="JS68" s="21">
        <f>EXP(-LN(2)/25)*JS67+(1-EXP(-LN(2)/25))/(LN(2)/25)*Calculateur!JN68*Calculateur!JP68*VLOOKUP('Données projet'!$B$21,Paramètres!$A$1:$I$89,3,0)*0.475*44/12</f>
        <v>10.813174037090754</v>
      </c>
      <c r="JT68" s="21">
        <f>EXP(-LN(2)/2)*JT67+(1-EXP(-LN(2)/2))/(LN(2)/2)*JN68*JQ68*VLOOKUP('Données projet'!$B$21,Paramètres!$A$1:$I$89,3,0)*0.475*44/12</f>
        <v>7.8098636300916304</v>
      </c>
      <c r="JU68" s="18">
        <f t="shared" ref="JU68:JU131" si="158">SUM(JR68:JT68)</f>
        <v>18.623037667182384</v>
      </c>
      <c r="JV68" s="74">
        <f>('Scénario référence'!$F$8+'Scénario référence'!$F$9+'Scénario référence'!$B$17+'Scénario référence'!$B$9+'Scénario référence'!$B$10)*70+IF((45+25*(1-EXP(-0.0175*$A68)))&lt;70,'Scénario référence'!$B$16*(45+25*(1-EXP(-0.0175*$A68))),70*'Scénario référence'!$B$16)+IF((32+38*(1-EXP(-0.0175*$A68)))&lt;70,'Scénario référence'!$B$18*(32+38*(1-EXP(-0.0175*$A68))),70*'Scénario référence'!$B$18)</f>
        <v>70</v>
      </c>
      <c r="JW68" s="12">
        <f>IF($A68&gt;30,10,('Scénario référence'!$B$16+'Scénario référence'!$B$17+'Scénario référence'!$B$18+'Scénario référence'!$B$9+'Scénario référence'!$B$10)*$A68*10/30+('Scénario référence'!$F$8+'Scénario référence'!$F$9)*10)</f>
        <v>10</v>
      </c>
      <c r="JX68" s="12" t="e">
        <f>VLOOKUP($A68,'Données projet'!$A$382:$I$402,2,0)</f>
        <v>#N/A</v>
      </c>
      <c r="JY68" s="12" t="e">
        <f>VLOOKUP($A68,'Données projet'!$A$382:$I$402,9,0)</f>
        <v>#N/A</v>
      </c>
      <c r="JZ68" s="12">
        <f t="array" ref="JZ68">INDEX(JY:JY,MIN(IF(ISNUMBER(JY68:JY264),ROW(JY68:JY264),"")))</f>
        <v>8.1001602564102626</v>
      </c>
      <c r="KA68" s="12">
        <f>IF('Données projet'!$A$382&gt;35,KA67+JZ68-KI67,IF($A68&lt;'Données projet'!$A$382,$CQ$205^$A68,IF($A68='Données projet'!$A$382,'Données projet'!$B$382,KA67+JZ68-KI67)))</f>
        <v>194.76442307692315</v>
      </c>
      <c r="KB68" s="17">
        <f>KA68*VLOOKUP('Données projet'!$B$22,Paramètres!$A$1:$I$89,3,0)*VLOOKUP('Données projet'!$B$22,Paramètres!$A$1:$I$89,5,0)</f>
        <v>130.64797500000006</v>
      </c>
      <c r="KC68" s="13">
        <f t="shared" si="94"/>
        <v>34.146043975082897</v>
      </c>
      <c r="KD68" s="20">
        <f t="shared" ref="KD68:KD131" si="159">(KB68+KC68)*0.475*44/12</f>
        <v>287.01624971493612</v>
      </c>
      <c r="KE68" s="59">
        <f t="shared" ref="KE68:KE131" si="160">KD68+(JV68+JW68)*44/12</f>
        <v>580.34958304826944</v>
      </c>
      <c r="KF68" s="59">
        <f ca="1">AVERAGE(OFFSET($KE$3,0,0,'Données projet'!$E$22+1,1))-AVERAGE(OFFSET($H$3,0,0,'Données projet'!$E$22+1,1))</f>
        <v>193.91714772848269</v>
      </c>
      <c r="KG68" s="59">
        <f t="shared" si="97"/>
        <v>159.20429420478047</v>
      </c>
      <c r="KH68" s="15">
        <f>IF(ISNA(VLOOKUP($A68,'Données projet'!$A$382:$I$402,3,0)),0,VLOOKUP($A68,'Données projet'!$A$382:$I$402,3,0))</f>
        <v>0</v>
      </c>
      <c r="KI68" s="15">
        <f>IF(ISNA(VLOOKUP($A68,'Données projet'!$A$382:$I$402,4,0)),0,VLOOKUP($A68,'Données projet'!$A$382:$I$402,4,0))</f>
        <v>0</v>
      </c>
      <c r="KJ68" s="16">
        <f>IF(ISNA(VLOOKUP($A68,'Données projet'!$A$382:$I$402,5,0)),0%,VLOOKUP($A68,'Données projet'!$A$382:$I$402,5,0)*VLOOKUP('Données projet'!$B$22,Paramètres!$A$1:$I$89,7,0))</f>
        <v>0</v>
      </c>
      <c r="KK68" s="16">
        <f>IF(ISNA(VLOOKUP($A68,'Données projet'!$A$382:$I$402,6,0)),0%,VLOOKUP($A68,'Données projet'!$A$382:$I$402,6,0)*VLOOKUP('Données projet'!$B$22,Paramètres!$A$1:$I$89,7,0))</f>
        <v>0</v>
      </c>
      <c r="KL68" s="16">
        <f>IF(ISNA(VLOOKUP($A68,'Données projet'!$A$382:$I$402,7,0)),0%,VLOOKUP($A68,'Données projet'!$A$382:$I$402,7,0))</f>
        <v>0</v>
      </c>
      <c r="KM68" s="21">
        <f>EXP(-LN(2)/35)*KM67+(1-EXP(-LN(2)/35))/(LN(2)/35)*KI68*KJ68*VLOOKUP('Données projet'!$B$22,Paramètres!$A$1:$I$89,3,0)*0.475*44/12</f>
        <v>11.0332137779967</v>
      </c>
      <c r="KN68" s="21">
        <f>EXP(-LN(2)/25)*KN67+(1-EXP(-LN(2)/25))/(LN(2)/25)*Calculateur!KI68*Calculateur!KK68*VLOOKUP('Données projet'!$B$22,Paramètres!$A$1:$I$89,3,0)*0.475*44/12</f>
        <v>0</v>
      </c>
      <c r="KO68" s="21">
        <f>EXP(-LN(2)/2)*KO67+(1-EXP(-LN(2)/2))/(LN(2)/2)*KI68*KL68*VLOOKUP('Données projet'!$B$22,Paramètres!$A$1:$I$89,3,0)*0.475*44/12</f>
        <v>0</v>
      </c>
      <c r="KP68" s="22">
        <f t="shared" ref="KP68:KP131" si="161">SUM(KM68:KO68)</f>
        <v>11.0332137779967</v>
      </c>
      <c r="KQ68" s="74">
        <f>('Scénario référence'!$F$8+'Scénario référence'!$F$9+'Scénario référence'!$B$17+'Scénario référence'!$B$9+'Scénario référence'!$B$10)*70+IF((45+25*(1-EXP(-0.0175*$A68)))&lt;70,'Scénario référence'!$B$16*(45+25*(1-EXP(-0.0175*$A68))),70*'Scénario référence'!$B$16)+IF((32+38*(1-EXP(-0.0175*$A68)))&lt;70,'Scénario référence'!$B$18*(32+38*(1-EXP(-0.0175*$A68))),70*'Scénario référence'!$B$18)</f>
        <v>70</v>
      </c>
      <c r="KR68" s="12">
        <f>IF($A68&gt;30,10,('Scénario référence'!$B$16+'Scénario référence'!$B$17+'Scénario référence'!$B$18+'Scénario référence'!$B$9+'Scénario référence'!$B$10)*$A68*10/30+('Scénario référence'!$F$8+'Scénario référence'!$F$9)*10)</f>
        <v>10</v>
      </c>
      <c r="KS68" s="12">
        <f>VLOOKUP($A68,'Données projet'!$A$408:$I$428,2,0)</f>
        <v>255</v>
      </c>
      <c r="KT68" s="12">
        <f>VLOOKUP($A68,'Données projet'!$A$408:$I$428,9,0)</f>
        <v>4.4000000000000004</v>
      </c>
      <c r="KU68" s="12">
        <f t="array" ref="KU68">INDEX(KT:KT,MIN(IF(ISNUMBER(KT68:KT264),ROW(KT68:KT264),"")))</f>
        <v>4.4000000000000004</v>
      </c>
      <c r="KV68" s="12">
        <f>IF('Données projet'!$A$408&gt;35,KV67+KU68-LD67,IF($A68&lt;'Données projet'!$A$408,$CQ$205^$A68,IF($A68='Données projet'!$A$408,'Données projet'!$B$408,KV67+KU68-LD67)))</f>
        <v>254.99999999999989</v>
      </c>
      <c r="KW68" s="17">
        <f>KV68*VLOOKUP('Données projet'!$B$23,Paramètres!$A$1:$I$89,3,0)*VLOOKUP('Données projet'!$B$23,Paramètres!$A$1:$I$89,5,0)</f>
        <v>222.76799999999994</v>
      </c>
      <c r="KX68" s="13">
        <f t="shared" si="99"/>
        <v>54.716058356609508</v>
      </c>
      <c r="KY68" s="14">
        <f t="shared" ref="KY68:KY131" si="162">(KW68+KX68)*0.475*44/12</f>
        <v>483.28473497109485</v>
      </c>
      <c r="KZ68" s="59">
        <f t="shared" ref="KZ68:KZ131" si="163">KY68+(KQ68+KR68)*44/12</f>
        <v>776.61806830442811</v>
      </c>
      <c r="LA68" s="59">
        <f ca="1">AVERAGE(OFFSET($KZ$3,0,0,'Données projet'!$E$23+1,1))-AVERAGE(OFFSET($H$3,0,0,'Données projet'!$E$23+1,1))</f>
        <v>248.33596943633819</v>
      </c>
      <c r="LB68" s="59">
        <f t="shared" si="100"/>
        <v>242.34010522344573</v>
      </c>
      <c r="LC68" s="15">
        <f>IF(ISNA(VLOOKUP($A68,'Données projet'!$A$408:$I$428,3,0)),0,VLOOKUP($A68,'Données projet'!$A$408:$I$428,3,0))</f>
        <v>11</v>
      </c>
      <c r="LD68" s="15">
        <f>IF(ISNA(VLOOKUP($A68,'Données projet'!$A$408:$I$428,4,0)),0,VLOOKUP($A68,'Données projet'!$A$408:$I$428,4,0))</f>
        <v>11</v>
      </c>
      <c r="LE68" s="16">
        <f>IF(ISNA(VLOOKUP($A68,'Données projet'!$A$408:$I$428,5,0)),0%,VLOOKUP($A68,'Données projet'!$A$408:$I$428,5,0)*VLOOKUP('Données projet'!$B$23,Paramètres!$A$1:$I$89,7,0))</f>
        <v>0.35259999999999997</v>
      </c>
      <c r="LF68" s="16">
        <f>IF(ISNA(VLOOKUP($A68,'Données projet'!$A$408:$I$428,6,0)),0%,VLOOKUP($A68,'Données projet'!$A$408:$I$428,6,0)*VLOOKUP('Données projet'!$B$23,Paramètres!$A$1:$I$89,7,0))</f>
        <v>3.8699999999999998E-2</v>
      </c>
      <c r="LG68" s="16">
        <f>IF(ISNA(VLOOKUP($A68,'Données projet'!$A$408:$I$428,7,0)),0%,VLOOKUP($A68,'Données projet'!$A$408:$I$428,7,0))</f>
        <v>0</v>
      </c>
      <c r="LH68" s="21">
        <f>EXP(-LN(2)/35)*LH67+(1-EXP(-LN(2)/35))/(LN(2)/35)*LD68*LE68*VLOOKUP('Données projet'!$B$23,Paramètres!$A$1:$I$89,3,0)*0.475*44/12</f>
        <v>22.405169665664779</v>
      </c>
      <c r="LI68" s="21">
        <f>EXP(-LN(2)/25)*LI67+(1-EXP(-LN(2)/25))/(LN(2)/25)*Calculateur!LD68*Calculateur!LF68*VLOOKUP('Données projet'!$B$23,Paramètres!$A$1:$I$89,3,0)*0.475*44/12</f>
        <v>9.5789927717036143</v>
      </c>
      <c r="LJ68" s="21">
        <f>EXP(-LN(2)/2)*LJ67+(1-EXP(-LN(2)/2))/(LN(2)/2)*LD68*LG68*VLOOKUP('Données projet'!$B$23,Paramètres!$A$1:$I$89,3,0)*0.475*44/12</f>
        <v>0</v>
      </c>
      <c r="LK68" s="22">
        <f t="shared" ref="LK68:LK131" si="164">SUM(LH68:LJ68)</f>
        <v>31.984162437368393</v>
      </c>
      <c r="LL68" s="74">
        <f>('Scénario référence'!$F$8+'Scénario référence'!$F$9+'Scénario référence'!$B$17+'Scénario référence'!$B$9+'Scénario référence'!$B$10)*70+IF((45+25*(1-EXP(-0.0175*$A68)))&lt;70,'Scénario référence'!$B$16*(45+25*(1-EXP(-0.0175*$A68))),70*'Scénario référence'!$B$16)+IF((32+38*(1-EXP(-0.0175*$A68)))&lt;70,'Scénario référence'!$B$18*(32+38*(1-EXP(-0.0175*$A68))),70*'Scénario référence'!$B$18)</f>
        <v>70</v>
      </c>
      <c r="LM68" s="12">
        <f>IF($A68&gt;30,10,('Scénario référence'!$B$16+'Scénario référence'!$B$17+'Scénario référence'!$B$18+'Scénario référence'!$B$9+'Scénario référence'!$B$10)*$A68*10/30+('Scénario référence'!$F$8+'Scénario référence'!$F$9)*10)</f>
        <v>10</v>
      </c>
      <c r="LN68" s="12" t="e">
        <f>VLOOKUP($A68,'Données projet'!$A$434:$I$454,2,0)</f>
        <v>#N/A</v>
      </c>
      <c r="LO68" s="12" t="e">
        <f>VLOOKUP($A68,'Données projet'!$A$434:$I$454,9,0)</f>
        <v>#N/A</v>
      </c>
      <c r="LP68" s="12">
        <f t="array" ref="LP68">INDEX(LO:LO,MIN(IF(ISNUMBER(LO68:LO264),ROW(LO68:LO264),"")))</f>
        <v>5.9431089743589762</v>
      </c>
      <c r="LQ68" s="12">
        <f>IF('Données projet'!$A$434&gt;35,LQ67+LP68-LY67,IF($A68&lt;'Données projet'!$A$434,$CQ$205^$A68,IF($A68='Données projet'!$A$434,'Données projet'!$B$434,LQ67+LP68-LY67)))</f>
        <v>155.97275641025641</v>
      </c>
      <c r="LR68" s="17">
        <f>LQ68*VLOOKUP('Données projet'!$B$24,Paramètres!$A$1:$I$89,3,0)*VLOOKUP('Données projet'!$B$24,Paramètres!$A$1:$I$89,5,0)</f>
        <v>158.15637500000003</v>
      </c>
      <c r="LS68" s="13">
        <f t="shared" si="102"/>
        <v>40.426400572135641</v>
      </c>
      <c r="LT68" s="14">
        <f t="shared" ref="LT68:LT131" si="165">(LR68+LS68)*0.475*44/12</f>
        <v>345.86500078813629</v>
      </c>
      <c r="LU68" s="59">
        <f t="shared" ref="LU68:LU131" si="166">LT68+(LL68+LM68)*44/12</f>
        <v>639.19833412146954</v>
      </c>
      <c r="LV68" s="59">
        <f ca="1">AVERAGE(OFFSET($LU$3,0,0,'Données projet'!$E$24+1,1))-AVERAGE(OFFSET($H$3,0,0,'Données projet'!$E$24+1,1))</f>
        <v>260.52627655062872</v>
      </c>
      <c r="LW68" s="59">
        <f t="shared" si="104"/>
        <v>159.20429420478047</v>
      </c>
      <c r="LX68" s="15">
        <f>IF(ISNA(VLOOKUP($A68,'Données projet'!$A$434:$I$454,3,0)),0,VLOOKUP($A68,'Données projet'!$A$434:$I$454,3,0))</f>
        <v>0</v>
      </c>
      <c r="LY68" s="15">
        <f>IF(ISNA(VLOOKUP($A68,'Données projet'!$A$434:$I$454,4,0)),0,VLOOKUP($A68,'Données projet'!$A$434:$I$454,4,0))</f>
        <v>0</v>
      </c>
      <c r="LZ68" s="16">
        <f>IF(ISNA(VLOOKUP($A68,'Données projet'!$A$434:$I$454,5,0)),0%,VLOOKUP($A68,'Données projet'!$A$434:$I$454,5,0)*VLOOKUP('Données projet'!$B$24,Paramètres!$A$1:$I$89,7,0))</f>
        <v>0</v>
      </c>
      <c r="MA68" s="16">
        <f>IF(ISNA(VLOOKUP($A68,'Données projet'!$A$434:$I$454,6,0)),0%,VLOOKUP($A68,'Données projet'!$A$434:$I$454,6,0)*VLOOKUP('Données projet'!$B$24,Paramètres!$A$1:$I$89,7,0))</f>
        <v>0</v>
      </c>
      <c r="MB68" s="16">
        <f>IF(ISNA(VLOOKUP($A68,'Données projet'!$A$434:$I$454,7,0)),0%,VLOOKUP($A68,'Données projet'!$A$434:$I$454,7,0))</f>
        <v>0</v>
      </c>
      <c r="MC68" s="21">
        <f>EXP(-LN(2)/35)*MC67+(1-EXP(-LN(2)/35))/(LN(2)/35)*LY68*LZ68*VLOOKUP('Données projet'!$B$24,Paramètres!$A$1:$I$89,3,0)*0.475*44/12</f>
        <v>0</v>
      </c>
      <c r="MD68" s="21">
        <f>EXP(-LN(2)/25)*MD67+(1-EXP(-LN(2)/25))/(LN(2)/25)*Calculateur!LY68*Calculateur!MA68*VLOOKUP('Données projet'!$B$24,Paramètres!$A$1:$I$89,3,0)*0.475*44/12</f>
        <v>0</v>
      </c>
      <c r="ME68" s="21">
        <f>EXP(-LN(2)/2)*ME67+(1-EXP(-LN(2)/2))/(LN(2)/2)*LY68*MB68*VLOOKUP('Données projet'!$B$24,Paramètres!$A$1:$I$89,3,0)*0.475*44/12</f>
        <v>0</v>
      </c>
      <c r="MF68" s="22">
        <f t="shared" ref="MF68:MF131" si="167">SUM(MC68:ME68)</f>
        <v>0</v>
      </c>
      <c r="MG68" s="74">
        <f>('Scénario référence'!$F$8+'Scénario référence'!$F$9+'Scénario référence'!$B$17+'Scénario référence'!$B$9+'Scénario référence'!$B$10)*70+IF((45+25*(1-EXP(-0.0175*$A68)))&lt;70,'Scénario référence'!$B$16*(45+25*(1-EXP(-0.0175*$A68))),70*'Scénario référence'!$B$16)+IF((32+38*(1-EXP(-0.0175*$A68)))&lt;70,'Scénario référence'!$B$18*(32+38*(1-EXP(-0.0175*$A68))),70*'Scénario référence'!$B$18)</f>
        <v>70</v>
      </c>
      <c r="MH68" s="12">
        <f>IF($A68&gt;30,10,('Scénario référence'!$B$16+'Scénario référence'!$B$17+'Scénario référence'!$B$18+'Scénario référence'!$B$9+'Scénario référence'!$B$10)*$A68*10/30+('Scénario référence'!$F$8+'Scénario référence'!$F$9)*10)</f>
        <v>10</v>
      </c>
      <c r="MI68" s="12" t="e">
        <f>VLOOKUP($A68,'Données projet'!$A$460:$I$480,2,0)</f>
        <v>#N/A</v>
      </c>
      <c r="MJ68" s="12" t="e">
        <f>VLOOKUP($A68,'Données projet'!$A$460:$I$480,9,0)</f>
        <v>#N/A</v>
      </c>
      <c r="MK68" s="12">
        <f t="array" ref="MK68">INDEX(MJ:MJ,MIN(IF(ISNUMBER(MJ68:MJ264),ROW(MJ68:MJ264),"")))</f>
        <v>0</v>
      </c>
      <c r="ML68" s="12">
        <f>IF('Données projet'!$A$460&gt;35,ML67+MK68-MT67,IF($A68&lt;'Données projet'!$A$460,$CQ$205^$A68,IF($A68='Données projet'!$A$460,'Données projet'!$B$460,ML67+MK68-MT67)))</f>
        <v>0</v>
      </c>
      <c r="MM68" s="17" t="e">
        <f>ML68*VLOOKUP('Données projet'!$B$25,Paramètres!$A$1:$I$89,3,0)*VLOOKUP('Données projet'!$B$25,Paramètres!$A$1:$I$89,5,0)</f>
        <v>#N/A</v>
      </c>
      <c r="MN68" s="13" t="e">
        <f t="shared" si="106"/>
        <v>#N/A</v>
      </c>
      <c r="MO68" s="14" t="e">
        <f t="shared" ref="MO68:MO131" si="168">(MM68+MN68)*0.475*44/12</f>
        <v>#N/A</v>
      </c>
      <c r="MP68" s="59" t="e">
        <f t="shared" ref="MP68:MP131" si="169">MO68+(MG68+MH68)*44/12</f>
        <v>#N/A</v>
      </c>
      <c r="MQ68" s="20" t="e">
        <f ca="1">AVERAGE(OFFSET($MP$3,0,0,'Données projet'!$E$25+1,1))-AVERAGE(OFFSET($H$3,0,0,'Données projet'!$E$25+1,1))</f>
        <v>#N/A</v>
      </c>
      <c r="MR68" s="59" t="e">
        <f t="shared" si="107"/>
        <v>#N/A</v>
      </c>
      <c r="MS68" s="15">
        <f>IF(ISNA(VLOOKUP($A68,'Données projet'!$A$460:$I$480,3,0)),0,VLOOKUP($A68,'Données projet'!$A$460:$I$480,3,0))</f>
        <v>0</v>
      </c>
      <c r="MT68" s="15">
        <f>IF(ISNA(VLOOKUP($A68,'Données projet'!$A$460:$I$480,4,0)),0,VLOOKUP($A68,'Données projet'!$A$460:$I$480,4,0))</f>
        <v>0</v>
      </c>
      <c r="MU68" s="16">
        <f>IF(ISNA(VLOOKUP($A68,'Données projet'!$A$460:$I$480,5,0)),0%,VLOOKUP($A68,'Données projet'!$A$460:$I$480,5,0)*VLOOKUP('Données projet'!$B$25,Paramètres!$A$1:$I$89,7,0))</f>
        <v>0</v>
      </c>
      <c r="MV68" s="16">
        <f>IF(ISNA(VLOOKUP($A68,'Données projet'!$A$460:$I$480,6,0)),0%,VLOOKUP($A68,'Données projet'!$A$460:$I$480,6,0)*VLOOKUP('Données projet'!$B$25,Paramètres!$A$1:$I$89,7,0))</f>
        <v>0</v>
      </c>
      <c r="MW68" s="16">
        <f>IF(ISNA(VLOOKUP($A68,'Données projet'!$A$460:$I$480,7,0)),0%,VLOOKUP($A68,'Données projet'!$A$460:$I$480,7,0))</f>
        <v>0</v>
      </c>
      <c r="MX68" s="21" t="e">
        <f>EXP(-LN(2)/35)*MX67+(1-EXP(-LN(2)/35))/(LN(2)/35)*MT68*MU68*VLOOKUP('Données projet'!$B$25,Paramètres!$A$1:$I$89,3,0)*0.475*44/12</f>
        <v>#N/A</v>
      </c>
      <c r="MY68" s="21" t="e">
        <f>EXP(-LN(2)/25)*MY67+(1-EXP(-LN(2)/25))/(LN(2)/25)*Calculateur!MT68*Calculateur!MV68*VLOOKUP('Données projet'!$B$25,Paramètres!$A$1:$I$89,3,0)*0.475*44/12</f>
        <v>#N/A</v>
      </c>
      <c r="MZ68" s="21" t="e">
        <f>EXP(-LN(2)/2)*MZ67+(1-EXP(-LN(2)/2))/(LN(2)/2)*MT68*MW68*VLOOKUP('Données projet'!$B$25,Paramètres!$A$1:$I$89,3,0)*0.475*44/12</f>
        <v>#N/A</v>
      </c>
      <c r="NA68" s="22" t="e">
        <f t="shared" ref="NA68:NA131" si="170">SUM(MX68:MZ68)</f>
        <v>#N/A</v>
      </c>
      <c r="NB68" s="74">
        <f>('Scénario référence'!$F$8+'Scénario référence'!$F$9+'Scénario référence'!$B$17+'Scénario référence'!$B$9+'Scénario référence'!$B$10)*70+IF((45+25*(1-EXP(-0.0175*$A68)))&lt;70,'Scénario référence'!$B$16*(45+25*(1-EXP(-0.0175*$A68))),70*'Scénario référence'!$B$16)+IF((32+38*(1-EXP(-0.0175*$A68)))&lt;70,'Scénario référence'!$B$18*(32+38*(1-EXP(-0.0175*$A68))),70*'Scénario référence'!$B$18)</f>
        <v>70</v>
      </c>
      <c r="NC68" s="12">
        <f>IF($A68&gt;30,10,('Scénario référence'!$B$16+'Scénario référence'!$B$17+'Scénario référence'!$B$18+'Scénario référence'!$B$9+'Scénario référence'!$B$10)*$A68*10/30+('Scénario référence'!$F$8+'Scénario référence'!$F$9)*10)</f>
        <v>10</v>
      </c>
      <c r="ND68" s="12" t="e">
        <f>VLOOKUP($A68,'Données projet'!$A$486:$I$506,2,0)</f>
        <v>#N/A</v>
      </c>
      <c r="NE68" s="12" t="e">
        <f>VLOOKUP($A68,'Données projet'!$A$486:$I$506,9,0)</f>
        <v>#N/A</v>
      </c>
      <c r="NF68" s="12">
        <f t="array" ref="NF68">INDEX(NE:NE,MIN(IF(ISNUMBER(NE68:NE264),ROW(NE68:NE264),"")))</f>
        <v>0</v>
      </c>
      <c r="NG68" s="12">
        <f>IF('Données projet'!$A$486&gt;35,NG67+NF68-NO67,IF($A68&lt;'Données projet'!$A$486,$CQ$205^$A68,IF($A68='Données projet'!$A$486,'Données projet'!$B$486,NG67+NF68-NO67)))</f>
        <v>0</v>
      </c>
      <c r="NH68" s="17" t="e">
        <f>NG68*VLOOKUP('Données projet'!$B$26,Paramètres!$A$1:$I$89,3,0)*VLOOKUP('Données projet'!$B$26,Paramètres!$A$1:$I$89,5,0)</f>
        <v>#N/A</v>
      </c>
      <c r="NI68" s="13" t="e">
        <f t="shared" si="109"/>
        <v>#N/A</v>
      </c>
      <c r="NJ68" s="14" t="e">
        <f t="shared" ref="NJ68:NJ131" si="171">(NH68+NI68)*0.475*44/12</f>
        <v>#N/A</v>
      </c>
      <c r="NK68" s="59" t="e">
        <f t="shared" ref="NK68:NK131" si="172">NJ68+(NB68+NC68)*44/12</f>
        <v>#N/A</v>
      </c>
      <c r="NL68" s="20" t="e">
        <f ca="1">AVERAGE(OFFSET($NK$3,0,0,'Données projet'!$E$26+1,1))-AVERAGE(OFFSET($H$3,0,0,'Données projet'!$E$26+1,1))</f>
        <v>#N/A</v>
      </c>
      <c r="NM68" s="59" t="e">
        <f t="shared" si="110"/>
        <v>#N/A</v>
      </c>
      <c r="NN68" s="15">
        <f>IF(ISNA(VLOOKUP($A68,'Données projet'!$A$486:$I$506,3,0)),0,VLOOKUP($A68,'Données projet'!$A$486:$I$506,3,0))</f>
        <v>0</v>
      </c>
      <c r="NO68" s="15">
        <f>IF(ISNA(VLOOKUP($A68,'Données projet'!$A$486:$I$506,4,0)),0,VLOOKUP($A68,'Données projet'!$A$486:$I$506,4,0))</f>
        <v>0</v>
      </c>
      <c r="NP68" s="16">
        <f>IF(ISNA(VLOOKUP($A68,'Données projet'!$A$486:$I$506,5,0)),0%,VLOOKUP($A68,'Données projet'!$A$486:$I$506,5,0)*VLOOKUP('Données projet'!$B$26,Paramètres!$A$1:$I$89,7,0))</f>
        <v>0</v>
      </c>
      <c r="NQ68" s="16">
        <f>IF(ISNA(VLOOKUP($A68,'Données projet'!$A$486:$I$506,6,0)),0%,VLOOKUP($A68,'Données projet'!$A$486:$I$506,6,0)*VLOOKUP('Données projet'!$B$26,Paramètres!$A$1:$I$89,7,0))</f>
        <v>0</v>
      </c>
      <c r="NR68" s="16">
        <f>IF(ISNA(VLOOKUP($A68,'Données projet'!$A$486:$I$506,7,0)),0%,VLOOKUP($A68,'Données projet'!$A$486:$I$506,7,0))</f>
        <v>0</v>
      </c>
      <c r="NS68" s="21" t="e">
        <f>EXP(-LN(2)/35)*NS67+(1-EXP(-LN(2)/35))/(LN(2)/35)*NO68*NP68*VLOOKUP('Données projet'!$B$26,Paramètres!$A$1:$I$89,3,0)*0.475*44/12</f>
        <v>#N/A</v>
      </c>
      <c r="NT68" s="21" t="e">
        <f>EXP(-LN(2)/25)*NT67+(1-EXP(-LN(2)/25))/(LN(2)/25)*Calculateur!NO68*Calculateur!NQ68*VLOOKUP('Données projet'!$B$26,Paramètres!$A$1:$I$89,3,0)*0.475*44/12</f>
        <v>#N/A</v>
      </c>
      <c r="NU68" s="21" t="e">
        <f>EXP(-LN(2)/2)*NU67+(1-EXP(-LN(2)/2))/(LN(2)/2)*NO68*NR68*VLOOKUP('Données projet'!$B$26,Paramètres!$A$1:$I$89,3,0)*0.475*44/12</f>
        <v>#N/A</v>
      </c>
      <c r="NV68" s="22" t="e">
        <f t="shared" ref="NV68:NV131" si="173">SUM(NS68:NU68)</f>
        <v>#N/A</v>
      </c>
      <c r="NW68" s="74">
        <f>('Scénario référence'!$F$8+'Scénario référence'!$F$9+'Scénario référence'!$B$17+'Scénario référence'!$B$9+'Scénario référence'!$B$10)*70+IF((45+25*(1-EXP(-0.0175*$A68)))&lt;70,'Scénario référence'!$B$16*(45+25*(1-EXP(-0.0175*$A68))),70*'Scénario référence'!$B$16)+IF((32+38*(1-EXP(-0.0175*$A68)))&lt;70,'Scénario référence'!$B$18*(32+38*(1-EXP(-0.0175*$A68))),70*'Scénario référence'!$B$18)</f>
        <v>70</v>
      </c>
      <c r="NX68" s="12">
        <f>IF($A68&gt;30,10,('Scénario référence'!$B$16+'Scénario référence'!$B$17+'Scénario référence'!$B$18+'Scénario référence'!$B$9+'Scénario référence'!$B$10)*$A68*10/30+('Scénario référence'!$F$8+'Scénario référence'!$F$9)*10)</f>
        <v>10</v>
      </c>
      <c r="NY68" s="12" t="e">
        <f>VLOOKUP($A68,'Données projet'!$A$512:$I$532,2,0)</f>
        <v>#N/A</v>
      </c>
      <c r="NZ68" s="12" t="e">
        <f>VLOOKUP($A68,'Données projet'!$A$512:$I$532,9,0)</f>
        <v>#N/A</v>
      </c>
      <c r="OA68" s="12">
        <f t="array" ref="OA68">INDEX(NZ:NZ,MIN(IF(ISNUMBER(NZ68:NZ264),ROW(NZ68:NZ264),"")))</f>
        <v>0</v>
      </c>
      <c r="OB68" s="12">
        <f>IF('Données projet'!$A$512&gt;35,OB67+OA68-OJ67,IF($A68&lt;'Données projet'!$A$512,$CQ$205^$A68,IF($A68='Données projet'!$A$512,'Données projet'!$B$512,OB67+OA68-OJ67)))</f>
        <v>0</v>
      </c>
      <c r="OC68" s="17" t="e">
        <f>OB68*VLOOKUP('Données projet'!$B$27,Paramètres!$A$1:$I$89,3,0)*VLOOKUP('Données projet'!$B$27,Paramètres!$A$1:$I$89,5,0)</f>
        <v>#N/A</v>
      </c>
      <c r="OD68" s="13" t="e">
        <f t="shared" si="112"/>
        <v>#N/A</v>
      </c>
      <c r="OE68" s="14" t="e">
        <f t="shared" ref="OE68:OE131" si="174">(OC68+OD68)*0.475*44/12</f>
        <v>#N/A</v>
      </c>
      <c r="OF68" s="59" t="e">
        <f t="shared" ref="OF68:OF131" si="175">OE68+(NW68+NX68)*44/12</f>
        <v>#N/A</v>
      </c>
      <c r="OG68" s="20" t="e">
        <f ca="1">AVERAGE(OFFSET($OF$3,0,0,'Données projet'!$E$27+1,1))-AVERAGE(OFFSET($H$3,0,0,'Données projet'!$E$27+1,1))</f>
        <v>#N/A</v>
      </c>
      <c r="OH68" s="59" t="e">
        <f t="shared" si="113"/>
        <v>#N/A</v>
      </c>
      <c r="OI68" s="15">
        <f>IF(ISNA(VLOOKUP($A68,'Données projet'!$A$512:$I$532,3,0)),0,VLOOKUP($A68,'Données projet'!$A$512:$I$532,3,0))</f>
        <v>0</v>
      </c>
      <c r="OJ68" s="15">
        <f>IF(ISNA(VLOOKUP($A68,'Données projet'!$A$512:$I$532,4,0)),0,VLOOKUP($A68,'Données projet'!$A$512:$I$532,4,0))</f>
        <v>0</v>
      </c>
      <c r="OK68" s="16">
        <f>IF(ISNA(VLOOKUP($A68,'Données projet'!$A$512:$I$532,5,0)),0%,VLOOKUP($A68,'Données projet'!$A$512:$I$532,5,0)*VLOOKUP('Données projet'!$B$27,Paramètres!$A$1:$I$89,7,0))</f>
        <v>0</v>
      </c>
      <c r="OL68" s="16">
        <f>IF(ISNA(VLOOKUP($A68,'Données projet'!$A$512:$I$532,6,0)),0%,VLOOKUP($A68,'Données projet'!$A$512:$I$532,6,0)*VLOOKUP('Données projet'!$B$27,Paramètres!$A$1:$I$89,7,0))</f>
        <v>0</v>
      </c>
      <c r="OM68" s="16">
        <f>IF(ISNA(VLOOKUP($A68,'Données projet'!$A$512:$I$532,7,0)),0%,VLOOKUP($A68,'Données projet'!$A$512:$I$532,7,0))</f>
        <v>0</v>
      </c>
      <c r="ON68" s="21" t="e">
        <f>EXP(-LN(2)/35)*ON67+(1-EXP(-LN(2)/35))/(LN(2)/35)*OJ68*OK68*VLOOKUP('Données projet'!$B$27,Paramètres!$A$1:$I$89,3,0)*0.475*44/12</f>
        <v>#N/A</v>
      </c>
      <c r="OO68" s="21" t="e">
        <f>EXP(-LN(2)/25)*OO67+(1-EXP(-LN(2)/25))/(LN(2)/25)*Calculateur!OJ68*Calculateur!OL68*VLOOKUP('Données projet'!$B$27,Paramètres!$A$1:$I$89,3,0)*0.475*44/12</f>
        <v>#N/A</v>
      </c>
      <c r="OP68" s="21" t="e">
        <f>EXP(-LN(2)/2)*OP67+(1-EXP(-LN(2)/2))/(LN(2)/2)*OJ68*OM68*VLOOKUP('Données projet'!$B$27,Paramètres!$A$1:$I$89,3,0)*0.475*44/12</f>
        <v>#N/A</v>
      </c>
      <c r="OQ68" s="22" t="e">
        <f t="shared" ref="OQ68:OQ131" si="176">SUM(ON68:OP68)</f>
        <v>#N/A</v>
      </c>
      <c r="OR68" s="74">
        <f>('Scénario référence'!$F$8+'Scénario référence'!$F$9+'Scénario référence'!$B$17+'Scénario référence'!$B$9+'Scénario référence'!$B$10)*70+IF((45+25*(1-EXP(-0.0175*$A68)))&lt;70,'Scénario référence'!$B$16*(45+25*(1-EXP(-0.0175*$A68))),70*'Scénario référence'!$B$16)+IF((32+38*(1-EXP(-0.0175*$A68)))&lt;70,'Scénario référence'!$B$18*(32+38*(1-EXP(-0.0175*$A68))),70*'Scénario référence'!$B$18)</f>
        <v>70</v>
      </c>
      <c r="OS68" s="12">
        <f>IF($A68&gt;30,10,('Scénario référence'!$B$16+'Scénario référence'!$B$17+'Scénario référence'!$B$18+'Scénario référence'!$B$9+'Scénario référence'!$B$10)*$A68*10/30+('Scénario référence'!$F$8+'Scénario référence'!$F$9)*10)</f>
        <v>10</v>
      </c>
      <c r="OT68" s="12" t="e">
        <f>VLOOKUP($A68,'Données projet'!$A$538:$I$558,2,0)</f>
        <v>#N/A</v>
      </c>
      <c r="OU68" s="12" t="e">
        <f>VLOOKUP($A68,'Données projet'!$A$538:$I$558,9,0)</f>
        <v>#N/A</v>
      </c>
      <c r="OV68" s="12">
        <f t="array" ref="OV68">INDEX(OU:OU,MIN(IF(ISNUMBER(OU68:OU264),ROW(OU68:OU264),"")))</f>
        <v>0</v>
      </c>
      <c r="OW68" s="12">
        <f>IF('Données projet'!$A$538&gt;35,OW67+OV68-PE67,IF($A68&lt;'Données projet'!$A$538,$CQ$205^$A68,IF($A68='Données projet'!$A$538,'Données projet'!$B$538,OW67+OV68-PE67)))</f>
        <v>0</v>
      </c>
      <c r="OX68" s="17" t="e">
        <f>OW68*VLOOKUP('Données projet'!$B$28,Paramètres!$A$1:$I$89,3,0)*VLOOKUP('Données projet'!$B$28,Paramètres!$A$1:$I$89,5,0)</f>
        <v>#N/A</v>
      </c>
      <c r="OY68" s="13" t="e">
        <f t="shared" si="115"/>
        <v>#N/A</v>
      </c>
      <c r="OZ68" s="14" t="e">
        <f t="shared" ref="OZ68:OZ131" si="177">(OX68+OY68)*0.475*44/12</f>
        <v>#N/A</v>
      </c>
      <c r="PA68" s="59" t="e">
        <f t="shared" ref="PA68:PA131" si="178">OZ68+(OR68+OS68)*44/12</f>
        <v>#N/A</v>
      </c>
      <c r="PB68" s="20" t="e">
        <f ca="1">AVERAGE(OFFSET($PA$3,0,0,'Données projet'!$E$28+1,1))-AVERAGE(OFFSET($H$3,0,0,'Données projet'!$E$28+1,1))</f>
        <v>#N/A</v>
      </c>
      <c r="PC68" s="59" t="e">
        <f t="shared" si="116"/>
        <v>#N/A</v>
      </c>
      <c r="PD68" s="15">
        <f>IF(ISNA(VLOOKUP($A68,'Données projet'!$A$538:$I$558,3,0)),0,VLOOKUP($A68,'Données projet'!$A$538:$I$558,3,0))</f>
        <v>0</v>
      </c>
      <c r="PE68" s="15">
        <f>IF(ISNA(VLOOKUP($A68,'Données projet'!$A$538:$I$558,4,0)),0,VLOOKUP($A68,'Données projet'!$A$538:$I$558,4,0))</f>
        <v>0</v>
      </c>
      <c r="PF68" s="16">
        <f>IF(ISNA(VLOOKUP($A68,'Données projet'!$A$538:$I$558,5,0)),0%,VLOOKUP($A68,'Données projet'!$A$538:$I$558,5,0)*VLOOKUP('Données projet'!$B$28,Paramètres!$A$1:$I$89,7,0))</f>
        <v>0</v>
      </c>
      <c r="PG68" s="16">
        <f>IF(ISNA(VLOOKUP($A68,'Données projet'!$A$538:$I$558,6,0)),0%,VLOOKUP($A68,'Données projet'!$A$538:$I$558,6,0)*VLOOKUP('Données projet'!$B$28,Paramètres!$A$1:$I$89,7,0))</f>
        <v>0</v>
      </c>
      <c r="PH68" s="16">
        <f>IF(ISNA(VLOOKUP($A68,'Données projet'!$A$538:$I$558,7,0)),0%,VLOOKUP($A68,'Données projet'!$A$538:$I$558,7,0))</f>
        <v>0</v>
      </c>
      <c r="PI68" s="21" t="e">
        <f>EXP(-LN(2)/35)*PI67+(1-EXP(-LN(2)/35))/(LN(2)/35)*PE68*PF68*VLOOKUP('Données projet'!$B$28,Paramètres!$A$1:$I$89,3,0)*0.475*44/12</f>
        <v>#N/A</v>
      </c>
      <c r="PJ68" s="21" t="e">
        <f>EXP(-LN(2)/25)*PJ67+(1-EXP(-LN(2)/25))/(LN(2)/25)*Calculateur!PE68*Calculateur!PG68*VLOOKUP('Données projet'!$B$28,Paramètres!$A$1:$I$89,3,0)*0.475*44/12</f>
        <v>#N/A</v>
      </c>
      <c r="PK68" s="21" t="e">
        <f>EXP(-LN(2)/2)*PK67+(1-EXP(-LN(2)/2))/(LN(2)/2)*PE68*PH68*VLOOKUP('Données projet'!$B$28,Paramètres!$A$1:$I$89,3,0)*0.475*44/12</f>
        <v>#N/A</v>
      </c>
      <c r="PL68" s="22" t="e">
        <f t="shared" ref="PL68:PL131" si="179">SUM(PI68:PK68)</f>
        <v>#N/A</v>
      </c>
    </row>
    <row r="69" spans="1:428" x14ac:dyDescent="0.35">
      <c r="A69" s="10">
        <f t="shared" ref="A69:A132" si="180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181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121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projet'!$A$45:$I$65,2,0)</f>
        <v>#N/A</v>
      </c>
      <c r="L69" s="12" t="e">
        <f>VLOOKUP(A69,'Données projet'!$A$45:$I$65,9,0)</f>
        <v>#N/A</v>
      </c>
      <c r="M69" s="12">
        <f t="array" ref="M69">INDEX(L:L,MIN(IF(ISNUMBER(L69:L265),ROW(L69:L265),"")))</f>
        <v>0</v>
      </c>
      <c r="N69" s="13">
        <f>IF('Données projet'!$A$46&gt;35,N68+M69-V68,IF(A69&lt;'Données projet'!$A$46,$K$205^A69,IF(A69='Données projet'!$A$46,'Données projet'!$B$46,N68+M69-V68)))</f>
        <v>-1.1368683772161603E-13</v>
      </c>
      <c r="O69" s="13">
        <f>N69*VLOOKUP('Données projet'!$B$9,Paramètres!$A$1:$I$89,3,0)*VLOOKUP('Données projet'!$B$9,Paramètres!$A$1:$I$89,5,0)</f>
        <v>-6.3550942286383367E-14</v>
      </c>
      <c r="P69" s="13" t="e">
        <f t="shared" ref="P69:P132" si="182">EXP(-1.0587+0.8836*LN(O69)+0.284)</f>
        <v>#NUM!</v>
      </c>
      <c r="Q69" s="20" t="e">
        <f t="shared" si="119"/>
        <v>#NUM!</v>
      </c>
      <c r="R69" s="59" t="e">
        <f t="shared" si="120"/>
        <v>#NUM!</v>
      </c>
      <c r="S69" s="59">
        <f ca="1">AVERAGE(OFFSET($R$3,0,0,'Données projet'!$E$9+1,1))-AVERAGE(OFFSET($H$3,0,0,'Données projet'!$E$9+1,1))</f>
        <v>274.57619581652199</v>
      </c>
      <c r="T69" s="59">
        <f t="shared" ref="T69:T132" si="183">$T$3</f>
        <v>366.15117322598775</v>
      </c>
      <c r="U69" s="15">
        <f>IF(ISNA(VLOOKUP(A69,'Données projet'!$A$45:$I$65,3,0)),0,VLOOKUP(A69,'Données projet'!$A$45:$I$65,3,0))</f>
        <v>0</v>
      </c>
      <c r="V69" s="15">
        <f>IF(ISNA(VLOOKUP(A69,'Données projet'!$A$45:$I$65,4,0)),0,VLOOKUP(A69,'Données projet'!$A$45:$I$65,4,0))</f>
        <v>0</v>
      </c>
      <c r="W69" s="16">
        <f>IF(ISNA(VLOOKUP(A69,'Données projet'!$A$45:$I$65,5,0)),0%,VLOOKUP(A69,'Données projet'!$A$45:$I$65,5,0)*VLOOKUP('Données projet'!$B$9,Paramètres!$A$1:$I$89,7,0))</f>
        <v>0</v>
      </c>
      <c r="X69" s="16">
        <f>IF(ISNA(VLOOKUP(A69,'Données projet'!$A$45:$I$65,6,0)),0%,VLOOKUP(A69,'Données projet'!$A$45:$I$65,6,0)*VLOOKUP('Données projet'!$B$9,Paramètres!$A$1:$I$89,7,0))</f>
        <v>0</v>
      </c>
      <c r="Y69" s="16">
        <f>IF(ISNA(VLOOKUP(A69,'Données projet'!$A$45:$I$65,7,0)),0%,VLOOKUP(A69,'Données projet'!$A$45:$I$65,7,0))</f>
        <v>0</v>
      </c>
      <c r="Z69" s="21">
        <f>EXP(-LN(2)/35)*Z68+(1-EXP(-LN(2)/35))/(LN(2)/35)*V69*W69*VLOOKUP('Données projet'!$B$9,Paramètres!$A$1:$I$89,3,0)*0.475*44/12</f>
        <v>182.288749651015</v>
      </c>
      <c r="AA69" s="21">
        <f>EXP(-LN(2)/25)*AA68+(1-EXP(-LN(2)/25))/(LN(2)/25)*Calculateur!V69*Calculateur!X69*VLOOKUP('Données projet'!$B$9,Paramètres!$A$1:$I$89,3,0)*0.475*44/12</f>
        <v>42.464614937963162</v>
      </c>
      <c r="AB69" s="21">
        <f>EXP(-LN(2)/2)*AB68+(1-EXP(-LN(2)/2))/(LN(2)/2)*V69*Y69*VLOOKUP('Données projet'!$B$9,Paramètres!$A$1:$I$89,3,0)*0.475*44/12</f>
        <v>0.75486530360884652</v>
      </c>
      <c r="AC69" s="22">
        <f t="shared" si="122"/>
        <v>225.50822989258702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projet'!$A$71:$I$91,2,0)</f>
        <v>#N/A</v>
      </c>
      <c r="AG69" s="12" t="e">
        <f>VLOOKUP(A69,'Données projet'!$A$71:$I$91,9,0)</f>
        <v>#N/A</v>
      </c>
      <c r="AH69" s="12">
        <f t="array" ref="AH69">INDEX(AG:AG,MIN(IF(ISNUMBER(AG69:AG265),ROW(AG69:AG265),"")))</f>
        <v>8.1001602564102626</v>
      </c>
      <c r="AI69" s="13">
        <f>IF('Données projet'!$A$72&gt;35,AI68+AH69-AQ68,IF(A69&lt;'Données projet'!$A$72,$AF$205^A69,IF(A69='Données projet'!$A$72,'Données projet'!$B$72,AI68+AH69-AQ68)))</f>
        <v>202.86458333333348</v>
      </c>
      <c r="AJ69" s="13">
        <f>AI69*VLOOKUP('Données projet'!$B$10,Paramètres!$A$1:$I$89,3,0)*VLOOKUP('Données projet'!$B$10,Paramètres!$A$1:$I$89,5,0)</f>
        <v>183.55187500000014</v>
      </c>
      <c r="AK69" s="13">
        <f t="shared" ref="AK69:AK132" si="184">EXP(-1.0587+0.8836*LN(AJ69)+0.284)</f>
        <v>46.11151198237242</v>
      </c>
      <c r="AL69" s="20">
        <f t="shared" si="123"/>
        <v>399.99706566096552</v>
      </c>
      <c r="AM69" s="59">
        <f t="shared" si="124"/>
        <v>693.33039899429878</v>
      </c>
      <c r="AN69" s="59">
        <f ca="1">AVERAGE(OFFSET($AM$3,0,0,'Données projet'!$E$10+1,1))-AVERAGE(OFFSET($H$3,0,0,'Données projet'!$E$10+1,1))</f>
        <v>270.87836509222456</v>
      </c>
      <c r="AO69" s="59">
        <f t="shared" ref="AO69:AO132" si="185">$AO$3</f>
        <v>205.24998237949734</v>
      </c>
      <c r="AP69" s="15">
        <f>IF(ISNA(VLOOKUP(A69,'Données projet'!$A$71:$I$91,3,0)),0,VLOOKUP(A69,'Données projet'!$A$71:$I$91,3,0))</f>
        <v>0</v>
      </c>
      <c r="AQ69" s="15">
        <f>IF(ISNA(VLOOKUP(A69,'Données projet'!$A$71:$I$91,4,0)),0,VLOOKUP(A69,'Données projet'!$A$71:$I$91,4,0))</f>
        <v>0</v>
      </c>
      <c r="AR69" s="16">
        <f>IF(ISNA(VLOOKUP(A69,'Données projet'!$A$71:$I$91,5,0)),0%,VLOOKUP(A69,'Données projet'!$A$71:$I$91,5,0)*VLOOKUP('Données projet'!$B$10,Paramètres!$A$1:$I$89,7,0))</f>
        <v>0</v>
      </c>
      <c r="AS69" s="16">
        <f>IF(ISNA(VLOOKUP(A69,'Données projet'!$A$71:$I$91,6,0)),0%,VLOOKUP(A69,'Données projet'!$A$71:$I$91,6,0)*VLOOKUP('Données projet'!$B$10,Paramètres!$A$1:$I$89,7,0))</f>
        <v>0</v>
      </c>
      <c r="AT69" s="16">
        <f>IF(ISNA(VLOOKUP(A69,'Données projet'!$A$71:$I$91,7,0)),0%,VLOOKUP(A69,'Données projet'!$A$71:$I$91,7,0))</f>
        <v>0</v>
      </c>
      <c r="AU69" s="21">
        <f>EXP(-LN(2)/35)*AU68+(1-EXP(-LN(2)/35))/(LN(2)/35)*AQ69*AR69*VLOOKUP('Données projet'!$B$10,Paramètres!$A$1:$I$89,3,0)*0.475*44/12</f>
        <v>11.837317599123653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125"/>
        <v>11.837317599123653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projet'!$A$97:$I$117,2,0)</f>
        <v>#N/A</v>
      </c>
      <c r="BB69" s="12" t="e">
        <f>VLOOKUP(A69,'Données projet'!$A$97:$I$117,9,0)</f>
        <v>#N/A</v>
      </c>
      <c r="BC69" s="12">
        <f t="array" ref="BC69">INDEX(BB:BB,MIN(IF(ISNUMBER(BB69:BB265),ROW(BB69:BB265),"")))</f>
        <v>0</v>
      </c>
      <c r="BD69" s="12">
        <f>IF('Données projet'!$A$98&gt;35,BD68+BC69-BL68,IF(A69&lt;'Données projet'!$A$98,$BA$205^A69,IF(A69='Données projet'!$A$98,'Données projet'!$B$98,BD68+BC69-BL68)))</f>
        <v>-1.1368683772161603E-13</v>
      </c>
      <c r="BE69" s="13">
        <f>BD69*VLOOKUP('Données projet'!$B$11,Paramètres!$A$1:$I$89,3,0)*VLOOKUP('Données projet'!$B$11,Paramètres!$A$1:$I$89,5,0)</f>
        <v>-5.0249582272954292E-14</v>
      </c>
      <c r="BF69" s="13" t="e">
        <f t="shared" ref="BF69:BF132" si="186">EXP(-1.0587+0.8836*LN(BE69)+0.284)</f>
        <v>#NUM!</v>
      </c>
      <c r="BG69" s="20" t="e">
        <f t="shared" si="126"/>
        <v>#NUM!</v>
      </c>
      <c r="BH69" s="59" t="e">
        <f t="shared" si="127"/>
        <v>#NUM!</v>
      </c>
      <c r="BI69" s="59">
        <f ca="1">AVERAGE(OFFSET($BH$3,0,0,'Données projet'!$E$11+1,1))-AVERAGE(OFFSET($H$3,0,0,'Données projet'!$E$11+1,1))</f>
        <v>211.31057120485542</v>
      </c>
      <c r="BJ69" s="59">
        <f t="shared" ref="BJ69:BJ132" si="187">$BJ$3</f>
        <v>283.33292006714777</v>
      </c>
      <c r="BK69" s="15">
        <f>IF(ISNA(VLOOKUP(A69,'Données projet'!$A$97:$I$117,3,0)),0,VLOOKUP(A69,'Données projet'!$A$97:$I$117,3,0))</f>
        <v>0</v>
      </c>
      <c r="BL69" s="15">
        <f>IF(ISNA(VLOOKUP(A69,'Données projet'!$A$97:$I$117,4,0)),0,VLOOKUP(A69,'Données projet'!$A$97:$I$117,4,0))</f>
        <v>0</v>
      </c>
      <c r="BM69" s="16">
        <f>IF(ISNA(VLOOKUP(A69,'Données projet'!$A$97:$I$117,5,0)),0%,VLOOKUP(A69,'Données projet'!$A$97:$I$117,5,0)*VLOOKUP('Données projet'!$B$11,Paramètres!$A$1:$I$89,7,0))</f>
        <v>0</v>
      </c>
      <c r="BN69" s="16">
        <f>IF(ISNA(VLOOKUP(A69,'Données projet'!$A$97:$I$117,6,0)),0%,VLOOKUP(A69,'Données projet'!$A$97:$I$117,6,0)*VLOOKUP('Données projet'!$B$11,Paramètres!$A$1:$I$89,7,0))</f>
        <v>0</v>
      </c>
      <c r="BO69" s="16">
        <f>IF(ISNA(VLOOKUP(A69,'Données projet'!$A$97:$I$117,7,0)),0%,VLOOKUP(A69,'Données projet'!$A$97:$I$117,7,0))</f>
        <v>0</v>
      </c>
      <c r="BP69" s="21">
        <f>EXP(-LN(2)/35)*BP68+(1-EXP(-LN(2)/35))/(LN(2)/35)*BL69*BM69*VLOOKUP('Données projet'!$B$11,Paramètres!$A$1:$I$89,3,0)*0.475*44/12</f>
        <v>144.1352904217328</v>
      </c>
      <c r="BQ69" s="21">
        <f>EXP(-LN(2)/25)*BQ68+(1-EXP(-LN(2)/25))/(LN(2)/25)*Calculateur!BL69*Calculateur!BN69*VLOOKUP('Données projet'!$B$11,Paramètres!$A$1:$I$89,3,0)*0.475*44/12</f>
        <v>33.57667227652901</v>
      </c>
      <c r="BR69" s="21">
        <f>EXP(-LN(2)/2)*BR68+(1-EXP(-LN(2)/2))/(LN(2)/2)*BL69*BO69*VLOOKUP('Données projet'!$B$11,Paramètres!$A$1:$I$89,3,0)*0.475*44/12</f>
        <v>0.59687024006280875</v>
      </c>
      <c r="BS69" s="22">
        <f t="shared" si="128"/>
        <v>178.3088329383246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projet'!$A$123:$I$143,2,0)</f>
        <v>#N/A</v>
      </c>
      <c r="BW69" s="12" t="e">
        <f>VLOOKUP(A69,'Données projet'!$A$123:$I$143,9,0)</f>
        <v>#N/A</v>
      </c>
      <c r="BX69" s="12">
        <f t="array" ref="BX69">INDEX(BW:BW,MIN(IF(ISNUMBER(BW69:BW265),ROW(BW69:BW265),"")))</f>
        <v>5</v>
      </c>
      <c r="BY69" s="12">
        <f>IF('Données projet'!$A$124&gt;35,BY68+BX69-CG68,IF(A69&lt;'Données projet'!$A$124,$BV$205^A69,IF(A69='Données projet'!$A$124,'Données projet'!$B$124,BY68+BX69-CG68)))</f>
        <v>217</v>
      </c>
      <c r="BZ69" s="13">
        <f>BY69*VLOOKUP('Données projet'!$B$12,Paramètres!$A$1:$I$89,3,0)*VLOOKUP('Données projet'!$B$12,Paramètres!$A$1:$I$89,5,0)</f>
        <v>226.80840000000003</v>
      </c>
      <c r="CA69" s="13">
        <f t="shared" ref="CA69:CA132" si="188">EXP(-1.0587+0.8836*LN(BZ69)+0.284)</f>
        <v>55.592022759242575</v>
      </c>
      <c r="CB69" s="20">
        <f t="shared" si="129"/>
        <v>491.84740297234742</v>
      </c>
      <c r="CC69" s="59">
        <f t="shared" si="130"/>
        <v>785.18073630568074</v>
      </c>
      <c r="CD69" s="59">
        <f ca="1">AVERAGE(OFFSET($CC$3,0,0,'Données projet'!$E$12+1,1))-AVERAGE(OFFSET($H$3,0,0,'Données projet'!$E$12+1,1))</f>
        <v>322.93502595881938</v>
      </c>
      <c r="CE69" s="59">
        <f t="shared" ref="CE69:CE132" si="189">$CE$3</f>
        <v>302.67072119588164</v>
      </c>
      <c r="CF69" s="15">
        <f>IF(ISNA(VLOOKUP(A69,'Données projet'!$A$123:$I$143,3,0)),0,VLOOKUP(A69,'Données projet'!$A$123:$I$143,3,0))</f>
        <v>0</v>
      </c>
      <c r="CG69" s="15">
        <f>IF(ISNA(VLOOKUP(A69,'Données projet'!$A$123:$I$143,4,0)),0,VLOOKUP(A69,'Données projet'!$A$123:$I$143,4,0))</f>
        <v>0</v>
      </c>
      <c r="CH69" s="16">
        <f>IF(ISNA(VLOOKUP(A69,'Données projet'!$A$123:$I$143,5,0)),0%,VLOOKUP(A69,'Données projet'!$A$123:$I$143,5,0)*VLOOKUP('Données projet'!$B$12,Paramètres!$A$1:$I$89,7,0))</f>
        <v>0</v>
      </c>
      <c r="CI69" s="16">
        <f>IF(ISNA(VLOOKUP(A69,'Données projet'!$A$123:$I$143,6,0)),0%,VLOOKUP(A69,'Données projet'!$A$123:$I$143,6,0)*VLOOKUP('Données projet'!$B$12,Paramètres!$A$1:$I$89,7,0))</f>
        <v>0</v>
      </c>
      <c r="CJ69" s="16">
        <f>IF(ISNA(VLOOKUP(A69,'Données projet'!$A$123:$I$143,7,0)),0%,VLOOKUP(A69,'Données projet'!$A$123:$I$143,7,0))</f>
        <v>0</v>
      </c>
      <c r="CK69" s="21">
        <f>EXP(-LN(2)/35)*CK68+(1-EXP(-LN(2)/35))/(LN(2)/35)*CG69*CH69*VLOOKUP('Données projet'!$B$12,Paramètres!$A$1:$I$89,3,0)*0.475*44/12</f>
        <v>20.062799558185084</v>
      </c>
      <c r="CL69" s="21">
        <f>EXP(-LN(2)/25)*CL68+(1-EXP(-LN(2)/25))/(LN(2)/25)*Calculateur!CG69*Calculateur!CI69*VLOOKUP('Données projet'!$B$12,Paramètres!$A$1:$I$89,3,0)*0.475*44/12</f>
        <v>22.728357826175962</v>
      </c>
      <c r="CM69" s="21">
        <f>EXP(-LN(2)/2)*CM68+(1-EXP(-LN(2)/2))/(LN(2)/2)*CG69*CJ69*VLOOKUP('Données projet'!$B$12,Paramètres!$A$1:$I$89,3,0)*0.475*44/12</f>
        <v>0</v>
      </c>
      <c r="CN69" s="22">
        <f t="shared" si="131"/>
        <v>42.791157384361043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projet'!$A$149:$I$169,2,0)</f>
        <v>#N/A</v>
      </c>
      <c r="CR69" s="12" t="e">
        <f>VLOOKUP(A69,'Données projet'!$A$149:$I$169,9,0)</f>
        <v>#N/A</v>
      </c>
      <c r="CS69" s="12">
        <f t="array" ref="CS69">INDEX(CR:CR,MIN(IF(ISNUMBER(CR69:CR265),ROW(CR69:CR265),"")))</f>
        <v>5.9431089743589762</v>
      </c>
      <c r="CT69" s="12">
        <f>IF('Données projet'!$A$150&gt;35,CT68+CS69-DB68,IF(A69&lt;'Données projet'!$A$150,$CQ$205^A69,IF(A69='Données projet'!$A$150,'Données projet'!$B$150,CT68+CS69-DB68)))</f>
        <v>161.91586538461539</v>
      </c>
      <c r="CU69" s="17">
        <f>CT69*VLOOKUP('Données projet'!$B$13,Paramètres!$A$1:$I$89,3,0)*VLOOKUP('Données projet'!$B$13,Paramètres!$A$1:$I$89,5,0)</f>
        <v>164.18268750000001</v>
      </c>
      <c r="CV69" s="13">
        <f t="shared" ref="CV69:CV132" si="190">EXP(-1.0587+0.8836*LN(CU69)+0.284)</f>
        <v>41.784510657121224</v>
      </c>
      <c r="CW69" s="20">
        <f t="shared" si="132"/>
        <v>358.72620345698607</v>
      </c>
      <c r="CX69" s="59">
        <f t="shared" si="133"/>
        <v>652.05953679031938</v>
      </c>
      <c r="CY69" s="59">
        <f ca="1">AVERAGE(OFFSET($CX$3,0,0,'Données projet'!$E$13+1,1))-AVERAGE(OFFSET($H$3,0,0,'Données projet'!$E$13+1,1))</f>
        <v>250.31277422753283</v>
      </c>
      <c r="CZ69" s="59">
        <f t="shared" ref="CZ69:CZ132" si="191">$CZ$3</f>
        <v>159.20429420478047</v>
      </c>
      <c r="DA69" s="15">
        <f>IF(ISNA(VLOOKUP(A69,'Données projet'!$A$149:$I$169,3,0)),0,VLOOKUP(A69,'Données projet'!$A$149:$I$169,3,0))</f>
        <v>0</v>
      </c>
      <c r="DB69" s="15">
        <f>IF(ISNA(VLOOKUP(A69,'Données projet'!$A$149:$I$169,4,0)),0,VLOOKUP(A69,'Données projet'!$A$149:$I$169,4,0))</f>
        <v>0</v>
      </c>
      <c r="DC69" s="16">
        <f>IF(ISNA(VLOOKUP(A69,'Données projet'!$A$149:$I$169,5,0)),0%,VLOOKUP(A69,'Données projet'!$A$149:$I$169,5,0)*VLOOKUP('Données projet'!$B$13,Paramètres!$A$1:$I$89,7,0))</f>
        <v>0</v>
      </c>
      <c r="DD69" s="16">
        <f>IF(ISNA(VLOOKUP(A69,'Données projet'!$A$149:$I$169,6,0)),0%,VLOOKUP(A69,'Données projet'!$A$149:$I$169,6,0)*VLOOKUP('Données projet'!$B$13,Paramètres!$A$1:$I$89,7,0))</f>
        <v>0</v>
      </c>
      <c r="DE69" s="16">
        <f>IF(ISNA(VLOOKUP(A69,'Données projet'!$A$149:$I$169,7,0)),0%,VLOOKUP(A69,'Données projet'!$A$149:$I$169,7,0))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134"/>
        <v>0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projet'!$A$175:$I$195,2,0)</f>
        <v>#N/A</v>
      </c>
      <c r="DM69" s="12" t="e">
        <f>VLOOKUP(A69,'Données projet'!$A$175:$I$195,9,0)</f>
        <v>#N/A</v>
      </c>
      <c r="DN69" s="12">
        <f t="array" ref="DN69">INDEX(DM:DM,MIN(IF(ISNUMBER(DM69:DM265),ROW(DM69:DM265),"")))</f>
        <v>5.2</v>
      </c>
      <c r="DO69" s="12">
        <f>IF('Données projet'!$A$176&gt;35,DO68+DN69-DW68,IF(A69&lt;'Données projet'!$A$176,$DL$205^A69,IF(A69='Données projet'!$A$176,'Données projet'!$B$176,DO68+DN69-DW68)))</f>
        <v>345.1999999999997</v>
      </c>
      <c r="DP69" s="17">
        <f>DO69*VLOOKUP('Données projet'!$B$14,Paramètres!$A$1:$I$89,3,0)*VLOOKUP('Données projet'!$B$14,Paramètres!$A$1:$I$89,5,0)</f>
        <v>253.1006399999998</v>
      </c>
      <c r="DQ69" s="13">
        <f t="shared" ref="DQ69:DQ132" si="192">EXP(-1.0587+0.8836*LN(DP69)+0.284)</f>
        <v>61.249419177028884</v>
      </c>
      <c r="DR69" s="20">
        <f t="shared" si="135"/>
        <v>547.4930197333249</v>
      </c>
      <c r="DS69" s="59">
        <f t="shared" si="136"/>
        <v>840.82635306665816</v>
      </c>
      <c r="DT69" s="59">
        <f ca="1">AVERAGE(OFFSET($DS$3,0,0,'Données projet'!$E$14+1,1))-AVERAGE(OFFSET($H$3,0,0,'Données projet'!$E$14+1,1))</f>
        <v>296.91321813251051</v>
      </c>
      <c r="DU69" s="59">
        <f t="shared" ref="DU69:DU132" si="193">$DU$3</f>
        <v>291.0718079639509</v>
      </c>
      <c r="DV69" s="15">
        <f>IF(ISNA(VLOOKUP(A69,'Données projet'!$A$175:$I$195,3,0)),0,VLOOKUP(A69,'Données projet'!$A$175:$I$195,3,0))</f>
        <v>0</v>
      </c>
      <c r="DW69" s="15">
        <f>IF(ISNA(VLOOKUP(A69,'Données projet'!$A$175:$I$195,4,0)),0,VLOOKUP(A69,'Données projet'!$A$175:$I$195,4,0))</f>
        <v>0</v>
      </c>
      <c r="DX69" s="16">
        <f>IF(ISNA(VLOOKUP(A69,'Données projet'!$A$175:$I$195,5,0)),0%,VLOOKUP(A69,'Données projet'!$A$175:$I$195,5,0)*VLOOKUP('Données projet'!$B$14,Paramètres!$A$1:$I$89,7,0))</f>
        <v>0</v>
      </c>
      <c r="DY69" s="16">
        <f>IF(ISNA(VLOOKUP(A69,'Données projet'!$A$175:$I$195,6,0)),0%,VLOOKUP(A69,'Données projet'!$A$175:$I$195,6,0)*VLOOKUP('Données projet'!$B$14,Paramètres!$A$1:$I$89,7,0))</f>
        <v>0</v>
      </c>
      <c r="DZ69" s="16">
        <f>IF(ISNA(VLOOKUP(A69,'Données projet'!$A$175:$I$195,7,0)),0%,VLOOKUP(A69,'Données projet'!$A$175:$I$195,7,0))</f>
        <v>0</v>
      </c>
      <c r="EA69" s="21">
        <f>EXP(-LN(2)/35)*EA68+(1-EXP(-LN(2)/35))/(LN(2)/35)*DW69*DX69*VLOOKUP('Données projet'!$B$14,Paramètres!$A$1:$I$89,3,0)*0.475*44/12</f>
        <v>42.977196392480209</v>
      </c>
      <c r="EB69" s="21">
        <f>EXP(-LN(2)/25)*EB68+(1-EXP(-LN(2)/25))/(LN(2)/25)*Calculateur!DW69*Calculateur!DY69*VLOOKUP('Données projet'!$B$14,Paramètres!$A$1:$I$89,3,0)*0.475*44/12</f>
        <v>7.0506207463777679</v>
      </c>
      <c r="EC69" s="21">
        <f>EXP(-LN(2)/2)*EC68+(1-EXP(-LN(2)/2))/(LN(2)/2)*DW69*DZ69*VLOOKUP('Données projet'!$B$14,Paramètres!$A$1:$I$89,3,0)*0.475*44/12</f>
        <v>0</v>
      </c>
      <c r="ED69" s="22">
        <f t="shared" si="137"/>
        <v>50.027817138857976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projet'!$A$201:$I$221,2,0)</f>
        <v>#N/A</v>
      </c>
      <c r="EH69" s="12" t="e">
        <f>VLOOKUP(A69,'Données projet'!$A$201:$I$221,9,0)</f>
        <v>#N/A</v>
      </c>
      <c r="EI69" s="12">
        <f t="array" ref="EI69">INDEX(EH:EH,MIN(IF(ISNUMBER(EH69:EH265),ROW(EH69:EH265),"")))</f>
        <v>9.8224358974358967</v>
      </c>
      <c r="EJ69" s="12">
        <f>IF('Données projet'!$A$202&gt;35,EJ68+EI69-ER68,IF(A69&lt;'Données projet'!$A$202,$EG$205^A69,IF(A69='Données projet'!$A$202,'Données projet'!$B$202,EJ68+EI69-ER68)))</f>
        <v>272.07500000000022</v>
      </c>
      <c r="EK69" s="17">
        <f>EJ69*VLOOKUP('Données projet'!$B$15,Paramètres!$A$1:$I$89,3,0)*VLOOKUP('Données projet'!$B$15,Paramètres!$A$1:$I$89,5,0)</f>
        <v>127.33110000000011</v>
      </c>
      <c r="EL69" s="13">
        <f t="shared" ref="EL69:EL132" si="194">EXP(-1.0587+0.8836*LN(EK69)+0.284)</f>
        <v>33.378912344830439</v>
      </c>
      <c r="EM69" s="20">
        <f t="shared" si="138"/>
        <v>279.90327150057988</v>
      </c>
      <c r="EN69" s="59">
        <f t="shared" si="139"/>
        <v>573.23660483391313</v>
      </c>
      <c r="EO69" s="59">
        <f ca="1">AVERAGE(OFFSET($EN$3,0,0,'Données projet'!$E$15+1,1))-AVERAGE(OFFSET($H$3,0,0,'Données projet'!$E$15+1,1))</f>
        <v>147.64256291235483</v>
      </c>
      <c r="EP69" s="59">
        <f t="shared" ref="EP69:EP132" si="195">$EP$3</f>
        <v>70.859031694091868</v>
      </c>
      <c r="EQ69" s="15">
        <f>IF(ISNA(VLOOKUP(A69,'Données projet'!$A$201:$I$221,3,0)),0,VLOOKUP(A69,'Données projet'!$A$201:$I$221,3,0))</f>
        <v>0</v>
      </c>
      <c r="ER69" s="15">
        <f>IF(ISNA(VLOOKUP(A69,'Données projet'!$A$201:$I$221,4,0)),0,VLOOKUP(A69,'Données projet'!$A$201:$I$221,4,0))</f>
        <v>0</v>
      </c>
      <c r="ES69" s="16">
        <f>IF(ISNA(VLOOKUP(A69,'Données projet'!$A$201:$I$221,5,0)),0%,VLOOKUP(A69,'Données projet'!$A$201:$I$221,5,0)*VLOOKUP('Données projet'!$B$15,Paramètres!$A$1:$I$89,7,0))</f>
        <v>0</v>
      </c>
      <c r="ET69" s="16">
        <f>IF(ISNA(VLOOKUP(A69,'Données projet'!$A$201:$I$221,6,0)),0%,VLOOKUP(A69,'Données projet'!$A$201:$I$221,6,0)*VLOOKUP('Données projet'!$B$15,Paramètres!$A$1:$I$89,7,0))</f>
        <v>0</v>
      </c>
      <c r="EU69" s="16">
        <f>IF(ISNA(VLOOKUP(A69,'Données projet'!$A$201:$I$221,7,0)),0%,VLOOKUP(A69,'Données projet'!$A$201:$I$221,7,0))</f>
        <v>0</v>
      </c>
      <c r="EV69" s="21">
        <f>EXP(-LN(2)/35)*EV68+(1-EXP(-LN(2)/35))/(LN(2)/35)*ER69*ES69*VLOOKUP('Données projet'!$B$15,Paramètres!$A$1:$I$89,3,0)*0.475*44/12</f>
        <v>24.344241599389346</v>
      </c>
      <c r="EW69" s="21">
        <f>EXP(-LN(2)/25)*EW68+(1-EXP(-LN(2)/25))/(LN(2)/25)*Calculateur!ER69*Calculateur!ET69*VLOOKUP('Données projet'!$B$15,Paramètres!$A$1:$I$89,3,0)*0.475*44/12</f>
        <v>18.287503913886567</v>
      </c>
      <c r="EX69" s="21">
        <f>EXP(-LN(2)/2)*EX68+(1-EXP(-LN(2)/2))/(LN(2)/2)*ER69*EU69*VLOOKUP('Données projet'!$B$15,Paramètres!$A$1:$I$89,3,0)*0.475*44/12</f>
        <v>2.802041985641035</v>
      </c>
      <c r="EY69" s="22">
        <f t="shared" si="140"/>
        <v>45.433787498916949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projet'!$A$227:$I$247,2,0)</f>
        <v>#N/A</v>
      </c>
      <c r="FC69" s="12" t="e">
        <f>VLOOKUP(A69,'Données projet'!$A$227:$I$247,9,0)</f>
        <v>#N/A</v>
      </c>
      <c r="FD69" s="12">
        <f t="array" ref="FD69">INDEX(FC:FC,MIN(IF(ISNUMBER(FC69:FC265),ROW(FC69:FC265),"")))</f>
        <v>4.2</v>
      </c>
      <c r="FE69" s="12">
        <f>IF('Données projet'!$A$228&gt;35,FE68+FD69-FM68,IF(A69&lt;'Données projet'!$A$228,$FB$205^A69,IF(A69='Données projet'!$A$228,'Données projet'!$B$228,FE68+FD69-FM68)))</f>
        <v>184.2</v>
      </c>
      <c r="FF69" s="17">
        <f>FE69*VLOOKUP('Données projet'!$B$16,Paramètres!$A$1:$I$89,3,0)*VLOOKUP('Données projet'!$B$16,Paramètres!$A$1:$I$89,5,0)</f>
        <v>192.52584000000002</v>
      </c>
      <c r="FG69" s="13">
        <f t="shared" ref="FG69:FG132" si="196">EXP(-1.0587+0.8836*LN(FF69)+0.284)</f>
        <v>48.097950277474887</v>
      </c>
      <c r="FH69" s="20">
        <f t="shared" si="141"/>
        <v>419.08643473326879</v>
      </c>
      <c r="FI69" s="59">
        <f t="shared" si="142"/>
        <v>712.41976806660205</v>
      </c>
      <c r="FJ69" s="59">
        <f ca="1">AVERAGE(OFFSET($FI$3,0,0,'Données projet'!$E$16+1,1))-AVERAGE(OFFSET($H$3,0,0,'Données projet'!$E$16+1,1))</f>
        <v>259.03906550253788</v>
      </c>
      <c r="FK69" s="59">
        <f t="shared" ref="FK69:FK132" si="197">$FK$3</f>
        <v>235.54542903570831</v>
      </c>
      <c r="FL69" s="15">
        <f>IF(ISNA(VLOOKUP(A69,'Données projet'!$A$227:$I$247,3,0)),0,VLOOKUP(A69,'Données projet'!$A$227:$I$247,3,0))</f>
        <v>0</v>
      </c>
      <c r="FM69" s="15">
        <f>IF(ISNA(VLOOKUP(A69,'Données projet'!$A$227:$I$247,4,0)),0,VLOOKUP(A69,'Données projet'!$A$227:$I$247,4,0))</f>
        <v>0</v>
      </c>
      <c r="FN69" s="16">
        <f>IF(ISNA(VLOOKUP(A69,'Données projet'!$A$227:$I$247,5,0)),0%,VLOOKUP(A69,'Données projet'!$A$227:$I$247,5,0)*VLOOKUP('Données projet'!$B$16,Paramètres!$A$1:$I$89,7,0))</f>
        <v>0</v>
      </c>
      <c r="FO69" s="16">
        <f>IF(ISNA(VLOOKUP(A69,'Données projet'!$A$227:$I$247,6,0)),0%,VLOOKUP(A69,'Données projet'!$A$227:$I$247,6,0)*VLOOKUP('Données projet'!$B$16,Paramètres!$A$1:$I$89,7,0))</f>
        <v>0</v>
      </c>
      <c r="FP69" s="16">
        <f>IF(ISNA(VLOOKUP(A69,'Données projet'!$A$227:$I$247,7,0)),0%,VLOOKUP(A69,'Données projet'!$A$227:$I$247,7,0))</f>
        <v>0</v>
      </c>
      <c r="FQ69" s="21">
        <f>EXP(-LN(2)/35)*FQ68+(1-EXP(-LN(2)/35))/(LN(2)/35)*FM69*FN69*VLOOKUP('Données projet'!$B$16,Paramètres!$A$1:$I$89,3,0)*0.475*44/12</f>
        <v>8.4632412419446723</v>
      </c>
      <c r="FR69" s="21">
        <f>EXP(-LN(2)/25)*FR68+(1-EXP(-LN(2)/25))/(LN(2)/25)*Calculateur!FM69*Calculateur!FO69*VLOOKUP('Données projet'!$B$16,Paramètres!$A$1:$I$89,3,0)*0.475*44/12</f>
        <v>15.941840021633624</v>
      </c>
      <c r="FS69" s="21">
        <f>EXP(-LN(2)/2)*FS68+(1-EXP(-LN(2)/2))/(LN(2)/2)*FM69*FP69*VLOOKUP('Données projet'!$B$16,Paramètres!$A$1:$I$89,3,0)*0.475*44/12</f>
        <v>0</v>
      </c>
      <c r="FT69" s="22">
        <f t="shared" si="143"/>
        <v>24.405081263578296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projet'!$A$253:$I$273,2,0)</f>
        <v>#N/A</v>
      </c>
      <c r="FX69" s="12" t="e">
        <f>VLOOKUP(A69,'Données projet'!$A$253:$I$273,9,0)</f>
        <v>#N/A</v>
      </c>
      <c r="FY69" s="12">
        <f t="array" ref="FY69">INDEX(FX:FX,MIN(IF(ISNUMBER(FX69:FX265),ROW(FX69:FX265),"")))</f>
        <v>3.8</v>
      </c>
      <c r="FZ69" s="12">
        <f>IF('Données projet'!$A$254&gt;35,FZ68+FY69-GH68,IF(A69&lt;'Données projet'!$A$254,$FW$205^A69,IF(A69='Données projet'!$A$254,'Données projet'!$B$254,FZ68+FY69-GH68)))</f>
        <v>247.79999999999984</v>
      </c>
      <c r="GA69" s="17">
        <f>FZ69*VLOOKUP('Données projet'!$B$17,Paramètres!$A$1:$I$89,3,0)*VLOOKUP('Données projet'!$B$17,Paramètres!$A$1:$I$89,5,0)</f>
        <v>216.47807999999986</v>
      </c>
      <c r="GB69" s="13">
        <f t="shared" ref="GB69:GB132" si="198">EXP(-1.0587+0.8836*LN(GA69)+0.284)</f>
        <v>53.348696328338377</v>
      </c>
      <c r="GC69" s="20">
        <f t="shared" si="144"/>
        <v>469.94830210518904</v>
      </c>
      <c r="GD69" s="59">
        <f t="shared" si="145"/>
        <v>763.28163543852236</v>
      </c>
      <c r="GE69" s="59">
        <f ca="1">AVERAGE(OFFSET($GD$3,0,0,'Données projet'!$E$17+1,1))-AVERAGE(OFFSET($H$3,0,0,'Données projet'!$E$17+1,1))</f>
        <v>245.1983232777614</v>
      </c>
      <c r="GF69" s="59">
        <f t="shared" ref="GF69:GF132" si="199">$GF$3</f>
        <v>242.34010522344573</v>
      </c>
      <c r="GG69" s="15">
        <f>IF(ISNA(VLOOKUP(A69,'Données projet'!$A$253:$I$273,3,0)),0,VLOOKUP(A69,'Données projet'!$A$253:$I$273,3,0))</f>
        <v>0</v>
      </c>
      <c r="GH69" s="15">
        <f>IF(ISNA(VLOOKUP(A69,'Données projet'!$A$253:$I$273,4,0)),0,VLOOKUP(A69,'Données projet'!$A$253:$I$273,4,0))</f>
        <v>0</v>
      </c>
      <c r="GI69" s="16">
        <f>IF(ISNA(VLOOKUP(A69,'Données projet'!$A$253:$I$273,5,0)),0%,VLOOKUP(A69,'Données projet'!$A$253:$I$273,5,0)*VLOOKUP('Données projet'!$B$17,Paramètres!$A$1:$I$89,7,0))</f>
        <v>0</v>
      </c>
      <c r="GJ69" s="16">
        <f>IF(ISNA(VLOOKUP(A69,'Données projet'!$A$253:$I$273,6,0)),0%,VLOOKUP(A69,'Données projet'!$A$253:$I$273,6,0)*VLOOKUP('Données projet'!$B$17,Paramètres!$A$1:$I$89,7,0))</f>
        <v>0</v>
      </c>
      <c r="GK69" s="16">
        <f>IF(ISNA(VLOOKUP(A69,'Données projet'!$A$253:$I$273,7,0)),0%,VLOOKUP(A69,'Données projet'!$A$253:$I$273,7,0))</f>
        <v>0</v>
      </c>
      <c r="GL69" s="21">
        <f>EXP(-LN(2)/35)*GL68+(1-EXP(-LN(2)/35))/(LN(2)/35)*GH69*GI69*VLOOKUP('Données projet'!$B$17,Paramètres!$A$1:$I$89,3,0)*0.475*44/12</f>
        <v>21.965817954325203</v>
      </c>
      <c r="GM69" s="21">
        <f>EXP(-LN(2)/25)*GM68+(1-EXP(-LN(2)/25))/(LN(2)/25)*Calculateur!GH69*Calculateur!GJ69*VLOOKUP('Données projet'!$B$17,Paramètres!$A$1:$I$89,3,0)*0.475*44/12</f>
        <v>9.317054710624042</v>
      </c>
      <c r="GN69" s="21">
        <f>EXP(-LN(2)/2)*GN68+(1-EXP(-LN(2)/2))/(LN(2)/2)*GH69*GK69*VLOOKUP('Données projet'!$B$17,Paramètres!$A$1:$I$89,3,0)*0.475*44/12</f>
        <v>0</v>
      </c>
      <c r="GO69" s="21">
        <f t="shared" si="146"/>
        <v>31.282872664949245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projet'!$A$279:$I$299,2,0)</f>
        <v>#N/A</v>
      </c>
      <c r="GS69" s="12" t="e">
        <f>VLOOKUP(A69,'Données projet'!$A$279:$I$299,9,0)</f>
        <v>#N/A</v>
      </c>
      <c r="GT69" s="12">
        <f t="array" ref="GT69">INDEX(GS:GS,MIN(IF(ISNUMBER(GS69:GS265),ROW(GS69:GS265),"")))</f>
        <v>10.6</v>
      </c>
      <c r="GU69" s="12">
        <f>IF('Données projet'!$A$280&gt;35,GU68+GT69-HC68,IF(A69&lt;'Données projet'!$A$280,$GR$205^A69,IF(A69='Données projet'!$A$280,'Données projet'!$B$280,GU68+GT69-HC68)))</f>
        <v>730.60000000000025</v>
      </c>
      <c r="GV69" s="17">
        <f>GU69*VLOOKUP('Données projet'!$B$18,Paramètres!$A$1:$I$89,3,0)*VLOOKUP('Données projet'!$B$18,Paramètres!$A$1:$I$89,5,0)</f>
        <v>294.43180000000012</v>
      </c>
      <c r="GW69" s="13">
        <f t="shared" ref="GW69:GW132" si="200">EXP(-1.0587+0.8836*LN(GV69)+0.284)</f>
        <v>70.007885120010471</v>
      </c>
      <c r="GX69" s="20">
        <f t="shared" si="147"/>
        <v>634.73245158401846</v>
      </c>
      <c r="GY69" s="59">
        <f t="shared" si="148"/>
        <v>928.06578491735172</v>
      </c>
      <c r="GZ69" s="59">
        <f ca="1">AVERAGE(OFFSET($GY$3,0,0,'Données projet'!$E$18+1,1))-AVERAGE(OFFSET($H$3,0,0,'Données projet'!$E$18+1,1))</f>
        <v>324.36162935850876</v>
      </c>
      <c r="HA69" s="59">
        <f t="shared" ref="HA69:HA132" si="201">$HA$3</f>
        <v>265.23571072429735</v>
      </c>
      <c r="HB69" s="15">
        <f>IF(ISNA(VLOOKUP(A69,'Données projet'!$A$279:$I$299,3,0)),0,VLOOKUP(A69,'Données projet'!$A$279:$I$299,3,0))</f>
        <v>0</v>
      </c>
      <c r="HC69" s="15">
        <f>IF(ISNA(VLOOKUP(A69,'Données projet'!$A$279:$I$299,4,0)),0,VLOOKUP(A69,'Données projet'!$A$279:$I$299,4,0))</f>
        <v>0</v>
      </c>
      <c r="HD69" s="16">
        <f>IF(ISNA(VLOOKUP(A69,'Données projet'!$A$279:$I$299,5,0)),0%,VLOOKUP(A69,'Données projet'!$A$279:$I$299,5,0)*VLOOKUP('Données projet'!$B$18,Paramètres!$A$1:$I$89,7,0))</f>
        <v>0</v>
      </c>
      <c r="HE69" s="16">
        <f>IF(ISNA(VLOOKUP(A69,'Données projet'!$A$279:$I$299,6,0)),0%,VLOOKUP(A69,'Données projet'!$A$279:$I$299,6,0)*VLOOKUP('Données projet'!$B$18,Paramètres!$A$1:$I$89,7,0))</f>
        <v>0</v>
      </c>
      <c r="HF69" s="16">
        <f>IF(ISNA(VLOOKUP($A69,'Données projet'!$A$279:$I$299,7,0)),0%,VLOOKUP($A69,'Données projet'!$A$279:$I$299,7,0))</f>
        <v>0</v>
      </c>
      <c r="HG69" s="21">
        <f>EXP(-LN(2)/35)*HG68+(1-EXP(-LN(2)/35))/(LN(2)/35)*HC69*HD69*VLOOKUP('Données projet'!$B$18,Paramètres!$A$1:$I$89,3,0)*0.475*44/12</f>
        <v>14.524733571663596</v>
      </c>
      <c r="HH69" s="21">
        <f>EXP(-LN(2)/25)*HH68+(1-EXP(-LN(2)/25))/(LN(2)/25)*Calculateur!HC69*Calculateur!HE69*VLOOKUP('Données projet'!$B$18,Paramètres!$A$1:$I$89,3,0)*0.475*44/12</f>
        <v>10.573431483144409</v>
      </c>
      <c r="HI69" s="21">
        <f>EXP(-LN(2)/2)*HI68+(1-EXP(-LN(2)/2))/(LN(2)/2)*HC69*HF69*VLOOKUP('Données projet'!$B$18,Paramètres!$A$1:$I$89,3,0)*0.475*44/12</f>
        <v>0.23275954513234234</v>
      </c>
      <c r="HJ69" s="22">
        <f t="shared" si="149"/>
        <v>25.330924599940349</v>
      </c>
      <c r="HK69" s="74">
        <f>('Scénario référence'!$F$8+'Scénario référence'!$F$9+'Scénario référence'!$B$17+'Scénario référence'!$B$9+'Scénario référence'!$B$10)*70+IF((45+25*(1-EXP(-0.0175*$A69)))&lt;70,'Scénario référence'!$B$16*(45+25*(1-EXP(-0.0175*$A69))),70*'Scénario référence'!$B$16)+IF((32+38*(1-EXP(-0.0175*$A69)))&lt;70,'Scénario référence'!$B$18*(32+38*(1-EXP(-0.0175*$A69))),70*'Scénario référence'!$B$18)</f>
        <v>70</v>
      </c>
      <c r="HL69" s="12">
        <f>IF($A69&gt;30,10,('Scénario référence'!$B$16+'Scénario référence'!$B$17+'Scénario référence'!$B$18+'Scénario référence'!$B$9+'Scénario référence'!$B$10)*$A69*10/30+('Scénario référence'!$F$8+'Scénario référence'!$F$9)*10)</f>
        <v>10</v>
      </c>
      <c r="HM69" s="12" t="e">
        <f>VLOOKUP($A69,'Données projet'!$A$304:$I$324,2,0)</f>
        <v>#N/A</v>
      </c>
      <c r="HN69" s="12" t="e">
        <f>VLOOKUP($A69,'Données projet'!$A$304:$I$324,9,0)</f>
        <v>#N/A</v>
      </c>
      <c r="HO69" s="12">
        <f t="array" ref="HO69">INDEX(HN:HN,MIN(IF(ISNUMBER(HN69:HN265),ROW(HN69:HN265),"")))</f>
        <v>0</v>
      </c>
      <c r="HP69" s="12">
        <f>IF('Données projet'!$A$304&gt;35,HP68+HO69-HX68,IF($A69&lt;'Données projet'!$A$304,$CQ$205^$A69,IF($A69='Données projet'!$A$304,'Données projet'!$B$304,HP68+HO69-HX68)))</f>
        <v>0</v>
      </c>
      <c r="HQ69" s="17">
        <f>HP69*VLOOKUP('Données projet'!$B$19,Paramètres!$A$1:$I$89,3,0)*VLOOKUP('Données projet'!$B$19,Paramètres!$A$1:$I$89,5,0)</f>
        <v>0</v>
      </c>
      <c r="HR69" s="13" t="e">
        <f t="shared" ref="HR69:HR132" si="202">EXP(-1.0587+0.8836*LN(HQ69)+0.284)</f>
        <v>#NUM!</v>
      </c>
      <c r="HS69" s="14" t="e">
        <f t="shared" si="150"/>
        <v>#NUM!</v>
      </c>
      <c r="HT69" s="59" t="e">
        <f t="shared" si="151"/>
        <v>#NUM!</v>
      </c>
      <c r="HU69" s="59">
        <f ca="1">AVERAGE(OFFSET(HT$3,0,0,'Données projet'!$E$19+1,1))-AVERAGE(OFFSET($H$3,0,0,'Données projet'!$E$19+1,1))</f>
        <v>91.60721429656013</v>
      </c>
      <c r="HV69" s="59">
        <f t="shared" ref="HV69:HV132" si="203">$HV$3</f>
        <v>258.94957804210856</v>
      </c>
      <c r="HW69" s="15">
        <f>IF(ISNA(VLOOKUP($A69,'Données projet'!$A$304:$I$324,3,0)),0,VLOOKUP($A69,'Données projet'!$A$304:$I$324,3,0))</f>
        <v>0</v>
      </c>
      <c r="HX69" s="15">
        <f>IF(ISNA(VLOOKUP($A69,'Données projet'!$A$304:$I$324,4,0)),0,VLOOKUP($A69,'Données projet'!$A$304:$I$324,4,0))</f>
        <v>0</v>
      </c>
      <c r="HY69" s="16">
        <f>IF(ISNA(VLOOKUP($A69,'Données projet'!$A$304:$I$324,5,0)),0%,VLOOKUP($A69,'Données projet'!$A$304:$I$324,5,0)*VLOOKUP('Données projet'!$B$19,Paramètres!$A$1:$I$89,7,0))</f>
        <v>0</v>
      </c>
      <c r="HZ69" s="16">
        <f>IF(ISNA(VLOOKUP($A69,'Données projet'!$A$304:$I$324,6,0)),0%,VLOOKUP($A69,'Données projet'!$A$304:$I$324,6,0)*VLOOKUP('Données projet'!$B$19,Paramètres!$A$1:$I$89,7,0))</f>
        <v>0</v>
      </c>
      <c r="IA69" s="16">
        <f>IF(ISNA(VLOOKUP($A69,'Données projet'!$A$304:$I$324,7,0)),0%,VLOOKUP($A69,'Données projet'!$A$304:$I$324,7,0))</f>
        <v>0</v>
      </c>
      <c r="IB69" s="21">
        <f>EXP(-LN(2)/35)*IB68+(1-EXP(-LN(2)/35))/(LN(2)/35)*HX69*HY69*VLOOKUP('Données projet'!$B$19,Paramètres!$A$1:$I$89,3,0)*0.475*44/12</f>
        <v>24.182660231992493</v>
      </c>
      <c r="IC69" s="21">
        <f>EXP(-LN(2)/25)*IC68+(1-EXP(-LN(2)/25))/(LN(2)/25)*Calculateur!HX69*Calculateur!HZ69*VLOOKUP('Données projet'!$B$19,Paramètres!$A$1:$I$89,3,0)*0.475*44/12</f>
        <v>3.5853219982136322</v>
      </c>
      <c r="ID69" s="21">
        <f>EXP(-LN(2)/2)*ID68+(1-EXP(-LN(2)/2))/(LN(2)/2)*HX69*IA69*VLOOKUP('Données projet'!$B$19,Paramètres!$A$1:$I$89,3,0)*0.475*44/12</f>
        <v>2.1852581472167112E-6</v>
      </c>
      <c r="IE69" s="22">
        <f t="shared" si="152"/>
        <v>27.767984415464273</v>
      </c>
      <c r="IF69" s="74">
        <f>('Scénario référence'!$F$8+'Scénario référence'!$F$9+'Scénario référence'!$B$17+'Scénario référence'!$B$9+'Scénario référence'!$B$10)*70+IF((45+25*(1-EXP(-0.0175*$A69)))&lt;70,'Scénario référence'!$B$16*(45+25*(1-EXP(-0.0175*$A69))),70*'Scénario référence'!$B$16)+IF((32+38*(1-EXP(-0.0175*$A69)))&lt;70,'Scénario référence'!$B$18*(32+38*(1-EXP(-0.0175*$A69))),70*'Scénario référence'!$B$18)</f>
        <v>70</v>
      </c>
      <c r="IG69" s="12">
        <f>IF($A69&gt;30,10,('Scénario référence'!$B$16+'Scénario référence'!$B$17+'Scénario référence'!$B$18+'Scénario référence'!$B$9+'Scénario référence'!$B$10)*$A69*10/30+('Scénario référence'!$F$8+'Scénario référence'!$F$9)*10)</f>
        <v>10</v>
      </c>
      <c r="IH69" s="12" t="e">
        <f>VLOOKUP($A69,'Données projet'!$A$330:$I$350,2,0)</f>
        <v>#N/A</v>
      </c>
      <c r="II69" s="12" t="e">
        <f>VLOOKUP($A69,'Données projet'!$A$330:$I$350,9,0)</f>
        <v>#N/A</v>
      </c>
      <c r="IJ69" s="12">
        <f t="array" ref="IJ69">INDEX(II:II,MIN(IF(ISNUMBER(II69:II265),ROW(II69:II265),"")))</f>
        <v>0</v>
      </c>
      <c r="IK69" s="12">
        <f>IF('Données projet'!$A$330&gt;35,IK68+IJ69-IS68,IF($A69&lt;'Données projet'!$A$330,$CQ$205^$A69,IF($A69='Données projet'!$A$330,'Données projet'!$B$330,IK68+IJ69-IS68)))</f>
        <v>0</v>
      </c>
      <c r="IL69" s="17">
        <f>IK69*VLOOKUP('Données projet'!$B$20,Paramètres!$A$1:$I$89,3,0)*VLOOKUP('Données projet'!$B$20,Paramètres!$A$1:$I$89,5,0)</f>
        <v>0</v>
      </c>
      <c r="IM69" s="13" t="e">
        <f t="shared" ref="IM69:IM132" si="204">EXP(-1.0587+0.8836*LN(IL69)+0.284)</f>
        <v>#NUM!</v>
      </c>
      <c r="IN69" s="20" t="e">
        <f t="shared" si="153"/>
        <v>#NUM!</v>
      </c>
      <c r="IO69" s="59" t="e">
        <f t="shared" si="154"/>
        <v>#NUM!</v>
      </c>
      <c r="IP69" s="59">
        <f ca="1">AVERAGE(OFFSET(IO$3,0,0,'Données projet'!$E$20+1,1))-AVERAGE(OFFSET($H$3,0,0,'Données projet'!$E$20+1,1))</f>
        <v>91.60721429656013</v>
      </c>
      <c r="IQ69" s="59">
        <f t="shared" ref="IQ69:IQ132" si="205">HV$3</f>
        <v>258.94957804210856</v>
      </c>
      <c r="IR69" s="15">
        <f>IF(ISNA(VLOOKUP($A69,'Données projet'!$A$330:$I$350,3,0)),0,VLOOKUP($A69,'Données projet'!$A$330:$I$350,3,0))</f>
        <v>0</v>
      </c>
      <c r="IS69" s="15">
        <f>IF(ISNA(VLOOKUP($A69,'Données projet'!$A$330:$I$350,4,0)),0,VLOOKUP($A69,'Données projet'!$A$330:$I$350,4,0))</f>
        <v>0</v>
      </c>
      <c r="IT69" s="16">
        <f>IF(ISNA(VLOOKUP($A69,'Données projet'!$A$330:$I$350,5,0)),0%,VLOOKUP($A69,'Données projet'!$A$330:$I$350,5,0)*VLOOKUP('Données projet'!$B$20,Paramètres!$A$1:$I$89,7,0))</f>
        <v>0</v>
      </c>
      <c r="IU69" s="16">
        <f>IF(ISNA(VLOOKUP($A69,'Données projet'!$A$330:$I$350,6,0)),0%,VLOOKUP($A69,'Données projet'!$A$330:$I$350,6,0)*VLOOKUP('Données projet'!$B$20,Paramètres!$A$1:$I$89,7,0))</f>
        <v>0</v>
      </c>
      <c r="IV69" s="16">
        <f>IF(ISNA(VLOOKUP($A69,'Données projet'!$A$330:$I$350,7,0)),0%,VLOOKUP($A69,'Données projet'!$A$330:$I$350,7,0))</f>
        <v>0</v>
      </c>
      <c r="IW69" s="21">
        <f>EXP(-LN(2)/35)*IW68+(1-EXP(-LN(2)/35))/(LN(2)/35)*IS69*IT69*VLOOKUP('Données projet'!$B$20,Paramètres!$A$1:$I$89,3,0)*0.475*44/12</f>
        <v>24.182660231992493</v>
      </c>
      <c r="IX69" s="21">
        <f>EXP(-LN(2)/25)*IX68+(1-EXP(-LN(2)/25))/(LN(2)/25)*Calculateur!IS69*Calculateur!IU69*VLOOKUP('Données projet'!$B$20,Paramètres!$A$1:$I$89,3,0)*0.475*44/12</f>
        <v>3.5853219982136322</v>
      </c>
      <c r="IY69" s="21">
        <f>EXP(-LN(2)/2)*IY68+(1-EXP(-LN(2)/2))/(LN(2)/2)*IS69*IV69*VLOOKUP('Données projet'!$B$20,Paramètres!$A$1:$I$89,3,0)*0.475*44/12</f>
        <v>2.1852581472167112E-6</v>
      </c>
      <c r="IZ69" s="22">
        <f t="shared" si="155"/>
        <v>27.767984415464273</v>
      </c>
      <c r="JA69" s="74">
        <f>('Scénario référence'!$F$8+'Scénario référence'!$F$9+'Scénario référence'!$B$17+'Scénario référence'!$B$9+'Scénario référence'!$B$10)*70+IF((45+25*(1-EXP(-0.0175*$A69)))&lt;70,'Scénario référence'!$B$16*(45+25*(1-EXP(-0.0175*$A69))),70*'Scénario référence'!$B$16)+IF((32+38*(1-EXP(-0.0175*$A69)))&lt;70,'Scénario référence'!$B$18*(32+38*(1-EXP(-0.0175*$A69))),70*'Scénario référence'!$B$18)</f>
        <v>70</v>
      </c>
      <c r="JB69" s="12">
        <f>IF($A69&gt;30,10,('Scénario référence'!$B$16+'Scénario référence'!$B$17+'Scénario référence'!$B$18+'Scénario référence'!$B$9+'Scénario référence'!$B$10)*$A69*10/30+('Scénario référence'!$F$8+'Scénario référence'!$F$9)*10)</f>
        <v>10</v>
      </c>
      <c r="JC69" s="12" t="e">
        <f>VLOOKUP($A69,'Données projet'!$A$356:$I$376,2,0)</f>
        <v>#N/A</v>
      </c>
      <c r="JD69" s="12" t="e">
        <f>VLOOKUP($A69,'Données projet'!$A$356:$I$376,9,0)</f>
        <v>#N/A</v>
      </c>
      <c r="JE69" s="12">
        <f t="array" ref="JE69">INDEX(JD:JD,MIN(IF(ISNUMBER(JD69:JD265),ROW(JD69:JD265),"")))</f>
        <v>10</v>
      </c>
      <c r="JF69" s="12">
        <f>IF('Données projet'!$A$356&gt;35,JF68+JE69-JN68,IF($A69&lt;'Données projet'!$A$356,$CQ$205^$A69,IF($A69='Données projet'!$A$356,'Données projet'!$B$356,JF68+JE69-JN68)))</f>
        <v>276</v>
      </c>
      <c r="JG69" s="17">
        <f>JF69*VLOOKUP('Données projet'!$B$21,Paramètres!$A$1:$I$89,3,0)*VLOOKUP('Données projet'!$B$21,Paramètres!$A$1:$I$89,5,0)</f>
        <v>223.89120000000003</v>
      </c>
      <c r="JH69" s="13">
        <f t="shared" ref="JH69:JH132" si="206">EXP(-1.0587+0.8836*LN(JG69)+0.284)</f>
        <v>54.95975389514863</v>
      </c>
      <c r="JI69" s="20">
        <f t="shared" si="156"/>
        <v>485.66541136738397</v>
      </c>
      <c r="JJ69" s="59">
        <f t="shared" si="157"/>
        <v>778.99874470071722</v>
      </c>
      <c r="JK69" s="59">
        <f ca="1">AVERAGE(OFFSET($JJ$3,0,0,'Données projet'!$E$22+1,1))-AVERAGE(OFFSET($H$3,0,0,'Données projet'!$E$22+1,1))</f>
        <v>353.35574633294613</v>
      </c>
      <c r="JL69" s="59">
        <f t="shared" ref="JL69:JL132" si="207">JL$3</f>
        <v>170.36796666474726</v>
      </c>
      <c r="JM69" s="15">
        <f>IF(ISNA(VLOOKUP($A69,'Données projet'!$A$356:$I$376,3,0)),0,VLOOKUP($A69,'Données projet'!$A$356:$I$376,3,0))</f>
        <v>0</v>
      </c>
      <c r="JN69" s="15">
        <f>IF(ISNA(VLOOKUP($A69,'Données projet'!$A$356:$I$376,4,0)),0,VLOOKUP($A69,'Données projet'!$A$356:$I$376,4,0))</f>
        <v>0</v>
      </c>
      <c r="JO69" s="16">
        <f>IF(ISNA(VLOOKUP($A69,'Données projet'!$A$356:$I$376,5,0)),0%,VLOOKUP($A69,'Données projet'!$A$356:$I$376,5,0)*VLOOKUP('Données projet'!$B$21,Paramètres!$A$1:$I$89,7,0))</f>
        <v>0</v>
      </c>
      <c r="JP69" s="16">
        <f>IF(ISNA(VLOOKUP($A69,'Données projet'!$A$356:$I$376,6,0)),0%,VLOOKUP($A69,'Données projet'!$A$356:$I$376,6,0)*VLOOKUP('Données projet'!$B$21,Paramètres!$A$1:$I$89,7,0))</f>
        <v>0</v>
      </c>
      <c r="JQ69" s="16">
        <f>IF(ISNA(VLOOKUP($A69,'Données projet'!$A$356:$I$376,7,0)),0%,VLOOKUP($A69,'Données projet'!$A$356:$I$376,7,0))</f>
        <v>0</v>
      </c>
      <c r="JR69" s="21">
        <f>EXP(-LN(2)/35)*JR68+(1-EXP(-LN(2)/35))/(LN(2)/35)*JN69*JO69*VLOOKUP('Données projet'!$B$21,Paramètres!$A$1:$I$89,3,0)*0.475*44/12</f>
        <v>0</v>
      </c>
      <c r="JS69" s="21">
        <f>EXP(-LN(2)/25)*JS68+(1-EXP(-LN(2)/25))/(LN(2)/25)*Calculateur!JN69*Calculateur!JP69*VLOOKUP('Données projet'!$B$21,Paramètres!$A$1:$I$89,3,0)*0.475*44/12</f>
        <v>10.517487224406398</v>
      </c>
      <c r="JT69" s="21">
        <f>EXP(-LN(2)/2)*JT68+(1-EXP(-LN(2)/2))/(LN(2)/2)*JN69*JQ69*VLOOKUP('Données projet'!$B$21,Paramètres!$A$1:$I$89,3,0)*0.475*44/12</f>
        <v>5.5224075329799787</v>
      </c>
      <c r="JU69" s="18">
        <f t="shared" si="158"/>
        <v>16.039894757386378</v>
      </c>
      <c r="JV69" s="74">
        <f>('Scénario référence'!$F$8+'Scénario référence'!$F$9+'Scénario référence'!$B$17+'Scénario référence'!$B$9+'Scénario référence'!$B$10)*70+IF((45+25*(1-EXP(-0.0175*$A69)))&lt;70,'Scénario référence'!$B$16*(45+25*(1-EXP(-0.0175*$A69))),70*'Scénario référence'!$B$16)+IF((32+38*(1-EXP(-0.0175*$A69)))&lt;70,'Scénario référence'!$B$18*(32+38*(1-EXP(-0.0175*$A69))),70*'Scénario référence'!$B$18)</f>
        <v>70</v>
      </c>
      <c r="JW69" s="12">
        <f>IF($A69&gt;30,10,('Scénario référence'!$B$16+'Scénario référence'!$B$17+'Scénario référence'!$B$18+'Scénario référence'!$B$9+'Scénario référence'!$B$10)*$A69*10/30+('Scénario référence'!$F$8+'Scénario référence'!$F$9)*10)</f>
        <v>10</v>
      </c>
      <c r="JX69" s="12" t="e">
        <f>VLOOKUP($A69,'Données projet'!$A$382:$I$402,2,0)</f>
        <v>#N/A</v>
      </c>
      <c r="JY69" s="12" t="e">
        <f>VLOOKUP($A69,'Données projet'!$A$382:$I$402,9,0)</f>
        <v>#N/A</v>
      </c>
      <c r="JZ69" s="12">
        <f t="array" ref="JZ69">INDEX(JY:JY,MIN(IF(ISNUMBER(JY69:JY265),ROW(JY69:JY265),"")))</f>
        <v>8.1001602564102626</v>
      </c>
      <c r="KA69" s="12">
        <f>IF('Données projet'!$A$382&gt;35,KA68+JZ69-KI68,IF($A69&lt;'Données projet'!$A$382,$CQ$205^$A69,IF($A69='Données projet'!$A$382,'Données projet'!$B$382,KA68+JZ69-KI68)))</f>
        <v>202.86458333333343</v>
      </c>
      <c r="KB69" s="17">
        <f>KA69*VLOOKUP('Données projet'!$B$22,Paramètres!$A$1:$I$89,3,0)*VLOOKUP('Données projet'!$B$22,Paramètres!$A$1:$I$89,5,0)</f>
        <v>136.08156250000008</v>
      </c>
      <c r="KC69" s="13">
        <f t="shared" ref="KC69:KC132" si="208">EXP(-1.0587+0.8836*LN(KB69)+0.284)</f>
        <v>35.397868786574371</v>
      </c>
      <c r="KD69" s="20">
        <f t="shared" si="159"/>
        <v>298.66000949078381</v>
      </c>
      <c r="KE69" s="59">
        <f t="shared" si="160"/>
        <v>591.99334282411712</v>
      </c>
      <c r="KF69" s="59">
        <f ca="1">AVERAGE(OFFSET($KE$3,0,0,'Données projet'!$E$22+1,1))-AVERAGE(OFFSET($H$3,0,0,'Données projet'!$E$22+1,1))</f>
        <v>193.91714772848269</v>
      </c>
      <c r="KG69" s="59">
        <f t="shared" ref="KG69:KG132" si="209">$CZ$3</f>
        <v>159.20429420478047</v>
      </c>
      <c r="KH69" s="15">
        <f>IF(ISNA(VLOOKUP($A69,'Données projet'!$A$382:$I$402,3,0)),0,VLOOKUP($A69,'Données projet'!$A$382:$I$402,3,0))</f>
        <v>0</v>
      </c>
      <c r="KI69" s="15">
        <f>IF(ISNA(VLOOKUP($A69,'Données projet'!$A$382:$I$402,4,0)),0,VLOOKUP($A69,'Données projet'!$A$382:$I$402,4,0))</f>
        <v>0</v>
      </c>
      <c r="KJ69" s="16">
        <f>IF(ISNA(VLOOKUP($A69,'Données projet'!$A$382:$I$402,5,0)),0%,VLOOKUP($A69,'Données projet'!$A$382:$I$402,5,0)*VLOOKUP('Données projet'!$B$22,Paramètres!$A$1:$I$89,7,0))</f>
        <v>0</v>
      </c>
      <c r="KK69" s="16">
        <f>IF(ISNA(VLOOKUP($A69,'Données projet'!$A$382:$I$402,6,0)),0%,VLOOKUP($A69,'Données projet'!$A$382:$I$402,6,0)*VLOOKUP('Données projet'!$B$22,Paramètres!$A$1:$I$89,7,0))</f>
        <v>0</v>
      </c>
      <c r="KL69" s="16">
        <f>IF(ISNA(VLOOKUP($A69,'Données projet'!$A$382:$I$402,7,0)),0%,VLOOKUP($A69,'Données projet'!$A$382:$I$402,7,0))</f>
        <v>0</v>
      </c>
      <c r="KM69" s="21">
        <f>EXP(-LN(2)/35)*KM68+(1-EXP(-LN(2)/35))/(LN(2)/35)*KI69*KJ69*VLOOKUP('Données projet'!$B$22,Paramètres!$A$1:$I$89,3,0)*0.475*44/12</f>
        <v>10.816859185406097</v>
      </c>
      <c r="KN69" s="21">
        <f>EXP(-LN(2)/25)*KN68+(1-EXP(-LN(2)/25))/(LN(2)/25)*Calculateur!KI69*Calculateur!KK69*VLOOKUP('Données projet'!$B$22,Paramètres!$A$1:$I$89,3,0)*0.475*44/12</f>
        <v>0</v>
      </c>
      <c r="KO69" s="21">
        <f>EXP(-LN(2)/2)*KO68+(1-EXP(-LN(2)/2))/(LN(2)/2)*KI69*KL69*VLOOKUP('Données projet'!$B$22,Paramètres!$A$1:$I$89,3,0)*0.475*44/12</f>
        <v>0</v>
      </c>
      <c r="KP69" s="22">
        <f t="shared" si="161"/>
        <v>10.816859185406097</v>
      </c>
      <c r="KQ69" s="74">
        <f>('Scénario référence'!$F$8+'Scénario référence'!$F$9+'Scénario référence'!$B$17+'Scénario référence'!$B$9+'Scénario référence'!$B$10)*70+IF((45+25*(1-EXP(-0.0175*$A69)))&lt;70,'Scénario référence'!$B$16*(45+25*(1-EXP(-0.0175*$A69))),70*'Scénario référence'!$B$16)+IF((32+38*(1-EXP(-0.0175*$A69)))&lt;70,'Scénario référence'!$B$18*(32+38*(1-EXP(-0.0175*$A69))),70*'Scénario référence'!$B$18)</f>
        <v>70</v>
      </c>
      <c r="KR69" s="12">
        <f>IF($A69&gt;30,10,('Scénario référence'!$B$16+'Scénario référence'!$B$17+'Scénario référence'!$B$18+'Scénario référence'!$B$9+'Scénario référence'!$B$10)*$A69*10/30+('Scénario référence'!$F$8+'Scénario référence'!$F$9)*10)</f>
        <v>10</v>
      </c>
      <c r="KS69" s="12" t="e">
        <f>VLOOKUP($A69,'Données projet'!$A$408:$I$428,2,0)</f>
        <v>#N/A</v>
      </c>
      <c r="KT69" s="12" t="e">
        <f>VLOOKUP($A69,'Données projet'!$A$408:$I$428,9,0)</f>
        <v>#N/A</v>
      </c>
      <c r="KU69" s="12">
        <f t="array" ref="KU69">INDEX(KT:KT,MIN(IF(ISNUMBER(KT69:KT265),ROW(KT69:KT265),"")))</f>
        <v>3.8</v>
      </c>
      <c r="KV69" s="12">
        <f>IF('Données projet'!$A$408&gt;35,KV68+KU69-LD68,IF($A69&lt;'Données projet'!$A$408,$CQ$205^$A69,IF($A69='Données projet'!$A$408,'Données projet'!$B$408,KV68+KU69-LD68)))</f>
        <v>247.7999999999999</v>
      </c>
      <c r="KW69" s="17">
        <f>KV69*VLOOKUP('Données projet'!$B$23,Paramètres!$A$1:$I$89,3,0)*VLOOKUP('Données projet'!$B$23,Paramètres!$A$1:$I$89,5,0)</f>
        <v>216.47807999999992</v>
      </c>
      <c r="KX69" s="13">
        <f t="shared" ref="KX69:KX132" si="210">EXP(-1.0587+0.8836*LN(KW69)+0.284)</f>
        <v>53.348696328338377</v>
      </c>
      <c r="KY69" s="14">
        <f t="shared" si="162"/>
        <v>469.94830210518904</v>
      </c>
      <c r="KZ69" s="59">
        <f t="shared" si="163"/>
        <v>763.28163543852236</v>
      </c>
      <c r="LA69" s="59">
        <f ca="1">AVERAGE(OFFSET($KZ$3,0,0,'Données projet'!$E$23+1,1))-AVERAGE(OFFSET($H$3,0,0,'Données projet'!$E$23+1,1))</f>
        <v>248.33596943633819</v>
      </c>
      <c r="LB69" s="59">
        <f t="shared" ref="LB69:LB132" si="211">LB$3</f>
        <v>242.34010522344573</v>
      </c>
      <c r="LC69" s="15">
        <f>IF(ISNA(VLOOKUP($A69,'Données projet'!$A$408:$I$428,3,0)),0,VLOOKUP($A69,'Données projet'!$A$408:$I$428,3,0))</f>
        <v>0</v>
      </c>
      <c r="LD69" s="15">
        <f>IF(ISNA(VLOOKUP($A69,'Données projet'!$A$408:$I$428,4,0)),0,VLOOKUP($A69,'Données projet'!$A$408:$I$428,4,0))</f>
        <v>0</v>
      </c>
      <c r="LE69" s="16">
        <f>IF(ISNA(VLOOKUP($A69,'Données projet'!$A$408:$I$428,5,0)),0%,VLOOKUP($A69,'Données projet'!$A$408:$I$428,5,0)*VLOOKUP('Données projet'!$B$23,Paramètres!$A$1:$I$89,7,0))</f>
        <v>0</v>
      </c>
      <c r="LF69" s="16">
        <f>IF(ISNA(VLOOKUP($A69,'Données projet'!$A$408:$I$428,6,0)),0%,VLOOKUP($A69,'Données projet'!$A$408:$I$428,6,0)*VLOOKUP('Données projet'!$B$23,Paramètres!$A$1:$I$89,7,0))</f>
        <v>0</v>
      </c>
      <c r="LG69" s="16">
        <f>IF(ISNA(VLOOKUP($A69,'Données projet'!$A$408:$I$428,7,0)),0%,VLOOKUP($A69,'Données projet'!$A$408:$I$428,7,0))</f>
        <v>0</v>
      </c>
      <c r="LH69" s="21">
        <f>EXP(-LN(2)/35)*LH68+(1-EXP(-LN(2)/35))/(LN(2)/35)*LD69*LE69*VLOOKUP('Données projet'!$B$23,Paramètres!$A$1:$I$89,3,0)*0.475*44/12</f>
        <v>21.965817954325203</v>
      </c>
      <c r="LI69" s="21">
        <f>EXP(-LN(2)/25)*LI68+(1-EXP(-LN(2)/25))/(LN(2)/25)*Calculateur!LD69*Calculateur!LF69*VLOOKUP('Données projet'!$B$23,Paramètres!$A$1:$I$89,3,0)*0.475*44/12</f>
        <v>9.317054710624042</v>
      </c>
      <c r="LJ69" s="21">
        <f>EXP(-LN(2)/2)*LJ68+(1-EXP(-LN(2)/2))/(LN(2)/2)*LD69*LG69*VLOOKUP('Données projet'!$B$23,Paramètres!$A$1:$I$89,3,0)*0.475*44/12</f>
        <v>0</v>
      </c>
      <c r="LK69" s="22">
        <f t="shared" si="164"/>
        <v>31.282872664949245</v>
      </c>
      <c r="LL69" s="74">
        <f>('Scénario référence'!$F$8+'Scénario référence'!$F$9+'Scénario référence'!$B$17+'Scénario référence'!$B$9+'Scénario référence'!$B$10)*70+IF((45+25*(1-EXP(-0.0175*$A69)))&lt;70,'Scénario référence'!$B$16*(45+25*(1-EXP(-0.0175*$A69))),70*'Scénario référence'!$B$16)+IF((32+38*(1-EXP(-0.0175*$A69)))&lt;70,'Scénario référence'!$B$18*(32+38*(1-EXP(-0.0175*$A69))),70*'Scénario référence'!$B$18)</f>
        <v>70</v>
      </c>
      <c r="LM69" s="12">
        <f>IF($A69&gt;30,10,('Scénario référence'!$B$16+'Scénario référence'!$B$17+'Scénario référence'!$B$18+'Scénario référence'!$B$9+'Scénario référence'!$B$10)*$A69*10/30+('Scénario référence'!$F$8+'Scénario référence'!$F$9)*10)</f>
        <v>10</v>
      </c>
      <c r="LN69" s="12" t="e">
        <f>VLOOKUP($A69,'Données projet'!$A$434:$I$454,2,0)</f>
        <v>#N/A</v>
      </c>
      <c r="LO69" s="12" t="e">
        <f>VLOOKUP($A69,'Données projet'!$A$434:$I$454,9,0)</f>
        <v>#N/A</v>
      </c>
      <c r="LP69" s="12">
        <f t="array" ref="LP69">INDEX(LO:LO,MIN(IF(ISNUMBER(LO69:LO265),ROW(LO69:LO265),"")))</f>
        <v>5.9431089743589762</v>
      </c>
      <c r="LQ69" s="12">
        <f>IF('Données projet'!$A$434&gt;35,LQ68+LP69-LY68,IF($A69&lt;'Données projet'!$A$434,$CQ$205^$A69,IF($A69='Données projet'!$A$434,'Données projet'!$B$434,LQ68+LP69-LY68)))</f>
        <v>161.91586538461539</v>
      </c>
      <c r="LR69" s="17">
        <f>LQ69*VLOOKUP('Données projet'!$B$24,Paramètres!$A$1:$I$89,3,0)*VLOOKUP('Données projet'!$B$24,Paramètres!$A$1:$I$89,5,0)</f>
        <v>164.18268750000001</v>
      </c>
      <c r="LS69" s="13">
        <f t="shared" ref="LS69:LS132" si="212">EXP(-1.0587+0.8836*LN(LR69)+0.284)</f>
        <v>41.784510657121224</v>
      </c>
      <c r="LT69" s="14">
        <f t="shared" si="165"/>
        <v>358.72620345698607</v>
      </c>
      <c r="LU69" s="59">
        <f t="shared" si="166"/>
        <v>652.05953679031938</v>
      </c>
      <c r="LV69" s="59">
        <f ca="1">AVERAGE(OFFSET($LU$3,0,0,'Données projet'!$E$24+1,1))-AVERAGE(OFFSET($H$3,0,0,'Données projet'!$E$24+1,1))</f>
        <v>260.52627655062872</v>
      </c>
      <c r="LW69" s="59">
        <f t="shared" ref="LW69:LW132" si="213">LW$3</f>
        <v>159.20429420478047</v>
      </c>
      <c r="LX69" s="15">
        <f>IF(ISNA(VLOOKUP($A69,'Données projet'!$A$434:$I$454,3,0)),0,VLOOKUP($A69,'Données projet'!$A$434:$I$454,3,0))</f>
        <v>0</v>
      </c>
      <c r="LY69" s="15">
        <f>IF(ISNA(VLOOKUP($A69,'Données projet'!$A$434:$I$454,4,0)),0,VLOOKUP($A69,'Données projet'!$A$434:$I$454,4,0))</f>
        <v>0</v>
      </c>
      <c r="LZ69" s="16">
        <f>IF(ISNA(VLOOKUP($A69,'Données projet'!$A$434:$I$454,5,0)),0%,VLOOKUP($A69,'Données projet'!$A$434:$I$454,5,0)*VLOOKUP('Données projet'!$B$24,Paramètres!$A$1:$I$89,7,0))</f>
        <v>0</v>
      </c>
      <c r="MA69" s="16">
        <f>IF(ISNA(VLOOKUP($A69,'Données projet'!$A$434:$I$454,6,0)),0%,VLOOKUP($A69,'Données projet'!$A$434:$I$454,6,0)*VLOOKUP('Données projet'!$B$24,Paramètres!$A$1:$I$89,7,0))</f>
        <v>0</v>
      </c>
      <c r="MB69" s="16">
        <f>IF(ISNA(VLOOKUP($A69,'Données projet'!$A$434:$I$454,7,0)),0%,VLOOKUP($A69,'Données projet'!$A$434:$I$454,7,0))</f>
        <v>0</v>
      </c>
      <c r="MC69" s="21">
        <f>EXP(-LN(2)/35)*MC68+(1-EXP(-LN(2)/35))/(LN(2)/35)*LY69*LZ69*VLOOKUP('Données projet'!$B$24,Paramètres!$A$1:$I$89,3,0)*0.475*44/12</f>
        <v>0</v>
      </c>
      <c r="MD69" s="21">
        <f>EXP(-LN(2)/25)*MD68+(1-EXP(-LN(2)/25))/(LN(2)/25)*Calculateur!LY69*Calculateur!MA69*VLOOKUP('Données projet'!$B$24,Paramètres!$A$1:$I$89,3,0)*0.475*44/12</f>
        <v>0</v>
      </c>
      <c r="ME69" s="21">
        <f>EXP(-LN(2)/2)*ME68+(1-EXP(-LN(2)/2))/(LN(2)/2)*LY69*MB69*VLOOKUP('Données projet'!$B$24,Paramètres!$A$1:$I$89,3,0)*0.475*44/12</f>
        <v>0</v>
      </c>
      <c r="MF69" s="22">
        <f t="shared" si="167"/>
        <v>0</v>
      </c>
      <c r="MG69" s="74">
        <f>('Scénario référence'!$F$8+'Scénario référence'!$F$9+'Scénario référence'!$B$17+'Scénario référence'!$B$9+'Scénario référence'!$B$10)*70+IF((45+25*(1-EXP(-0.0175*$A69)))&lt;70,'Scénario référence'!$B$16*(45+25*(1-EXP(-0.0175*$A69))),70*'Scénario référence'!$B$16)+IF((32+38*(1-EXP(-0.0175*$A69)))&lt;70,'Scénario référence'!$B$18*(32+38*(1-EXP(-0.0175*$A69))),70*'Scénario référence'!$B$18)</f>
        <v>70</v>
      </c>
      <c r="MH69" s="12">
        <f>IF($A69&gt;30,10,('Scénario référence'!$B$16+'Scénario référence'!$B$17+'Scénario référence'!$B$18+'Scénario référence'!$B$9+'Scénario référence'!$B$10)*$A69*10/30+('Scénario référence'!$F$8+'Scénario référence'!$F$9)*10)</f>
        <v>10</v>
      </c>
      <c r="MI69" s="12" t="e">
        <f>VLOOKUP($A69,'Données projet'!$A$460:$I$480,2,0)</f>
        <v>#N/A</v>
      </c>
      <c r="MJ69" s="12" t="e">
        <f>VLOOKUP($A69,'Données projet'!$A$460:$I$480,9,0)</f>
        <v>#N/A</v>
      </c>
      <c r="MK69" s="12">
        <f t="array" ref="MK69">INDEX(MJ:MJ,MIN(IF(ISNUMBER(MJ69:MJ265),ROW(MJ69:MJ265),"")))</f>
        <v>0</v>
      </c>
      <c r="ML69" s="12">
        <f>IF('Données projet'!$A$460&gt;35,ML68+MK69-MT68,IF($A69&lt;'Données projet'!$A$460,$CQ$205^$A69,IF($A69='Données projet'!$A$460,'Données projet'!$B$460,ML68+MK69-MT68)))</f>
        <v>0</v>
      </c>
      <c r="MM69" s="17" t="e">
        <f>ML69*VLOOKUP('Données projet'!$B$25,Paramètres!$A$1:$I$89,3,0)*VLOOKUP('Données projet'!$B$25,Paramètres!$A$1:$I$89,5,0)</f>
        <v>#N/A</v>
      </c>
      <c r="MN69" s="13" t="e">
        <f t="shared" ref="MN69:MN132" si="214">EXP(-1.0587+0.8836*LN(MM69)+0.284)</f>
        <v>#N/A</v>
      </c>
      <c r="MO69" s="14" t="e">
        <f t="shared" si="168"/>
        <v>#N/A</v>
      </c>
      <c r="MP69" s="59" t="e">
        <f t="shared" si="169"/>
        <v>#N/A</v>
      </c>
      <c r="MQ69" s="20" t="e">
        <f ca="1">AVERAGE(OFFSET($MP$3,0,0,'Données projet'!$E$25+1,1))-AVERAGE(OFFSET($H$3,0,0,'Données projet'!$E$25+1,1))</f>
        <v>#N/A</v>
      </c>
      <c r="MR69" s="59" t="e">
        <f t="shared" ref="MR69:MR132" si="215">MR$3</f>
        <v>#N/A</v>
      </c>
      <c r="MS69" s="15">
        <f>IF(ISNA(VLOOKUP($A69,'Données projet'!$A$460:$I$480,3,0)),0,VLOOKUP($A69,'Données projet'!$A$460:$I$480,3,0))</f>
        <v>0</v>
      </c>
      <c r="MT69" s="15">
        <f>IF(ISNA(VLOOKUP($A69,'Données projet'!$A$460:$I$480,4,0)),0,VLOOKUP($A69,'Données projet'!$A$460:$I$480,4,0))</f>
        <v>0</v>
      </c>
      <c r="MU69" s="16">
        <f>IF(ISNA(VLOOKUP($A69,'Données projet'!$A$460:$I$480,5,0)),0%,VLOOKUP($A69,'Données projet'!$A$460:$I$480,5,0)*VLOOKUP('Données projet'!$B$25,Paramètres!$A$1:$I$89,7,0))</f>
        <v>0</v>
      </c>
      <c r="MV69" s="16">
        <f>IF(ISNA(VLOOKUP($A69,'Données projet'!$A$460:$I$480,6,0)),0%,VLOOKUP($A69,'Données projet'!$A$460:$I$480,6,0)*VLOOKUP('Données projet'!$B$25,Paramètres!$A$1:$I$89,7,0))</f>
        <v>0</v>
      </c>
      <c r="MW69" s="16">
        <f>IF(ISNA(VLOOKUP($A69,'Données projet'!$A$460:$I$480,7,0)),0%,VLOOKUP($A69,'Données projet'!$A$460:$I$480,7,0))</f>
        <v>0</v>
      </c>
      <c r="MX69" s="21" t="e">
        <f>EXP(-LN(2)/35)*MX68+(1-EXP(-LN(2)/35))/(LN(2)/35)*MT69*MU69*VLOOKUP('Données projet'!$B$25,Paramètres!$A$1:$I$89,3,0)*0.475*44/12</f>
        <v>#N/A</v>
      </c>
      <c r="MY69" s="21" t="e">
        <f>EXP(-LN(2)/25)*MY68+(1-EXP(-LN(2)/25))/(LN(2)/25)*Calculateur!MT69*Calculateur!MV69*VLOOKUP('Données projet'!$B$25,Paramètres!$A$1:$I$89,3,0)*0.475*44/12</f>
        <v>#N/A</v>
      </c>
      <c r="MZ69" s="21" t="e">
        <f>EXP(-LN(2)/2)*MZ68+(1-EXP(-LN(2)/2))/(LN(2)/2)*MT69*MW69*VLOOKUP('Données projet'!$B$25,Paramètres!$A$1:$I$89,3,0)*0.475*44/12</f>
        <v>#N/A</v>
      </c>
      <c r="NA69" s="22" t="e">
        <f t="shared" si="170"/>
        <v>#N/A</v>
      </c>
      <c r="NB69" s="74">
        <f>('Scénario référence'!$F$8+'Scénario référence'!$F$9+'Scénario référence'!$B$17+'Scénario référence'!$B$9+'Scénario référence'!$B$10)*70+IF((45+25*(1-EXP(-0.0175*$A69)))&lt;70,'Scénario référence'!$B$16*(45+25*(1-EXP(-0.0175*$A69))),70*'Scénario référence'!$B$16)+IF((32+38*(1-EXP(-0.0175*$A69)))&lt;70,'Scénario référence'!$B$18*(32+38*(1-EXP(-0.0175*$A69))),70*'Scénario référence'!$B$18)</f>
        <v>70</v>
      </c>
      <c r="NC69" s="12">
        <f>IF($A69&gt;30,10,('Scénario référence'!$B$16+'Scénario référence'!$B$17+'Scénario référence'!$B$18+'Scénario référence'!$B$9+'Scénario référence'!$B$10)*$A69*10/30+('Scénario référence'!$F$8+'Scénario référence'!$F$9)*10)</f>
        <v>10</v>
      </c>
      <c r="ND69" s="12" t="e">
        <f>VLOOKUP($A69,'Données projet'!$A$486:$I$506,2,0)</f>
        <v>#N/A</v>
      </c>
      <c r="NE69" s="12" t="e">
        <f>VLOOKUP($A69,'Données projet'!$A$486:$I$506,9,0)</f>
        <v>#N/A</v>
      </c>
      <c r="NF69" s="12">
        <f t="array" ref="NF69">INDEX(NE:NE,MIN(IF(ISNUMBER(NE69:NE265),ROW(NE69:NE265),"")))</f>
        <v>0</v>
      </c>
      <c r="NG69" s="12">
        <f>IF('Données projet'!$A$486&gt;35,NG68+NF69-NO68,IF($A69&lt;'Données projet'!$A$486,$CQ$205^$A69,IF($A69='Données projet'!$A$486,'Données projet'!$B$486,NG68+NF69-NO68)))</f>
        <v>0</v>
      </c>
      <c r="NH69" s="17" t="e">
        <f>NG69*VLOOKUP('Données projet'!$B$26,Paramètres!$A$1:$I$89,3,0)*VLOOKUP('Données projet'!$B$26,Paramètres!$A$1:$I$89,5,0)</f>
        <v>#N/A</v>
      </c>
      <c r="NI69" s="13" t="e">
        <f t="shared" ref="NI69:NI132" si="216">EXP(-1.0587+0.8836*LN(NH69)+0.284)</f>
        <v>#N/A</v>
      </c>
      <c r="NJ69" s="14" t="e">
        <f t="shared" si="171"/>
        <v>#N/A</v>
      </c>
      <c r="NK69" s="59" t="e">
        <f t="shared" si="172"/>
        <v>#N/A</v>
      </c>
      <c r="NL69" s="20" t="e">
        <f ca="1">AVERAGE(OFFSET($NK$3,0,0,'Données projet'!$E$26+1,1))-AVERAGE(OFFSET($H$3,0,0,'Données projet'!$E$26+1,1))</f>
        <v>#N/A</v>
      </c>
      <c r="NM69" s="59" t="e">
        <f t="shared" ref="NM69:NM132" si="217">NM$3</f>
        <v>#N/A</v>
      </c>
      <c r="NN69" s="15">
        <f>IF(ISNA(VLOOKUP($A69,'Données projet'!$A$486:$I$506,3,0)),0,VLOOKUP($A69,'Données projet'!$A$486:$I$506,3,0))</f>
        <v>0</v>
      </c>
      <c r="NO69" s="15">
        <f>IF(ISNA(VLOOKUP($A69,'Données projet'!$A$486:$I$506,4,0)),0,VLOOKUP($A69,'Données projet'!$A$486:$I$506,4,0))</f>
        <v>0</v>
      </c>
      <c r="NP69" s="16">
        <f>IF(ISNA(VLOOKUP($A69,'Données projet'!$A$486:$I$506,5,0)),0%,VLOOKUP($A69,'Données projet'!$A$486:$I$506,5,0)*VLOOKUP('Données projet'!$B$26,Paramètres!$A$1:$I$89,7,0))</f>
        <v>0</v>
      </c>
      <c r="NQ69" s="16">
        <f>IF(ISNA(VLOOKUP($A69,'Données projet'!$A$486:$I$506,6,0)),0%,VLOOKUP($A69,'Données projet'!$A$486:$I$506,6,0)*VLOOKUP('Données projet'!$B$26,Paramètres!$A$1:$I$89,7,0))</f>
        <v>0</v>
      </c>
      <c r="NR69" s="16">
        <f>IF(ISNA(VLOOKUP($A69,'Données projet'!$A$486:$I$506,7,0)),0%,VLOOKUP($A69,'Données projet'!$A$486:$I$506,7,0))</f>
        <v>0</v>
      </c>
      <c r="NS69" s="21" t="e">
        <f>EXP(-LN(2)/35)*NS68+(1-EXP(-LN(2)/35))/(LN(2)/35)*NO69*NP69*VLOOKUP('Données projet'!$B$26,Paramètres!$A$1:$I$89,3,0)*0.475*44/12</f>
        <v>#N/A</v>
      </c>
      <c r="NT69" s="21" t="e">
        <f>EXP(-LN(2)/25)*NT68+(1-EXP(-LN(2)/25))/(LN(2)/25)*Calculateur!NO69*Calculateur!NQ69*VLOOKUP('Données projet'!$B$26,Paramètres!$A$1:$I$89,3,0)*0.475*44/12</f>
        <v>#N/A</v>
      </c>
      <c r="NU69" s="21" t="e">
        <f>EXP(-LN(2)/2)*NU68+(1-EXP(-LN(2)/2))/(LN(2)/2)*NO69*NR69*VLOOKUP('Données projet'!$B$26,Paramètres!$A$1:$I$89,3,0)*0.475*44/12</f>
        <v>#N/A</v>
      </c>
      <c r="NV69" s="22" t="e">
        <f t="shared" si="173"/>
        <v>#N/A</v>
      </c>
      <c r="NW69" s="74">
        <f>('Scénario référence'!$F$8+'Scénario référence'!$F$9+'Scénario référence'!$B$17+'Scénario référence'!$B$9+'Scénario référence'!$B$10)*70+IF((45+25*(1-EXP(-0.0175*$A69)))&lt;70,'Scénario référence'!$B$16*(45+25*(1-EXP(-0.0175*$A69))),70*'Scénario référence'!$B$16)+IF((32+38*(1-EXP(-0.0175*$A69)))&lt;70,'Scénario référence'!$B$18*(32+38*(1-EXP(-0.0175*$A69))),70*'Scénario référence'!$B$18)</f>
        <v>70</v>
      </c>
      <c r="NX69" s="12">
        <f>IF($A69&gt;30,10,('Scénario référence'!$B$16+'Scénario référence'!$B$17+'Scénario référence'!$B$18+'Scénario référence'!$B$9+'Scénario référence'!$B$10)*$A69*10/30+('Scénario référence'!$F$8+'Scénario référence'!$F$9)*10)</f>
        <v>10</v>
      </c>
      <c r="NY69" s="12" t="e">
        <f>VLOOKUP($A69,'Données projet'!$A$512:$I$532,2,0)</f>
        <v>#N/A</v>
      </c>
      <c r="NZ69" s="12" t="e">
        <f>VLOOKUP($A69,'Données projet'!$A$512:$I$532,9,0)</f>
        <v>#N/A</v>
      </c>
      <c r="OA69" s="12">
        <f t="array" ref="OA69">INDEX(NZ:NZ,MIN(IF(ISNUMBER(NZ69:NZ265),ROW(NZ69:NZ265),"")))</f>
        <v>0</v>
      </c>
      <c r="OB69" s="12">
        <f>IF('Données projet'!$A$512&gt;35,OB68+OA69-OJ68,IF($A69&lt;'Données projet'!$A$512,$CQ$205^$A69,IF($A69='Données projet'!$A$512,'Données projet'!$B$512,OB68+OA69-OJ68)))</f>
        <v>0</v>
      </c>
      <c r="OC69" s="17" t="e">
        <f>OB69*VLOOKUP('Données projet'!$B$27,Paramètres!$A$1:$I$89,3,0)*VLOOKUP('Données projet'!$B$27,Paramètres!$A$1:$I$89,5,0)</f>
        <v>#N/A</v>
      </c>
      <c r="OD69" s="13" t="e">
        <f t="shared" ref="OD69:OD132" si="218">EXP(-1.0587+0.8836*LN(OC69)+0.284)</f>
        <v>#N/A</v>
      </c>
      <c r="OE69" s="14" t="e">
        <f t="shared" si="174"/>
        <v>#N/A</v>
      </c>
      <c r="OF69" s="59" t="e">
        <f t="shared" si="175"/>
        <v>#N/A</v>
      </c>
      <c r="OG69" s="20" t="e">
        <f ca="1">AVERAGE(OFFSET($OF$3,0,0,'Données projet'!$E$27+1,1))-AVERAGE(OFFSET($H$3,0,0,'Données projet'!$E$27+1,1))</f>
        <v>#N/A</v>
      </c>
      <c r="OH69" s="59" t="e">
        <f t="shared" ref="OH69:OH132" si="219">OH$3</f>
        <v>#N/A</v>
      </c>
      <c r="OI69" s="15">
        <f>IF(ISNA(VLOOKUP($A69,'Données projet'!$A$512:$I$532,3,0)),0,VLOOKUP($A69,'Données projet'!$A$512:$I$532,3,0))</f>
        <v>0</v>
      </c>
      <c r="OJ69" s="15">
        <f>IF(ISNA(VLOOKUP($A69,'Données projet'!$A$512:$I$532,4,0)),0,VLOOKUP($A69,'Données projet'!$A$512:$I$532,4,0))</f>
        <v>0</v>
      </c>
      <c r="OK69" s="16">
        <f>IF(ISNA(VLOOKUP($A69,'Données projet'!$A$512:$I$532,5,0)),0%,VLOOKUP($A69,'Données projet'!$A$512:$I$532,5,0)*VLOOKUP('Données projet'!$B$27,Paramètres!$A$1:$I$89,7,0))</f>
        <v>0</v>
      </c>
      <c r="OL69" s="16">
        <f>IF(ISNA(VLOOKUP($A69,'Données projet'!$A$512:$I$532,6,0)),0%,VLOOKUP($A69,'Données projet'!$A$512:$I$532,6,0)*VLOOKUP('Données projet'!$B$27,Paramètres!$A$1:$I$89,7,0))</f>
        <v>0</v>
      </c>
      <c r="OM69" s="16">
        <f>IF(ISNA(VLOOKUP($A69,'Données projet'!$A$512:$I$532,7,0)),0%,VLOOKUP($A69,'Données projet'!$A$512:$I$532,7,0))</f>
        <v>0</v>
      </c>
      <c r="ON69" s="21" t="e">
        <f>EXP(-LN(2)/35)*ON68+(1-EXP(-LN(2)/35))/(LN(2)/35)*OJ69*OK69*VLOOKUP('Données projet'!$B$27,Paramètres!$A$1:$I$89,3,0)*0.475*44/12</f>
        <v>#N/A</v>
      </c>
      <c r="OO69" s="21" t="e">
        <f>EXP(-LN(2)/25)*OO68+(1-EXP(-LN(2)/25))/(LN(2)/25)*Calculateur!OJ69*Calculateur!OL69*VLOOKUP('Données projet'!$B$27,Paramètres!$A$1:$I$89,3,0)*0.475*44/12</f>
        <v>#N/A</v>
      </c>
      <c r="OP69" s="21" t="e">
        <f>EXP(-LN(2)/2)*OP68+(1-EXP(-LN(2)/2))/(LN(2)/2)*OJ69*OM69*VLOOKUP('Données projet'!$B$27,Paramètres!$A$1:$I$89,3,0)*0.475*44/12</f>
        <v>#N/A</v>
      </c>
      <c r="OQ69" s="22" t="e">
        <f t="shared" si="176"/>
        <v>#N/A</v>
      </c>
      <c r="OR69" s="74">
        <f>('Scénario référence'!$F$8+'Scénario référence'!$F$9+'Scénario référence'!$B$17+'Scénario référence'!$B$9+'Scénario référence'!$B$10)*70+IF((45+25*(1-EXP(-0.0175*$A69)))&lt;70,'Scénario référence'!$B$16*(45+25*(1-EXP(-0.0175*$A69))),70*'Scénario référence'!$B$16)+IF((32+38*(1-EXP(-0.0175*$A69)))&lt;70,'Scénario référence'!$B$18*(32+38*(1-EXP(-0.0175*$A69))),70*'Scénario référence'!$B$18)</f>
        <v>70</v>
      </c>
      <c r="OS69" s="12">
        <f>IF($A69&gt;30,10,('Scénario référence'!$B$16+'Scénario référence'!$B$17+'Scénario référence'!$B$18+'Scénario référence'!$B$9+'Scénario référence'!$B$10)*$A69*10/30+('Scénario référence'!$F$8+'Scénario référence'!$F$9)*10)</f>
        <v>10</v>
      </c>
      <c r="OT69" s="12" t="e">
        <f>VLOOKUP($A69,'Données projet'!$A$538:$I$558,2,0)</f>
        <v>#N/A</v>
      </c>
      <c r="OU69" s="12" t="e">
        <f>VLOOKUP($A69,'Données projet'!$A$538:$I$558,9,0)</f>
        <v>#N/A</v>
      </c>
      <c r="OV69" s="12">
        <f t="array" ref="OV69">INDEX(OU:OU,MIN(IF(ISNUMBER(OU69:OU265),ROW(OU69:OU265),"")))</f>
        <v>0</v>
      </c>
      <c r="OW69" s="12">
        <f>IF('Données projet'!$A$538&gt;35,OW68+OV69-PE68,IF($A69&lt;'Données projet'!$A$538,$CQ$205^$A69,IF($A69='Données projet'!$A$538,'Données projet'!$B$538,OW68+OV69-PE68)))</f>
        <v>0</v>
      </c>
      <c r="OX69" s="17" t="e">
        <f>OW69*VLOOKUP('Données projet'!$B$28,Paramètres!$A$1:$I$89,3,0)*VLOOKUP('Données projet'!$B$28,Paramètres!$A$1:$I$89,5,0)</f>
        <v>#N/A</v>
      </c>
      <c r="OY69" s="13" t="e">
        <f t="shared" ref="OY69:OY132" si="220">EXP(-1.0587+0.8836*LN(OX69)+0.284)</f>
        <v>#N/A</v>
      </c>
      <c r="OZ69" s="14" t="e">
        <f t="shared" si="177"/>
        <v>#N/A</v>
      </c>
      <c r="PA69" s="59" t="e">
        <f t="shared" si="178"/>
        <v>#N/A</v>
      </c>
      <c r="PB69" s="20" t="e">
        <f ca="1">AVERAGE(OFFSET($PA$3,0,0,'Données projet'!$E$28+1,1))-AVERAGE(OFFSET($H$3,0,0,'Données projet'!$E$28+1,1))</f>
        <v>#N/A</v>
      </c>
      <c r="PC69" s="59" t="e">
        <f t="shared" ref="PC69:PC132" si="221">PC$3</f>
        <v>#N/A</v>
      </c>
      <c r="PD69" s="15">
        <f>IF(ISNA(VLOOKUP($A69,'Données projet'!$A$538:$I$558,3,0)),0,VLOOKUP($A69,'Données projet'!$A$538:$I$558,3,0))</f>
        <v>0</v>
      </c>
      <c r="PE69" s="15">
        <f>IF(ISNA(VLOOKUP($A69,'Données projet'!$A$538:$I$558,4,0)),0,VLOOKUP($A69,'Données projet'!$A$538:$I$558,4,0))</f>
        <v>0</v>
      </c>
      <c r="PF69" s="16">
        <f>IF(ISNA(VLOOKUP($A69,'Données projet'!$A$538:$I$558,5,0)),0%,VLOOKUP($A69,'Données projet'!$A$538:$I$558,5,0)*VLOOKUP('Données projet'!$B$28,Paramètres!$A$1:$I$89,7,0))</f>
        <v>0</v>
      </c>
      <c r="PG69" s="16">
        <f>IF(ISNA(VLOOKUP($A69,'Données projet'!$A$538:$I$558,6,0)),0%,VLOOKUP($A69,'Données projet'!$A$538:$I$558,6,0)*VLOOKUP('Données projet'!$B$28,Paramètres!$A$1:$I$89,7,0))</f>
        <v>0</v>
      </c>
      <c r="PH69" s="16">
        <f>IF(ISNA(VLOOKUP($A69,'Données projet'!$A$538:$I$558,7,0)),0%,VLOOKUP($A69,'Données projet'!$A$538:$I$558,7,0))</f>
        <v>0</v>
      </c>
      <c r="PI69" s="21" t="e">
        <f>EXP(-LN(2)/35)*PI68+(1-EXP(-LN(2)/35))/(LN(2)/35)*PE69*PF69*VLOOKUP('Données projet'!$B$28,Paramètres!$A$1:$I$89,3,0)*0.475*44/12</f>
        <v>#N/A</v>
      </c>
      <c r="PJ69" s="21" t="e">
        <f>EXP(-LN(2)/25)*PJ68+(1-EXP(-LN(2)/25))/(LN(2)/25)*Calculateur!PE69*Calculateur!PG69*VLOOKUP('Données projet'!$B$28,Paramètres!$A$1:$I$89,3,0)*0.475*44/12</f>
        <v>#N/A</v>
      </c>
      <c r="PK69" s="21" t="e">
        <f>EXP(-LN(2)/2)*PK68+(1-EXP(-LN(2)/2))/(LN(2)/2)*PE69*PH69*VLOOKUP('Données projet'!$B$28,Paramètres!$A$1:$I$89,3,0)*0.475*44/12</f>
        <v>#N/A</v>
      </c>
      <c r="PL69" s="22" t="e">
        <f t="shared" si="179"/>
        <v>#N/A</v>
      </c>
    </row>
    <row r="70" spans="1:428" x14ac:dyDescent="0.35">
      <c r="A70" s="10">
        <f t="shared" si="180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181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121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projet'!$A$45:$I$65,2,0)</f>
        <v>#N/A</v>
      </c>
      <c r="L70" s="12" t="e">
        <f>VLOOKUP(A70,'Données projet'!$A$45:$I$65,9,0)</f>
        <v>#N/A</v>
      </c>
      <c r="M70" s="12">
        <f t="array" ref="M70">INDEX(L:L,MIN(IF(ISNUMBER(L70:L266),ROW(L70:L266),"")))</f>
        <v>0</v>
      </c>
      <c r="N70" s="13">
        <f>IF('Données projet'!$A$46&gt;35,N69+M70-V69,IF(A70&lt;'Données projet'!$A$46,$K$205^A70,IF(A70='Données projet'!$A$46,'Données projet'!$B$46,N69+M70-V69)))</f>
        <v>-1.1368683772161603E-13</v>
      </c>
      <c r="O70" s="13">
        <f>N70*VLOOKUP('Données projet'!$B$9,Paramètres!$A$1:$I$89,3,0)*VLOOKUP('Données projet'!$B$9,Paramètres!$A$1:$I$89,5,0)</f>
        <v>-6.3550942286383367E-14</v>
      </c>
      <c r="P70" s="13" t="e">
        <f t="shared" si="182"/>
        <v>#NUM!</v>
      </c>
      <c r="Q70" s="20" t="e">
        <f t="shared" si="119"/>
        <v>#NUM!</v>
      </c>
      <c r="R70" s="59" t="e">
        <f t="shared" si="120"/>
        <v>#NUM!</v>
      </c>
      <c r="S70" s="59">
        <f ca="1">AVERAGE(OFFSET($R$3,0,0,'Données projet'!$E$9+1,1))-AVERAGE(OFFSET($H$3,0,0,'Données projet'!$E$9+1,1))</f>
        <v>274.57619581652199</v>
      </c>
      <c r="T70" s="59">
        <f t="shared" si="183"/>
        <v>366.15117322598775</v>
      </c>
      <c r="U70" s="15">
        <f>IF(ISNA(VLOOKUP(A70,'Données projet'!$A$45:$I$65,3,0)),0,VLOOKUP(A70,'Données projet'!$A$45:$I$65,3,0))</f>
        <v>0</v>
      </c>
      <c r="V70" s="15">
        <f>IF(ISNA(VLOOKUP(A70,'Données projet'!$A$45:$I$65,4,0)),0,VLOOKUP(A70,'Données projet'!$A$45:$I$65,4,0))</f>
        <v>0</v>
      </c>
      <c r="W70" s="16">
        <f>IF(ISNA(VLOOKUP(A70,'Données projet'!$A$45:$I$65,5,0)),0%,VLOOKUP(A70,'Données projet'!$A$45:$I$65,5,0)*VLOOKUP('Données projet'!$B$9,Paramètres!$A$1:$I$89,7,0))</f>
        <v>0</v>
      </c>
      <c r="X70" s="16">
        <f>IF(ISNA(VLOOKUP(A70,'Données projet'!$A$45:$I$65,6,0)),0%,VLOOKUP(A70,'Données projet'!$A$45:$I$65,6,0)*VLOOKUP('Données projet'!$B$9,Paramètres!$A$1:$I$89,7,0))</f>
        <v>0</v>
      </c>
      <c r="Y70" s="16">
        <f>IF(ISNA(VLOOKUP(A70,'Données projet'!$A$45:$I$65,7,0)),0%,VLOOKUP(A70,'Données projet'!$A$45:$I$65,7,0))</f>
        <v>0</v>
      </c>
      <c r="Z70" s="21">
        <f>EXP(-LN(2)/35)*Z69+(1-EXP(-LN(2)/35))/(LN(2)/35)*V70*W70*VLOOKUP('Données projet'!$B$9,Paramètres!$A$1:$I$89,3,0)*0.475*44/12</f>
        <v>178.71417845551724</v>
      </c>
      <c r="AA70" s="21">
        <f>EXP(-LN(2)/25)*AA69+(1-EXP(-LN(2)/25))/(LN(2)/25)*Calculateur!V70*Calculateur!X70*VLOOKUP('Données projet'!$B$9,Paramètres!$A$1:$I$89,3,0)*0.475*44/12</f>
        <v>41.303417809367517</v>
      </c>
      <c r="AB70" s="21">
        <f>EXP(-LN(2)/2)*AB69+(1-EXP(-LN(2)/2))/(LN(2)/2)*V70*Y70*VLOOKUP('Données projet'!$B$9,Paramètres!$A$1:$I$89,3,0)*0.475*44/12</f>
        <v>0.5337703750642574</v>
      </c>
      <c r="AC70" s="22">
        <f t="shared" si="122"/>
        <v>220.55136663994901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projet'!$A$71:$I$91,2,0)</f>
        <v>#N/A</v>
      </c>
      <c r="AG70" s="12" t="e">
        <f>VLOOKUP(A70,'Données projet'!$A$71:$I$91,9,0)</f>
        <v>#N/A</v>
      </c>
      <c r="AH70" s="12">
        <f t="array" ref="AH70">INDEX(AG:AG,MIN(IF(ISNUMBER(AG70:AG266),ROW(AG70:AG266),"")))</f>
        <v>8.1001602564102626</v>
      </c>
      <c r="AI70" s="13">
        <f>IF('Données projet'!$A$72&gt;35,AI69+AH70-AQ69,IF(A70&lt;'Données projet'!$A$72,$AF$205^A70,IF(A70='Données projet'!$A$72,'Données projet'!$B$72,AI69+AH70-AQ69)))</f>
        <v>210.96474358974376</v>
      </c>
      <c r="AJ70" s="13">
        <f>AI70*VLOOKUP('Données projet'!$B$10,Paramètres!$A$1:$I$89,3,0)*VLOOKUP('Données projet'!$B$10,Paramètres!$A$1:$I$89,5,0)</f>
        <v>190.88090000000014</v>
      </c>
      <c r="AK70" s="13">
        <f t="shared" si="184"/>
        <v>47.734654873168694</v>
      </c>
      <c r="AL70" s="20">
        <f t="shared" si="123"/>
        <v>415.58875807076902</v>
      </c>
      <c r="AM70" s="59">
        <f t="shared" si="124"/>
        <v>708.92209140410228</v>
      </c>
      <c r="AN70" s="59">
        <f ca="1">AVERAGE(OFFSET($AM$3,0,0,'Données projet'!$E$10+1,1))-AVERAGE(OFFSET($H$3,0,0,'Données projet'!$E$10+1,1))</f>
        <v>270.87836509222456</v>
      </c>
      <c r="AO70" s="59">
        <f t="shared" si="185"/>
        <v>205.24998237949734</v>
      </c>
      <c r="AP70" s="15">
        <f>IF(ISNA(VLOOKUP(A70,'Données projet'!$A$71:$I$91,3,0)),0,VLOOKUP(A70,'Données projet'!$A$71:$I$91,3,0))</f>
        <v>0</v>
      </c>
      <c r="AQ70" s="15">
        <f>IF(ISNA(VLOOKUP(A70,'Données projet'!$A$71:$I$91,4,0)),0,VLOOKUP(A70,'Données projet'!$A$71:$I$91,4,0))</f>
        <v>0</v>
      </c>
      <c r="AR70" s="16">
        <f>IF(ISNA(VLOOKUP(A70,'Données projet'!$A$71:$I$91,5,0)),0%,VLOOKUP(A70,'Données projet'!$A$71:$I$91,5,0)*VLOOKUP('Données projet'!$B$10,Paramètres!$A$1:$I$89,7,0))</f>
        <v>0</v>
      </c>
      <c r="AS70" s="16">
        <f>IF(ISNA(VLOOKUP(A70,'Données projet'!$A$71:$I$91,6,0)),0%,VLOOKUP(A70,'Données projet'!$A$71:$I$91,6,0)*VLOOKUP('Données projet'!$B$10,Paramètres!$A$1:$I$89,7,0))</f>
        <v>0</v>
      </c>
      <c r="AT70" s="16">
        <f>IF(ISNA(VLOOKUP(A70,'Données projet'!$A$71:$I$91,7,0)),0%,VLOOKUP(A70,'Données projet'!$A$71:$I$91,7,0))</f>
        <v>0</v>
      </c>
      <c r="AU70" s="21">
        <f>EXP(-LN(2)/35)*AU69+(1-EXP(-LN(2)/35))/(LN(2)/35)*AQ70*AR70*VLOOKUP('Données projet'!$B$10,Paramètres!$A$1:$I$89,3,0)*0.475*44/12</f>
        <v>11.605195021055652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125"/>
        <v>11.605195021055652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projet'!$A$97:$I$117,2,0)</f>
        <v>#N/A</v>
      </c>
      <c r="BB70" s="12" t="e">
        <f>VLOOKUP(A70,'Données projet'!$A$97:$I$117,9,0)</f>
        <v>#N/A</v>
      </c>
      <c r="BC70" s="12">
        <f t="array" ref="BC70">INDEX(BB:BB,MIN(IF(ISNUMBER(BB70:BB266),ROW(BB70:BB266),"")))</f>
        <v>0</v>
      </c>
      <c r="BD70" s="12">
        <f>IF('Données projet'!$A$98&gt;35,BD69+BC70-BL69,IF(A70&lt;'Données projet'!$A$98,$BA$205^A70,IF(A70='Données projet'!$A$98,'Données projet'!$B$98,BD69+BC70-BL69)))</f>
        <v>-1.1368683772161603E-13</v>
      </c>
      <c r="BE70" s="13">
        <f>BD70*VLOOKUP('Données projet'!$B$11,Paramètres!$A$1:$I$89,3,0)*VLOOKUP('Données projet'!$B$11,Paramètres!$A$1:$I$89,5,0)</f>
        <v>-5.0249582272954292E-14</v>
      </c>
      <c r="BF70" s="13" t="e">
        <f t="shared" si="186"/>
        <v>#NUM!</v>
      </c>
      <c r="BG70" s="20" t="e">
        <f t="shared" si="126"/>
        <v>#NUM!</v>
      </c>
      <c r="BH70" s="59" t="e">
        <f t="shared" si="127"/>
        <v>#NUM!</v>
      </c>
      <c r="BI70" s="59">
        <f ca="1">AVERAGE(OFFSET($BH$3,0,0,'Données projet'!$E$11+1,1))-AVERAGE(OFFSET($H$3,0,0,'Données projet'!$E$11+1,1))</f>
        <v>211.31057120485542</v>
      </c>
      <c r="BJ70" s="59">
        <f t="shared" si="187"/>
        <v>283.33292006714777</v>
      </c>
      <c r="BK70" s="15">
        <f>IF(ISNA(VLOOKUP(A70,'Données projet'!$A$97:$I$117,3,0)),0,VLOOKUP(A70,'Données projet'!$A$97:$I$117,3,0))</f>
        <v>0</v>
      </c>
      <c r="BL70" s="15">
        <f>IF(ISNA(VLOOKUP(A70,'Données projet'!$A$97:$I$117,4,0)),0,VLOOKUP(A70,'Données projet'!$A$97:$I$117,4,0))</f>
        <v>0</v>
      </c>
      <c r="BM70" s="16">
        <f>IF(ISNA(VLOOKUP(A70,'Données projet'!$A$97:$I$117,5,0)),0%,VLOOKUP(A70,'Données projet'!$A$97:$I$117,5,0)*VLOOKUP('Données projet'!$B$11,Paramètres!$A$1:$I$89,7,0))</f>
        <v>0</v>
      </c>
      <c r="BN70" s="16">
        <f>IF(ISNA(VLOOKUP(A70,'Données projet'!$A$97:$I$117,6,0)),0%,VLOOKUP(A70,'Données projet'!$A$97:$I$117,6,0)*VLOOKUP('Données projet'!$B$11,Paramètres!$A$1:$I$89,7,0))</f>
        <v>0</v>
      </c>
      <c r="BO70" s="16">
        <f>IF(ISNA(VLOOKUP(A70,'Données projet'!$A$97:$I$117,7,0)),0%,VLOOKUP(A70,'Données projet'!$A$97:$I$117,7,0))</f>
        <v>0</v>
      </c>
      <c r="BP70" s="21">
        <f>EXP(-LN(2)/35)*BP69+(1-EXP(-LN(2)/35))/(LN(2)/35)*BL70*BM70*VLOOKUP('Données projet'!$B$11,Paramètres!$A$1:$I$89,3,0)*0.475*44/12</f>
        <v>141.30888529040902</v>
      </c>
      <c r="BQ70" s="21">
        <f>EXP(-LN(2)/25)*BQ69+(1-EXP(-LN(2)/25))/(LN(2)/25)*Calculateur!BL70*Calculateur!BN70*VLOOKUP('Données projet'!$B$11,Paramètres!$A$1:$I$89,3,0)*0.475*44/12</f>
        <v>32.658516407406871</v>
      </c>
      <c r="BR70" s="21">
        <f>EXP(-LN(2)/2)*BR69+(1-EXP(-LN(2)/2))/(LN(2)/2)*BL70*BO70*VLOOKUP('Données projet'!$B$11,Paramètres!$A$1:$I$89,3,0)*0.475*44/12</f>
        <v>0.4220509942368546</v>
      </c>
      <c r="BS70" s="22">
        <f t="shared" si="128"/>
        <v>174.38945269205274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projet'!$A$123:$I$143,2,0)</f>
        <v>#N/A</v>
      </c>
      <c r="BW70" s="12" t="e">
        <f>VLOOKUP(A70,'Données projet'!$A$123:$I$143,9,0)</f>
        <v>#N/A</v>
      </c>
      <c r="BX70" s="12">
        <f t="array" ref="BX70">INDEX(BW:BW,MIN(IF(ISNUMBER(BW70:BW266),ROW(BW70:BW266),"")))</f>
        <v>5</v>
      </c>
      <c r="BY70" s="12">
        <f>IF('Données projet'!$A$124&gt;35,BY69+BX70-CG69,IF(A70&lt;'Données projet'!$A$124,$BV$205^A70,IF(A70='Données projet'!$A$124,'Données projet'!$B$124,BY69+BX70-CG69)))</f>
        <v>222</v>
      </c>
      <c r="BZ70" s="13">
        <f>BY70*VLOOKUP('Données projet'!$B$12,Paramètres!$A$1:$I$89,3,0)*VLOOKUP('Données projet'!$B$12,Paramètres!$A$1:$I$89,5,0)</f>
        <v>232.03440000000003</v>
      </c>
      <c r="CA70" s="13">
        <f t="shared" si="188"/>
        <v>56.722340668285831</v>
      </c>
      <c r="CB70" s="20">
        <f t="shared" si="129"/>
        <v>502.91798999726456</v>
      </c>
      <c r="CC70" s="59">
        <f t="shared" si="130"/>
        <v>796.25132333059787</v>
      </c>
      <c r="CD70" s="59">
        <f ca="1">AVERAGE(OFFSET($CC$3,0,0,'Données projet'!$E$12+1,1))-AVERAGE(OFFSET($H$3,0,0,'Données projet'!$E$12+1,1))</f>
        <v>322.93502595881938</v>
      </c>
      <c r="CE70" s="59">
        <f t="shared" si="189"/>
        <v>302.67072119588164</v>
      </c>
      <c r="CF70" s="15">
        <f>IF(ISNA(VLOOKUP(A70,'Données projet'!$A$123:$I$143,3,0)),0,VLOOKUP(A70,'Données projet'!$A$123:$I$143,3,0))</f>
        <v>0</v>
      </c>
      <c r="CG70" s="15">
        <f>IF(ISNA(VLOOKUP(A70,'Données projet'!$A$123:$I$143,4,0)),0,VLOOKUP(A70,'Données projet'!$A$123:$I$143,4,0))</f>
        <v>0</v>
      </c>
      <c r="CH70" s="16">
        <f>IF(ISNA(VLOOKUP(A70,'Données projet'!$A$123:$I$143,5,0)),0%,VLOOKUP(A70,'Données projet'!$A$123:$I$143,5,0)*VLOOKUP('Données projet'!$B$12,Paramètres!$A$1:$I$89,7,0))</f>
        <v>0</v>
      </c>
      <c r="CI70" s="16">
        <f>IF(ISNA(VLOOKUP(A70,'Données projet'!$A$123:$I$143,6,0)),0%,VLOOKUP(A70,'Données projet'!$A$123:$I$143,6,0)*VLOOKUP('Données projet'!$B$12,Paramètres!$A$1:$I$89,7,0))</f>
        <v>0</v>
      </c>
      <c r="CJ70" s="16">
        <f>IF(ISNA(VLOOKUP(A70,'Données projet'!$A$123:$I$143,7,0)),0%,VLOOKUP(A70,'Données projet'!$A$123:$I$143,7,0))</f>
        <v>0</v>
      </c>
      <c r="CK70" s="21">
        <f>EXP(-LN(2)/35)*CK69+(1-EXP(-LN(2)/35))/(LN(2)/35)*CG70*CH70*VLOOKUP('Données projet'!$B$12,Paramètres!$A$1:$I$89,3,0)*0.475*44/12</f>
        <v>19.669380295948493</v>
      </c>
      <c r="CL70" s="21">
        <f>EXP(-LN(2)/25)*CL69+(1-EXP(-LN(2)/25))/(LN(2)/25)*Calculateur!CG70*Calculateur!CI70*VLOOKUP('Données projet'!$B$12,Paramètres!$A$1:$I$89,3,0)*0.475*44/12</f>
        <v>22.106849686186788</v>
      </c>
      <c r="CM70" s="21">
        <f>EXP(-LN(2)/2)*CM69+(1-EXP(-LN(2)/2))/(LN(2)/2)*CG70*CJ70*VLOOKUP('Données projet'!$B$12,Paramètres!$A$1:$I$89,3,0)*0.475*44/12</f>
        <v>0</v>
      </c>
      <c r="CN70" s="22">
        <f t="shared" si="131"/>
        <v>41.776229982135277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>
        <f>VLOOKUP(A70,'Données projet'!$A$149:$I$169,2,0)</f>
        <v>167.85897435897436</v>
      </c>
      <c r="CR70" s="12">
        <f>VLOOKUP(A70,'Données projet'!$A$149:$I$169,9,0)</f>
        <v>5.9431089743589762</v>
      </c>
      <c r="CS70" s="12">
        <f t="array" ref="CS70">INDEX(CR:CR,MIN(IF(ISNUMBER(CR70:CR266),ROW(CR70:CR266),"")))</f>
        <v>5.9431089743589762</v>
      </c>
      <c r="CT70" s="12">
        <f>IF('Données projet'!$A$150&gt;35,CT69+CS70-DB69,IF(A70&lt;'Données projet'!$A$150,$CQ$205^A70,IF(A70='Données projet'!$A$150,'Données projet'!$B$150,CT69+CS70-DB69)))</f>
        <v>167.85897435897436</v>
      </c>
      <c r="CU70" s="17">
        <f>CT70*VLOOKUP('Données projet'!$B$13,Paramètres!$A$1:$I$89,3,0)*VLOOKUP('Données projet'!$B$13,Paramètres!$A$1:$I$89,5,0)</f>
        <v>170.209</v>
      </c>
      <c r="CV70" s="13">
        <f t="shared" si="190"/>
        <v>43.136829285053246</v>
      </c>
      <c r="CW70" s="20">
        <f t="shared" si="132"/>
        <v>371.57731933813437</v>
      </c>
      <c r="CX70" s="59">
        <f t="shared" si="133"/>
        <v>664.91065267146769</v>
      </c>
      <c r="CY70" s="59">
        <f ca="1">AVERAGE(OFFSET($CX$3,0,0,'Données projet'!$E$13+1,1))-AVERAGE(OFFSET($H$3,0,0,'Données projet'!$E$13+1,1))</f>
        <v>250.31277422753283</v>
      </c>
      <c r="CZ70" s="59">
        <f t="shared" si="191"/>
        <v>159.20429420478047</v>
      </c>
      <c r="DA70" s="15">
        <f>IF(ISNA(VLOOKUP(A70,'Données projet'!$A$149:$I$169,3,0)),0,VLOOKUP(A70,'Données projet'!$A$149:$I$169,3,0))</f>
        <v>4</v>
      </c>
      <c r="DB70" s="15">
        <f>IF(ISNA(VLOOKUP(A70,'Données projet'!$A$149:$I$169,4,0)),0,VLOOKUP(A70,'Données projet'!$A$149:$I$169,4,0))</f>
        <v>31.993589743589741</v>
      </c>
      <c r="DC70" s="16">
        <f>IF(ISNA(VLOOKUP(A70,'Données projet'!$A$149:$I$169,5,0)),0%,VLOOKUP(A70,'Données projet'!$A$149:$I$169,5,0)*VLOOKUP('Données projet'!$B$13,Paramètres!$A$1:$I$89,7,0))</f>
        <v>0</v>
      </c>
      <c r="DD70" s="16">
        <f>IF(ISNA(VLOOKUP(A70,'Données projet'!$A$149:$I$169,6,0)),0%,VLOOKUP(A70,'Données projet'!$A$149:$I$169,6,0)*VLOOKUP('Données projet'!$B$13,Paramètres!$A$1:$I$89,7,0))</f>
        <v>0</v>
      </c>
      <c r="DE70" s="16">
        <f>IF(ISNA(VLOOKUP(A70,'Données projet'!$A$149:$I$169,7,0)),0%,VLOOKUP(A70,'Données projet'!$A$149:$I$169,7,0))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134"/>
        <v>0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projet'!$A$175:$I$195,2,0)</f>
        <v>#N/A</v>
      </c>
      <c r="DM70" s="12" t="e">
        <f>VLOOKUP(A70,'Données projet'!$A$175:$I$195,9,0)</f>
        <v>#N/A</v>
      </c>
      <c r="DN70" s="12">
        <f t="array" ref="DN70">INDEX(DM:DM,MIN(IF(ISNUMBER(DM70:DM266),ROW(DM70:DM266),"")))</f>
        <v>5.2</v>
      </c>
      <c r="DO70" s="12">
        <f>IF('Données projet'!$A$176&gt;35,DO69+DN70-DW69,IF(A70&lt;'Données projet'!$A$176,$DL$205^A70,IF(A70='Données projet'!$A$176,'Données projet'!$B$176,DO69+DN70-DW69)))</f>
        <v>350.39999999999969</v>
      </c>
      <c r="DP70" s="17">
        <f>DO70*VLOOKUP('Données projet'!$B$14,Paramètres!$A$1:$I$89,3,0)*VLOOKUP('Données projet'!$B$14,Paramètres!$A$1:$I$89,5,0)</f>
        <v>256.91327999999976</v>
      </c>
      <c r="DQ70" s="13">
        <f t="shared" si="192"/>
        <v>62.063957347667916</v>
      </c>
      <c r="DR70" s="20">
        <f t="shared" si="135"/>
        <v>555.55202171385451</v>
      </c>
      <c r="DS70" s="59">
        <f t="shared" si="136"/>
        <v>848.88535504718789</v>
      </c>
      <c r="DT70" s="59">
        <f ca="1">AVERAGE(OFFSET($DS$3,0,0,'Données projet'!$E$14+1,1))-AVERAGE(OFFSET($H$3,0,0,'Données projet'!$E$14+1,1))</f>
        <v>296.91321813251051</v>
      </c>
      <c r="DU70" s="59">
        <f t="shared" si="193"/>
        <v>291.0718079639509</v>
      </c>
      <c r="DV70" s="15">
        <f>IF(ISNA(VLOOKUP(A70,'Données projet'!$A$175:$I$195,3,0)),0,VLOOKUP(A70,'Données projet'!$A$175:$I$195,3,0))</f>
        <v>0</v>
      </c>
      <c r="DW70" s="15">
        <f>IF(ISNA(VLOOKUP(A70,'Données projet'!$A$175:$I$195,4,0)),0,VLOOKUP(A70,'Données projet'!$A$175:$I$195,4,0))</f>
        <v>0</v>
      </c>
      <c r="DX70" s="16">
        <f>IF(ISNA(VLOOKUP(A70,'Données projet'!$A$175:$I$195,5,0)),0%,VLOOKUP(A70,'Données projet'!$A$175:$I$195,5,0)*VLOOKUP('Données projet'!$B$14,Paramètres!$A$1:$I$89,7,0))</f>
        <v>0</v>
      </c>
      <c r="DY70" s="16">
        <f>IF(ISNA(VLOOKUP(A70,'Données projet'!$A$175:$I$195,6,0)),0%,VLOOKUP(A70,'Données projet'!$A$175:$I$195,6,0)*VLOOKUP('Données projet'!$B$14,Paramètres!$A$1:$I$89,7,0))</f>
        <v>0</v>
      </c>
      <c r="DZ70" s="16">
        <f>IF(ISNA(VLOOKUP(A70,'Données projet'!$A$175:$I$195,7,0)),0%,VLOOKUP(A70,'Données projet'!$A$175:$I$195,7,0))</f>
        <v>0</v>
      </c>
      <c r="EA70" s="21">
        <f>EXP(-LN(2)/35)*EA69+(1-EXP(-LN(2)/35))/(LN(2)/35)*DW70*DX70*VLOOKUP('Données projet'!$B$14,Paramètres!$A$1:$I$89,3,0)*0.475*44/12</f>
        <v>42.134439784725103</v>
      </c>
      <c r="EB70" s="21">
        <f>EXP(-LN(2)/25)*EB69+(1-EXP(-LN(2)/25))/(LN(2)/25)*Calculateur!DW70*Calculateur!DY70*VLOOKUP('Données projet'!$B$14,Paramètres!$A$1:$I$89,3,0)*0.475*44/12</f>
        <v>6.8578211512920371</v>
      </c>
      <c r="EC70" s="21">
        <f>EXP(-LN(2)/2)*EC69+(1-EXP(-LN(2)/2))/(LN(2)/2)*DW70*DZ70*VLOOKUP('Données projet'!$B$14,Paramètres!$A$1:$I$89,3,0)*0.475*44/12</f>
        <v>0</v>
      </c>
      <c r="ED70" s="22">
        <f t="shared" si="137"/>
        <v>48.992260936017139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projet'!$A$201:$I$221,2,0)</f>
        <v>#N/A</v>
      </c>
      <c r="EH70" s="12" t="e">
        <f>VLOOKUP(A70,'Données projet'!$A$201:$I$221,9,0)</f>
        <v>#N/A</v>
      </c>
      <c r="EI70" s="12">
        <f t="array" ref="EI70">INDEX(EH:EH,MIN(IF(ISNUMBER(EH70:EH266),ROW(EH70:EH266),"")))</f>
        <v>9.8224358974358967</v>
      </c>
      <c r="EJ70" s="12">
        <f>IF('Données projet'!$A$202&gt;35,EJ69+EI70-ER69,IF(A70&lt;'Données projet'!$A$202,$EG$205^A70,IF(A70='Données projet'!$A$202,'Données projet'!$B$202,EJ69+EI70-ER69)))</f>
        <v>281.89743589743614</v>
      </c>
      <c r="EK70" s="17">
        <f>EJ70*VLOOKUP('Données projet'!$B$15,Paramètres!$A$1:$I$89,3,0)*VLOOKUP('Données projet'!$B$15,Paramètres!$A$1:$I$89,5,0)</f>
        <v>131.92800000000011</v>
      </c>
      <c r="EL70" s="13">
        <f t="shared" si="194"/>
        <v>34.441481093359563</v>
      </c>
      <c r="EM70" s="20">
        <f t="shared" si="138"/>
        <v>289.76017957093472</v>
      </c>
      <c r="EN70" s="59">
        <f t="shared" si="139"/>
        <v>583.09351290426798</v>
      </c>
      <c r="EO70" s="59">
        <f ca="1">AVERAGE(OFFSET($EN$3,0,0,'Données projet'!$E$15+1,1))-AVERAGE(OFFSET($H$3,0,0,'Données projet'!$E$15+1,1))</f>
        <v>147.64256291235483</v>
      </c>
      <c r="EP70" s="59">
        <f t="shared" si="195"/>
        <v>70.859031694091868</v>
      </c>
      <c r="EQ70" s="15">
        <f>IF(ISNA(VLOOKUP(A70,'Données projet'!$A$201:$I$221,3,0)),0,VLOOKUP(A70,'Données projet'!$A$201:$I$221,3,0))</f>
        <v>0</v>
      </c>
      <c r="ER70" s="15">
        <f>IF(ISNA(VLOOKUP(A70,'Données projet'!$A$201:$I$221,4,0)),0,VLOOKUP(A70,'Données projet'!$A$201:$I$221,4,0))</f>
        <v>0</v>
      </c>
      <c r="ES70" s="16">
        <f>IF(ISNA(VLOOKUP(A70,'Données projet'!$A$201:$I$221,5,0)),0%,VLOOKUP(A70,'Données projet'!$A$201:$I$221,5,0)*VLOOKUP('Données projet'!$B$15,Paramètres!$A$1:$I$89,7,0))</f>
        <v>0</v>
      </c>
      <c r="ET70" s="16">
        <f>IF(ISNA(VLOOKUP(A70,'Données projet'!$A$201:$I$221,6,0)),0%,VLOOKUP(A70,'Données projet'!$A$201:$I$221,6,0)*VLOOKUP('Données projet'!$B$15,Paramètres!$A$1:$I$89,7,0))</f>
        <v>0</v>
      </c>
      <c r="EU70" s="16">
        <f>IF(ISNA(VLOOKUP(A70,'Données projet'!$A$201:$I$221,7,0)),0%,VLOOKUP(A70,'Données projet'!$A$201:$I$221,7,0))</f>
        <v>0</v>
      </c>
      <c r="EV70" s="21">
        <f>EXP(-LN(2)/35)*EV69+(1-EXP(-LN(2)/35))/(LN(2)/35)*ER70*ES70*VLOOKUP('Données projet'!$B$15,Paramètres!$A$1:$I$89,3,0)*0.475*44/12</f>
        <v>23.866865870146526</v>
      </c>
      <c r="EW70" s="21">
        <f>EXP(-LN(2)/25)*EW69+(1-EXP(-LN(2)/25))/(LN(2)/25)*Calculateur!ER70*Calculateur!ET70*VLOOKUP('Données projet'!$B$15,Paramètres!$A$1:$I$89,3,0)*0.475*44/12</f>
        <v>17.787431157663306</v>
      </c>
      <c r="EX70" s="21">
        <f>EXP(-LN(2)/2)*EX69+(1-EXP(-LN(2)/2))/(LN(2)/2)*ER70*EU70*VLOOKUP('Données projet'!$B$15,Paramètres!$A$1:$I$89,3,0)*0.475*44/12</f>
        <v>1.9813428892161946</v>
      </c>
      <c r="EY70" s="22">
        <f t="shared" si="140"/>
        <v>43.635639917026026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projet'!$A$227:$I$247,2,0)</f>
        <v>#N/A</v>
      </c>
      <c r="FC70" s="12" t="e">
        <f>VLOOKUP(A70,'Données projet'!$A$227:$I$247,9,0)</f>
        <v>#N/A</v>
      </c>
      <c r="FD70" s="12">
        <f t="array" ref="FD70">INDEX(FC:FC,MIN(IF(ISNUMBER(FC70:FC266),ROW(FC70:FC266),"")))</f>
        <v>4.2</v>
      </c>
      <c r="FE70" s="12">
        <f>IF('Données projet'!$A$228&gt;35,FE69+FD70-FM69,IF(A70&lt;'Données projet'!$A$228,$FB$205^A70,IF(A70='Données projet'!$A$228,'Données projet'!$B$228,FE69+FD70-FM69)))</f>
        <v>188.39999999999998</v>
      </c>
      <c r="FF70" s="17">
        <f>FE70*VLOOKUP('Données projet'!$B$16,Paramètres!$A$1:$I$89,3,0)*VLOOKUP('Données projet'!$B$16,Paramètres!$A$1:$I$89,5,0)</f>
        <v>196.91568000000001</v>
      </c>
      <c r="FG70" s="13">
        <f t="shared" si="196"/>
        <v>49.065715635506891</v>
      </c>
      <c r="FH70" s="20">
        <f t="shared" si="141"/>
        <v>428.41759739850778</v>
      </c>
      <c r="FI70" s="59">
        <f t="shared" si="142"/>
        <v>721.75093073184109</v>
      </c>
      <c r="FJ70" s="59">
        <f ca="1">AVERAGE(OFFSET($FI$3,0,0,'Données projet'!$E$16+1,1))-AVERAGE(OFFSET($H$3,0,0,'Données projet'!$E$16+1,1))</f>
        <v>259.03906550253788</v>
      </c>
      <c r="FK70" s="59">
        <f t="shared" si="197"/>
        <v>235.54542903570831</v>
      </c>
      <c r="FL70" s="15">
        <f>IF(ISNA(VLOOKUP(A70,'Données projet'!$A$227:$I$247,3,0)),0,VLOOKUP(A70,'Données projet'!$A$227:$I$247,3,0))</f>
        <v>0</v>
      </c>
      <c r="FM70" s="15">
        <f>IF(ISNA(VLOOKUP(A70,'Données projet'!$A$227:$I$247,4,0)),0,VLOOKUP(A70,'Données projet'!$A$227:$I$247,4,0))</f>
        <v>0</v>
      </c>
      <c r="FN70" s="16">
        <f>IF(ISNA(VLOOKUP(A70,'Données projet'!$A$227:$I$247,5,0)),0%,VLOOKUP(A70,'Données projet'!$A$227:$I$247,5,0)*VLOOKUP('Données projet'!$B$16,Paramètres!$A$1:$I$89,7,0))</f>
        <v>0</v>
      </c>
      <c r="FO70" s="16">
        <f>IF(ISNA(VLOOKUP(A70,'Données projet'!$A$227:$I$247,6,0)),0%,VLOOKUP(A70,'Données projet'!$A$227:$I$247,6,0)*VLOOKUP('Données projet'!$B$16,Paramètres!$A$1:$I$89,7,0))</f>
        <v>0</v>
      </c>
      <c r="FP70" s="16">
        <f>IF(ISNA(VLOOKUP(A70,'Données projet'!$A$227:$I$247,7,0)),0%,VLOOKUP(A70,'Données projet'!$A$227:$I$247,7,0))</f>
        <v>0</v>
      </c>
      <c r="FQ70" s="21">
        <f>EXP(-LN(2)/35)*FQ69+(1-EXP(-LN(2)/35))/(LN(2)/35)*FM70*FN70*VLOOKUP('Données projet'!$B$16,Paramètres!$A$1:$I$89,3,0)*0.475*44/12</f>
        <v>8.2972822432575839</v>
      </c>
      <c r="FR70" s="21">
        <f>EXP(-LN(2)/25)*FR69+(1-EXP(-LN(2)/25))/(LN(2)/25)*Calculateur!FM70*Calculateur!FO70*VLOOKUP('Données projet'!$B$16,Paramètres!$A$1:$I$89,3,0)*0.475*44/12</f>
        <v>15.50590956789712</v>
      </c>
      <c r="FS70" s="21">
        <f>EXP(-LN(2)/2)*FS69+(1-EXP(-LN(2)/2))/(LN(2)/2)*FM70*FP70*VLOOKUP('Données projet'!$B$16,Paramètres!$A$1:$I$89,3,0)*0.475*44/12</f>
        <v>0</v>
      </c>
      <c r="FT70" s="22">
        <f t="shared" si="143"/>
        <v>23.803191811154704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projet'!$A$253:$I$273,2,0)</f>
        <v>#N/A</v>
      </c>
      <c r="FX70" s="12" t="e">
        <f>VLOOKUP(A70,'Données projet'!$A$253:$I$273,9,0)</f>
        <v>#N/A</v>
      </c>
      <c r="FY70" s="12">
        <f t="array" ref="FY70">INDEX(FX:FX,MIN(IF(ISNUMBER(FX70:FX266),ROW(FX70:FX266),"")))</f>
        <v>3.8</v>
      </c>
      <c r="FZ70" s="12">
        <f>IF('Données projet'!$A$254&gt;35,FZ69+FY70-GH69,IF(A70&lt;'Données projet'!$A$254,$FW$205^A70,IF(A70='Données projet'!$A$254,'Données projet'!$B$254,FZ69+FY70-GH69)))</f>
        <v>251.59999999999985</v>
      </c>
      <c r="GA70" s="17">
        <f>FZ70*VLOOKUP('Données projet'!$B$17,Paramètres!$A$1:$I$89,3,0)*VLOOKUP('Données projet'!$B$17,Paramètres!$A$1:$I$89,5,0)</f>
        <v>219.7977599999999</v>
      </c>
      <c r="GB70" s="13">
        <f t="shared" si="198"/>
        <v>54.070927503307338</v>
      </c>
      <c r="GC70" s="20">
        <f t="shared" si="144"/>
        <v>476.98796406826</v>
      </c>
      <c r="GD70" s="59">
        <f t="shared" si="145"/>
        <v>770.32129740159326</v>
      </c>
      <c r="GE70" s="59">
        <f ca="1">AVERAGE(OFFSET($GD$3,0,0,'Données projet'!$E$17+1,1))-AVERAGE(OFFSET($H$3,0,0,'Données projet'!$E$17+1,1))</f>
        <v>245.1983232777614</v>
      </c>
      <c r="GF70" s="59">
        <f t="shared" si="199"/>
        <v>242.34010522344573</v>
      </c>
      <c r="GG70" s="15">
        <f>IF(ISNA(VLOOKUP(A70,'Données projet'!$A$253:$I$273,3,0)),0,VLOOKUP(A70,'Données projet'!$A$253:$I$273,3,0))</f>
        <v>0</v>
      </c>
      <c r="GH70" s="15">
        <f>IF(ISNA(VLOOKUP(A70,'Données projet'!$A$253:$I$273,4,0)),0,VLOOKUP(A70,'Données projet'!$A$253:$I$273,4,0))</f>
        <v>0</v>
      </c>
      <c r="GI70" s="16">
        <f>IF(ISNA(VLOOKUP(A70,'Données projet'!$A$253:$I$273,5,0)),0%,VLOOKUP(A70,'Données projet'!$A$253:$I$273,5,0)*VLOOKUP('Données projet'!$B$17,Paramètres!$A$1:$I$89,7,0))</f>
        <v>0</v>
      </c>
      <c r="GJ70" s="16">
        <f>IF(ISNA(VLOOKUP(A70,'Données projet'!$A$253:$I$273,6,0)),0%,VLOOKUP(A70,'Données projet'!$A$253:$I$273,6,0)*VLOOKUP('Données projet'!$B$17,Paramètres!$A$1:$I$89,7,0))</f>
        <v>0</v>
      </c>
      <c r="GK70" s="16">
        <f>IF(ISNA(VLOOKUP(A70,'Données projet'!$A$253:$I$273,7,0)),0%,VLOOKUP(A70,'Données projet'!$A$253:$I$273,7,0))</f>
        <v>0</v>
      </c>
      <c r="GL70" s="21">
        <f>EXP(-LN(2)/35)*GL69+(1-EXP(-LN(2)/35))/(LN(2)/35)*GH70*GI70*VLOOKUP('Données projet'!$B$17,Paramètres!$A$1:$I$89,3,0)*0.475*44/12</f>
        <v>21.535081662066911</v>
      </c>
      <c r="GM70" s="21">
        <f>EXP(-LN(2)/25)*GM69+(1-EXP(-LN(2)/25))/(LN(2)/25)*Calculateur!GH70*Calculateur!GJ70*VLOOKUP('Données projet'!$B$17,Paramètres!$A$1:$I$89,3,0)*0.475*44/12</f>
        <v>9.0622793595994153</v>
      </c>
      <c r="GN70" s="21">
        <f>EXP(-LN(2)/2)*GN69+(1-EXP(-LN(2)/2))/(LN(2)/2)*GH70*GK70*VLOOKUP('Données projet'!$B$17,Paramètres!$A$1:$I$89,3,0)*0.475*44/12</f>
        <v>0</v>
      </c>
      <c r="GO70" s="21">
        <f t="shared" si="146"/>
        <v>30.597361021666327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projet'!$A$279:$I$299,2,0)</f>
        <v>#N/A</v>
      </c>
      <c r="GS70" s="12" t="e">
        <f>VLOOKUP(A70,'Données projet'!$A$279:$I$299,9,0)</f>
        <v>#N/A</v>
      </c>
      <c r="GT70" s="12">
        <f t="array" ref="GT70">INDEX(GS:GS,MIN(IF(ISNUMBER(GS70:GS266),ROW(GS70:GS266),"")))</f>
        <v>10.6</v>
      </c>
      <c r="GU70" s="12">
        <f>IF('Données projet'!$A$280&gt;35,GU69+GT70-HC69,IF(A70&lt;'Données projet'!$A$280,$GR$205^A70,IF(A70='Données projet'!$A$280,'Données projet'!$B$280,GU69+GT70-HC69)))</f>
        <v>741.20000000000027</v>
      </c>
      <c r="GV70" s="17">
        <f>GU70*VLOOKUP('Données projet'!$B$18,Paramètres!$A$1:$I$89,3,0)*VLOOKUP('Données projet'!$B$18,Paramètres!$A$1:$I$89,5,0)</f>
        <v>298.70360000000011</v>
      </c>
      <c r="GW70" s="13">
        <f t="shared" si="200"/>
        <v>70.904619778338969</v>
      </c>
      <c r="GX70" s="20">
        <f t="shared" si="147"/>
        <v>643.73431611394051</v>
      </c>
      <c r="GY70" s="59">
        <f t="shared" si="148"/>
        <v>937.06764944727388</v>
      </c>
      <c r="GZ70" s="59">
        <f ca="1">AVERAGE(OFFSET($GY$3,0,0,'Données projet'!$E$18+1,1))-AVERAGE(OFFSET($H$3,0,0,'Données projet'!$E$18+1,1))</f>
        <v>324.36162935850876</v>
      </c>
      <c r="HA70" s="59">
        <f t="shared" si="201"/>
        <v>265.23571072429735</v>
      </c>
      <c r="HB70" s="15">
        <f>IF(ISNA(VLOOKUP(A70,'Données projet'!$A$279:$I$299,3,0)),0,VLOOKUP(A70,'Données projet'!$A$279:$I$299,3,0))</f>
        <v>0</v>
      </c>
      <c r="HC70" s="15">
        <f>IF(ISNA(VLOOKUP(A70,'Données projet'!$A$279:$I$299,4,0)),0,VLOOKUP(A70,'Données projet'!$A$279:$I$299,4,0))</f>
        <v>0</v>
      </c>
      <c r="HD70" s="16">
        <f>IF(ISNA(VLOOKUP(A70,'Données projet'!$A$279:$I$299,5,0)),0%,VLOOKUP(A70,'Données projet'!$A$279:$I$299,5,0)*VLOOKUP('Données projet'!$B$18,Paramètres!$A$1:$I$89,7,0))</f>
        <v>0</v>
      </c>
      <c r="HE70" s="16">
        <f>IF(ISNA(VLOOKUP(A70,'Données projet'!$A$279:$I$299,6,0)),0%,VLOOKUP(A70,'Données projet'!$A$279:$I$299,6,0)*VLOOKUP('Données projet'!$B$18,Paramètres!$A$1:$I$89,7,0))</f>
        <v>0</v>
      </c>
      <c r="HF70" s="16">
        <f>IF(ISNA(VLOOKUP($A70,'Données projet'!$A$279:$I$299,7,0)),0%,VLOOKUP($A70,'Données projet'!$A$279:$I$299,7,0))</f>
        <v>0</v>
      </c>
      <c r="HG70" s="21">
        <f>EXP(-LN(2)/35)*HG69+(1-EXP(-LN(2)/35))/(LN(2)/35)*HC70*HD70*VLOOKUP('Données projet'!$B$18,Paramètres!$A$1:$I$89,3,0)*0.475*44/12</f>
        <v>14.239912405535977</v>
      </c>
      <c r="HH70" s="21">
        <f>EXP(-LN(2)/25)*HH69+(1-EXP(-LN(2)/25))/(LN(2)/25)*Calculateur!HC70*Calculateur!HE70*VLOOKUP('Données projet'!$B$18,Paramètres!$A$1:$I$89,3,0)*0.475*44/12</f>
        <v>10.284300443205229</v>
      </c>
      <c r="HI70" s="21">
        <f>EXP(-LN(2)/2)*HI69+(1-EXP(-LN(2)/2))/(LN(2)/2)*HC70*HF70*VLOOKUP('Données projet'!$B$18,Paramètres!$A$1:$I$89,3,0)*0.475*44/12</f>
        <v>0.16458585274897555</v>
      </c>
      <c r="HJ70" s="22">
        <f t="shared" si="149"/>
        <v>24.688798701490182</v>
      </c>
      <c r="HK70" s="74">
        <f>('Scénario référence'!$F$8+'Scénario référence'!$F$9+'Scénario référence'!$B$17+'Scénario référence'!$B$9+'Scénario référence'!$B$10)*70+IF((45+25*(1-EXP(-0.0175*$A70)))&lt;70,'Scénario référence'!$B$16*(45+25*(1-EXP(-0.0175*$A70))),70*'Scénario référence'!$B$16)+IF((32+38*(1-EXP(-0.0175*$A70)))&lt;70,'Scénario référence'!$B$18*(32+38*(1-EXP(-0.0175*$A70))),70*'Scénario référence'!$B$18)</f>
        <v>70</v>
      </c>
      <c r="HL70" s="12">
        <f>IF($A70&gt;30,10,('Scénario référence'!$B$16+'Scénario référence'!$B$17+'Scénario référence'!$B$18+'Scénario référence'!$B$9+'Scénario référence'!$B$10)*$A70*10/30+('Scénario référence'!$F$8+'Scénario référence'!$F$9)*10)</f>
        <v>10</v>
      </c>
      <c r="HM70" s="12" t="e">
        <f>VLOOKUP($A70,'Données projet'!$A$304:$I$324,2,0)</f>
        <v>#N/A</v>
      </c>
      <c r="HN70" s="12" t="e">
        <f>VLOOKUP($A70,'Données projet'!$A$304:$I$324,9,0)</f>
        <v>#N/A</v>
      </c>
      <c r="HO70" s="12">
        <f t="array" ref="HO70">INDEX(HN:HN,MIN(IF(ISNUMBER(HN70:HN266),ROW(HN70:HN266),"")))</f>
        <v>0</v>
      </c>
      <c r="HP70" s="12">
        <f>IF('Données projet'!$A$304&gt;35,HP69+HO70-HX69,IF($A70&lt;'Données projet'!$A$304,$CQ$205^$A70,IF($A70='Données projet'!$A$304,'Données projet'!$B$304,HP69+HO70-HX69)))</f>
        <v>0</v>
      </c>
      <c r="HQ70" s="17">
        <f>HP70*VLOOKUP('Données projet'!$B$19,Paramètres!$A$1:$I$89,3,0)*VLOOKUP('Données projet'!$B$19,Paramètres!$A$1:$I$89,5,0)</f>
        <v>0</v>
      </c>
      <c r="HR70" s="13" t="e">
        <f t="shared" si="202"/>
        <v>#NUM!</v>
      </c>
      <c r="HS70" s="14" t="e">
        <f t="shared" si="150"/>
        <v>#NUM!</v>
      </c>
      <c r="HT70" s="59" t="e">
        <f t="shared" si="151"/>
        <v>#NUM!</v>
      </c>
      <c r="HU70" s="59">
        <f ca="1">AVERAGE(OFFSET(HT$3,0,0,'Données projet'!$E$19+1,1))-AVERAGE(OFFSET($H$3,0,0,'Données projet'!$E$19+1,1))</f>
        <v>91.60721429656013</v>
      </c>
      <c r="HV70" s="59">
        <f t="shared" si="203"/>
        <v>258.94957804210856</v>
      </c>
      <c r="HW70" s="15">
        <f>IF(ISNA(VLOOKUP($A70,'Données projet'!$A$304:$I$324,3,0)),0,VLOOKUP($A70,'Données projet'!$A$304:$I$324,3,0))</f>
        <v>0</v>
      </c>
      <c r="HX70" s="15">
        <f>IF(ISNA(VLOOKUP($A70,'Données projet'!$A$304:$I$324,4,0)),0,VLOOKUP($A70,'Données projet'!$A$304:$I$324,4,0))</f>
        <v>0</v>
      </c>
      <c r="HY70" s="16">
        <f>IF(ISNA(VLOOKUP($A70,'Données projet'!$A$304:$I$324,5,0)),0%,VLOOKUP($A70,'Données projet'!$A$304:$I$324,5,0)*VLOOKUP('Données projet'!$B$19,Paramètres!$A$1:$I$89,7,0))</f>
        <v>0</v>
      </c>
      <c r="HZ70" s="16">
        <f>IF(ISNA(VLOOKUP($A70,'Données projet'!$A$304:$I$324,6,0)),0%,VLOOKUP($A70,'Données projet'!$A$304:$I$324,6,0)*VLOOKUP('Données projet'!$B$19,Paramètres!$A$1:$I$89,7,0))</f>
        <v>0</v>
      </c>
      <c r="IA70" s="16">
        <f>IF(ISNA(VLOOKUP($A70,'Données projet'!$A$304:$I$324,7,0)),0%,VLOOKUP($A70,'Données projet'!$A$304:$I$324,7,0))</f>
        <v>0</v>
      </c>
      <c r="IB70" s="21">
        <f>EXP(-LN(2)/35)*IB69+(1-EXP(-LN(2)/35))/(LN(2)/35)*HX70*HY70*VLOOKUP('Données projet'!$B$19,Paramètres!$A$1:$I$89,3,0)*0.475*44/12</f>
        <v>23.708453014809425</v>
      </c>
      <c r="IC70" s="21">
        <f>EXP(-LN(2)/25)*IC69+(1-EXP(-LN(2)/25))/(LN(2)/25)*Calculateur!HX70*Calculateur!HZ70*VLOOKUP('Données projet'!$B$19,Paramètres!$A$1:$I$89,3,0)*0.475*44/12</f>
        <v>3.487281179628591</v>
      </c>
      <c r="ID70" s="21">
        <f>EXP(-LN(2)/2)*ID69+(1-EXP(-LN(2)/2))/(LN(2)/2)*HX70*IA70*VLOOKUP('Données projet'!$B$19,Paramètres!$A$1:$I$89,3,0)*0.475*44/12</f>
        <v>1.5452108545400873E-6</v>
      </c>
      <c r="IE70" s="22">
        <f t="shared" si="152"/>
        <v>27.195735739648871</v>
      </c>
      <c r="IF70" s="74">
        <f>('Scénario référence'!$F$8+'Scénario référence'!$F$9+'Scénario référence'!$B$17+'Scénario référence'!$B$9+'Scénario référence'!$B$10)*70+IF((45+25*(1-EXP(-0.0175*$A70)))&lt;70,'Scénario référence'!$B$16*(45+25*(1-EXP(-0.0175*$A70))),70*'Scénario référence'!$B$16)+IF((32+38*(1-EXP(-0.0175*$A70)))&lt;70,'Scénario référence'!$B$18*(32+38*(1-EXP(-0.0175*$A70))),70*'Scénario référence'!$B$18)</f>
        <v>70</v>
      </c>
      <c r="IG70" s="12">
        <f>IF($A70&gt;30,10,('Scénario référence'!$B$16+'Scénario référence'!$B$17+'Scénario référence'!$B$18+'Scénario référence'!$B$9+'Scénario référence'!$B$10)*$A70*10/30+('Scénario référence'!$F$8+'Scénario référence'!$F$9)*10)</f>
        <v>10</v>
      </c>
      <c r="IH70" s="12" t="e">
        <f>VLOOKUP($A70,'Données projet'!$A$330:$I$350,2,0)</f>
        <v>#N/A</v>
      </c>
      <c r="II70" s="12" t="e">
        <f>VLOOKUP($A70,'Données projet'!$A$330:$I$350,9,0)</f>
        <v>#N/A</v>
      </c>
      <c r="IJ70" s="12">
        <f t="array" ref="IJ70">INDEX(II:II,MIN(IF(ISNUMBER(II70:II266),ROW(II70:II266),"")))</f>
        <v>0</v>
      </c>
      <c r="IK70" s="12">
        <f>IF('Données projet'!$A$330&gt;35,IK69+IJ70-IS69,IF($A70&lt;'Données projet'!$A$330,$CQ$205^$A70,IF($A70='Données projet'!$A$330,'Données projet'!$B$330,IK69+IJ70-IS69)))</f>
        <v>0</v>
      </c>
      <c r="IL70" s="17">
        <f>IK70*VLOOKUP('Données projet'!$B$20,Paramètres!$A$1:$I$89,3,0)*VLOOKUP('Données projet'!$B$20,Paramètres!$A$1:$I$89,5,0)</f>
        <v>0</v>
      </c>
      <c r="IM70" s="13" t="e">
        <f t="shared" si="204"/>
        <v>#NUM!</v>
      </c>
      <c r="IN70" s="20" t="e">
        <f t="shared" si="153"/>
        <v>#NUM!</v>
      </c>
      <c r="IO70" s="59" t="e">
        <f t="shared" si="154"/>
        <v>#NUM!</v>
      </c>
      <c r="IP70" s="59">
        <f ca="1">AVERAGE(OFFSET(IO$3,0,0,'Données projet'!$E$20+1,1))-AVERAGE(OFFSET($H$3,0,0,'Données projet'!$E$20+1,1))</f>
        <v>91.60721429656013</v>
      </c>
      <c r="IQ70" s="59">
        <f t="shared" si="205"/>
        <v>258.94957804210856</v>
      </c>
      <c r="IR70" s="15">
        <f>IF(ISNA(VLOOKUP($A70,'Données projet'!$A$330:$I$350,3,0)),0,VLOOKUP($A70,'Données projet'!$A$330:$I$350,3,0))</f>
        <v>0</v>
      </c>
      <c r="IS70" s="15">
        <f>IF(ISNA(VLOOKUP($A70,'Données projet'!$A$330:$I$350,4,0)),0,VLOOKUP($A70,'Données projet'!$A$330:$I$350,4,0))</f>
        <v>0</v>
      </c>
      <c r="IT70" s="16">
        <f>IF(ISNA(VLOOKUP($A70,'Données projet'!$A$330:$I$350,5,0)),0%,VLOOKUP($A70,'Données projet'!$A$330:$I$350,5,0)*VLOOKUP('Données projet'!$B$20,Paramètres!$A$1:$I$89,7,0))</f>
        <v>0</v>
      </c>
      <c r="IU70" s="16">
        <f>IF(ISNA(VLOOKUP($A70,'Données projet'!$A$330:$I$350,6,0)),0%,VLOOKUP($A70,'Données projet'!$A$330:$I$350,6,0)*VLOOKUP('Données projet'!$B$20,Paramètres!$A$1:$I$89,7,0))</f>
        <v>0</v>
      </c>
      <c r="IV70" s="16">
        <f>IF(ISNA(VLOOKUP($A70,'Données projet'!$A$330:$I$350,7,0)),0%,VLOOKUP($A70,'Données projet'!$A$330:$I$350,7,0))</f>
        <v>0</v>
      </c>
      <c r="IW70" s="21">
        <f>EXP(-LN(2)/35)*IW69+(1-EXP(-LN(2)/35))/(LN(2)/35)*IS70*IT70*VLOOKUP('Données projet'!$B$20,Paramètres!$A$1:$I$89,3,0)*0.475*44/12</f>
        <v>23.708453014809425</v>
      </c>
      <c r="IX70" s="21">
        <f>EXP(-LN(2)/25)*IX69+(1-EXP(-LN(2)/25))/(LN(2)/25)*Calculateur!IS70*Calculateur!IU70*VLOOKUP('Données projet'!$B$20,Paramètres!$A$1:$I$89,3,0)*0.475*44/12</f>
        <v>3.487281179628591</v>
      </c>
      <c r="IY70" s="21">
        <f>EXP(-LN(2)/2)*IY69+(1-EXP(-LN(2)/2))/(LN(2)/2)*IS70*IV70*VLOOKUP('Données projet'!$B$20,Paramètres!$A$1:$I$89,3,0)*0.475*44/12</f>
        <v>1.5452108545400873E-6</v>
      </c>
      <c r="IZ70" s="22">
        <f t="shared" si="155"/>
        <v>27.195735739648871</v>
      </c>
      <c r="JA70" s="74">
        <f>('Scénario référence'!$F$8+'Scénario référence'!$F$9+'Scénario référence'!$B$17+'Scénario référence'!$B$9+'Scénario référence'!$B$10)*70+IF((45+25*(1-EXP(-0.0175*$A70)))&lt;70,'Scénario référence'!$B$16*(45+25*(1-EXP(-0.0175*$A70))),70*'Scénario référence'!$B$16)+IF((32+38*(1-EXP(-0.0175*$A70)))&lt;70,'Scénario référence'!$B$18*(32+38*(1-EXP(-0.0175*$A70))),70*'Scénario référence'!$B$18)</f>
        <v>70</v>
      </c>
      <c r="JB70" s="12">
        <f>IF($A70&gt;30,10,('Scénario référence'!$B$16+'Scénario référence'!$B$17+'Scénario référence'!$B$18+'Scénario référence'!$B$9+'Scénario référence'!$B$10)*$A70*10/30+('Scénario référence'!$F$8+'Scénario référence'!$F$9)*10)</f>
        <v>10</v>
      </c>
      <c r="JC70" s="12" t="e">
        <f>VLOOKUP($A70,'Données projet'!$A$356:$I$376,2,0)</f>
        <v>#N/A</v>
      </c>
      <c r="JD70" s="12" t="e">
        <f>VLOOKUP($A70,'Données projet'!$A$356:$I$376,9,0)</f>
        <v>#N/A</v>
      </c>
      <c r="JE70" s="12">
        <f t="array" ref="JE70">INDEX(JD:JD,MIN(IF(ISNUMBER(JD70:JD266),ROW(JD70:JD266),"")))</f>
        <v>10</v>
      </c>
      <c r="JF70" s="12">
        <f>IF('Données projet'!$A$356&gt;35,JF69+JE70-JN69,IF($A70&lt;'Données projet'!$A$356,$CQ$205^$A70,IF($A70='Données projet'!$A$356,'Données projet'!$B$356,JF69+JE70-JN69)))</f>
        <v>286</v>
      </c>
      <c r="JG70" s="17">
        <f>JF70*VLOOKUP('Données projet'!$B$21,Paramètres!$A$1:$I$89,3,0)*VLOOKUP('Données projet'!$B$21,Paramètres!$A$1:$I$89,5,0)</f>
        <v>232.00319999999999</v>
      </c>
      <c r="JH70" s="13">
        <f t="shared" si="206"/>
        <v>56.715601357749442</v>
      </c>
      <c r="JI70" s="20">
        <f t="shared" si="156"/>
        <v>502.85191236474697</v>
      </c>
      <c r="JJ70" s="59">
        <f t="shared" si="157"/>
        <v>796.18524569808028</v>
      </c>
      <c r="JK70" s="59">
        <f ca="1">AVERAGE(OFFSET($JJ$3,0,0,'Données projet'!$E$22+1,1))-AVERAGE(OFFSET($H$3,0,0,'Données projet'!$E$22+1,1))</f>
        <v>353.35574633294613</v>
      </c>
      <c r="JL70" s="59">
        <f t="shared" si="207"/>
        <v>170.36796666474726</v>
      </c>
      <c r="JM70" s="15">
        <f>IF(ISNA(VLOOKUP($A70,'Données projet'!$A$356:$I$376,3,0)),0,VLOOKUP($A70,'Données projet'!$A$356:$I$376,3,0))</f>
        <v>0</v>
      </c>
      <c r="JN70" s="15">
        <f>IF(ISNA(VLOOKUP($A70,'Données projet'!$A$356:$I$376,4,0)),0,VLOOKUP($A70,'Données projet'!$A$356:$I$376,4,0))</f>
        <v>0</v>
      </c>
      <c r="JO70" s="16">
        <f>IF(ISNA(VLOOKUP($A70,'Données projet'!$A$356:$I$376,5,0)),0%,VLOOKUP($A70,'Données projet'!$A$356:$I$376,5,0)*VLOOKUP('Données projet'!$B$21,Paramètres!$A$1:$I$89,7,0))</f>
        <v>0</v>
      </c>
      <c r="JP70" s="16">
        <f>IF(ISNA(VLOOKUP($A70,'Données projet'!$A$356:$I$376,6,0)),0%,VLOOKUP($A70,'Données projet'!$A$356:$I$376,6,0)*VLOOKUP('Données projet'!$B$21,Paramètres!$A$1:$I$89,7,0))</f>
        <v>0</v>
      </c>
      <c r="JQ70" s="16">
        <f>IF(ISNA(VLOOKUP($A70,'Données projet'!$A$356:$I$376,7,0)),0%,VLOOKUP($A70,'Données projet'!$A$356:$I$376,7,0))</f>
        <v>0</v>
      </c>
      <c r="JR70" s="21">
        <f>EXP(-LN(2)/35)*JR69+(1-EXP(-LN(2)/35))/(LN(2)/35)*JN70*JO70*VLOOKUP('Données projet'!$B$21,Paramètres!$A$1:$I$89,3,0)*0.475*44/12</f>
        <v>0</v>
      </c>
      <c r="JS70" s="21">
        <f>EXP(-LN(2)/25)*JS69+(1-EXP(-LN(2)/25))/(LN(2)/25)*Calculateur!JN70*Calculateur!JP70*VLOOKUP('Données projet'!$B$21,Paramètres!$A$1:$I$89,3,0)*0.475*44/12</f>
        <v>10.22988598316439</v>
      </c>
      <c r="JT70" s="21">
        <f>EXP(-LN(2)/2)*JT69+(1-EXP(-LN(2)/2))/(LN(2)/2)*JN70*JQ70*VLOOKUP('Données projet'!$B$21,Paramètres!$A$1:$I$89,3,0)*0.475*44/12</f>
        <v>3.9049318150458157</v>
      </c>
      <c r="JU70" s="18">
        <f t="shared" si="158"/>
        <v>14.134817798210205</v>
      </c>
      <c r="JV70" s="74">
        <f>('Scénario référence'!$F$8+'Scénario référence'!$F$9+'Scénario référence'!$B$17+'Scénario référence'!$B$9+'Scénario référence'!$B$10)*70+IF((45+25*(1-EXP(-0.0175*$A70)))&lt;70,'Scénario référence'!$B$16*(45+25*(1-EXP(-0.0175*$A70))),70*'Scénario référence'!$B$16)+IF((32+38*(1-EXP(-0.0175*$A70)))&lt;70,'Scénario référence'!$B$18*(32+38*(1-EXP(-0.0175*$A70))),70*'Scénario référence'!$B$18)</f>
        <v>70</v>
      </c>
      <c r="JW70" s="12">
        <f>IF($A70&gt;30,10,('Scénario référence'!$B$16+'Scénario référence'!$B$17+'Scénario référence'!$B$18+'Scénario référence'!$B$9+'Scénario référence'!$B$10)*$A70*10/30+('Scénario référence'!$F$8+'Scénario référence'!$F$9)*10)</f>
        <v>10</v>
      </c>
      <c r="JX70" s="12" t="e">
        <f>VLOOKUP($A70,'Données projet'!$A$382:$I$402,2,0)</f>
        <v>#N/A</v>
      </c>
      <c r="JY70" s="12" t="e">
        <f>VLOOKUP($A70,'Données projet'!$A$382:$I$402,9,0)</f>
        <v>#N/A</v>
      </c>
      <c r="JZ70" s="12">
        <f t="array" ref="JZ70">INDEX(JY:JY,MIN(IF(ISNUMBER(JY70:JY266),ROW(JY70:JY266),"")))</f>
        <v>8.1001602564102626</v>
      </c>
      <c r="KA70" s="12">
        <f>IF('Données projet'!$A$382&gt;35,KA69+JZ70-KI69,IF($A70&lt;'Données projet'!$A$382,$CQ$205^$A70,IF($A70='Données projet'!$A$382,'Données projet'!$B$382,KA69+JZ70-KI69)))</f>
        <v>210.9647435897437</v>
      </c>
      <c r="KB70" s="17">
        <f>KA70*VLOOKUP('Données projet'!$B$22,Paramètres!$A$1:$I$89,3,0)*VLOOKUP('Données projet'!$B$22,Paramètres!$A$1:$I$89,5,0)</f>
        <v>141.51515000000009</v>
      </c>
      <c r="KC70" s="13">
        <f t="shared" si="208"/>
        <v>36.64388733162302</v>
      </c>
      <c r="KD70" s="20">
        <f t="shared" si="159"/>
        <v>310.29365668591021</v>
      </c>
      <c r="KE70" s="59">
        <f t="shared" si="160"/>
        <v>603.62699001924352</v>
      </c>
      <c r="KF70" s="59">
        <f ca="1">AVERAGE(OFFSET($KE$3,0,0,'Données projet'!$E$22+1,1))-AVERAGE(OFFSET($H$3,0,0,'Données projet'!$E$22+1,1))</f>
        <v>193.91714772848269</v>
      </c>
      <c r="KG70" s="59">
        <f t="shared" si="209"/>
        <v>159.20429420478047</v>
      </c>
      <c r="KH70" s="15">
        <f>IF(ISNA(VLOOKUP($A70,'Données projet'!$A$382:$I$402,3,0)),0,VLOOKUP($A70,'Données projet'!$A$382:$I$402,3,0))</f>
        <v>0</v>
      </c>
      <c r="KI70" s="15">
        <f>IF(ISNA(VLOOKUP($A70,'Données projet'!$A$382:$I$402,4,0)),0,VLOOKUP($A70,'Données projet'!$A$382:$I$402,4,0))</f>
        <v>0</v>
      </c>
      <c r="KJ70" s="16">
        <f>IF(ISNA(VLOOKUP($A70,'Données projet'!$A$382:$I$402,5,0)),0%,VLOOKUP($A70,'Données projet'!$A$382:$I$402,5,0)*VLOOKUP('Données projet'!$B$22,Paramètres!$A$1:$I$89,7,0))</f>
        <v>0</v>
      </c>
      <c r="KK70" s="16">
        <f>IF(ISNA(VLOOKUP($A70,'Données projet'!$A$382:$I$402,6,0)),0%,VLOOKUP($A70,'Données projet'!$A$382:$I$402,6,0)*VLOOKUP('Données projet'!$B$22,Paramètres!$A$1:$I$89,7,0))</f>
        <v>0</v>
      </c>
      <c r="KL70" s="16">
        <f>IF(ISNA(VLOOKUP($A70,'Données projet'!$A$382:$I$402,7,0)),0%,VLOOKUP($A70,'Données projet'!$A$382:$I$402,7,0))</f>
        <v>0</v>
      </c>
      <c r="KM70" s="21">
        <f>EXP(-LN(2)/35)*KM69+(1-EXP(-LN(2)/35))/(LN(2)/35)*KI70*KJ70*VLOOKUP('Données projet'!$B$22,Paramètres!$A$1:$I$89,3,0)*0.475*44/12</f>
        <v>10.604747174412925</v>
      </c>
      <c r="KN70" s="21">
        <f>EXP(-LN(2)/25)*KN69+(1-EXP(-LN(2)/25))/(LN(2)/25)*Calculateur!KI70*Calculateur!KK70*VLOOKUP('Données projet'!$B$22,Paramètres!$A$1:$I$89,3,0)*0.475*44/12</f>
        <v>0</v>
      </c>
      <c r="KO70" s="21">
        <f>EXP(-LN(2)/2)*KO69+(1-EXP(-LN(2)/2))/(LN(2)/2)*KI70*KL70*VLOOKUP('Données projet'!$B$22,Paramètres!$A$1:$I$89,3,0)*0.475*44/12</f>
        <v>0</v>
      </c>
      <c r="KP70" s="22">
        <f t="shared" si="161"/>
        <v>10.604747174412925</v>
      </c>
      <c r="KQ70" s="74">
        <f>('Scénario référence'!$F$8+'Scénario référence'!$F$9+'Scénario référence'!$B$17+'Scénario référence'!$B$9+'Scénario référence'!$B$10)*70+IF((45+25*(1-EXP(-0.0175*$A70)))&lt;70,'Scénario référence'!$B$16*(45+25*(1-EXP(-0.0175*$A70))),70*'Scénario référence'!$B$16)+IF((32+38*(1-EXP(-0.0175*$A70)))&lt;70,'Scénario référence'!$B$18*(32+38*(1-EXP(-0.0175*$A70))),70*'Scénario référence'!$B$18)</f>
        <v>70</v>
      </c>
      <c r="KR70" s="12">
        <f>IF($A70&gt;30,10,('Scénario référence'!$B$16+'Scénario référence'!$B$17+'Scénario référence'!$B$18+'Scénario référence'!$B$9+'Scénario référence'!$B$10)*$A70*10/30+('Scénario référence'!$F$8+'Scénario référence'!$F$9)*10)</f>
        <v>10</v>
      </c>
      <c r="KS70" s="12" t="e">
        <f>VLOOKUP($A70,'Données projet'!$A$408:$I$428,2,0)</f>
        <v>#N/A</v>
      </c>
      <c r="KT70" s="12" t="e">
        <f>VLOOKUP($A70,'Données projet'!$A$408:$I$428,9,0)</f>
        <v>#N/A</v>
      </c>
      <c r="KU70" s="12">
        <f t="array" ref="KU70">INDEX(KT:KT,MIN(IF(ISNUMBER(KT70:KT266),ROW(KT70:KT266),"")))</f>
        <v>3.8</v>
      </c>
      <c r="KV70" s="12">
        <f>IF('Données projet'!$A$408&gt;35,KV69+KU70-LD69,IF($A70&lt;'Données projet'!$A$408,$CQ$205^$A70,IF($A70='Données projet'!$A$408,'Données projet'!$B$408,KV69+KU70-LD69)))</f>
        <v>251.59999999999991</v>
      </c>
      <c r="KW70" s="17">
        <f>KV70*VLOOKUP('Données projet'!$B$23,Paramètres!$A$1:$I$89,3,0)*VLOOKUP('Données projet'!$B$23,Paramètres!$A$1:$I$89,5,0)</f>
        <v>219.79775999999995</v>
      </c>
      <c r="KX70" s="13">
        <f t="shared" si="210"/>
        <v>54.070927503307388</v>
      </c>
      <c r="KY70" s="14">
        <f t="shared" si="162"/>
        <v>476.98796406826023</v>
      </c>
      <c r="KZ70" s="59">
        <f t="shared" si="163"/>
        <v>770.32129740159348</v>
      </c>
      <c r="LA70" s="59">
        <f ca="1">AVERAGE(OFFSET($KZ$3,0,0,'Données projet'!$E$23+1,1))-AVERAGE(OFFSET($H$3,0,0,'Données projet'!$E$23+1,1))</f>
        <v>248.33596943633819</v>
      </c>
      <c r="LB70" s="59">
        <f t="shared" si="211"/>
        <v>242.34010522344573</v>
      </c>
      <c r="LC70" s="15">
        <f>IF(ISNA(VLOOKUP($A70,'Données projet'!$A$408:$I$428,3,0)),0,VLOOKUP($A70,'Données projet'!$A$408:$I$428,3,0))</f>
        <v>0</v>
      </c>
      <c r="LD70" s="15">
        <f>IF(ISNA(VLOOKUP($A70,'Données projet'!$A$408:$I$428,4,0)),0,VLOOKUP($A70,'Données projet'!$A$408:$I$428,4,0))</f>
        <v>0</v>
      </c>
      <c r="LE70" s="16">
        <f>IF(ISNA(VLOOKUP($A70,'Données projet'!$A$408:$I$428,5,0)),0%,VLOOKUP($A70,'Données projet'!$A$408:$I$428,5,0)*VLOOKUP('Données projet'!$B$23,Paramètres!$A$1:$I$89,7,0))</f>
        <v>0</v>
      </c>
      <c r="LF70" s="16">
        <f>IF(ISNA(VLOOKUP($A70,'Données projet'!$A$408:$I$428,6,0)),0%,VLOOKUP($A70,'Données projet'!$A$408:$I$428,6,0)*VLOOKUP('Données projet'!$B$23,Paramètres!$A$1:$I$89,7,0))</f>
        <v>0</v>
      </c>
      <c r="LG70" s="16">
        <f>IF(ISNA(VLOOKUP($A70,'Données projet'!$A$408:$I$428,7,0)),0%,VLOOKUP($A70,'Données projet'!$A$408:$I$428,7,0))</f>
        <v>0</v>
      </c>
      <c r="LH70" s="21">
        <f>EXP(-LN(2)/35)*LH69+(1-EXP(-LN(2)/35))/(LN(2)/35)*LD70*LE70*VLOOKUP('Données projet'!$B$23,Paramètres!$A$1:$I$89,3,0)*0.475*44/12</f>
        <v>21.535081662066911</v>
      </c>
      <c r="LI70" s="21">
        <f>EXP(-LN(2)/25)*LI69+(1-EXP(-LN(2)/25))/(LN(2)/25)*Calculateur!LD70*Calculateur!LF70*VLOOKUP('Données projet'!$B$23,Paramètres!$A$1:$I$89,3,0)*0.475*44/12</f>
        <v>9.0622793595994153</v>
      </c>
      <c r="LJ70" s="21">
        <f>EXP(-LN(2)/2)*LJ69+(1-EXP(-LN(2)/2))/(LN(2)/2)*LD70*LG70*VLOOKUP('Données projet'!$B$23,Paramètres!$A$1:$I$89,3,0)*0.475*44/12</f>
        <v>0</v>
      </c>
      <c r="LK70" s="22">
        <f t="shared" si="164"/>
        <v>30.597361021666327</v>
      </c>
      <c r="LL70" s="74">
        <f>('Scénario référence'!$F$8+'Scénario référence'!$F$9+'Scénario référence'!$B$17+'Scénario référence'!$B$9+'Scénario référence'!$B$10)*70+IF((45+25*(1-EXP(-0.0175*$A70)))&lt;70,'Scénario référence'!$B$16*(45+25*(1-EXP(-0.0175*$A70))),70*'Scénario référence'!$B$16)+IF((32+38*(1-EXP(-0.0175*$A70)))&lt;70,'Scénario référence'!$B$18*(32+38*(1-EXP(-0.0175*$A70))),70*'Scénario référence'!$B$18)</f>
        <v>70</v>
      </c>
      <c r="LM70" s="12">
        <f>IF($A70&gt;30,10,('Scénario référence'!$B$16+'Scénario référence'!$B$17+'Scénario référence'!$B$18+'Scénario référence'!$B$9+'Scénario référence'!$B$10)*$A70*10/30+('Scénario référence'!$F$8+'Scénario référence'!$F$9)*10)</f>
        <v>10</v>
      </c>
      <c r="LN70" s="12">
        <f>VLOOKUP($A70,'Données projet'!$A$434:$I$454,2,0)</f>
        <v>167.85897435897436</v>
      </c>
      <c r="LO70" s="12">
        <f>VLOOKUP($A70,'Données projet'!$A$434:$I$454,9,0)</f>
        <v>5.9431089743589762</v>
      </c>
      <c r="LP70" s="12">
        <f t="array" ref="LP70">INDEX(LO:LO,MIN(IF(ISNUMBER(LO70:LO266),ROW(LO70:LO266),"")))</f>
        <v>5.9431089743589762</v>
      </c>
      <c r="LQ70" s="12">
        <f>IF('Données projet'!$A$434&gt;35,LQ69+LP70-LY69,IF($A70&lt;'Données projet'!$A$434,$CQ$205^$A70,IF($A70='Données projet'!$A$434,'Données projet'!$B$434,LQ69+LP70-LY69)))</f>
        <v>167.85897435897436</v>
      </c>
      <c r="LR70" s="17">
        <f>LQ70*VLOOKUP('Données projet'!$B$24,Paramètres!$A$1:$I$89,3,0)*VLOOKUP('Données projet'!$B$24,Paramètres!$A$1:$I$89,5,0)</f>
        <v>170.209</v>
      </c>
      <c r="LS70" s="13">
        <f t="shared" si="212"/>
        <v>43.136829285053246</v>
      </c>
      <c r="LT70" s="14">
        <f t="shared" si="165"/>
        <v>371.57731933813437</v>
      </c>
      <c r="LU70" s="59">
        <f t="shared" si="166"/>
        <v>664.91065267146769</v>
      </c>
      <c r="LV70" s="59">
        <f ca="1">AVERAGE(OFFSET($LU$3,0,0,'Données projet'!$E$24+1,1))-AVERAGE(OFFSET($H$3,0,0,'Données projet'!$E$24+1,1))</f>
        <v>260.52627655062872</v>
      </c>
      <c r="LW70" s="59">
        <f t="shared" si="213"/>
        <v>159.20429420478047</v>
      </c>
      <c r="LX70" s="15">
        <f>IF(ISNA(VLOOKUP($A70,'Données projet'!$A$434:$I$454,3,0)),0,VLOOKUP($A70,'Données projet'!$A$434:$I$454,3,0))</f>
        <v>4</v>
      </c>
      <c r="LY70" s="15">
        <f>IF(ISNA(VLOOKUP($A70,'Données projet'!$A$434:$I$454,4,0)),0,VLOOKUP($A70,'Données projet'!$A$434:$I$454,4,0))</f>
        <v>31.993589743589741</v>
      </c>
      <c r="LZ70" s="16">
        <f>IF(ISNA(VLOOKUP($A70,'Données projet'!$A$434:$I$454,5,0)),0%,VLOOKUP($A70,'Données projet'!$A$434:$I$454,5,0)*VLOOKUP('Données projet'!$B$24,Paramètres!$A$1:$I$89,7,0))</f>
        <v>0</v>
      </c>
      <c r="MA70" s="16">
        <f>IF(ISNA(VLOOKUP($A70,'Données projet'!$A$434:$I$454,6,0)),0%,VLOOKUP($A70,'Données projet'!$A$434:$I$454,6,0)*VLOOKUP('Données projet'!$B$24,Paramètres!$A$1:$I$89,7,0))</f>
        <v>0</v>
      </c>
      <c r="MB70" s="16">
        <f>IF(ISNA(VLOOKUP($A70,'Données projet'!$A$434:$I$454,7,0)),0%,VLOOKUP($A70,'Données projet'!$A$434:$I$454,7,0))</f>
        <v>0</v>
      </c>
      <c r="MC70" s="21">
        <f>EXP(-LN(2)/35)*MC69+(1-EXP(-LN(2)/35))/(LN(2)/35)*LY70*LZ70*VLOOKUP('Données projet'!$B$24,Paramètres!$A$1:$I$89,3,0)*0.475*44/12</f>
        <v>0</v>
      </c>
      <c r="MD70" s="21">
        <f>EXP(-LN(2)/25)*MD69+(1-EXP(-LN(2)/25))/(LN(2)/25)*Calculateur!LY70*Calculateur!MA70*VLOOKUP('Données projet'!$B$24,Paramètres!$A$1:$I$89,3,0)*0.475*44/12</f>
        <v>0</v>
      </c>
      <c r="ME70" s="21">
        <f>EXP(-LN(2)/2)*ME69+(1-EXP(-LN(2)/2))/(LN(2)/2)*LY70*MB70*VLOOKUP('Données projet'!$B$24,Paramètres!$A$1:$I$89,3,0)*0.475*44/12</f>
        <v>0</v>
      </c>
      <c r="MF70" s="22">
        <f t="shared" si="167"/>
        <v>0</v>
      </c>
      <c r="MG70" s="74">
        <f>('Scénario référence'!$F$8+'Scénario référence'!$F$9+'Scénario référence'!$B$17+'Scénario référence'!$B$9+'Scénario référence'!$B$10)*70+IF((45+25*(1-EXP(-0.0175*$A70)))&lt;70,'Scénario référence'!$B$16*(45+25*(1-EXP(-0.0175*$A70))),70*'Scénario référence'!$B$16)+IF((32+38*(1-EXP(-0.0175*$A70)))&lt;70,'Scénario référence'!$B$18*(32+38*(1-EXP(-0.0175*$A70))),70*'Scénario référence'!$B$18)</f>
        <v>70</v>
      </c>
      <c r="MH70" s="12">
        <f>IF($A70&gt;30,10,('Scénario référence'!$B$16+'Scénario référence'!$B$17+'Scénario référence'!$B$18+'Scénario référence'!$B$9+'Scénario référence'!$B$10)*$A70*10/30+('Scénario référence'!$F$8+'Scénario référence'!$F$9)*10)</f>
        <v>10</v>
      </c>
      <c r="MI70" s="12" t="e">
        <f>VLOOKUP($A70,'Données projet'!$A$460:$I$480,2,0)</f>
        <v>#N/A</v>
      </c>
      <c r="MJ70" s="12" t="e">
        <f>VLOOKUP($A70,'Données projet'!$A$460:$I$480,9,0)</f>
        <v>#N/A</v>
      </c>
      <c r="MK70" s="12">
        <f t="array" ref="MK70">INDEX(MJ:MJ,MIN(IF(ISNUMBER(MJ70:MJ266),ROW(MJ70:MJ266),"")))</f>
        <v>0</v>
      </c>
      <c r="ML70" s="12">
        <f>IF('Données projet'!$A$460&gt;35,ML69+MK70-MT69,IF($A70&lt;'Données projet'!$A$460,$CQ$205^$A70,IF($A70='Données projet'!$A$460,'Données projet'!$B$460,ML69+MK70-MT69)))</f>
        <v>0</v>
      </c>
      <c r="MM70" s="17" t="e">
        <f>ML70*VLOOKUP('Données projet'!$B$25,Paramètres!$A$1:$I$89,3,0)*VLOOKUP('Données projet'!$B$25,Paramètres!$A$1:$I$89,5,0)</f>
        <v>#N/A</v>
      </c>
      <c r="MN70" s="13" t="e">
        <f t="shared" si="214"/>
        <v>#N/A</v>
      </c>
      <c r="MO70" s="14" t="e">
        <f t="shared" si="168"/>
        <v>#N/A</v>
      </c>
      <c r="MP70" s="59" t="e">
        <f t="shared" si="169"/>
        <v>#N/A</v>
      </c>
      <c r="MQ70" s="20" t="e">
        <f ca="1">AVERAGE(OFFSET($MP$3,0,0,'Données projet'!$E$25+1,1))-AVERAGE(OFFSET($H$3,0,0,'Données projet'!$E$25+1,1))</f>
        <v>#N/A</v>
      </c>
      <c r="MR70" s="59" t="e">
        <f t="shared" si="215"/>
        <v>#N/A</v>
      </c>
      <c r="MS70" s="15">
        <f>IF(ISNA(VLOOKUP($A70,'Données projet'!$A$460:$I$480,3,0)),0,VLOOKUP($A70,'Données projet'!$A$460:$I$480,3,0))</f>
        <v>0</v>
      </c>
      <c r="MT70" s="15">
        <f>IF(ISNA(VLOOKUP($A70,'Données projet'!$A$460:$I$480,4,0)),0,VLOOKUP($A70,'Données projet'!$A$460:$I$480,4,0))</f>
        <v>0</v>
      </c>
      <c r="MU70" s="16">
        <f>IF(ISNA(VLOOKUP($A70,'Données projet'!$A$460:$I$480,5,0)),0%,VLOOKUP($A70,'Données projet'!$A$460:$I$480,5,0)*VLOOKUP('Données projet'!$B$25,Paramètres!$A$1:$I$89,7,0))</f>
        <v>0</v>
      </c>
      <c r="MV70" s="16">
        <f>IF(ISNA(VLOOKUP($A70,'Données projet'!$A$460:$I$480,6,0)),0%,VLOOKUP($A70,'Données projet'!$A$460:$I$480,6,0)*VLOOKUP('Données projet'!$B$25,Paramètres!$A$1:$I$89,7,0))</f>
        <v>0</v>
      </c>
      <c r="MW70" s="16">
        <f>IF(ISNA(VLOOKUP($A70,'Données projet'!$A$460:$I$480,7,0)),0%,VLOOKUP($A70,'Données projet'!$A$460:$I$480,7,0))</f>
        <v>0</v>
      </c>
      <c r="MX70" s="21" t="e">
        <f>EXP(-LN(2)/35)*MX69+(1-EXP(-LN(2)/35))/(LN(2)/35)*MT70*MU70*VLOOKUP('Données projet'!$B$25,Paramètres!$A$1:$I$89,3,0)*0.475*44/12</f>
        <v>#N/A</v>
      </c>
      <c r="MY70" s="21" t="e">
        <f>EXP(-LN(2)/25)*MY69+(1-EXP(-LN(2)/25))/(LN(2)/25)*Calculateur!MT70*Calculateur!MV70*VLOOKUP('Données projet'!$B$25,Paramètres!$A$1:$I$89,3,0)*0.475*44/12</f>
        <v>#N/A</v>
      </c>
      <c r="MZ70" s="21" t="e">
        <f>EXP(-LN(2)/2)*MZ69+(1-EXP(-LN(2)/2))/(LN(2)/2)*MT70*MW70*VLOOKUP('Données projet'!$B$25,Paramètres!$A$1:$I$89,3,0)*0.475*44/12</f>
        <v>#N/A</v>
      </c>
      <c r="NA70" s="22" t="e">
        <f t="shared" si="170"/>
        <v>#N/A</v>
      </c>
      <c r="NB70" s="74">
        <f>('Scénario référence'!$F$8+'Scénario référence'!$F$9+'Scénario référence'!$B$17+'Scénario référence'!$B$9+'Scénario référence'!$B$10)*70+IF((45+25*(1-EXP(-0.0175*$A70)))&lt;70,'Scénario référence'!$B$16*(45+25*(1-EXP(-0.0175*$A70))),70*'Scénario référence'!$B$16)+IF((32+38*(1-EXP(-0.0175*$A70)))&lt;70,'Scénario référence'!$B$18*(32+38*(1-EXP(-0.0175*$A70))),70*'Scénario référence'!$B$18)</f>
        <v>70</v>
      </c>
      <c r="NC70" s="12">
        <f>IF($A70&gt;30,10,('Scénario référence'!$B$16+'Scénario référence'!$B$17+'Scénario référence'!$B$18+'Scénario référence'!$B$9+'Scénario référence'!$B$10)*$A70*10/30+('Scénario référence'!$F$8+'Scénario référence'!$F$9)*10)</f>
        <v>10</v>
      </c>
      <c r="ND70" s="12" t="e">
        <f>VLOOKUP($A70,'Données projet'!$A$486:$I$506,2,0)</f>
        <v>#N/A</v>
      </c>
      <c r="NE70" s="12" t="e">
        <f>VLOOKUP($A70,'Données projet'!$A$486:$I$506,9,0)</f>
        <v>#N/A</v>
      </c>
      <c r="NF70" s="12">
        <f t="array" ref="NF70">INDEX(NE:NE,MIN(IF(ISNUMBER(NE70:NE266),ROW(NE70:NE266),"")))</f>
        <v>0</v>
      </c>
      <c r="NG70" s="12">
        <f>IF('Données projet'!$A$486&gt;35,NG69+NF70-NO69,IF($A70&lt;'Données projet'!$A$486,$CQ$205^$A70,IF($A70='Données projet'!$A$486,'Données projet'!$B$486,NG69+NF70-NO69)))</f>
        <v>0</v>
      </c>
      <c r="NH70" s="17" t="e">
        <f>NG70*VLOOKUP('Données projet'!$B$26,Paramètres!$A$1:$I$89,3,0)*VLOOKUP('Données projet'!$B$26,Paramètres!$A$1:$I$89,5,0)</f>
        <v>#N/A</v>
      </c>
      <c r="NI70" s="13" t="e">
        <f t="shared" si="216"/>
        <v>#N/A</v>
      </c>
      <c r="NJ70" s="14" t="e">
        <f t="shared" si="171"/>
        <v>#N/A</v>
      </c>
      <c r="NK70" s="59" t="e">
        <f t="shared" si="172"/>
        <v>#N/A</v>
      </c>
      <c r="NL70" s="20" t="e">
        <f ca="1">AVERAGE(OFFSET($NK$3,0,0,'Données projet'!$E$26+1,1))-AVERAGE(OFFSET($H$3,0,0,'Données projet'!$E$26+1,1))</f>
        <v>#N/A</v>
      </c>
      <c r="NM70" s="59" t="e">
        <f t="shared" si="217"/>
        <v>#N/A</v>
      </c>
      <c r="NN70" s="15">
        <f>IF(ISNA(VLOOKUP($A70,'Données projet'!$A$486:$I$506,3,0)),0,VLOOKUP($A70,'Données projet'!$A$486:$I$506,3,0))</f>
        <v>0</v>
      </c>
      <c r="NO70" s="15">
        <f>IF(ISNA(VLOOKUP($A70,'Données projet'!$A$486:$I$506,4,0)),0,VLOOKUP($A70,'Données projet'!$A$486:$I$506,4,0))</f>
        <v>0</v>
      </c>
      <c r="NP70" s="16">
        <f>IF(ISNA(VLOOKUP($A70,'Données projet'!$A$486:$I$506,5,0)),0%,VLOOKUP($A70,'Données projet'!$A$486:$I$506,5,0)*VLOOKUP('Données projet'!$B$26,Paramètres!$A$1:$I$89,7,0))</f>
        <v>0</v>
      </c>
      <c r="NQ70" s="16">
        <f>IF(ISNA(VLOOKUP($A70,'Données projet'!$A$486:$I$506,6,0)),0%,VLOOKUP($A70,'Données projet'!$A$486:$I$506,6,0)*VLOOKUP('Données projet'!$B$26,Paramètres!$A$1:$I$89,7,0))</f>
        <v>0</v>
      </c>
      <c r="NR70" s="16">
        <f>IF(ISNA(VLOOKUP($A70,'Données projet'!$A$486:$I$506,7,0)),0%,VLOOKUP($A70,'Données projet'!$A$486:$I$506,7,0))</f>
        <v>0</v>
      </c>
      <c r="NS70" s="21" t="e">
        <f>EXP(-LN(2)/35)*NS69+(1-EXP(-LN(2)/35))/(LN(2)/35)*NO70*NP70*VLOOKUP('Données projet'!$B$26,Paramètres!$A$1:$I$89,3,0)*0.475*44/12</f>
        <v>#N/A</v>
      </c>
      <c r="NT70" s="21" t="e">
        <f>EXP(-LN(2)/25)*NT69+(1-EXP(-LN(2)/25))/(LN(2)/25)*Calculateur!NO70*Calculateur!NQ70*VLOOKUP('Données projet'!$B$26,Paramètres!$A$1:$I$89,3,0)*0.475*44/12</f>
        <v>#N/A</v>
      </c>
      <c r="NU70" s="21" t="e">
        <f>EXP(-LN(2)/2)*NU69+(1-EXP(-LN(2)/2))/(LN(2)/2)*NO70*NR70*VLOOKUP('Données projet'!$B$26,Paramètres!$A$1:$I$89,3,0)*0.475*44/12</f>
        <v>#N/A</v>
      </c>
      <c r="NV70" s="22" t="e">
        <f t="shared" si="173"/>
        <v>#N/A</v>
      </c>
      <c r="NW70" s="74">
        <f>('Scénario référence'!$F$8+'Scénario référence'!$F$9+'Scénario référence'!$B$17+'Scénario référence'!$B$9+'Scénario référence'!$B$10)*70+IF((45+25*(1-EXP(-0.0175*$A70)))&lt;70,'Scénario référence'!$B$16*(45+25*(1-EXP(-0.0175*$A70))),70*'Scénario référence'!$B$16)+IF((32+38*(1-EXP(-0.0175*$A70)))&lt;70,'Scénario référence'!$B$18*(32+38*(1-EXP(-0.0175*$A70))),70*'Scénario référence'!$B$18)</f>
        <v>70</v>
      </c>
      <c r="NX70" s="12">
        <f>IF($A70&gt;30,10,('Scénario référence'!$B$16+'Scénario référence'!$B$17+'Scénario référence'!$B$18+'Scénario référence'!$B$9+'Scénario référence'!$B$10)*$A70*10/30+('Scénario référence'!$F$8+'Scénario référence'!$F$9)*10)</f>
        <v>10</v>
      </c>
      <c r="NY70" s="12" t="e">
        <f>VLOOKUP($A70,'Données projet'!$A$512:$I$532,2,0)</f>
        <v>#N/A</v>
      </c>
      <c r="NZ70" s="12" t="e">
        <f>VLOOKUP($A70,'Données projet'!$A$512:$I$532,9,0)</f>
        <v>#N/A</v>
      </c>
      <c r="OA70" s="12">
        <f t="array" ref="OA70">INDEX(NZ:NZ,MIN(IF(ISNUMBER(NZ70:NZ266),ROW(NZ70:NZ266),"")))</f>
        <v>0</v>
      </c>
      <c r="OB70" s="12">
        <f>IF('Données projet'!$A$512&gt;35,OB69+OA70-OJ69,IF($A70&lt;'Données projet'!$A$512,$CQ$205^$A70,IF($A70='Données projet'!$A$512,'Données projet'!$B$512,OB69+OA70-OJ69)))</f>
        <v>0</v>
      </c>
      <c r="OC70" s="17" t="e">
        <f>OB70*VLOOKUP('Données projet'!$B$27,Paramètres!$A$1:$I$89,3,0)*VLOOKUP('Données projet'!$B$27,Paramètres!$A$1:$I$89,5,0)</f>
        <v>#N/A</v>
      </c>
      <c r="OD70" s="13" t="e">
        <f t="shared" si="218"/>
        <v>#N/A</v>
      </c>
      <c r="OE70" s="14" t="e">
        <f t="shared" si="174"/>
        <v>#N/A</v>
      </c>
      <c r="OF70" s="59" t="e">
        <f t="shared" si="175"/>
        <v>#N/A</v>
      </c>
      <c r="OG70" s="20" t="e">
        <f ca="1">AVERAGE(OFFSET($OF$3,0,0,'Données projet'!$E$27+1,1))-AVERAGE(OFFSET($H$3,0,0,'Données projet'!$E$27+1,1))</f>
        <v>#N/A</v>
      </c>
      <c r="OH70" s="59" t="e">
        <f t="shared" si="219"/>
        <v>#N/A</v>
      </c>
      <c r="OI70" s="15">
        <f>IF(ISNA(VLOOKUP($A70,'Données projet'!$A$512:$I$532,3,0)),0,VLOOKUP($A70,'Données projet'!$A$512:$I$532,3,0))</f>
        <v>0</v>
      </c>
      <c r="OJ70" s="15">
        <f>IF(ISNA(VLOOKUP($A70,'Données projet'!$A$512:$I$532,4,0)),0,VLOOKUP($A70,'Données projet'!$A$512:$I$532,4,0))</f>
        <v>0</v>
      </c>
      <c r="OK70" s="16">
        <f>IF(ISNA(VLOOKUP($A70,'Données projet'!$A$512:$I$532,5,0)),0%,VLOOKUP($A70,'Données projet'!$A$512:$I$532,5,0)*VLOOKUP('Données projet'!$B$27,Paramètres!$A$1:$I$89,7,0))</f>
        <v>0</v>
      </c>
      <c r="OL70" s="16">
        <f>IF(ISNA(VLOOKUP($A70,'Données projet'!$A$512:$I$532,6,0)),0%,VLOOKUP($A70,'Données projet'!$A$512:$I$532,6,0)*VLOOKUP('Données projet'!$B$27,Paramètres!$A$1:$I$89,7,0))</f>
        <v>0</v>
      </c>
      <c r="OM70" s="16">
        <f>IF(ISNA(VLOOKUP($A70,'Données projet'!$A$512:$I$532,7,0)),0%,VLOOKUP($A70,'Données projet'!$A$512:$I$532,7,0))</f>
        <v>0</v>
      </c>
      <c r="ON70" s="21" t="e">
        <f>EXP(-LN(2)/35)*ON69+(1-EXP(-LN(2)/35))/(LN(2)/35)*OJ70*OK70*VLOOKUP('Données projet'!$B$27,Paramètres!$A$1:$I$89,3,0)*0.475*44/12</f>
        <v>#N/A</v>
      </c>
      <c r="OO70" s="21" t="e">
        <f>EXP(-LN(2)/25)*OO69+(1-EXP(-LN(2)/25))/(LN(2)/25)*Calculateur!OJ70*Calculateur!OL70*VLOOKUP('Données projet'!$B$27,Paramètres!$A$1:$I$89,3,0)*0.475*44/12</f>
        <v>#N/A</v>
      </c>
      <c r="OP70" s="21" t="e">
        <f>EXP(-LN(2)/2)*OP69+(1-EXP(-LN(2)/2))/(LN(2)/2)*OJ70*OM70*VLOOKUP('Données projet'!$B$27,Paramètres!$A$1:$I$89,3,0)*0.475*44/12</f>
        <v>#N/A</v>
      </c>
      <c r="OQ70" s="22" t="e">
        <f t="shared" si="176"/>
        <v>#N/A</v>
      </c>
      <c r="OR70" s="74">
        <f>('Scénario référence'!$F$8+'Scénario référence'!$F$9+'Scénario référence'!$B$17+'Scénario référence'!$B$9+'Scénario référence'!$B$10)*70+IF((45+25*(1-EXP(-0.0175*$A70)))&lt;70,'Scénario référence'!$B$16*(45+25*(1-EXP(-0.0175*$A70))),70*'Scénario référence'!$B$16)+IF((32+38*(1-EXP(-0.0175*$A70)))&lt;70,'Scénario référence'!$B$18*(32+38*(1-EXP(-0.0175*$A70))),70*'Scénario référence'!$B$18)</f>
        <v>70</v>
      </c>
      <c r="OS70" s="12">
        <f>IF($A70&gt;30,10,('Scénario référence'!$B$16+'Scénario référence'!$B$17+'Scénario référence'!$B$18+'Scénario référence'!$B$9+'Scénario référence'!$B$10)*$A70*10/30+('Scénario référence'!$F$8+'Scénario référence'!$F$9)*10)</f>
        <v>10</v>
      </c>
      <c r="OT70" s="12" t="e">
        <f>VLOOKUP($A70,'Données projet'!$A$538:$I$558,2,0)</f>
        <v>#N/A</v>
      </c>
      <c r="OU70" s="12" t="e">
        <f>VLOOKUP($A70,'Données projet'!$A$538:$I$558,9,0)</f>
        <v>#N/A</v>
      </c>
      <c r="OV70" s="12">
        <f t="array" ref="OV70">INDEX(OU:OU,MIN(IF(ISNUMBER(OU70:OU266),ROW(OU70:OU266),"")))</f>
        <v>0</v>
      </c>
      <c r="OW70" s="12">
        <f>IF('Données projet'!$A$538&gt;35,OW69+OV70-PE69,IF($A70&lt;'Données projet'!$A$538,$CQ$205^$A70,IF($A70='Données projet'!$A$538,'Données projet'!$B$538,OW69+OV70-PE69)))</f>
        <v>0</v>
      </c>
      <c r="OX70" s="17" t="e">
        <f>OW70*VLOOKUP('Données projet'!$B$28,Paramètres!$A$1:$I$89,3,0)*VLOOKUP('Données projet'!$B$28,Paramètres!$A$1:$I$89,5,0)</f>
        <v>#N/A</v>
      </c>
      <c r="OY70" s="13" t="e">
        <f t="shared" si="220"/>
        <v>#N/A</v>
      </c>
      <c r="OZ70" s="14" t="e">
        <f t="shared" si="177"/>
        <v>#N/A</v>
      </c>
      <c r="PA70" s="59" t="e">
        <f t="shared" si="178"/>
        <v>#N/A</v>
      </c>
      <c r="PB70" s="20" t="e">
        <f ca="1">AVERAGE(OFFSET($PA$3,0,0,'Données projet'!$E$28+1,1))-AVERAGE(OFFSET($H$3,0,0,'Données projet'!$E$28+1,1))</f>
        <v>#N/A</v>
      </c>
      <c r="PC70" s="59" t="e">
        <f t="shared" si="221"/>
        <v>#N/A</v>
      </c>
      <c r="PD70" s="15">
        <f>IF(ISNA(VLOOKUP($A70,'Données projet'!$A$538:$I$558,3,0)),0,VLOOKUP($A70,'Données projet'!$A$538:$I$558,3,0))</f>
        <v>0</v>
      </c>
      <c r="PE70" s="15">
        <f>IF(ISNA(VLOOKUP($A70,'Données projet'!$A$538:$I$558,4,0)),0,VLOOKUP($A70,'Données projet'!$A$538:$I$558,4,0))</f>
        <v>0</v>
      </c>
      <c r="PF70" s="16">
        <f>IF(ISNA(VLOOKUP($A70,'Données projet'!$A$538:$I$558,5,0)),0%,VLOOKUP($A70,'Données projet'!$A$538:$I$558,5,0)*VLOOKUP('Données projet'!$B$28,Paramètres!$A$1:$I$89,7,0))</f>
        <v>0</v>
      </c>
      <c r="PG70" s="16">
        <f>IF(ISNA(VLOOKUP($A70,'Données projet'!$A$538:$I$558,6,0)),0%,VLOOKUP($A70,'Données projet'!$A$538:$I$558,6,0)*VLOOKUP('Données projet'!$B$28,Paramètres!$A$1:$I$89,7,0))</f>
        <v>0</v>
      </c>
      <c r="PH70" s="16">
        <f>IF(ISNA(VLOOKUP($A70,'Données projet'!$A$538:$I$558,7,0)),0%,VLOOKUP($A70,'Données projet'!$A$538:$I$558,7,0))</f>
        <v>0</v>
      </c>
      <c r="PI70" s="21" t="e">
        <f>EXP(-LN(2)/35)*PI69+(1-EXP(-LN(2)/35))/(LN(2)/35)*PE70*PF70*VLOOKUP('Données projet'!$B$28,Paramètres!$A$1:$I$89,3,0)*0.475*44/12</f>
        <v>#N/A</v>
      </c>
      <c r="PJ70" s="21" t="e">
        <f>EXP(-LN(2)/25)*PJ69+(1-EXP(-LN(2)/25))/(LN(2)/25)*Calculateur!PE70*Calculateur!PG70*VLOOKUP('Données projet'!$B$28,Paramètres!$A$1:$I$89,3,0)*0.475*44/12</f>
        <v>#N/A</v>
      </c>
      <c r="PK70" s="21" t="e">
        <f>EXP(-LN(2)/2)*PK69+(1-EXP(-LN(2)/2))/(LN(2)/2)*PE70*PH70*VLOOKUP('Données projet'!$B$28,Paramètres!$A$1:$I$89,3,0)*0.475*44/12</f>
        <v>#N/A</v>
      </c>
      <c r="PL70" s="22" t="e">
        <f t="shared" si="179"/>
        <v>#N/A</v>
      </c>
    </row>
    <row r="71" spans="1:428" x14ac:dyDescent="0.35">
      <c r="A71" s="10">
        <f t="shared" si="180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181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121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projet'!$A$45:$I$65,2,0)</f>
        <v>#N/A</v>
      </c>
      <c r="L71" s="12" t="e">
        <f>VLOOKUP(A71,'Données projet'!$A$45:$I$65,9,0)</f>
        <v>#N/A</v>
      </c>
      <c r="M71" s="12">
        <f t="array" ref="M71">INDEX(L:L,MIN(IF(ISNUMBER(L71:L267),ROW(L71:L267),"")))</f>
        <v>0</v>
      </c>
      <c r="N71" s="13">
        <f>IF('Données projet'!$A$46&gt;35,N70+M71-V70,IF(A71&lt;'Données projet'!$A$46,$K$205^A71,IF(A71='Données projet'!$A$46,'Données projet'!$B$46,N70+M71-V70)))</f>
        <v>-1.1368683772161603E-13</v>
      </c>
      <c r="O71" s="13">
        <f>N71*VLOOKUP('Données projet'!$B$9,Paramètres!$A$1:$I$89,3,0)*VLOOKUP('Données projet'!$B$9,Paramètres!$A$1:$I$89,5,0)</f>
        <v>-6.3550942286383367E-14</v>
      </c>
      <c r="P71" s="13" t="e">
        <f t="shared" si="182"/>
        <v>#NUM!</v>
      </c>
      <c r="Q71" s="20" t="e">
        <f t="shared" si="119"/>
        <v>#NUM!</v>
      </c>
      <c r="R71" s="59" t="e">
        <f t="shared" si="120"/>
        <v>#NUM!</v>
      </c>
      <c r="S71" s="59">
        <f ca="1">AVERAGE(OFFSET($R$3,0,0,'Données projet'!$E$9+1,1))-AVERAGE(OFFSET($H$3,0,0,'Données projet'!$E$9+1,1))</f>
        <v>274.57619581652199</v>
      </c>
      <c r="T71" s="59">
        <f t="shared" si="183"/>
        <v>366.15117322598775</v>
      </c>
      <c r="U71" s="15">
        <f>IF(ISNA(VLOOKUP(A71,'Données projet'!$A$45:$I$65,3,0)),0,VLOOKUP(A71,'Données projet'!$A$45:$I$65,3,0))</f>
        <v>0</v>
      </c>
      <c r="V71" s="15">
        <f>IF(ISNA(VLOOKUP(A71,'Données projet'!$A$45:$I$65,4,0)),0,VLOOKUP(A71,'Données projet'!$A$45:$I$65,4,0))</f>
        <v>0</v>
      </c>
      <c r="W71" s="16">
        <f>IF(ISNA(VLOOKUP(A71,'Données projet'!$A$45:$I$65,5,0)),0%,VLOOKUP(A71,'Données projet'!$A$45:$I$65,5,0)*VLOOKUP('Données projet'!$B$9,Paramètres!$A$1:$I$89,7,0))</f>
        <v>0</v>
      </c>
      <c r="X71" s="16">
        <f>IF(ISNA(VLOOKUP(A71,'Données projet'!$A$45:$I$65,6,0)),0%,VLOOKUP(A71,'Données projet'!$A$45:$I$65,6,0)*VLOOKUP('Données projet'!$B$9,Paramètres!$A$1:$I$89,7,0))</f>
        <v>0</v>
      </c>
      <c r="Y71" s="16">
        <f>IF(ISNA(VLOOKUP(A71,'Données projet'!$A$45:$I$65,7,0)),0%,VLOOKUP(A71,'Données projet'!$A$45:$I$65,7,0))</f>
        <v>0</v>
      </c>
      <c r="Z71" s="21">
        <f>EXP(-LN(2)/35)*Z70+(1-EXP(-LN(2)/35))/(LN(2)/35)*V71*W71*VLOOKUP('Données projet'!$B$9,Paramètres!$A$1:$I$89,3,0)*0.475*44/12</f>
        <v>175.20970242089007</v>
      </c>
      <c r="AA71" s="21">
        <f>EXP(-LN(2)/25)*AA70+(1-EXP(-LN(2)/25))/(LN(2)/25)*Calculateur!V71*Calculateur!X71*VLOOKUP('Données projet'!$B$9,Paramètres!$A$1:$I$89,3,0)*0.475*44/12</f>
        <v>40.173973677318017</v>
      </c>
      <c r="AB71" s="21">
        <f>EXP(-LN(2)/2)*AB70+(1-EXP(-LN(2)/2))/(LN(2)/2)*V71*Y71*VLOOKUP('Données projet'!$B$9,Paramètres!$A$1:$I$89,3,0)*0.475*44/12</f>
        <v>0.37743265180442326</v>
      </c>
      <c r="AC71" s="22">
        <f t="shared" si="122"/>
        <v>215.76110875001248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projet'!$A$71:$I$91,2,0)</f>
        <v>#N/A</v>
      </c>
      <c r="AG71" s="12" t="e">
        <f>VLOOKUP(A71,'Données projet'!$A$71:$I$91,9,0)</f>
        <v>#N/A</v>
      </c>
      <c r="AH71" s="12">
        <f t="array" ref="AH71">INDEX(AG:AG,MIN(IF(ISNUMBER(AG71:AG267),ROW(AG71:AG267),"")))</f>
        <v>8.1001602564102626</v>
      </c>
      <c r="AI71" s="13">
        <f>IF('Données projet'!$A$72&gt;35,AI70+AH71-AQ70,IF(A71&lt;'Données projet'!$A$72,$AF$205^A71,IF(A71='Données projet'!$A$72,'Données projet'!$B$72,AI70+AH71-AQ70)))</f>
        <v>219.06490384615404</v>
      </c>
      <c r="AJ71" s="13">
        <f>AI71*VLOOKUP('Données projet'!$B$10,Paramètres!$A$1:$I$89,3,0)*VLOOKUP('Données projet'!$B$10,Paramètres!$A$1:$I$89,5,0)</f>
        <v>198.20992500000017</v>
      </c>
      <c r="AK71" s="13">
        <f t="shared" si="184"/>
        <v>49.350557805795496</v>
      </c>
      <c r="AL71" s="20">
        <f t="shared" si="123"/>
        <v>431.16784088676076</v>
      </c>
      <c r="AM71" s="59">
        <f t="shared" si="124"/>
        <v>724.50117422009407</v>
      </c>
      <c r="AN71" s="59">
        <f ca="1">AVERAGE(OFFSET($AM$3,0,0,'Données projet'!$E$10+1,1))-AVERAGE(OFFSET($H$3,0,0,'Données projet'!$E$10+1,1))</f>
        <v>270.87836509222456</v>
      </c>
      <c r="AO71" s="59">
        <f t="shared" si="185"/>
        <v>205.24998237949734</v>
      </c>
      <c r="AP71" s="15">
        <f>IF(ISNA(VLOOKUP(A71,'Données projet'!$A$71:$I$91,3,0)),0,VLOOKUP(A71,'Données projet'!$A$71:$I$91,3,0))</f>
        <v>0</v>
      </c>
      <c r="AQ71" s="15">
        <f>IF(ISNA(VLOOKUP(A71,'Données projet'!$A$71:$I$91,4,0)),0,VLOOKUP(A71,'Données projet'!$A$71:$I$91,4,0))</f>
        <v>0</v>
      </c>
      <c r="AR71" s="16">
        <f>IF(ISNA(VLOOKUP(A71,'Données projet'!$A$71:$I$91,5,0)),0%,VLOOKUP(A71,'Données projet'!$A$71:$I$91,5,0)*VLOOKUP('Données projet'!$B$10,Paramètres!$A$1:$I$89,7,0))</f>
        <v>0</v>
      </c>
      <c r="AS71" s="16">
        <f>IF(ISNA(VLOOKUP(A71,'Données projet'!$A$71:$I$91,6,0)),0%,VLOOKUP(A71,'Données projet'!$A$71:$I$91,6,0)*VLOOKUP('Données projet'!$B$10,Paramètres!$A$1:$I$89,7,0))</f>
        <v>0</v>
      </c>
      <c r="AT71" s="16">
        <f>IF(ISNA(VLOOKUP(A71,'Données projet'!$A$71:$I$91,7,0)),0%,VLOOKUP(A71,'Données projet'!$A$71:$I$91,7,0))</f>
        <v>0</v>
      </c>
      <c r="AU71" s="21">
        <f>EXP(-LN(2)/35)*AU70+(1-EXP(-LN(2)/35))/(LN(2)/35)*AQ71*AR71*VLOOKUP('Données projet'!$B$10,Paramètres!$A$1:$I$89,3,0)*0.475*44/12</f>
        <v>11.377624225162773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125"/>
        <v>11.377624225162773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projet'!$A$97:$I$117,2,0)</f>
        <v>#N/A</v>
      </c>
      <c r="BB71" s="12" t="e">
        <f>VLOOKUP(A71,'Données projet'!$A$97:$I$117,9,0)</f>
        <v>#N/A</v>
      </c>
      <c r="BC71" s="12">
        <f t="array" ref="BC71">INDEX(BB:BB,MIN(IF(ISNUMBER(BB71:BB267),ROW(BB71:BB267),"")))</f>
        <v>0</v>
      </c>
      <c r="BD71" s="12">
        <f>IF('Données projet'!$A$98&gt;35,BD70+BC71-BL70,IF(A71&lt;'Données projet'!$A$98,$BA$205^A71,IF(A71='Données projet'!$A$98,'Données projet'!$B$98,BD70+BC71-BL70)))</f>
        <v>-1.1368683772161603E-13</v>
      </c>
      <c r="BE71" s="13">
        <f>BD71*VLOOKUP('Données projet'!$B$11,Paramètres!$A$1:$I$89,3,0)*VLOOKUP('Données projet'!$B$11,Paramètres!$A$1:$I$89,5,0)</f>
        <v>-5.0249582272954292E-14</v>
      </c>
      <c r="BF71" s="13" t="e">
        <f t="shared" si="186"/>
        <v>#NUM!</v>
      </c>
      <c r="BG71" s="20" t="e">
        <f t="shared" si="126"/>
        <v>#NUM!</v>
      </c>
      <c r="BH71" s="59" t="e">
        <f t="shared" si="127"/>
        <v>#NUM!</v>
      </c>
      <c r="BI71" s="59">
        <f ca="1">AVERAGE(OFFSET($BH$3,0,0,'Données projet'!$E$11+1,1))-AVERAGE(OFFSET($H$3,0,0,'Données projet'!$E$11+1,1))</f>
        <v>211.31057120485542</v>
      </c>
      <c r="BJ71" s="59">
        <f t="shared" si="187"/>
        <v>283.33292006714777</v>
      </c>
      <c r="BK71" s="15">
        <f>IF(ISNA(VLOOKUP(A71,'Données projet'!$A$97:$I$117,3,0)),0,VLOOKUP(A71,'Données projet'!$A$97:$I$117,3,0))</f>
        <v>0</v>
      </c>
      <c r="BL71" s="15">
        <f>IF(ISNA(VLOOKUP(A71,'Données projet'!$A$97:$I$117,4,0)),0,VLOOKUP(A71,'Données projet'!$A$97:$I$117,4,0))</f>
        <v>0</v>
      </c>
      <c r="BM71" s="16">
        <f>IF(ISNA(VLOOKUP(A71,'Données projet'!$A$97:$I$117,5,0)),0%,VLOOKUP(A71,'Données projet'!$A$97:$I$117,5,0)*VLOOKUP('Données projet'!$B$11,Paramètres!$A$1:$I$89,7,0))</f>
        <v>0</v>
      </c>
      <c r="BN71" s="16">
        <f>IF(ISNA(VLOOKUP(A71,'Données projet'!$A$97:$I$117,6,0)),0%,VLOOKUP(A71,'Données projet'!$A$97:$I$117,6,0)*VLOOKUP('Données projet'!$B$11,Paramètres!$A$1:$I$89,7,0))</f>
        <v>0</v>
      </c>
      <c r="BO71" s="16">
        <f>IF(ISNA(VLOOKUP(A71,'Données projet'!$A$97:$I$117,7,0)),0%,VLOOKUP(A71,'Données projet'!$A$97:$I$117,7,0))</f>
        <v>0</v>
      </c>
      <c r="BP71" s="21">
        <f>EXP(-LN(2)/35)*BP70+(1-EXP(-LN(2)/35))/(LN(2)/35)*BL71*BM71*VLOOKUP('Données projet'!$B$11,Paramètres!$A$1:$I$89,3,0)*0.475*44/12</f>
        <v>138.53790423977358</v>
      </c>
      <c r="BQ71" s="21">
        <f>EXP(-LN(2)/25)*BQ70+(1-EXP(-LN(2)/25))/(LN(2)/25)*Calculateur!BL71*Calculateur!BN71*VLOOKUP('Données projet'!$B$11,Paramètres!$A$1:$I$89,3,0)*0.475*44/12</f>
        <v>31.765467558809593</v>
      </c>
      <c r="BR71" s="21">
        <f>EXP(-LN(2)/2)*BR70+(1-EXP(-LN(2)/2))/(LN(2)/2)*BL71*BO71*VLOOKUP('Données projet'!$B$11,Paramètres!$A$1:$I$89,3,0)*0.475*44/12</f>
        <v>0.29843512003140438</v>
      </c>
      <c r="BS71" s="22">
        <f t="shared" si="128"/>
        <v>170.60180691861459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projet'!$A$123:$I$143,2,0)</f>
        <v>#N/A</v>
      </c>
      <c r="BW71" s="12" t="e">
        <f>VLOOKUP(A71,'Données projet'!$A$123:$I$143,9,0)</f>
        <v>#N/A</v>
      </c>
      <c r="BX71" s="12">
        <f t="array" ref="BX71">INDEX(BW:BW,MIN(IF(ISNUMBER(BW71:BW267),ROW(BW71:BW267),"")))</f>
        <v>5</v>
      </c>
      <c r="BY71" s="12">
        <f>IF('Données projet'!$A$124&gt;35,BY70+BX71-CG70,IF(A71&lt;'Données projet'!$A$124,$BV$205^A71,IF(A71='Données projet'!$A$124,'Données projet'!$B$124,BY70+BX71-CG70)))</f>
        <v>227</v>
      </c>
      <c r="BZ71" s="13">
        <f>BY71*VLOOKUP('Données projet'!$B$12,Paramètres!$A$1:$I$89,3,0)*VLOOKUP('Données projet'!$B$12,Paramètres!$A$1:$I$89,5,0)</f>
        <v>237.2604</v>
      </c>
      <c r="CA71" s="13">
        <f t="shared" si="188"/>
        <v>57.849698927879167</v>
      </c>
      <c r="CB71" s="20">
        <f t="shared" si="129"/>
        <v>513.98342229938953</v>
      </c>
      <c r="CC71" s="59">
        <f t="shared" si="130"/>
        <v>807.31675563272279</v>
      </c>
      <c r="CD71" s="59">
        <f ca="1">AVERAGE(OFFSET($CC$3,0,0,'Données projet'!$E$12+1,1))-AVERAGE(OFFSET($H$3,0,0,'Données projet'!$E$12+1,1))</f>
        <v>322.93502595881938</v>
      </c>
      <c r="CE71" s="59">
        <f t="shared" si="189"/>
        <v>302.67072119588164</v>
      </c>
      <c r="CF71" s="15">
        <f>IF(ISNA(VLOOKUP(A71,'Données projet'!$A$123:$I$143,3,0)),0,VLOOKUP(A71,'Données projet'!$A$123:$I$143,3,0))</f>
        <v>0</v>
      </c>
      <c r="CG71" s="15">
        <f>IF(ISNA(VLOOKUP(A71,'Données projet'!$A$123:$I$143,4,0)),0,VLOOKUP(A71,'Données projet'!$A$123:$I$143,4,0))</f>
        <v>0</v>
      </c>
      <c r="CH71" s="16">
        <f>IF(ISNA(VLOOKUP(A71,'Données projet'!$A$123:$I$143,5,0)),0%,VLOOKUP(A71,'Données projet'!$A$123:$I$143,5,0)*VLOOKUP('Données projet'!$B$12,Paramètres!$A$1:$I$89,7,0))</f>
        <v>0</v>
      </c>
      <c r="CI71" s="16">
        <f>IF(ISNA(VLOOKUP(A71,'Données projet'!$A$123:$I$143,6,0)),0%,VLOOKUP(A71,'Données projet'!$A$123:$I$143,6,0)*VLOOKUP('Données projet'!$B$12,Paramètres!$A$1:$I$89,7,0))</f>
        <v>0</v>
      </c>
      <c r="CJ71" s="16">
        <f>IF(ISNA(VLOOKUP(A71,'Données projet'!$A$123:$I$143,7,0)),0%,VLOOKUP(A71,'Données projet'!$A$123:$I$143,7,0))</f>
        <v>0</v>
      </c>
      <c r="CK71" s="21">
        <f>EXP(-LN(2)/35)*CK70+(1-EXP(-LN(2)/35))/(LN(2)/35)*CG71*CH71*VLOOKUP('Données projet'!$B$12,Paramètres!$A$1:$I$89,3,0)*0.475*44/12</f>
        <v>19.283675745482306</v>
      </c>
      <c r="CL71" s="21">
        <f>EXP(-LN(2)/25)*CL70+(1-EXP(-LN(2)/25))/(LN(2)/25)*Calculateur!CG71*Calculateur!CI71*VLOOKUP('Données projet'!$B$12,Paramètres!$A$1:$I$89,3,0)*0.475*44/12</f>
        <v>21.50233671896931</v>
      </c>
      <c r="CM71" s="21">
        <f>EXP(-LN(2)/2)*CM70+(1-EXP(-LN(2)/2))/(LN(2)/2)*CG71*CJ71*VLOOKUP('Données projet'!$B$12,Paramètres!$A$1:$I$89,3,0)*0.475*44/12</f>
        <v>0</v>
      </c>
      <c r="CN71" s="22">
        <f t="shared" si="131"/>
        <v>40.786012464451616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projet'!$A$149:$I$169,2,0)</f>
        <v>#N/A</v>
      </c>
      <c r="CR71" s="12" t="e">
        <f>VLOOKUP(A71,'Données projet'!$A$149:$I$169,9,0)</f>
        <v>#N/A</v>
      </c>
      <c r="CS71" s="12">
        <f t="array" ref="CS71">INDEX(CR:CR,MIN(IF(ISNUMBER(CR71:CR267),ROW(CR71:CR267),"")))</f>
        <v>5.6899038461538431</v>
      </c>
      <c r="CT71" s="12">
        <f>IF('Données projet'!$A$150&gt;35,CT70+CS71-DB70,IF(A71&lt;'Données projet'!$A$150,$CQ$205^A71,IF(A71='Données projet'!$A$150,'Données projet'!$B$150,CT70+CS71-DB70)))</f>
        <v>141.55528846153845</v>
      </c>
      <c r="CU71" s="17">
        <f>CT71*VLOOKUP('Données projet'!$B$13,Paramètres!$A$1:$I$89,3,0)*VLOOKUP('Données projet'!$B$13,Paramètres!$A$1:$I$89,5,0)</f>
        <v>143.53706249999999</v>
      </c>
      <c r="CV71" s="13">
        <f t="shared" si="190"/>
        <v>37.106116440776098</v>
      </c>
      <c r="CW71" s="20">
        <f t="shared" si="132"/>
        <v>314.62020332185165</v>
      </c>
      <c r="CX71" s="59">
        <f t="shared" si="133"/>
        <v>607.95353665518496</v>
      </c>
      <c r="CY71" s="59">
        <f ca="1">AVERAGE(OFFSET($CX$3,0,0,'Données projet'!$E$13+1,1))-AVERAGE(OFFSET($H$3,0,0,'Données projet'!$E$13+1,1))</f>
        <v>250.31277422753283</v>
      </c>
      <c r="CZ71" s="59">
        <f t="shared" si="191"/>
        <v>159.20429420478047</v>
      </c>
      <c r="DA71" s="15">
        <f>IF(ISNA(VLOOKUP(A71,'Données projet'!$A$149:$I$169,3,0)),0,VLOOKUP(A71,'Données projet'!$A$149:$I$169,3,0))</f>
        <v>0</v>
      </c>
      <c r="DB71" s="15">
        <f>IF(ISNA(VLOOKUP(A71,'Données projet'!$A$149:$I$169,4,0)),0,VLOOKUP(A71,'Données projet'!$A$149:$I$169,4,0))</f>
        <v>0</v>
      </c>
      <c r="DC71" s="16">
        <f>IF(ISNA(VLOOKUP(A71,'Données projet'!$A$149:$I$169,5,0)),0%,VLOOKUP(A71,'Données projet'!$A$149:$I$169,5,0)*VLOOKUP('Données projet'!$B$13,Paramètres!$A$1:$I$89,7,0))</f>
        <v>0</v>
      </c>
      <c r="DD71" s="16">
        <f>IF(ISNA(VLOOKUP(A71,'Données projet'!$A$149:$I$169,6,0)),0%,VLOOKUP(A71,'Données projet'!$A$149:$I$169,6,0)*VLOOKUP('Données projet'!$B$13,Paramètres!$A$1:$I$89,7,0))</f>
        <v>0</v>
      </c>
      <c r="DE71" s="16">
        <f>IF(ISNA(VLOOKUP(A71,'Données projet'!$A$149:$I$169,7,0)),0%,VLOOKUP(A71,'Données projet'!$A$149:$I$169,7,0))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134"/>
        <v>0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projet'!$A$175:$I$195,2,0)</f>
        <v>#N/A</v>
      </c>
      <c r="DM71" s="12" t="e">
        <f>VLOOKUP(A71,'Données projet'!$A$175:$I$195,9,0)</f>
        <v>#N/A</v>
      </c>
      <c r="DN71" s="12">
        <f t="array" ref="DN71">INDEX(DM:DM,MIN(IF(ISNUMBER(DM71:DM267),ROW(DM71:DM267),"")))</f>
        <v>5.2</v>
      </c>
      <c r="DO71" s="12">
        <f>IF('Données projet'!$A$176&gt;35,DO70+DN71-DW70,IF(A71&lt;'Données projet'!$A$176,$DL$205^A71,IF(A71='Données projet'!$A$176,'Données projet'!$B$176,DO70+DN71-DW70)))</f>
        <v>355.59999999999968</v>
      </c>
      <c r="DP71" s="17">
        <f>DO71*VLOOKUP('Données projet'!$B$14,Paramètres!$A$1:$I$89,3,0)*VLOOKUP('Données projet'!$B$14,Paramètres!$A$1:$I$89,5,0)</f>
        <v>260.72591999999975</v>
      </c>
      <c r="DQ71" s="13">
        <f t="shared" si="192"/>
        <v>62.877089647292053</v>
      </c>
      <c r="DR71" s="20">
        <f t="shared" si="135"/>
        <v>563.60857513569988</v>
      </c>
      <c r="DS71" s="59">
        <f t="shared" si="136"/>
        <v>856.94190846903325</v>
      </c>
      <c r="DT71" s="59">
        <f ca="1">AVERAGE(OFFSET($DS$3,0,0,'Données projet'!$E$14+1,1))-AVERAGE(OFFSET($H$3,0,0,'Données projet'!$E$14+1,1))</f>
        <v>296.91321813251051</v>
      </c>
      <c r="DU71" s="59">
        <f t="shared" si="193"/>
        <v>291.0718079639509</v>
      </c>
      <c r="DV71" s="15">
        <f>IF(ISNA(VLOOKUP(A71,'Données projet'!$A$175:$I$195,3,0)),0,VLOOKUP(A71,'Données projet'!$A$175:$I$195,3,0))</f>
        <v>0</v>
      </c>
      <c r="DW71" s="15">
        <f>IF(ISNA(VLOOKUP(A71,'Données projet'!$A$175:$I$195,4,0)),0,VLOOKUP(A71,'Données projet'!$A$175:$I$195,4,0))</f>
        <v>0</v>
      </c>
      <c r="DX71" s="16">
        <f>IF(ISNA(VLOOKUP(A71,'Données projet'!$A$175:$I$195,5,0)),0%,VLOOKUP(A71,'Données projet'!$A$175:$I$195,5,0)*VLOOKUP('Données projet'!$B$14,Paramètres!$A$1:$I$89,7,0))</f>
        <v>0</v>
      </c>
      <c r="DY71" s="16">
        <f>IF(ISNA(VLOOKUP(A71,'Données projet'!$A$175:$I$195,6,0)),0%,VLOOKUP(A71,'Données projet'!$A$175:$I$195,6,0)*VLOOKUP('Données projet'!$B$14,Paramètres!$A$1:$I$89,7,0))</f>
        <v>0</v>
      </c>
      <c r="DZ71" s="16">
        <f>IF(ISNA(VLOOKUP(A71,'Données projet'!$A$175:$I$195,7,0)),0%,VLOOKUP(A71,'Données projet'!$A$175:$I$195,7,0))</f>
        <v>0</v>
      </c>
      <c r="EA71" s="21">
        <f>EXP(-LN(2)/35)*EA70+(1-EXP(-LN(2)/35))/(LN(2)/35)*DW71*DX71*VLOOKUP('Données projet'!$B$14,Paramètres!$A$1:$I$89,3,0)*0.475*44/12</f>
        <v>41.308209120017302</v>
      </c>
      <c r="EB71" s="21">
        <f>EXP(-LN(2)/25)*EB70+(1-EXP(-LN(2)/25))/(LN(2)/25)*Calculateur!DW71*Calculateur!DY71*VLOOKUP('Données projet'!$B$14,Paramètres!$A$1:$I$89,3,0)*0.475*44/12</f>
        <v>6.670293671272816</v>
      </c>
      <c r="EC71" s="21">
        <f>EXP(-LN(2)/2)*EC70+(1-EXP(-LN(2)/2))/(LN(2)/2)*DW71*DZ71*VLOOKUP('Données projet'!$B$14,Paramètres!$A$1:$I$89,3,0)*0.475*44/12</f>
        <v>0</v>
      </c>
      <c r="ED71" s="22">
        <f t="shared" si="137"/>
        <v>47.978502791290119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projet'!$A$201:$I$221,2,0)</f>
        <v>#N/A</v>
      </c>
      <c r="EH71" s="12" t="e">
        <f>VLOOKUP(A71,'Données projet'!$A$201:$I$221,9,0)</f>
        <v>#N/A</v>
      </c>
      <c r="EI71" s="12">
        <f t="array" ref="EI71">INDEX(EH:EH,MIN(IF(ISNUMBER(EH71:EH267),ROW(EH71:EH267),"")))</f>
        <v>9.8224358974358967</v>
      </c>
      <c r="EJ71" s="12">
        <f>IF('Données projet'!$A$202&gt;35,EJ70+EI71-ER70,IF(A71&lt;'Données projet'!$A$202,$EG$205^A71,IF(A71='Données projet'!$A$202,'Données projet'!$B$202,EJ70+EI71-ER70)))</f>
        <v>291.71987179487206</v>
      </c>
      <c r="EK71" s="17">
        <f>EJ71*VLOOKUP('Données projet'!$B$15,Paramètres!$A$1:$I$89,3,0)*VLOOKUP('Données projet'!$B$15,Paramètres!$A$1:$I$89,5,0)</f>
        <v>136.52490000000012</v>
      </c>
      <c r="EL71" s="13">
        <f t="shared" si="194"/>
        <v>35.49974803884507</v>
      </c>
      <c r="EM71" s="20">
        <f t="shared" si="138"/>
        <v>299.60959533432202</v>
      </c>
      <c r="EN71" s="59">
        <f t="shared" si="139"/>
        <v>592.94292866765534</v>
      </c>
      <c r="EO71" s="59">
        <f ca="1">AVERAGE(OFFSET($EN$3,0,0,'Données projet'!$E$15+1,1))-AVERAGE(OFFSET($H$3,0,0,'Données projet'!$E$15+1,1))</f>
        <v>147.64256291235483</v>
      </c>
      <c r="EP71" s="59">
        <f t="shared" si="195"/>
        <v>70.859031694091868</v>
      </c>
      <c r="EQ71" s="15">
        <f>IF(ISNA(VLOOKUP(A71,'Données projet'!$A$201:$I$221,3,0)),0,VLOOKUP(A71,'Données projet'!$A$201:$I$221,3,0))</f>
        <v>0</v>
      </c>
      <c r="ER71" s="15">
        <f>IF(ISNA(VLOOKUP(A71,'Données projet'!$A$201:$I$221,4,0)),0,VLOOKUP(A71,'Données projet'!$A$201:$I$221,4,0))</f>
        <v>0</v>
      </c>
      <c r="ES71" s="16">
        <f>IF(ISNA(VLOOKUP(A71,'Données projet'!$A$201:$I$221,5,0)),0%,VLOOKUP(A71,'Données projet'!$A$201:$I$221,5,0)*VLOOKUP('Données projet'!$B$15,Paramètres!$A$1:$I$89,7,0))</f>
        <v>0</v>
      </c>
      <c r="ET71" s="16">
        <f>IF(ISNA(VLOOKUP(A71,'Données projet'!$A$201:$I$221,6,0)),0%,VLOOKUP(A71,'Données projet'!$A$201:$I$221,6,0)*VLOOKUP('Données projet'!$B$15,Paramètres!$A$1:$I$89,7,0))</f>
        <v>0</v>
      </c>
      <c r="EU71" s="16">
        <f>IF(ISNA(VLOOKUP(A71,'Données projet'!$A$201:$I$221,7,0)),0%,VLOOKUP(A71,'Données projet'!$A$201:$I$221,7,0))</f>
        <v>0</v>
      </c>
      <c r="EV71" s="21">
        <f>EXP(-LN(2)/35)*EV70+(1-EXP(-LN(2)/35))/(LN(2)/35)*ER71*ES71*VLOOKUP('Données projet'!$B$15,Paramètres!$A$1:$I$89,3,0)*0.475*44/12</f>
        <v>23.398851187783716</v>
      </c>
      <c r="EW71" s="21">
        <f>EXP(-LN(2)/25)*EW70+(1-EXP(-LN(2)/25))/(LN(2)/25)*Calculateur!ER71*Calculateur!ET71*VLOOKUP('Données projet'!$B$15,Paramètres!$A$1:$I$89,3,0)*0.475*44/12</f>
        <v>17.301032917256652</v>
      </c>
      <c r="EX71" s="21">
        <f>EXP(-LN(2)/2)*EX70+(1-EXP(-LN(2)/2))/(LN(2)/2)*ER71*EU71*VLOOKUP('Données projet'!$B$15,Paramètres!$A$1:$I$89,3,0)*0.475*44/12</f>
        <v>1.4010209928205177</v>
      </c>
      <c r="EY71" s="22">
        <f t="shared" si="140"/>
        <v>42.100905097860888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projet'!$A$227:$I$247,2,0)</f>
        <v>#N/A</v>
      </c>
      <c r="FC71" s="12" t="e">
        <f>VLOOKUP(A71,'Données projet'!$A$227:$I$247,9,0)</f>
        <v>#N/A</v>
      </c>
      <c r="FD71" s="12">
        <f t="array" ref="FD71">INDEX(FC:FC,MIN(IF(ISNUMBER(FC71:FC267),ROW(FC71:FC267),"")))</f>
        <v>4.2</v>
      </c>
      <c r="FE71" s="12">
        <f>IF('Données projet'!$A$228&gt;35,FE70+FD71-FM70,IF(A71&lt;'Données projet'!$A$228,$FB$205^A71,IF(A71='Données projet'!$A$228,'Données projet'!$B$228,FE70+FD71-FM70)))</f>
        <v>192.59999999999997</v>
      </c>
      <c r="FF71" s="17">
        <f>FE71*VLOOKUP('Données projet'!$B$16,Paramètres!$A$1:$I$89,3,0)*VLOOKUP('Données projet'!$B$16,Paramètres!$A$1:$I$89,5,0)</f>
        <v>201.30551999999997</v>
      </c>
      <c r="FG71" s="13">
        <f t="shared" si="196"/>
        <v>50.030972770730415</v>
      </c>
      <c r="FH71" s="20">
        <f t="shared" si="141"/>
        <v>437.74439157568872</v>
      </c>
      <c r="FI71" s="59">
        <f t="shared" si="142"/>
        <v>731.07772490902198</v>
      </c>
      <c r="FJ71" s="59">
        <f ca="1">AVERAGE(OFFSET($FI$3,0,0,'Données projet'!$E$16+1,1))-AVERAGE(OFFSET($H$3,0,0,'Données projet'!$E$16+1,1))</f>
        <v>259.03906550253788</v>
      </c>
      <c r="FK71" s="59">
        <f t="shared" si="197"/>
        <v>235.54542903570831</v>
      </c>
      <c r="FL71" s="15">
        <f>IF(ISNA(VLOOKUP(A71,'Données projet'!$A$227:$I$247,3,0)),0,VLOOKUP(A71,'Données projet'!$A$227:$I$247,3,0))</f>
        <v>0</v>
      </c>
      <c r="FM71" s="15">
        <f>IF(ISNA(VLOOKUP(A71,'Données projet'!$A$227:$I$247,4,0)),0,VLOOKUP(A71,'Données projet'!$A$227:$I$247,4,0))</f>
        <v>0</v>
      </c>
      <c r="FN71" s="16">
        <f>IF(ISNA(VLOOKUP(A71,'Données projet'!$A$227:$I$247,5,0)),0%,VLOOKUP(A71,'Données projet'!$A$227:$I$247,5,0)*VLOOKUP('Données projet'!$B$16,Paramètres!$A$1:$I$89,7,0))</f>
        <v>0</v>
      </c>
      <c r="FO71" s="16">
        <f>IF(ISNA(VLOOKUP(A71,'Données projet'!$A$227:$I$247,6,0)),0%,VLOOKUP(A71,'Données projet'!$A$227:$I$247,6,0)*VLOOKUP('Données projet'!$B$16,Paramètres!$A$1:$I$89,7,0))</f>
        <v>0</v>
      </c>
      <c r="FP71" s="16">
        <f>IF(ISNA(VLOOKUP(A71,'Données projet'!$A$227:$I$247,7,0)),0%,VLOOKUP(A71,'Données projet'!$A$227:$I$247,7,0))</f>
        <v>0</v>
      </c>
      <c r="FQ71" s="21">
        <f>EXP(-LN(2)/35)*FQ70+(1-EXP(-LN(2)/35))/(LN(2)/35)*FM71*FN71*VLOOKUP('Données projet'!$B$16,Paramètres!$A$1:$I$89,3,0)*0.475*44/12</f>
        <v>8.134577599309754</v>
      </c>
      <c r="FR71" s="21">
        <f>EXP(-LN(2)/25)*FR70+(1-EXP(-LN(2)/25))/(LN(2)/25)*Calculateur!FM71*Calculateur!FO71*VLOOKUP('Données projet'!$B$16,Paramètres!$A$1:$I$89,3,0)*0.475*44/12</f>
        <v>15.081899655342628</v>
      </c>
      <c r="FS71" s="21">
        <f>EXP(-LN(2)/2)*FS70+(1-EXP(-LN(2)/2))/(LN(2)/2)*FM71*FP71*VLOOKUP('Données projet'!$B$16,Paramètres!$A$1:$I$89,3,0)*0.475*44/12</f>
        <v>0</v>
      </c>
      <c r="FT71" s="22">
        <f t="shared" si="143"/>
        <v>23.216477254652382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projet'!$A$253:$I$273,2,0)</f>
        <v>#N/A</v>
      </c>
      <c r="FX71" s="12" t="e">
        <f>VLOOKUP(A71,'Données projet'!$A$253:$I$273,9,0)</f>
        <v>#N/A</v>
      </c>
      <c r="FY71" s="12">
        <f t="array" ref="FY71">INDEX(FX:FX,MIN(IF(ISNUMBER(FX71:FX267),ROW(FX71:FX267),"")))</f>
        <v>3.8</v>
      </c>
      <c r="FZ71" s="12">
        <f>IF('Données projet'!$A$254&gt;35,FZ70+FY71-GH70,IF(A71&lt;'Données projet'!$A$254,$FW$205^A71,IF(A71='Données projet'!$A$254,'Données projet'!$B$254,FZ70+FY71-GH70)))</f>
        <v>255.39999999999986</v>
      </c>
      <c r="GA71" s="17">
        <f>FZ71*VLOOKUP('Données projet'!$B$17,Paramètres!$A$1:$I$89,3,0)*VLOOKUP('Données projet'!$B$17,Paramètres!$A$1:$I$89,5,0)</f>
        <v>223.11743999999993</v>
      </c>
      <c r="GB71" s="13">
        <f t="shared" si="198"/>
        <v>54.791890039639448</v>
      </c>
      <c r="GC71" s="20">
        <f t="shared" si="144"/>
        <v>484.02541648570531</v>
      </c>
      <c r="GD71" s="59">
        <f t="shared" si="145"/>
        <v>777.35874981903862</v>
      </c>
      <c r="GE71" s="59">
        <f ca="1">AVERAGE(OFFSET($GD$3,0,0,'Données projet'!$E$17+1,1))-AVERAGE(OFFSET($H$3,0,0,'Données projet'!$E$17+1,1))</f>
        <v>245.1983232777614</v>
      </c>
      <c r="GF71" s="59">
        <f t="shared" si="199"/>
        <v>242.34010522344573</v>
      </c>
      <c r="GG71" s="15">
        <f>IF(ISNA(VLOOKUP(A71,'Données projet'!$A$253:$I$273,3,0)),0,VLOOKUP(A71,'Données projet'!$A$253:$I$273,3,0))</f>
        <v>0</v>
      </c>
      <c r="GH71" s="15">
        <f>IF(ISNA(VLOOKUP(A71,'Données projet'!$A$253:$I$273,4,0)),0,VLOOKUP(A71,'Données projet'!$A$253:$I$273,4,0))</f>
        <v>0</v>
      </c>
      <c r="GI71" s="16">
        <f>IF(ISNA(VLOOKUP(A71,'Données projet'!$A$253:$I$273,5,0)),0%,VLOOKUP(A71,'Données projet'!$A$253:$I$273,5,0)*VLOOKUP('Données projet'!$B$17,Paramètres!$A$1:$I$89,7,0))</f>
        <v>0</v>
      </c>
      <c r="GJ71" s="16">
        <f>IF(ISNA(VLOOKUP(A71,'Données projet'!$A$253:$I$273,6,0)),0%,VLOOKUP(A71,'Données projet'!$A$253:$I$273,6,0)*VLOOKUP('Données projet'!$B$17,Paramètres!$A$1:$I$89,7,0))</f>
        <v>0</v>
      </c>
      <c r="GK71" s="16">
        <f>IF(ISNA(VLOOKUP(A71,'Données projet'!$A$253:$I$273,7,0)),0%,VLOOKUP(A71,'Données projet'!$A$253:$I$273,7,0))</f>
        <v>0</v>
      </c>
      <c r="GL71" s="21">
        <f>EXP(-LN(2)/35)*GL70+(1-EXP(-LN(2)/35))/(LN(2)/35)*GH71*GI71*VLOOKUP('Données projet'!$B$17,Paramètres!$A$1:$I$89,3,0)*0.475*44/12</f>
        <v>21.112791845776609</v>
      </c>
      <c r="GM71" s="21">
        <f>EXP(-LN(2)/25)*GM70+(1-EXP(-LN(2)/25))/(LN(2)/25)*Calculateur!GH71*Calculateur!GJ71*VLOOKUP('Données projet'!$B$17,Paramètres!$A$1:$I$89,3,0)*0.475*44/12</f>
        <v>8.8144708539466095</v>
      </c>
      <c r="GN71" s="21">
        <f>EXP(-LN(2)/2)*GN70+(1-EXP(-LN(2)/2))/(LN(2)/2)*GH71*GK71*VLOOKUP('Données projet'!$B$17,Paramètres!$A$1:$I$89,3,0)*0.475*44/12</f>
        <v>0</v>
      </c>
      <c r="GO71" s="21">
        <f t="shared" si="146"/>
        <v>29.927262699723219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projet'!$A$279:$I$299,2,0)</f>
        <v>#N/A</v>
      </c>
      <c r="GS71" s="12" t="e">
        <f>VLOOKUP(A71,'Données projet'!$A$279:$I$299,9,0)</f>
        <v>#N/A</v>
      </c>
      <c r="GT71" s="12">
        <f t="array" ref="GT71">INDEX(GS:GS,MIN(IF(ISNUMBER(GS71:GS267),ROW(GS71:GS267),"")))</f>
        <v>10.6</v>
      </c>
      <c r="GU71" s="12">
        <f>IF('Données projet'!$A$280&gt;35,GU70+GT71-HC70,IF(A71&lt;'Données projet'!$A$280,$GR$205^A71,IF(A71='Données projet'!$A$280,'Données projet'!$B$280,GU70+GT71-HC70)))</f>
        <v>751.8000000000003</v>
      </c>
      <c r="GV71" s="17">
        <f>GU71*VLOOKUP('Données projet'!$B$18,Paramètres!$A$1:$I$89,3,0)*VLOOKUP('Données projet'!$B$18,Paramètres!$A$1:$I$89,5,0)</f>
        <v>302.97540000000009</v>
      </c>
      <c r="GW71" s="13">
        <f t="shared" si="200"/>
        <v>71.799862873606799</v>
      </c>
      <c r="GX71" s="20">
        <f t="shared" si="147"/>
        <v>652.73358283819857</v>
      </c>
      <c r="GY71" s="59">
        <f t="shared" si="148"/>
        <v>946.06691617153183</v>
      </c>
      <c r="GZ71" s="59">
        <f ca="1">AVERAGE(OFFSET($GY$3,0,0,'Données projet'!$E$18+1,1))-AVERAGE(OFFSET($H$3,0,0,'Données projet'!$E$18+1,1))</f>
        <v>324.36162935850876</v>
      </c>
      <c r="HA71" s="59">
        <f t="shared" si="201"/>
        <v>265.23571072429735</v>
      </c>
      <c r="HB71" s="15">
        <f>IF(ISNA(VLOOKUP(A71,'Données projet'!$A$279:$I$299,3,0)),0,VLOOKUP(A71,'Données projet'!$A$279:$I$299,3,0))</f>
        <v>0</v>
      </c>
      <c r="HC71" s="15">
        <f>IF(ISNA(VLOOKUP(A71,'Données projet'!$A$279:$I$299,4,0)),0,VLOOKUP(A71,'Données projet'!$A$279:$I$299,4,0))</f>
        <v>0</v>
      </c>
      <c r="HD71" s="16">
        <f>IF(ISNA(VLOOKUP(A71,'Données projet'!$A$279:$I$299,5,0)),0%,VLOOKUP(A71,'Données projet'!$A$279:$I$299,5,0)*VLOOKUP('Données projet'!$B$18,Paramètres!$A$1:$I$89,7,0))</f>
        <v>0</v>
      </c>
      <c r="HE71" s="16">
        <f>IF(ISNA(VLOOKUP(A71,'Données projet'!$A$279:$I$299,6,0)),0%,VLOOKUP(A71,'Données projet'!$A$279:$I$299,6,0)*VLOOKUP('Données projet'!$B$18,Paramètres!$A$1:$I$89,7,0))</f>
        <v>0</v>
      </c>
      <c r="HF71" s="16">
        <f>IF(ISNA(VLOOKUP($A71,'Données projet'!$A$279:$I$299,7,0)),0%,VLOOKUP($A71,'Données projet'!$A$279:$I$299,7,0))</f>
        <v>0</v>
      </c>
      <c r="HG71" s="21">
        <f>EXP(-LN(2)/35)*HG70+(1-EXP(-LN(2)/35))/(LN(2)/35)*HC71*HD71*VLOOKUP('Données projet'!$B$18,Paramètres!$A$1:$I$89,3,0)*0.475*44/12</f>
        <v>13.960676408752363</v>
      </c>
      <c r="HH71" s="21">
        <f>EXP(-LN(2)/25)*HH70+(1-EXP(-LN(2)/25))/(LN(2)/25)*Calculateur!HC71*Calculateur!HE71*VLOOKUP('Données projet'!$B$18,Paramètres!$A$1:$I$89,3,0)*0.475*44/12</f>
        <v>10.003075706757926</v>
      </c>
      <c r="HI71" s="21">
        <f>EXP(-LN(2)/2)*HI70+(1-EXP(-LN(2)/2))/(LN(2)/2)*HC71*HF71*VLOOKUP('Données projet'!$B$18,Paramètres!$A$1:$I$89,3,0)*0.475*44/12</f>
        <v>0.1163797725661712</v>
      </c>
      <c r="HJ71" s="22">
        <f t="shared" si="149"/>
        <v>24.080131888076458</v>
      </c>
      <c r="HK71" s="74">
        <f>('Scénario référence'!$F$8+'Scénario référence'!$F$9+'Scénario référence'!$B$17+'Scénario référence'!$B$9+'Scénario référence'!$B$10)*70+IF((45+25*(1-EXP(-0.0175*$A71)))&lt;70,'Scénario référence'!$B$16*(45+25*(1-EXP(-0.0175*$A71))),70*'Scénario référence'!$B$16)+IF((32+38*(1-EXP(-0.0175*$A71)))&lt;70,'Scénario référence'!$B$18*(32+38*(1-EXP(-0.0175*$A71))),70*'Scénario référence'!$B$18)</f>
        <v>70</v>
      </c>
      <c r="HL71" s="12">
        <f>IF($A71&gt;30,10,('Scénario référence'!$B$16+'Scénario référence'!$B$17+'Scénario référence'!$B$18+'Scénario référence'!$B$9+'Scénario référence'!$B$10)*$A71*10/30+('Scénario référence'!$F$8+'Scénario référence'!$F$9)*10)</f>
        <v>10</v>
      </c>
      <c r="HM71" s="12" t="e">
        <f>VLOOKUP($A71,'Données projet'!$A$304:$I$324,2,0)</f>
        <v>#N/A</v>
      </c>
      <c r="HN71" s="12" t="e">
        <f>VLOOKUP($A71,'Données projet'!$A$304:$I$324,9,0)</f>
        <v>#N/A</v>
      </c>
      <c r="HO71" s="12">
        <f t="array" ref="HO71">INDEX(HN:HN,MIN(IF(ISNUMBER(HN71:HN267),ROW(HN71:HN267),"")))</f>
        <v>0</v>
      </c>
      <c r="HP71" s="12">
        <f>IF('Données projet'!$A$304&gt;35,HP70+HO71-HX70,IF($A71&lt;'Données projet'!$A$304,$CQ$205^$A71,IF($A71='Données projet'!$A$304,'Données projet'!$B$304,HP70+HO71-HX70)))</f>
        <v>0</v>
      </c>
      <c r="HQ71" s="17">
        <f>HP71*VLOOKUP('Données projet'!$B$19,Paramètres!$A$1:$I$89,3,0)*VLOOKUP('Données projet'!$B$19,Paramètres!$A$1:$I$89,5,0)</f>
        <v>0</v>
      </c>
      <c r="HR71" s="13" t="e">
        <f t="shared" si="202"/>
        <v>#NUM!</v>
      </c>
      <c r="HS71" s="14" t="e">
        <f t="shared" si="150"/>
        <v>#NUM!</v>
      </c>
      <c r="HT71" s="59" t="e">
        <f t="shared" si="151"/>
        <v>#NUM!</v>
      </c>
      <c r="HU71" s="59">
        <f ca="1">AVERAGE(OFFSET(HT$3,0,0,'Données projet'!$E$19+1,1))-AVERAGE(OFFSET($H$3,0,0,'Données projet'!$E$19+1,1))</f>
        <v>91.60721429656013</v>
      </c>
      <c r="HV71" s="59">
        <f t="shared" si="203"/>
        <v>258.94957804210856</v>
      </c>
      <c r="HW71" s="15">
        <f>IF(ISNA(VLOOKUP($A71,'Données projet'!$A$304:$I$324,3,0)),0,VLOOKUP($A71,'Données projet'!$A$304:$I$324,3,0))</f>
        <v>0</v>
      </c>
      <c r="HX71" s="15">
        <f>IF(ISNA(VLOOKUP($A71,'Données projet'!$A$304:$I$324,4,0)),0,VLOOKUP($A71,'Données projet'!$A$304:$I$324,4,0))</f>
        <v>0</v>
      </c>
      <c r="HY71" s="16">
        <f>IF(ISNA(VLOOKUP($A71,'Données projet'!$A$304:$I$324,5,0)),0%,VLOOKUP($A71,'Données projet'!$A$304:$I$324,5,0)*VLOOKUP('Données projet'!$B$19,Paramètres!$A$1:$I$89,7,0))</f>
        <v>0</v>
      </c>
      <c r="HZ71" s="16">
        <f>IF(ISNA(VLOOKUP($A71,'Données projet'!$A$304:$I$324,6,0)),0%,VLOOKUP($A71,'Données projet'!$A$304:$I$324,6,0)*VLOOKUP('Données projet'!$B$19,Paramètres!$A$1:$I$89,7,0))</f>
        <v>0</v>
      </c>
      <c r="IA71" s="16">
        <f>IF(ISNA(VLOOKUP($A71,'Données projet'!$A$304:$I$324,7,0)),0%,VLOOKUP($A71,'Données projet'!$A$304:$I$324,7,0))</f>
        <v>0</v>
      </c>
      <c r="IB71" s="21">
        <f>EXP(-LN(2)/35)*IB70+(1-EXP(-LN(2)/35))/(LN(2)/35)*HX71*HY71*VLOOKUP('Données projet'!$B$19,Paramètres!$A$1:$I$89,3,0)*0.475*44/12</f>
        <v>23.243544711917473</v>
      </c>
      <c r="IC71" s="21">
        <f>EXP(-LN(2)/25)*IC70+(1-EXP(-LN(2)/25))/(LN(2)/25)*Calculateur!HX71*Calculateur!HZ71*VLOOKUP('Données projet'!$B$19,Paramètres!$A$1:$I$89,3,0)*0.475*44/12</f>
        <v>3.3919212923835</v>
      </c>
      <c r="ID71" s="21">
        <f>EXP(-LN(2)/2)*ID70+(1-EXP(-LN(2)/2))/(LN(2)/2)*HX71*IA71*VLOOKUP('Données projet'!$B$19,Paramètres!$A$1:$I$89,3,0)*0.475*44/12</f>
        <v>1.0926290736083556E-6</v>
      </c>
      <c r="IE71" s="22">
        <f t="shared" si="152"/>
        <v>26.635467096930046</v>
      </c>
      <c r="IF71" s="74">
        <f>('Scénario référence'!$F$8+'Scénario référence'!$F$9+'Scénario référence'!$B$17+'Scénario référence'!$B$9+'Scénario référence'!$B$10)*70+IF((45+25*(1-EXP(-0.0175*$A71)))&lt;70,'Scénario référence'!$B$16*(45+25*(1-EXP(-0.0175*$A71))),70*'Scénario référence'!$B$16)+IF((32+38*(1-EXP(-0.0175*$A71)))&lt;70,'Scénario référence'!$B$18*(32+38*(1-EXP(-0.0175*$A71))),70*'Scénario référence'!$B$18)</f>
        <v>70</v>
      </c>
      <c r="IG71" s="12">
        <f>IF($A71&gt;30,10,('Scénario référence'!$B$16+'Scénario référence'!$B$17+'Scénario référence'!$B$18+'Scénario référence'!$B$9+'Scénario référence'!$B$10)*$A71*10/30+('Scénario référence'!$F$8+'Scénario référence'!$F$9)*10)</f>
        <v>10</v>
      </c>
      <c r="IH71" s="12" t="e">
        <f>VLOOKUP($A71,'Données projet'!$A$330:$I$350,2,0)</f>
        <v>#N/A</v>
      </c>
      <c r="II71" s="12" t="e">
        <f>VLOOKUP($A71,'Données projet'!$A$330:$I$350,9,0)</f>
        <v>#N/A</v>
      </c>
      <c r="IJ71" s="12">
        <f t="array" ref="IJ71">INDEX(II:II,MIN(IF(ISNUMBER(II71:II267),ROW(II71:II267),"")))</f>
        <v>0</v>
      </c>
      <c r="IK71" s="12">
        <f>IF('Données projet'!$A$330&gt;35,IK70+IJ71-IS70,IF($A71&lt;'Données projet'!$A$330,$CQ$205^$A71,IF($A71='Données projet'!$A$330,'Données projet'!$B$330,IK70+IJ71-IS70)))</f>
        <v>0</v>
      </c>
      <c r="IL71" s="17">
        <f>IK71*VLOOKUP('Données projet'!$B$20,Paramètres!$A$1:$I$89,3,0)*VLOOKUP('Données projet'!$B$20,Paramètres!$A$1:$I$89,5,0)</f>
        <v>0</v>
      </c>
      <c r="IM71" s="13" t="e">
        <f t="shared" si="204"/>
        <v>#NUM!</v>
      </c>
      <c r="IN71" s="20" t="e">
        <f t="shared" si="153"/>
        <v>#NUM!</v>
      </c>
      <c r="IO71" s="59" t="e">
        <f t="shared" si="154"/>
        <v>#NUM!</v>
      </c>
      <c r="IP71" s="59">
        <f ca="1">AVERAGE(OFFSET(IO$3,0,0,'Données projet'!$E$20+1,1))-AVERAGE(OFFSET($H$3,0,0,'Données projet'!$E$20+1,1))</f>
        <v>91.60721429656013</v>
      </c>
      <c r="IQ71" s="59">
        <f t="shared" si="205"/>
        <v>258.94957804210856</v>
      </c>
      <c r="IR71" s="15">
        <f>IF(ISNA(VLOOKUP($A71,'Données projet'!$A$330:$I$350,3,0)),0,VLOOKUP($A71,'Données projet'!$A$330:$I$350,3,0))</f>
        <v>0</v>
      </c>
      <c r="IS71" s="15">
        <f>IF(ISNA(VLOOKUP($A71,'Données projet'!$A$330:$I$350,4,0)),0,VLOOKUP($A71,'Données projet'!$A$330:$I$350,4,0))</f>
        <v>0</v>
      </c>
      <c r="IT71" s="16">
        <f>IF(ISNA(VLOOKUP($A71,'Données projet'!$A$330:$I$350,5,0)),0%,VLOOKUP($A71,'Données projet'!$A$330:$I$350,5,0)*VLOOKUP('Données projet'!$B$20,Paramètres!$A$1:$I$89,7,0))</f>
        <v>0</v>
      </c>
      <c r="IU71" s="16">
        <f>IF(ISNA(VLOOKUP($A71,'Données projet'!$A$330:$I$350,6,0)),0%,VLOOKUP($A71,'Données projet'!$A$330:$I$350,6,0)*VLOOKUP('Données projet'!$B$20,Paramètres!$A$1:$I$89,7,0))</f>
        <v>0</v>
      </c>
      <c r="IV71" s="16">
        <f>IF(ISNA(VLOOKUP($A71,'Données projet'!$A$330:$I$350,7,0)),0%,VLOOKUP($A71,'Données projet'!$A$330:$I$350,7,0))</f>
        <v>0</v>
      </c>
      <c r="IW71" s="21">
        <f>EXP(-LN(2)/35)*IW70+(1-EXP(-LN(2)/35))/(LN(2)/35)*IS71*IT71*VLOOKUP('Données projet'!$B$20,Paramètres!$A$1:$I$89,3,0)*0.475*44/12</f>
        <v>23.243544711917473</v>
      </c>
      <c r="IX71" s="21">
        <f>EXP(-LN(2)/25)*IX70+(1-EXP(-LN(2)/25))/(LN(2)/25)*Calculateur!IS71*Calculateur!IU71*VLOOKUP('Données projet'!$B$20,Paramètres!$A$1:$I$89,3,0)*0.475*44/12</f>
        <v>3.3919212923835</v>
      </c>
      <c r="IY71" s="21">
        <f>EXP(-LN(2)/2)*IY70+(1-EXP(-LN(2)/2))/(LN(2)/2)*IS71*IV71*VLOOKUP('Données projet'!$B$20,Paramètres!$A$1:$I$89,3,0)*0.475*44/12</f>
        <v>1.0926290736083556E-6</v>
      </c>
      <c r="IZ71" s="22">
        <f t="shared" si="155"/>
        <v>26.635467096930046</v>
      </c>
      <c r="JA71" s="74">
        <f>('Scénario référence'!$F$8+'Scénario référence'!$F$9+'Scénario référence'!$B$17+'Scénario référence'!$B$9+'Scénario référence'!$B$10)*70+IF((45+25*(1-EXP(-0.0175*$A71)))&lt;70,'Scénario référence'!$B$16*(45+25*(1-EXP(-0.0175*$A71))),70*'Scénario référence'!$B$16)+IF((32+38*(1-EXP(-0.0175*$A71)))&lt;70,'Scénario référence'!$B$18*(32+38*(1-EXP(-0.0175*$A71))),70*'Scénario référence'!$B$18)</f>
        <v>70</v>
      </c>
      <c r="JB71" s="12">
        <f>IF($A71&gt;30,10,('Scénario référence'!$B$16+'Scénario référence'!$B$17+'Scénario référence'!$B$18+'Scénario référence'!$B$9+'Scénario référence'!$B$10)*$A71*10/30+('Scénario référence'!$F$8+'Scénario référence'!$F$9)*10)</f>
        <v>10</v>
      </c>
      <c r="JC71" s="12" t="e">
        <f>VLOOKUP($A71,'Données projet'!$A$356:$I$376,2,0)</f>
        <v>#N/A</v>
      </c>
      <c r="JD71" s="12" t="e">
        <f>VLOOKUP($A71,'Données projet'!$A$356:$I$376,9,0)</f>
        <v>#N/A</v>
      </c>
      <c r="JE71" s="12">
        <f t="array" ref="JE71">INDEX(JD:JD,MIN(IF(ISNUMBER(JD71:JD267),ROW(JD71:JD267),"")))</f>
        <v>10</v>
      </c>
      <c r="JF71" s="12">
        <f>IF('Données projet'!$A$356&gt;35,JF70+JE71-JN70,IF($A71&lt;'Données projet'!$A$356,$CQ$205^$A71,IF($A71='Données projet'!$A$356,'Données projet'!$B$356,JF70+JE71-JN70)))</f>
        <v>296</v>
      </c>
      <c r="JG71" s="17">
        <f>JF71*VLOOKUP('Données projet'!$B$21,Paramètres!$A$1:$I$89,3,0)*VLOOKUP('Données projet'!$B$21,Paramètres!$A$1:$I$89,5,0)</f>
        <v>240.11520000000004</v>
      </c>
      <c r="JH71" s="13">
        <f t="shared" si="206"/>
        <v>58.464315631105315</v>
      </c>
      <c r="JI71" s="20">
        <f t="shared" si="156"/>
        <v>520.02598972417525</v>
      </c>
      <c r="JJ71" s="59">
        <f t="shared" si="157"/>
        <v>813.35932305750862</v>
      </c>
      <c r="JK71" s="59">
        <f ca="1">AVERAGE(OFFSET($JJ$3,0,0,'Données projet'!$E$22+1,1))-AVERAGE(OFFSET($H$3,0,0,'Données projet'!$E$22+1,1))</f>
        <v>353.35574633294613</v>
      </c>
      <c r="JL71" s="59">
        <f t="shared" si="207"/>
        <v>170.36796666474726</v>
      </c>
      <c r="JM71" s="15">
        <f>IF(ISNA(VLOOKUP($A71,'Données projet'!$A$356:$I$376,3,0)),0,VLOOKUP($A71,'Données projet'!$A$356:$I$376,3,0))</f>
        <v>0</v>
      </c>
      <c r="JN71" s="15">
        <f>IF(ISNA(VLOOKUP($A71,'Données projet'!$A$356:$I$376,4,0)),0,VLOOKUP($A71,'Données projet'!$A$356:$I$376,4,0))</f>
        <v>0</v>
      </c>
      <c r="JO71" s="16">
        <f>IF(ISNA(VLOOKUP($A71,'Données projet'!$A$356:$I$376,5,0)),0%,VLOOKUP($A71,'Données projet'!$A$356:$I$376,5,0)*VLOOKUP('Données projet'!$B$21,Paramètres!$A$1:$I$89,7,0))</f>
        <v>0</v>
      </c>
      <c r="JP71" s="16">
        <f>IF(ISNA(VLOOKUP($A71,'Données projet'!$A$356:$I$376,6,0)),0%,VLOOKUP($A71,'Données projet'!$A$356:$I$376,6,0)*VLOOKUP('Données projet'!$B$21,Paramètres!$A$1:$I$89,7,0))</f>
        <v>0</v>
      </c>
      <c r="JQ71" s="16">
        <f>IF(ISNA(VLOOKUP($A71,'Données projet'!$A$356:$I$376,7,0)),0%,VLOOKUP($A71,'Données projet'!$A$356:$I$376,7,0))</f>
        <v>0</v>
      </c>
      <c r="JR71" s="21">
        <f>EXP(-LN(2)/35)*JR70+(1-EXP(-LN(2)/35))/(LN(2)/35)*JN71*JO71*VLOOKUP('Données projet'!$B$21,Paramètres!$A$1:$I$89,3,0)*0.475*44/12</f>
        <v>0</v>
      </c>
      <c r="JS71" s="21">
        <f>EXP(-LN(2)/25)*JS70+(1-EXP(-LN(2)/25))/(LN(2)/25)*Calculateur!JN71*Calculateur!JP71*VLOOKUP('Données projet'!$B$21,Paramètres!$A$1:$I$89,3,0)*0.475*44/12</f>
        <v>9.9501492129884372</v>
      </c>
      <c r="JT71" s="21">
        <f>EXP(-LN(2)/2)*JT70+(1-EXP(-LN(2)/2))/(LN(2)/2)*JN71*JQ71*VLOOKUP('Données projet'!$B$21,Paramètres!$A$1:$I$89,3,0)*0.475*44/12</f>
        <v>2.7612037664899898</v>
      </c>
      <c r="JU71" s="18">
        <f t="shared" si="158"/>
        <v>12.711352979478427</v>
      </c>
      <c r="JV71" s="74">
        <f>('Scénario référence'!$F$8+'Scénario référence'!$F$9+'Scénario référence'!$B$17+'Scénario référence'!$B$9+'Scénario référence'!$B$10)*70+IF((45+25*(1-EXP(-0.0175*$A71)))&lt;70,'Scénario référence'!$B$16*(45+25*(1-EXP(-0.0175*$A71))),70*'Scénario référence'!$B$16)+IF((32+38*(1-EXP(-0.0175*$A71)))&lt;70,'Scénario référence'!$B$18*(32+38*(1-EXP(-0.0175*$A71))),70*'Scénario référence'!$B$18)</f>
        <v>70</v>
      </c>
      <c r="JW71" s="12">
        <f>IF($A71&gt;30,10,('Scénario référence'!$B$16+'Scénario référence'!$B$17+'Scénario référence'!$B$18+'Scénario référence'!$B$9+'Scénario référence'!$B$10)*$A71*10/30+('Scénario référence'!$F$8+'Scénario référence'!$F$9)*10)</f>
        <v>10</v>
      </c>
      <c r="JX71" s="12" t="e">
        <f>VLOOKUP($A71,'Données projet'!$A$382:$I$402,2,0)</f>
        <v>#N/A</v>
      </c>
      <c r="JY71" s="12" t="e">
        <f>VLOOKUP($A71,'Données projet'!$A$382:$I$402,9,0)</f>
        <v>#N/A</v>
      </c>
      <c r="JZ71" s="12">
        <f t="array" ref="JZ71">INDEX(JY:JY,MIN(IF(ISNUMBER(JY71:JY267),ROW(JY71:JY267),"")))</f>
        <v>8.1001602564102626</v>
      </c>
      <c r="KA71" s="12">
        <f>IF('Données projet'!$A$382&gt;35,KA70+JZ71-KI70,IF($A71&lt;'Données projet'!$A$382,$CQ$205^$A71,IF($A71='Données projet'!$A$382,'Données projet'!$B$382,KA70+JZ71-KI70)))</f>
        <v>219.06490384615398</v>
      </c>
      <c r="KB71" s="17">
        <f>KA71*VLOOKUP('Données projet'!$B$22,Paramètres!$A$1:$I$89,3,0)*VLOOKUP('Données projet'!$B$22,Paramètres!$A$1:$I$89,5,0)</f>
        <v>146.94873750000011</v>
      </c>
      <c r="KC71" s="13">
        <f t="shared" si="208"/>
        <v>37.884348065220969</v>
      </c>
      <c r="KD71" s="20">
        <f t="shared" si="159"/>
        <v>321.91762402609339</v>
      </c>
      <c r="KE71" s="59">
        <f t="shared" si="160"/>
        <v>615.25095735942671</v>
      </c>
      <c r="KF71" s="59">
        <f ca="1">AVERAGE(OFFSET($KE$3,0,0,'Données projet'!$E$22+1,1))-AVERAGE(OFFSET($H$3,0,0,'Données projet'!$E$22+1,1))</f>
        <v>193.91714772848269</v>
      </c>
      <c r="KG71" s="59">
        <f t="shared" si="209"/>
        <v>159.20429420478047</v>
      </c>
      <c r="KH71" s="15">
        <f>IF(ISNA(VLOOKUP($A71,'Données projet'!$A$382:$I$402,3,0)),0,VLOOKUP($A71,'Données projet'!$A$382:$I$402,3,0))</f>
        <v>0</v>
      </c>
      <c r="KI71" s="15">
        <f>IF(ISNA(VLOOKUP($A71,'Données projet'!$A$382:$I$402,4,0)),0,VLOOKUP($A71,'Données projet'!$A$382:$I$402,4,0))</f>
        <v>0</v>
      </c>
      <c r="KJ71" s="16">
        <f>IF(ISNA(VLOOKUP($A71,'Données projet'!$A$382:$I$402,5,0)),0%,VLOOKUP($A71,'Données projet'!$A$382:$I$402,5,0)*VLOOKUP('Données projet'!$B$22,Paramètres!$A$1:$I$89,7,0))</f>
        <v>0</v>
      </c>
      <c r="KK71" s="16">
        <f>IF(ISNA(VLOOKUP($A71,'Données projet'!$A$382:$I$402,6,0)),0%,VLOOKUP($A71,'Données projet'!$A$382:$I$402,6,0)*VLOOKUP('Données projet'!$B$22,Paramètres!$A$1:$I$89,7,0))</f>
        <v>0</v>
      </c>
      <c r="KL71" s="16">
        <f>IF(ISNA(VLOOKUP($A71,'Données projet'!$A$382:$I$402,7,0)),0%,VLOOKUP($A71,'Données projet'!$A$382:$I$402,7,0))</f>
        <v>0</v>
      </c>
      <c r="KM71" s="21">
        <f>EXP(-LN(2)/35)*KM70+(1-EXP(-LN(2)/35))/(LN(2)/35)*KI71*KJ71*VLOOKUP('Données projet'!$B$22,Paramètres!$A$1:$I$89,3,0)*0.475*44/12</f>
        <v>10.396794550579775</v>
      </c>
      <c r="KN71" s="21">
        <f>EXP(-LN(2)/25)*KN70+(1-EXP(-LN(2)/25))/(LN(2)/25)*Calculateur!KI71*Calculateur!KK71*VLOOKUP('Données projet'!$B$22,Paramètres!$A$1:$I$89,3,0)*0.475*44/12</f>
        <v>0</v>
      </c>
      <c r="KO71" s="21">
        <f>EXP(-LN(2)/2)*KO70+(1-EXP(-LN(2)/2))/(LN(2)/2)*KI71*KL71*VLOOKUP('Données projet'!$B$22,Paramètres!$A$1:$I$89,3,0)*0.475*44/12</f>
        <v>0</v>
      </c>
      <c r="KP71" s="22">
        <f t="shared" si="161"/>
        <v>10.396794550579775</v>
      </c>
      <c r="KQ71" s="74">
        <f>('Scénario référence'!$F$8+'Scénario référence'!$F$9+'Scénario référence'!$B$17+'Scénario référence'!$B$9+'Scénario référence'!$B$10)*70+IF((45+25*(1-EXP(-0.0175*$A71)))&lt;70,'Scénario référence'!$B$16*(45+25*(1-EXP(-0.0175*$A71))),70*'Scénario référence'!$B$16)+IF((32+38*(1-EXP(-0.0175*$A71)))&lt;70,'Scénario référence'!$B$18*(32+38*(1-EXP(-0.0175*$A71))),70*'Scénario référence'!$B$18)</f>
        <v>70</v>
      </c>
      <c r="KR71" s="12">
        <f>IF($A71&gt;30,10,('Scénario référence'!$B$16+'Scénario référence'!$B$17+'Scénario référence'!$B$18+'Scénario référence'!$B$9+'Scénario référence'!$B$10)*$A71*10/30+('Scénario référence'!$F$8+'Scénario référence'!$F$9)*10)</f>
        <v>10</v>
      </c>
      <c r="KS71" s="12" t="e">
        <f>VLOOKUP($A71,'Données projet'!$A$408:$I$428,2,0)</f>
        <v>#N/A</v>
      </c>
      <c r="KT71" s="12" t="e">
        <f>VLOOKUP($A71,'Données projet'!$A$408:$I$428,9,0)</f>
        <v>#N/A</v>
      </c>
      <c r="KU71" s="12">
        <f t="array" ref="KU71">INDEX(KT:KT,MIN(IF(ISNUMBER(KT71:KT267),ROW(KT71:KT267),"")))</f>
        <v>3.8</v>
      </c>
      <c r="KV71" s="12">
        <f>IF('Données projet'!$A$408&gt;35,KV70+KU71-LD70,IF($A71&lt;'Données projet'!$A$408,$CQ$205^$A71,IF($A71='Données projet'!$A$408,'Données projet'!$B$408,KV70+KU71-LD70)))</f>
        <v>255.39999999999992</v>
      </c>
      <c r="KW71" s="17">
        <f>KV71*VLOOKUP('Données projet'!$B$23,Paramètres!$A$1:$I$89,3,0)*VLOOKUP('Données projet'!$B$23,Paramètres!$A$1:$I$89,5,0)</f>
        <v>223.11743999999996</v>
      </c>
      <c r="KX71" s="13">
        <f t="shared" si="210"/>
        <v>54.791890039639448</v>
      </c>
      <c r="KY71" s="14">
        <f t="shared" si="162"/>
        <v>484.02541648570536</v>
      </c>
      <c r="KZ71" s="59">
        <f t="shared" si="163"/>
        <v>777.35874981903862</v>
      </c>
      <c r="LA71" s="59">
        <f ca="1">AVERAGE(OFFSET($KZ$3,0,0,'Données projet'!$E$23+1,1))-AVERAGE(OFFSET($H$3,0,0,'Données projet'!$E$23+1,1))</f>
        <v>248.33596943633819</v>
      </c>
      <c r="LB71" s="59">
        <f t="shared" si="211"/>
        <v>242.34010522344573</v>
      </c>
      <c r="LC71" s="15">
        <f>IF(ISNA(VLOOKUP($A71,'Données projet'!$A$408:$I$428,3,0)),0,VLOOKUP($A71,'Données projet'!$A$408:$I$428,3,0))</f>
        <v>0</v>
      </c>
      <c r="LD71" s="15">
        <f>IF(ISNA(VLOOKUP($A71,'Données projet'!$A$408:$I$428,4,0)),0,VLOOKUP($A71,'Données projet'!$A$408:$I$428,4,0))</f>
        <v>0</v>
      </c>
      <c r="LE71" s="16">
        <f>IF(ISNA(VLOOKUP($A71,'Données projet'!$A$408:$I$428,5,0)),0%,VLOOKUP($A71,'Données projet'!$A$408:$I$428,5,0)*VLOOKUP('Données projet'!$B$23,Paramètres!$A$1:$I$89,7,0))</f>
        <v>0</v>
      </c>
      <c r="LF71" s="16">
        <f>IF(ISNA(VLOOKUP($A71,'Données projet'!$A$408:$I$428,6,0)),0%,VLOOKUP($A71,'Données projet'!$A$408:$I$428,6,0)*VLOOKUP('Données projet'!$B$23,Paramètres!$A$1:$I$89,7,0))</f>
        <v>0</v>
      </c>
      <c r="LG71" s="16">
        <f>IF(ISNA(VLOOKUP($A71,'Données projet'!$A$408:$I$428,7,0)),0%,VLOOKUP($A71,'Données projet'!$A$408:$I$428,7,0))</f>
        <v>0</v>
      </c>
      <c r="LH71" s="21">
        <f>EXP(-LN(2)/35)*LH70+(1-EXP(-LN(2)/35))/(LN(2)/35)*LD71*LE71*VLOOKUP('Données projet'!$B$23,Paramètres!$A$1:$I$89,3,0)*0.475*44/12</f>
        <v>21.112791845776609</v>
      </c>
      <c r="LI71" s="21">
        <f>EXP(-LN(2)/25)*LI70+(1-EXP(-LN(2)/25))/(LN(2)/25)*Calculateur!LD71*Calculateur!LF71*VLOOKUP('Données projet'!$B$23,Paramètres!$A$1:$I$89,3,0)*0.475*44/12</f>
        <v>8.8144708539466095</v>
      </c>
      <c r="LJ71" s="21">
        <f>EXP(-LN(2)/2)*LJ70+(1-EXP(-LN(2)/2))/(LN(2)/2)*LD71*LG71*VLOOKUP('Données projet'!$B$23,Paramètres!$A$1:$I$89,3,0)*0.475*44/12</f>
        <v>0</v>
      </c>
      <c r="LK71" s="22">
        <f t="shared" si="164"/>
        <v>29.927262699723219</v>
      </c>
      <c r="LL71" s="74">
        <f>('Scénario référence'!$F$8+'Scénario référence'!$F$9+'Scénario référence'!$B$17+'Scénario référence'!$B$9+'Scénario référence'!$B$10)*70+IF((45+25*(1-EXP(-0.0175*$A71)))&lt;70,'Scénario référence'!$B$16*(45+25*(1-EXP(-0.0175*$A71))),70*'Scénario référence'!$B$16)+IF((32+38*(1-EXP(-0.0175*$A71)))&lt;70,'Scénario référence'!$B$18*(32+38*(1-EXP(-0.0175*$A71))),70*'Scénario référence'!$B$18)</f>
        <v>70</v>
      </c>
      <c r="LM71" s="12">
        <f>IF($A71&gt;30,10,('Scénario référence'!$B$16+'Scénario référence'!$B$17+'Scénario référence'!$B$18+'Scénario référence'!$B$9+'Scénario référence'!$B$10)*$A71*10/30+('Scénario référence'!$F$8+'Scénario référence'!$F$9)*10)</f>
        <v>10</v>
      </c>
      <c r="LN71" s="12" t="e">
        <f>VLOOKUP($A71,'Données projet'!$A$434:$I$454,2,0)</f>
        <v>#N/A</v>
      </c>
      <c r="LO71" s="12" t="e">
        <f>VLOOKUP($A71,'Données projet'!$A$434:$I$454,9,0)</f>
        <v>#N/A</v>
      </c>
      <c r="LP71" s="12">
        <f t="array" ref="LP71">INDEX(LO:LO,MIN(IF(ISNUMBER(LO71:LO267),ROW(LO71:LO267),"")))</f>
        <v>5.6899038461538431</v>
      </c>
      <c r="LQ71" s="12">
        <f>IF('Données projet'!$A$434&gt;35,LQ70+LP71-LY70,IF($A71&lt;'Données projet'!$A$434,$CQ$205^$A71,IF($A71='Données projet'!$A$434,'Données projet'!$B$434,LQ70+LP71-LY70)))</f>
        <v>141.55528846153845</v>
      </c>
      <c r="LR71" s="17">
        <f>LQ71*VLOOKUP('Données projet'!$B$24,Paramètres!$A$1:$I$89,3,0)*VLOOKUP('Données projet'!$B$24,Paramètres!$A$1:$I$89,5,0)</f>
        <v>143.53706249999999</v>
      </c>
      <c r="LS71" s="13">
        <f t="shared" si="212"/>
        <v>37.106116440776098</v>
      </c>
      <c r="LT71" s="14">
        <f t="shared" si="165"/>
        <v>314.62020332185165</v>
      </c>
      <c r="LU71" s="59">
        <f t="shared" si="166"/>
        <v>607.95353665518496</v>
      </c>
      <c r="LV71" s="59">
        <f ca="1">AVERAGE(OFFSET($LU$3,0,0,'Données projet'!$E$24+1,1))-AVERAGE(OFFSET($H$3,0,0,'Données projet'!$E$24+1,1))</f>
        <v>260.52627655062872</v>
      </c>
      <c r="LW71" s="59">
        <f t="shared" si="213"/>
        <v>159.20429420478047</v>
      </c>
      <c r="LX71" s="15">
        <f>IF(ISNA(VLOOKUP($A71,'Données projet'!$A$434:$I$454,3,0)),0,VLOOKUP($A71,'Données projet'!$A$434:$I$454,3,0))</f>
        <v>0</v>
      </c>
      <c r="LY71" s="15">
        <f>IF(ISNA(VLOOKUP($A71,'Données projet'!$A$434:$I$454,4,0)),0,VLOOKUP($A71,'Données projet'!$A$434:$I$454,4,0))</f>
        <v>0</v>
      </c>
      <c r="LZ71" s="16">
        <f>IF(ISNA(VLOOKUP($A71,'Données projet'!$A$434:$I$454,5,0)),0%,VLOOKUP($A71,'Données projet'!$A$434:$I$454,5,0)*VLOOKUP('Données projet'!$B$24,Paramètres!$A$1:$I$89,7,0))</f>
        <v>0</v>
      </c>
      <c r="MA71" s="16">
        <f>IF(ISNA(VLOOKUP($A71,'Données projet'!$A$434:$I$454,6,0)),0%,VLOOKUP($A71,'Données projet'!$A$434:$I$454,6,0)*VLOOKUP('Données projet'!$B$24,Paramètres!$A$1:$I$89,7,0))</f>
        <v>0</v>
      </c>
      <c r="MB71" s="16">
        <f>IF(ISNA(VLOOKUP($A71,'Données projet'!$A$434:$I$454,7,0)),0%,VLOOKUP($A71,'Données projet'!$A$434:$I$454,7,0))</f>
        <v>0</v>
      </c>
      <c r="MC71" s="21">
        <f>EXP(-LN(2)/35)*MC70+(1-EXP(-LN(2)/35))/(LN(2)/35)*LY71*LZ71*VLOOKUP('Données projet'!$B$24,Paramètres!$A$1:$I$89,3,0)*0.475*44/12</f>
        <v>0</v>
      </c>
      <c r="MD71" s="21">
        <f>EXP(-LN(2)/25)*MD70+(1-EXP(-LN(2)/25))/(LN(2)/25)*Calculateur!LY71*Calculateur!MA71*VLOOKUP('Données projet'!$B$24,Paramètres!$A$1:$I$89,3,0)*0.475*44/12</f>
        <v>0</v>
      </c>
      <c r="ME71" s="21">
        <f>EXP(-LN(2)/2)*ME70+(1-EXP(-LN(2)/2))/(LN(2)/2)*LY71*MB71*VLOOKUP('Données projet'!$B$24,Paramètres!$A$1:$I$89,3,0)*0.475*44/12</f>
        <v>0</v>
      </c>
      <c r="MF71" s="22">
        <f t="shared" si="167"/>
        <v>0</v>
      </c>
      <c r="MG71" s="74">
        <f>('Scénario référence'!$F$8+'Scénario référence'!$F$9+'Scénario référence'!$B$17+'Scénario référence'!$B$9+'Scénario référence'!$B$10)*70+IF((45+25*(1-EXP(-0.0175*$A71)))&lt;70,'Scénario référence'!$B$16*(45+25*(1-EXP(-0.0175*$A71))),70*'Scénario référence'!$B$16)+IF((32+38*(1-EXP(-0.0175*$A71)))&lt;70,'Scénario référence'!$B$18*(32+38*(1-EXP(-0.0175*$A71))),70*'Scénario référence'!$B$18)</f>
        <v>70</v>
      </c>
      <c r="MH71" s="12">
        <f>IF($A71&gt;30,10,('Scénario référence'!$B$16+'Scénario référence'!$B$17+'Scénario référence'!$B$18+'Scénario référence'!$B$9+'Scénario référence'!$B$10)*$A71*10/30+('Scénario référence'!$F$8+'Scénario référence'!$F$9)*10)</f>
        <v>10</v>
      </c>
      <c r="MI71" s="12" t="e">
        <f>VLOOKUP($A71,'Données projet'!$A$460:$I$480,2,0)</f>
        <v>#N/A</v>
      </c>
      <c r="MJ71" s="12" t="e">
        <f>VLOOKUP($A71,'Données projet'!$A$460:$I$480,9,0)</f>
        <v>#N/A</v>
      </c>
      <c r="MK71" s="12">
        <f t="array" ref="MK71">INDEX(MJ:MJ,MIN(IF(ISNUMBER(MJ71:MJ267),ROW(MJ71:MJ267),"")))</f>
        <v>0</v>
      </c>
      <c r="ML71" s="12">
        <f>IF('Données projet'!$A$460&gt;35,ML70+MK71-MT70,IF($A71&lt;'Données projet'!$A$460,$CQ$205^$A71,IF($A71='Données projet'!$A$460,'Données projet'!$B$460,ML70+MK71-MT70)))</f>
        <v>0</v>
      </c>
      <c r="MM71" s="17" t="e">
        <f>ML71*VLOOKUP('Données projet'!$B$25,Paramètres!$A$1:$I$89,3,0)*VLOOKUP('Données projet'!$B$25,Paramètres!$A$1:$I$89,5,0)</f>
        <v>#N/A</v>
      </c>
      <c r="MN71" s="13" t="e">
        <f t="shared" si="214"/>
        <v>#N/A</v>
      </c>
      <c r="MO71" s="14" t="e">
        <f t="shared" si="168"/>
        <v>#N/A</v>
      </c>
      <c r="MP71" s="59" t="e">
        <f t="shared" si="169"/>
        <v>#N/A</v>
      </c>
      <c r="MQ71" s="20" t="e">
        <f ca="1">AVERAGE(OFFSET($MP$3,0,0,'Données projet'!$E$25+1,1))-AVERAGE(OFFSET($H$3,0,0,'Données projet'!$E$25+1,1))</f>
        <v>#N/A</v>
      </c>
      <c r="MR71" s="59" t="e">
        <f t="shared" si="215"/>
        <v>#N/A</v>
      </c>
      <c r="MS71" s="15">
        <f>IF(ISNA(VLOOKUP($A71,'Données projet'!$A$460:$I$480,3,0)),0,VLOOKUP($A71,'Données projet'!$A$460:$I$480,3,0))</f>
        <v>0</v>
      </c>
      <c r="MT71" s="15">
        <f>IF(ISNA(VLOOKUP($A71,'Données projet'!$A$460:$I$480,4,0)),0,VLOOKUP($A71,'Données projet'!$A$460:$I$480,4,0))</f>
        <v>0</v>
      </c>
      <c r="MU71" s="16">
        <f>IF(ISNA(VLOOKUP($A71,'Données projet'!$A$460:$I$480,5,0)),0%,VLOOKUP($A71,'Données projet'!$A$460:$I$480,5,0)*VLOOKUP('Données projet'!$B$25,Paramètres!$A$1:$I$89,7,0))</f>
        <v>0</v>
      </c>
      <c r="MV71" s="16">
        <f>IF(ISNA(VLOOKUP($A71,'Données projet'!$A$460:$I$480,6,0)),0%,VLOOKUP($A71,'Données projet'!$A$460:$I$480,6,0)*VLOOKUP('Données projet'!$B$25,Paramètres!$A$1:$I$89,7,0))</f>
        <v>0</v>
      </c>
      <c r="MW71" s="16">
        <f>IF(ISNA(VLOOKUP($A71,'Données projet'!$A$460:$I$480,7,0)),0%,VLOOKUP($A71,'Données projet'!$A$460:$I$480,7,0))</f>
        <v>0</v>
      </c>
      <c r="MX71" s="21" t="e">
        <f>EXP(-LN(2)/35)*MX70+(1-EXP(-LN(2)/35))/(LN(2)/35)*MT71*MU71*VLOOKUP('Données projet'!$B$25,Paramètres!$A$1:$I$89,3,0)*0.475*44/12</f>
        <v>#N/A</v>
      </c>
      <c r="MY71" s="21" t="e">
        <f>EXP(-LN(2)/25)*MY70+(1-EXP(-LN(2)/25))/(LN(2)/25)*Calculateur!MT71*Calculateur!MV71*VLOOKUP('Données projet'!$B$25,Paramètres!$A$1:$I$89,3,0)*0.475*44/12</f>
        <v>#N/A</v>
      </c>
      <c r="MZ71" s="21" t="e">
        <f>EXP(-LN(2)/2)*MZ70+(1-EXP(-LN(2)/2))/(LN(2)/2)*MT71*MW71*VLOOKUP('Données projet'!$B$25,Paramètres!$A$1:$I$89,3,0)*0.475*44/12</f>
        <v>#N/A</v>
      </c>
      <c r="NA71" s="22" t="e">
        <f t="shared" si="170"/>
        <v>#N/A</v>
      </c>
      <c r="NB71" s="74">
        <f>('Scénario référence'!$F$8+'Scénario référence'!$F$9+'Scénario référence'!$B$17+'Scénario référence'!$B$9+'Scénario référence'!$B$10)*70+IF((45+25*(1-EXP(-0.0175*$A71)))&lt;70,'Scénario référence'!$B$16*(45+25*(1-EXP(-0.0175*$A71))),70*'Scénario référence'!$B$16)+IF((32+38*(1-EXP(-0.0175*$A71)))&lt;70,'Scénario référence'!$B$18*(32+38*(1-EXP(-0.0175*$A71))),70*'Scénario référence'!$B$18)</f>
        <v>70</v>
      </c>
      <c r="NC71" s="12">
        <f>IF($A71&gt;30,10,('Scénario référence'!$B$16+'Scénario référence'!$B$17+'Scénario référence'!$B$18+'Scénario référence'!$B$9+'Scénario référence'!$B$10)*$A71*10/30+('Scénario référence'!$F$8+'Scénario référence'!$F$9)*10)</f>
        <v>10</v>
      </c>
      <c r="ND71" s="12" t="e">
        <f>VLOOKUP($A71,'Données projet'!$A$486:$I$506,2,0)</f>
        <v>#N/A</v>
      </c>
      <c r="NE71" s="12" t="e">
        <f>VLOOKUP($A71,'Données projet'!$A$486:$I$506,9,0)</f>
        <v>#N/A</v>
      </c>
      <c r="NF71" s="12">
        <f t="array" ref="NF71">INDEX(NE:NE,MIN(IF(ISNUMBER(NE71:NE267),ROW(NE71:NE267),"")))</f>
        <v>0</v>
      </c>
      <c r="NG71" s="12">
        <f>IF('Données projet'!$A$486&gt;35,NG70+NF71-NO70,IF($A71&lt;'Données projet'!$A$486,$CQ$205^$A71,IF($A71='Données projet'!$A$486,'Données projet'!$B$486,NG70+NF71-NO70)))</f>
        <v>0</v>
      </c>
      <c r="NH71" s="17" t="e">
        <f>NG71*VLOOKUP('Données projet'!$B$26,Paramètres!$A$1:$I$89,3,0)*VLOOKUP('Données projet'!$B$26,Paramètres!$A$1:$I$89,5,0)</f>
        <v>#N/A</v>
      </c>
      <c r="NI71" s="13" t="e">
        <f t="shared" si="216"/>
        <v>#N/A</v>
      </c>
      <c r="NJ71" s="14" t="e">
        <f t="shared" si="171"/>
        <v>#N/A</v>
      </c>
      <c r="NK71" s="59" t="e">
        <f t="shared" si="172"/>
        <v>#N/A</v>
      </c>
      <c r="NL71" s="20" t="e">
        <f ca="1">AVERAGE(OFFSET($NK$3,0,0,'Données projet'!$E$26+1,1))-AVERAGE(OFFSET($H$3,0,0,'Données projet'!$E$26+1,1))</f>
        <v>#N/A</v>
      </c>
      <c r="NM71" s="59" t="e">
        <f t="shared" si="217"/>
        <v>#N/A</v>
      </c>
      <c r="NN71" s="15">
        <f>IF(ISNA(VLOOKUP($A71,'Données projet'!$A$486:$I$506,3,0)),0,VLOOKUP($A71,'Données projet'!$A$486:$I$506,3,0))</f>
        <v>0</v>
      </c>
      <c r="NO71" s="15">
        <f>IF(ISNA(VLOOKUP($A71,'Données projet'!$A$486:$I$506,4,0)),0,VLOOKUP($A71,'Données projet'!$A$486:$I$506,4,0))</f>
        <v>0</v>
      </c>
      <c r="NP71" s="16">
        <f>IF(ISNA(VLOOKUP($A71,'Données projet'!$A$486:$I$506,5,0)),0%,VLOOKUP($A71,'Données projet'!$A$486:$I$506,5,0)*VLOOKUP('Données projet'!$B$26,Paramètres!$A$1:$I$89,7,0))</f>
        <v>0</v>
      </c>
      <c r="NQ71" s="16">
        <f>IF(ISNA(VLOOKUP($A71,'Données projet'!$A$486:$I$506,6,0)),0%,VLOOKUP($A71,'Données projet'!$A$486:$I$506,6,0)*VLOOKUP('Données projet'!$B$26,Paramètres!$A$1:$I$89,7,0))</f>
        <v>0</v>
      </c>
      <c r="NR71" s="16">
        <f>IF(ISNA(VLOOKUP($A71,'Données projet'!$A$486:$I$506,7,0)),0%,VLOOKUP($A71,'Données projet'!$A$486:$I$506,7,0))</f>
        <v>0</v>
      </c>
      <c r="NS71" s="21" t="e">
        <f>EXP(-LN(2)/35)*NS70+(1-EXP(-LN(2)/35))/(LN(2)/35)*NO71*NP71*VLOOKUP('Données projet'!$B$26,Paramètres!$A$1:$I$89,3,0)*0.475*44/12</f>
        <v>#N/A</v>
      </c>
      <c r="NT71" s="21" t="e">
        <f>EXP(-LN(2)/25)*NT70+(1-EXP(-LN(2)/25))/(LN(2)/25)*Calculateur!NO71*Calculateur!NQ71*VLOOKUP('Données projet'!$B$26,Paramètres!$A$1:$I$89,3,0)*0.475*44/12</f>
        <v>#N/A</v>
      </c>
      <c r="NU71" s="21" t="e">
        <f>EXP(-LN(2)/2)*NU70+(1-EXP(-LN(2)/2))/(LN(2)/2)*NO71*NR71*VLOOKUP('Données projet'!$B$26,Paramètres!$A$1:$I$89,3,0)*0.475*44/12</f>
        <v>#N/A</v>
      </c>
      <c r="NV71" s="22" t="e">
        <f t="shared" si="173"/>
        <v>#N/A</v>
      </c>
      <c r="NW71" s="74">
        <f>('Scénario référence'!$F$8+'Scénario référence'!$F$9+'Scénario référence'!$B$17+'Scénario référence'!$B$9+'Scénario référence'!$B$10)*70+IF((45+25*(1-EXP(-0.0175*$A71)))&lt;70,'Scénario référence'!$B$16*(45+25*(1-EXP(-0.0175*$A71))),70*'Scénario référence'!$B$16)+IF((32+38*(1-EXP(-0.0175*$A71)))&lt;70,'Scénario référence'!$B$18*(32+38*(1-EXP(-0.0175*$A71))),70*'Scénario référence'!$B$18)</f>
        <v>70</v>
      </c>
      <c r="NX71" s="12">
        <f>IF($A71&gt;30,10,('Scénario référence'!$B$16+'Scénario référence'!$B$17+'Scénario référence'!$B$18+'Scénario référence'!$B$9+'Scénario référence'!$B$10)*$A71*10/30+('Scénario référence'!$F$8+'Scénario référence'!$F$9)*10)</f>
        <v>10</v>
      </c>
      <c r="NY71" s="12" t="e">
        <f>VLOOKUP($A71,'Données projet'!$A$512:$I$532,2,0)</f>
        <v>#N/A</v>
      </c>
      <c r="NZ71" s="12" t="e">
        <f>VLOOKUP($A71,'Données projet'!$A$512:$I$532,9,0)</f>
        <v>#N/A</v>
      </c>
      <c r="OA71" s="12">
        <f t="array" ref="OA71">INDEX(NZ:NZ,MIN(IF(ISNUMBER(NZ71:NZ267),ROW(NZ71:NZ267),"")))</f>
        <v>0</v>
      </c>
      <c r="OB71" s="12">
        <f>IF('Données projet'!$A$512&gt;35,OB70+OA71-OJ70,IF($A71&lt;'Données projet'!$A$512,$CQ$205^$A71,IF($A71='Données projet'!$A$512,'Données projet'!$B$512,OB70+OA71-OJ70)))</f>
        <v>0</v>
      </c>
      <c r="OC71" s="17" t="e">
        <f>OB71*VLOOKUP('Données projet'!$B$27,Paramètres!$A$1:$I$89,3,0)*VLOOKUP('Données projet'!$B$27,Paramètres!$A$1:$I$89,5,0)</f>
        <v>#N/A</v>
      </c>
      <c r="OD71" s="13" t="e">
        <f t="shared" si="218"/>
        <v>#N/A</v>
      </c>
      <c r="OE71" s="14" t="e">
        <f t="shared" si="174"/>
        <v>#N/A</v>
      </c>
      <c r="OF71" s="59" t="e">
        <f t="shared" si="175"/>
        <v>#N/A</v>
      </c>
      <c r="OG71" s="20" t="e">
        <f ca="1">AVERAGE(OFFSET($OF$3,0,0,'Données projet'!$E$27+1,1))-AVERAGE(OFFSET($H$3,0,0,'Données projet'!$E$27+1,1))</f>
        <v>#N/A</v>
      </c>
      <c r="OH71" s="59" t="e">
        <f t="shared" si="219"/>
        <v>#N/A</v>
      </c>
      <c r="OI71" s="15">
        <f>IF(ISNA(VLOOKUP($A71,'Données projet'!$A$512:$I$532,3,0)),0,VLOOKUP($A71,'Données projet'!$A$512:$I$532,3,0))</f>
        <v>0</v>
      </c>
      <c r="OJ71" s="15">
        <f>IF(ISNA(VLOOKUP($A71,'Données projet'!$A$512:$I$532,4,0)),0,VLOOKUP($A71,'Données projet'!$A$512:$I$532,4,0))</f>
        <v>0</v>
      </c>
      <c r="OK71" s="16">
        <f>IF(ISNA(VLOOKUP($A71,'Données projet'!$A$512:$I$532,5,0)),0%,VLOOKUP($A71,'Données projet'!$A$512:$I$532,5,0)*VLOOKUP('Données projet'!$B$27,Paramètres!$A$1:$I$89,7,0))</f>
        <v>0</v>
      </c>
      <c r="OL71" s="16">
        <f>IF(ISNA(VLOOKUP($A71,'Données projet'!$A$512:$I$532,6,0)),0%,VLOOKUP($A71,'Données projet'!$A$512:$I$532,6,0)*VLOOKUP('Données projet'!$B$27,Paramètres!$A$1:$I$89,7,0))</f>
        <v>0</v>
      </c>
      <c r="OM71" s="16">
        <f>IF(ISNA(VLOOKUP($A71,'Données projet'!$A$512:$I$532,7,0)),0%,VLOOKUP($A71,'Données projet'!$A$512:$I$532,7,0))</f>
        <v>0</v>
      </c>
      <c r="ON71" s="21" t="e">
        <f>EXP(-LN(2)/35)*ON70+(1-EXP(-LN(2)/35))/(LN(2)/35)*OJ71*OK71*VLOOKUP('Données projet'!$B$27,Paramètres!$A$1:$I$89,3,0)*0.475*44/12</f>
        <v>#N/A</v>
      </c>
      <c r="OO71" s="21" t="e">
        <f>EXP(-LN(2)/25)*OO70+(1-EXP(-LN(2)/25))/(LN(2)/25)*Calculateur!OJ71*Calculateur!OL71*VLOOKUP('Données projet'!$B$27,Paramètres!$A$1:$I$89,3,0)*0.475*44/12</f>
        <v>#N/A</v>
      </c>
      <c r="OP71" s="21" t="e">
        <f>EXP(-LN(2)/2)*OP70+(1-EXP(-LN(2)/2))/(LN(2)/2)*OJ71*OM71*VLOOKUP('Données projet'!$B$27,Paramètres!$A$1:$I$89,3,0)*0.475*44/12</f>
        <v>#N/A</v>
      </c>
      <c r="OQ71" s="22" t="e">
        <f t="shared" si="176"/>
        <v>#N/A</v>
      </c>
      <c r="OR71" s="74">
        <f>('Scénario référence'!$F$8+'Scénario référence'!$F$9+'Scénario référence'!$B$17+'Scénario référence'!$B$9+'Scénario référence'!$B$10)*70+IF((45+25*(1-EXP(-0.0175*$A71)))&lt;70,'Scénario référence'!$B$16*(45+25*(1-EXP(-0.0175*$A71))),70*'Scénario référence'!$B$16)+IF((32+38*(1-EXP(-0.0175*$A71)))&lt;70,'Scénario référence'!$B$18*(32+38*(1-EXP(-0.0175*$A71))),70*'Scénario référence'!$B$18)</f>
        <v>70</v>
      </c>
      <c r="OS71" s="12">
        <f>IF($A71&gt;30,10,('Scénario référence'!$B$16+'Scénario référence'!$B$17+'Scénario référence'!$B$18+'Scénario référence'!$B$9+'Scénario référence'!$B$10)*$A71*10/30+('Scénario référence'!$F$8+'Scénario référence'!$F$9)*10)</f>
        <v>10</v>
      </c>
      <c r="OT71" s="12" t="e">
        <f>VLOOKUP($A71,'Données projet'!$A$538:$I$558,2,0)</f>
        <v>#N/A</v>
      </c>
      <c r="OU71" s="12" t="e">
        <f>VLOOKUP($A71,'Données projet'!$A$538:$I$558,9,0)</f>
        <v>#N/A</v>
      </c>
      <c r="OV71" s="12">
        <f t="array" ref="OV71">INDEX(OU:OU,MIN(IF(ISNUMBER(OU71:OU267),ROW(OU71:OU267),"")))</f>
        <v>0</v>
      </c>
      <c r="OW71" s="12">
        <f>IF('Données projet'!$A$538&gt;35,OW70+OV71-PE70,IF($A71&lt;'Données projet'!$A$538,$CQ$205^$A71,IF($A71='Données projet'!$A$538,'Données projet'!$B$538,OW70+OV71-PE70)))</f>
        <v>0</v>
      </c>
      <c r="OX71" s="17" t="e">
        <f>OW71*VLOOKUP('Données projet'!$B$28,Paramètres!$A$1:$I$89,3,0)*VLOOKUP('Données projet'!$B$28,Paramètres!$A$1:$I$89,5,0)</f>
        <v>#N/A</v>
      </c>
      <c r="OY71" s="13" t="e">
        <f t="shared" si="220"/>
        <v>#N/A</v>
      </c>
      <c r="OZ71" s="14" t="e">
        <f t="shared" si="177"/>
        <v>#N/A</v>
      </c>
      <c r="PA71" s="59" t="e">
        <f t="shared" si="178"/>
        <v>#N/A</v>
      </c>
      <c r="PB71" s="20" t="e">
        <f ca="1">AVERAGE(OFFSET($PA$3,0,0,'Données projet'!$E$28+1,1))-AVERAGE(OFFSET($H$3,0,0,'Données projet'!$E$28+1,1))</f>
        <v>#N/A</v>
      </c>
      <c r="PC71" s="59" t="e">
        <f t="shared" si="221"/>
        <v>#N/A</v>
      </c>
      <c r="PD71" s="15">
        <f>IF(ISNA(VLOOKUP($A71,'Données projet'!$A$538:$I$558,3,0)),0,VLOOKUP($A71,'Données projet'!$A$538:$I$558,3,0))</f>
        <v>0</v>
      </c>
      <c r="PE71" s="15">
        <f>IF(ISNA(VLOOKUP($A71,'Données projet'!$A$538:$I$558,4,0)),0,VLOOKUP($A71,'Données projet'!$A$538:$I$558,4,0))</f>
        <v>0</v>
      </c>
      <c r="PF71" s="16">
        <f>IF(ISNA(VLOOKUP($A71,'Données projet'!$A$538:$I$558,5,0)),0%,VLOOKUP($A71,'Données projet'!$A$538:$I$558,5,0)*VLOOKUP('Données projet'!$B$28,Paramètres!$A$1:$I$89,7,0))</f>
        <v>0</v>
      </c>
      <c r="PG71" s="16">
        <f>IF(ISNA(VLOOKUP($A71,'Données projet'!$A$538:$I$558,6,0)),0%,VLOOKUP($A71,'Données projet'!$A$538:$I$558,6,0)*VLOOKUP('Données projet'!$B$28,Paramètres!$A$1:$I$89,7,0))</f>
        <v>0</v>
      </c>
      <c r="PH71" s="16">
        <f>IF(ISNA(VLOOKUP($A71,'Données projet'!$A$538:$I$558,7,0)),0%,VLOOKUP($A71,'Données projet'!$A$538:$I$558,7,0))</f>
        <v>0</v>
      </c>
      <c r="PI71" s="21" t="e">
        <f>EXP(-LN(2)/35)*PI70+(1-EXP(-LN(2)/35))/(LN(2)/35)*PE71*PF71*VLOOKUP('Données projet'!$B$28,Paramètres!$A$1:$I$89,3,0)*0.475*44/12</f>
        <v>#N/A</v>
      </c>
      <c r="PJ71" s="21" t="e">
        <f>EXP(-LN(2)/25)*PJ70+(1-EXP(-LN(2)/25))/(LN(2)/25)*Calculateur!PE71*Calculateur!PG71*VLOOKUP('Données projet'!$B$28,Paramètres!$A$1:$I$89,3,0)*0.475*44/12</f>
        <v>#N/A</v>
      </c>
      <c r="PK71" s="21" t="e">
        <f>EXP(-LN(2)/2)*PK70+(1-EXP(-LN(2)/2))/(LN(2)/2)*PE71*PH71*VLOOKUP('Données projet'!$B$28,Paramètres!$A$1:$I$89,3,0)*0.475*44/12</f>
        <v>#N/A</v>
      </c>
      <c r="PL71" s="22" t="e">
        <f t="shared" si="179"/>
        <v>#N/A</v>
      </c>
    </row>
    <row r="72" spans="1:428" x14ac:dyDescent="0.35">
      <c r="A72" s="10">
        <f t="shared" si="180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181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121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projet'!$A$45:$I$65,2,0)</f>
        <v>#N/A</v>
      </c>
      <c r="L72" s="12" t="e">
        <f>VLOOKUP(A72,'Données projet'!$A$45:$I$65,9,0)</f>
        <v>#N/A</v>
      </c>
      <c r="M72" s="12">
        <f t="array" ref="M72">INDEX(L:L,MIN(IF(ISNUMBER(L72:L268),ROW(L72:L268),"")))</f>
        <v>0</v>
      </c>
      <c r="N72" s="13">
        <f>IF('Données projet'!$A$46&gt;35,N71+M72-V71,IF(A72&lt;'Données projet'!$A$46,$K$205^A72,IF(A72='Données projet'!$A$46,'Données projet'!$B$46,N71+M72-V71)))</f>
        <v>-1.1368683772161603E-13</v>
      </c>
      <c r="O72" s="13">
        <f>N72*VLOOKUP('Données projet'!$B$9,Paramètres!$A$1:$I$89,3,0)*VLOOKUP('Données projet'!$B$9,Paramètres!$A$1:$I$89,5,0)</f>
        <v>-6.3550942286383367E-14</v>
      </c>
      <c r="P72" s="13" t="e">
        <f t="shared" si="182"/>
        <v>#NUM!</v>
      </c>
      <c r="Q72" s="20" t="e">
        <f t="shared" si="119"/>
        <v>#NUM!</v>
      </c>
      <c r="R72" s="59" t="e">
        <f t="shared" si="120"/>
        <v>#NUM!</v>
      </c>
      <c r="S72" s="59">
        <f ca="1">AVERAGE(OFFSET($R$3,0,0,'Données projet'!$E$9+1,1))-AVERAGE(OFFSET($H$3,0,0,'Données projet'!$E$9+1,1))</f>
        <v>274.57619581652199</v>
      </c>
      <c r="T72" s="59">
        <f t="shared" si="183"/>
        <v>366.15117322598775</v>
      </c>
      <c r="U72" s="15">
        <f>IF(ISNA(VLOOKUP(A72,'Données projet'!$A$45:$I$65,3,0)),0,VLOOKUP(A72,'Données projet'!$A$45:$I$65,3,0))</f>
        <v>0</v>
      </c>
      <c r="V72" s="15">
        <f>IF(ISNA(VLOOKUP(A72,'Données projet'!$A$45:$I$65,4,0)),0,VLOOKUP(A72,'Données projet'!$A$45:$I$65,4,0))</f>
        <v>0</v>
      </c>
      <c r="W72" s="16">
        <f>IF(ISNA(VLOOKUP(A72,'Données projet'!$A$45:$I$65,5,0)),0%,VLOOKUP(A72,'Données projet'!$A$45:$I$65,5,0)*VLOOKUP('Données projet'!$B$9,Paramètres!$A$1:$I$89,7,0))</f>
        <v>0</v>
      </c>
      <c r="X72" s="16">
        <f>IF(ISNA(VLOOKUP(A72,'Données projet'!$A$45:$I$65,6,0)),0%,VLOOKUP(A72,'Données projet'!$A$45:$I$65,6,0)*VLOOKUP('Données projet'!$B$9,Paramètres!$A$1:$I$89,7,0))</f>
        <v>0</v>
      </c>
      <c r="Y72" s="16">
        <f>IF(ISNA(VLOOKUP(A72,'Données projet'!$A$45:$I$65,7,0)),0%,VLOOKUP(A72,'Données projet'!$A$45:$I$65,7,0))</f>
        <v>0</v>
      </c>
      <c r="Z72" s="21">
        <f>EXP(-LN(2)/35)*Z71+(1-EXP(-LN(2)/35))/(LN(2)/35)*V72*W72*VLOOKUP('Données projet'!$B$9,Paramètres!$A$1:$I$89,3,0)*0.475*44/12</f>
        <v>171.77394702378263</v>
      </c>
      <c r="AA72" s="21">
        <f>EXP(-LN(2)/25)*AA71+(1-EXP(-LN(2)/25))/(LN(2)/25)*Calculateur!V72*Calculateur!X72*VLOOKUP('Données projet'!$B$9,Paramètres!$A$1:$I$89,3,0)*0.475*44/12</f>
        <v>39.075414254454301</v>
      </c>
      <c r="AB72" s="21">
        <f>EXP(-LN(2)/2)*AB71+(1-EXP(-LN(2)/2))/(LN(2)/2)*V72*Y72*VLOOKUP('Données projet'!$B$9,Paramètres!$A$1:$I$89,3,0)*0.475*44/12</f>
        <v>0.2668851875321287</v>
      </c>
      <c r="AC72" s="22">
        <f t="shared" si="122"/>
        <v>211.11624646576905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projet'!$A$71:$I$91,2,0)</f>
        <v>#N/A</v>
      </c>
      <c r="AG72" s="12" t="e">
        <f>VLOOKUP(A72,'Données projet'!$A$71:$I$91,9,0)</f>
        <v>#N/A</v>
      </c>
      <c r="AH72" s="12">
        <f t="array" ref="AH72">INDEX(AG:AG,MIN(IF(ISNUMBER(AG72:AG268),ROW(AG72:AG268),"")))</f>
        <v>8.1001602564102626</v>
      </c>
      <c r="AI72" s="13">
        <f>IF('Données projet'!$A$72&gt;35,AI71+AH72-AQ71,IF(A72&lt;'Données projet'!$A$72,$AF$205^A72,IF(A72='Données projet'!$A$72,'Données projet'!$B$72,AI71+AH72-AQ71)))</f>
        <v>227.16506410256432</v>
      </c>
      <c r="AJ72" s="13">
        <f>AI72*VLOOKUP('Données projet'!$B$10,Paramètres!$A$1:$I$89,3,0)*VLOOKUP('Données projet'!$B$10,Paramètres!$A$1:$I$89,5,0)</f>
        <v>205.53895000000017</v>
      </c>
      <c r="AK72" s="13">
        <f t="shared" si="184"/>
        <v>50.959519142478193</v>
      </c>
      <c r="AL72" s="20">
        <f t="shared" si="123"/>
        <v>446.73483375648311</v>
      </c>
      <c r="AM72" s="59">
        <f t="shared" si="124"/>
        <v>740.06816708981637</v>
      </c>
      <c r="AN72" s="59">
        <f ca="1">AVERAGE(OFFSET($AM$3,0,0,'Données projet'!$E$10+1,1))-AVERAGE(OFFSET($H$3,0,0,'Données projet'!$E$10+1,1))</f>
        <v>270.87836509222456</v>
      </c>
      <c r="AO72" s="59">
        <f t="shared" si="185"/>
        <v>205.24998237949734</v>
      </c>
      <c r="AP72" s="15">
        <f>IF(ISNA(VLOOKUP(A72,'Données projet'!$A$71:$I$91,3,0)),0,VLOOKUP(A72,'Données projet'!$A$71:$I$91,3,0))</f>
        <v>0</v>
      </c>
      <c r="AQ72" s="15">
        <f>IF(ISNA(VLOOKUP(A72,'Données projet'!$A$71:$I$91,4,0)),0,VLOOKUP(A72,'Données projet'!$A$71:$I$91,4,0))</f>
        <v>0</v>
      </c>
      <c r="AR72" s="16">
        <f>IF(ISNA(VLOOKUP(A72,'Données projet'!$A$71:$I$91,5,0)),0%,VLOOKUP(A72,'Données projet'!$A$71:$I$91,5,0)*VLOOKUP('Données projet'!$B$10,Paramètres!$A$1:$I$89,7,0))</f>
        <v>0</v>
      </c>
      <c r="AS72" s="16">
        <f>IF(ISNA(VLOOKUP(A72,'Données projet'!$A$71:$I$91,6,0)),0%,VLOOKUP(A72,'Données projet'!$A$71:$I$91,6,0)*VLOOKUP('Données projet'!$B$10,Paramètres!$A$1:$I$89,7,0))</f>
        <v>0</v>
      </c>
      <c r="AT72" s="16">
        <f>IF(ISNA(VLOOKUP(A72,'Données projet'!$A$71:$I$91,7,0)),0%,VLOOKUP(A72,'Données projet'!$A$71:$I$91,7,0))</f>
        <v>0</v>
      </c>
      <c r="AU72" s="21">
        <f>EXP(-LN(2)/35)*AU71+(1-EXP(-LN(2)/35))/(LN(2)/35)*AQ72*AR72*VLOOKUP('Données projet'!$B$10,Paramètres!$A$1:$I$89,3,0)*0.475*44/12</f>
        <v>11.154515953772874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125"/>
        <v>11.154515953772874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projet'!$A$97:$I$117,2,0)</f>
        <v>#N/A</v>
      </c>
      <c r="BB72" s="12" t="e">
        <f>VLOOKUP(A72,'Données projet'!$A$97:$I$117,9,0)</f>
        <v>#N/A</v>
      </c>
      <c r="BC72" s="12">
        <f t="array" ref="BC72">INDEX(BB:BB,MIN(IF(ISNUMBER(BB72:BB268),ROW(BB72:BB268),"")))</f>
        <v>0</v>
      </c>
      <c r="BD72" s="12">
        <f>IF('Données projet'!$A$98&gt;35,BD71+BC72-BL71,IF(A72&lt;'Données projet'!$A$98,$BA$205^A72,IF(A72='Données projet'!$A$98,'Données projet'!$B$98,BD71+BC72-BL71)))</f>
        <v>-1.1368683772161603E-13</v>
      </c>
      <c r="BE72" s="13">
        <f>BD72*VLOOKUP('Données projet'!$B$11,Paramètres!$A$1:$I$89,3,0)*VLOOKUP('Données projet'!$B$11,Paramètres!$A$1:$I$89,5,0)</f>
        <v>-5.0249582272954292E-14</v>
      </c>
      <c r="BF72" s="13" t="e">
        <f t="shared" si="186"/>
        <v>#NUM!</v>
      </c>
      <c r="BG72" s="20" t="e">
        <f t="shared" si="126"/>
        <v>#NUM!</v>
      </c>
      <c r="BH72" s="59" t="e">
        <f t="shared" si="127"/>
        <v>#NUM!</v>
      </c>
      <c r="BI72" s="59">
        <f ca="1">AVERAGE(OFFSET($BH$3,0,0,'Données projet'!$E$11+1,1))-AVERAGE(OFFSET($H$3,0,0,'Données projet'!$E$11+1,1))</f>
        <v>211.31057120485542</v>
      </c>
      <c r="BJ72" s="59">
        <f t="shared" si="187"/>
        <v>283.33292006714777</v>
      </c>
      <c r="BK72" s="15">
        <f>IF(ISNA(VLOOKUP(A72,'Données projet'!$A$97:$I$117,3,0)),0,VLOOKUP(A72,'Données projet'!$A$97:$I$117,3,0))</f>
        <v>0</v>
      </c>
      <c r="BL72" s="15">
        <f>IF(ISNA(VLOOKUP(A72,'Données projet'!$A$97:$I$117,4,0)),0,VLOOKUP(A72,'Données projet'!$A$97:$I$117,4,0))</f>
        <v>0</v>
      </c>
      <c r="BM72" s="16">
        <f>IF(ISNA(VLOOKUP(A72,'Données projet'!$A$97:$I$117,5,0)),0%,VLOOKUP(A72,'Données projet'!$A$97:$I$117,5,0)*VLOOKUP('Données projet'!$B$11,Paramètres!$A$1:$I$89,7,0))</f>
        <v>0</v>
      </c>
      <c r="BN72" s="16">
        <f>IF(ISNA(VLOOKUP(A72,'Données projet'!$A$97:$I$117,6,0)),0%,VLOOKUP(A72,'Données projet'!$A$97:$I$117,6,0)*VLOOKUP('Données projet'!$B$11,Paramètres!$A$1:$I$89,7,0))</f>
        <v>0</v>
      </c>
      <c r="BO72" s="16">
        <f>IF(ISNA(VLOOKUP(A72,'Données projet'!$A$97:$I$117,7,0)),0%,VLOOKUP(A72,'Données projet'!$A$97:$I$117,7,0))</f>
        <v>0</v>
      </c>
      <c r="BP72" s="21">
        <f>EXP(-LN(2)/35)*BP71+(1-EXP(-LN(2)/35))/(LN(2)/35)*BL72*BM72*VLOOKUP('Données projet'!$B$11,Paramètres!$A$1:$I$89,3,0)*0.475*44/12</f>
        <v>135.82126043740953</v>
      </c>
      <c r="BQ72" s="21">
        <f>EXP(-LN(2)/25)*BQ71+(1-EXP(-LN(2)/25))/(LN(2)/25)*Calculateur!BL72*Calculateur!BN72*VLOOKUP('Données projet'!$B$11,Paramètres!$A$1:$I$89,3,0)*0.475*44/12</f>
        <v>30.896839177940606</v>
      </c>
      <c r="BR72" s="21">
        <f>EXP(-LN(2)/2)*BR71+(1-EXP(-LN(2)/2))/(LN(2)/2)*BL72*BO72*VLOOKUP('Données projet'!$B$11,Paramètres!$A$1:$I$89,3,0)*0.475*44/12</f>
        <v>0.2110254971184273</v>
      </c>
      <c r="BS72" s="22">
        <f t="shared" si="128"/>
        <v>166.92912511246854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projet'!$A$123:$I$143,2,0)</f>
        <v>#N/A</v>
      </c>
      <c r="BW72" s="12" t="e">
        <f>VLOOKUP(A72,'Données projet'!$A$123:$I$143,9,0)</f>
        <v>#N/A</v>
      </c>
      <c r="BX72" s="12">
        <f t="array" ref="BX72">INDEX(BW:BW,MIN(IF(ISNUMBER(BW72:BW268),ROW(BW72:BW268),"")))</f>
        <v>5</v>
      </c>
      <c r="BY72" s="12">
        <f>IF('Données projet'!$A$124&gt;35,BY71+BX72-CG71,IF(A72&lt;'Données projet'!$A$124,$BV$205^A72,IF(A72='Données projet'!$A$124,'Données projet'!$B$124,BY71+BX72-CG71)))</f>
        <v>232</v>
      </c>
      <c r="BZ72" s="13">
        <f>BY72*VLOOKUP('Données projet'!$B$12,Paramètres!$A$1:$I$89,3,0)*VLOOKUP('Données projet'!$B$12,Paramètres!$A$1:$I$89,5,0)</f>
        <v>242.4864</v>
      </c>
      <c r="CA72" s="13">
        <f t="shared" si="188"/>
        <v>58.974170235372419</v>
      </c>
      <c r="CB72" s="20">
        <f t="shared" si="129"/>
        <v>525.04382649327351</v>
      </c>
      <c r="CC72" s="59">
        <f t="shared" si="130"/>
        <v>818.37715982660688</v>
      </c>
      <c r="CD72" s="59">
        <f ca="1">AVERAGE(OFFSET($CC$3,0,0,'Données projet'!$E$12+1,1))-AVERAGE(OFFSET($H$3,0,0,'Données projet'!$E$12+1,1))</f>
        <v>322.93502595881938</v>
      </c>
      <c r="CE72" s="59">
        <f t="shared" si="189"/>
        <v>302.67072119588164</v>
      </c>
      <c r="CF72" s="15">
        <f>IF(ISNA(VLOOKUP(A72,'Données projet'!$A$123:$I$143,3,0)),0,VLOOKUP(A72,'Données projet'!$A$123:$I$143,3,0))</f>
        <v>0</v>
      </c>
      <c r="CG72" s="15">
        <f>IF(ISNA(VLOOKUP(A72,'Données projet'!$A$123:$I$143,4,0)),0,VLOOKUP(A72,'Données projet'!$A$123:$I$143,4,0))</f>
        <v>0</v>
      </c>
      <c r="CH72" s="16">
        <f>IF(ISNA(VLOOKUP(A72,'Données projet'!$A$123:$I$143,5,0)),0%,VLOOKUP(A72,'Données projet'!$A$123:$I$143,5,0)*VLOOKUP('Données projet'!$B$12,Paramètres!$A$1:$I$89,7,0))</f>
        <v>0</v>
      </c>
      <c r="CI72" s="16">
        <f>IF(ISNA(VLOOKUP(A72,'Données projet'!$A$123:$I$143,6,0)),0%,VLOOKUP(A72,'Données projet'!$A$123:$I$143,6,0)*VLOOKUP('Données projet'!$B$12,Paramètres!$A$1:$I$89,7,0))</f>
        <v>0</v>
      </c>
      <c r="CJ72" s="16">
        <f>IF(ISNA(VLOOKUP(A72,'Données projet'!$A$123:$I$143,7,0)),0%,VLOOKUP(A72,'Données projet'!$A$123:$I$143,7,0))</f>
        <v>0</v>
      </c>
      <c r="CK72" s="21">
        <f>EXP(-LN(2)/35)*CK71+(1-EXP(-LN(2)/35))/(LN(2)/35)*CG72*CH72*VLOOKUP('Données projet'!$B$12,Paramètres!$A$1:$I$89,3,0)*0.475*44/12</f>
        <v>18.905534625994214</v>
      </c>
      <c r="CL72" s="21">
        <f>EXP(-LN(2)/25)*CL71+(1-EXP(-LN(2)/25))/(LN(2)/25)*Calculateur!CG72*Calculateur!CI72*VLOOKUP('Données projet'!$B$12,Paramètres!$A$1:$I$89,3,0)*0.475*44/12</f>
        <v>20.914354190630352</v>
      </c>
      <c r="CM72" s="21">
        <f>EXP(-LN(2)/2)*CM71+(1-EXP(-LN(2)/2))/(LN(2)/2)*CG72*CJ72*VLOOKUP('Données projet'!$B$12,Paramètres!$A$1:$I$89,3,0)*0.475*44/12</f>
        <v>0</v>
      </c>
      <c r="CN72" s="22">
        <f t="shared" si="131"/>
        <v>39.819888816624569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projet'!$A$149:$I$169,2,0)</f>
        <v>#N/A</v>
      </c>
      <c r="CR72" s="12" t="e">
        <f>VLOOKUP(A72,'Données projet'!$A$149:$I$169,9,0)</f>
        <v>#N/A</v>
      </c>
      <c r="CS72" s="12">
        <f t="array" ref="CS72">INDEX(CR:CR,MIN(IF(ISNUMBER(CR72:CR268),ROW(CR72:CR268),"")))</f>
        <v>5.6899038461538431</v>
      </c>
      <c r="CT72" s="12">
        <f>IF('Données projet'!$A$150&gt;35,CT71+CS72-DB71,IF(A72&lt;'Données projet'!$A$150,$CQ$205^A72,IF(A72='Données projet'!$A$150,'Données projet'!$B$150,CT71+CS72-DB71)))</f>
        <v>147.24519230769229</v>
      </c>
      <c r="CU72" s="17">
        <f>CT72*VLOOKUP('Données projet'!$B$13,Paramètres!$A$1:$I$89,3,0)*VLOOKUP('Données projet'!$B$13,Paramètres!$A$1:$I$89,5,0)</f>
        <v>149.306625</v>
      </c>
      <c r="CV72" s="13">
        <f t="shared" si="190"/>
        <v>38.420971199416954</v>
      </c>
      <c r="CW72" s="20">
        <f t="shared" si="132"/>
        <v>326.95889671398453</v>
      </c>
      <c r="CX72" s="59">
        <f t="shared" si="133"/>
        <v>620.29223004731784</v>
      </c>
      <c r="CY72" s="59">
        <f ca="1">AVERAGE(OFFSET($CX$3,0,0,'Données projet'!$E$13+1,1))-AVERAGE(OFFSET($H$3,0,0,'Données projet'!$E$13+1,1))</f>
        <v>250.31277422753283</v>
      </c>
      <c r="CZ72" s="59">
        <f t="shared" si="191"/>
        <v>159.20429420478047</v>
      </c>
      <c r="DA72" s="15">
        <f>IF(ISNA(VLOOKUP(A72,'Données projet'!$A$149:$I$169,3,0)),0,VLOOKUP(A72,'Données projet'!$A$149:$I$169,3,0))</f>
        <v>0</v>
      </c>
      <c r="DB72" s="15">
        <f>IF(ISNA(VLOOKUP(A72,'Données projet'!$A$149:$I$169,4,0)),0,VLOOKUP(A72,'Données projet'!$A$149:$I$169,4,0))</f>
        <v>0</v>
      </c>
      <c r="DC72" s="16">
        <f>IF(ISNA(VLOOKUP(A72,'Données projet'!$A$149:$I$169,5,0)),0%,VLOOKUP(A72,'Données projet'!$A$149:$I$169,5,0)*VLOOKUP('Données projet'!$B$13,Paramètres!$A$1:$I$89,7,0))</f>
        <v>0</v>
      </c>
      <c r="DD72" s="16">
        <f>IF(ISNA(VLOOKUP(A72,'Données projet'!$A$149:$I$169,6,0)),0%,VLOOKUP(A72,'Données projet'!$A$149:$I$169,6,0)*VLOOKUP('Données projet'!$B$13,Paramètres!$A$1:$I$89,7,0))</f>
        <v>0</v>
      </c>
      <c r="DE72" s="16">
        <f>IF(ISNA(VLOOKUP(A72,'Données projet'!$A$149:$I$169,7,0)),0%,VLOOKUP(A72,'Données projet'!$A$149:$I$169,7,0))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134"/>
        <v>0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projet'!$A$175:$I$195,2,0)</f>
        <v>#N/A</v>
      </c>
      <c r="DM72" s="12" t="e">
        <f>VLOOKUP(A72,'Données projet'!$A$175:$I$195,9,0)</f>
        <v>#N/A</v>
      </c>
      <c r="DN72" s="12">
        <f t="array" ref="DN72">INDEX(DM:DM,MIN(IF(ISNUMBER(DM72:DM268),ROW(DM72:DM268),"")))</f>
        <v>5.2</v>
      </c>
      <c r="DO72" s="12">
        <f>IF('Données projet'!$A$176&gt;35,DO71+DN72-DW71,IF(A72&lt;'Données projet'!$A$176,$DL$205^A72,IF(A72='Données projet'!$A$176,'Données projet'!$B$176,DO71+DN72-DW71)))</f>
        <v>360.79999999999967</v>
      </c>
      <c r="DP72" s="17">
        <f>DO72*VLOOKUP('Données projet'!$B$14,Paramètres!$A$1:$I$89,3,0)*VLOOKUP('Données projet'!$B$14,Paramètres!$A$1:$I$89,5,0)</f>
        <v>264.53855999999973</v>
      </c>
      <c r="DQ72" s="13">
        <f t="shared" si="192"/>
        <v>63.688839009304033</v>
      </c>
      <c r="DR72" s="20">
        <f t="shared" si="135"/>
        <v>571.66271994120405</v>
      </c>
      <c r="DS72" s="59">
        <f t="shared" si="136"/>
        <v>864.99605327453742</v>
      </c>
      <c r="DT72" s="59">
        <f ca="1">AVERAGE(OFFSET($DS$3,0,0,'Données projet'!$E$14+1,1))-AVERAGE(OFFSET($H$3,0,0,'Données projet'!$E$14+1,1))</f>
        <v>296.91321813251051</v>
      </c>
      <c r="DU72" s="59">
        <f t="shared" si="193"/>
        <v>291.0718079639509</v>
      </c>
      <c r="DV72" s="15">
        <f>IF(ISNA(VLOOKUP(A72,'Données projet'!$A$175:$I$195,3,0)),0,VLOOKUP(A72,'Données projet'!$A$175:$I$195,3,0))</f>
        <v>0</v>
      </c>
      <c r="DW72" s="15">
        <f>IF(ISNA(VLOOKUP(A72,'Données projet'!$A$175:$I$195,4,0)),0,VLOOKUP(A72,'Données projet'!$A$175:$I$195,4,0))</f>
        <v>0</v>
      </c>
      <c r="DX72" s="16">
        <f>IF(ISNA(VLOOKUP(A72,'Données projet'!$A$175:$I$195,5,0)),0%,VLOOKUP(A72,'Données projet'!$A$175:$I$195,5,0)*VLOOKUP('Données projet'!$B$14,Paramètres!$A$1:$I$89,7,0))</f>
        <v>0</v>
      </c>
      <c r="DY72" s="16">
        <f>IF(ISNA(VLOOKUP(A72,'Données projet'!$A$175:$I$195,6,0)),0%,VLOOKUP(A72,'Données projet'!$A$175:$I$195,6,0)*VLOOKUP('Données projet'!$B$14,Paramètres!$A$1:$I$89,7,0))</f>
        <v>0</v>
      </c>
      <c r="DZ72" s="16">
        <f>IF(ISNA(VLOOKUP(A72,'Données projet'!$A$175:$I$195,7,0)),0%,VLOOKUP(A72,'Données projet'!$A$175:$I$195,7,0))</f>
        <v>0</v>
      </c>
      <c r="EA72" s="21">
        <f>EXP(-LN(2)/35)*EA71+(1-EXP(-LN(2)/35))/(LN(2)/35)*DW72*DX72*VLOOKUP('Données projet'!$B$14,Paramètres!$A$1:$I$89,3,0)*0.475*44/12</f>
        <v>40.498180334693473</v>
      </c>
      <c r="EB72" s="21">
        <f>EXP(-LN(2)/25)*EB71+(1-EXP(-LN(2)/25))/(LN(2)/25)*Calculateur!DW72*Calculateur!DY72*VLOOKUP('Données projet'!$B$14,Paramètres!$A$1:$I$89,3,0)*0.475*44/12</f>
        <v>6.4878941400563619</v>
      </c>
      <c r="EC72" s="21">
        <f>EXP(-LN(2)/2)*EC71+(1-EXP(-LN(2)/2))/(LN(2)/2)*DW72*DZ72*VLOOKUP('Données projet'!$B$14,Paramètres!$A$1:$I$89,3,0)*0.475*44/12</f>
        <v>0</v>
      </c>
      <c r="ED72" s="22">
        <f t="shared" si="137"/>
        <v>46.986074474749834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projet'!$A$201:$I$221,2,0)</f>
        <v>#N/A</v>
      </c>
      <c r="EH72" s="12" t="e">
        <f>VLOOKUP(A72,'Données projet'!$A$201:$I$221,9,0)</f>
        <v>#N/A</v>
      </c>
      <c r="EI72" s="12">
        <f t="array" ref="EI72">INDEX(EH:EH,MIN(IF(ISNUMBER(EH72:EH268),ROW(EH72:EH268),"")))</f>
        <v>9.8224358974358967</v>
      </c>
      <c r="EJ72" s="12">
        <f>IF('Données projet'!$A$202&gt;35,EJ71+EI72-ER71,IF(A72&lt;'Données projet'!$A$202,$EG$205^A72,IF(A72='Données projet'!$A$202,'Données projet'!$B$202,EJ71+EI72-ER71)))</f>
        <v>301.54230769230799</v>
      </c>
      <c r="EK72" s="17">
        <f>EJ72*VLOOKUP('Données projet'!$B$15,Paramètres!$A$1:$I$89,3,0)*VLOOKUP('Données projet'!$B$15,Paramètres!$A$1:$I$89,5,0)</f>
        <v>141.12180000000015</v>
      </c>
      <c r="EL72" s="13">
        <f t="shared" si="194"/>
        <v>36.553874631825011</v>
      </c>
      <c r="EM72" s="20">
        <f t="shared" si="138"/>
        <v>309.4517999837621</v>
      </c>
      <c r="EN72" s="59">
        <f t="shared" si="139"/>
        <v>602.78513331709541</v>
      </c>
      <c r="EO72" s="59">
        <f ca="1">AVERAGE(OFFSET($EN$3,0,0,'Données projet'!$E$15+1,1))-AVERAGE(OFFSET($H$3,0,0,'Données projet'!$E$15+1,1))</f>
        <v>147.64256291235483</v>
      </c>
      <c r="EP72" s="59">
        <f t="shared" si="195"/>
        <v>70.859031694091868</v>
      </c>
      <c r="EQ72" s="15">
        <f>IF(ISNA(VLOOKUP(A72,'Données projet'!$A$201:$I$221,3,0)),0,VLOOKUP(A72,'Données projet'!$A$201:$I$221,3,0))</f>
        <v>0</v>
      </c>
      <c r="ER72" s="15">
        <f>IF(ISNA(VLOOKUP(A72,'Données projet'!$A$201:$I$221,4,0)),0,VLOOKUP(A72,'Données projet'!$A$201:$I$221,4,0))</f>
        <v>0</v>
      </c>
      <c r="ES72" s="16">
        <f>IF(ISNA(VLOOKUP(A72,'Données projet'!$A$201:$I$221,5,0)),0%,VLOOKUP(A72,'Données projet'!$A$201:$I$221,5,0)*VLOOKUP('Données projet'!$B$15,Paramètres!$A$1:$I$89,7,0))</f>
        <v>0</v>
      </c>
      <c r="ET72" s="16">
        <f>IF(ISNA(VLOOKUP(A72,'Données projet'!$A$201:$I$221,6,0)),0%,VLOOKUP(A72,'Données projet'!$A$201:$I$221,6,0)*VLOOKUP('Données projet'!$B$15,Paramètres!$A$1:$I$89,7,0))</f>
        <v>0</v>
      </c>
      <c r="EU72" s="16">
        <f>IF(ISNA(VLOOKUP(A72,'Données projet'!$A$201:$I$221,7,0)),0%,VLOOKUP(A72,'Données projet'!$A$201:$I$221,7,0))</f>
        <v>0</v>
      </c>
      <c r="EV72" s="21">
        <f>EXP(-LN(2)/35)*EV71+(1-EXP(-LN(2)/35))/(LN(2)/35)*ER72*ES72*VLOOKUP('Données projet'!$B$15,Paramètres!$A$1:$I$89,3,0)*0.475*44/12</f>
        <v>22.940013987881269</v>
      </c>
      <c r="EW72" s="21">
        <f>EXP(-LN(2)/25)*EW71+(1-EXP(-LN(2)/25))/(LN(2)/25)*Calculateur!ER72*Calculateur!ET72*VLOOKUP('Données projet'!$B$15,Paramètres!$A$1:$I$89,3,0)*0.475*44/12</f>
        <v>16.82793526231249</v>
      </c>
      <c r="EX72" s="21">
        <f>EXP(-LN(2)/2)*EX71+(1-EXP(-LN(2)/2))/(LN(2)/2)*ER72*EU72*VLOOKUP('Données projet'!$B$15,Paramètres!$A$1:$I$89,3,0)*0.475*44/12</f>
        <v>0.99067144460809742</v>
      </c>
      <c r="EY72" s="22">
        <f t="shared" si="140"/>
        <v>40.758620694801856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projet'!$A$227:$I$247,2,0)</f>
        <v>#N/A</v>
      </c>
      <c r="FC72" s="12" t="e">
        <f>VLOOKUP(A72,'Données projet'!$A$227:$I$247,9,0)</f>
        <v>#N/A</v>
      </c>
      <c r="FD72" s="12">
        <f t="array" ref="FD72">INDEX(FC:FC,MIN(IF(ISNUMBER(FC72:FC268),ROW(FC72:FC268),"")))</f>
        <v>4.2</v>
      </c>
      <c r="FE72" s="12">
        <f>IF('Données projet'!$A$228&gt;35,FE71+FD72-FM71,IF(A72&lt;'Données projet'!$A$228,$FB$205^A72,IF(A72='Données projet'!$A$228,'Données projet'!$B$228,FE71+FD72-FM71)))</f>
        <v>196.79999999999995</v>
      </c>
      <c r="FF72" s="17">
        <f>FE72*VLOOKUP('Données projet'!$B$16,Paramètres!$A$1:$I$89,3,0)*VLOOKUP('Données projet'!$B$16,Paramètres!$A$1:$I$89,5,0)</f>
        <v>205.69535999999997</v>
      </c>
      <c r="FG72" s="13">
        <f t="shared" si="196"/>
        <v>50.993782678591273</v>
      </c>
      <c r="FH72" s="20">
        <f t="shared" si="141"/>
        <v>447.06692349854637</v>
      </c>
      <c r="FI72" s="59">
        <f t="shared" si="142"/>
        <v>740.40025683187969</v>
      </c>
      <c r="FJ72" s="59">
        <f ca="1">AVERAGE(OFFSET($FI$3,0,0,'Données projet'!$E$16+1,1))-AVERAGE(OFFSET($H$3,0,0,'Données projet'!$E$16+1,1))</f>
        <v>259.03906550253788</v>
      </c>
      <c r="FK72" s="59">
        <f t="shared" si="197"/>
        <v>235.54542903570831</v>
      </c>
      <c r="FL72" s="15">
        <f>IF(ISNA(VLOOKUP(A72,'Données projet'!$A$227:$I$247,3,0)),0,VLOOKUP(A72,'Données projet'!$A$227:$I$247,3,0))</f>
        <v>0</v>
      </c>
      <c r="FM72" s="15">
        <f>IF(ISNA(VLOOKUP(A72,'Données projet'!$A$227:$I$247,4,0)),0,VLOOKUP(A72,'Données projet'!$A$227:$I$247,4,0))</f>
        <v>0</v>
      </c>
      <c r="FN72" s="16">
        <f>IF(ISNA(VLOOKUP(A72,'Données projet'!$A$227:$I$247,5,0)),0%,VLOOKUP(A72,'Données projet'!$A$227:$I$247,5,0)*VLOOKUP('Données projet'!$B$16,Paramètres!$A$1:$I$89,7,0))</f>
        <v>0</v>
      </c>
      <c r="FO72" s="16">
        <f>IF(ISNA(VLOOKUP(A72,'Données projet'!$A$227:$I$247,6,0)),0%,VLOOKUP(A72,'Données projet'!$A$227:$I$247,6,0)*VLOOKUP('Données projet'!$B$16,Paramètres!$A$1:$I$89,7,0))</f>
        <v>0</v>
      </c>
      <c r="FP72" s="16">
        <f>IF(ISNA(VLOOKUP(A72,'Données projet'!$A$227:$I$247,7,0)),0%,VLOOKUP(A72,'Données projet'!$A$227:$I$247,7,0))</f>
        <v>0</v>
      </c>
      <c r="FQ72" s="21">
        <f>EXP(-LN(2)/35)*FQ71+(1-EXP(-LN(2)/35))/(LN(2)/35)*FM72*FN72*VLOOKUP('Données projet'!$B$16,Paramètres!$A$1:$I$89,3,0)*0.475*44/12</f>
        <v>7.9750634941897074</v>
      </c>
      <c r="FR72" s="21">
        <f>EXP(-LN(2)/25)*FR71+(1-EXP(-LN(2)/25))/(LN(2)/25)*Calculateur!FM72*Calculateur!FO72*VLOOKUP('Données projet'!$B$16,Paramètres!$A$1:$I$89,3,0)*0.475*44/12</f>
        <v>14.669484316144651</v>
      </c>
      <c r="FS72" s="21">
        <f>EXP(-LN(2)/2)*FS71+(1-EXP(-LN(2)/2))/(LN(2)/2)*FM72*FP72*VLOOKUP('Données projet'!$B$16,Paramètres!$A$1:$I$89,3,0)*0.475*44/12</f>
        <v>0</v>
      </c>
      <c r="FT72" s="22">
        <f t="shared" si="143"/>
        <v>22.644547810334359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projet'!$A$253:$I$273,2,0)</f>
        <v>#N/A</v>
      </c>
      <c r="FX72" s="12" t="e">
        <f>VLOOKUP(A72,'Données projet'!$A$253:$I$273,9,0)</f>
        <v>#N/A</v>
      </c>
      <c r="FY72" s="12">
        <f t="array" ref="FY72">INDEX(FX:FX,MIN(IF(ISNUMBER(FX72:FX268),ROW(FX72:FX268),"")))</f>
        <v>3.8</v>
      </c>
      <c r="FZ72" s="12">
        <f>IF('Données projet'!$A$254&gt;35,FZ71+FY72-GH71,IF(A72&lt;'Données projet'!$A$254,$FW$205^A72,IF(A72='Données projet'!$A$254,'Données projet'!$B$254,FZ71+FY72-GH71)))</f>
        <v>259.19999999999987</v>
      </c>
      <c r="GA72" s="17">
        <f>FZ72*VLOOKUP('Données projet'!$B$17,Paramètres!$A$1:$I$89,3,0)*VLOOKUP('Données projet'!$B$17,Paramètres!$A$1:$I$89,5,0)</f>
        <v>226.43711999999991</v>
      </c>
      <c r="GB72" s="13">
        <f t="shared" si="198"/>
        <v>55.5116049933753</v>
      </c>
      <c r="GC72" s="20">
        <f t="shared" si="144"/>
        <v>491.06069603012844</v>
      </c>
      <c r="GD72" s="59">
        <f t="shared" si="145"/>
        <v>784.39402936346175</v>
      </c>
      <c r="GE72" s="59">
        <f ca="1">AVERAGE(OFFSET($GD$3,0,0,'Données projet'!$E$17+1,1))-AVERAGE(OFFSET($H$3,0,0,'Données projet'!$E$17+1,1))</f>
        <v>245.1983232777614</v>
      </c>
      <c r="GF72" s="59">
        <f t="shared" si="199"/>
        <v>242.34010522344573</v>
      </c>
      <c r="GG72" s="15">
        <f>IF(ISNA(VLOOKUP(A72,'Données projet'!$A$253:$I$273,3,0)),0,VLOOKUP(A72,'Données projet'!$A$253:$I$273,3,0))</f>
        <v>0</v>
      </c>
      <c r="GH72" s="15">
        <f>IF(ISNA(VLOOKUP(A72,'Données projet'!$A$253:$I$273,4,0)),0,VLOOKUP(A72,'Données projet'!$A$253:$I$273,4,0))</f>
        <v>0</v>
      </c>
      <c r="GI72" s="16">
        <f>IF(ISNA(VLOOKUP(A72,'Données projet'!$A$253:$I$273,5,0)),0%,VLOOKUP(A72,'Données projet'!$A$253:$I$273,5,0)*VLOOKUP('Données projet'!$B$17,Paramètres!$A$1:$I$89,7,0))</f>
        <v>0</v>
      </c>
      <c r="GJ72" s="16">
        <f>IF(ISNA(VLOOKUP(A72,'Données projet'!$A$253:$I$273,6,0)),0%,VLOOKUP(A72,'Données projet'!$A$253:$I$273,6,0)*VLOOKUP('Données projet'!$B$17,Paramètres!$A$1:$I$89,7,0))</f>
        <v>0</v>
      </c>
      <c r="GK72" s="16">
        <f>IF(ISNA(VLOOKUP(A72,'Données projet'!$A$253:$I$273,7,0)),0%,VLOOKUP(A72,'Données projet'!$A$253:$I$273,7,0))</f>
        <v>0</v>
      </c>
      <c r="GL72" s="21">
        <f>EXP(-LN(2)/35)*GL71+(1-EXP(-LN(2)/35))/(LN(2)/35)*GH72*GI72*VLOOKUP('Données projet'!$B$17,Paramètres!$A$1:$I$89,3,0)*0.475*44/12</f>
        <v>20.698782875212405</v>
      </c>
      <c r="GM72" s="21">
        <f>EXP(-LN(2)/25)*GM71+(1-EXP(-LN(2)/25))/(LN(2)/25)*Calculateur!GH72*Calculateur!GJ72*VLOOKUP('Données projet'!$B$17,Paramètres!$A$1:$I$89,3,0)*0.475*44/12</f>
        <v>8.5734386849125634</v>
      </c>
      <c r="GN72" s="21">
        <f>EXP(-LN(2)/2)*GN71+(1-EXP(-LN(2)/2))/(LN(2)/2)*GH72*GK72*VLOOKUP('Données projet'!$B$17,Paramètres!$A$1:$I$89,3,0)*0.475*44/12</f>
        <v>0</v>
      </c>
      <c r="GO72" s="21">
        <f t="shared" si="146"/>
        <v>29.272221560124969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projet'!$A$279:$I$299,2,0)</f>
        <v>#N/A</v>
      </c>
      <c r="GS72" s="12" t="e">
        <f>VLOOKUP(A72,'Données projet'!$A$279:$I$299,9,0)</f>
        <v>#N/A</v>
      </c>
      <c r="GT72" s="12">
        <f t="array" ref="GT72">INDEX(GS:GS,MIN(IF(ISNUMBER(GS72:GS268),ROW(GS72:GS268),"")))</f>
        <v>10.6</v>
      </c>
      <c r="GU72" s="12">
        <f>IF('Données projet'!$A$280&gt;35,GU71+GT72-HC71,IF(A72&lt;'Données projet'!$A$280,$GR$205^A72,IF(A72='Données projet'!$A$280,'Données projet'!$B$280,GU71+GT72-HC71)))</f>
        <v>762.40000000000032</v>
      </c>
      <c r="GV72" s="17">
        <f>GU72*VLOOKUP('Données projet'!$B$18,Paramètres!$A$1:$I$89,3,0)*VLOOKUP('Données projet'!$B$18,Paramètres!$A$1:$I$89,5,0)</f>
        <v>307.24720000000013</v>
      </c>
      <c r="GW72" s="13">
        <f t="shared" si="200"/>
        <v>72.693637866333589</v>
      </c>
      <c r="GX72" s="20">
        <f t="shared" si="147"/>
        <v>661.73029261719785</v>
      </c>
      <c r="GY72" s="59">
        <f t="shared" si="148"/>
        <v>955.0636259505311</v>
      </c>
      <c r="GZ72" s="59">
        <f ca="1">AVERAGE(OFFSET($GY$3,0,0,'Données projet'!$E$18+1,1))-AVERAGE(OFFSET($H$3,0,0,'Données projet'!$E$18+1,1))</f>
        <v>324.36162935850876</v>
      </c>
      <c r="HA72" s="59">
        <f t="shared" si="201"/>
        <v>265.23571072429735</v>
      </c>
      <c r="HB72" s="15">
        <f>IF(ISNA(VLOOKUP(A72,'Données projet'!$A$279:$I$299,3,0)),0,VLOOKUP(A72,'Données projet'!$A$279:$I$299,3,0))</f>
        <v>0</v>
      </c>
      <c r="HC72" s="15">
        <f>IF(ISNA(VLOOKUP(A72,'Données projet'!$A$279:$I$299,4,0)),0,VLOOKUP(A72,'Données projet'!$A$279:$I$299,4,0))</f>
        <v>0</v>
      </c>
      <c r="HD72" s="16">
        <f>IF(ISNA(VLOOKUP(A72,'Données projet'!$A$279:$I$299,5,0)),0%,VLOOKUP(A72,'Données projet'!$A$279:$I$299,5,0)*VLOOKUP('Données projet'!$B$18,Paramètres!$A$1:$I$89,7,0))</f>
        <v>0</v>
      </c>
      <c r="HE72" s="16">
        <f>IF(ISNA(VLOOKUP(A72,'Données projet'!$A$279:$I$299,6,0)),0%,VLOOKUP(A72,'Données projet'!$A$279:$I$299,6,0)*VLOOKUP('Données projet'!$B$18,Paramètres!$A$1:$I$89,7,0))</f>
        <v>0</v>
      </c>
      <c r="HF72" s="16">
        <f>IF(ISNA(VLOOKUP($A72,'Données projet'!$A$279:$I$299,7,0)),0%,VLOOKUP($A72,'Données projet'!$A$279:$I$299,7,0))</f>
        <v>0</v>
      </c>
      <c r="HG72" s="21">
        <f>EXP(-LN(2)/35)*HG71+(1-EXP(-LN(2)/35))/(LN(2)/35)*HC72*HD72*VLOOKUP('Données projet'!$B$18,Paramètres!$A$1:$I$89,3,0)*0.475*44/12</f>
        <v>13.686916059548535</v>
      </c>
      <c r="HH72" s="21">
        <f>EXP(-LN(2)/25)*HH71+(1-EXP(-LN(2)/25))/(LN(2)/25)*Calculateur!HC72*Calculateur!HE72*VLOOKUP('Données projet'!$B$18,Paramètres!$A$1:$I$89,3,0)*0.475*44/12</f>
        <v>9.7295410755177407</v>
      </c>
      <c r="HI72" s="21">
        <f>EXP(-LN(2)/2)*HI71+(1-EXP(-LN(2)/2))/(LN(2)/2)*HC72*HF72*VLOOKUP('Données projet'!$B$18,Paramètres!$A$1:$I$89,3,0)*0.475*44/12</f>
        <v>8.229292637448779E-2</v>
      </c>
      <c r="HJ72" s="22">
        <f t="shared" si="149"/>
        <v>23.498750061440763</v>
      </c>
      <c r="HK72" s="74">
        <f>('Scénario référence'!$F$8+'Scénario référence'!$F$9+'Scénario référence'!$B$17+'Scénario référence'!$B$9+'Scénario référence'!$B$10)*70+IF((45+25*(1-EXP(-0.0175*$A72)))&lt;70,'Scénario référence'!$B$16*(45+25*(1-EXP(-0.0175*$A72))),70*'Scénario référence'!$B$16)+IF((32+38*(1-EXP(-0.0175*$A72)))&lt;70,'Scénario référence'!$B$18*(32+38*(1-EXP(-0.0175*$A72))),70*'Scénario référence'!$B$18)</f>
        <v>70</v>
      </c>
      <c r="HL72" s="12">
        <f>IF($A72&gt;30,10,('Scénario référence'!$B$16+'Scénario référence'!$B$17+'Scénario référence'!$B$18+'Scénario référence'!$B$9+'Scénario référence'!$B$10)*$A72*10/30+('Scénario référence'!$F$8+'Scénario référence'!$F$9)*10)</f>
        <v>10</v>
      </c>
      <c r="HM72" s="12" t="e">
        <f>VLOOKUP($A72,'Données projet'!$A$304:$I$324,2,0)</f>
        <v>#N/A</v>
      </c>
      <c r="HN72" s="12" t="e">
        <f>VLOOKUP($A72,'Données projet'!$A$304:$I$324,9,0)</f>
        <v>#N/A</v>
      </c>
      <c r="HO72" s="12">
        <f t="array" ref="HO72">INDEX(HN:HN,MIN(IF(ISNUMBER(HN72:HN268),ROW(HN72:HN268),"")))</f>
        <v>0</v>
      </c>
      <c r="HP72" s="12">
        <f>IF('Données projet'!$A$304&gt;35,HP71+HO72-HX71,IF($A72&lt;'Données projet'!$A$304,$CQ$205^$A72,IF($A72='Données projet'!$A$304,'Données projet'!$B$304,HP71+HO72-HX71)))</f>
        <v>0</v>
      </c>
      <c r="HQ72" s="17">
        <f>HP72*VLOOKUP('Données projet'!$B$19,Paramètres!$A$1:$I$89,3,0)*VLOOKUP('Données projet'!$B$19,Paramètres!$A$1:$I$89,5,0)</f>
        <v>0</v>
      </c>
      <c r="HR72" s="13" t="e">
        <f t="shared" si="202"/>
        <v>#NUM!</v>
      </c>
      <c r="HS72" s="14" t="e">
        <f t="shared" si="150"/>
        <v>#NUM!</v>
      </c>
      <c r="HT72" s="59" t="e">
        <f t="shared" si="151"/>
        <v>#NUM!</v>
      </c>
      <c r="HU72" s="59">
        <f ca="1">AVERAGE(OFFSET(HT$3,0,0,'Données projet'!$E$19+1,1))-AVERAGE(OFFSET($H$3,0,0,'Données projet'!$E$19+1,1))</f>
        <v>91.60721429656013</v>
      </c>
      <c r="HV72" s="59">
        <f t="shared" si="203"/>
        <v>258.94957804210856</v>
      </c>
      <c r="HW72" s="15">
        <f>IF(ISNA(VLOOKUP($A72,'Données projet'!$A$304:$I$324,3,0)),0,VLOOKUP($A72,'Données projet'!$A$304:$I$324,3,0))</f>
        <v>0</v>
      </c>
      <c r="HX72" s="15">
        <f>IF(ISNA(VLOOKUP($A72,'Données projet'!$A$304:$I$324,4,0)),0,VLOOKUP($A72,'Données projet'!$A$304:$I$324,4,0))</f>
        <v>0</v>
      </c>
      <c r="HY72" s="16">
        <f>IF(ISNA(VLOOKUP($A72,'Données projet'!$A$304:$I$324,5,0)),0%,VLOOKUP($A72,'Données projet'!$A$304:$I$324,5,0)*VLOOKUP('Données projet'!$B$19,Paramètres!$A$1:$I$89,7,0))</f>
        <v>0</v>
      </c>
      <c r="HZ72" s="16">
        <f>IF(ISNA(VLOOKUP($A72,'Données projet'!$A$304:$I$324,6,0)),0%,VLOOKUP($A72,'Données projet'!$A$304:$I$324,6,0)*VLOOKUP('Données projet'!$B$19,Paramètres!$A$1:$I$89,7,0))</f>
        <v>0</v>
      </c>
      <c r="IA72" s="16">
        <f>IF(ISNA(VLOOKUP($A72,'Données projet'!$A$304:$I$324,7,0)),0%,VLOOKUP($A72,'Données projet'!$A$304:$I$324,7,0))</f>
        <v>0</v>
      </c>
      <c r="IB72" s="21">
        <f>EXP(-LN(2)/35)*IB71+(1-EXP(-LN(2)/35))/(LN(2)/35)*HX72*HY72*VLOOKUP('Données projet'!$B$19,Paramètres!$A$1:$I$89,3,0)*0.475*44/12</f>
        <v>22.787752977279165</v>
      </c>
      <c r="IC72" s="21">
        <f>EXP(-LN(2)/25)*IC71+(1-EXP(-LN(2)/25))/(LN(2)/25)*Calculateur!HX72*Calculateur!HZ72*VLOOKUP('Données projet'!$B$19,Paramètres!$A$1:$I$89,3,0)*0.475*44/12</f>
        <v>3.299169026269885</v>
      </c>
      <c r="ID72" s="21">
        <f>EXP(-LN(2)/2)*ID71+(1-EXP(-LN(2)/2))/(LN(2)/2)*HX72*IA72*VLOOKUP('Données projet'!$B$19,Paramètres!$A$1:$I$89,3,0)*0.475*44/12</f>
        <v>7.7260542727004365E-7</v>
      </c>
      <c r="IE72" s="22">
        <f t="shared" si="152"/>
        <v>26.086922776154477</v>
      </c>
      <c r="IF72" s="74">
        <f>('Scénario référence'!$F$8+'Scénario référence'!$F$9+'Scénario référence'!$B$17+'Scénario référence'!$B$9+'Scénario référence'!$B$10)*70+IF((45+25*(1-EXP(-0.0175*$A72)))&lt;70,'Scénario référence'!$B$16*(45+25*(1-EXP(-0.0175*$A72))),70*'Scénario référence'!$B$16)+IF((32+38*(1-EXP(-0.0175*$A72)))&lt;70,'Scénario référence'!$B$18*(32+38*(1-EXP(-0.0175*$A72))),70*'Scénario référence'!$B$18)</f>
        <v>70</v>
      </c>
      <c r="IG72" s="12">
        <f>IF($A72&gt;30,10,('Scénario référence'!$B$16+'Scénario référence'!$B$17+'Scénario référence'!$B$18+'Scénario référence'!$B$9+'Scénario référence'!$B$10)*$A72*10/30+('Scénario référence'!$F$8+'Scénario référence'!$F$9)*10)</f>
        <v>10</v>
      </c>
      <c r="IH72" s="12" t="e">
        <f>VLOOKUP($A72,'Données projet'!$A$330:$I$350,2,0)</f>
        <v>#N/A</v>
      </c>
      <c r="II72" s="12" t="e">
        <f>VLOOKUP($A72,'Données projet'!$A$330:$I$350,9,0)</f>
        <v>#N/A</v>
      </c>
      <c r="IJ72" s="12">
        <f t="array" ref="IJ72">INDEX(II:II,MIN(IF(ISNUMBER(II72:II268),ROW(II72:II268),"")))</f>
        <v>0</v>
      </c>
      <c r="IK72" s="12">
        <f>IF('Données projet'!$A$330&gt;35,IK71+IJ72-IS71,IF($A72&lt;'Données projet'!$A$330,$CQ$205^$A72,IF($A72='Données projet'!$A$330,'Données projet'!$B$330,IK71+IJ72-IS71)))</f>
        <v>0</v>
      </c>
      <c r="IL72" s="17">
        <f>IK72*VLOOKUP('Données projet'!$B$20,Paramètres!$A$1:$I$89,3,0)*VLOOKUP('Données projet'!$B$20,Paramètres!$A$1:$I$89,5,0)</f>
        <v>0</v>
      </c>
      <c r="IM72" s="13" t="e">
        <f t="shared" si="204"/>
        <v>#NUM!</v>
      </c>
      <c r="IN72" s="20" t="e">
        <f t="shared" si="153"/>
        <v>#NUM!</v>
      </c>
      <c r="IO72" s="59" t="e">
        <f t="shared" si="154"/>
        <v>#NUM!</v>
      </c>
      <c r="IP72" s="59">
        <f ca="1">AVERAGE(OFFSET(IO$3,0,0,'Données projet'!$E$20+1,1))-AVERAGE(OFFSET($H$3,0,0,'Données projet'!$E$20+1,1))</f>
        <v>91.60721429656013</v>
      </c>
      <c r="IQ72" s="59">
        <f t="shared" si="205"/>
        <v>258.94957804210856</v>
      </c>
      <c r="IR72" s="15">
        <f>IF(ISNA(VLOOKUP($A72,'Données projet'!$A$330:$I$350,3,0)),0,VLOOKUP($A72,'Données projet'!$A$330:$I$350,3,0))</f>
        <v>0</v>
      </c>
      <c r="IS72" s="15">
        <f>IF(ISNA(VLOOKUP($A72,'Données projet'!$A$330:$I$350,4,0)),0,VLOOKUP($A72,'Données projet'!$A$330:$I$350,4,0))</f>
        <v>0</v>
      </c>
      <c r="IT72" s="16">
        <f>IF(ISNA(VLOOKUP($A72,'Données projet'!$A$330:$I$350,5,0)),0%,VLOOKUP($A72,'Données projet'!$A$330:$I$350,5,0)*VLOOKUP('Données projet'!$B$20,Paramètres!$A$1:$I$89,7,0))</f>
        <v>0</v>
      </c>
      <c r="IU72" s="16">
        <f>IF(ISNA(VLOOKUP($A72,'Données projet'!$A$330:$I$350,6,0)),0%,VLOOKUP($A72,'Données projet'!$A$330:$I$350,6,0)*VLOOKUP('Données projet'!$B$20,Paramètres!$A$1:$I$89,7,0))</f>
        <v>0</v>
      </c>
      <c r="IV72" s="16">
        <f>IF(ISNA(VLOOKUP($A72,'Données projet'!$A$330:$I$350,7,0)),0%,VLOOKUP($A72,'Données projet'!$A$330:$I$350,7,0))</f>
        <v>0</v>
      </c>
      <c r="IW72" s="21">
        <f>EXP(-LN(2)/35)*IW71+(1-EXP(-LN(2)/35))/(LN(2)/35)*IS72*IT72*VLOOKUP('Données projet'!$B$20,Paramètres!$A$1:$I$89,3,0)*0.475*44/12</f>
        <v>22.787752977279165</v>
      </c>
      <c r="IX72" s="21">
        <f>EXP(-LN(2)/25)*IX71+(1-EXP(-LN(2)/25))/(LN(2)/25)*Calculateur!IS72*Calculateur!IU72*VLOOKUP('Données projet'!$B$20,Paramètres!$A$1:$I$89,3,0)*0.475*44/12</f>
        <v>3.299169026269885</v>
      </c>
      <c r="IY72" s="21">
        <f>EXP(-LN(2)/2)*IY71+(1-EXP(-LN(2)/2))/(LN(2)/2)*IS72*IV72*VLOOKUP('Données projet'!$B$20,Paramètres!$A$1:$I$89,3,0)*0.475*44/12</f>
        <v>7.7260542727004365E-7</v>
      </c>
      <c r="IZ72" s="22">
        <f t="shared" si="155"/>
        <v>26.086922776154477</v>
      </c>
      <c r="JA72" s="74">
        <f>('Scénario référence'!$F$8+'Scénario référence'!$F$9+'Scénario référence'!$B$17+'Scénario référence'!$B$9+'Scénario référence'!$B$10)*70+IF((45+25*(1-EXP(-0.0175*$A72)))&lt;70,'Scénario référence'!$B$16*(45+25*(1-EXP(-0.0175*$A72))),70*'Scénario référence'!$B$16)+IF((32+38*(1-EXP(-0.0175*$A72)))&lt;70,'Scénario référence'!$B$18*(32+38*(1-EXP(-0.0175*$A72))),70*'Scénario référence'!$B$18)</f>
        <v>70</v>
      </c>
      <c r="JB72" s="12">
        <f>IF($A72&gt;30,10,('Scénario référence'!$B$16+'Scénario référence'!$B$17+'Scénario référence'!$B$18+'Scénario référence'!$B$9+'Scénario référence'!$B$10)*$A72*10/30+('Scénario référence'!$F$8+'Scénario référence'!$F$9)*10)</f>
        <v>10</v>
      </c>
      <c r="JC72" s="12" t="e">
        <f>VLOOKUP($A72,'Données projet'!$A$356:$I$376,2,0)</f>
        <v>#N/A</v>
      </c>
      <c r="JD72" s="12" t="e">
        <f>VLOOKUP($A72,'Données projet'!$A$356:$I$376,9,0)</f>
        <v>#N/A</v>
      </c>
      <c r="JE72" s="12">
        <f t="array" ref="JE72">INDEX(JD:JD,MIN(IF(ISNUMBER(JD72:JD268),ROW(JD72:JD268),"")))</f>
        <v>10</v>
      </c>
      <c r="JF72" s="12">
        <f>IF('Données projet'!$A$356&gt;35,JF71+JE72-JN71,IF($A72&lt;'Données projet'!$A$356,$CQ$205^$A72,IF($A72='Données projet'!$A$356,'Données projet'!$B$356,JF71+JE72-JN71)))</f>
        <v>306</v>
      </c>
      <c r="JG72" s="17">
        <f>JF72*VLOOKUP('Données projet'!$B$21,Paramètres!$A$1:$I$89,3,0)*VLOOKUP('Données projet'!$B$21,Paramètres!$A$1:$I$89,5,0)</f>
        <v>248.22720000000001</v>
      </c>
      <c r="JH72" s="13">
        <f t="shared" si="206"/>
        <v>60.20616532763993</v>
      </c>
      <c r="JI72" s="20">
        <f t="shared" si="156"/>
        <v>537.18811127897277</v>
      </c>
      <c r="JJ72" s="59">
        <f t="shared" si="157"/>
        <v>830.52144461230614</v>
      </c>
      <c r="JK72" s="59">
        <f ca="1">AVERAGE(OFFSET($JJ$3,0,0,'Données projet'!$E$22+1,1))-AVERAGE(OFFSET($H$3,0,0,'Données projet'!$E$22+1,1))</f>
        <v>353.35574633294613</v>
      </c>
      <c r="JL72" s="59">
        <f t="shared" si="207"/>
        <v>170.36796666474726</v>
      </c>
      <c r="JM72" s="15">
        <f>IF(ISNA(VLOOKUP($A72,'Données projet'!$A$356:$I$376,3,0)),0,VLOOKUP($A72,'Données projet'!$A$356:$I$376,3,0))</f>
        <v>0</v>
      </c>
      <c r="JN72" s="15">
        <f>IF(ISNA(VLOOKUP($A72,'Données projet'!$A$356:$I$376,4,0)),0,VLOOKUP($A72,'Données projet'!$A$356:$I$376,4,0))</f>
        <v>0</v>
      </c>
      <c r="JO72" s="16">
        <f>IF(ISNA(VLOOKUP($A72,'Données projet'!$A$356:$I$376,5,0)),0%,VLOOKUP($A72,'Données projet'!$A$356:$I$376,5,0)*VLOOKUP('Données projet'!$B$21,Paramètres!$A$1:$I$89,7,0))</f>
        <v>0</v>
      </c>
      <c r="JP72" s="16">
        <f>IF(ISNA(VLOOKUP($A72,'Données projet'!$A$356:$I$376,6,0)),0%,VLOOKUP($A72,'Données projet'!$A$356:$I$376,6,0)*VLOOKUP('Données projet'!$B$21,Paramètres!$A$1:$I$89,7,0))</f>
        <v>0</v>
      </c>
      <c r="JQ72" s="16">
        <f>IF(ISNA(VLOOKUP($A72,'Données projet'!$A$356:$I$376,7,0)),0%,VLOOKUP($A72,'Données projet'!$A$356:$I$376,7,0))</f>
        <v>0</v>
      </c>
      <c r="JR72" s="21">
        <f>EXP(-LN(2)/35)*JR71+(1-EXP(-LN(2)/35))/(LN(2)/35)*JN72*JO72*VLOOKUP('Données projet'!$B$21,Paramètres!$A$1:$I$89,3,0)*0.475*44/12</f>
        <v>0</v>
      </c>
      <c r="JS72" s="21">
        <f>EXP(-LN(2)/25)*JS71+(1-EXP(-LN(2)/25))/(LN(2)/25)*Calculateur!JN72*Calculateur!JP72*VLOOKUP('Données projet'!$B$21,Paramètres!$A$1:$I$89,3,0)*0.475*44/12</f>
        <v>9.6780618595036625</v>
      </c>
      <c r="JT72" s="21">
        <f>EXP(-LN(2)/2)*JT71+(1-EXP(-LN(2)/2))/(LN(2)/2)*JN72*JQ72*VLOOKUP('Données projet'!$B$21,Paramètres!$A$1:$I$89,3,0)*0.475*44/12</f>
        <v>1.9524659075229083</v>
      </c>
      <c r="JU72" s="18">
        <f t="shared" si="158"/>
        <v>11.630527767026571</v>
      </c>
      <c r="JV72" s="74">
        <f>('Scénario référence'!$F$8+'Scénario référence'!$F$9+'Scénario référence'!$B$17+'Scénario référence'!$B$9+'Scénario référence'!$B$10)*70+IF((45+25*(1-EXP(-0.0175*$A72)))&lt;70,'Scénario référence'!$B$16*(45+25*(1-EXP(-0.0175*$A72))),70*'Scénario référence'!$B$16)+IF((32+38*(1-EXP(-0.0175*$A72)))&lt;70,'Scénario référence'!$B$18*(32+38*(1-EXP(-0.0175*$A72))),70*'Scénario référence'!$B$18)</f>
        <v>70</v>
      </c>
      <c r="JW72" s="12">
        <f>IF($A72&gt;30,10,('Scénario référence'!$B$16+'Scénario référence'!$B$17+'Scénario référence'!$B$18+'Scénario référence'!$B$9+'Scénario référence'!$B$10)*$A72*10/30+('Scénario référence'!$F$8+'Scénario référence'!$F$9)*10)</f>
        <v>10</v>
      </c>
      <c r="JX72" s="12" t="e">
        <f>VLOOKUP($A72,'Données projet'!$A$382:$I$402,2,0)</f>
        <v>#N/A</v>
      </c>
      <c r="JY72" s="12" t="e">
        <f>VLOOKUP($A72,'Données projet'!$A$382:$I$402,9,0)</f>
        <v>#N/A</v>
      </c>
      <c r="JZ72" s="12">
        <f t="array" ref="JZ72">INDEX(JY:JY,MIN(IF(ISNUMBER(JY72:JY268),ROW(JY72:JY268),"")))</f>
        <v>8.1001602564102626</v>
      </c>
      <c r="KA72" s="12">
        <f>IF('Données projet'!$A$382&gt;35,KA71+JZ72-KI71,IF($A72&lt;'Données projet'!$A$382,$CQ$205^$A72,IF($A72='Données projet'!$A$382,'Données projet'!$B$382,KA71+JZ72-KI71)))</f>
        <v>227.16506410256426</v>
      </c>
      <c r="KB72" s="17">
        <f>KA72*VLOOKUP('Données projet'!$B$22,Paramètres!$A$1:$I$89,3,0)*VLOOKUP('Données projet'!$B$22,Paramètres!$A$1:$I$89,5,0)</f>
        <v>152.38232500000012</v>
      </c>
      <c r="KC72" s="13">
        <f t="shared" si="208"/>
        <v>39.119480027502711</v>
      </c>
      <c r="KD72" s="20">
        <f t="shared" si="159"/>
        <v>333.53231042290076</v>
      </c>
      <c r="KE72" s="59">
        <f t="shared" si="160"/>
        <v>626.86564375623402</v>
      </c>
      <c r="KF72" s="59">
        <f ca="1">AVERAGE(OFFSET($KE$3,0,0,'Données projet'!$E$22+1,1))-AVERAGE(OFFSET($H$3,0,0,'Données projet'!$E$22+1,1))</f>
        <v>193.91714772848269</v>
      </c>
      <c r="KG72" s="59">
        <f t="shared" si="209"/>
        <v>159.20429420478047</v>
      </c>
      <c r="KH72" s="15">
        <f>IF(ISNA(VLOOKUP($A72,'Données projet'!$A$382:$I$402,3,0)),0,VLOOKUP($A72,'Données projet'!$A$382:$I$402,3,0))</f>
        <v>0</v>
      </c>
      <c r="KI72" s="15">
        <f>IF(ISNA(VLOOKUP($A72,'Données projet'!$A$382:$I$402,4,0)),0,VLOOKUP($A72,'Données projet'!$A$382:$I$402,4,0))</f>
        <v>0</v>
      </c>
      <c r="KJ72" s="16">
        <f>IF(ISNA(VLOOKUP($A72,'Données projet'!$A$382:$I$402,5,0)),0%,VLOOKUP($A72,'Données projet'!$A$382:$I$402,5,0)*VLOOKUP('Données projet'!$B$22,Paramètres!$A$1:$I$89,7,0))</f>
        <v>0</v>
      </c>
      <c r="KK72" s="16">
        <f>IF(ISNA(VLOOKUP($A72,'Données projet'!$A$382:$I$402,6,0)),0%,VLOOKUP($A72,'Données projet'!$A$382:$I$402,6,0)*VLOOKUP('Données projet'!$B$22,Paramètres!$A$1:$I$89,7,0))</f>
        <v>0</v>
      </c>
      <c r="KL72" s="16">
        <f>IF(ISNA(VLOOKUP($A72,'Données projet'!$A$382:$I$402,7,0)),0%,VLOOKUP($A72,'Données projet'!$A$382:$I$402,7,0))</f>
        <v>0</v>
      </c>
      <c r="KM72" s="21">
        <f>EXP(-LN(2)/35)*KM71+(1-EXP(-LN(2)/35))/(LN(2)/35)*KI72*KJ72*VLOOKUP('Données projet'!$B$22,Paramètres!$A$1:$I$89,3,0)*0.475*44/12</f>
        <v>10.192919750861419</v>
      </c>
      <c r="KN72" s="21">
        <f>EXP(-LN(2)/25)*KN71+(1-EXP(-LN(2)/25))/(LN(2)/25)*Calculateur!KI72*Calculateur!KK72*VLOOKUP('Données projet'!$B$22,Paramètres!$A$1:$I$89,3,0)*0.475*44/12</f>
        <v>0</v>
      </c>
      <c r="KO72" s="21">
        <f>EXP(-LN(2)/2)*KO71+(1-EXP(-LN(2)/2))/(LN(2)/2)*KI72*KL72*VLOOKUP('Données projet'!$B$22,Paramètres!$A$1:$I$89,3,0)*0.475*44/12</f>
        <v>0</v>
      </c>
      <c r="KP72" s="22">
        <f t="shared" si="161"/>
        <v>10.192919750861419</v>
      </c>
      <c r="KQ72" s="74">
        <f>('Scénario référence'!$F$8+'Scénario référence'!$F$9+'Scénario référence'!$B$17+'Scénario référence'!$B$9+'Scénario référence'!$B$10)*70+IF((45+25*(1-EXP(-0.0175*$A72)))&lt;70,'Scénario référence'!$B$16*(45+25*(1-EXP(-0.0175*$A72))),70*'Scénario référence'!$B$16)+IF((32+38*(1-EXP(-0.0175*$A72)))&lt;70,'Scénario référence'!$B$18*(32+38*(1-EXP(-0.0175*$A72))),70*'Scénario référence'!$B$18)</f>
        <v>70</v>
      </c>
      <c r="KR72" s="12">
        <f>IF($A72&gt;30,10,('Scénario référence'!$B$16+'Scénario référence'!$B$17+'Scénario référence'!$B$18+'Scénario référence'!$B$9+'Scénario référence'!$B$10)*$A72*10/30+('Scénario référence'!$F$8+'Scénario référence'!$F$9)*10)</f>
        <v>10</v>
      </c>
      <c r="KS72" s="12" t="e">
        <f>VLOOKUP($A72,'Données projet'!$A$408:$I$428,2,0)</f>
        <v>#N/A</v>
      </c>
      <c r="KT72" s="12" t="e">
        <f>VLOOKUP($A72,'Données projet'!$A$408:$I$428,9,0)</f>
        <v>#N/A</v>
      </c>
      <c r="KU72" s="12">
        <f t="array" ref="KU72">INDEX(KT:KT,MIN(IF(ISNUMBER(KT72:KT268),ROW(KT72:KT268),"")))</f>
        <v>3.8</v>
      </c>
      <c r="KV72" s="12">
        <f>IF('Données projet'!$A$408&gt;35,KV71+KU72-LD71,IF($A72&lt;'Données projet'!$A$408,$CQ$205^$A72,IF($A72='Données projet'!$A$408,'Données projet'!$B$408,KV71+KU72-LD71)))</f>
        <v>259.19999999999993</v>
      </c>
      <c r="KW72" s="17">
        <f>KV72*VLOOKUP('Données projet'!$B$23,Paramètres!$A$1:$I$89,3,0)*VLOOKUP('Données projet'!$B$23,Paramètres!$A$1:$I$89,5,0)</f>
        <v>226.43711999999999</v>
      </c>
      <c r="KX72" s="13">
        <f t="shared" si="210"/>
        <v>55.51160499337535</v>
      </c>
      <c r="KY72" s="14">
        <f t="shared" si="162"/>
        <v>491.06069603012867</v>
      </c>
      <c r="KZ72" s="59">
        <f t="shared" si="163"/>
        <v>784.39402936346198</v>
      </c>
      <c r="LA72" s="59">
        <f ca="1">AVERAGE(OFFSET($KZ$3,0,0,'Données projet'!$E$23+1,1))-AVERAGE(OFFSET($H$3,0,0,'Données projet'!$E$23+1,1))</f>
        <v>248.33596943633819</v>
      </c>
      <c r="LB72" s="59">
        <f t="shared" si="211"/>
        <v>242.34010522344573</v>
      </c>
      <c r="LC72" s="15">
        <f>IF(ISNA(VLOOKUP($A72,'Données projet'!$A$408:$I$428,3,0)),0,VLOOKUP($A72,'Données projet'!$A$408:$I$428,3,0))</f>
        <v>0</v>
      </c>
      <c r="LD72" s="15">
        <f>IF(ISNA(VLOOKUP($A72,'Données projet'!$A$408:$I$428,4,0)),0,VLOOKUP($A72,'Données projet'!$A$408:$I$428,4,0))</f>
        <v>0</v>
      </c>
      <c r="LE72" s="16">
        <f>IF(ISNA(VLOOKUP($A72,'Données projet'!$A$408:$I$428,5,0)),0%,VLOOKUP($A72,'Données projet'!$A$408:$I$428,5,0)*VLOOKUP('Données projet'!$B$23,Paramètres!$A$1:$I$89,7,0))</f>
        <v>0</v>
      </c>
      <c r="LF72" s="16">
        <f>IF(ISNA(VLOOKUP($A72,'Données projet'!$A$408:$I$428,6,0)),0%,VLOOKUP($A72,'Données projet'!$A$408:$I$428,6,0)*VLOOKUP('Données projet'!$B$23,Paramètres!$A$1:$I$89,7,0))</f>
        <v>0</v>
      </c>
      <c r="LG72" s="16">
        <f>IF(ISNA(VLOOKUP($A72,'Données projet'!$A$408:$I$428,7,0)),0%,VLOOKUP($A72,'Données projet'!$A$408:$I$428,7,0))</f>
        <v>0</v>
      </c>
      <c r="LH72" s="21">
        <f>EXP(-LN(2)/35)*LH71+(1-EXP(-LN(2)/35))/(LN(2)/35)*LD72*LE72*VLOOKUP('Données projet'!$B$23,Paramètres!$A$1:$I$89,3,0)*0.475*44/12</f>
        <v>20.698782875212405</v>
      </c>
      <c r="LI72" s="21">
        <f>EXP(-LN(2)/25)*LI71+(1-EXP(-LN(2)/25))/(LN(2)/25)*Calculateur!LD72*Calculateur!LF72*VLOOKUP('Données projet'!$B$23,Paramètres!$A$1:$I$89,3,0)*0.475*44/12</f>
        <v>8.5734386849125634</v>
      </c>
      <c r="LJ72" s="21">
        <f>EXP(-LN(2)/2)*LJ71+(1-EXP(-LN(2)/2))/(LN(2)/2)*LD72*LG72*VLOOKUP('Données projet'!$B$23,Paramètres!$A$1:$I$89,3,0)*0.475*44/12</f>
        <v>0</v>
      </c>
      <c r="LK72" s="22">
        <f t="shared" si="164"/>
        <v>29.272221560124969</v>
      </c>
      <c r="LL72" s="74">
        <f>('Scénario référence'!$F$8+'Scénario référence'!$F$9+'Scénario référence'!$B$17+'Scénario référence'!$B$9+'Scénario référence'!$B$10)*70+IF((45+25*(1-EXP(-0.0175*$A72)))&lt;70,'Scénario référence'!$B$16*(45+25*(1-EXP(-0.0175*$A72))),70*'Scénario référence'!$B$16)+IF((32+38*(1-EXP(-0.0175*$A72)))&lt;70,'Scénario référence'!$B$18*(32+38*(1-EXP(-0.0175*$A72))),70*'Scénario référence'!$B$18)</f>
        <v>70</v>
      </c>
      <c r="LM72" s="12">
        <f>IF($A72&gt;30,10,('Scénario référence'!$B$16+'Scénario référence'!$B$17+'Scénario référence'!$B$18+'Scénario référence'!$B$9+'Scénario référence'!$B$10)*$A72*10/30+('Scénario référence'!$F$8+'Scénario référence'!$F$9)*10)</f>
        <v>10</v>
      </c>
      <c r="LN72" s="12" t="e">
        <f>VLOOKUP($A72,'Données projet'!$A$434:$I$454,2,0)</f>
        <v>#N/A</v>
      </c>
      <c r="LO72" s="12" t="e">
        <f>VLOOKUP($A72,'Données projet'!$A$434:$I$454,9,0)</f>
        <v>#N/A</v>
      </c>
      <c r="LP72" s="12">
        <f t="array" ref="LP72">INDEX(LO:LO,MIN(IF(ISNUMBER(LO72:LO268),ROW(LO72:LO268),"")))</f>
        <v>5.6899038461538431</v>
      </c>
      <c r="LQ72" s="12">
        <f>IF('Données projet'!$A$434&gt;35,LQ71+LP72-LY71,IF($A72&lt;'Données projet'!$A$434,$CQ$205^$A72,IF($A72='Données projet'!$A$434,'Données projet'!$B$434,LQ71+LP72-LY71)))</f>
        <v>147.24519230769229</v>
      </c>
      <c r="LR72" s="17">
        <f>LQ72*VLOOKUP('Données projet'!$B$24,Paramètres!$A$1:$I$89,3,0)*VLOOKUP('Données projet'!$B$24,Paramètres!$A$1:$I$89,5,0)</f>
        <v>149.306625</v>
      </c>
      <c r="LS72" s="13">
        <f t="shared" si="212"/>
        <v>38.420971199416954</v>
      </c>
      <c r="LT72" s="14">
        <f t="shared" si="165"/>
        <v>326.95889671398453</v>
      </c>
      <c r="LU72" s="59">
        <f t="shared" si="166"/>
        <v>620.29223004731784</v>
      </c>
      <c r="LV72" s="59">
        <f ca="1">AVERAGE(OFFSET($LU$3,0,0,'Données projet'!$E$24+1,1))-AVERAGE(OFFSET($H$3,0,0,'Données projet'!$E$24+1,1))</f>
        <v>260.52627655062872</v>
      </c>
      <c r="LW72" s="59">
        <f t="shared" si="213"/>
        <v>159.20429420478047</v>
      </c>
      <c r="LX72" s="15">
        <f>IF(ISNA(VLOOKUP($A72,'Données projet'!$A$434:$I$454,3,0)),0,VLOOKUP($A72,'Données projet'!$A$434:$I$454,3,0))</f>
        <v>0</v>
      </c>
      <c r="LY72" s="15">
        <f>IF(ISNA(VLOOKUP($A72,'Données projet'!$A$434:$I$454,4,0)),0,VLOOKUP($A72,'Données projet'!$A$434:$I$454,4,0))</f>
        <v>0</v>
      </c>
      <c r="LZ72" s="16">
        <f>IF(ISNA(VLOOKUP($A72,'Données projet'!$A$434:$I$454,5,0)),0%,VLOOKUP($A72,'Données projet'!$A$434:$I$454,5,0)*VLOOKUP('Données projet'!$B$24,Paramètres!$A$1:$I$89,7,0))</f>
        <v>0</v>
      </c>
      <c r="MA72" s="16">
        <f>IF(ISNA(VLOOKUP($A72,'Données projet'!$A$434:$I$454,6,0)),0%,VLOOKUP($A72,'Données projet'!$A$434:$I$454,6,0)*VLOOKUP('Données projet'!$B$24,Paramètres!$A$1:$I$89,7,0))</f>
        <v>0</v>
      </c>
      <c r="MB72" s="16">
        <f>IF(ISNA(VLOOKUP($A72,'Données projet'!$A$434:$I$454,7,0)),0%,VLOOKUP($A72,'Données projet'!$A$434:$I$454,7,0))</f>
        <v>0</v>
      </c>
      <c r="MC72" s="21">
        <f>EXP(-LN(2)/35)*MC71+(1-EXP(-LN(2)/35))/(LN(2)/35)*LY72*LZ72*VLOOKUP('Données projet'!$B$24,Paramètres!$A$1:$I$89,3,0)*0.475*44/12</f>
        <v>0</v>
      </c>
      <c r="MD72" s="21">
        <f>EXP(-LN(2)/25)*MD71+(1-EXP(-LN(2)/25))/(LN(2)/25)*Calculateur!LY72*Calculateur!MA72*VLOOKUP('Données projet'!$B$24,Paramètres!$A$1:$I$89,3,0)*0.475*44/12</f>
        <v>0</v>
      </c>
      <c r="ME72" s="21">
        <f>EXP(-LN(2)/2)*ME71+(1-EXP(-LN(2)/2))/(LN(2)/2)*LY72*MB72*VLOOKUP('Données projet'!$B$24,Paramètres!$A$1:$I$89,3,0)*0.475*44/12</f>
        <v>0</v>
      </c>
      <c r="MF72" s="22">
        <f t="shared" si="167"/>
        <v>0</v>
      </c>
      <c r="MG72" s="74">
        <f>('Scénario référence'!$F$8+'Scénario référence'!$F$9+'Scénario référence'!$B$17+'Scénario référence'!$B$9+'Scénario référence'!$B$10)*70+IF((45+25*(1-EXP(-0.0175*$A72)))&lt;70,'Scénario référence'!$B$16*(45+25*(1-EXP(-0.0175*$A72))),70*'Scénario référence'!$B$16)+IF((32+38*(1-EXP(-0.0175*$A72)))&lt;70,'Scénario référence'!$B$18*(32+38*(1-EXP(-0.0175*$A72))),70*'Scénario référence'!$B$18)</f>
        <v>70</v>
      </c>
      <c r="MH72" s="12">
        <f>IF($A72&gt;30,10,('Scénario référence'!$B$16+'Scénario référence'!$B$17+'Scénario référence'!$B$18+'Scénario référence'!$B$9+'Scénario référence'!$B$10)*$A72*10/30+('Scénario référence'!$F$8+'Scénario référence'!$F$9)*10)</f>
        <v>10</v>
      </c>
      <c r="MI72" s="12" t="e">
        <f>VLOOKUP($A72,'Données projet'!$A$460:$I$480,2,0)</f>
        <v>#N/A</v>
      </c>
      <c r="MJ72" s="12" t="e">
        <f>VLOOKUP($A72,'Données projet'!$A$460:$I$480,9,0)</f>
        <v>#N/A</v>
      </c>
      <c r="MK72" s="12">
        <f t="array" ref="MK72">INDEX(MJ:MJ,MIN(IF(ISNUMBER(MJ72:MJ268),ROW(MJ72:MJ268),"")))</f>
        <v>0</v>
      </c>
      <c r="ML72" s="12">
        <f>IF('Données projet'!$A$460&gt;35,ML71+MK72-MT71,IF($A72&lt;'Données projet'!$A$460,$CQ$205^$A72,IF($A72='Données projet'!$A$460,'Données projet'!$B$460,ML71+MK72-MT71)))</f>
        <v>0</v>
      </c>
      <c r="MM72" s="17" t="e">
        <f>ML72*VLOOKUP('Données projet'!$B$25,Paramètres!$A$1:$I$89,3,0)*VLOOKUP('Données projet'!$B$25,Paramètres!$A$1:$I$89,5,0)</f>
        <v>#N/A</v>
      </c>
      <c r="MN72" s="13" t="e">
        <f t="shared" si="214"/>
        <v>#N/A</v>
      </c>
      <c r="MO72" s="14" t="e">
        <f t="shared" si="168"/>
        <v>#N/A</v>
      </c>
      <c r="MP72" s="59" t="e">
        <f t="shared" si="169"/>
        <v>#N/A</v>
      </c>
      <c r="MQ72" s="20" t="e">
        <f ca="1">AVERAGE(OFFSET($MP$3,0,0,'Données projet'!$E$25+1,1))-AVERAGE(OFFSET($H$3,0,0,'Données projet'!$E$25+1,1))</f>
        <v>#N/A</v>
      </c>
      <c r="MR72" s="59" t="e">
        <f t="shared" si="215"/>
        <v>#N/A</v>
      </c>
      <c r="MS72" s="15">
        <f>IF(ISNA(VLOOKUP($A72,'Données projet'!$A$460:$I$480,3,0)),0,VLOOKUP($A72,'Données projet'!$A$460:$I$480,3,0))</f>
        <v>0</v>
      </c>
      <c r="MT72" s="15">
        <f>IF(ISNA(VLOOKUP($A72,'Données projet'!$A$460:$I$480,4,0)),0,VLOOKUP($A72,'Données projet'!$A$460:$I$480,4,0))</f>
        <v>0</v>
      </c>
      <c r="MU72" s="16">
        <f>IF(ISNA(VLOOKUP($A72,'Données projet'!$A$460:$I$480,5,0)),0%,VLOOKUP($A72,'Données projet'!$A$460:$I$480,5,0)*VLOOKUP('Données projet'!$B$25,Paramètres!$A$1:$I$89,7,0))</f>
        <v>0</v>
      </c>
      <c r="MV72" s="16">
        <f>IF(ISNA(VLOOKUP($A72,'Données projet'!$A$460:$I$480,6,0)),0%,VLOOKUP($A72,'Données projet'!$A$460:$I$480,6,0)*VLOOKUP('Données projet'!$B$25,Paramètres!$A$1:$I$89,7,0))</f>
        <v>0</v>
      </c>
      <c r="MW72" s="16">
        <f>IF(ISNA(VLOOKUP($A72,'Données projet'!$A$460:$I$480,7,0)),0%,VLOOKUP($A72,'Données projet'!$A$460:$I$480,7,0))</f>
        <v>0</v>
      </c>
      <c r="MX72" s="21" t="e">
        <f>EXP(-LN(2)/35)*MX71+(1-EXP(-LN(2)/35))/(LN(2)/35)*MT72*MU72*VLOOKUP('Données projet'!$B$25,Paramètres!$A$1:$I$89,3,0)*0.475*44/12</f>
        <v>#N/A</v>
      </c>
      <c r="MY72" s="21" t="e">
        <f>EXP(-LN(2)/25)*MY71+(1-EXP(-LN(2)/25))/(LN(2)/25)*Calculateur!MT72*Calculateur!MV72*VLOOKUP('Données projet'!$B$25,Paramètres!$A$1:$I$89,3,0)*0.475*44/12</f>
        <v>#N/A</v>
      </c>
      <c r="MZ72" s="21" t="e">
        <f>EXP(-LN(2)/2)*MZ71+(1-EXP(-LN(2)/2))/(LN(2)/2)*MT72*MW72*VLOOKUP('Données projet'!$B$25,Paramètres!$A$1:$I$89,3,0)*0.475*44/12</f>
        <v>#N/A</v>
      </c>
      <c r="NA72" s="22" t="e">
        <f t="shared" si="170"/>
        <v>#N/A</v>
      </c>
      <c r="NB72" s="74">
        <f>('Scénario référence'!$F$8+'Scénario référence'!$F$9+'Scénario référence'!$B$17+'Scénario référence'!$B$9+'Scénario référence'!$B$10)*70+IF((45+25*(1-EXP(-0.0175*$A72)))&lt;70,'Scénario référence'!$B$16*(45+25*(1-EXP(-0.0175*$A72))),70*'Scénario référence'!$B$16)+IF((32+38*(1-EXP(-0.0175*$A72)))&lt;70,'Scénario référence'!$B$18*(32+38*(1-EXP(-0.0175*$A72))),70*'Scénario référence'!$B$18)</f>
        <v>70</v>
      </c>
      <c r="NC72" s="12">
        <f>IF($A72&gt;30,10,('Scénario référence'!$B$16+'Scénario référence'!$B$17+'Scénario référence'!$B$18+'Scénario référence'!$B$9+'Scénario référence'!$B$10)*$A72*10/30+('Scénario référence'!$F$8+'Scénario référence'!$F$9)*10)</f>
        <v>10</v>
      </c>
      <c r="ND72" s="12" t="e">
        <f>VLOOKUP($A72,'Données projet'!$A$486:$I$506,2,0)</f>
        <v>#N/A</v>
      </c>
      <c r="NE72" s="12" t="e">
        <f>VLOOKUP($A72,'Données projet'!$A$486:$I$506,9,0)</f>
        <v>#N/A</v>
      </c>
      <c r="NF72" s="12">
        <f t="array" ref="NF72">INDEX(NE:NE,MIN(IF(ISNUMBER(NE72:NE268),ROW(NE72:NE268),"")))</f>
        <v>0</v>
      </c>
      <c r="NG72" s="12">
        <f>IF('Données projet'!$A$486&gt;35,NG71+NF72-NO71,IF($A72&lt;'Données projet'!$A$486,$CQ$205^$A72,IF($A72='Données projet'!$A$486,'Données projet'!$B$486,NG71+NF72-NO71)))</f>
        <v>0</v>
      </c>
      <c r="NH72" s="17" t="e">
        <f>NG72*VLOOKUP('Données projet'!$B$26,Paramètres!$A$1:$I$89,3,0)*VLOOKUP('Données projet'!$B$26,Paramètres!$A$1:$I$89,5,0)</f>
        <v>#N/A</v>
      </c>
      <c r="NI72" s="13" t="e">
        <f t="shared" si="216"/>
        <v>#N/A</v>
      </c>
      <c r="NJ72" s="14" t="e">
        <f t="shared" si="171"/>
        <v>#N/A</v>
      </c>
      <c r="NK72" s="59" t="e">
        <f t="shared" si="172"/>
        <v>#N/A</v>
      </c>
      <c r="NL72" s="20" t="e">
        <f ca="1">AVERAGE(OFFSET($NK$3,0,0,'Données projet'!$E$26+1,1))-AVERAGE(OFFSET($H$3,0,0,'Données projet'!$E$26+1,1))</f>
        <v>#N/A</v>
      </c>
      <c r="NM72" s="59" t="e">
        <f t="shared" si="217"/>
        <v>#N/A</v>
      </c>
      <c r="NN72" s="15">
        <f>IF(ISNA(VLOOKUP($A72,'Données projet'!$A$486:$I$506,3,0)),0,VLOOKUP($A72,'Données projet'!$A$486:$I$506,3,0))</f>
        <v>0</v>
      </c>
      <c r="NO72" s="15">
        <f>IF(ISNA(VLOOKUP($A72,'Données projet'!$A$486:$I$506,4,0)),0,VLOOKUP($A72,'Données projet'!$A$486:$I$506,4,0))</f>
        <v>0</v>
      </c>
      <c r="NP72" s="16">
        <f>IF(ISNA(VLOOKUP($A72,'Données projet'!$A$486:$I$506,5,0)),0%,VLOOKUP($A72,'Données projet'!$A$486:$I$506,5,0)*VLOOKUP('Données projet'!$B$26,Paramètres!$A$1:$I$89,7,0))</f>
        <v>0</v>
      </c>
      <c r="NQ72" s="16">
        <f>IF(ISNA(VLOOKUP($A72,'Données projet'!$A$486:$I$506,6,0)),0%,VLOOKUP($A72,'Données projet'!$A$486:$I$506,6,0)*VLOOKUP('Données projet'!$B$26,Paramètres!$A$1:$I$89,7,0))</f>
        <v>0</v>
      </c>
      <c r="NR72" s="16">
        <f>IF(ISNA(VLOOKUP($A72,'Données projet'!$A$486:$I$506,7,0)),0%,VLOOKUP($A72,'Données projet'!$A$486:$I$506,7,0))</f>
        <v>0</v>
      </c>
      <c r="NS72" s="21" t="e">
        <f>EXP(-LN(2)/35)*NS71+(1-EXP(-LN(2)/35))/(LN(2)/35)*NO72*NP72*VLOOKUP('Données projet'!$B$26,Paramètres!$A$1:$I$89,3,0)*0.475*44/12</f>
        <v>#N/A</v>
      </c>
      <c r="NT72" s="21" t="e">
        <f>EXP(-LN(2)/25)*NT71+(1-EXP(-LN(2)/25))/(LN(2)/25)*Calculateur!NO72*Calculateur!NQ72*VLOOKUP('Données projet'!$B$26,Paramètres!$A$1:$I$89,3,0)*0.475*44/12</f>
        <v>#N/A</v>
      </c>
      <c r="NU72" s="21" t="e">
        <f>EXP(-LN(2)/2)*NU71+(1-EXP(-LN(2)/2))/(LN(2)/2)*NO72*NR72*VLOOKUP('Données projet'!$B$26,Paramètres!$A$1:$I$89,3,0)*0.475*44/12</f>
        <v>#N/A</v>
      </c>
      <c r="NV72" s="22" t="e">
        <f t="shared" si="173"/>
        <v>#N/A</v>
      </c>
      <c r="NW72" s="74">
        <f>('Scénario référence'!$F$8+'Scénario référence'!$F$9+'Scénario référence'!$B$17+'Scénario référence'!$B$9+'Scénario référence'!$B$10)*70+IF((45+25*(1-EXP(-0.0175*$A72)))&lt;70,'Scénario référence'!$B$16*(45+25*(1-EXP(-0.0175*$A72))),70*'Scénario référence'!$B$16)+IF((32+38*(1-EXP(-0.0175*$A72)))&lt;70,'Scénario référence'!$B$18*(32+38*(1-EXP(-0.0175*$A72))),70*'Scénario référence'!$B$18)</f>
        <v>70</v>
      </c>
      <c r="NX72" s="12">
        <f>IF($A72&gt;30,10,('Scénario référence'!$B$16+'Scénario référence'!$B$17+'Scénario référence'!$B$18+'Scénario référence'!$B$9+'Scénario référence'!$B$10)*$A72*10/30+('Scénario référence'!$F$8+'Scénario référence'!$F$9)*10)</f>
        <v>10</v>
      </c>
      <c r="NY72" s="12" t="e">
        <f>VLOOKUP($A72,'Données projet'!$A$512:$I$532,2,0)</f>
        <v>#N/A</v>
      </c>
      <c r="NZ72" s="12" t="e">
        <f>VLOOKUP($A72,'Données projet'!$A$512:$I$532,9,0)</f>
        <v>#N/A</v>
      </c>
      <c r="OA72" s="12">
        <f t="array" ref="OA72">INDEX(NZ:NZ,MIN(IF(ISNUMBER(NZ72:NZ268),ROW(NZ72:NZ268),"")))</f>
        <v>0</v>
      </c>
      <c r="OB72" s="12">
        <f>IF('Données projet'!$A$512&gt;35,OB71+OA72-OJ71,IF($A72&lt;'Données projet'!$A$512,$CQ$205^$A72,IF($A72='Données projet'!$A$512,'Données projet'!$B$512,OB71+OA72-OJ71)))</f>
        <v>0</v>
      </c>
      <c r="OC72" s="17" t="e">
        <f>OB72*VLOOKUP('Données projet'!$B$27,Paramètres!$A$1:$I$89,3,0)*VLOOKUP('Données projet'!$B$27,Paramètres!$A$1:$I$89,5,0)</f>
        <v>#N/A</v>
      </c>
      <c r="OD72" s="13" t="e">
        <f t="shared" si="218"/>
        <v>#N/A</v>
      </c>
      <c r="OE72" s="14" t="e">
        <f t="shared" si="174"/>
        <v>#N/A</v>
      </c>
      <c r="OF72" s="59" t="e">
        <f t="shared" si="175"/>
        <v>#N/A</v>
      </c>
      <c r="OG72" s="20" t="e">
        <f ca="1">AVERAGE(OFFSET($OF$3,0,0,'Données projet'!$E$27+1,1))-AVERAGE(OFFSET($H$3,0,0,'Données projet'!$E$27+1,1))</f>
        <v>#N/A</v>
      </c>
      <c r="OH72" s="59" t="e">
        <f t="shared" si="219"/>
        <v>#N/A</v>
      </c>
      <c r="OI72" s="15">
        <f>IF(ISNA(VLOOKUP($A72,'Données projet'!$A$512:$I$532,3,0)),0,VLOOKUP($A72,'Données projet'!$A$512:$I$532,3,0))</f>
        <v>0</v>
      </c>
      <c r="OJ72" s="15">
        <f>IF(ISNA(VLOOKUP($A72,'Données projet'!$A$512:$I$532,4,0)),0,VLOOKUP($A72,'Données projet'!$A$512:$I$532,4,0))</f>
        <v>0</v>
      </c>
      <c r="OK72" s="16">
        <f>IF(ISNA(VLOOKUP($A72,'Données projet'!$A$512:$I$532,5,0)),0%,VLOOKUP($A72,'Données projet'!$A$512:$I$532,5,0)*VLOOKUP('Données projet'!$B$27,Paramètres!$A$1:$I$89,7,0))</f>
        <v>0</v>
      </c>
      <c r="OL72" s="16">
        <f>IF(ISNA(VLOOKUP($A72,'Données projet'!$A$512:$I$532,6,0)),0%,VLOOKUP($A72,'Données projet'!$A$512:$I$532,6,0)*VLOOKUP('Données projet'!$B$27,Paramètres!$A$1:$I$89,7,0))</f>
        <v>0</v>
      </c>
      <c r="OM72" s="16">
        <f>IF(ISNA(VLOOKUP($A72,'Données projet'!$A$512:$I$532,7,0)),0%,VLOOKUP($A72,'Données projet'!$A$512:$I$532,7,0))</f>
        <v>0</v>
      </c>
      <c r="ON72" s="21" t="e">
        <f>EXP(-LN(2)/35)*ON71+(1-EXP(-LN(2)/35))/(LN(2)/35)*OJ72*OK72*VLOOKUP('Données projet'!$B$27,Paramètres!$A$1:$I$89,3,0)*0.475*44/12</f>
        <v>#N/A</v>
      </c>
      <c r="OO72" s="21" t="e">
        <f>EXP(-LN(2)/25)*OO71+(1-EXP(-LN(2)/25))/(LN(2)/25)*Calculateur!OJ72*Calculateur!OL72*VLOOKUP('Données projet'!$B$27,Paramètres!$A$1:$I$89,3,0)*0.475*44/12</f>
        <v>#N/A</v>
      </c>
      <c r="OP72" s="21" t="e">
        <f>EXP(-LN(2)/2)*OP71+(1-EXP(-LN(2)/2))/(LN(2)/2)*OJ72*OM72*VLOOKUP('Données projet'!$B$27,Paramètres!$A$1:$I$89,3,0)*0.475*44/12</f>
        <v>#N/A</v>
      </c>
      <c r="OQ72" s="22" t="e">
        <f t="shared" si="176"/>
        <v>#N/A</v>
      </c>
      <c r="OR72" s="74">
        <f>('Scénario référence'!$F$8+'Scénario référence'!$F$9+'Scénario référence'!$B$17+'Scénario référence'!$B$9+'Scénario référence'!$B$10)*70+IF((45+25*(1-EXP(-0.0175*$A72)))&lt;70,'Scénario référence'!$B$16*(45+25*(1-EXP(-0.0175*$A72))),70*'Scénario référence'!$B$16)+IF((32+38*(1-EXP(-0.0175*$A72)))&lt;70,'Scénario référence'!$B$18*(32+38*(1-EXP(-0.0175*$A72))),70*'Scénario référence'!$B$18)</f>
        <v>70</v>
      </c>
      <c r="OS72" s="12">
        <f>IF($A72&gt;30,10,('Scénario référence'!$B$16+'Scénario référence'!$B$17+'Scénario référence'!$B$18+'Scénario référence'!$B$9+'Scénario référence'!$B$10)*$A72*10/30+('Scénario référence'!$F$8+'Scénario référence'!$F$9)*10)</f>
        <v>10</v>
      </c>
      <c r="OT72" s="12" t="e">
        <f>VLOOKUP($A72,'Données projet'!$A$538:$I$558,2,0)</f>
        <v>#N/A</v>
      </c>
      <c r="OU72" s="12" t="e">
        <f>VLOOKUP($A72,'Données projet'!$A$538:$I$558,9,0)</f>
        <v>#N/A</v>
      </c>
      <c r="OV72" s="12">
        <f t="array" ref="OV72">INDEX(OU:OU,MIN(IF(ISNUMBER(OU72:OU268),ROW(OU72:OU268),"")))</f>
        <v>0</v>
      </c>
      <c r="OW72" s="12">
        <f>IF('Données projet'!$A$538&gt;35,OW71+OV72-PE71,IF($A72&lt;'Données projet'!$A$538,$CQ$205^$A72,IF($A72='Données projet'!$A$538,'Données projet'!$B$538,OW71+OV72-PE71)))</f>
        <v>0</v>
      </c>
      <c r="OX72" s="17" t="e">
        <f>OW72*VLOOKUP('Données projet'!$B$28,Paramètres!$A$1:$I$89,3,0)*VLOOKUP('Données projet'!$B$28,Paramètres!$A$1:$I$89,5,0)</f>
        <v>#N/A</v>
      </c>
      <c r="OY72" s="13" t="e">
        <f t="shared" si="220"/>
        <v>#N/A</v>
      </c>
      <c r="OZ72" s="14" t="e">
        <f t="shared" si="177"/>
        <v>#N/A</v>
      </c>
      <c r="PA72" s="59" t="e">
        <f t="shared" si="178"/>
        <v>#N/A</v>
      </c>
      <c r="PB72" s="20" t="e">
        <f ca="1">AVERAGE(OFFSET($PA$3,0,0,'Données projet'!$E$28+1,1))-AVERAGE(OFFSET($H$3,0,0,'Données projet'!$E$28+1,1))</f>
        <v>#N/A</v>
      </c>
      <c r="PC72" s="59" t="e">
        <f t="shared" si="221"/>
        <v>#N/A</v>
      </c>
      <c r="PD72" s="15">
        <f>IF(ISNA(VLOOKUP($A72,'Données projet'!$A$538:$I$558,3,0)),0,VLOOKUP($A72,'Données projet'!$A$538:$I$558,3,0))</f>
        <v>0</v>
      </c>
      <c r="PE72" s="15">
        <f>IF(ISNA(VLOOKUP($A72,'Données projet'!$A$538:$I$558,4,0)),0,VLOOKUP($A72,'Données projet'!$A$538:$I$558,4,0))</f>
        <v>0</v>
      </c>
      <c r="PF72" s="16">
        <f>IF(ISNA(VLOOKUP($A72,'Données projet'!$A$538:$I$558,5,0)),0%,VLOOKUP($A72,'Données projet'!$A$538:$I$558,5,0)*VLOOKUP('Données projet'!$B$28,Paramètres!$A$1:$I$89,7,0))</f>
        <v>0</v>
      </c>
      <c r="PG72" s="16">
        <f>IF(ISNA(VLOOKUP($A72,'Données projet'!$A$538:$I$558,6,0)),0%,VLOOKUP($A72,'Données projet'!$A$538:$I$558,6,0)*VLOOKUP('Données projet'!$B$28,Paramètres!$A$1:$I$89,7,0))</f>
        <v>0</v>
      </c>
      <c r="PH72" s="16">
        <f>IF(ISNA(VLOOKUP($A72,'Données projet'!$A$538:$I$558,7,0)),0%,VLOOKUP($A72,'Données projet'!$A$538:$I$558,7,0))</f>
        <v>0</v>
      </c>
      <c r="PI72" s="21" t="e">
        <f>EXP(-LN(2)/35)*PI71+(1-EXP(-LN(2)/35))/(LN(2)/35)*PE72*PF72*VLOOKUP('Données projet'!$B$28,Paramètres!$A$1:$I$89,3,0)*0.475*44/12</f>
        <v>#N/A</v>
      </c>
      <c r="PJ72" s="21" t="e">
        <f>EXP(-LN(2)/25)*PJ71+(1-EXP(-LN(2)/25))/(LN(2)/25)*Calculateur!PE72*Calculateur!PG72*VLOOKUP('Données projet'!$B$28,Paramètres!$A$1:$I$89,3,0)*0.475*44/12</f>
        <v>#N/A</v>
      </c>
      <c r="PK72" s="21" t="e">
        <f>EXP(-LN(2)/2)*PK71+(1-EXP(-LN(2)/2))/(LN(2)/2)*PE72*PH72*VLOOKUP('Données projet'!$B$28,Paramètres!$A$1:$I$89,3,0)*0.475*44/12</f>
        <v>#N/A</v>
      </c>
      <c r="PL72" s="22" t="e">
        <f t="shared" si="179"/>
        <v>#N/A</v>
      </c>
    </row>
    <row r="73" spans="1:428" x14ac:dyDescent="0.35">
      <c r="A73" s="10">
        <f t="shared" si="180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181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121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projet'!$A$45:$I$65,2,0)</f>
        <v>#N/A</v>
      </c>
      <c r="L73" s="12" t="e">
        <f>VLOOKUP(A73,'Données projet'!$A$45:$I$65,9,0)</f>
        <v>#N/A</v>
      </c>
      <c r="M73" s="12">
        <f t="array" ref="M73">INDEX(L:L,MIN(IF(ISNUMBER(L73:L269),ROW(L73:L269),"")))</f>
        <v>0</v>
      </c>
      <c r="N73" s="13">
        <f>IF('Données projet'!$A$46&gt;35,N72+M73-V72,IF(A73&lt;'Données projet'!$A$46,$K$205^A73,IF(A73='Données projet'!$A$46,'Données projet'!$B$46,N72+M73-V72)))</f>
        <v>-1.1368683772161603E-13</v>
      </c>
      <c r="O73" s="13">
        <f>N73*VLOOKUP('Données projet'!$B$9,Paramètres!$A$1:$I$89,3,0)*VLOOKUP('Données projet'!$B$9,Paramètres!$A$1:$I$89,5,0)</f>
        <v>-6.3550942286383367E-14</v>
      </c>
      <c r="P73" s="13" t="e">
        <f t="shared" si="182"/>
        <v>#NUM!</v>
      </c>
      <c r="Q73" s="20" t="e">
        <f t="shared" si="119"/>
        <v>#NUM!</v>
      </c>
      <c r="R73" s="59" t="e">
        <f t="shared" si="120"/>
        <v>#NUM!</v>
      </c>
      <c r="S73" s="59">
        <f ca="1">AVERAGE(OFFSET($R$3,0,0,'Données projet'!$E$9+1,1))-AVERAGE(OFFSET($H$3,0,0,'Données projet'!$E$9+1,1))</f>
        <v>274.57619581652199</v>
      </c>
      <c r="T73" s="59">
        <f t="shared" si="183"/>
        <v>366.15117322598775</v>
      </c>
      <c r="U73" s="15">
        <f>IF(ISNA(VLOOKUP(A73,'Données projet'!$A$45:$I$65,3,0)),0,VLOOKUP(A73,'Données projet'!$A$45:$I$65,3,0))</f>
        <v>0</v>
      </c>
      <c r="V73" s="15">
        <f>IF(ISNA(VLOOKUP(A73,'Données projet'!$A$45:$I$65,4,0)),0,VLOOKUP(A73,'Données projet'!$A$45:$I$65,4,0))</f>
        <v>0</v>
      </c>
      <c r="W73" s="16">
        <f>IF(ISNA(VLOOKUP(A73,'Données projet'!$A$45:$I$65,5,0)),0%,VLOOKUP(A73,'Données projet'!$A$45:$I$65,5,0)*VLOOKUP('Données projet'!$B$9,Paramètres!$A$1:$I$89,7,0))</f>
        <v>0</v>
      </c>
      <c r="X73" s="16">
        <f>IF(ISNA(VLOOKUP(A73,'Données projet'!$A$45:$I$65,6,0)),0%,VLOOKUP(A73,'Données projet'!$A$45:$I$65,6,0)*VLOOKUP('Données projet'!$B$9,Paramètres!$A$1:$I$89,7,0))</f>
        <v>0</v>
      </c>
      <c r="Y73" s="16">
        <f>IF(ISNA(VLOOKUP(A73,'Données projet'!$A$45:$I$65,7,0)),0%,VLOOKUP(A73,'Données projet'!$A$45:$I$65,7,0))</f>
        <v>0</v>
      </c>
      <c r="Z73" s="21">
        <f>EXP(-LN(2)/35)*Z72+(1-EXP(-LN(2)/35))/(LN(2)/35)*V73*W73*VLOOKUP('Données projet'!$B$9,Paramètres!$A$1:$I$89,3,0)*0.475*44/12</f>
        <v>168.40556469440858</v>
      </c>
      <c r="AA73" s="21">
        <f>EXP(-LN(2)/25)*AA72+(1-EXP(-LN(2)/25))/(LN(2)/25)*Calculateur!V73*Calculateur!X73*VLOOKUP('Données projet'!$B$9,Paramètres!$A$1:$I$89,3,0)*0.475*44/12</f>
        <v>38.006894996779522</v>
      </c>
      <c r="AB73" s="21">
        <f>EXP(-LN(2)/2)*AB72+(1-EXP(-LN(2)/2))/(LN(2)/2)*V73*Y73*VLOOKUP('Données projet'!$B$9,Paramètres!$A$1:$I$89,3,0)*0.475*44/12</f>
        <v>0.18871632590221163</v>
      </c>
      <c r="AC73" s="22">
        <f t="shared" si="122"/>
        <v>206.60117601709032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projet'!$A$71:$I$91,2,0)</f>
        <v>#N/A</v>
      </c>
      <c r="AG73" s="12" t="e">
        <f>VLOOKUP(A73,'Données projet'!$A$71:$I$91,9,0)</f>
        <v>#N/A</v>
      </c>
      <c r="AH73" s="12">
        <f t="array" ref="AH73">INDEX(AG:AG,MIN(IF(ISNUMBER(AG73:AG269),ROW(AG73:AG269),"")))</f>
        <v>8.1001602564102626</v>
      </c>
      <c r="AI73" s="13">
        <f>IF('Données projet'!$A$72&gt;35,AI72+AH73-AQ72,IF(A73&lt;'Données projet'!$A$72,$AF$205^A73,IF(A73='Données projet'!$A$72,'Données projet'!$B$72,AI72+AH73-AQ72)))</f>
        <v>235.26522435897459</v>
      </c>
      <c r="AJ73" s="13">
        <f>AI73*VLOOKUP('Données projet'!$B$10,Paramètres!$A$1:$I$89,3,0)*VLOOKUP('Données projet'!$B$10,Paramètres!$A$1:$I$89,5,0)</f>
        <v>212.8679750000002</v>
      </c>
      <c r="AK73" s="13">
        <f t="shared" si="184"/>
        <v>52.561814761455608</v>
      </c>
      <c r="AL73" s="20">
        <f t="shared" si="123"/>
        <v>462.29021716786883</v>
      </c>
      <c r="AM73" s="59">
        <f t="shared" si="124"/>
        <v>755.62355050120209</v>
      </c>
      <c r="AN73" s="59">
        <f ca="1">AVERAGE(OFFSET($AM$3,0,0,'Données projet'!$E$10+1,1))-AVERAGE(OFFSET($H$3,0,0,'Données projet'!$E$10+1,1))</f>
        <v>270.87836509222456</v>
      </c>
      <c r="AO73" s="59">
        <f t="shared" si="185"/>
        <v>205.24998237949734</v>
      </c>
      <c r="AP73" s="15">
        <f>IF(ISNA(VLOOKUP(A73,'Données projet'!$A$71:$I$91,3,0)),0,VLOOKUP(A73,'Données projet'!$A$71:$I$91,3,0))</f>
        <v>0</v>
      </c>
      <c r="AQ73" s="15">
        <f>IF(ISNA(VLOOKUP(A73,'Données projet'!$A$71:$I$91,4,0)),0,VLOOKUP(A73,'Données projet'!$A$71:$I$91,4,0))</f>
        <v>0</v>
      </c>
      <c r="AR73" s="16">
        <f>IF(ISNA(VLOOKUP(A73,'Données projet'!$A$71:$I$91,5,0)),0%,VLOOKUP(A73,'Données projet'!$A$71:$I$91,5,0)*VLOOKUP('Données projet'!$B$10,Paramètres!$A$1:$I$89,7,0))</f>
        <v>0</v>
      </c>
      <c r="AS73" s="16">
        <f>IF(ISNA(VLOOKUP(A73,'Données projet'!$A$71:$I$91,6,0)),0%,VLOOKUP(A73,'Données projet'!$A$71:$I$91,6,0)*VLOOKUP('Données projet'!$B$10,Paramètres!$A$1:$I$89,7,0))</f>
        <v>0</v>
      </c>
      <c r="AT73" s="16">
        <f>IF(ISNA(VLOOKUP(A73,'Données projet'!$A$71:$I$91,7,0)),0%,VLOOKUP(A73,'Données projet'!$A$71:$I$91,7,0))</f>
        <v>0</v>
      </c>
      <c r="AU73" s="21">
        <f>EXP(-LN(2)/35)*AU72+(1-EXP(-LN(2)/35))/(LN(2)/35)*AQ73*AR73*VLOOKUP('Données projet'!$B$10,Paramètres!$A$1:$I$89,3,0)*0.475*44/12</f>
        <v>10.935782699502322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125"/>
        <v>10.935782699502322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projet'!$A$97:$I$117,2,0)</f>
        <v>#N/A</v>
      </c>
      <c r="BB73" s="12" t="e">
        <f>VLOOKUP(A73,'Données projet'!$A$97:$I$117,9,0)</f>
        <v>#N/A</v>
      </c>
      <c r="BC73" s="12">
        <f t="array" ref="BC73">INDEX(BB:BB,MIN(IF(ISNUMBER(BB73:BB269),ROW(BB73:BB269),"")))</f>
        <v>0</v>
      </c>
      <c r="BD73" s="12">
        <f>IF('Données projet'!$A$98&gt;35,BD72+BC73-BL72,IF(A73&lt;'Données projet'!$A$98,$BA$205^A73,IF(A73='Données projet'!$A$98,'Données projet'!$B$98,BD72+BC73-BL72)))</f>
        <v>-1.1368683772161603E-13</v>
      </c>
      <c r="BE73" s="13">
        <f>BD73*VLOOKUP('Données projet'!$B$11,Paramètres!$A$1:$I$89,3,0)*VLOOKUP('Données projet'!$B$11,Paramètres!$A$1:$I$89,5,0)</f>
        <v>-5.0249582272954292E-14</v>
      </c>
      <c r="BF73" s="13" t="e">
        <f t="shared" si="186"/>
        <v>#NUM!</v>
      </c>
      <c r="BG73" s="20" t="e">
        <f t="shared" si="126"/>
        <v>#NUM!</v>
      </c>
      <c r="BH73" s="59" t="e">
        <f t="shared" si="127"/>
        <v>#NUM!</v>
      </c>
      <c r="BI73" s="59">
        <f ca="1">AVERAGE(OFFSET($BH$3,0,0,'Données projet'!$E$11+1,1))-AVERAGE(OFFSET($H$3,0,0,'Données projet'!$E$11+1,1))</f>
        <v>211.31057120485542</v>
      </c>
      <c r="BJ73" s="59">
        <f t="shared" si="187"/>
        <v>283.33292006714777</v>
      </c>
      <c r="BK73" s="15">
        <f>IF(ISNA(VLOOKUP(A73,'Données projet'!$A$97:$I$117,3,0)),0,VLOOKUP(A73,'Données projet'!$A$97:$I$117,3,0))</f>
        <v>0</v>
      </c>
      <c r="BL73" s="15">
        <f>IF(ISNA(VLOOKUP(A73,'Données projet'!$A$97:$I$117,4,0)),0,VLOOKUP(A73,'Données projet'!$A$97:$I$117,4,0))</f>
        <v>0</v>
      </c>
      <c r="BM73" s="16">
        <f>IF(ISNA(VLOOKUP(A73,'Données projet'!$A$97:$I$117,5,0)),0%,VLOOKUP(A73,'Données projet'!$A$97:$I$117,5,0)*VLOOKUP('Données projet'!$B$11,Paramètres!$A$1:$I$89,7,0))</f>
        <v>0</v>
      </c>
      <c r="BN73" s="16">
        <f>IF(ISNA(VLOOKUP(A73,'Données projet'!$A$97:$I$117,6,0)),0%,VLOOKUP(A73,'Données projet'!$A$97:$I$117,6,0)*VLOOKUP('Données projet'!$B$11,Paramètres!$A$1:$I$89,7,0))</f>
        <v>0</v>
      </c>
      <c r="BO73" s="16">
        <f>IF(ISNA(VLOOKUP(A73,'Données projet'!$A$97:$I$117,7,0)),0%,VLOOKUP(A73,'Données projet'!$A$97:$I$117,7,0))</f>
        <v>0</v>
      </c>
      <c r="BP73" s="21">
        <f>EXP(-LN(2)/35)*BP72+(1-EXP(-LN(2)/35))/(LN(2)/35)*BL73*BM73*VLOOKUP('Données projet'!$B$11,Paramètres!$A$1:$I$89,3,0)*0.475*44/12</f>
        <v>133.15788836302076</v>
      </c>
      <c r="BQ73" s="21">
        <f>EXP(-LN(2)/25)*BQ72+(1-EXP(-LN(2)/25))/(LN(2)/25)*Calculateur!BL73*Calculateur!BN73*VLOOKUP('Données projet'!$B$11,Paramètres!$A$1:$I$89,3,0)*0.475*44/12</f>
        <v>30.051963485825663</v>
      </c>
      <c r="BR73" s="21">
        <f>EXP(-LN(2)/2)*BR72+(1-EXP(-LN(2)/2))/(LN(2)/2)*BL73*BO73*VLOOKUP('Données projet'!$B$11,Paramètres!$A$1:$I$89,3,0)*0.475*44/12</f>
        <v>0.14921756001570219</v>
      </c>
      <c r="BS73" s="22">
        <f t="shared" si="128"/>
        <v>163.35906940886213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projet'!$A$123:$I$143,2,0)</f>
        <v>237</v>
      </c>
      <c r="BW73" s="12">
        <f>VLOOKUP(A73,'Données projet'!$A$123:$I$143,9,0)</f>
        <v>5</v>
      </c>
      <c r="BX73" s="12">
        <f t="array" ref="BX73">INDEX(BW:BW,MIN(IF(ISNUMBER(BW73:BW269),ROW(BW73:BW269),"")))</f>
        <v>5</v>
      </c>
      <c r="BY73" s="12">
        <f>IF('Données projet'!$A$124&gt;35,BY72+BX73-CG72,IF(A73&lt;'Données projet'!$A$124,$BV$205^A73,IF(A73='Données projet'!$A$124,'Données projet'!$B$124,BY72+BX73-CG72)))</f>
        <v>237</v>
      </c>
      <c r="BZ73" s="13">
        <f>BY73*VLOOKUP('Données projet'!$B$12,Paramètres!$A$1:$I$89,3,0)*VLOOKUP('Données projet'!$B$12,Paramètres!$A$1:$I$89,5,0)</f>
        <v>247.71240000000003</v>
      </c>
      <c r="CA73" s="13">
        <f t="shared" si="188"/>
        <v>60.095823975624157</v>
      </c>
      <c r="CB73" s="20">
        <f t="shared" si="129"/>
        <v>536.099323424212</v>
      </c>
      <c r="CC73" s="59">
        <f t="shared" si="130"/>
        <v>829.43265675754537</v>
      </c>
      <c r="CD73" s="59">
        <f ca="1">AVERAGE(OFFSET($CC$3,0,0,'Données projet'!$E$12+1,1))-AVERAGE(OFFSET($H$3,0,0,'Données projet'!$E$12+1,1))</f>
        <v>322.93502595881938</v>
      </c>
      <c r="CE73" s="59">
        <f t="shared" si="189"/>
        <v>302.67072119588164</v>
      </c>
      <c r="CF73" s="15">
        <f>IF(ISNA(VLOOKUP(A73,'Données projet'!$A$123:$I$143,3,0)),0,VLOOKUP(A73,'Données projet'!$A$123:$I$143,3,0))</f>
        <v>11</v>
      </c>
      <c r="CG73" s="15" t="str">
        <f>IF(ISNA(VLOOKUP(A73,'Données projet'!$A$123:$I$143,4,0)),0,VLOOKUP(A73,'Données projet'!$A$123:$I$143,4,0))</f>
        <v>18</v>
      </c>
      <c r="CH73" s="16">
        <f>IF(ISNA(VLOOKUP(A73,'Données projet'!$A$123:$I$143,5,0)),0%,VLOOKUP(A73,'Données projet'!$A$123:$I$143,5,0)*VLOOKUP('Données projet'!$B$12,Paramètres!$A$1:$I$89,7,0))</f>
        <v>0.215</v>
      </c>
      <c r="CI73" s="16">
        <f>IF(ISNA(VLOOKUP(A73,'Données projet'!$A$123:$I$143,6,0)),0%,VLOOKUP(A73,'Données projet'!$A$123:$I$143,6,0)*VLOOKUP('Données projet'!$B$12,Paramètres!$A$1:$I$89,7,0))</f>
        <v>0.17200000000000001</v>
      </c>
      <c r="CJ73" s="16">
        <f>IF(ISNA(VLOOKUP(A73,'Données projet'!$A$123:$I$143,7,0)),0%,VLOOKUP(A73,'Données projet'!$A$123:$I$143,7,0))</f>
        <v>0</v>
      </c>
      <c r="CK73" s="21">
        <f>EXP(-LN(2)/35)*CK72+(1-EXP(-LN(2)/35))/(LN(2)/35)*CG73*CH73*VLOOKUP('Données projet'!$B$12,Paramètres!$A$1:$I$89,3,0)*0.475*44/12</f>
        <v>23.00635229267791</v>
      </c>
      <c r="CL73" s="21">
        <f>EXP(-LN(2)/25)*CL72+(1-EXP(-LN(2)/25))/(LN(2)/25)*Calculateur!CG73*Calculateur!CI73*VLOOKUP('Données projet'!$B$12,Paramètres!$A$1:$I$89,3,0)*0.475*44/12</f>
        <v>23.905600074044322</v>
      </c>
      <c r="CM73" s="21">
        <f>EXP(-LN(2)/2)*CM72+(1-EXP(-LN(2)/2))/(LN(2)/2)*CG73*CJ73*VLOOKUP('Données projet'!$B$12,Paramètres!$A$1:$I$89,3,0)*0.475*44/12</f>
        <v>0</v>
      </c>
      <c r="CN73" s="22">
        <f t="shared" si="131"/>
        <v>46.911952366722232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projet'!$A$149:$I$169,2,0)</f>
        <v>#N/A</v>
      </c>
      <c r="CR73" s="12" t="e">
        <f>VLOOKUP(A73,'Données projet'!$A$149:$I$169,9,0)</f>
        <v>#N/A</v>
      </c>
      <c r="CS73" s="12">
        <f t="array" ref="CS73">INDEX(CR:CR,MIN(IF(ISNUMBER(CR73:CR269),ROW(CR73:CR269),"")))</f>
        <v>5.6899038461538431</v>
      </c>
      <c r="CT73" s="12">
        <f>IF('Données projet'!$A$150&gt;35,CT72+CS73-DB72,IF(A73&lt;'Données projet'!$A$150,$CQ$205^A73,IF(A73='Données projet'!$A$150,'Données projet'!$B$150,CT72+CS73-DB72)))</f>
        <v>152.93509615384613</v>
      </c>
      <c r="CU73" s="17">
        <f>CT73*VLOOKUP('Données projet'!$B$13,Paramètres!$A$1:$I$89,3,0)*VLOOKUP('Données projet'!$B$13,Paramètres!$A$1:$I$89,5,0)</f>
        <v>155.0761875</v>
      </c>
      <c r="CV73" s="13">
        <f t="shared" si="190"/>
        <v>39.729923507145784</v>
      </c>
      <c r="CW73" s="20">
        <f t="shared" si="132"/>
        <v>339.28731000411216</v>
      </c>
      <c r="CX73" s="59">
        <f t="shared" si="133"/>
        <v>632.62064333744547</v>
      </c>
      <c r="CY73" s="59">
        <f ca="1">AVERAGE(OFFSET($CX$3,0,0,'Données projet'!$E$13+1,1))-AVERAGE(OFFSET($H$3,0,0,'Données projet'!$E$13+1,1))</f>
        <v>250.31277422753283</v>
      </c>
      <c r="CZ73" s="59">
        <f t="shared" si="191"/>
        <v>159.20429420478047</v>
      </c>
      <c r="DA73" s="15">
        <f>IF(ISNA(VLOOKUP(A73,'Données projet'!$A$149:$I$169,3,0)),0,VLOOKUP(A73,'Données projet'!$A$149:$I$169,3,0))</f>
        <v>0</v>
      </c>
      <c r="DB73" s="15">
        <f>IF(ISNA(VLOOKUP(A73,'Données projet'!$A$149:$I$169,4,0)),0,VLOOKUP(A73,'Données projet'!$A$149:$I$169,4,0))</f>
        <v>0</v>
      </c>
      <c r="DC73" s="16">
        <f>IF(ISNA(VLOOKUP(A73,'Données projet'!$A$149:$I$169,5,0)),0%,VLOOKUP(A73,'Données projet'!$A$149:$I$169,5,0)*VLOOKUP('Données projet'!$B$13,Paramètres!$A$1:$I$89,7,0))</f>
        <v>0</v>
      </c>
      <c r="DD73" s="16">
        <f>IF(ISNA(VLOOKUP(A73,'Données projet'!$A$149:$I$169,6,0)),0%,VLOOKUP(A73,'Données projet'!$A$149:$I$169,6,0)*VLOOKUP('Données projet'!$B$13,Paramètres!$A$1:$I$89,7,0))</f>
        <v>0</v>
      </c>
      <c r="DE73" s="16">
        <f>IF(ISNA(VLOOKUP(A73,'Données projet'!$A$149:$I$169,7,0)),0%,VLOOKUP(A73,'Données projet'!$A$149:$I$169,7,0))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134"/>
        <v>0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projet'!$A$175:$I$195,2,0)</f>
        <v>366</v>
      </c>
      <c r="DM73" s="12">
        <f>VLOOKUP(A73,'Données projet'!$A$175:$I$195,9,0)</f>
        <v>5.2</v>
      </c>
      <c r="DN73" s="12">
        <f t="array" ref="DN73">INDEX(DM:DM,MIN(IF(ISNUMBER(DM73:DM269),ROW(DM73:DM269),"")))</f>
        <v>5.2</v>
      </c>
      <c r="DO73" s="12">
        <f>IF('Données projet'!$A$176&gt;35,DO72+DN73-DW72,IF(A73&lt;'Données projet'!$A$176,$DL$205^A73,IF(A73='Données projet'!$A$176,'Données projet'!$B$176,DO72+DN73-DW72)))</f>
        <v>365.99999999999966</v>
      </c>
      <c r="DP73" s="17">
        <f>DO73*VLOOKUP('Données projet'!$B$14,Paramètres!$A$1:$I$89,3,0)*VLOOKUP('Données projet'!$B$14,Paramètres!$A$1:$I$89,5,0)</f>
        <v>268.35119999999978</v>
      </c>
      <c r="DQ73" s="13">
        <f t="shared" si="192"/>
        <v>64.499227668096069</v>
      </c>
      <c r="DR73" s="20">
        <f t="shared" si="135"/>
        <v>579.71449485526693</v>
      </c>
      <c r="DS73" s="59">
        <f t="shared" si="136"/>
        <v>873.04782818860031</v>
      </c>
      <c r="DT73" s="59">
        <f ca="1">AVERAGE(OFFSET($DS$3,0,0,'Données projet'!$E$14+1,1))-AVERAGE(OFFSET($H$3,0,0,'Données projet'!$E$14+1,1))</f>
        <v>296.91321813251051</v>
      </c>
      <c r="DU73" s="59">
        <f t="shared" si="193"/>
        <v>291.0718079639509</v>
      </c>
      <c r="DV73" s="15">
        <f>IF(ISNA(VLOOKUP(A73,'Données projet'!$A$175:$I$195,3,0)),0,VLOOKUP(A73,'Données projet'!$A$175:$I$195,3,0))</f>
        <v>13</v>
      </c>
      <c r="DW73" s="15">
        <f>IF(ISNA(VLOOKUP(A73,'Données projet'!$A$175:$I$195,4,0)),0,VLOOKUP(A73,'Données projet'!$A$175:$I$195,4,0))</f>
        <v>15</v>
      </c>
      <c r="DX73" s="16">
        <f>IF(ISNA(VLOOKUP(A73,'Données projet'!$A$175:$I$195,5,0)),0%,VLOOKUP(A73,'Données projet'!$A$175:$I$195,5,0)*VLOOKUP('Données projet'!$B$14,Paramètres!$A$1:$I$89,7,0))</f>
        <v>0.39990000000000003</v>
      </c>
      <c r="DY73" s="16">
        <f>IF(ISNA(VLOOKUP(A73,'Données projet'!$A$175:$I$195,6,0)),0%,VLOOKUP(A73,'Données projet'!$A$175:$I$195,6,0)*VLOOKUP('Données projet'!$B$14,Paramètres!$A$1:$I$89,7,0))</f>
        <v>3.0100000000000002E-2</v>
      </c>
      <c r="DZ73" s="16">
        <f>IF(ISNA(VLOOKUP(A73,'Données projet'!$A$175:$I$195,7,0)),0%,VLOOKUP(A73,'Données projet'!$A$175:$I$195,7,0))</f>
        <v>0</v>
      </c>
      <c r="EA73" s="21">
        <f>EXP(-LN(2)/35)*EA72+(1-EXP(-LN(2)/35))/(LN(2)/35)*DW73*DX73*VLOOKUP('Données projet'!$B$14,Paramètres!$A$1:$I$89,3,0)*0.475*44/12</f>
        <v>44.566005217099018</v>
      </c>
      <c r="EB73" s="21">
        <f>EXP(-LN(2)/25)*EB72+(1-EXP(-LN(2)/25))/(LN(2)/25)*Calculateur!DW73*Calculateur!DY73*VLOOKUP('Données projet'!$B$14,Paramètres!$A$1:$I$89,3,0)*0.475*44/12</f>
        <v>6.6749961238921331</v>
      </c>
      <c r="EC73" s="21">
        <f>EXP(-LN(2)/2)*EC72+(1-EXP(-LN(2)/2))/(LN(2)/2)*DW73*DZ73*VLOOKUP('Données projet'!$B$14,Paramètres!$A$1:$I$89,3,0)*0.475*44/12</f>
        <v>0</v>
      </c>
      <c r="ED73" s="22">
        <f t="shared" si="137"/>
        <v>51.241001340991154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projet'!$A$201:$I$221,2,0)</f>
        <v>#N/A</v>
      </c>
      <c r="EH73" s="12" t="e">
        <f>VLOOKUP(A73,'Données projet'!$A$201:$I$221,9,0)</f>
        <v>#N/A</v>
      </c>
      <c r="EI73" s="12">
        <f t="array" ref="EI73">INDEX(EH:EH,MIN(IF(ISNUMBER(EH73:EH269),ROW(EH73:EH269),"")))</f>
        <v>9.8224358974358967</v>
      </c>
      <c r="EJ73" s="12">
        <f>IF('Données projet'!$A$202&gt;35,EJ72+EI73-ER72,IF(A73&lt;'Données projet'!$A$202,$EG$205^A73,IF(A73='Données projet'!$A$202,'Données projet'!$B$202,EJ72+EI73-ER72)))</f>
        <v>311.36474358974391</v>
      </c>
      <c r="EK73" s="17">
        <f>EJ73*VLOOKUP('Données projet'!$B$15,Paramètres!$A$1:$I$89,3,0)*VLOOKUP('Données projet'!$B$15,Paramètres!$A$1:$I$89,5,0)</f>
        <v>145.71870000000015</v>
      </c>
      <c r="EL73" s="13">
        <f t="shared" si="194"/>
        <v>37.604011207604955</v>
      </c>
      <c r="EM73" s="20">
        <f t="shared" si="138"/>
        <v>319.28705535324553</v>
      </c>
      <c r="EN73" s="59">
        <f t="shared" si="139"/>
        <v>612.62038868657885</v>
      </c>
      <c r="EO73" s="59">
        <f ca="1">AVERAGE(OFFSET($EN$3,0,0,'Données projet'!$E$15+1,1))-AVERAGE(OFFSET($H$3,0,0,'Données projet'!$E$15+1,1))</f>
        <v>147.64256291235483</v>
      </c>
      <c r="EP73" s="59">
        <f t="shared" si="195"/>
        <v>70.859031694091868</v>
      </c>
      <c r="EQ73" s="15">
        <f>IF(ISNA(VLOOKUP(A73,'Données projet'!$A$201:$I$221,3,0)),0,VLOOKUP(A73,'Données projet'!$A$201:$I$221,3,0))</f>
        <v>0</v>
      </c>
      <c r="ER73" s="15">
        <f>IF(ISNA(VLOOKUP(A73,'Données projet'!$A$201:$I$221,4,0)),0,VLOOKUP(A73,'Données projet'!$A$201:$I$221,4,0))</f>
        <v>0</v>
      </c>
      <c r="ES73" s="16">
        <f>IF(ISNA(VLOOKUP(A73,'Données projet'!$A$201:$I$221,5,0)),0%,VLOOKUP(A73,'Données projet'!$A$201:$I$221,5,0)*VLOOKUP('Données projet'!$B$15,Paramètres!$A$1:$I$89,7,0))</f>
        <v>0</v>
      </c>
      <c r="ET73" s="16">
        <f>IF(ISNA(VLOOKUP(A73,'Données projet'!$A$201:$I$221,6,0)),0%,VLOOKUP(A73,'Données projet'!$A$201:$I$221,6,0)*VLOOKUP('Données projet'!$B$15,Paramètres!$A$1:$I$89,7,0))</f>
        <v>0</v>
      </c>
      <c r="EU73" s="16">
        <f>IF(ISNA(VLOOKUP(A73,'Données projet'!$A$201:$I$221,7,0)),0%,VLOOKUP(A73,'Données projet'!$A$201:$I$221,7,0))</f>
        <v>0</v>
      </c>
      <c r="EV73" s="21">
        <f>EXP(-LN(2)/35)*EV72+(1-EXP(-LN(2)/35))/(LN(2)/35)*ER73*ES73*VLOOKUP('Données projet'!$B$15,Paramètres!$A$1:$I$89,3,0)*0.475*44/12</f>
        <v>22.490174305605851</v>
      </c>
      <c r="EW73" s="21">
        <f>EXP(-LN(2)/25)*EW72+(1-EXP(-LN(2)/25))/(LN(2)/25)*Calculateur!ER73*Calculateur!ET73*VLOOKUP('Données projet'!$B$15,Paramètres!$A$1:$I$89,3,0)*0.475*44/12</f>
        <v>16.367774487621901</v>
      </c>
      <c r="EX73" s="21">
        <f>EXP(-LN(2)/2)*EX72+(1-EXP(-LN(2)/2))/(LN(2)/2)*ER73*EU73*VLOOKUP('Données projet'!$B$15,Paramètres!$A$1:$I$89,3,0)*0.475*44/12</f>
        <v>0.70051049641025898</v>
      </c>
      <c r="EY73" s="22">
        <f t="shared" si="140"/>
        <v>39.558459289638009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projet'!$A$227:$I$247,2,0)</f>
        <v>201</v>
      </c>
      <c r="FC73" s="12">
        <f>VLOOKUP(A73,'Données projet'!$A$227:$I$247,9,0)</f>
        <v>4.2</v>
      </c>
      <c r="FD73" s="12">
        <f t="array" ref="FD73">INDEX(FC:FC,MIN(IF(ISNUMBER(FC73:FC269),ROW(FC73:FC269),"")))</f>
        <v>4.2</v>
      </c>
      <c r="FE73" s="12">
        <f>IF('Données projet'!$A$228&gt;35,FE72+FD73-FM72,IF(A73&lt;'Données projet'!$A$228,$FB$205^A73,IF(A73='Données projet'!$A$228,'Données projet'!$B$228,FE72+FD73-FM72)))</f>
        <v>200.99999999999994</v>
      </c>
      <c r="FF73" s="17">
        <f>FE73*VLOOKUP('Données projet'!$B$16,Paramètres!$A$1:$I$89,3,0)*VLOOKUP('Données projet'!$B$16,Paramètres!$A$1:$I$89,5,0)</f>
        <v>210.08519999999993</v>
      </c>
      <c r="FG73" s="13">
        <f t="shared" si="196"/>
        <v>51.954203602341089</v>
      </c>
      <c r="FH73" s="20">
        <f t="shared" si="141"/>
        <v>456.38529460741051</v>
      </c>
      <c r="FI73" s="59">
        <f t="shared" si="142"/>
        <v>749.71862794074377</v>
      </c>
      <c r="FJ73" s="59">
        <f ca="1">AVERAGE(OFFSET($FI$3,0,0,'Données projet'!$E$16+1,1))-AVERAGE(OFFSET($H$3,0,0,'Données projet'!$E$16+1,1))</f>
        <v>259.03906550253788</v>
      </c>
      <c r="FK73" s="59">
        <f t="shared" si="197"/>
        <v>235.54542903570831</v>
      </c>
      <c r="FL73" s="15">
        <f>IF(ISNA(VLOOKUP(A73,'Données projet'!$A$227:$I$247,3,0)),0,VLOOKUP(A73,'Données projet'!$A$227:$I$247,3,0))</f>
        <v>11</v>
      </c>
      <c r="FM73" s="15" t="str">
        <f>IF(ISNA(VLOOKUP(A73,'Données projet'!$A$227:$I$247,4,0)),0,VLOOKUP(A73,'Données projet'!$A$227:$I$247,4,0))</f>
        <v>14</v>
      </c>
      <c r="FN73" s="16">
        <f>IF(ISNA(VLOOKUP(A73,'Données projet'!$A$227:$I$247,5,0)),0%,VLOOKUP(A73,'Données projet'!$A$227:$I$247,5,0)*VLOOKUP('Données projet'!$B$16,Paramètres!$A$1:$I$89,7,0))</f>
        <v>0.17200000000000001</v>
      </c>
      <c r="FO73" s="16">
        <f>IF(ISNA(VLOOKUP(A73,'Données projet'!$A$227:$I$247,6,0)),0%,VLOOKUP(A73,'Données projet'!$A$227:$I$247,6,0)*VLOOKUP('Données projet'!$B$16,Paramètres!$A$1:$I$89,7,0))</f>
        <v>0.17200000000000001</v>
      </c>
      <c r="FP73" s="16">
        <f>IF(ISNA(VLOOKUP(A73,'Données projet'!$A$227:$I$247,7,0)),0%,VLOOKUP(A73,'Données projet'!$A$227:$I$247,7,0))</f>
        <v>0</v>
      </c>
      <c r="FQ73" s="21">
        <f>EXP(-LN(2)/35)*FQ72+(1-EXP(-LN(2)/35))/(LN(2)/35)*FM73*FN73*VLOOKUP('Données projet'!$B$16,Paramètres!$A$1:$I$89,3,0)*0.475*44/12</f>
        <v>10.600971202153387</v>
      </c>
      <c r="FR73" s="21">
        <f>EXP(-LN(2)/25)*FR72+(1-EXP(-LN(2)/25))/(LN(2)/25)*Calculateur!FM73*Calculateur!FO73*VLOOKUP('Données projet'!$B$16,Paramètres!$A$1:$I$89,3,0)*0.475*44/12</f>
        <v>17.039685383881015</v>
      </c>
      <c r="FS73" s="21">
        <f>EXP(-LN(2)/2)*FS72+(1-EXP(-LN(2)/2))/(LN(2)/2)*FM73*FP73*VLOOKUP('Données projet'!$B$16,Paramètres!$A$1:$I$89,3,0)*0.475*44/12</f>
        <v>0</v>
      </c>
      <c r="FT73" s="22">
        <f t="shared" si="143"/>
        <v>27.640656586034403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>
        <f>VLOOKUP(A73,'Données projet'!$A$253:$I$273,2,0)</f>
        <v>263</v>
      </c>
      <c r="FX73" s="12">
        <f>VLOOKUP(A73,'Données projet'!$A$253:$I$273,9,0)</f>
        <v>3.8</v>
      </c>
      <c r="FY73" s="12">
        <f t="array" ref="FY73">INDEX(FX:FX,MIN(IF(ISNUMBER(FX73:FX269),ROW(FX73:FX269),"")))</f>
        <v>3.8</v>
      </c>
      <c r="FZ73" s="12">
        <f>IF('Données projet'!$A$254&gt;35,FZ72+FY73-GH72,IF(A73&lt;'Données projet'!$A$254,$FW$205^A73,IF(A73='Données projet'!$A$254,'Données projet'!$B$254,FZ72+FY73-GH72)))</f>
        <v>262.99999999999989</v>
      </c>
      <c r="GA73" s="17">
        <f>FZ73*VLOOKUP('Données projet'!$B$17,Paramètres!$A$1:$I$89,3,0)*VLOOKUP('Données projet'!$B$17,Paramètres!$A$1:$I$89,5,0)</f>
        <v>229.75679999999991</v>
      </c>
      <c r="GB73" s="13">
        <f t="shared" si="198"/>
        <v>56.23009276772752</v>
      </c>
      <c r="GC73" s="20">
        <f t="shared" si="144"/>
        <v>498.09383823712528</v>
      </c>
      <c r="GD73" s="59">
        <f t="shared" si="145"/>
        <v>791.42717157045854</v>
      </c>
      <c r="GE73" s="59">
        <f ca="1">AVERAGE(OFFSET($GD$3,0,0,'Données projet'!$E$17+1,1))-AVERAGE(OFFSET($H$3,0,0,'Données projet'!$E$17+1,1))</f>
        <v>245.1983232777614</v>
      </c>
      <c r="GF73" s="59">
        <f t="shared" si="199"/>
        <v>242.34010522344573</v>
      </c>
      <c r="GG73" s="15">
        <f>IF(ISNA(VLOOKUP(A73,'Données projet'!$A$253:$I$273,3,0)),0,VLOOKUP(A73,'Données projet'!$A$253:$I$273,3,0))</f>
        <v>12</v>
      </c>
      <c r="GH73" s="15">
        <f>IF(ISNA(VLOOKUP(A73,'Données projet'!$A$253:$I$273,4,0)),0,VLOOKUP(A73,'Données projet'!$A$253:$I$273,4,0))</f>
        <v>10</v>
      </c>
      <c r="GI73" s="16">
        <f>IF(ISNA(VLOOKUP(A73,'Données projet'!$A$253:$I$273,5,0)),0%,VLOOKUP(A73,'Données projet'!$A$253:$I$273,5,0)*VLOOKUP('Données projet'!$B$17,Paramètres!$A$1:$I$89,7,0))</f>
        <v>0.38700000000000001</v>
      </c>
      <c r="GJ73" s="16">
        <f>IF(ISNA(VLOOKUP(A73,'Données projet'!$A$253:$I$273,6,0)),0%,VLOOKUP(A73,'Données projet'!$A$253:$I$273,6,0)*VLOOKUP('Données projet'!$B$17,Paramètres!$A$1:$I$89,7,0))</f>
        <v>4.3000000000000003E-2</v>
      </c>
      <c r="GK73" s="16">
        <f>IF(ISNA(VLOOKUP(A73,'Données projet'!$A$253:$I$273,7,0)),0%,VLOOKUP(A73,'Données projet'!$A$253:$I$273,7,0))</f>
        <v>0</v>
      </c>
      <c r="GL73" s="21">
        <f>EXP(-LN(2)/35)*GL72+(1-EXP(-LN(2)/35))/(LN(2)/35)*GH73*GI73*VLOOKUP('Données projet'!$B$17,Paramètres!$A$1:$I$89,3,0)*0.475*44/12</f>
        <v>24.030302002217571</v>
      </c>
      <c r="GM73" s="21">
        <f>EXP(-LN(2)/25)*GM72+(1-EXP(-LN(2)/25))/(LN(2)/25)*Calculateur!GH73*Calculateur!GJ73*VLOOKUP('Données projet'!$B$17,Paramètres!$A$1:$I$89,3,0)*0.475*44/12</f>
        <v>8.7526302230363804</v>
      </c>
      <c r="GN73" s="21">
        <f>EXP(-LN(2)/2)*GN72+(1-EXP(-LN(2)/2))/(LN(2)/2)*GH73*GK73*VLOOKUP('Données projet'!$B$17,Paramètres!$A$1:$I$89,3,0)*0.475*44/12</f>
        <v>0</v>
      </c>
      <c r="GO73" s="21">
        <f t="shared" si="146"/>
        <v>32.782932225253951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>
        <f>VLOOKUP(A73,'Données projet'!$A$279:$I$299,2,0)</f>
        <v>773</v>
      </c>
      <c r="GS73" s="12">
        <f>VLOOKUP(A73,'Données projet'!$A$279:$I$299,9,0)</f>
        <v>10.6</v>
      </c>
      <c r="GT73" s="12">
        <f t="array" ref="GT73">INDEX(GS:GS,MIN(IF(ISNUMBER(GS73:GS269),ROW(GS73:GS269),"")))</f>
        <v>10.6</v>
      </c>
      <c r="GU73" s="12">
        <f>IF('Données projet'!$A$280&gt;35,GU72+GT73-HC72,IF(A73&lt;'Données projet'!$A$280,$GR$205^A73,IF(A73='Données projet'!$A$280,'Données projet'!$B$280,GU72+GT73-HC72)))</f>
        <v>773.00000000000034</v>
      </c>
      <c r="GV73" s="17">
        <f>GU73*VLOOKUP('Données projet'!$B$18,Paramètres!$A$1:$I$89,3,0)*VLOOKUP('Données projet'!$B$18,Paramètres!$A$1:$I$89,5,0)</f>
        <v>311.51900000000018</v>
      </c>
      <c r="GW73" s="13">
        <f t="shared" si="200"/>
        <v>73.585967527198179</v>
      </c>
      <c r="GX73" s="20">
        <f t="shared" si="147"/>
        <v>670.72448510987044</v>
      </c>
      <c r="GY73" s="59">
        <f t="shared" si="148"/>
        <v>964.05781844320381</v>
      </c>
      <c r="GZ73" s="59">
        <f ca="1">AVERAGE(OFFSET($GY$3,0,0,'Données projet'!$E$18+1,1))-AVERAGE(OFFSET($H$3,0,0,'Données projet'!$E$18+1,1))</f>
        <v>324.36162935850876</v>
      </c>
      <c r="HA73" s="59">
        <f t="shared" si="201"/>
        <v>265.23571072429735</v>
      </c>
      <c r="HB73" s="15">
        <f>IF(ISNA(VLOOKUP(A73,'Données projet'!$A$279:$I$299,3,0)),0,VLOOKUP(A73,'Données projet'!$A$279:$I$299,3,0))</f>
        <v>11</v>
      </c>
      <c r="HC73" s="15">
        <f>IF(ISNA(VLOOKUP(A73,'Données projet'!$A$279:$I$299,4,0)),0,VLOOKUP(A73,'Données projet'!$A$279:$I$299,4,0))</f>
        <v>13</v>
      </c>
      <c r="HD73" s="16">
        <f>IF(ISNA(VLOOKUP(A73,'Données projet'!$A$279:$I$299,5,0)),0%,VLOOKUP(A73,'Données projet'!$A$279:$I$299,5,0)*VLOOKUP('Données projet'!$B$18,Paramètres!$A$1:$I$89,7,0))</f>
        <v>0.46020408163265314</v>
      </c>
      <c r="HE73" s="16">
        <f>IF(ISNA(VLOOKUP(A73,'Données projet'!$A$279:$I$299,6,0)),0%,VLOOKUP(A73,'Données projet'!$A$279:$I$299,6,0)*VLOOKUP('Données projet'!$B$18,Paramètres!$A$1:$I$89,7,0))</f>
        <v>5.6122448979591844E-2</v>
      </c>
      <c r="HF73" s="16">
        <f>IF(ISNA(VLOOKUP($A73,'Données projet'!$A$279:$I$299,7,0)),0%,VLOOKUP($A73,'Données projet'!$A$279:$I$299,7,0))</f>
        <v>3.0612244897959183E-2</v>
      </c>
      <c r="HG73" s="21">
        <f>EXP(-LN(2)/35)*HG72+(1-EXP(-LN(2)/35))/(LN(2)/35)*HC73*HD73*VLOOKUP('Données projet'!$B$18,Paramètres!$A$1:$I$89,3,0)*0.475*44/12</f>
        <v>16.616883068614797</v>
      </c>
      <c r="HH73" s="21">
        <f>EXP(-LN(2)/25)*HH72+(1-EXP(-LN(2)/25))/(LN(2)/25)*Calculateur!HC73*Calculateur!HE73*VLOOKUP('Données projet'!$B$18,Paramètres!$A$1:$I$89,3,0)*0.475*44/12</f>
        <v>9.8519943029597599</v>
      </c>
      <c r="HI73" s="21">
        <f>EXP(-LN(2)/2)*HI72+(1-EXP(-LN(2)/2))/(LN(2)/2)*HC73*HF73*VLOOKUP('Données projet'!$B$18,Paramètres!$A$1:$I$89,3,0)*0.475*44/12</f>
        <v>0.23977452934659033</v>
      </c>
      <c r="HJ73" s="22">
        <f t="shared" si="149"/>
        <v>26.708651900921147</v>
      </c>
      <c r="HK73" s="74">
        <f>('Scénario référence'!$F$8+'Scénario référence'!$F$9+'Scénario référence'!$B$17+'Scénario référence'!$B$9+'Scénario référence'!$B$10)*70+IF((45+25*(1-EXP(-0.0175*$A73)))&lt;70,'Scénario référence'!$B$16*(45+25*(1-EXP(-0.0175*$A73))),70*'Scénario référence'!$B$16)+IF((32+38*(1-EXP(-0.0175*$A73)))&lt;70,'Scénario référence'!$B$18*(32+38*(1-EXP(-0.0175*$A73))),70*'Scénario référence'!$B$18)</f>
        <v>70</v>
      </c>
      <c r="HL73" s="12">
        <f>IF($A73&gt;30,10,('Scénario référence'!$B$16+'Scénario référence'!$B$17+'Scénario référence'!$B$18+'Scénario référence'!$B$9+'Scénario référence'!$B$10)*$A73*10/30+('Scénario référence'!$F$8+'Scénario référence'!$F$9)*10)</f>
        <v>10</v>
      </c>
      <c r="HM73" s="12" t="e">
        <f>VLOOKUP($A73,'Données projet'!$A$304:$I$324,2,0)</f>
        <v>#N/A</v>
      </c>
      <c r="HN73" s="12" t="e">
        <f>VLOOKUP($A73,'Données projet'!$A$304:$I$324,9,0)</f>
        <v>#N/A</v>
      </c>
      <c r="HO73" s="12">
        <f t="array" ref="HO73">INDEX(HN:HN,MIN(IF(ISNUMBER(HN73:HN269),ROW(HN73:HN269),"")))</f>
        <v>0</v>
      </c>
      <c r="HP73" s="12">
        <f>IF('Données projet'!$A$304&gt;35,HP72+HO73-HX72,IF($A73&lt;'Données projet'!$A$304,$CQ$205^$A73,IF($A73='Données projet'!$A$304,'Données projet'!$B$304,HP72+HO73-HX72)))</f>
        <v>0</v>
      </c>
      <c r="HQ73" s="17">
        <f>HP73*VLOOKUP('Données projet'!$B$19,Paramètres!$A$1:$I$89,3,0)*VLOOKUP('Données projet'!$B$19,Paramètres!$A$1:$I$89,5,0)</f>
        <v>0</v>
      </c>
      <c r="HR73" s="13" t="e">
        <f t="shared" si="202"/>
        <v>#NUM!</v>
      </c>
      <c r="HS73" s="14" t="e">
        <f t="shared" si="150"/>
        <v>#NUM!</v>
      </c>
      <c r="HT73" s="59" t="e">
        <f t="shared" si="151"/>
        <v>#NUM!</v>
      </c>
      <c r="HU73" s="59">
        <f ca="1">AVERAGE(OFFSET(HT$3,0,0,'Données projet'!$E$19+1,1))-AVERAGE(OFFSET($H$3,0,0,'Données projet'!$E$19+1,1))</f>
        <v>91.60721429656013</v>
      </c>
      <c r="HV73" s="59">
        <f t="shared" si="203"/>
        <v>258.94957804210856</v>
      </c>
      <c r="HW73" s="15">
        <f>IF(ISNA(VLOOKUP($A73,'Données projet'!$A$304:$I$324,3,0)),0,VLOOKUP($A73,'Données projet'!$A$304:$I$324,3,0))</f>
        <v>0</v>
      </c>
      <c r="HX73" s="15">
        <f>IF(ISNA(VLOOKUP($A73,'Données projet'!$A$304:$I$324,4,0)),0,VLOOKUP($A73,'Données projet'!$A$304:$I$324,4,0))</f>
        <v>0</v>
      </c>
      <c r="HY73" s="16">
        <f>IF(ISNA(VLOOKUP($A73,'Données projet'!$A$304:$I$324,5,0)),0%,VLOOKUP($A73,'Données projet'!$A$304:$I$324,5,0)*VLOOKUP('Données projet'!$B$19,Paramètres!$A$1:$I$89,7,0))</f>
        <v>0</v>
      </c>
      <c r="HZ73" s="16">
        <f>IF(ISNA(VLOOKUP($A73,'Données projet'!$A$304:$I$324,6,0)),0%,VLOOKUP($A73,'Données projet'!$A$304:$I$324,6,0)*VLOOKUP('Données projet'!$B$19,Paramètres!$A$1:$I$89,7,0))</f>
        <v>0</v>
      </c>
      <c r="IA73" s="16">
        <f>IF(ISNA(VLOOKUP($A73,'Données projet'!$A$304:$I$324,7,0)),0%,VLOOKUP($A73,'Données projet'!$A$304:$I$324,7,0))</f>
        <v>0</v>
      </c>
      <c r="IB73" s="21">
        <f>EXP(-LN(2)/35)*IB72+(1-EXP(-LN(2)/35))/(LN(2)/35)*HX73*HY73*VLOOKUP('Données projet'!$B$19,Paramètres!$A$1:$I$89,3,0)*0.475*44/12</f>
        <v>22.340899040551609</v>
      </c>
      <c r="IC73" s="21">
        <f>EXP(-LN(2)/25)*IC72+(1-EXP(-LN(2)/25))/(LN(2)/25)*Calculateur!HX73*Calculateur!HZ73*VLOOKUP('Données projet'!$B$19,Paramètres!$A$1:$I$89,3,0)*0.475*44/12</f>
        <v>3.208953075750776</v>
      </c>
      <c r="ID73" s="21">
        <f>EXP(-LN(2)/2)*ID72+(1-EXP(-LN(2)/2))/(LN(2)/2)*HX73*IA73*VLOOKUP('Données projet'!$B$19,Paramètres!$A$1:$I$89,3,0)*0.475*44/12</f>
        <v>5.4631453680417781E-7</v>
      </c>
      <c r="IE73" s="22">
        <f t="shared" si="152"/>
        <v>25.549852662616924</v>
      </c>
      <c r="IF73" s="74">
        <f>('Scénario référence'!$F$8+'Scénario référence'!$F$9+'Scénario référence'!$B$17+'Scénario référence'!$B$9+'Scénario référence'!$B$10)*70+IF((45+25*(1-EXP(-0.0175*$A73)))&lt;70,'Scénario référence'!$B$16*(45+25*(1-EXP(-0.0175*$A73))),70*'Scénario référence'!$B$16)+IF((32+38*(1-EXP(-0.0175*$A73)))&lt;70,'Scénario référence'!$B$18*(32+38*(1-EXP(-0.0175*$A73))),70*'Scénario référence'!$B$18)</f>
        <v>70</v>
      </c>
      <c r="IG73" s="12">
        <f>IF($A73&gt;30,10,('Scénario référence'!$B$16+'Scénario référence'!$B$17+'Scénario référence'!$B$18+'Scénario référence'!$B$9+'Scénario référence'!$B$10)*$A73*10/30+('Scénario référence'!$F$8+'Scénario référence'!$F$9)*10)</f>
        <v>10</v>
      </c>
      <c r="IH73" s="12" t="e">
        <f>VLOOKUP($A73,'Données projet'!$A$330:$I$350,2,0)</f>
        <v>#N/A</v>
      </c>
      <c r="II73" s="12" t="e">
        <f>VLOOKUP($A73,'Données projet'!$A$330:$I$350,9,0)</f>
        <v>#N/A</v>
      </c>
      <c r="IJ73" s="12">
        <f t="array" ref="IJ73">INDEX(II:II,MIN(IF(ISNUMBER(II73:II269),ROW(II73:II269),"")))</f>
        <v>0</v>
      </c>
      <c r="IK73" s="12">
        <f>IF('Données projet'!$A$330&gt;35,IK72+IJ73-IS72,IF($A73&lt;'Données projet'!$A$330,$CQ$205^$A73,IF($A73='Données projet'!$A$330,'Données projet'!$B$330,IK72+IJ73-IS72)))</f>
        <v>0</v>
      </c>
      <c r="IL73" s="17">
        <f>IK73*VLOOKUP('Données projet'!$B$20,Paramètres!$A$1:$I$89,3,0)*VLOOKUP('Données projet'!$B$20,Paramètres!$A$1:$I$89,5,0)</f>
        <v>0</v>
      </c>
      <c r="IM73" s="13" t="e">
        <f t="shared" si="204"/>
        <v>#NUM!</v>
      </c>
      <c r="IN73" s="20" t="e">
        <f t="shared" si="153"/>
        <v>#NUM!</v>
      </c>
      <c r="IO73" s="59" t="e">
        <f t="shared" si="154"/>
        <v>#NUM!</v>
      </c>
      <c r="IP73" s="59">
        <f ca="1">AVERAGE(OFFSET(IO$3,0,0,'Données projet'!$E$20+1,1))-AVERAGE(OFFSET($H$3,0,0,'Données projet'!$E$20+1,1))</f>
        <v>91.60721429656013</v>
      </c>
      <c r="IQ73" s="59">
        <f t="shared" si="205"/>
        <v>258.94957804210856</v>
      </c>
      <c r="IR73" s="15">
        <f>IF(ISNA(VLOOKUP($A73,'Données projet'!$A$330:$I$350,3,0)),0,VLOOKUP($A73,'Données projet'!$A$330:$I$350,3,0))</f>
        <v>0</v>
      </c>
      <c r="IS73" s="15">
        <f>IF(ISNA(VLOOKUP($A73,'Données projet'!$A$330:$I$350,4,0)),0,VLOOKUP($A73,'Données projet'!$A$330:$I$350,4,0))</f>
        <v>0</v>
      </c>
      <c r="IT73" s="16">
        <f>IF(ISNA(VLOOKUP($A73,'Données projet'!$A$330:$I$350,5,0)),0%,VLOOKUP($A73,'Données projet'!$A$330:$I$350,5,0)*VLOOKUP('Données projet'!$B$20,Paramètres!$A$1:$I$89,7,0))</f>
        <v>0</v>
      </c>
      <c r="IU73" s="16">
        <f>IF(ISNA(VLOOKUP($A73,'Données projet'!$A$330:$I$350,6,0)),0%,VLOOKUP($A73,'Données projet'!$A$330:$I$350,6,0)*VLOOKUP('Données projet'!$B$20,Paramètres!$A$1:$I$89,7,0))</f>
        <v>0</v>
      </c>
      <c r="IV73" s="16">
        <f>IF(ISNA(VLOOKUP($A73,'Données projet'!$A$330:$I$350,7,0)),0%,VLOOKUP($A73,'Données projet'!$A$330:$I$350,7,0))</f>
        <v>0</v>
      </c>
      <c r="IW73" s="21">
        <f>EXP(-LN(2)/35)*IW72+(1-EXP(-LN(2)/35))/(LN(2)/35)*IS73*IT73*VLOOKUP('Données projet'!$B$20,Paramètres!$A$1:$I$89,3,0)*0.475*44/12</f>
        <v>22.340899040551609</v>
      </c>
      <c r="IX73" s="21">
        <f>EXP(-LN(2)/25)*IX72+(1-EXP(-LN(2)/25))/(LN(2)/25)*Calculateur!IS73*Calculateur!IU73*VLOOKUP('Données projet'!$B$20,Paramètres!$A$1:$I$89,3,0)*0.475*44/12</f>
        <v>3.208953075750776</v>
      </c>
      <c r="IY73" s="21">
        <f>EXP(-LN(2)/2)*IY72+(1-EXP(-LN(2)/2))/(LN(2)/2)*IS73*IV73*VLOOKUP('Données projet'!$B$20,Paramètres!$A$1:$I$89,3,0)*0.475*44/12</f>
        <v>5.4631453680417781E-7</v>
      </c>
      <c r="IZ73" s="22">
        <f t="shared" si="155"/>
        <v>25.549852662616924</v>
      </c>
      <c r="JA73" s="74">
        <f>('Scénario référence'!$F$8+'Scénario référence'!$F$9+'Scénario référence'!$B$17+'Scénario référence'!$B$9+'Scénario référence'!$B$10)*70+IF((45+25*(1-EXP(-0.0175*$A73)))&lt;70,'Scénario référence'!$B$16*(45+25*(1-EXP(-0.0175*$A73))),70*'Scénario référence'!$B$16)+IF((32+38*(1-EXP(-0.0175*$A73)))&lt;70,'Scénario référence'!$B$18*(32+38*(1-EXP(-0.0175*$A73))),70*'Scénario référence'!$B$18)</f>
        <v>70</v>
      </c>
      <c r="JB73" s="12">
        <f>IF($A73&gt;30,10,('Scénario référence'!$B$16+'Scénario référence'!$B$17+'Scénario référence'!$B$18+'Scénario référence'!$B$9+'Scénario référence'!$B$10)*$A73*10/30+('Scénario référence'!$F$8+'Scénario référence'!$F$9)*10)</f>
        <v>10</v>
      </c>
      <c r="JC73" s="12">
        <f>VLOOKUP($A73,'Données projet'!$A$356:$I$376,2,0)</f>
        <v>316</v>
      </c>
      <c r="JD73" s="12">
        <f>VLOOKUP($A73,'Données projet'!$A$356:$I$376,9,0)</f>
        <v>10</v>
      </c>
      <c r="JE73" s="12">
        <f t="array" ref="JE73">INDEX(JD:JD,MIN(IF(ISNUMBER(JD73:JD269),ROW(JD73:JD269),"")))</f>
        <v>10</v>
      </c>
      <c r="JF73" s="12">
        <f>IF('Données projet'!$A$356&gt;35,JF72+JE73-JN72,IF($A73&lt;'Données projet'!$A$356,$CQ$205^$A73,IF($A73='Données projet'!$A$356,'Données projet'!$B$356,JF72+JE73-JN72)))</f>
        <v>316</v>
      </c>
      <c r="JG73" s="17">
        <f>JF73*VLOOKUP('Données projet'!$B$21,Paramètres!$A$1:$I$89,3,0)*VLOOKUP('Données projet'!$B$21,Paramètres!$A$1:$I$89,5,0)</f>
        <v>256.33920000000001</v>
      </c>
      <c r="JH73" s="13">
        <f t="shared" si="206"/>
        <v>61.941400506884484</v>
      </c>
      <c r="JI73" s="20">
        <f t="shared" si="156"/>
        <v>554.33871254949042</v>
      </c>
      <c r="JJ73" s="59">
        <f t="shared" si="157"/>
        <v>847.6720458828238</v>
      </c>
      <c r="JK73" s="59">
        <f ca="1">AVERAGE(OFFSET($JJ$3,0,0,'Données projet'!$E$22+1,1))-AVERAGE(OFFSET($H$3,0,0,'Données projet'!$E$22+1,1))</f>
        <v>353.35574633294613</v>
      </c>
      <c r="JL73" s="59">
        <f t="shared" si="207"/>
        <v>170.36796666474726</v>
      </c>
      <c r="JM73" s="15">
        <f>IF(ISNA(VLOOKUP($A73,'Données projet'!$A$356:$I$376,3,0)),0,VLOOKUP($A73,'Données projet'!$A$356:$I$376,3,0))</f>
        <v>10</v>
      </c>
      <c r="JN73" s="15">
        <f>IF(ISNA(VLOOKUP($A73,'Données projet'!$A$356:$I$376,4,0)),0,VLOOKUP($A73,'Données projet'!$A$356:$I$376,4,0))</f>
        <v>28</v>
      </c>
      <c r="JO73" s="16">
        <f>IF(ISNA(VLOOKUP($A73,'Données projet'!$A$356:$I$376,5,0)),0%,VLOOKUP($A73,'Données projet'!$A$356:$I$376,5,0)*VLOOKUP('Données projet'!$B$21,Paramètres!$A$1:$I$89,7,0))</f>
        <v>0</v>
      </c>
      <c r="JP73" s="16">
        <f>IF(ISNA(VLOOKUP($A73,'Données projet'!$A$356:$I$376,6,0)),0%,VLOOKUP($A73,'Données projet'!$A$356:$I$376,6,0)*VLOOKUP('Données projet'!$B$21,Paramètres!$A$1:$I$89,7,0))</f>
        <v>0.129</v>
      </c>
      <c r="JQ73" s="16">
        <f>IF(ISNA(VLOOKUP($A73,'Données projet'!$A$356:$I$376,7,0)),0%,VLOOKUP($A73,'Données projet'!$A$356:$I$376,7,0))</f>
        <v>0.3</v>
      </c>
      <c r="JR73" s="21">
        <f>EXP(-LN(2)/35)*JR72+(1-EXP(-LN(2)/35))/(LN(2)/35)*JN73*JO73*VLOOKUP('Données projet'!$B$21,Paramètres!$A$1:$I$89,3,0)*0.475*44/12</f>
        <v>0</v>
      </c>
      <c r="JS73" s="21">
        <f>EXP(-LN(2)/25)*JS72+(1-EXP(-LN(2)/25))/(LN(2)/25)*Calculateur!JN73*Calculateur!JP73*VLOOKUP('Données projet'!$B$21,Paramètres!$A$1:$I$89,3,0)*0.475*44/12</f>
        <v>12.639749573606698</v>
      </c>
      <c r="JT73" s="21">
        <f>EXP(-LN(2)/2)*JT72+(1-EXP(-LN(2)/2))/(LN(2)/2)*JN73*JQ73*VLOOKUP('Données projet'!$B$21,Paramètres!$A$1:$I$89,3,0)*0.475*44/12</f>
        <v>7.8098697615192787</v>
      </c>
      <c r="JU73" s="18">
        <f t="shared" si="158"/>
        <v>20.449619335125977</v>
      </c>
      <c r="JV73" s="74">
        <f>('Scénario référence'!$F$8+'Scénario référence'!$F$9+'Scénario référence'!$B$17+'Scénario référence'!$B$9+'Scénario référence'!$B$10)*70+IF((45+25*(1-EXP(-0.0175*$A73)))&lt;70,'Scénario référence'!$B$16*(45+25*(1-EXP(-0.0175*$A73))),70*'Scénario référence'!$B$16)+IF((32+38*(1-EXP(-0.0175*$A73)))&lt;70,'Scénario référence'!$B$18*(32+38*(1-EXP(-0.0175*$A73))),70*'Scénario référence'!$B$18)</f>
        <v>70</v>
      </c>
      <c r="JW73" s="12">
        <f>IF($A73&gt;30,10,('Scénario référence'!$B$16+'Scénario référence'!$B$17+'Scénario référence'!$B$18+'Scénario référence'!$B$9+'Scénario référence'!$B$10)*$A73*10/30+('Scénario référence'!$F$8+'Scénario référence'!$F$9)*10)</f>
        <v>10</v>
      </c>
      <c r="JX73" s="12" t="e">
        <f>VLOOKUP($A73,'Données projet'!$A$382:$I$402,2,0)</f>
        <v>#N/A</v>
      </c>
      <c r="JY73" s="12" t="e">
        <f>VLOOKUP($A73,'Données projet'!$A$382:$I$402,9,0)</f>
        <v>#N/A</v>
      </c>
      <c r="JZ73" s="12">
        <f t="array" ref="JZ73">INDEX(JY:JY,MIN(IF(ISNUMBER(JY73:JY269),ROW(JY73:JY269),"")))</f>
        <v>8.1001602564102626</v>
      </c>
      <c r="KA73" s="12">
        <f>IF('Données projet'!$A$382&gt;35,KA72+JZ73-KI72,IF($A73&lt;'Données projet'!$A$382,$CQ$205^$A73,IF($A73='Données projet'!$A$382,'Données projet'!$B$382,KA72+JZ73-KI72)))</f>
        <v>235.26522435897454</v>
      </c>
      <c r="KB73" s="17">
        <f>KA73*VLOOKUP('Données projet'!$B$22,Paramètres!$A$1:$I$89,3,0)*VLOOKUP('Données projet'!$B$22,Paramètres!$A$1:$I$89,5,0)</f>
        <v>157.81591250000014</v>
      </c>
      <c r="KC73" s="13">
        <f t="shared" si="208"/>
        <v>40.349494998591652</v>
      </c>
      <c r="KD73" s="20">
        <f t="shared" si="159"/>
        <v>345.138084726714</v>
      </c>
      <c r="KE73" s="59">
        <f t="shared" si="160"/>
        <v>638.47141806004731</v>
      </c>
      <c r="KF73" s="59">
        <f ca="1">AVERAGE(OFFSET($KE$3,0,0,'Données projet'!$E$22+1,1))-AVERAGE(OFFSET($H$3,0,0,'Données projet'!$E$22+1,1))</f>
        <v>193.91714772848269</v>
      </c>
      <c r="KG73" s="59">
        <f t="shared" si="209"/>
        <v>159.20429420478047</v>
      </c>
      <c r="KH73" s="15">
        <f>IF(ISNA(VLOOKUP($A73,'Données projet'!$A$382:$I$402,3,0)),0,VLOOKUP($A73,'Données projet'!$A$382:$I$402,3,0))</f>
        <v>0</v>
      </c>
      <c r="KI73" s="15">
        <f>IF(ISNA(VLOOKUP($A73,'Données projet'!$A$382:$I$402,4,0)),0,VLOOKUP($A73,'Données projet'!$A$382:$I$402,4,0))</f>
        <v>0</v>
      </c>
      <c r="KJ73" s="16">
        <f>IF(ISNA(VLOOKUP($A73,'Données projet'!$A$382:$I$402,5,0)),0%,VLOOKUP($A73,'Données projet'!$A$382:$I$402,5,0)*VLOOKUP('Données projet'!$B$22,Paramètres!$A$1:$I$89,7,0))</f>
        <v>0</v>
      </c>
      <c r="KK73" s="16">
        <f>IF(ISNA(VLOOKUP($A73,'Données projet'!$A$382:$I$402,6,0)),0%,VLOOKUP($A73,'Données projet'!$A$382:$I$402,6,0)*VLOOKUP('Données projet'!$B$22,Paramètres!$A$1:$I$89,7,0))</f>
        <v>0</v>
      </c>
      <c r="KL73" s="16">
        <f>IF(ISNA(VLOOKUP($A73,'Données projet'!$A$382:$I$402,7,0)),0%,VLOOKUP($A73,'Données projet'!$A$382:$I$402,7,0))</f>
        <v>0</v>
      </c>
      <c r="KM73" s="21">
        <f>EXP(-LN(2)/35)*KM72+(1-EXP(-LN(2)/35))/(LN(2)/35)*KI73*KJ73*VLOOKUP('Données projet'!$B$22,Paramètres!$A$1:$I$89,3,0)*0.475*44/12</f>
        <v>9.9930428116141901</v>
      </c>
      <c r="KN73" s="21">
        <f>EXP(-LN(2)/25)*KN72+(1-EXP(-LN(2)/25))/(LN(2)/25)*Calculateur!KI73*Calculateur!KK73*VLOOKUP('Données projet'!$B$22,Paramètres!$A$1:$I$89,3,0)*0.475*44/12</f>
        <v>0</v>
      </c>
      <c r="KO73" s="21">
        <f>EXP(-LN(2)/2)*KO72+(1-EXP(-LN(2)/2))/(LN(2)/2)*KI73*KL73*VLOOKUP('Données projet'!$B$22,Paramètres!$A$1:$I$89,3,0)*0.475*44/12</f>
        <v>0</v>
      </c>
      <c r="KP73" s="22">
        <f t="shared" si="161"/>
        <v>9.9930428116141901</v>
      </c>
      <c r="KQ73" s="74">
        <f>('Scénario référence'!$F$8+'Scénario référence'!$F$9+'Scénario référence'!$B$17+'Scénario référence'!$B$9+'Scénario référence'!$B$10)*70+IF((45+25*(1-EXP(-0.0175*$A73)))&lt;70,'Scénario référence'!$B$16*(45+25*(1-EXP(-0.0175*$A73))),70*'Scénario référence'!$B$16)+IF((32+38*(1-EXP(-0.0175*$A73)))&lt;70,'Scénario référence'!$B$18*(32+38*(1-EXP(-0.0175*$A73))),70*'Scénario référence'!$B$18)</f>
        <v>70</v>
      </c>
      <c r="KR73" s="12">
        <f>IF($A73&gt;30,10,('Scénario référence'!$B$16+'Scénario référence'!$B$17+'Scénario référence'!$B$18+'Scénario référence'!$B$9+'Scénario référence'!$B$10)*$A73*10/30+('Scénario référence'!$F$8+'Scénario référence'!$F$9)*10)</f>
        <v>10</v>
      </c>
      <c r="KS73" s="12">
        <f>VLOOKUP($A73,'Données projet'!$A$408:$I$428,2,0)</f>
        <v>263</v>
      </c>
      <c r="KT73" s="12">
        <f>VLOOKUP($A73,'Données projet'!$A$408:$I$428,9,0)</f>
        <v>3.8</v>
      </c>
      <c r="KU73" s="12">
        <f t="array" ref="KU73">INDEX(KT:KT,MIN(IF(ISNUMBER(KT73:KT269),ROW(KT73:KT269),"")))</f>
        <v>3.8</v>
      </c>
      <c r="KV73" s="12">
        <f>IF('Données projet'!$A$408&gt;35,KV72+KU73-LD72,IF($A73&lt;'Données projet'!$A$408,$CQ$205^$A73,IF($A73='Données projet'!$A$408,'Données projet'!$B$408,KV72+KU73-LD72)))</f>
        <v>262.99999999999994</v>
      </c>
      <c r="KW73" s="17">
        <f>KV73*VLOOKUP('Données projet'!$B$23,Paramètres!$A$1:$I$89,3,0)*VLOOKUP('Données projet'!$B$23,Paramètres!$A$1:$I$89,5,0)</f>
        <v>229.75679999999997</v>
      </c>
      <c r="KX73" s="13">
        <f t="shared" si="210"/>
        <v>56.23009276772752</v>
      </c>
      <c r="KY73" s="14">
        <f t="shared" si="162"/>
        <v>498.09383823712534</v>
      </c>
      <c r="KZ73" s="59">
        <f t="shared" si="163"/>
        <v>791.42717157045865</v>
      </c>
      <c r="LA73" s="59">
        <f ca="1">AVERAGE(OFFSET($KZ$3,0,0,'Données projet'!$E$23+1,1))-AVERAGE(OFFSET($H$3,0,0,'Données projet'!$E$23+1,1))</f>
        <v>248.33596943633819</v>
      </c>
      <c r="LB73" s="59">
        <f t="shared" si="211"/>
        <v>242.34010522344573</v>
      </c>
      <c r="LC73" s="15">
        <f>IF(ISNA(VLOOKUP($A73,'Données projet'!$A$408:$I$428,3,0)),0,VLOOKUP($A73,'Données projet'!$A$408:$I$428,3,0))</f>
        <v>12</v>
      </c>
      <c r="LD73" s="15">
        <f>IF(ISNA(VLOOKUP($A73,'Données projet'!$A$408:$I$428,4,0)),0,VLOOKUP($A73,'Données projet'!$A$408:$I$428,4,0))</f>
        <v>10</v>
      </c>
      <c r="LE73" s="16">
        <f>IF(ISNA(VLOOKUP($A73,'Données projet'!$A$408:$I$428,5,0)),0%,VLOOKUP($A73,'Données projet'!$A$408:$I$428,5,0)*VLOOKUP('Données projet'!$B$23,Paramètres!$A$1:$I$89,7,0))</f>
        <v>0.38700000000000001</v>
      </c>
      <c r="LF73" s="16">
        <f>IF(ISNA(VLOOKUP($A73,'Données projet'!$A$408:$I$428,6,0)),0%,VLOOKUP($A73,'Données projet'!$A$408:$I$428,6,0)*VLOOKUP('Données projet'!$B$23,Paramètres!$A$1:$I$89,7,0))</f>
        <v>4.3000000000000003E-2</v>
      </c>
      <c r="LG73" s="16">
        <f>IF(ISNA(VLOOKUP($A73,'Données projet'!$A$408:$I$428,7,0)),0%,VLOOKUP($A73,'Données projet'!$A$408:$I$428,7,0))</f>
        <v>0</v>
      </c>
      <c r="LH73" s="21">
        <f>EXP(-LN(2)/35)*LH72+(1-EXP(-LN(2)/35))/(LN(2)/35)*LD73*LE73*VLOOKUP('Données projet'!$B$23,Paramètres!$A$1:$I$89,3,0)*0.475*44/12</f>
        <v>24.030302002217571</v>
      </c>
      <c r="LI73" s="21">
        <f>EXP(-LN(2)/25)*LI72+(1-EXP(-LN(2)/25))/(LN(2)/25)*Calculateur!LD73*Calculateur!LF73*VLOOKUP('Données projet'!$B$23,Paramètres!$A$1:$I$89,3,0)*0.475*44/12</f>
        <v>8.7526302230363804</v>
      </c>
      <c r="LJ73" s="21">
        <f>EXP(-LN(2)/2)*LJ72+(1-EXP(-LN(2)/2))/(LN(2)/2)*LD73*LG73*VLOOKUP('Données projet'!$B$23,Paramètres!$A$1:$I$89,3,0)*0.475*44/12</f>
        <v>0</v>
      </c>
      <c r="LK73" s="22">
        <f t="shared" si="164"/>
        <v>32.782932225253951</v>
      </c>
      <c r="LL73" s="74">
        <f>('Scénario référence'!$F$8+'Scénario référence'!$F$9+'Scénario référence'!$B$17+'Scénario référence'!$B$9+'Scénario référence'!$B$10)*70+IF((45+25*(1-EXP(-0.0175*$A73)))&lt;70,'Scénario référence'!$B$16*(45+25*(1-EXP(-0.0175*$A73))),70*'Scénario référence'!$B$16)+IF((32+38*(1-EXP(-0.0175*$A73)))&lt;70,'Scénario référence'!$B$18*(32+38*(1-EXP(-0.0175*$A73))),70*'Scénario référence'!$B$18)</f>
        <v>70</v>
      </c>
      <c r="LM73" s="12">
        <f>IF($A73&gt;30,10,('Scénario référence'!$B$16+'Scénario référence'!$B$17+'Scénario référence'!$B$18+'Scénario référence'!$B$9+'Scénario référence'!$B$10)*$A73*10/30+('Scénario référence'!$F$8+'Scénario référence'!$F$9)*10)</f>
        <v>10</v>
      </c>
      <c r="LN73" s="12" t="e">
        <f>VLOOKUP($A73,'Données projet'!$A$434:$I$454,2,0)</f>
        <v>#N/A</v>
      </c>
      <c r="LO73" s="12" t="e">
        <f>VLOOKUP($A73,'Données projet'!$A$434:$I$454,9,0)</f>
        <v>#N/A</v>
      </c>
      <c r="LP73" s="12">
        <f t="array" ref="LP73">INDEX(LO:LO,MIN(IF(ISNUMBER(LO73:LO269),ROW(LO73:LO269),"")))</f>
        <v>5.6899038461538431</v>
      </c>
      <c r="LQ73" s="12">
        <f>IF('Données projet'!$A$434&gt;35,LQ72+LP73-LY72,IF($A73&lt;'Données projet'!$A$434,$CQ$205^$A73,IF($A73='Données projet'!$A$434,'Données projet'!$B$434,LQ72+LP73-LY72)))</f>
        <v>152.93509615384613</v>
      </c>
      <c r="LR73" s="17">
        <f>LQ73*VLOOKUP('Données projet'!$B$24,Paramètres!$A$1:$I$89,3,0)*VLOOKUP('Données projet'!$B$24,Paramètres!$A$1:$I$89,5,0)</f>
        <v>155.0761875</v>
      </c>
      <c r="LS73" s="13">
        <f t="shared" si="212"/>
        <v>39.729923507145784</v>
      </c>
      <c r="LT73" s="14">
        <f t="shared" si="165"/>
        <v>339.28731000411216</v>
      </c>
      <c r="LU73" s="59">
        <f t="shared" si="166"/>
        <v>632.62064333744547</v>
      </c>
      <c r="LV73" s="59">
        <f ca="1">AVERAGE(OFFSET($LU$3,0,0,'Données projet'!$E$24+1,1))-AVERAGE(OFFSET($H$3,0,0,'Données projet'!$E$24+1,1))</f>
        <v>260.52627655062872</v>
      </c>
      <c r="LW73" s="59">
        <f t="shared" si="213"/>
        <v>159.20429420478047</v>
      </c>
      <c r="LX73" s="15">
        <f>IF(ISNA(VLOOKUP($A73,'Données projet'!$A$434:$I$454,3,0)),0,VLOOKUP($A73,'Données projet'!$A$434:$I$454,3,0))</f>
        <v>0</v>
      </c>
      <c r="LY73" s="15">
        <f>IF(ISNA(VLOOKUP($A73,'Données projet'!$A$434:$I$454,4,0)),0,VLOOKUP($A73,'Données projet'!$A$434:$I$454,4,0))</f>
        <v>0</v>
      </c>
      <c r="LZ73" s="16">
        <f>IF(ISNA(VLOOKUP($A73,'Données projet'!$A$434:$I$454,5,0)),0%,VLOOKUP($A73,'Données projet'!$A$434:$I$454,5,0)*VLOOKUP('Données projet'!$B$24,Paramètres!$A$1:$I$89,7,0))</f>
        <v>0</v>
      </c>
      <c r="MA73" s="16">
        <f>IF(ISNA(VLOOKUP($A73,'Données projet'!$A$434:$I$454,6,0)),0%,VLOOKUP($A73,'Données projet'!$A$434:$I$454,6,0)*VLOOKUP('Données projet'!$B$24,Paramètres!$A$1:$I$89,7,0))</f>
        <v>0</v>
      </c>
      <c r="MB73" s="16">
        <f>IF(ISNA(VLOOKUP($A73,'Données projet'!$A$434:$I$454,7,0)),0%,VLOOKUP($A73,'Données projet'!$A$434:$I$454,7,0))</f>
        <v>0</v>
      </c>
      <c r="MC73" s="21">
        <f>EXP(-LN(2)/35)*MC72+(1-EXP(-LN(2)/35))/(LN(2)/35)*LY73*LZ73*VLOOKUP('Données projet'!$B$24,Paramètres!$A$1:$I$89,3,0)*0.475*44/12</f>
        <v>0</v>
      </c>
      <c r="MD73" s="21">
        <f>EXP(-LN(2)/25)*MD72+(1-EXP(-LN(2)/25))/(LN(2)/25)*Calculateur!LY73*Calculateur!MA73*VLOOKUP('Données projet'!$B$24,Paramètres!$A$1:$I$89,3,0)*0.475*44/12</f>
        <v>0</v>
      </c>
      <c r="ME73" s="21">
        <f>EXP(-LN(2)/2)*ME72+(1-EXP(-LN(2)/2))/(LN(2)/2)*LY73*MB73*VLOOKUP('Données projet'!$B$24,Paramètres!$A$1:$I$89,3,0)*0.475*44/12</f>
        <v>0</v>
      </c>
      <c r="MF73" s="22">
        <f t="shared" si="167"/>
        <v>0</v>
      </c>
      <c r="MG73" s="74">
        <f>('Scénario référence'!$F$8+'Scénario référence'!$F$9+'Scénario référence'!$B$17+'Scénario référence'!$B$9+'Scénario référence'!$B$10)*70+IF((45+25*(1-EXP(-0.0175*$A73)))&lt;70,'Scénario référence'!$B$16*(45+25*(1-EXP(-0.0175*$A73))),70*'Scénario référence'!$B$16)+IF((32+38*(1-EXP(-0.0175*$A73)))&lt;70,'Scénario référence'!$B$18*(32+38*(1-EXP(-0.0175*$A73))),70*'Scénario référence'!$B$18)</f>
        <v>70</v>
      </c>
      <c r="MH73" s="12">
        <f>IF($A73&gt;30,10,('Scénario référence'!$B$16+'Scénario référence'!$B$17+'Scénario référence'!$B$18+'Scénario référence'!$B$9+'Scénario référence'!$B$10)*$A73*10/30+('Scénario référence'!$F$8+'Scénario référence'!$F$9)*10)</f>
        <v>10</v>
      </c>
      <c r="MI73" s="12" t="e">
        <f>VLOOKUP($A73,'Données projet'!$A$460:$I$480,2,0)</f>
        <v>#N/A</v>
      </c>
      <c r="MJ73" s="12" t="e">
        <f>VLOOKUP($A73,'Données projet'!$A$460:$I$480,9,0)</f>
        <v>#N/A</v>
      </c>
      <c r="MK73" s="12">
        <f t="array" ref="MK73">INDEX(MJ:MJ,MIN(IF(ISNUMBER(MJ73:MJ269),ROW(MJ73:MJ269),"")))</f>
        <v>0</v>
      </c>
      <c r="ML73" s="12">
        <f>IF('Données projet'!$A$460&gt;35,ML72+MK73-MT72,IF($A73&lt;'Données projet'!$A$460,$CQ$205^$A73,IF($A73='Données projet'!$A$460,'Données projet'!$B$460,ML72+MK73-MT72)))</f>
        <v>0</v>
      </c>
      <c r="MM73" s="17" t="e">
        <f>ML73*VLOOKUP('Données projet'!$B$25,Paramètres!$A$1:$I$89,3,0)*VLOOKUP('Données projet'!$B$25,Paramètres!$A$1:$I$89,5,0)</f>
        <v>#N/A</v>
      </c>
      <c r="MN73" s="13" t="e">
        <f t="shared" si="214"/>
        <v>#N/A</v>
      </c>
      <c r="MO73" s="14" t="e">
        <f t="shared" si="168"/>
        <v>#N/A</v>
      </c>
      <c r="MP73" s="59" t="e">
        <f t="shared" si="169"/>
        <v>#N/A</v>
      </c>
      <c r="MQ73" s="20" t="e">
        <f ca="1">AVERAGE(OFFSET($MP$3,0,0,'Données projet'!$E$25+1,1))-AVERAGE(OFFSET($H$3,0,0,'Données projet'!$E$25+1,1))</f>
        <v>#N/A</v>
      </c>
      <c r="MR73" s="59" t="e">
        <f t="shared" si="215"/>
        <v>#N/A</v>
      </c>
      <c r="MS73" s="15">
        <f>IF(ISNA(VLOOKUP($A73,'Données projet'!$A$460:$I$480,3,0)),0,VLOOKUP($A73,'Données projet'!$A$460:$I$480,3,0))</f>
        <v>0</v>
      </c>
      <c r="MT73" s="15">
        <f>IF(ISNA(VLOOKUP($A73,'Données projet'!$A$460:$I$480,4,0)),0,VLOOKUP($A73,'Données projet'!$A$460:$I$480,4,0))</f>
        <v>0</v>
      </c>
      <c r="MU73" s="16">
        <f>IF(ISNA(VLOOKUP($A73,'Données projet'!$A$460:$I$480,5,0)),0%,VLOOKUP($A73,'Données projet'!$A$460:$I$480,5,0)*VLOOKUP('Données projet'!$B$25,Paramètres!$A$1:$I$89,7,0))</f>
        <v>0</v>
      </c>
      <c r="MV73" s="16">
        <f>IF(ISNA(VLOOKUP($A73,'Données projet'!$A$460:$I$480,6,0)),0%,VLOOKUP($A73,'Données projet'!$A$460:$I$480,6,0)*VLOOKUP('Données projet'!$B$25,Paramètres!$A$1:$I$89,7,0))</f>
        <v>0</v>
      </c>
      <c r="MW73" s="16">
        <f>IF(ISNA(VLOOKUP($A73,'Données projet'!$A$460:$I$480,7,0)),0%,VLOOKUP($A73,'Données projet'!$A$460:$I$480,7,0))</f>
        <v>0</v>
      </c>
      <c r="MX73" s="21" t="e">
        <f>EXP(-LN(2)/35)*MX72+(1-EXP(-LN(2)/35))/(LN(2)/35)*MT73*MU73*VLOOKUP('Données projet'!$B$25,Paramètres!$A$1:$I$89,3,0)*0.475*44/12</f>
        <v>#N/A</v>
      </c>
      <c r="MY73" s="21" t="e">
        <f>EXP(-LN(2)/25)*MY72+(1-EXP(-LN(2)/25))/(LN(2)/25)*Calculateur!MT73*Calculateur!MV73*VLOOKUP('Données projet'!$B$25,Paramètres!$A$1:$I$89,3,0)*0.475*44/12</f>
        <v>#N/A</v>
      </c>
      <c r="MZ73" s="21" t="e">
        <f>EXP(-LN(2)/2)*MZ72+(1-EXP(-LN(2)/2))/(LN(2)/2)*MT73*MW73*VLOOKUP('Données projet'!$B$25,Paramètres!$A$1:$I$89,3,0)*0.475*44/12</f>
        <v>#N/A</v>
      </c>
      <c r="NA73" s="22" t="e">
        <f t="shared" si="170"/>
        <v>#N/A</v>
      </c>
      <c r="NB73" s="74">
        <f>('Scénario référence'!$F$8+'Scénario référence'!$F$9+'Scénario référence'!$B$17+'Scénario référence'!$B$9+'Scénario référence'!$B$10)*70+IF((45+25*(1-EXP(-0.0175*$A73)))&lt;70,'Scénario référence'!$B$16*(45+25*(1-EXP(-0.0175*$A73))),70*'Scénario référence'!$B$16)+IF((32+38*(1-EXP(-0.0175*$A73)))&lt;70,'Scénario référence'!$B$18*(32+38*(1-EXP(-0.0175*$A73))),70*'Scénario référence'!$B$18)</f>
        <v>70</v>
      </c>
      <c r="NC73" s="12">
        <f>IF($A73&gt;30,10,('Scénario référence'!$B$16+'Scénario référence'!$B$17+'Scénario référence'!$B$18+'Scénario référence'!$B$9+'Scénario référence'!$B$10)*$A73*10/30+('Scénario référence'!$F$8+'Scénario référence'!$F$9)*10)</f>
        <v>10</v>
      </c>
      <c r="ND73" s="12" t="e">
        <f>VLOOKUP($A73,'Données projet'!$A$486:$I$506,2,0)</f>
        <v>#N/A</v>
      </c>
      <c r="NE73" s="12" t="e">
        <f>VLOOKUP($A73,'Données projet'!$A$486:$I$506,9,0)</f>
        <v>#N/A</v>
      </c>
      <c r="NF73" s="12">
        <f t="array" ref="NF73">INDEX(NE:NE,MIN(IF(ISNUMBER(NE73:NE269),ROW(NE73:NE269),"")))</f>
        <v>0</v>
      </c>
      <c r="NG73" s="12">
        <f>IF('Données projet'!$A$486&gt;35,NG72+NF73-NO72,IF($A73&lt;'Données projet'!$A$486,$CQ$205^$A73,IF($A73='Données projet'!$A$486,'Données projet'!$B$486,NG72+NF73-NO72)))</f>
        <v>0</v>
      </c>
      <c r="NH73" s="17" t="e">
        <f>NG73*VLOOKUP('Données projet'!$B$26,Paramètres!$A$1:$I$89,3,0)*VLOOKUP('Données projet'!$B$26,Paramètres!$A$1:$I$89,5,0)</f>
        <v>#N/A</v>
      </c>
      <c r="NI73" s="13" t="e">
        <f t="shared" si="216"/>
        <v>#N/A</v>
      </c>
      <c r="NJ73" s="14" t="e">
        <f t="shared" si="171"/>
        <v>#N/A</v>
      </c>
      <c r="NK73" s="59" t="e">
        <f t="shared" si="172"/>
        <v>#N/A</v>
      </c>
      <c r="NL73" s="20" t="e">
        <f ca="1">AVERAGE(OFFSET($NK$3,0,0,'Données projet'!$E$26+1,1))-AVERAGE(OFFSET($H$3,0,0,'Données projet'!$E$26+1,1))</f>
        <v>#N/A</v>
      </c>
      <c r="NM73" s="59" t="e">
        <f t="shared" si="217"/>
        <v>#N/A</v>
      </c>
      <c r="NN73" s="15">
        <f>IF(ISNA(VLOOKUP($A73,'Données projet'!$A$486:$I$506,3,0)),0,VLOOKUP($A73,'Données projet'!$A$486:$I$506,3,0))</f>
        <v>0</v>
      </c>
      <c r="NO73" s="15">
        <f>IF(ISNA(VLOOKUP($A73,'Données projet'!$A$486:$I$506,4,0)),0,VLOOKUP($A73,'Données projet'!$A$486:$I$506,4,0))</f>
        <v>0</v>
      </c>
      <c r="NP73" s="16">
        <f>IF(ISNA(VLOOKUP($A73,'Données projet'!$A$486:$I$506,5,0)),0%,VLOOKUP($A73,'Données projet'!$A$486:$I$506,5,0)*VLOOKUP('Données projet'!$B$26,Paramètres!$A$1:$I$89,7,0))</f>
        <v>0</v>
      </c>
      <c r="NQ73" s="16">
        <f>IF(ISNA(VLOOKUP($A73,'Données projet'!$A$486:$I$506,6,0)),0%,VLOOKUP($A73,'Données projet'!$A$486:$I$506,6,0)*VLOOKUP('Données projet'!$B$26,Paramètres!$A$1:$I$89,7,0))</f>
        <v>0</v>
      </c>
      <c r="NR73" s="16">
        <f>IF(ISNA(VLOOKUP($A73,'Données projet'!$A$486:$I$506,7,0)),0%,VLOOKUP($A73,'Données projet'!$A$486:$I$506,7,0))</f>
        <v>0</v>
      </c>
      <c r="NS73" s="21" t="e">
        <f>EXP(-LN(2)/35)*NS72+(1-EXP(-LN(2)/35))/(LN(2)/35)*NO73*NP73*VLOOKUP('Données projet'!$B$26,Paramètres!$A$1:$I$89,3,0)*0.475*44/12</f>
        <v>#N/A</v>
      </c>
      <c r="NT73" s="21" t="e">
        <f>EXP(-LN(2)/25)*NT72+(1-EXP(-LN(2)/25))/(LN(2)/25)*Calculateur!NO73*Calculateur!NQ73*VLOOKUP('Données projet'!$B$26,Paramètres!$A$1:$I$89,3,0)*0.475*44/12</f>
        <v>#N/A</v>
      </c>
      <c r="NU73" s="21" t="e">
        <f>EXP(-LN(2)/2)*NU72+(1-EXP(-LN(2)/2))/(LN(2)/2)*NO73*NR73*VLOOKUP('Données projet'!$B$26,Paramètres!$A$1:$I$89,3,0)*0.475*44/12</f>
        <v>#N/A</v>
      </c>
      <c r="NV73" s="22" t="e">
        <f t="shared" si="173"/>
        <v>#N/A</v>
      </c>
      <c r="NW73" s="74">
        <f>('Scénario référence'!$F$8+'Scénario référence'!$F$9+'Scénario référence'!$B$17+'Scénario référence'!$B$9+'Scénario référence'!$B$10)*70+IF((45+25*(1-EXP(-0.0175*$A73)))&lt;70,'Scénario référence'!$B$16*(45+25*(1-EXP(-0.0175*$A73))),70*'Scénario référence'!$B$16)+IF((32+38*(1-EXP(-0.0175*$A73)))&lt;70,'Scénario référence'!$B$18*(32+38*(1-EXP(-0.0175*$A73))),70*'Scénario référence'!$B$18)</f>
        <v>70</v>
      </c>
      <c r="NX73" s="12">
        <f>IF($A73&gt;30,10,('Scénario référence'!$B$16+'Scénario référence'!$B$17+'Scénario référence'!$B$18+'Scénario référence'!$B$9+'Scénario référence'!$B$10)*$A73*10/30+('Scénario référence'!$F$8+'Scénario référence'!$F$9)*10)</f>
        <v>10</v>
      </c>
      <c r="NY73" s="12" t="e">
        <f>VLOOKUP($A73,'Données projet'!$A$512:$I$532,2,0)</f>
        <v>#N/A</v>
      </c>
      <c r="NZ73" s="12" t="e">
        <f>VLOOKUP($A73,'Données projet'!$A$512:$I$532,9,0)</f>
        <v>#N/A</v>
      </c>
      <c r="OA73" s="12">
        <f t="array" ref="OA73">INDEX(NZ:NZ,MIN(IF(ISNUMBER(NZ73:NZ269),ROW(NZ73:NZ269),"")))</f>
        <v>0</v>
      </c>
      <c r="OB73" s="12">
        <f>IF('Données projet'!$A$512&gt;35,OB72+OA73-OJ72,IF($A73&lt;'Données projet'!$A$512,$CQ$205^$A73,IF($A73='Données projet'!$A$512,'Données projet'!$B$512,OB72+OA73-OJ72)))</f>
        <v>0</v>
      </c>
      <c r="OC73" s="17" t="e">
        <f>OB73*VLOOKUP('Données projet'!$B$27,Paramètres!$A$1:$I$89,3,0)*VLOOKUP('Données projet'!$B$27,Paramètres!$A$1:$I$89,5,0)</f>
        <v>#N/A</v>
      </c>
      <c r="OD73" s="13" t="e">
        <f t="shared" si="218"/>
        <v>#N/A</v>
      </c>
      <c r="OE73" s="14" t="e">
        <f t="shared" si="174"/>
        <v>#N/A</v>
      </c>
      <c r="OF73" s="59" t="e">
        <f t="shared" si="175"/>
        <v>#N/A</v>
      </c>
      <c r="OG73" s="20" t="e">
        <f ca="1">AVERAGE(OFFSET($OF$3,0,0,'Données projet'!$E$27+1,1))-AVERAGE(OFFSET($H$3,0,0,'Données projet'!$E$27+1,1))</f>
        <v>#N/A</v>
      </c>
      <c r="OH73" s="59" t="e">
        <f t="shared" si="219"/>
        <v>#N/A</v>
      </c>
      <c r="OI73" s="15">
        <f>IF(ISNA(VLOOKUP($A73,'Données projet'!$A$512:$I$532,3,0)),0,VLOOKUP($A73,'Données projet'!$A$512:$I$532,3,0))</f>
        <v>0</v>
      </c>
      <c r="OJ73" s="15">
        <f>IF(ISNA(VLOOKUP($A73,'Données projet'!$A$512:$I$532,4,0)),0,VLOOKUP($A73,'Données projet'!$A$512:$I$532,4,0))</f>
        <v>0</v>
      </c>
      <c r="OK73" s="16">
        <f>IF(ISNA(VLOOKUP($A73,'Données projet'!$A$512:$I$532,5,0)),0%,VLOOKUP($A73,'Données projet'!$A$512:$I$532,5,0)*VLOOKUP('Données projet'!$B$27,Paramètres!$A$1:$I$89,7,0))</f>
        <v>0</v>
      </c>
      <c r="OL73" s="16">
        <f>IF(ISNA(VLOOKUP($A73,'Données projet'!$A$512:$I$532,6,0)),0%,VLOOKUP($A73,'Données projet'!$A$512:$I$532,6,0)*VLOOKUP('Données projet'!$B$27,Paramètres!$A$1:$I$89,7,0))</f>
        <v>0</v>
      </c>
      <c r="OM73" s="16">
        <f>IF(ISNA(VLOOKUP($A73,'Données projet'!$A$512:$I$532,7,0)),0%,VLOOKUP($A73,'Données projet'!$A$512:$I$532,7,0))</f>
        <v>0</v>
      </c>
      <c r="ON73" s="21" t="e">
        <f>EXP(-LN(2)/35)*ON72+(1-EXP(-LN(2)/35))/(LN(2)/35)*OJ73*OK73*VLOOKUP('Données projet'!$B$27,Paramètres!$A$1:$I$89,3,0)*0.475*44/12</f>
        <v>#N/A</v>
      </c>
      <c r="OO73" s="21" t="e">
        <f>EXP(-LN(2)/25)*OO72+(1-EXP(-LN(2)/25))/(LN(2)/25)*Calculateur!OJ73*Calculateur!OL73*VLOOKUP('Données projet'!$B$27,Paramètres!$A$1:$I$89,3,0)*0.475*44/12</f>
        <v>#N/A</v>
      </c>
      <c r="OP73" s="21" t="e">
        <f>EXP(-LN(2)/2)*OP72+(1-EXP(-LN(2)/2))/(LN(2)/2)*OJ73*OM73*VLOOKUP('Données projet'!$B$27,Paramètres!$A$1:$I$89,3,0)*0.475*44/12</f>
        <v>#N/A</v>
      </c>
      <c r="OQ73" s="22" t="e">
        <f t="shared" si="176"/>
        <v>#N/A</v>
      </c>
      <c r="OR73" s="74">
        <f>('Scénario référence'!$F$8+'Scénario référence'!$F$9+'Scénario référence'!$B$17+'Scénario référence'!$B$9+'Scénario référence'!$B$10)*70+IF((45+25*(1-EXP(-0.0175*$A73)))&lt;70,'Scénario référence'!$B$16*(45+25*(1-EXP(-0.0175*$A73))),70*'Scénario référence'!$B$16)+IF((32+38*(1-EXP(-0.0175*$A73)))&lt;70,'Scénario référence'!$B$18*(32+38*(1-EXP(-0.0175*$A73))),70*'Scénario référence'!$B$18)</f>
        <v>70</v>
      </c>
      <c r="OS73" s="12">
        <f>IF($A73&gt;30,10,('Scénario référence'!$B$16+'Scénario référence'!$B$17+'Scénario référence'!$B$18+'Scénario référence'!$B$9+'Scénario référence'!$B$10)*$A73*10/30+('Scénario référence'!$F$8+'Scénario référence'!$F$9)*10)</f>
        <v>10</v>
      </c>
      <c r="OT73" s="12" t="e">
        <f>VLOOKUP($A73,'Données projet'!$A$538:$I$558,2,0)</f>
        <v>#N/A</v>
      </c>
      <c r="OU73" s="12" t="e">
        <f>VLOOKUP($A73,'Données projet'!$A$538:$I$558,9,0)</f>
        <v>#N/A</v>
      </c>
      <c r="OV73" s="12">
        <f t="array" ref="OV73">INDEX(OU:OU,MIN(IF(ISNUMBER(OU73:OU269),ROW(OU73:OU269),"")))</f>
        <v>0</v>
      </c>
      <c r="OW73" s="12">
        <f>IF('Données projet'!$A$538&gt;35,OW72+OV73-PE72,IF($A73&lt;'Données projet'!$A$538,$CQ$205^$A73,IF($A73='Données projet'!$A$538,'Données projet'!$B$538,OW72+OV73-PE72)))</f>
        <v>0</v>
      </c>
      <c r="OX73" s="17" t="e">
        <f>OW73*VLOOKUP('Données projet'!$B$28,Paramètres!$A$1:$I$89,3,0)*VLOOKUP('Données projet'!$B$28,Paramètres!$A$1:$I$89,5,0)</f>
        <v>#N/A</v>
      </c>
      <c r="OY73" s="13" t="e">
        <f t="shared" si="220"/>
        <v>#N/A</v>
      </c>
      <c r="OZ73" s="14" t="e">
        <f t="shared" si="177"/>
        <v>#N/A</v>
      </c>
      <c r="PA73" s="59" t="e">
        <f t="shared" si="178"/>
        <v>#N/A</v>
      </c>
      <c r="PB73" s="20" t="e">
        <f ca="1">AVERAGE(OFFSET($PA$3,0,0,'Données projet'!$E$28+1,1))-AVERAGE(OFFSET($H$3,0,0,'Données projet'!$E$28+1,1))</f>
        <v>#N/A</v>
      </c>
      <c r="PC73" s="59" t="e">
        <f t="shared" si="221"/>
        <v>#N/A</v>
      </c>
      <c r="PD73" s="15">
        <f>IF(ISNA(VLOOKUP($A73,'Données projet'!$A$538:$I$558,3,0)),0,VLOOKUP($A73,'Données projet'!$A$538:$I$558,3,0))</f>
        <v>0</v>
      </c>
      <c r="PE73" s="15">
        <f>IF(ISNA(VLOOKUP($A73,'Données projet'!$A$538:$I$558,4,0)),0,VLOOKUP($A73,'Données projet'!$A$538:$I$558,4,0))</f>
        <v>0</v>
      </c>
      <c r="PF73" s="16">
        <f>IF(ISNA(VLOOKUP($A73,'Données projet'!$A$538:$I$558,5,0)),0%,VLOOKUP($A73,'Données projet'!$A$538:$I$558,5,0)*VLOOKUP('Données projet'!$B$28,Paramètres!$A$1:$I$89,7,0))</f>
        <v>0</v>
      </c>
      <c r="PG73" s="16">
        <f>IF(ISNA(VLOOKUP($A73,'Données projet'!$A$538:$I$558,6,0)),0%,VLOOKUP($A73,'Données projet'!$A$538:$I$558,6,0)*VLOOKUP('Données projet'!$B$28,Paramètres!$A$1:$I$89,7,0))</f>
        <v>0</v>
      </c>
      <c r="PH73" s="16">
        <f>IF(ISNA(VLOOKUP($A73,'Données projet'!$A$538:$I$558,7,0)),0%,VLOOKUP($A73,'Données projet'!$A$538:$I$558,7,0))</f>
        <v>0</v>
      </c>
      <c r="PI73" s="21" t="e">
        <f>EXP(-LN(2)/35)*PI72+(1-EXP(-LN(2)/35))/(LN(2)/35)*PE73*PF73*VLOOKUP('Données projet'!$B$28,Paramètres!$A$1:$I$89,3,0)*0.475*44/12</f>
        <v>#N/A</v>
      </c>
      <c r="PJ73" s="21" t="e">
        <f>EXP(-LN(2)/25)*PJ72+(1-EXP(-LN(2)/25))/(LN(2)/25)*Calculateur!PE73*Calculateur!PG73*VLOOKUP('Données projet'!$B$28,Paramètres!$A$1:$I$89,3,0)*0.475*44/12</f>
        <v>#N/A</v>
      </c>
      <c r="PK73" s="21" t="e">
        <f>EXP(-LN(2)/2)*PK72+(1-EXP(-LN(2)/2))/(LN(2)/2)*PE73*PH73*VLOOKUP('Données projet'!$B$28,Paramètres!$A$1:$I$89,3,0)*0.475*44/12</f>
        <v>#N/A</v>
      </c>
      <c r="PL73" s="22" t="e">
        <f t="shared" si="179"/>
        <v>#N/A</v>
      </c>
    </row>
    <row r="74" spans="1:428" x14ac:dyDescent="0.35">
      <c r="A74" s="10">
        <f t="shared" si="180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181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121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projet'!$A$45:$I$65,2,0)</f>
        <v>#N/A</v>
      </c>
      <c r="L74" s="12" t="e">
        <f>VLOOKUP(A74,'Données projet'!$A$45:$I$65,9,0)</f>
        <v>#N/A</v>
      </c>
      <c r="M74" s="12">
        <f t="array" ref="M74">INDEX(L:L,MIN(IF(ISNUMBER(L74:L270),ROW(L74:L270),"")))</f>
        <v>0</v>
      </c>
      <c r="N74" s="13">
        <f>IF('Données projet'!$A$46&gt;35,N73+M74-V73,IF(A74&lt;'Données projet'!$A$46,$K$205^A74,IF(A74='Données projet'!$A$46,'Données projet'!$B$46,N73+M74-V73)))</f>
        <v>-1.1368683772161603E-13</v>
      </c>
      <c r="O74" s="13">
        <f>N74*VLOOKUP('Données projet'!$B$9,Paramètres!$A$1:$I$89,3,0)*VLOOKUP('Données projet'!$B$9,Paramètres!$A$1:$I$89,5,0)</f>
        <v>-6.3550942286383367E-14</v>
      </c>
      <c r="P74" s="13" t="e">
        <f t="shared" si="182"/>
        <v>#NUM!</v>
      </c>
      <c r="Q74" s="20" t="e">
        <f t="shared" si="119"/>
        <v>#NUM!</v>
      </c>
      <c r="R74" s="59" t="e">
        <f t="shared" si="120"/>
        <v>#NUM!</v>
      </c>
      <c r="S74" s="59">
        <f ca="1">AVERAGE(OFFSET($R$3,0,0,'Données projet'!$E$9+1,1))-AVERAGE(OFFSET($H$3,0,0,'Données projet'!$E$9+1,1))</f>
        <v>274.57619581652199</v>
      </c>
      <c r="T74" s="59">
        <f t="shared" si="183"/>
        <v>366.15117322598775</v>
      </c>
      <c r="U74" s="15">
        <f>IF(ISNA(VLOOKUP(A74,'Données projet'!$A$45:$I$65,3,0)),0,VLOOKUP(A74,'Données projet'!$A$45:$I$65,3,0))</f>
        <v>0</v>
      </c>
      <c r="V74" s="15">
        <f>IF(ISNA(VLOOKUP(A74,'Données projet'!$A$45:$I$65,4,0)),0,VLOOKUP(A74,'Données projet'!$A$45:$I$65,4,0))</f>
        <v>0</v>
      </c>
      <c r="W74" s="16">
        <f>IF(ISNA(VLOOKUP(A74,'Données projet'!$A$45:$I$65,5,0)),0%,VLOOKUP(A74,'Données projet'!$A$45:$I$65,5,0)*VLOOKUP('Données projet'!$B$9,Paramètres!$A$1:$I$89,7,0))</f>
        <v>0</v>
      </c>
      <c r="X74" s="16">
        <f>IF(ISNA(VLOOKUP(A74,'Données projet'!$A$45:$I$65,6,0)),0%,VLOOKUP(A74,'Données projet'!$A$45:$I$65,6,0)*VLOOKUP('Données projet'!$B$9,Paramètres!$A$1:$I$89,7,0))</f>
        <v>0</v>
      </c>
      <c r="Y74" s="16">
        <f>IF(ISNA(VLOOKUP(A74,'Données projet'!$A$45:$I$65,7,0)),0%,VLOOKUP(A74,'Données projet'!$A$45:$I$65,7,0))</f>
        <v>0</v>
      </c>
      <c r="Z74" s="21">
        <f>EXP(-LN(2)/35)*Z73+(1-EXP(-LN(2)/35))/(LN(2)/35)*V74*W74*VLOOKUP('Données projet'!$B$9,Paramètres!$A$1:$I$89,3,0)*0.475*44/12</f>
        <v>165.10323428800319</v>
      </c>
      <c r="AA74" s="21">
        <f>EXP(-LN(2)/25)*AA73+(1-EXP(-LN(2)/25))/(LN(2)/25)*Calculateur!V74*Calculateur!X74*VLOOKUP('Données projet'!$B$9,Paramètres!$A$1:$I$89,3,0)*0.475*44/12</f>
        <v>36.967594454396846</v>
      </c>
      <c r="AB74" s="21">
        <f>EXP(-LN(2)/2)*AB73+(1-EXP(-LN(2)/2))/(LN(2)/2)*V74*Y74*VLOOKUP('Données projet'!$B$9,Paramètres!$A$1:$I$89,3,0)*0.475*44/12</f>
        <v>0.13344259376606435</v>
      </c>
      <c r="AC74" s="22">
        <f t="shared" si="122"/>
        <v>202.2042713361661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>
        <f>VLOOKUP(A74,'Données projet'!$A$71:$I$91,2,0)</f>
        <v>243.36538461538464</v>
      </c>
      <c r="AG74" s="12">
        <f>VLOOKUP(A74,'Données projet'!$A$71:$I$91,9,0)</f>
        <v>8.1001602564102626</v>
      </c>
      <c r="AH74" s="12">
        <f t="array" ref="AH74">INDEX(AG:AG,MIN(IF(ISNUMBER(AG74:AG270),ROW(AG74:AG270),"")))</f>
        <v>8.1001602564102626</v>
      </c>
      <c r="AI74" s="13">
        <f>IF('Données projet'!$A$72&gt;35,AI73+AH74-AQ73,IF(A74&lt;'Données projet'!$A$72,$AF$205^A74,IF(A74='Données projet'!$A$72,'Données projet'!$B$72,AI73+AH74-AQ73)))</f>
        <v>243.36538461538487</v>
      </c>
      <c r="AJ74" s="13">
        <f>AI74*VLOOKUP('Données projet'!$B$10,Paramètres!$A$1:$I$89,3,0)*VLOOKUP('Données projet'!$B$10,Paramètres!$A$1:$I$89,5,0)</f>
        <v>220.19700000000023</v>
      </c>
      <c r="AK74" s="13">
        <f t="shared" si="184"/>
        <v>54.157700466574305</v>
      </c>
      <c r="AL74" s="20">
        <f t="shared" si="123"/>
        <v>477.83443664595069</v>
      </c>
      <c r="AM74" s="59">
        <f t="shared" si="124"/>
        <v>771.167769979284</v>
      </c>
      <c r="AN74" s="59">
        <f ca="1">AVERAGE(OFFSET($AM$3,0,0,'Données projet'!$E$10+1,1))-AVERAGE(OFFSET($H$3,0,0,'Données projet'!$E$10+1,1))</f>
        <v>270.87836509222456</v>
      </c>
      <c r="AO74" s="59">
        <f t="shared" si="185"/>
        <v>205.24998237949734</v>
      </c>
      <c r="AP74" s="15">
        <f>IF(ISNA(VLOOKUP(A74,'Données projet'!$A$71:$I$91,3,0)),0,VLOOKUP(A74,'Données projet'!$A$71:$I$91,3,0))</f>
        <v>6</v>
      </c>
      <c r="AQ74" s="15">
        <f>IF(ISNA(VLOOKUP(A74,'Données projet'!$A$71:$I$91,4,0)),0,VLOOKUP(A74,'Données projet'!$A$71:$I$91,4,0))</f>
        <v>39.935897435897431</v>
      </c>
      <c r="AR74" s="16">
        <f>IF(ISNA(VLOOKUP(A74,'Données projet'!$A$71:$I$91,5,0)),0%,VLOOKUP(A74,'Données projet'!$A$71:$I$91,5,0)*VLOOKUP('Données projet'!$B$10,Paramètres!$A$1:$I$89,7,0))</f>
        <v>0.30099999999999999</v>
      </c>
      <c r="AS74" s="16">
        <f>IF(ISNA(VLOOKUP(A74,'Données projet'!$A$71:$I$91,6,0)),0%,VLOOKUP(A74,'Données projet'!$A$71:$I$91,6,0)*VLOOKUP('Données projet'!$B$10,Paramètres!$A$1:$I$89,7,0))</f>
        <v>0</v>
      </c>
      <c r="AT74" s="16">
        <f>IF(ISNA(VLOOKUP(A74,'Données projet'!$A$71:$I$91,7,0)),0%,VLOOKUP(A74,'Données projet'!$A$71:$I$91,7,0))</f>
        <v>0</v>
      </c>
      <c r="AU74" s="21">
        <f>EXP(-LN(2)/35)*AU73+(1-EXP(-LN(2)/35))/(LN(2)/35)*AQ74*AR74*VLOOKUP('Données projet'!$B$10,Paramètres!$A$1:$I$89,3,0)*0.475*44/12</f>
        <v>22.744803745841033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125"/>
        <v>22.744803745841033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projet'!$A$97:$I$117,2,0)</f>
        <v>#N/A</v>
      </c>
      <c r="BB74" s="12" t="e">
        <f>VLOOKUP(A74,'Données projet'!$A$97:$I$117,9,0)</f>
        <v>#N/A</v>
      </c>
      <c r="BC74" s="12">
        <f t="array" ref="BC74">INDEX(BB:BB,MIN(IF(ISNUMBER(BB74:BB270),ROW(BB74:BB270),"")))</f>
        <v>0</v>
      </c>
      <c r="BD74" s="12">
        <f>IF('Données projet'!$A$98&gt;35,BD73+BC74-BL73,IF(A74&lt;'Données projet'!$A$98,$BA$205^A74,IF(A74='Données projet'!$A$98,'Données projet'!$B$98,BD73+BC74-BL73)))</f>
        <v>-1.1368683772161603E-13</v>
      </c>
      <c r="BE74" s="13">
        <f>BD74*VLOOKUP('Données projet'!$B$11,Paramètres!$A$1:$I$89,3,0)*VLOOKUP('Données projet'!$B$11,Paramètres!$A$1:$I$89,5,0)</f>
        <v>-5.0249582272954292E-14</v>
      </c>
      <c r="BF74" s="13" t="e">
        <f t="shared" si="186"/>
        <v>#NUM!</v>
      </c>
      <c r="BG74" s="20" t="e">
        <f t="shared" si="126"/>
        <v>#NUM!</v>
      </c>
      <c r="BH74" s="59" t="e">
        <f t="shared" si="127"/>
        <v>#NUM!</v>
      </c>
      <c r="BI74" s="59">
        <f ca="1">AVERAGE(OFFSET($BH$3,0,0,'Données projet'!$E$11+1,1))-AVERAGE(OFFSET($H$3,0,0,'Données projet'!$E$11+1,1))</f>
        <v>211.31057120485542</v>
      </c>
      <c r="BJ74" s="59">
        <f t="shared" si="187"/>
        <v>283.33292006714777</v>
      </c>
      <c r="BK74" s="15">
        <f>IF(ISNA(VLOOKUP(A74,'Données projet'!$A$97:$I$117,3,0)),0,VLOOKUP(A74,'Données projet'!$A$97:$I$117,3,0))</f>
        <v>0</v>
      </c>
      <c r="BL74" s="15">
        <f>IF(ISNA(VLOOKUP(A74,'Données projet'!$A$97:$I$117,4,0)),0,VLOOKUP(A74,'Données projet'!$A$97:$I$117,4,0))</f>
        <v>0</v>
      </c>
      <c r="BM74" s="16">
        <f>IF(ISNA(VLOOKUP(A74,'Données projet'!$A$97:$I$117,5,0)),0%,VLOOKUP(A74,'Données projet'!$A$97:$I$117,5,0)*VLOOKUP('Données projet'!$B$11,Paramètres!$A$1:$I$89,7,0))</f>
        <v>0</v>
      </c>
      <c r="BN74" s="16">
        <f>IF(ISNA(VLOOKUP(A74,'Données projet'!$A$97:$I$117,6,0)),0%,VLOOKUP(A74,'Données projet'!$A$97:$I$117,6,0)*VLOOKUP('Données projet'!$B$11,Paramètres!$A$1:$I$89,7,0))</f>
        <v>0</v>
      </c>
      <c r="BO74" s="16">
        <f>IF(ISNA(VLOOKUP(A74,'Données projet'!$A$97:$I$117,7,0)),0%,VLOOKUP(A74,'Données projet'!$A$97:$I$117,7,0))</f>
        <v>0</v>
      </c>
      <c r="BP74" s="21">
        <f>EXP(-LN(2)/35)*BP73+(1-EXP(-LN(2)/35))/(LN(2)/35)*BL74*BM74*VLOOKUP('Données projet'!$B$11,Paramètres!$A$1:$I$89,3,0)*0.475*44/12</f>
        <v>130.54674339051419</v>
      </c>
      <c r="BQ74" s="21">
        <f>EXP(-LN(2)/25)*BQ73+(1-EXP(-LN(2)/25))/(LN(2)/25)*Calculateur!BL74*Calculateur!BN74*VLOOKUP('Données projet'!$B$11,Paramètres!$A$1:$I$89,3,0)*0.475*44/12</f>
        <v>29.230190963941684</v>
      </c>
      <c r="BR74" s="21">
        <f>EXP(-LN(2)/2)*BR73+(1-EXP(-LN(2)/2))/(LN(2)/2)*BL74*BO74*VLOOKUP('Données projet'!$B$11,Paramètres!$A$1:$I$89,3,0)*0.475*44/12</f>
        <v>0.10551274855921365</v>
      </c>
      <c r="BS74" s="22">
        <f t="shared" si="128"/>
        <v>159.8824471030151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projet'!$A$123:$I$143,2,0)</f>
        <v>#N/A</v>
      </c>
      <c r="BW74" s="12" t="e">
        <f>VLOOKUP(A74,'Données projet'!$A$123:$I$143,9,0)</f>
        <v>#N/A</v>
      </c>
      <c r="BX74" s="12">
        <f t="array" ref="BX74">INDEX(BW:BW,MIN(IF(ISNUMBER(BW74:BW270),ROW(BW74:BW270),"")))</f>
        <v>4.4000000000000004</v>
      </c>
      <c r="BY74" s="12">
        <f>IF('Données projet'!$A$124&gt;35,BY73+BX74-CG73,IF(A74&lt;'Données projet'!$A$124,$BV$205^A74,IF(A74='Données projet'!$A$124,'Données projet'!$B$124,BY73+BX74-CG73)))</f>
        <v>223.4</v>
      </c>
      <c r="BZ74" s="13">
        <f>BY74*VLOOKUP('Données projet'!$B$12,Paramètres!$A$1:$I$89,3,0)*VLOOKUP('Données projet'!$B$12,Paramètres!$A$1:$I$89,5,0)</f>
        <v>233.49768000000006</v>
      </c>
      <c r="CA74" s="13">
        <f t="shared" si="188"/>
        <v>57.038296123496387</v>
      </c>
      <c r="CB74" s="20">
        <f t="shared" si="129"/>
        <v>506.01682508175622</v>
      </c>
      <c r="CC74" s="59">
        <f t="shared" si="130"/>
        <v>799.35015841508948</v>
      </c>
      <c r="CD74" s="59">
        <f ca="1">AVERAGE(OFFSET($CC$3,0,0,'Données projet'!$E$12+1,1))-AVERAGE(OFFSET($H$3,0,0,'Données projet'!$E$12+1,1))</f>
        <v>322.93502595881938</v>
      </c>
      <c r="CE74" s="59">
        <f t="shared" si="189"/>
        <v>302.67072119588164</v>
      </c>
      <c r="CF74" s="15">
        <f>IF(ISNA(VLOOKUP(A74,'Données projet'!$A$123:$I$143,3,0)),0,VLOOKUP(A74,'Données projet'!$A$123:$I$143,3,0))</f>
        <v>0</v>
      </c>
      <c r="CG74" s="15">
        <f>IF(ISNA(VLOOKUP(A74,'Données projet'!$A$123:$I$143,4,0)),0,VLOOKUP(A74,'Données projet'!$A$123:$I$143,4,0))</f>
        <v>0</v>
      </c>
      <c r="CH74" s="16">
        <f>IF(ISNA(VLOOKUP(A74,'Données projet'!$A$123:$I$143,5,0)),0%,VLOOKUP(A74,'Données projet'!$A$123:$I$143,5,0)*VLOOKUP('Données projet'!$B$12,Paramètres!$A$1:$I$89,7,0))</f>
        <v>0</v>
      </c>
      <c r="CI74" s="16">
        <f>IF(ISNA(VLOOKUP(A74,'Données projet'!$A$123:$I$143,6,0)),0%,VLOOKUP(A74,'Données projet'!$A$123:$I$143,6,0)*VLOOKUP('Données projet'!$B$12,Paramètres!$A$1:$I$89,7,0))</f>
        <v>0</v>
      </c>
      <c r="CJ74" s="16">
        <f>IF(ISNA(VLOOKUP(A74,'Données projet'!$A$123:$I$143,7,0)),0%,VLOOKUP(A74,'Données projet'!$A$123:$I$143,7,0))</f>
        <v>0</v>
      </c>
      <c r="CK74" s="21">
        <f>EXP(-LN(2)/35)*CK73+(1-EXP(-LN(2)/35))/(LN(2)/35)*CG74*CH74*VLOOKUP('Données projet'!$B$12,Paramètres!$A$1:$I$89,3,0)*0.475*44/12</f>
        <v>22.555211756707802</v>
      </c>
      <c r="CL74" s="21">
        <f>EXP(-LN(2)/25)*CL73+(1-EXP(-LN(2)/25))/(LN(2)/25)*Calculateur!CG74*Calculateur!CI74*VLOOKUP('Données projet'!$B$12,Paramètres!$A$1:$I$89,3,0)*0.475*44/12</f>
        <v>23.25190018287871</v>
      </c>
      <c r="CM74" s="21">
        <f>EXP(-LN(2)/2)*CM73+(1-EXP(-LN(2)/2))/(LN(2)/2)*CG74*CJ74*VLOOKUP('Données projet'!$B$12,Paramètres!$A$1:$I$89,3,0)*0.475*44/12</f>
        <v>0</v>
      </c>
      <c r="CN74" s="22">
        <f t="shared" si="131"/>
        <v>45.807111939586513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projet'!$A$149:$I$169,2,0)</f>
        <v>#N/A</v>
      </c>
      <c r="CR74" s="12" t="e">
        <f>VLOOKUP(A74,'Données projet'!$A$149:$I$169,9,0)</f>
        <v>#N/A</v>
      </c>
      <c r="CS74" s="12">
        <f t="array" ref="CS74">INDEX(CR:CR,MIN(IF(ISNUMBER(CR74:CR270),ROW(CR74:CR270),"")))</f>
        <v>5.6899038461538431</v>
      </c>
      <c r="CT74" s="12">
        <f>IF('Données projet'!$A$150&gt;35,CT73+CS74-DB73,IF(A74&lt;'Données projet'!$A$150,$CQ$205^A74,IF(A74='Données projet'!$A$150,'Données projet'!$B$150,CT73+CS74-DB73)))</f>
        <v>158.62499999999997</v>
      </c>
      <c r="CU74" s="17">
        <f>CT74*VLOOKUP('Données projet'!$B$13,Paramètres!$A$1:$I$89,3,0)*VLOOKUP('Données projet'!$B$13,Paramètres!$A$1:$I$89,5,0)</f>
        <v>160.84574999999998</v>
      </c>
      <c r="CV74" s="13">
        <f t="shared" si="190"/>
        <v>41.033218108988017</v>
      </c>
      <c r="CW74" s="20">
        <f t="shared" si="132"/>
        <v>351.60586945648743</v>
      </c>
      <c r="CX74" s="59">
        <f t="shared" si="133"/>
        <v>644.93920278982068</v>
      </c>
      <c r="CY74" s="59">
        <f ca="1">AVERAGE(OFFSET($CX$3,0,0,'Données projet'!$E$13+1,1))-AVERAGE(OFFSET($H$3,0,0,'Données projet'!$E$13+1,1))</f>
        <v>250.31277422753283</v>
      </c>
      <c r="CZ74" s="59">
        <f t="shared" si="191"/>
        <v>159.20429420478047</v>
      </c>
      <c r="DA74" s="15">
        <f>IF(ISNA(VLOOKUP(A74,'Données projet'!$A$149:$I$169,3,0)),0,VLOOKUP(A74,'Données projet'!$A$149:$I$169,3,0))</f>
        <v>0</v>
      </c>
      <c r="DB74" s="15">
        <f>IF(ISNA(VLOOKUP(A74,'Données projet'!$A$149:$I$169,4,0)),0,VLOOKUP(A74,'Données projet'!$A$149:$I$169,4,0))</f>
        <v>0</v>
      </c>
      <c r="DC74" s="16">
        <f>IF(ISNA(VLOOKUP(A74,'Données projet'!$A$149:$I$169,5,0)),0%,VLOOKUP(A74,'Données projet'!$A$149:$I$169,5,0)*VLOOKUP('Données projet'!$B$13,Paramètres!$A$1:$I$89,7,0))</f>
        <v>0</v>
      </c>
      <c r="DD74" s="16">
        <f>IF(ISNA(VLOOKUP(A74,'Données projet'!$A$149:$I$169,6,0)),0%,VLOOKUP(A74,'Données projet'!$A$149:$I$169,6,0)*VLOOKUP('Données projet'!$B$13,Paramètres!$A$1:$I$89,7,0))</f>
        <v>0</v>
      </c>
      <c r="DE74" s="16">
        <f>IF(ISNA(VLOOKUP(A74,'Données projet'!$A$149:$I$169,7,0)),0%,VLOOKUP(A74,'Données projet'!$A$149:$I$169,7,0))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134"/>
        <v>0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projet'!$A$175:$I$195,2,0)</f>
        <v>#N/A</v>
      </c>
      <c r="DM74" s="12" t="e">
        <f>VLOOKUP(A74,'Données projet'!$A$175:$I$195,9,0)</f>
        <v>#N/A</v>
      </c>
      <c r="DN74" s="12">
        <f t="array" ref="DN74">INDEX(DM:DM,MIN(IF(ISNUMBER(DM74:DM270),ROW(DM74:DM270),"")))</f>
        <v>4.8</v>
      </c>
      <c r="DO74" s="12">
        <f>IF('Données projet'!$A$176&gt;35,DO73+DN74-DW73,IF(A74&lt;'Données projet'!$A$176,$DL$205^A74,IF(A74='Données projet'!$A$176,'Données projet'!$B$176,DO73+DN74-DW73)))</f>
        <v>355.79999999999967</v>
      </c>
      <c r="DP74" s="17">
        <f>DO74*VLOOKUP('Données projet'!$B$14,Paramètres!$A$1:$I$89,3,0)*VLOOKUP('Données projet'!$B$14,Paramètres!$A$1:$I$89,5,0)</f>
        <v>260.87255999999974</v>
      </c>
      <c r="DQ74" s="13">
        <f t="shared" si="192"/>
        <v>62.908336204200786</v>
      </c>
      <c r="DR74" s="20">
        <f t="shared" si="135"/>
        <v>563.9183942223159</v>
      </c>
      <c r="DS74" s="59">
        <f t="shared" si="136"/>
        <v>857.25172755564927</v>
      </c>
      <c r="DT74" s="59">
        <f ca="1">AVERAGE(OFFSET($DS$3,0,0,'Données projet'!$E$14+1,1))-AVERAGE(OFFSET($H$3,0,0,'Données projet'!$E$14+1,1))</f>
        <v>296.91321813251051</v>
      </c>
      <c r="DU74" s="59">
        <f t="shared" si="193"/>
        <v>291.0718079639509</v>
      </c>
      <c r="DV74" s="15">
        <f>IF(ISNA(VLOOKUP(A74,'Données projet'!$A$175:$I$195,3,0)),0,VLOOKUP(A74,'Données projet'!$A$175:$I$195,3,0))</f>
        <v>0</v>
      </c>
      <c r="DW74" s="15">
        <f>IF(ISNA(VLOOKUP(A74,'Données projet'!$A$175:$I$195,4,0)),0,VLOOKUP(A74,'Données projet'!$A$175:$I$195,4,0))</f>
        <v>0</v>
      </c>
      <c r="DX74" s="16">
        <f>IF(ISNA(VLOOKUP(A74,'Données projet'!$A$175:$I$195,5,0)),0%,VLOOKUP(A74,'Données projet'!$A$175:$I$195,5,0)*VLOOKUP('Données projet'!$B$14,Paramètres!$A$1:$I$89,7,0))</f>
        <v>0</v>
      </c>
      <c r="DY74" s="16">
        <f>IF(ISNA(VLOOKUP(A74,'Données projet'!$A$175:$I$195,6,0)),0%,VLOOKUP(A74,'Données projet'!$A$175:$I$195,6,0)*VLOOKUP('Données projet'!$B$14,Paramètres!$A$1:$I$89,7,0))</f>
        <v>0</v>
      </c>
      <c r="DZ74" s="16">
        <f>IF(ISNA(VLOOKUP(A74,'Données projet'!$A$175:$I$195,7,0)),0%,VLOOKUP(A74,'Données projet'!$A$175:$I$195,7,0))</f>
        <v>0</v>
      </c>
      <c r="EA74" s="21">
        <f>EXP(-LN(2)/35)*EA73+(1-EXP(-LN(2)/35))/(LN(2)/35)*DW74*DX74*VLOOKUP('Données projet'!$B$14,Paramètres!$A$1:$I$89,3,0)*0.475*44/12</f>
        <v>43.692093037370832</v>
      </c>
      <c r="EB74" s="21">
        <f>EXP(-LN(2)/25)*EB73+(1-EXP(-LN(2)/25))/(LN(2)/25)*Calculateur!DW74*Calculateur!DY74*VLOOKUP('Données projet'!$B$14,Paramètres!$A$1:$I$89,3,0)*0.475*44/12</f>
        <v>6.4924680038615126</v>
      </c>
      <c r="EC74" s="21">
        <f>EXP(-LN(2)/2)*EC73+(1-EXP(-LN(2)/2))/(LN(2)/2)*DW74*DZ74*VLOOKUP('Données projet'!$B$14,Paramètres!$A$1:$I$89,3,0)*0.475*44/12</f>
        <v>0</v>
      </c>
      <c r="ED74" s="22">
        <f t="shared" si="137"/>
        <v>50.184561041232342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projet'!$A$201:$I$221,2,0)</f>
        <v>#N/A</v>
      </c>
      <c r="EH74" s="12" t="e">
        <f>VLOOKUP(A74,'Données projet'!$A$201:$I$221,9,0)</f>
        <v>#N/A</v>
      </c>
      <c r="EI74" s="12">
        <f t="array" ref="EI74">INDEX(EH:EH,MIN(IF(ISNUMBER(EH74:EH270),ROW(EH74:EH270),"")))</f>
        <v>9.8224358974358967</v>
      </c>
      <c r="EJ74" s="12">
        <f>IF('Données projet'!$A$202&gt;35,EJ73+EI74-ER73,IF(A74&lt;'Données projet'!$A$202,$EG$205^A74,IF(A74='Données projet'!$A$202,'Données projet'!$B$202,EJ73+EI74-ER73)))</f>
        <v>321.18717948717983</v>
      </c>
      <c r="EK74" s="17">
        <f>EJ74*VLOOKUP('Données projet'!$B$15,Paramètres!$A$1:$I$89,3,0)*VLOOKUP('Données projet'!$B$15,Paramètres!$A$1:$I$89,5,0)</f>
        <v>150.31560000000016</v>
      </c>
      <c r="EL74" s="13">
        <f t="shared" si="194"/>
        <v>38.650298077744381</v>
      </c>
      <c r="EM74" s="20">
        <f t="shared" si="138"/>
        <v>329.1156058187384</v>
      </c>
      <c r="EN74" s="59">
        <f t="shared" si="139"/>
        <v>622.44893915207172</v>
      </c>
      <c r="EO74" s="59">
        <f ca="1">AVERAGE(OFFSET($EN$3,0,0,'Données projet'!$E$15+1,1))-AVERAGE(OFFSET($H$3,0,0,'Données projet'!$E$15+1,1))</f>
        <v>147.64256291235483</v>
      </c>
      <c r="EP74" s="59">
        <f t="shared" si="195"/>
        <v>70.859031694091868</v>
      </c>
      <c r="EQ74" s="15">
        <f>IF(ISNA(VLOOKUP(A74,'Données projet'!$A$201:$I$221,3,0)),0,VLOOKUP(A74,'Données projet'!$A$201:$I$221,3,0))</f>
        <v>0</v>
      </c>
      <c r="ER74" s="15">
        <f>IF(ISNA(VLOOKUP(A74,'Données projet'!$A$201:$I$221,4,0)),0,VLOOKUP(A74,'Données projet'!$A$201:$I$221,4,0))</f>
        <v>0</v>
      </c>
      <c r="ES74" s="16">
        <f>IF(ISNA(VLOOKUP(A74,'Données projet'!$A$201:$I$221,5,0)),0%,VLOOKUP(A74,'Données projet'!$A$201:$I$221,5,0)*VLOOKUP('Données projet'!$B$15,Paramètres!$A$1:$I$89,7,0))</f>
        <v>0</v>
      </c>
      <c r="ET74" s="16">
        <f>IF(ISNA(VLOOKUP(A74,'Données projet'!$A$201:$I$221,6,0)),0%,VLOOKUP(A74,'Données projet'!$A$201:$I$221,6,0)*VLOOKUP('Données projet'!$B$15,Paramètres!$A$1:$I$89,7,0))</f>
        <v>0</v>
      </c>
      <c r="EU74" s="16">
        <f>IF(ISNA(VLOOKUP(A74,'Données projet'!$A$201:$I$221,7,0)),0%,VLOOKUP(A74,'Données projet'!$A$201:$I$221,7,0))</f>
        <v>0</v>
      </c>
      <c r="EV74" s="21">
        <f>EXP(-LN(2)/35)*EV73+(1-EXP(-LN(2)/35))/(LN(2)/35)*ER74*ES74*VLOOKUP('Données projet'!$B$15,Paramètres!$A$1:$I$89,3,0)*0.475*44/12</f>
        <v>22.04915570512474</v>
      </c>
      <c r="EW74" s="21">
        <f>EXP(-LN(2)/25)*EW73+(1-EXP(-LN(2)/25))/(LN(2)/25)*Calculateur!ER74*Calculateur!ET74*VLOOKUP('Données projet'!$B$15,Paramètres!$A$1:$I$89,3,0)*0.475*44/12</f>
        <v>15.920196833514028</v>
      </c>
      <c r="EX74" s="21">
        <f>EXP(-LN(2)/2)*EX73+(1-EXP(-LN(2)/2))/(LN(2)/2)*ER74*EU74*VLOOKUP('Données projet'!$B$15,Paramètres!$A$1:$I$89,3,0)*0.475*44/12</f>
        <v>0.49533572230404882</v>
      </c>
      <c r="EY74" s="22">
        <f t="shared" si="140"/>
        <v>38.464688260942815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projet'!$A$227:$I$247,2,0)</f>
        <v>#N/A</v>
      </c>
      <c r="FC74" s="12" t="e">
        <f>VLOOKUP(A74,'Données projet'!$A$227:$I$247,9,0)</f>
        <v>#N/A</v>
      </c>
      <c r="FD74" s="12">
        <f t="array" ref="FD74">INDEX(FC:FC,MIN(IF(ISNUMBER(FC74:FC270),ROW(FC74:FC270),"")))</f>
        <v>3.4</v>
      </c>
      <c r="FE74" s="12">
        <f>IF('Données projet'!$A$228&gt;35,FE73+FD74-FM73,IF(A74&lt;'Données projet'!$A$228,$FB$205^A74,IF(A74='Données projet'!$A$228,'Données projet'!$B$228,FE73+FD74-FM73)))</f>
        <v>190.39999999999995</v>
      </c>
      <c r="FF74" s="17">
        <f>FE74*VLOOKUP('Données projet'!$B$16,Paramètres!$A$1:$I$89,3,0)*VLOOKUP('Données projet'!$B$16,Paramètres!$A$1:$I$89,5,0)</f>
        <v>199.00607999999997</v>
      </c>
      <c r="FG74" s="13">
        <f t="shared" si="196"/>
        <v>49.525670897515027</v>
      </c>
      <c r="FH74" s="20">
        <f t="shared" si="141"/>
        <v>432.85946614650521</v>
      </c>
      <c r="FI74" s="59">
        <f t="shared" si="142"/>
        <v>726.19279947983853</v>
      </c>
      <c r="FJ74" s="59">
        <f ca="1">AVERAGE(OFFSET($FI$3,0,0,'Données projet'!$E$16+1,1))-AVERAGE(OFFSET($H$3,0,0,'Données projet'!$E$16+1,1))</f>
        <v>259.03906550253788</v>
      </c>
      <c r="FK74" s="59">
        <f t="shared" si="197"/>
        <v>235.54542903570831</v>
      </c>
      <c r="FL74" s="15">
        <f>IF(ISNA(VLOOKUP(A74,'Données projet'!$A$227:$I$247,3,0)),0,VLOOKUP(A74,'Données projet'!$A$227:$I$247,3,0))</f>
        <v>0</v>
      </c>
      <c r="FM74" s="15">
        <f>IF(ISNA(VLOOKUP(A74,'Données projet'!$A$227:$I$247,4,0)),0,VLOOKUP(A74,'Données projet'!$A$227:$I$247,4,0))</f>
        <v>0</v>
      </c>
      <c r="FN74" s="16">
        <f>IF(ISNA(VLOOKUP(A74,'Données projet'!$A$227:$I$247,5,0)),0%,VLOOKUP(A74,'Données projet'!$A$227:$I$247,5,0)*VLOOKUP('Données projet'!$B$16,Paramètres!$A$1:$I$89,7,0))</f>
        <v>0</v>
      </c>
      <c r="FO74" s="16">
        <f>IF(ISNA(VLOOKUP(A74,'Données projet'!$A$227:$I$247,6,0)),0%,VLOOKUP(A74,'Données projet'!$A$227:$I$247,6,0)*VLOOKUP('Données projet'!$B$16,Paramètres!$A$1:$I$89,7,0))</f>
        <v>0</v>
      </c>
      <c r="FP74" s="16">
        <f>IF(ISNA(VLOOKUP(A74,'Données projet'!$A$227:$I$247,7,0)),0%,VLOOKUP(A74,'Données projet'!$A$227:$I$247,7,0))</f>
        <v>0</v>
      </c>
      <c r="FQ74" s="21">
        <f>EXP(-LN(2)/35)*FQ73+(1-EXP(-LN(2)/35))/(LN(2)/35)*FM74*FN74*VLOOKUP('Données projet'!$B$16,Paramètres!$A$1:$I$89,3,0)*0.475*44/12</f>
        <v>10.393092622833132</v>
      </c>
      <c r="FR74" s="21">
        <f>EXP(-LN(2)/25)*FR73+(1-EXP(-LN(2)/25))/(LN(2)/25)*Calculateur!FM74*Calculateur!FO74*VLOOKUP('Données projet'!$B$16,Paramètres!$A$1:$I$89,3,0)*0.475*44/12</f>
        <v>16.573734290980678</v>
      </c>
      <c r="FS74" s="21">
        <f>EXP(-LN(2)/2)*FS73+(1-EXP(-LN(2)/2))/(LN(2)/2)*FM74*FP74*VLOOKUP('Données projet'!$B$16,Paramètres!$A$1:$I$89,3,0)*0.475*44/12</f>
        <v>0</v>
      </c>
      <c r="FT74" s="22">
        <f t="shared" si="143"/>
        <v>26.966826913813811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projet'!$A$253:$I$273,2,0)</f>
        <v>#N/A</v>
      </c>
      <c r="FX74" s="12" t="e">
        <f>VLOOKUP(A74,'Données projet'!$A$253:$I$273,9,0)</f>
        <v>#N/A</v>
      </c>
      <c r="FY74" s="12">
        <f t="array" ref="FY74">INDEX(FX:FX,MIN(IF(ISNUMBER(FX74:FX270),ROW(FX74:FX270),"")))</f>
        <v>3.4</v>
      </c>
      <c r="FZ74" s="12">
        <f>IF('Données projet'!$A$254&gt;35,FZ73+FY74-GH73,IF(A74&lt;'Données projet'!$A$254,$FW$205^A74,IF(A74='Données projet'!$A$254,'Données projet'!$B$254,FZ73+FY74-GH73)))</f>
        <v>256.39999999999986</v>
      </c>
      <c r="GA74" s="17">
        <f>FZ74*VLOOKUP('Données projet'!$B$17,Paramètres!$A$1:$I$89,3,0)*VLOOKUP('Données projet'!$B$17,Paramètres!$A$1:$I$89,5,0)</f>
        <v>223.99103999999991</v>
      </c>
      <c r="GB74" s="13">
        <f t="shared" si="198"/>
        <v>54.981408824201552</v>
      </c>
      <c r="GC74" s="20">
        <f t="shared" si="144"/>
        <v>485.87701503548419</v>
      </c>
      <c r="GD74" s="59">
        <f t="shared" si="145"/>
        <v>779.21034836881745</v>
      </c>
      <c r="GE74" s="59">
        <f ca="1">AVERAGE(OFFSET($GD$3,0,0,'Données projet'!$E$17+1,1))-AVERAGE(OFFSET($H$3,0,0,'Données projet'!$E$17+1,1))</f>
        <v>245.1983232777614</v>
      </c>
      <c r="GF74" s="59">
        <f t="shared" si="199"/>
        <v>242.34010522344573</v>
      </c>
      <c r="GG74" s="15">
        <f>IF(ISNA(VLOOKUP(A74,'Données projet'!$A$253:$I$273,3,0)),0,VLOOKUP(A74,'Données projet'!$A$253:$I$273,3,0))</f>
        <v>0</v>
      </c>
      <c r="GH74" s="15">
        <f>IF(ISNA(VLOOKUP(A74,'Données projet'!$A$253:$I$273,4,0)),0,VLOOKUP(A74,'Données projet'!$A$253:$I$273,4,0))</f>
        <v>0</v>
      </c>
      <c r="GI74" s="16">
        <f>IF(ISNA(VLOOKUP(A74,'Données projet'!$A$253:$I$273,5,0)),0%,VLOOKUP(A74,'Données projet'!$A$253:$I$273,5,0)*VLOOKUP('Données projet'!$B$17,Paramètres!$A$1:$I$89,7,0))</f>
        <v>0</v>
      </c>
      <c r="GJ74" s="16">
        <f>IF(ISNA(VLOOKUP(A74,'Données projet'!$A$253:$I$273,6,0)),0%,VLOOKUP(A74,'Données projet'!$A$253:$I$273,6,0)*VLOOKUP('Données projet'!$B$17,Paramètres!$A$1:$I$89,7,0))</f>
        <v>0</v>
      </c>
      <c r="GK74" s="16">
        <f>IF(ISNA(VLOOKUP(A74,'Données projet'!$A$253:$I$273,7,0)),0%,VLOOKUP(A74,'Données projet'!$A$253:$I$273,7,0))</f>
        <v>0</v>
      </c>
      <c r="GL74" s="21">
        <f>EXP(-LN(2)/35)*GL73+(1-EXP(-LN(2)/35))/(LN(2)/35)*GH74*GI74*VLOOKUP('Données projet'!$B$17,Paramètres!$A$1:$I$89,3,0)*0.475*44/12</f>
        <v>23.559082436991044</v>
      </c>
      <c r="GM74" s="21">
        <f>EXP(-LN(2)/25)*GM73+(1-EXP(-LN(2)/25))/(LN(2)/25)*Calculateur!GH74*Calculateur!GJ74*VLOOKUP('Données projet'!$B$17,Paramètres!$A$1:$I$89,3,0)*0.475*44/12</f>
        <v>8.5132890893066318</v>
      </c>
      <c r="GN74" s="21">
        <f>EXP(-LN(2)/2)*GN73+(1-EXP(-LN(2)/2))/(LN(2)/2)*GH74*GK74*VLOOKUP('Données projet'!$B$17,Paramètres!$A$1:$I$89,3,0)*0.475*44/12</f>
        <v>0</v>
      </c>
      <c r="GO74" s="21">
        <f t="shared" si="146"/>
        <v>32.072371526297673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projet'!$A$279:$I$299,2,0)</f>
        <v>#N/A</v>
      </c>
      <c r="GS74" s="12" t="e">
        <f>VLOOKUP(A74,'Données projet'!$A$279:$I$299,9,0)</f>
        <v>#N/A</v>
      </c>
      <c r="GT74" s="12">
        <f t="array" ref="GT74">INDEX(GS:GS,MIN(IF(ISNUMBER(GS74:GS270),ROW(GS74:GS270),"")))</f>
        <v>9.8000000000000007</v>
      </c>
      <c r="GU74" s="12">
        <f>IF('Données projet'!$A$280&gt;35,GU73+GT74-HC73,IF(A74&lt;'Données projet'!$A$280,$GR$205^A74,IF(A74='Données projet'!$A$280,'Données projet'!$B$280,GU73+GT74-HC73)))</f>
        <v>769.8000000000003</v>
      </c>
      <c r="GV74" s="17">
        <f>GU74*VLOOKUP('Données projet'!$B$18,Paramètres!$A$1:$I$89,3,0)*VLOOKUP('Données projet'!$B$18,Paramètres!$A$1:$I$89,5,0)</f>
        <v>310.22940000000011</v>
      </c>
      <c r="GW74" s="13">
        <f t="shared" si="200"/>
        <v>73.316735959424904</v>
      </c>
      <c r="GX74" s="20">
        <f t="shared" si="147"/>
        <v>668.00952012933192</v>
      </c>
      <c r="GY74" s="59">
        <f t="shared" si="148"/>
        <v>961.34285346266529</v>
      </c>
      <c r="GZ74" s="59">
        <f ca="1">AVERAGE(OFFSET($GY$3,0,0,'Données projet'!$E$18+1,1))-AVERAGE(OFFSET($H$3,0,0,'Données projet'!$E$18+1,1))</f>
        <v>324.36162935850876</v>
      </c>
      <c r="HA74" s="59">
        <f t="shared" si="201"/>
        <v>265.23571072429735</v>
      </c>
      <c r="HB74" s="15">
        <f>IF(ISNA(VLOOKUP(A74,'Données projet'!$A$279:$I$299,3,0)),0,VLOOKUP(A74,'Données projet'!$A$279:$I$299,3,0))</f>
        <v>0</v>
      </c>
      <c r="HC74" s="15">
        <f>IF(ISNA(VLOOKUP(A74,'Données projet'!$A$279:$I$299,4,0)),0,VLOOKUP(A74,'Données projet'!$A$279:$I$299,4,0))</f>
        <v>0</v>
      </c>
      <c r="HD74" s="16">
        <f>IF(ISNA(VLOOKUP(A74,'Données projet'!$A$279:$I$299,5,0)),0%,VLOOKUP(A74,'Données projet'!$A$279:$I$299,5,0)*VLOOKUP('Données projet'!$B$18,Paramètres!$A$1:$I$89,7,0))</f>
        <v>0</v>
      </c>
      <c r="HE74" s="16">
        <f>IF(ISNA(VLOOKUP(A74,'Données projet'!$A$279:$I$299,6,0)),0%,VLOOKUP(A74,'Données projet'!$A$279:$I$299,6,0)*VLOOKUP('Données projet'!$B$18,Paramètres!$A$1:$I$89,7,0))</f>
        <v>0</v>
      </c>
      <c r="HF74" s="16">
        <f>IF(ISNA(VLOOKUP($A74,'Données projet'!$A$279:$I$299,7,0)),0%,VLOOKUP($A74,'Données projet'!$A$279:$I$299,7,0))</f>
        <v>0</v>
      </c>
      <c r="HG74" s="21">
        <f>EXP(-LN(2)/35)*HG73+(1-EXP(-LN(2)/35))/(LN(2)/35)*HC74*HD74*VLOOKUP('Données projet'!$B$18,Paramètres!$A$1:$I$89,3,0)*0.475*44/12</f>
        <v>16.291036126937154</v>
      </c>
      <c r="HH74" s="21">
        <f>EXP(-LN(2)/25)*HH73+(1-EXP(-LN(2)/25))/(LN(2)/25)*Calculateur!HC74*Calculateur!HE74*VLOOKUP('Données projet'!$B$18,Paramètres!$A$1:$I$89,3,0)*0.475*44/12</f>
        <v>9.5825910006514619</v>
      </c>
      <c r="HI74" s="21">
        <f>EXP(-LN(2)/2)*HI73+(1-EXP(-LN(2)/2))/(LN(2)/2)*HC74*HF74*VLOOKUP('Données projet'!$B$18,Paramètres!$A$1:$I$89,3,0)*0.475*44/12</f>
        <v>0.16954619565678689</v>
      </c>
      <c r="HJ74" s="22">
        <f t="shared" si="149"/>
        <v>26.043173323245401</v>
      </c>
      <c r="HK74" s="74">
        <f>('Scénario référence'!$F$8+'Scénario référence'!$F$9+'Scénario référence'!$B$17+'Scénario référence'!$B$9+'Scénario référence'!$B$10)*70+IF((45+25*(1-EXP(-0.0175*$A74)))&lt;70,'Scénario référence'!$B$16*(45+25*(1-EXP(-0.0175*$A74))),70*'Scénario référence'!$B$16)+IF((32+38*(1-EXP(-0.0175*$A74)))&lt;70,'Scénario référence'!$B$18*(32+38*(1-EXP(-0.0175*$A74))),70*'Scénario référence'!$B$18)</f>
        <v>70</v>
      </c>
      <c r="HL74" s="12">
        <f>IF($A74&gt;30,10,('Scénario référence'!$B$16+'Scénario référence'!$B$17+'Scénario référence'!$B$18+'Scénario référence'!$B$9+'Scénario référence'!$B$10)*$A74*10/30+('Scénario référence'!$F$8+'Scénario référence'!$F$9)*10)</f>
        <v>10</v>
      </c>
      <c r="HM74" s="12" t="e">
        <f>VLOOKUP($A74,'Données projet'!$A$304:$I$324,2,0)</f>
        <v>#N/A</v>
      </c>
      <c r="HN74" s="12" t="e">
        <f>VLOOKUP($A74,'Données projet'!$A$304:$I$324,9,0)</f>
        <v>#N/A</v>
      </c>
      <c r="HO74" s="12">
        <f t="array" ref="HO74">INDEX(HN:HN,MIN(IF(ISNUMBER(HN74:HN270),ROW(HN74:HN270),"")))</f>
        <v>0</v>
      </c>
      <c r="HP74" s="12">
        <f>IF('Données projet'!$A$304&gt;35,HP73+HO74-HX73,IF($A74&lt;'Données projet'!$A$304,$CQ$205^$A74,IF($A74='Données projet'!$A$304,'Données projet'!$B$304,HP73+HO74-HX73)))</f>
        <v>0</v>
      </c>
      <c r="HQ74" s="17">
        <f>HP74*VLOOKUP('Données projet'!$B$19,Paramètres!$A$1:$I$89,3,0)*VLOOKUP('Données projet'!$B$19,Paramètres!$A$1:$I$89,5,0)</f>
        <v>0</v>
      </c>
      <c r="HR74" s="13" t="e">
        <f t="shared" si="202"/>
        <v>#NUM!</v>
      </c>
      <c r="HS74" s="14" t="e">
        <f t="shared" si="150"/>
        <v>#NUM!</v>
      </c>
      <c r="HT74" s="59" t="e">
        <f t="shared" si="151"/>
        <v>#NUM!</v>
      </c>
      <c r="HU74" s="59">
        <f ca="1">AVERAGE(OFFSET(HT$3,0,0,'Données projet'!$E$19+1,1))-AVERAGE(OFFSET($H$3,0,0,'Données projet'!$E$19+1,1))</f>
        <v>91.60721429656013</v>
      </c>
      <c r="HV74" s="59">
        <f t="shared" si="203"/>
        <v>258.94957804210856</v>
      </c>
      <c r="HW74" s="15">
        <f>IF(ISNA(VLOOKUP($A74,'Données projet'!$A$304:$I$324,3,0)),0,VLOOKUP($A74,'Données projet'!$A$304:$I$324,3,0))</f>
        <v>0</v>
      </c>
      <c r="HX74" s="15">
        <f>IF(ISNA(VLOOKUP($A74,'Données projet'!$A$304:$I$324,4,0)),0,VLOOKUP($A74,'Données projet'!$A$304:$I$324,4,0))</f>
        <v>0</v>
      </c>
      <c r="HY74" s="16">
        <f>IF(ISNA(VLOOKUP($A74,'Données projet'!$A$304:$I$324,5,0)),0%,VLOOKUP($A74,'Données projet'!$A$304:$I$324,5,0)*VLOOKUP('Données projet'!$B$19,Paramètres!$A$1:$I$89,7,0))</f>
        <v>0</v>
      </c>
      <c r="HZ74" s="16">
        <f>IF(ISNA(VLOOKUP($A74,'Données projet'!$A$304:$I$324,6,0)),0%,VLOOKUP($A74,'Données projet'!$A$304:$I$324,6,0)*VLOOKUP('Données projet'!$B$19,Paramètres!$A$1:$I$89,7,0))</f>
        <v>0</v>
      </c>
      <c r="IA74" s="16">
        <f>IF(ISNA(VLOOKUP($A74,'Données projet'!$A$304:$I$324,7,0)),0%,VLOOKUP($A74,'Données projet'!$A$304:$I$324,7,0))</f>
        <v>0</v>
      </c>
      <c r="IB74" s="21">
        <f>EXP(-LN(2)/35)*IB73+(1-EXP(-LN(2)/35))/(LN(2)/35)*HX74*HY74*VLOOKUP('Données projet'!$B$19,Paramètres!$A$1:$I$89,3,0)*0.475*44/12</f>
        <v>21.902807636969293</v>
      </c>
      <c r="IC74" s="21">
        <f>EXP(-LN(2)/25)*IC73+(1-EXP(-LN(2)/25))/(LN(2)/25)*Calculateur!HX74*Calculateur!HZ74*VLOOKUP('Données projet'!$B$19,Paramètres!$A$1:$I$89,3,0)*0.475*44/12</f>
        <v>3.1212040851428631</v>
      </c>
      <c r="ID74" s="21">
        <f>EXP(-LN(2)/2)*ID73+(1-EXP(-LN(2)/2))/(LN(2)/2)*HX74*IA74*VLOOKUP('Données projet'!$B$19,Paramètres!$A$1:$I$89,3,0)*0.475*44/12</f>
        <v>3.8630271363502182E-7</v>
      </c>
      <c r="IE74" s="22">
        <f t="shared" si="152"/>
        <v>25.024012108414869</v>
      </c>
      <c r="IF74" s="74">
        <f>('Scénario référence'!$F$8+'Scénario référence'!$F$9+'Scénario référence'!$B$17+'Scénario référence'!$B$9+'Scénario référence'!$B$10)*70+IF((45+25*(1-EXP(-0.0175*$A74)))&lt;70,'Scénario référence'!$B$16*(45+25*(1-EXP(-0.0175*$A74))),70*'Scénario référence'!$B$16)+IF((32+38*(1-EXP(-0.0175*$A74)))&lt;70,'Scénario référence'!$B$18*(32+38*(1-EXP(-0.0175*$A74))),70*'Scénario référence'!$B$18)</f>
        <v>70</v>
      </c>
      <c r="IG74" s="12">
        <f>IF($A74&gt;30,10,('Scénario référence'!$B$16+'Scénario référence'!$B$17+'Scénario référence'!$B$18+'Scénario référence'!$B$9+'Scénario référence'!$B$10)*$A74*10/30+('Scénario référence'!$F$8+'Scénario référence'!$F$9)*10)</f>
        <v>10</v>
      </c>
      <c r="IH74" s="12" t="e">
        <f>VLOOKUP($A74,'Données projet'!$A$330:$I$350,2,0)</f>
        <v>#N/A</v>
      </c>
      <c r="II74" s="12" t="e">
        <f>VLOOKUP($A74,'Données projet'!$A$330:$I$350,9,0)</f>
        <v>#N/A</v>
      </c>
      <c r="IJ74" s="12">
        <f t="array" ref="IJ74">INDEX(II:II,MIN(IF(ISNUMBER(II74:II270),ROW(II74:II270),"")))</f>
        <v>0</v>
      </c>
      <c r="IK74" s="12">
        <f>IF('Données projet'!$A$330&gt;35,IK73+IJ74-IS73,IF($A74&lt;'Données projet'!$A$330,$CQ$205^$A74,IF($A74='Données projet'!$A$330,'Données projet'!$B$330,IK73+IJ74-IS73)))</f>
        <v>0</v>
      </c>
      <c r="IL74" s="17">
        <f>IK74*VLOOKUP('Données projet'!$B$20,Paramètres!$A$1:$I$89,3,0)*VLOOKUP('Données projet'!$B$20,Paramètres!$A$1:$I$89,5,0)</f>
        <v>0</v>
      </c>
      <c r="IM74" s="13" t="e">
        <f t="shared" si="204"/>
        <v>#NUM!</v>
      </c>
      <c r="IN74" s="20" t="e">
        <f t="shared" si="153"/>
        <v>#NUM!</v>
      </c>
      <c r="IO74" s="59" t="e">
        <f t="shared" si="154"/>
        <v>#NUM!</v>
      </c>
      <c r="IP74" s="59">
        <f ca="1">AVERAGE(OFFSET(IO$3,0,0,'Données projet'!$E$20+1,1))-AVERAGE(OFFSET($H$3,0,0,'Données projet'!$E$20+1,1))</f>
        <v>91.60721429656013</v>
      </c>
      <c r="IQ74" s="59">
        <f t="shared" si="205"/>
        <v>258.94957804210856</v>
      </c>
      <c r="IR74" s="15">
        <f>IF(ISNA(VLOOKUP($A74,'Données projet'!$A$330:$I$350,3,0)),0,VLOOKUP($A74,'Données projet'!$A$330:$I$350,3,0))</f>
        <v>0</v>
      </c>
      <c r="IS74" s="15">
        <f>IF(ISNA(VLOOKUP($A74,'Données projet'!$A$330:$I$350,4,0)),0,VLOOKUP($A74,'Données projet'!$A$330:$I$350,4,0))</f>
        <v>0</v>
      </c>
      <c r="IT74" s="16">
        <f>IF(ISNA(VLOOKUP($A74,'Données projet'!$A$330:$I$350,5,0)),0%,VLOOKUP($A74,'Données projet'!$A$330:$I$350,5,0)*VLOOKUP('Données projet'!$B$20,Paramètres!$A$1:$I$89,7,0))</f>
        <v>0</v>
      </c>
      <c r="IU74" s="16">
        <f>IF(ISNA(VLOOKUP($A74,'Données projet'!$A$330:$I$350,6,0)),0%,VLOOKUP($A74,'Données projet'!$A$330:$I$350,6,0)*VLOOKUP('Données projet'!$B$20,Paramètres!$A$1:$I$89,7,0))</f>
        <v>0</v>
      </c>
      <c r="IV74" s="16">
        <f>IF(ISNA(VLOOKUP($A74,'Données projet'!$A$330:$I$350,7,0)),0%,VLOOKUP($A74,'Données projet'!$A$330:$I$350,7,0))</f>
        <v>0</v>
      </c>
      <c r="IW74" s="21">
        <f>EXP(-LN(2)/35)*IW73+(1-EXP(-LN(2)/35))/(LN(2)/35)*IS74*IT74*VLOOKUP('Données projet'!$B$20,Paramètres!$A$1:$I$89,3,0)*0.475*44/12</f>
        <v>21.902807636969293</v>
      </c>
      <c r="IX74" s="21">
        <f>EXP(-LN(2)/25)*IX73+(1-EXP(-LN(2)/25))/(LN(2)/25)*Calculateur!IS74*Calculateur!IU74*VLOOKUP('Données projet'!$B$20,Paramètres!$A$1:$I$89,3,0)*0.475*44/12</f>
        <v>3.1212040851428631</v>
      </c>
      <c r="IY74" s="21">
        <f>EXP(-LN(2)/2)*IY73+(1-EXP(-LN(2)/2))/(LN(2)/2)*IS74*IV74*VLOOKUP('Données projet'!$B$20,Paramètres!$A$1:$I$89,3,0)*0.475*44/12</f>
        <v>3.8630271363502182E-7</v>
      </c>
      <c r="IZ74" s="22">
        <f t="shared" si="155"/>
        <v>25.024012108414869</v>
      </c>
      <c r="JA74" s="74">
        <f>('Scénario référence'!$F$8+'Scénario référence'!$F$9+'Scénario référence'!$B$17+'Scénario référence'!$B$9+'Scénario référence'!$B$10)*70+IF((45+25*(1-EXP(-0.0175*$A74)))&lt;70,'Scénario référence'!$B$16*(45+25*(1-EXP(-0.0175*$A74))),70*'Scénario référence'!$B$16)+IF((32+38*(1-EXP(-0.0175*$A74)))&lt;70,'Scénario référence'!$B$18*(32+38*(1-EXP(-0.0175*$A74))),70*'Scénario référence'!$B$18)</f>
        <v>70</v>
      </c>
      <c r="JB74" s="12">
        <f>IF($A74&gt;30,10,('Scénario référence'!$B$16+'Scénario référence'!$B$17+'Scénario référence'!$B$18+'Scénario référence'!$B$9+'Scénario référence'!$B$10)*$A74*10/30+('Scénario référence'!$F$8+'Scénario référence'!$F$9)*10)</f>
        <v>10</v>
      </c>
      <c r="JC74" s="12" t="e">
        <f>VLOOKUP($A74,'Données projet'!$A$356:$I$376,2,0)</f>
        <v>#N/A</v>
      </c>
      <c r="JD74" s="12" t="e">
        <f>VLOOKUP($A74,'Données projet'!$A$356:$I$376,9,0)</f>
        <v>#N/A</v>
      </c>
      <c r="JE74" s="12">
        <f t="array" ref="JE74">INDEX(JD:JD,MIN(IF(ISNUMBER(JD74:JD270),ROW(JD74:JD270),"")))</f>
        <v>9.4</v>
      </c>
      <c r="JF74" s="12">
        <f>IF('Données projet'!$A$356&gt;35,JF73+JE74-JN73,IF($A74&lt;'Données projet'!$A$356,$CQ$205^$A74,IF($A74='Données projet'!$A$356,'Données projet'!$B$356,JF73+JE74-JN73)))</f>
        <v>297.39999999999998</v>
      </c>
      <c r="JG74" s="17">
        <f>JF74*VLOOKUP('Données projet'!$B$21,Paramètres!$A$1:$I$89,3,0)*VLOOKUP('Données projet'!$B$21,Paramètres!$A$1:$I$89,5,0)</f>
        <v>241.25088</v>
      </c>
      <c r="JH74" s="13">
        <f t="shared" si="206"/>
        <v>58.708581927297487</v>
      </c>
      <c r="JI74" s="20">
        <f t="shared" si="156"/>
        <v>522.42939619004312</v>
      </c>
      <c r="JJ74" s="59">
        <f t="shared" si="157"/>
        <v>815.76272952337649</v>
      </c>
      <c r="JK74" s="59">
        <f ca="1">AVERAGE(OFFSET($JJ$3,0,0,'Données projet'!$E$22+1,1))-AVERAGE(OFFSET($H$3,0,0,'Données projet'!$E$22+1,1))</f>
        <v>353.35574633294613</v>
      </c>
      <c r="JL74" s="59">
        <f t="shared" si="207"/>
        <v>170.36796666474726</v>
      </c>
      <c r="JM74" s="15">
        <f>IF(ISNA(VLOOKUP($A74,'Données projet'!$A$356:$I$376,3,0)),0,VLOOKUP($A74,'Données projet'!$A$356:$I$376,3,0))</f>
        <v>0</v>
      </c>
      <c r="JN74" s="15">
        <f>IF(ISNA(VLOOKUP($A74,'Données projet'!$A$356:$I$376,4,0)),0,VLOOKUP($A74,'Données projet'!$A$356:$I$376,4,0))</f>
        <v>0</v>
      </c>
      <c r="JO74" s="16">
        <f>IF(ISNA(VLOOKUP($A74,'Données projet'!$A$356:$I$376,5,0)),0%,VLOOKUP($A74,'Données projet'!$A$356:$I$376,5,0)*VLOOKUP('Données projet'!$B$21,Paramètres!$A$1:$I$89,7,0))</f>
        <v>0</v>
      </c>
      <c r="JP74" s="16">
        <f>IF(ISNA(VLOOKUP($A74,'Données projet'!$A$356:$I$376,6,0)),0%,VLOOKUP($A74,'Données projet'!$A$356:$I$376,6,0)*VLOOKUP('Données projet'!$B$21,Paramètres!$A$1:$I$89,7,0))</f>
        <v>0</v>
      </c>
      <c r="JQ74" s="16">
        <f>IF(ISNA(VLOOKUP($A74,'Données projet'!$A$356:$I$376,7,0)),0%,VLOOKUP($A74,'Données projet'!$A$356:$I$376,7,0))</f>
        <v>0</v>
      </c>
      <c r="JR74" s="21">
        <f>EXP(-LN(2)/35)*JR73+(1-EXP(-LN(2)/35))/(LN(2)/35)*JN74*JO74*VLOOKUP('Données projet'!$B$21,Paramètres!$A$1:$I$89,3,0)*0.475*44/12</f>
        <v>0</v>
      </c>
      <c r="JS74" s="21">
        <f>EXP(-LN(2)/25)*JS73+(1-EXP(-LN(2)/25))/(LN(2)/25)*Calculateur!JN74*Calculateur!JP74*VLOOKUP('Données projet'!$B$21,Paramètres!$A$1:$I$89,3,0)*0.475*44/12</f>
        <v>12.294114956820881</v>
      </c>
      <c r="JT74" s="21">
        <f>EXP(-LN(2)/2)*JT73+(1-EXP(-LN(2)/2))/(LN(2)/2)*JN74*JQ74*VLOOKUP('Données projet'!$B$21,Paramètres!$A$1:$I$89,3,0)*0.475*44/12</f>
        <v>5.5224118685540473</v>
      </c>
      <c r="JU74" s="18">
        <f t="shared" si="158"/>
        <v>17.816526825374929</v>
      </c>
      <c r="JV74" s="74">
        <f>('Scénario référence'!$F$8+'Scénario référence'!$F$9+'Scénario référence'!$B$17+'Scénario référence'!$B$9+'Scénario référence'!$B$10)*70+IF((45+25*(1-EXP(-0.0175*$A74)))&lt;70,'Scénario référence'!$B$16*(45+25*(1-EXP(-0.0175*$A74))),70*'Scénario référence'!$B$16)+IF((32+38*(1-EXP(-0.0175*$A74)))&lt;70,'Scénario référence'!$B$18*(32+38*(1-EXP(-0.0175*$A74))),70*'Scénario référence'!$B$18)</f>
        <v>70</v>
      </c>
      <c r="JW74" s="12">
        <f>IF($A74&gt;30,10,('Scénario référence'!$B$16+'Scénario référence'!$B$17+'Scénario référence'!$B$18+'Scénario référence'!$B$9+'Scénario référence'!$B$10)*$A74*10/30+('Scénario référence'!$F$8+'Scénario référence'!$F$9)*10)</f>
        <v>10</v>
      </c>
      <c r="JX74" s="12">
        <f>VLOOKUP($A74,'Données projet'!$A$382:$I$402,2,0)</f>
        <v>243.36538461538464</v>
      </c>
      <c r="JY74" s="12">
        <f>VLOOKUP($A74,'Données projet'!$A$382:$I$402,9,0)</f>
        <v>8.1001602564102626</v>
      </c>
      <c r="JZ74" s="12">
        <f t="array" ref="JZ74">INDEX(JY:JY,MIN(IF(ISNUMBER(JY74:JY270),ROW(JY74:JY270),"")))</f>
        <v>8.1001602564102626</v>
      </c>
      <c r="KA74" s="12">
        <f>IF('Données projet'!$A$382&gt;35,KA73+JZ74-KI73,IF($A74&lt;'Données projet'!$A$382,$CQ$205^$A74,IF($A74='Données projet'!$A$382,'Données projet'!$B$382,KA73+JZ74-KI73)))</f>
        <v>243.36538461538481</v>
      </c>
      <c r="KB74" s="17">
        <f>KA74*VLOOKUP('Données projet'!$B$22,Paramètres!$A$1:$I$89,3,0)*VLOOKUP('Données projet'!$B$22,Paramètres!$A$1:$I$89,5,0)</f>
        <v>163.24950000000013</v>
      </c>
      <c r="KC74" s="13">
        <f t="shared" si="208"/>
        <v>41.574589348344425</v>
      </c>
      <c r="KD74" s="20">
        <f t="shared" si="159"/>
        <v>356.73528894836676</v>
      </c>
      <c r="KE74" s="59">
        <f t="shared" si="160"/>
        <v>650.06862228170007</v>
      </c>
      <c r="KF74" s="59">
        <f ca="1">AVERAGE(OFFSET($KE$3,0,0,'Données projet'!$E$22+1,1))-AVERAGE(OFFSET($H$3,0,0,'Données projet'!$E$22+1,1))</f>
        <v>193.91714772848269</v>
      </c>
      <c r="KG74" s="59">
        <f t="shared" si="209"/>
        <v>159.20429420478047</v>
      </c>
      <c r="KH74" s="15">
        <f>IF(ISNA(VLOOKUP($A74,'Données projet'!$A$382:$I$402,3,0)),0,VLOOKUP($A74,'Données projet'!$A$382:$I$402,3,0))</f>
        <v>6</v>
      </c>
      <c r="KI74" s="15">
        <f>IF(ISNA(VLOOKUP($A74,'Données projet'!$A$382:$I$402,4,0)),0,VLOOKUP($A74,'Données projet'!$A$382:$I$402,4,0))</f>
        <v>39.935897435897431</v>
      </c>
      <c r="KJ74" s="16">
        <f>IF(ISNA(VLOOKUP($A74,'Données projet'!$A$382:$I$402,5,0)),0%,VLOOKUP($A74,'Données projet'!$A$382:$I$402,5,0)*VLOOKUP('Données projet'!$B$22,Paramètres!$A$1:$I$89,7,0))</f>
        <v>0.371</v>
      </c>
      <c r="KK74" s="16">
        <f>IF(ISNA(VLOOKUP($A74,'Données projet'!$A$382:$I$402,6,0)),0%,VLOOKUP($A74,'Données projet'!$A$382:$I$402,6,0)*VLOOKUP('Données projet'!$B$22,Paramètres!$A$1:$I$89,7,0))</f>
        <v>0</v>
      </c>
      <c r="KL74" s="16">
        <f>IF(ISNA(VLOOKUP($A74,'Données projet'!$A$382:$I$402,7,0)),0%,VLOOKUP($A74,'Données projet'!$A$382:$I$402,7,0))</f>
        <v>0</v>
      </c>
      <c r="KM74" s="21">
        <f>EXP(-LN(2)/35)*KM73+(1-EXP(-LN(2)/35))/(LN(2)/35)*KI74*KJ74*VLOOKUP('Données projet'!$B$22,Paramètres!$A$1:$I$89,3,0)*0.475*44/12</f>
        <v>20.784044802234046</v>
      </c>
      <c r="KN74" s="21">
        <f>EXP(-LN(2)/25)*KN73+(1-EXP(-LN(2)/25))/(LN(2)/25)*Calculateur!KI74*Calculateur!KK74*VLOOKUP('Données projet'!$B$22,Paramètres!$A$1:$I$89,3,0)*0.475*44/12</f>
        <v>0</v>
      </c>
      <c r="KO74" s="21">
        <f>EXP(-LN(2)/2)*KO73+(1-EXP(-LN(2)/2))/(LN(2)/2)*KI74*KL74*VLOOKUP('Données projet'!$B$22,Paramètres!$A$1:$I$89,3,0)*0.475*44/12</f>
        <v>0</v>
      </c>
      <c r="KP74" s="22">
        <f t="shared" si="161"/>
        <v>20.784044802234046</v>
      </c>
      <c r="KQ74" s="74">
        <f>('Scénario référence'!$F$8+'Scénario référence'!$F$9+'Scénario référence'!$B$17+'Scénario référence'!$B$9+'Scénario référence'!$B$10)*70+IF((45+25*(1-EXP(-0.0175*$A74)))&lt;70,'Scénario référence'!$B$16*(45+25*(1-EXP(-0.0175*$A74))),70*'Scénario référence'!$B$16)+IF((32+38*(1-EXP(-0.0175*$A74)))&lt;70,'Scénario référence'!$B$18*(32+38*(1-EXP(-0.0175*$A74))),70*'Scénario référence'!$B$18)</f>
        <v>70</v>
      </c>
      <c r="KR74" s="12">
        <f>IF($A74&gt;30,10,('Scénario référence'!$B$16+'Scénario référence'!$B$17+'Scénario référence'!$B$18+'Scénario référence'!$B$9+'Scénario référence'!$B$10)*$A74*10/30+('Scénario référence'!$F$8+'Scénario référence'!$F$9)*10)</f>
        <v>10</v>
      </c>
      <c r="KS74" s="12" t="e">
        <f>VLOOKUP($A74,'Données projet'!$A$408:$I$428,2,0)</f>
        <v>#N/A</v>
      </c>
      <c r="KT74" s="12" t="e">
        <f>VLOOKUP($A74,'Données projet'!$A$408:$I$428,9,0)</f>
        <v>#N/A</v>
      </c>
      <c r="KU74" s="12">
        <f t="array" ref="KU74">INDEX(KT:KT,MIN(IF(ISNUMBER(KT74:KT270),ROW(KT74:KT270),"")))</f>
        <v>3.4</v>
      </c>
      <c r="KV74" s="12">
        <f>IF('Données projet'!$A$408&gt;35,KV73+KU74-LD73,IF($A74&lt;'Données projet'!$A$408,$CQ$205^$A74,IF($A74='Données projet'!$A$408,'Données projet'!$B$408,KV73+KU74-LD73)))</f>
        <v>256.39999999999992</v>
      </c>
      <c r="KW74" s="17">
        <f>KV74*VLOOKUP('Données projet'!$B$23,Paramètres!$A$1:$I$89,3,0)*VLOOKUP('Données projet'!$B$23,Paramètres!$A$1:$I$89,5,0)</f>
        <v>223.99103999999997</v>
      </c>
      <c r="KX74" s="13">
        <f t="shared" si="210"/>
        <v>54.981408824201601</v>
      </c>
      <c r="KY74" s="14">
        <f t="shared" si="162"/>
        <v>485.87701503548442</v>
      </c>
      <c r="KZ74" s="59">
        <f t="shared" si="163"/>
        <v>779.21034836881768</v>
      </c>
      <c r="LA74" s="59">
        <f ca="1">AVERAGE(OFFSET($KZ$3,0,0,'Données projet'!$E$23+1,1))-AVERAGE(OFFSET($H$3,0,0,'Données projet'!$E$23+1,1))</f>
        <v>248.33596943633819</v>
      </c>
      <c r="LB74" s="59">
        <f t="shared" si="211"/>
        <v>242.34010522344573</v>
      </c>
      <c r="LC74" s="15">
        <f>IF(ISNA(VLOOKUP($A74,'Données projet'!$A$408:$I$428,3,0)),0,VLOOKUP($A74,'Données projet'!$A$408:$I$428,3,0))</f>
        <v>0</v>
      </c>
      <c r="LD74" s="15">
        <f>IF(ISNA(VLOOKUP($A74,'Données projet'!$A$408:$I$428,4,0)),0,VLOOKUP($A74,'Données projet'!$A$408:$I$428,4,0))</f>
        <v>0</v>
      </c>
      <c r="LE74" s="16">
        <f>IF(ISNA(VLOOKUP($A74,'Données projet'!$A$408:$I$428,5,0)),0%,VLOOKUP($A74,'Données projet'!$A$408:$I$428,5,0)*VLOOKUP('Données projet'!$B$23,Paramètres!$A$1:$I$89,7,0))</f>
        <v>0</v>
      </c>
      <c r="LF74" s="16">
        <f>IF(ISNA(VLOOKUP($A74,'Données projet'!$A$408:$I$428,6,0)),0%,VLOOKUP($A74,'Données projet'!$A$408:$I$428,6,0)*VLOOKUP('Données projet'!$B$23,Paramètres!$A$1:$I$89,7,0))</f>
        <v>0</v>
      </c>
      <c r="LG74" s="16">
        <f>IF(ISNA(VLOOKUP($A74,'Données projet'!$A$408:$I$428,7,0)),0%,VLOOKUP($A74,'Données projet'!$A$408:$I$428,7,0))</f>
        <v>0</v>
      </c>
      <c r="LH74" s="21">
        <f>EXP(-LN(2)/35)*LH73+(1-EXP(-LN(2)/35))/(LN(2)/35)*LD74*LE74*VLOOKUP('Données projet'!$B$23,Paramètres!$A$1:$I$89,3,0)*0.475*44/12</f>
        <v>23.559082436991044</v>
      </c>
      <c r="LI74" s="21">
        <f>EXP(-LN(2)/25)*LI73+(1-EXP(-LN(2)/25))/(LN(2)/25)*Calculateur!LD74*Calculateur!LF74*VLOOKUP('Données projet'!$B$23,Paramètres!$A$1:$I$89,3,0)*0.475*44/12</f>
        <v>8.5132890893066318</v>
      </c>
      <c r="LJ74" s="21">
        <f>EXP(-LN(2)/2)*LJ73+(1-EXP(-LN(2)/2))/(LN(2)/2)*LD74*LG74*VLOOKUP('Données projet'!$B$23,Paramètres!$A$1:$I$89,3,0)*0.475*44/12</f>
        <v>0</v>
      </c>
      <c r="LK74" s="22">
        <f t="shared" si="164"/>
        <v>32.072371526297673</v>
      </c>
      <c r="LL74" s="74">
        <f>('Scénario référence'!$F$8+'Scénario référence'!$F$9+'Scénario référence'!$B$17+'Scénario référence'!$B$9+'Scénario référence'!$B$10)*70+IF((45+25*(1-EXP(-0.0175*$A74)))&lt;70,'Scénario référence'!$B$16*(45+25*(1-EXP(-0.0175*$A74))),70*'Scénario référence'!$B$16)+IF((32+38*(1-EXP(-0.0175*$A74)))&lt;70,'Scénario référence'!$B$18*(32+38*(1-EXP(-0.0175*$A74))),70*'Scénario référence'!$B$18)</f>
        <v>70</v>
      </c>
      <c r="LM74" s="12">
        <f>IF($A74&gt;30,10,('Scénario référence'!$B$16+'Scénario référence'!$B$17+'Scénario référence'!$B$18+'Scénario référence'!$B$9+'Scénario référence'!$B$10)*$A74*10/30+('Scénario référence'!$F$8+'Scénario référence'!$F$9)*10)</f>
        <v>10</v>
      </c>
      <c r="LN74" s="12" t="e">
        <f>VLOOKUP($A74,'Données projet'!$A$434:$I$454,2,0)</f>
        <v>#N/A</v>
      </c>
      <c r="LO74" s="12" t="e">
        <f>VLOOKUP($A74,'Données projet'!$A$434:$I$454,9,0)</f>
        <v>#N/A</v>
      </c>
      <c r="LP74" s="12">
        <f t="array" ref="LP74">INDEX(LO:LO,MIN(IF(ISNUMBER(LO74:LO270),ROW(LO74:LO270),"")))</f>
        <v>5.6899038461538431</v>
      </c>
      <c r="LQ74" s="12">
        <f>IF('Données projet'!$A$434&gt;35,LQ73+LP74-LY73,IF($A74&lt;'Données projet'!$A$434,$CQ$205^$A74,IF($A74='Données projet'!$A$434,'Données projet'!$B$434,LQ73+LP74-LY73)))</f>
        <v>158.62499999999997</v>
      </c>
      <c r="LR74" s="17">
        <f>LQ74*VLOOKUP('Données projet'!$B$24,Paramètres!$A$1:$I$89,3,0)*VLOOKUP('Données projet'!$B$24,Paramètres!$A$1:$I$89,5,0)</f>
        <v>160.84574999999998</v>
      </c>
      <c r="LS74" s="13">
        <f t="shared" si="212"/>
        <v>41.033218108988017</v>
      </c>
      <c r="LT74" s="14">
        <f t="shared" si="165"/>
        <v>351.60586945648743</v>
      </c>
      <c r="LU74" s="59">
        <f t="shared" si="166"/>
        <v>644.93920278982068</v>
      </c>
      <c r="LV74" s="59">
        <f ca="1">AVERAGE(OFFSET($LU$3,0,0,'Données projet'!$E$24+1,1))-AVERAGE(OFFSET($H$3,0,0,'Données projet'!$E$24+1,1))</f>
        <v>260.52627655062872</v>
      </c>
      <c r="LW74" s="59">
        <f t="shared" si="213"/>
        <v>159.20429420478047</v>
      </c>
      <c r="LX74" s="15">
        <f>IF(ISNA(VLOOKUP($A74,'Données projet'!$A$434:$I$454,3,0)),0,VLOOKUP($A74,'Données projet'!$A$434:$I$454,3,0))</f>
        <v>0</v>
      </c>
      <c r="LY74" s="15">
        <f>IF(ISNA(VLOOKUP($A74,'Données projet'!$A$434:$I$454,4,0)),0,VLOOKUP($A74,'Données projet'!$A$434:$I$454,4,0))</f>
        <v>0</v>
      </c>
      <c r="LZ74" s="16">
        <f>IF(ISNA(VLOOKUP($A74,'Données projet'!$A$434:$I$454,5,0)),0%,VLOOKUP($A74,'Données projet'!$A$434:$I$454,5,0)*VLOOKUP('Données projet'!$B$24,Paramètres!$A$1:$I$89,7,0))</f>
        <v>0</v>
      </c>
      <c r="MA74" s="16">
        <f>IF(ISNA(VLOOKUP($A74,'Données projet'!$A$434:$I$454,6,0)),0%,VLOOKUP($A74,'Données projet'!$A$434:$I$454,6,0)*VLOOKUP('Données projet'!$B$24,Paramètres!$A$1:$I$89,7,0))</f>
        <v>0</v>
      </c>
      <c r="MB74" s="16">
        <f>IF(ISNA(VLOOKUP($A74,'Données projet'!$A$434:$I$454,7,0)),0%,VLOOKUP($A74,'Données projet'!$A$434:$I$454,7,0))</f>
        <v>0</v>
      </c>
      <c r="MC74" s="21">
        <f>EXP(-LN(2)/35)*MC73+(1-EXP(-LN(2)/35))/(LN(2)/35)*LY74*LZ74*VLOOKUP('Données projet'!$B$24,Paramètres!$A$1:$I$89,3,0)*0.475*44/12</f>
        <v>0</v>
      </c>
      <c r="MD74" s="21">
        <f>EXP(-LN(2)/25)*MD73+(1-EXP(-LN(2)/25))/(LN(2)/25)*Calculateur!LY74*Calculateur!MA74*VLOOKUP('Données projet'!$B$24,Paramètres!$A$1:$I$89,3,0)*0.475*44/12</f>
        <v>0</v>
      </c>
      <c r="ME74" s="21">
        <f>EXP(-LN(2)/2)*ME73+(1-EXP(-LN(2)/2))/(LN(2)/2)*LY74*MB74*VLOOKUP('Données projet'!$B$24,Paramètres!$A$1:$I$89,3,0)*0.475*44/12</f>
        <v>0</v>
      </c>
      <c r="MF74" s="22">
        <f t="shared" si="167"/>
        <v>0</v>
      </c>
      <c r="MG74" s="74">
        <f>('Scénario référence'!$F$8+'Scénario référence'!$F$9+'Scénario référence'!$B$17+'Scénario référence'!$B$9+'Scénario référence'!$B$10)*70+IF((45+25*(1-EXP(-0.0175*$A74)))&lt;70,'Scénario référence'!$B$16*(45+25*(1-EXP(-0.0175*$A74))),70*'Scénario référence'!$B$16)+IF((32+38*(1-EXP(-0.0175*$A74)))&lt;70,'Scénario référence'!$B$18*(32+38*(1-EXP(-0.0175*$A74))),70*'Scénario référence'!$B$18)</f>
        <v>70</v>
      </c>
      <c r="MH74" s="12">
        <f>IF($A74&gt;30,10,('Scénario référence'!$B$16+'Scénario référence'!$B$17+'Scénario référence'!$B$18+'Scénario référence'!$B$9+'Scénario référence'!$B$10)*$A74*10/30+('Scénario référence'!$F$8+'Scénario référence'!$F$9)*10)</f>
        <v>10</v>
      </c>
      <c r="MI74" s="12" t="e">
        <f>VLOOKUP($A74,'Données projet'!$A$460:$I$480,2,0)</f>
        <v>#N/A</v>
      </c>
      <c r="MJ74" s="12" t="e">
        <f>VLOOKUP($A74,'Données projet'!$A$460:$I$480,9,0)</f>
        <v>#N/A</v>
      </c>
      <c r="MK74" s="12">
        <f t="array" ref="MK74">INDEX(MJ:MJ,MIN(IF(ISNUMBER(MJ74:MJ270),ROW(MJ74:MJ270),"")))</f>
        <v>0</v>
      </c>
      <c r="ML74" s="12">
        <f>IF('Données projet'!$A$460&gt;35,ML73+MK74-MT73,IF($A74&lt;'Données projet'!$A$460,$CQ$205^$A74,IF($A74='Données projet'!$A$460,'Données projet'!$B$460,ML73+MK74-MT73)))</f>
        <v>0</v>
      </c>
      <c r="MM74" s="17" t="e">
        <f>ML74*VLOOKUP('Données projet'!$B$25,Paramètres!$A$1:$I$89,3,0)*VLOOKUP('Données projet'!$B$25,Paramètres!$A$1:$I$89,5,0)</f>
        <v>#N/A</v>
      </c>
      <c r="MN74" s="13" t="e">
        <f t="shared" si="214"/>
        <v>#N/A</v>
      </c>
      <c r="MO74" s="14" t="e">
        <f t="shared" si="168"/>
        <v>#N/A</v>
      </c>
      <c r="MP74" s="59" t="e">
        <f t="shared" si="169"/>
        <v>#N/A</v>
      </c>
      <c r="MQ74" s="20" t="e">
        <f ca="1">AVERAGE(OFFSET($MP$3,0,0,'Données projet'!$E$25+1,1))-AVERAGE(OFFSET($H$3,0,0,'Données projet'!$E$25+1,1))</f>
        <v>#N/A</v>
      </c>
      <c r="MR74" s="59" t="e">
        <f t="shared" si="215"/>
        <v>#N/A</v>
      </c>
      <c r="MS74" s="15">
        <f>IF(ISNA(VLOOKUP($A74,'Données projet'!$A$460:$I$480,3,0)),0,VLOOKUP($A74,'Données projet'!$A$460:$I$480,3,0))</f>
        <v>0</v>
      </c>
      <c r="MT74" s="15">
        <f>IF(ISNA(VLOOKUP($A74,'Données projet'!$A$460:$I$480,4,0)),0,VLOOKUP($A74,'Données projet'!$A$460:$I$480,4,0))</f>
        <v>0</v>
      </c>
      <c r="MU74" s="16">
        <f>IF(ISNA(VLOOKUP($A74,'Données projet'!$A$460:$I$480,5,0)),0%,VLOOKUP($A74,'Données projet'!$A$460:$I$480,5,0)*VLOOKUP('Données projet'!$B$25,Paramètres!$A$1:$I$89,7,0))</f>
        <v>0</v>
      </c>
      <c r="MV74" s="16">
        <f>IF(ISNA(VLOOKUP($A74,'Données projet'!$A$460:$I$480,6,0)),0%,VLOOKUP($A74,'Données projet'!$A$460:$I$480,6,0)*VLOOKUP('Données projet'!$B$25,Paramètres!$A$1:$I$89,7,0))</f>
        <v>0</v>
      </c>
      <c r="MW74" s="16">
        <f>IF(ISNA(VLOOKUP($A74,'Données projet'!$A$460:$I$480,7,0)),0%,VLOOKUP($A74,'Données projet'!$A$460:$I$480,7,0))</f>
        <v>0</v>
      </c>
      <c r="MX74" s="21" t="e">
        <f>EXP(-LN(2)/35)*MX73+(1-EXP(-LN(2)/35))/(LN(2)/35)*MT74*MU74*VLOOKUP('Données projet'!$B$25,Paramètres!$A$1:$I$89,3,0)*0.475*44/12</f>
        <v>#N/A</v>
      </c>
      <c r="MY74" s="21" t="e">
        <f>EXP(-LN(2)/25)*MY73+(1-EXP(-LN(2)/25))/(LN(2)/25)*Calculateur!MT74*Calculateur!MV74*VLOOKUP('Données projet'!$B$25,Paramètres!$A$1:$I$89,3,0)*0.475*44/12</f>
        <v>#N/A</v>
      </c>
      <c r="MZ74" s="21" t="e">
        <f>EXP(-LN(2)/2)*MZ73+(1-EXP(-LN(2)/2))/(LN(2)/2)*MT74*MW74*VLOOKUP('Données projet'!$B$25,Paramètres!$A$1:$I$89,3,0)*0.475*44/12</f>
        <v>#N/A</v>
      </c>
      <c r="NA74" s="22" t="e">
        <f t="shared" si="170"/>
        <v>#N/A</v>
      </c>
      <c r="NB74" s="74">
        <f>('Scénario référence'!$F$8+'Scénario référence'!$F$9+'Scénario référence'!$B$17+'Scénario référence'!$B$9+'Scénario référence'!$B$10)*70+IF((45+25*(1-EXP(-0.0175*$A74)))&lt;70,'Scénario référence'!$B$16*(45+25*(1-EXP(-0.0175*$A74))),70*'Scénario référence'!$B$16)+IF((32+38*(1-EXP(-0.0175*$A74)))&lt;70,'Scénario référence'!$B$18*(32+38*(1-EXP(-0.0175*$A74))),70*'Scénario référence'!$B$18)</f>
        <v>70</v>
      </c>
      <c r="NC74" s="12">
        <f>IF($A74&gt;30,10,('Scénario référence'!$B$16+'Scénario référence'!$B$17+'Scénario référence'!$B$18+'Scénario référence'!$B$9+'Scénario référence'!$B$10)*$A74*10/30+('Scénario référence'!$F$8+'Scénario référence'!$F$9)*10)</f>
        <v>10</v>
      </c>
      <c r="ND74" s="12" t="e">
        <f>VLOOKUP($A74,'Données projet'!$A$486:$I$506,2,0)</f>
        <v>#N/A</v>
      </c>
      <c r="NE74" s="12" t="e">
        <f>VLOOKUP($A74,'Données projet'!$A$486:$I$506,9,0)</f>
        <v>#N/A</v>
      </c>
      <c r="NF74" s="12">
        <f t="array" ref="NF74">INDEX(NE:NE,MIN(IF(ISNUMBER(NE74:NE270),ROW(NE74:NE270),"")))</f>
        <v>0</v>
      </c>
      <c r="NG74" s="12">
        <f>IF('Données projet'!$A$486&gt;35,NG73+NF74-NO73,IF($A74&lt;'Données projet'!$A$486,$CQ$205^$A74,IF($A74='Données projet'!$A$486,'Données projet'!$B$486,NG73+NF74-NO73)))</f>
        <v>0</v>
      </c>
      <c r="NH74" s="17" t="e">
        <f>NG74*VLOOKUP('Données projet'!$B$26,Paramètres!$A$1:$I$89,3,0)*VLOOKUP('Données projet'!$B$26,Paramètres!$A$1:$I$89,5,0)</f>
        <v>#N/A</v>
      </c>
      <c r="NI74" s="13" t="e">
        <f t="shared" si="216"/>
        <v>#N/A</v>
      </c>
      <c r="NJ74" s="14" t="e">
        <f t="shared" si="171"/>
        <v>#N/A</v>
      </c>
      <c r="NK74" s="59" t="e">
        <f t="shared" si="172"/>
        <v>#N/A</v>
      </c>
      <c r="NL74" s="20" t="e">
        <f ca="1">AVERAGE(OFFSET($NK$3,0,0,'Données projet'!$E$26+1,1))-AVERAGE(OFFSET($H$3,0,0,'Données projet'!$E$26+1,1))</f>
        <v>#N/A</v>
      </c>
      <c r="NM74" s="59" t="e">
        <f t="shared" si="217"/>
        <v>#N/A</v>
      </c>
      <c r="NN74" s="15">
        <f>IF(ISNA(VLOOKUP($A74,'Données projet'!$A$486:$I$506,3,0)),0,VLOOKUP($A74,'Données projet'!$A$486:$I$506,3,0))</f>
        <v>0</v>
      </c>
      <c r="NO74" s="15">
        <f>IF(ISNA(VLOOKUP($A74,'Données projet'!$A$486:$I$506,4,0)),0,VLOOKUP($A74,'Données projet'!$A$486:$I$506,4,0))</f>
        <v>0</v>
      </c>
      <c r="NP74" s="16">
        <f>IF(ISNA(VLOOKUP($A74,'Données projet'!$A$486:$I$506,5,0)),0%,VLOOKUP($A74,'Données projet'!$A$486:$I$506,5,0)*VLOOKUP('Données projet'!$B$26,Paramètres!$A$1:$I$89,7,0))</f>
        <v>0</v>
      </c>
      <c r="NQ74" s="16">
        <f>IF(ISNA(VLOOKUP($A74,'Données projet'!$A$486:$I$506,6,0)),0%,VLOOKUP($A74,'Données projet'!$A$486:$I$506,6,0)*VLOOKUP('Données projet'!$B$26,Paramètres!$A$1:$I$89,7,0))</f>
        <v>0</v>
      </c>
      <c r="NR74" s="16">
        <f>IF(ISNA(VLOOKUP($A74,'Données projet'!$A$486:$I$506,7,0)),0%,VLOOKUP($A74,'Données projet'!$A$486:$I$506,7,0))</f>
        <v>0</v>
      </c>
      <c r="NS74" s="21" t="e">
        <f>EXP(-LN(2)/35)*NS73+(1-EXP(-LN(2)/35))/(LN(2)/35)*NO74*NP74*VLOOKUP('Données projet'!$B$26,Paramètres!$A$1:$I$89,3,0)*0.475*44/12</f>
        <v>#N/A</v>
      </c>
      <c r="NT74" s="21" t="e">
        <f>EXP(-LN(2)/25)*NT73+(1-EXP(-LN(2)/25))/(LN(2)/25)*Calculateur!NO74*Calculateur!NQ74*VLOOKUP('Données projet'!$B$26,Paramètres!$A$1:$I$89,3,0)*0.475*44/12</f>
        <v>#N/A</v>
      </c>
      <c r="NU74" s="21" t="e">
        <f>EXP(-LN(2)/2)*NU73+(1-EXP(-LN(2)/2))/(LN(2)/2)*NO74*NR74*VLOOKUP('Données projet'!$B$26,Paramètres!$A$1:$I$89,3,0)*0.475*44/12</f>
        <v>#N/A</v>
      </c>
      <c r="NV74" s="22" t="e">
        <f t="shared" si="173"/>
        <v>#N/A</v>
      </c>
      <c r="NW74" s="74">
        <f>('Scénario référence'!$F$8+'Scénario référence'!$F$9+'Scénario référence'!$B$17+'Scénario référence'!$B$9+'Scénario référence'!$B$10)*70+IF((45+25*(1-EXP(-0.0175*$A74)))&lt;70,'Scénario référence'!$B$16*(45+25*(1-EXP(-0.0175*$A74))),70*'Scénario référence'!$B$16)+IF((32+38*(1-EXP(-0.0175*$A74)))&lt;70,'Scénario référence'!$B$18*(32+38*(1-EXP(-0.0175*$A74))),70*'Scénario référence'!$B$18)</f>
        <v>70</v>
      </c>
      <c r="NX74" s="12">
        <f>IF($A74&gt;30,10,('Scénario référence'!$B$16+'Scénario référence'!$B$17+'Scénario référence'!$B$18+'Scénario référence'!$B$9+'Scénario référence'!$B$10)*$A74*10/30+('Scénario référence'!$F$8+'Scénario référence'!$F$9)*10)</f>
        <v>10</v>
      </c>
      <c r="NY74" s="12" t="e">
        <f>VLOOKUP($A74,'Données projet'!$A$512:$I$532,2,0)</f>
        <v>#N/A</v>
      </c>
      <c r="NZ74" s="12" t="e">
        <f>VLOOKUP($A74,'Données projet'!$A$512:$I$532,9,0)</f>
        <v>#N/A</v>
      </c>
      <c r="OA74" s="12">
        <f t="array" ref="OA74">INDEX(NZ:NZ,MIN(IF(ISNUMBER(NZ74:NZ270),ROW(NZ74:NZ270),"")))</f>
        <v>0</v>
      </c>
      <c r="OB74" s="12">
        <f>IF('Données projet'!$A$512&gt;35,OB73+OA74-OJ73,IF($A74&lt;'Données projet'!$A$512,$CQ$205^$A74,IF($A74='Données projet'!$A$512,'Données projet'!$B$512,OB73+OA74-OJ73)))</f>
        <v>0</v>
      </c>
      <c r="OC74" s="17" t="e">
        <f>OB74*VLOOKUP('Données projet'!$B$27,Paramètres!$A$1:$I$89,3,0)*VLOOKUP('Données projet'!$B$27,Paramètres!$A$1:$I$89,5,0)</f>
        <v>#N/A</v>
      </c>
      <c r="OD74" s="13" t="e">
        <f t="shared" si="218"/>
        <v>#N/A</v>
      </c>
      <c r="OE74" s="14" t="e">
        <f t="shared" si="174"/>
        <v>#N/A</v>
      </c>
      <c r="OF74" s="59" t="e">
        <f t="shared" si="175"/>
        <v>#N/A</v>
      </c>
      <c r="OG74" s="20" t="e">
        <f ca="1">AVERAGE(OFFSET($OF$3,0,0,'Données projet'!$E$27+1,1))-AVERAGE(OFFSET($H$3,0,0,'Données projet'!$E$27+1,1))</f>
        <v>#N/A</v>
      </c>
      <c r="OH74" s="59" t="e">
        <f t="shared" si="219"/>
        <v>#N/A</v>
      </c>
      <c r="OI74" s="15">
        <f>IF(ISNA(VLOOKUP($A74,'Données projet'!$A$512:$I$532,3,0)),0,VLOOKUP($A74,'Données projet'!$A$512:$I$532,3,0))</f>
        <v>0</v>
      </c>
      <c r="OJ74" s="15">
        <f>IF(ISNA(VLOOKUP($A74,'Données projet'!$A$512:$I$532,4,0)),0,VLOOKUP($A74,'Données projet'!$A$512:$I$532,4,0))</f>
        <v>0</v>
      </c>
      <c r="OK74" s="16">
        <f>IF(ISNA(VLOOKUP($A74,'Données projet'!$A$512:$I$532,5,0)),0%,VLOOKUP($A74,'Données projet'!$A$512:$I$532,5,0)*VLOOKUP('Données projet'!$B$27,Paramètres!$A$1:$I$89,7,0))</f>
        <v>0</v>
      </c>
      <c r="OL74" s="16">
        <f>IF(ISNA(VLOOKUP($A74,'Données projet'!$A$512:$I$532,6,0)),0%,VLOOKUP($A74,'Données projet'!$A$512:$I$532,6,0)*VLOOKUP('Données projet'!$B$27,Paramètres!$A$1:$I$89,7,0))</f>
        <v>0</v>
      </c>
      <c r="OM74" s="16">
        <f>IF(ISNA(VLOOKUP($A74,'Données projet'!$A$512:$I$532,7,0)),0%,VLOOKUP($A74,'Données projet'!$A$512:$I$532,7,0))</f>
        <v>0</v>
      </c>
      <c r="ON74" s="21" t="e">
        <f>EXP(-LN(2)/35)*ON73+(1-EXP(-LN(2)/35))/(LN(2)/35)*OJ74*OK74*VLOOKUP('Données projet'!$B$27,Paramètres!$A$1:$I$89,3,0)*0.475*44/12</f>
        <v>#N/A</v>
      </c>
      <c r="OO74" s="21" t="e">
        <f>EXP(-LN(2)/25)*OO73+(1-EXP(-LN(2)/25))/(LN(2)/25)*Calculateur!OJ74*Calculateur!OL74*VLOOKUP('Données projet'!$B$27,Paramètres!$A$1:$I$89,3,0)*0.475*44/12</f>
        <v>#N/A</v>
      </c>
      <c r="OP74" s="21" t="e">
        <f>EXP(-LN(2)/2)*OP73+(1-EXP(-LN(2)/2))/(LN(2)/2)*OJ74*OM74*VLOOKUP('Données projet'!$B$27,Paramètres!$A$1:$I$89,3,0)*0.475*44/12</f>
        <v>#N/A</v>
      </c>
      <c r="OQ74" s="22" t="e">
        <f t="shared" si="176"/>
        <v>#N/A</v>
      </c>
      <c r="OR74" s="74">
        <f>('Scénario référence'!$F$8+'Scénario référence'!$F$9+'Scénario référence'!$B$17+'Scénario référence'!$B$9+'Scénario référence'!$B$10)*70+IF((45+25*(1-EXP(-0.0175*$A74)))&lt;70,'Scénario référence'!$B$16*(45+25*(1-EXP(-0.0175*$A74))),70*'Scénario référence'!$B$16)+IF((32+38*(1-EXP(-0.0175*$A74)))&lt;70,'Scénario référence'!$B$18*(32+38*(1-EXP(-0.0175*$A74))),70*'Scénario référence'!$B$18)</f>
        <v>70</v>
      </c>
      <c r="OS74" s="12">
        <f>IF($A74&gt;30,10,('Scénario référence'!$B$16+'Scénario référence'!$B$17+'Scénario référence'!$B$18+'Scénario référence'!$B$9+'Scénario référence'!$B$10)*$A74*10/30+('Scénario référence'!$F$8+'Scénario référence'!$F$9)*10)</f>
        <v>10</v>
      </c>
      <c r="OT74" s="12" t="e">
        <f>VLOOKUP($A74,'Données projet'!$A$538:$I$558,2,0)</f>
        <v>#N/A</v>
      </c>
      <c r="OU74" s="12" t="e">
        <f>VLOOKUP($A74,'Données projet'!$A$538:$I$558,9,0)</f>
        <v>#N/A</v>
      </c>
      <c r="OV74" s="12">
        <f t="array" ref="OV74">INDEX(OU:OU,MIN(IF(ISNUMBER(OU74:OU270),ROW(OU74:OU270),"")))</f>
        <v>0</v>
      </c>
      <c r="OW74" s="12">
        <f>IF('Données projet'!$A$538&gt;35,OW73+OV74-PE73,IF($A74&lt;'Données projet'!$A$538,$CQ$205^$A74,IF($A74='Données projet'!$A$538,'Données projet'!$B$538,OW73+OV74-PE73)))</f>
        <v>0</v>
      </c>
      <c r="OX74" s="17" t="e">
        <f>OW74*VLOOKUP('Données projet'!$B$28,Paramètres!$A$1:$I$89,3,0)*VLOOKUP('Données projet'!$B$28,Paramètres!$A$1:$I$89,5,0)</f>
        <v>#N/A</v>
      </c>
      <c r="OY74" s="13" t="e">
        <f t="shared" si="220"/>
        <v>#N/A</v>
      </c>
      <c r="OZ74" s="14" t="e">
        <f t="shared" si="177"/>
        <v>#N/A</v>
      </c>
      <c r="PA74" s="59" t="e">
        <f t="shared" si="178"/>
        <v>#N/A</v>
      </c>
      <c r="PB74" s="20" t="e">
        <f ca="1">AVERAGE(OFFSET($PA$3,0,0,'Données projet'!$E$28+1,1))-AVERAGE(OFFSET($H$3,0,0,'Données projet'!$E$28+1,1))</f>
        <v>#N/A</v>
      </c>
      <c r="PC74" s="59" t="e">
        <f t="shared" si="221"/>
        <v>#N/A</v>
      </c>
      <c r="PD74" s="15">
        <f>IF(ISNA(VLOOKUP($A74,'Données projet'!$A$538:$I$558,3,0)),0,VLOOKUP($A74,'Données projet'!$A$538:$I$558,3,0))</f>
        <v>0</v>
      </c>
      <c r="PE74" s="15">
        <f>IF(ISNA(VLOOKUP($A74,'Données projet'!$A$538:$I$558,4,0)),0,VLOOKUP($A74,'Données projet'!$A$538:$I$558,4,0))</f>
        <v>0</v>
      </c>
      <c r="PF74" s="16">
        <f>IF(ISNA(VLOOKUP($A74,'Données projet'!$A$538:$I$558,5,0)),0%,VLOOKUP($A74,'Données projet'!$A$538:$I$558,5,0)*VLOOKUP('Données projet'!$B$28,Paramètres!$A$1:$I$89,7,0))</f>
        <v>0</v>
      </c>
      <c r="PG74" s="16">
        <f>IF(ISNA(VLOOKUP($A74,'Données projet'!$A$538:$I$558,6,0)),0%,VLOOKUP($A74,'Données projet'!$A$538:$I$558,6,0)*VLOOKUP('Données projet'!$B$28,Paramètres!$A$1:$I$89,7,0))</f>
        <v>0</v>
      </c>
      <c r="PH74" s="16">
        <f>IF(ISNA(VLOOKUP($A74,'Données projet'!$A$538:$I$558,7,0)),0%,VLOOKUP($A74,'Données projet'!$A$538:$I$558,7,0))</f>
        <v>0</v>
      </c>
      <c r="PI74" s="21" t="e">
        <f>EXP(-LN(2)/35)*PI73+(1-EXP(-LN(2)/35))/(LN(2)/35)*PE74*PF74*VLOOKUP('Données projet'!$B$28,Paramètres!$A$1:$I$89,3,0)*0.475*44/12</f>
        <v>#N/A</v>
      </c>
      <c r="PJ74" s="21" t="e">
        <f>EXP(-LN(2)/25)*PJ73+(1-EXP(-LN(2)/25))/(LN(2)/25)*Calculateur!PE74*Calculateur!PG74*VLOOKUP('Données projet'!$B$28,Paramètres!$A$1:$I$89,3,0)*0.475*44/12</f>
        <v>#N/A</v>
      </c>
      <c r="PK74" s="21" t="e">
        <f>EXP(-LN(2)/2)*PK73+(1-EXP(-LN(2)/2))/(LN(2)/2)*PE74*PH74*VLOOKUP('Données projet'!$B$28,Paramètres!$A$1:$I$89,3,0)*0.475*44/12</f>
        <v>#N/A</v>
      </c>
      <c r="PL74" s="22" t="e">
        <f t="shared" si="179"/>
        <v>#N/A</v>
      </c>
    </row>
    <row r="75" spans="1:428" x14ac:dyDescent="0.35">
      <c r="A75" s="10">
        <f t="shared" si="180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181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121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projet'!$A$45:$I$65,2,0)</f>
        <v>#N/A</v>
      </c>
      <c r="L75" s="12" t="e">
        <f>VLOOKUP(A75,'Données projet'!$A$45:$I$65,9,0)</f>
        <v>#N/A</v>
      </c>
      <c r="M75" s="12">
        <f t="array" ref="M75">INDEX(L:L,MIN(IF(ISNUMBER(L75:L271),ROW(L75:L271),"")))</f>
        <v>0</v>
      </c>
      <c r="N75" s="13">
        <f>IF('Données projet'!$A$46&gt;35,N74+M75-V74,IF(A75&lt;'Données projet'!$A$46,$K$205^A75,IF(A75='Données projet'!$A$46,'Données projet'!$B$46,N74+M75-V74)))</f>
        <v>-1.1368683772161603E-13</v>
      </c>
      <c r="O75" s="13">
        <f>N75*VLOOKUP('Données projet'!$B$9,Paramètres!$A$1:$I$89,3,0)*VLOOKUP('Données projet'!$B$9,Paramètres!$A$1:$I$89,5,0)</f>
        <v>-6.3550942286383367E-14</v>
      </c>
      <c r="P75" s="13" t="e">
        <f t="shared" si="182"/>
        <v>#NUM!</v>
      </c>
      <c r="Q75" s="20" t="e">
        <f t="shared" si="119"/>
        <v>#NUM!</v>
      </c>
      <c r="R75" s="59" t="e">
        <f t="shared" si="120"/>
        <v>#NUM!</v>
      </c>
      <c r="S75" s="59">
        <f ca="1">AVERAGE(OFFSET($R$3,0,0,'Données projet'!$E$9+1,1))-AVERAGE(OFFSET($H$3,0,0,'Données projet'!$E$9+1,1))</f>
        <v>274.57619581652199</v>
      </c>
      <c r="T75" s="59">
        <f t="shared" si="183"/>
        <v>366.15117322598775</v>
      </c>
      <c r="U75" s="15">
        <f>IF(ISNA(VLOOKUP(A75,'Données projet'!$A$45:$I$65,3,0)),0,VLOOKUP(A75,'Données projet'!$A$45:$I$65,3,0))</f>
        <v>0</v>
      </c>
      <c r="V75" s="15">
        <f>IF(ISNA(VLOOKUP(A75,'Données projet'!$A$45:$I$65,4,0)),0,VLOOKUP(A75,'Données projet'!$A$45:$I$65,4,0))</f>
        <v>0</v>
      </c>
      <c r="W75" s="16">
        <f>IF(ISNA(VLOOKUP(A75,'Données projet'!$A$45:$I$65,5,0)),0%,VLOOKUP(A75,'Données projet'!$A$45:$I$65,5,0)*VLOOKUP('Données projet'!$B$9,Paramètres!$A$1:$I$89,7,0))</f>
        <v>0</v>
      </c>
      <c r="X75" s="16">
        <f>IF(ISNA(VLOOKUP(A75,'Données projet'!$A$45:$I$65,6,0)),0%,VLOOKUP(A75,'Données projet'!$A$45:$I$65,6,0)*VLOOKUP('Données projet'!$B$9,Paramètres!$A$1:$I$89,7,0))</f>
        <v>0</v>
      </c>
      <c r="Y75" s="16">
        <f>IF(ISNA(VLOOKUP(A75,'Données projet'!$A$45:$I$65,7,0)),0%,VLOOKUP(A75,'Données projet'!$A$45:$I$65,7,0))</f>
        <v>0</v>
      </c>
      <c r="Z75" s="21">
        <f>EXP(-LN(2)/35)*Z74+(1-EXP(-LN(2)/35))/(LN(2)/35)*V75*W75*VLOOKUP('Données projet'!$B$9,Paramètres!$A$1:$I$89,3,0)*0.475*44/12</f>
        <v>161.86566056664478</v>
      </c>
      <c r="AA75" s="21">
        <f>EXP(-LN(2)/25)*AA74+(1-EXP(-LN(2)/25))/(LN(2)/25)*Calculateur!V75*Calculateur!X75*VLOOKUP('Données projet'!$B$9,Paramètres!$A$1:$I$89,3,0)*0.475*44/12</f>
        <v>35.956713640000061</v>
      </c>
      <c r="AB75" s="21">
        <f>EXP(-LN(2)/2)*AB74+(1-EXP(-LN(2)/2))/(LN(2)/2)*V75*Y75*VLOOKUP('Données projet'!$B$9,Paramètres!$A$1:$I$89,3,0)*0.475*44/12</f>
        <v>9.4358162951105815E-2</v>
      </c>
      <c r="AC75" s="22">
        <f t="shared" si="122"/>
        <v>197.91673236959593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projet'!$A$71:$I$91,2,0)</f>
        <v>#N/A</v>
      </c>
      <c r="AG75" s="12" t="e">
        <f>VLOOKUP(A75,'Données projet'!$A$71:$I$91,9,0)</f>
        <v>#N/A</v>
      </c>
      <c r="AH75" s="12">
        <f t="array" ref="AH75">INDEX(AG:AG,MIN(IF(ISNUMBER(AG75:AG271),ROW(AG75:AG271),"")))</f>
        <v>7.8425925925925934</v>
      </c>
      <c r="AI75" s="13">
        <f>IF('Données projet'!$A$72&gt;35,AI74+AH75-AQ74,IF(A75&lt;'Données projet'!$A$72,$AF$205^A75,IF(A75='Données projet'!$A$72,'Données projet'!$B$72,AI74+AH75-AQ74)))</f>
        <v>211.27207977208002</v>
      </c>
      <c r="AJ75" s="13">
        <f>AI75*VLOOKUP('Données projet'!$B$10,Paramètres!$A$1:$I$89,3,0)*VLOOKUP('Données projet'!$B$10,Paramètres!$A$1:$I$89,5,0)</f>
        <v>191.15897777777801</v>
      </c>
      <c r="AK75" s="13">
        <f t="shared" si="184"/>
        <v>47.796095622022989</v>
      </c>
      <c r="AL75" s="20">
        <f t="shared" si="123"/>
        <v>416.18008617132006</v>
      </c>
      <c r="AM75" s="59">
        <f t="shared" si="124"/>
        <v>709.51341950465337</v>
      </c>
      <c r="AN75" s="59">
        <f ca="1">AVERAGE(OFFSET($AM$3,0,0,'Données projet'!$E$10+1,1))-AVERAGE(OFFSET($H$3,0,0,'Données projet'!$E$10+1,1))</f>
        <v>270.87836509222456</v>
      </c>
      <c r="AO75" s="59">
        <f t="shared" si="185"/>
        <v>205.24998237949734</v>
      </c>
      <c r="AP75" s="15">
        <f>IF(ISNA(VLOOKUP(A75,'Données projet'!$A$71:$I$91,3,0)),0,VLOOKUP(A75,'Données projet'!$A$71:$I$91,3,0))</f>
        <v>0</v>
      </c>
      <c r="AQ75" s="15">
        <f>IF(ISNA(VLOOKUP(A75,'Données projet'!$A$71:$I$91,4,0)),0,VLOOKUP(A75,'Données projet'!$A$71:$I$91,4,0))</f>
        <v>0</v>
      </c>
      <c r="AR75" s="16">
        <f>IF(ISNA(VLOOKUP(A75,'Données projet'!$A$71:$I$91,5,0)),0%,VLOOKUP(A75,'Données projet'!$A$71:$I$91,5,0)*VLOOKUP('Données projet'!$B$10,Paramètres!$A$1:$I$89,7,0))</f>
        <v>0</v>
      </c>
      <c r="AS75" s="16">
        <f>IF(ISNA(VLOOKUP(A75,'Données projet'!$A$71:$I$91,6,0)),0%,VLOOKUP(A75,'Données projet'!$A$71:$I$91,6,0)*VLOOKUP('Données projet'!$B$10,Paramètres!$A$1:$I$89,7,0))</f>
        <v>0</v>
      </c>
      <c r="AT75" s="16">
        <f>IF(ISNA(VLOOKUP(A75,'Données projet'!$A$71:$I$91,7,0)),0%,VLOOKUP(A75,'Données projet'!$A$71:$I$91,7,0))</f>
        <v>0</v>
      </c>
      <c r="AU75" s="21">
        <f>EXP(-LN(2)/35)*AU74+(1-EXP(-LN(2)/35))/(LN(2)/35)*AQ75*AR75*VLOOKUP('Données projet'!$B$10,Paramètres!$A$1:$I$89,3,0)*0.475*44/12</f>
        <v>22.298792017345534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125"/>
        <v>22.298792017345534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projet'!$A$97:$I$117,2,0)</f>
        <v>#N/A</v>
      </c>
      <c r="BB75" s="12" t="e">
        <f>VLOOKUP(A75,'Données projet'!$A$97:$I$117,9,0)</f>
        <v>#N/A</v>
      </c>
      <c r="BC75" s="12">
        <f t="array" ref="BC75">INDEX(BB:BB,MIN(IF(ISNUMBER(BB75:BB271),ROW(BB75:BB271),"")))</f>
        <v>0</v>
      </c>
      <c r="BD75" s="12">
        <f>IF('Données projet'!$A$98&gt;35,BD74+BC75-BL74,IF(A75&lt;'Données projet'!$A$98,$BA$205^A75,IF(A75='Données projet'!$A$98,'Données projet'!$B$98,BD74+BC75-BL74)))</f>
        <v>-1.1368683772161603E-13</v>
      </c>
      <c r="BE75" s="13">
        <f>BD75*VLOOKUP('Données projet'!$B$11,Paramètres!$A$1:$I$89,3,0)*VLOOKUP('Données projet'!$B$11,Paramètres!$A$1:$I$89,5,0)</f>
        <v>-5.0249582272954292E-14</v>
      </c>
      <c r="BF75" s="13" t="e">
        <f t="shared" si="186"/>
        <v>#NUM!</v>
      </c>
      <c r="BG75" s="20" t="e">
        <f t="shared" si="126"/>
        <v>#NUM!</v>
      </c>
      <c r="BH75" s="59" t="e">
        <f t="shared" si="127"/>
        <v>#NUM!</v>
      </c>
      <c r="BI75" s="59">
        <f ca="1">AVERAGE(OFFSET($BH$3,0,0,'Données projet'!$E$11+1,1))-AVERAGE(OFFSET($H$3,0,0,'Données projet'!$E$11+1,1))</f>
        <v>211.31057120485542</v>
      </c>
      <c r="BJ75" s="59">
        <f t="shared" si="187"/>
        <v>283.33292006714777</v>
      </c>
      <c r="BK75" s="15">
        <f>IF(ISNA(VLOOKUP(A75,'Données projet'!$A$97:$I$117,3,0)),0,VLOOKUP(A75,'Données projet'!$A$97:$I$117,3,0))</f>
        <v>0</v>
      </c>
      <c r="BL75" s="15">
        <f>IF(ISNA(VLOOKUP(A75,'Données projet'!$A$97:$I$117,4,0)),0,VLOOKUP(A75,'Données projet'!$A$97:$I$117,4,0))</f>
        <v>0</v>
      </c>
      <c r="BM75" s="16">
        <f>IF(ISNA(VLOOKUP(A75,'Données projet'!$A$97:$I$117,5,0)),0%,VLOOKUP(A75,'Données projet'!$A$97:$I$117,5,0)*VLOOKUP('Données projet'!$B$11,Paramètres!$A$1:$I$89,7,0))</f>
        <v>0</v>
      </c>
      <c r="BN75" s="16">
        <f>IF(ISNA(VLOOKUP(A75,'Données projet'!$A$97:$I$117,6,0)),0%,VLOOKUP(A75,'Données projet'!$A$97:$I$117,6,0)*VLOOKUP('Données projet'!$B$11,Paramètres!$A$1:$I$89,7,0))</f>
        <v>0</v>
      </c>
      <c r="BO75" s="16">
        <f>IF(ISNA(VLOOKUP(A75,'Données projet'!$A$97:$I$117,7,0)),0%,VLOOKUP(A75,'Données projet'!$A$97:$I$117,7,0))</f>
        <v>0</v>
      </c>
      <c r="BP75" s="21">
        <f>EXP(-LN(2)/35)*BP74+(1-EXP(-LN(2)/35))/(LN(2)/35)*BL75*BM75*VLOOKUP('Données projet'!$B$11,Paramètres!$A$1:$I$89,3,0)*0.475*44/12</f>
        <v>127.98680137827731</v>
      </c>
      <c r="BQ75" s="21">
        <f>EXP(-LN(2)/25)*BQ74+(1-EXP(-LN(2)/25))/(LN(2)/25)*Calculateur!BL75*Calculateur!BN75*VLOOKUP('Données projet'!$B$11,Paramètres!$A$1:$I$89,3,0)*0.475*44/12</f>
        <v>28.430889854883763</v>
      </c>
      <c r="BR75" s="21">
        <f>EXP(-LN(2)/2)*BR74+(1-EXP(-LN(2)/2))/(LN(2)/2)*BL75*BO75*VLOOKUP('Données projet'!$B$11,Paramètres!$A$1:$I$89,3,0)*0.475*44/12</f>
        <v>7.4608780007851094E-2</v>
      </c>
      <c r="BS75" s="22">
        <f t="shared" si="128"/>
        <v>156.49230001316892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projet'!$A$123:$I$143,2,0)</f>
        <v>#N/A</v>
      </c>
      <c r="BW75" s="12" t="e">
        <f>VLOOKUP(A75,'Données projet'!$A$123:$I$143,9,0)</f>
        <v>#N/A</v>
      </c>
      <c r="BX75" s="12">
        <f t="array" ref="BX75">INDEX(BW:BW,MIN(IF(ISNUMBER(BW75:BW271),ROW(BW75:BW271),"")))</f>
        <v>4.4000000000000004</v>
      </c>
      <c r="BY75" s="12">
        <f>IF('Données projet'!$A$124&gt;35,BY74+BX75-CG74,IF(A75&lt;'Données projet'!$A$124,$BV$205^A75,IF(A75='Données projet'!$A$124,'Données projet'!$B$124,BY74+BX75-CG74)))</f>
        <v>227.8</v>
      </c>
      <c r="BZ75" s="13">
        <f>BY75*VLOOKUP('Données projet'!$B$12,Paramètres!$A$1:$I$89,3,0)*VLOOKUP('Données projet'!$B$12,Paramètres!$A$1:$I$89,5,0)</f>
        <v>238.09656000000001</v>
      </c>
      <c r="CA75" s="13">
        <f t="shared" si="188"/>
        <v>58.029806498941532</v>
      </c>
      <c r="CB75" s="20">
        <f t="shared" si="129"/>
        <v>515.75342165232314</v>
      </c>
      <c r="CC75" s="59">
        <f t="shared" si="130"/>
        <v>809.0867549856564</v>
      </c>
      <c r="CD75" s="59">
        <f ca="1">AVERAGE(OFFSET($CC$3,0,0,'Données projet'!$E$12+1,1))-AVERAGE(OFFSET($H$3,0,0,'Données projet'!$E$12+1,1))</f>
        <v>322.93502595881938</v>
      </c>
      <c r="CE75" s="59">
        <f t="shared" si="189"/>
        <v>302.67072119588164</v>
      </c>
      <c r="CF75" s="15">
        <f>IF(ISNA(VLOOKUP(A75,'Données projet'!$A$123:$I$143,3,0)),0,VLOOKUP(A75,'Données projet'!$A$123:$I$143,3,0))</f>
        <v>0</v>
      </c>
      <c r="CG75" s="15">
        <f>IF(ISNA(VLOOKUP(A75,'Données projet'!$A$123:$I$143,4,0)),0,VLOOKUP(A75,'Données projet'!$A$123:$I$143,4,0))</f>
        <v>0</v>
      </c>
      <c r="CH75" s="16">
        <f>IF(ISNA(VLOOKUP(A75,'Données projet'!$A$123:$I$143,5,0)),0%,VLOOKUP(A75,'Données projet'!$A$123:$I$143,5,0)*VLOOKUP('Données projet'!$B$12,Paramètres!$A$1:$I$89,7,0))</f>
        <v>0</v>
      </c>
      <c r="CI75" s="16">
        <f>IF(ISNA(VLOOKUP(A75,'Données projet'!$A$123:$I$143,6,0)),0%,VLOOKUP(A75,'Données projet'!$A$123:$I$143,6,0)*VLOOKUP('Données projet'!$B$12,Paramètres!$A$1:$I$89,7,0))</f>
        <v>0</v>
      </c>
      <c r="CJ75" s="16">
        <f>IF(ISNA(VLOOKUP(A75,'Données projet'!$A$123:$I$143,7,0)),0%,VLOOKUP(A75,'Données projet'!$A$123:$I$143,7,0))</f>
        <v>0</v>
      </c>
      <c r="CK75" s="21">
        <f>EXP(-LN(2)/35)*CK74+(1-EXP(-LN(2)/35))/(LN(2)/35)*CG75*CH75*VLOOKUP('Données projet'!$B$12,Paramètres!$A$1:$I$89,3,0)*0.475*44/12</f>
        <v>22.112917811479512</v>
      </c>
      <c r="CL75" s="21">
        <f>EXP(-LN(2)/25)*CL74+(1-EXP(-LN(2)/25))/(LN(2)/25)*Calculateur!CG75*Calculateur!CI75*VLOOKUP('Données projet'!$B$12,Paramètres!$A$1:$I$89,3,0)*0.475*44/12</f>
        <v>22.616075749613604</v>
      </c>
      <c r="CM75" s="21">
        <f>EXP(-LN(2)/2)*CM74+(1-EXP(-LN(2)/2))/(LN(2)/2)*CG75*CJ75*VLOOKUP('Données projet'!$B$12,Paramètres!$A$1:$I$89,3,0)*0.475*44/12</f>
        <v>0</v>
      </c>
      <c r="CN75" s="22">
        <f t="shared" si="131"/>
        <v>44.72899356109312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projet'!$A$149:$I$169,2,0)</f>
        <v>#N/A</v>
      </c>
      <c r="CR75" s="12" t="e">
        <f>VLOOKUP(A75,'Données projet'!$A$149:$I$169,9,0)</f>
        <v>#N/A</v>
      </c>
      <c r="CS75" s="12">
        <f t="array" ref="CS75">INDEX(CR:CR,MIN(IF(ISNUMBER(CR75:CR271),ROW(CR75:CR271),"")))</f>
        <v>5.6899038461538431</v>
      </c>
      <c r="CT75" s="12">
        <f>IF('Données projet'!$A$150&gt;35,CT74+CS75-DB74,IF(A75&lt;'Données projet'!$A$150,$CQ$205^A75,IF(A75='Données projet'!$A$150,'Données projet'!$B$150,CT74+CS75-DB74)))</f>
        <v>164.31490384615381</v>
      </c>
      <c r="CU75" s="17">
        <f>CT75*VLOOKUP('Données projet'!$B$13,Paramètres!$A$1:$I$89,3,0)*VLOOKUP('Données projet'!$B$13,Paramètres!$A$1:$I$89,5,0)</f>
        <v>166.61531249999999</v>
      </c>
      <c r="CV75" s="13">
        <f t="shared" si="190"/>
        <v>42.331081196606618</v>
      </c>
      <c r="CW75" s="20">
        <f t="shared" si="132"/>
        <v>363.9149690215898</v>
      </c>
      <c r="CX75" s="59">
        <f t="shared" si="133"/>
        <v>657.24830235492311</v>
      </c>
      <c r="CY75" s="59">
        <f ca="1">AVERAGE(OFFSET($CX$3,0,0,'Données projet'!$E$13+1,1))-AVERAGE(OFFSET($H$3,0,0,'Données projet'!$E$13+1,1))</f>
        <v>250.31277422753283</v>
      </c>
      <c r="CZ75" s="59">
        <f t="shared" si="191"/>
        <v>159.20429420478047</v>
      </c>
      <c r="DA75" s="15">
        <f>IF(ISNA(VLOOKUP(A75,'Données projet'!$A$149:$I$169,3,0)),0,VLOOKUP(A75,'Données projet'!$A$149:$I$169,3,0))</f>
        <v>0</v>
      </c>
      <c r="DB75" s="15">
        <f>IF(ISNA(VLOOKUP(A75,'Données projet'!$A$149:$I$169,4,0)),0,VLOOKUP(A75,'Données projet'!$A$149:$I$169,4,0))</f>
        <v>0</v>
      </c>
      <c r="DC75" s="16">
        <f>IF(ISNA(VLOOKUP(A75,'Données projet'!$A$149:$I$169,5,0)),0%,VLOOKUP(A75,'Données projet'!$A$149:$I$169,5,0)*VLOOKUP('Données projet'!$B$13,Paramètres!$A$1:$I$89,7,0))</f>
        <v>0</v>
      </c>
      <c r="DD75" s="16">
        <f>IF(ISNA(VLOOKUP(A75,'Données projet'!$A$149:$I$169,6,0)),0%,VLOOKUP(A75,'Données projet'!$A$149:$I$169,6,0)*VLOOKUP('Données projet'!$B$13,Paramètres!$A$1:$I$89,7,0))</f>
        <v>0</v>
      </c>
      <c r="DE75" s="16">
        <f>IF(ISNA(VLOOKUP(A75,'Données projet'!$A$149:$I$169,7,0)),0%,VLOOKUP(A75,'Données projet'!$A$149:$I$169,7,0))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134"/>
        <v>0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projet'!$A$175:$I$195,2,0)</f>
        <v>#N/A</v>
      </c>
      <c r="DM75" s="12" t="e">
        <f>VLOOKUP(A75,'Données projet'!$A$175:$I$195,9,0)</f>
        <v>#N/A</v>
      </c>
      <c r="DN75" s="12">
        <f t="array" ref="DN75">INDEX(DM:DM,MIN(IF(ISNUMBER(DM75:DM271),ROW(DM75:DM271),"")))</f>
        <v>4.8</v>
      </c>
      <c r="DO75" s="12">
        <f>IF('Données projet'!$A$176&gt;35,DO74+DN75-DW74,IF(A75&lt;'Données projet'!$A$176,$DL$205^A75,IF(A75='Données projet'!$A$176,'Données projet'!$B$176,DO74+DN75-DW74)))</f>
        <v>360.59999999999968</v>
      </c>
      <c r="DP75" s="17">
        <f>DO75*VLOOKUP('Données projet'!$B$14,Paramètres!$A$1:$I$89,3,0)*VLOOKUP('Données projet'!$B$14,Paramètres!$A$1:$I$89,5,0)</f>
        <v>264.39191999999974</v>
      </c>
      <c r="DQ75" s="13">
        <f t="shared" si="192"/>
        <v>63.657643181110089</v>
      </c>
      <c r="DR75" s="20">
        <f t="shared" si="135"/>
        <v>571.35298920709954</v>
      </c>
      <c r="DS75" s="59">
        <f t="shared" si="136"/>
        <v>864.68632254043291</v>
      </c>
      <c r="DT75" s="59">
        <f ca="1">AVERAGE(OFFSET($DS$3,0,0,'Données projet'!$E$14+1,1))-AVERAGE(OFFSET($H$3,0,0,'Données projet'!$E$14+1,1))</f>
        <v>296.91321813251051</v>
      </c>
      <c r="DU75" s="59">
        <f t="shared" si="193"/>
        <v>291.0718079639509</v>
      </c>
      <c r="DV75" s="15">
        <f>IF(ISNA(VLOOKUP(A75,'Données projet'!$A$175:$I$195,3,0)),0,VLOOKUP(A75,'Données projet'!$A$175:$I$195,3,0))</f>
        <v>0</v>
      </c>
      <c r="DW75" s="15">
        <f>IF(ISNA(VLOOKUP(A75,'Données projet'!$A$175:$I$195,4,0)),0,VLOOKUP(A75,'Données projet'!$A$175:$I$195,4,0))</f>
        <v>0</v>
      </c>
      <c r="DX75" s="16">
        <f>IF(ISNA(VLOOKUP(A75,'Données projet'!$A$175:$I$195,5,0)),0%,VLOOKUP(A75,'Données projet'!$A$175:$I$195,5,0)*VLOOKUP('Données projet'!$B$14,Paramètres!$A$1:$I$89,7,0))</f>
        <v>0</v>
      </c>
      <c r="DY75" s="16">
        <f>IF(ISNA(VLOOKUP(A75,'Données projet'!$A$175:$I$195,6,0)),0%,VLOOKUP(A75,'Données projet'!$A$175:$I$195,6,0)*VLOOKUP('Données projet'!$B$14,Paramètres!$A$1:$I$89,7,0))</f>
        <v>0</v>
      </c>
      <c r="DZ75" s="16">
        <f>IF(ISNA(VLOOKUP(A75,'Données projet'!$A$175:$I$195,7,0)),0%,VLOOKUP(A75,'Données projet'!$A$175:$I$195,7,0))</f>
        <v>0</v>
      </c>
      <c r="EA75" s="21">
        <f>EXP(-LN(2)/35)*EA74+(1-EXP(-LN(2)/35))/(LN(2)/35)*DW75*DX75*VLOOKUP('Données projet'!$B$14,Paramètres!$A$1:$I$89,3,0)*0.475*44/12</f>
        <v>42.83531774245332</v>
      </c>
      <c r="EB75" s="21">
        <f>EXP(-LN(2)/25)*EB74+(1-EXP(-LN(2)/25))/(LN(2)/25)*Calculateur!DW75*Calculateur!DY75*VLOOKUP('Données projet'!$B$14,Paramètres!$A$1:$I$89,3,0)*0.475*44/12</f>
        <v>6.3149311248718663</v>
      </c>
      <c r="EC75" s="21">
        <f>EXP(-LN(2)/2)*EC74+(1-EXP(-LN(2)/2))/(LN(2)/2)*DW75*DZ75*VLOOKUP('Données projet'!$B$14,Paramètres!$A$1:$I$89,3,0)*0.475*44/12</f>
        <v>0</v>
      </c>
      <c r="ED75" s="22">
        <f t="shared" si="137"/>
        <v>49.150248867325189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projet'!$A$201:$I$221,2,0)</f>
        <v>#N/A</v>
      </c>
      <c r="EH75" s="12" t="e">
        <f>VLOOKUP(A75,'Données projet'!$A$201:$I$221,9,0)</f>
        <v>#N/A</v>
      </c>
      <c r="EI75" s="12">
        <f t="array" ref="EI75">INDEX(EH:EH,MIN(IF(ISNUMBER(EH75:EH271),ROW(EH75:EH271),"")))</f>
        <v>9.8224358974358967</v>
      </c>
      <c r="EJ75" s="12">
        <f>IF('Données projet'!$A$202&gt;35,EJ74+EI75-ER74,IF(A75&lt;'Données projet'!$A$202,$EG$205^A75,IF(A75='Données projet'!$A$202,'Données projet'!$B$202,EJ74+EI75-ER74)))</f>
        <v>331.00961538461576</v>
      </c>
      <c r="EK75" s="17">
        <f>EJ75*VLOOKUP('Données projet'!$B$15,Paramètres!$A$1:$I$89,3,0)*VLOOKUP('Données projet'!$B$15,Paramètres!$A$1:$I$89,5,0)</f>
        <v>154.91250000000016</v>
      </c>
      <c r="EL75" s="13">
        <f t="shared" si="194"/>
        <v>39.692866484273097</v>
      </c>
      <c r="EM75" s="20">
        <f t="shared" si="138"/>
        <v>338.93767996010916</v>
      </c>
      <c r="EN75" s="59">
        <f t="shared" si="139"/>
        <v>632.27101329344248</v>
      </c>
      <c r="EO75" s="59">
        <f ca="1">AVERAGE(OFFSET($EN$3,0,0,'Données projet'!$E$15+1,1))-AVERAGE(OFFSET($H$3,0,0,'Données projet'!$E$15+1,1))</f>
        <v>147.64256291235483</v>
      </c>
      <c r="EP75" s="59">
        <f t="shared" si="195"/>
        <v>70.859031694091868</v>
      </c>
      <c r="EQ75" s="15">
        <f>IF(ISNA(VLOOKUP(A75,'Données projet'!$A$201:$I$221,3,0)),0,VLOOKUP(A75,'Données projet'!$A$201:$I$221,3,0))</f>
        <v>0</v>
      </c>
      <c r="ER75" s="15">
        <f>IF(ISNA(VLOOKUP(A75,'Données projet'!$A$201:$I$221,4,0)),0,VLOOKUP(A75,'Données projet'!$A$201:$I$221,4,0))</f>
        <v>0</v>
      </c>
      <c r="ES75" s="16">
        <f>IF(ISNA(VLOOKUP(A75,'Données projet'!$A$201:$I$221,5,0)),0%,VLOOKUP(A75,'Données projet'!$A$201:$I$221,5,0)*VLOOKUP('Données projet'!$B$15,Paramètres!$A$1:$I$89,7,0))</f>
        <v>0</v>
      </c>
      <c r="ET75" s="16">
        <f>IF(ISNA(VLOOKUP(A75,'Données projet'!$A$201:$I$221,6,0)),0%,VLOOKUP(A75,'Données projet'!$A$201:$I$221,6,0)*VLOOKUP('Données projet'!$B$15,Paramètres!$A$1:$I$89,7,0))</f>
        <v>0</v>
      </c>
      <c r="EU75" s="16">
        <f>IF(ISNA(VLOOKUP(A75,'Données projet'!$A$201:$I$221,7,0)),0%,VLOOKUP(A75,'Données projet'!$A$201:$I$221,7,0))</f>
        <v>0</v>
      </c>
      <c r="EV75" s="21">
        <f>EXP(-LN(2)/35)*EV74+(1-EXP(-LN(2)/35))/(LN(2)/35)*ER75*ES75*VLOOKUP('Données projet'!$B$15,Paramètres!$A$1:$I$89,3,0)*0.475*44/12</f>
        <v>21.616785210404281</v>
      </c>
      <c r="EW75" s="21">
        <f>EXP(-LN(2)/25)*EW74+(1-EXP(-LN(2)/25))/(LN(2)/25)*Calculateur!ER75*Calculateur!ET75*VLOOKUP('Données projet'!$B$15,Paramètres!$A$1:$I$89,3,0)*0.475*44/12</f>
        <v>15.484858213894821</v>
      </c>
      <c r="EX75" s="21">
        <f>EXP(-LN(2)/2)*EX74+(1-EXP(-LN(2)/2))/(LN(2)/2)*ER75*EU75*VLOOKUP('Données projet'!$B$15,Paramètres!$A$1:$I$89,3,0)*0.475*44/12</f>
        <v>0.35025524820512954</v>
      </c>
      <c r="EY75" s="22">
        <f t="shared" si="140"/>
        <v>37.451898672504228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projet'!$A$227:$I$247,2,0)</f>
        <v>#N/A</v>
      </c>
      <c r="FC75" s="12" t="e">
        <f>VLOOKUP(A75,'Données projet'!$A$227:$I$247,9,0)</f>
        <v>#N/A</v>
      </c>
      <c r="FD75" s="12">
        <f t="array" ref="FD75">INDEX(FC:FC,MIN(IF(ISNUMBER(FC75:FC271),ROW(FC75:FC271),"")))</f>
        <v>3.4</v>
      </c>
      <c r="FE75" s="12">
        <f>IF('Données projet'!$A$228&gt;35,FE74+FD75-FM74,IF(A75&lt;'Données projet'!$A$228,$FB$205^A75,IF(A75='Données projet'!$A$228,'Données projet'!$B$228,FE74+FD75-FM74)))</f>
        <v>193.79999999999995</v>
      </c>
      <c r="FF75" s="17">
        <f>FE75*VLOOKUP('Données projet'!$B$16,Paramètres!$A$1:$I$89,3,0)*VLOOKUP('Données projet'!$B$16,Paramètres!$A$1:$I$89,5,0)</f>
        <v>202.55975999999995</v>
      </c>
      <c r="FG75" s="13">
        <f t="shared" si="196"/>
        <v>50.306308435844208</v>
      </c>
      <c r="FH75" s="20">
        <f t="shared" si="141"/>
        <v>440.40840252576191</v>
      </c>
      <c r="FI75" s="59">
        <f t="shared" si="142"/>
        <v>733.74173585909523</v>
      </c>
      <c r="FJ75" s="59">
        <f ca="1">AVERAGE(OFFSET($FI$3,0,0,'Données projet'!$E$16+1,1))-AVERAGE(OFFSET($H$3,0,0,'Données projet'!$E$16+1,1))</f>
        <v>259.03906550253788</v>
      </c>
      <c r="FK75" s="59">
        <f t="shared" si="197"/>
        <v>235.54542903570831</v>
      </c>
      <c r="FL75" s="15">
        <f>IF(ISNA(VLOOKUP(A75,'Données projet'!$A$227:$I$247,3,0)),0,VLOOKUP(A75,'Données projet'!$A$227:$I$247,3,0))</f>
        <v>0</v>
      </c>
      <c r="FM75" s="15">
        <f>IF(ISNA(VLOOKUP(A75,'Données projet'!$A$227:$I$247,4,0)),0,VLOOKUP(A75,'Données projet'!$A$227:$I$247,4,0))</f>
        <v>0</v>
      </c>
      <c r="FN75" s="16">
        <f>IF(ISNA(VLOOKUP(A75,'Données projet'!$A$227:$I$247,5,0)),0%,VLOOKUP(A75,'Données projet'!$A$227:$I$247,5,0)*VLOOKUP('Données projet'!$B$16,Paramètres!$A$1:$I$89,7,0))</f>
        <v>0</v>
      </c>
      <c r="FO75" s="16">
        <f>IF(ISNA(VLOOKUP(A75,'Données projet'!$A$227:$I$247,6,0)),0%,VLOOKUP(A75,'Données projet'!$A$227:$I$247,6,0)*VLOOKUP('Données projet'!$B$16,Paramètres!$A$1:$I$89,7,0))</f>
        <v>0</v>
      </c>
      <c r="FP75" s="16">
        <f>IF(ISNA(VLOOKUP(A75,'Données projet'!$A$227:$I$247,7,0)),0%,VLOOKUP(A75,'Données projet'!$A$227:$I$247,7,0))</f>
        <v>0</v>
      </c>
      <c r="FQ75" s="21">
        <f>EXP(-LN(2)/35)*FQ74+(1-EXP(-LN(2)/35))/(LN(2)/35)*FM75*FN75*VLOOKUP('Données projet'!$B$16,Paramètres!$A$1:$I$89,3,0)*0.475*44/12</f>
        <v>10.189290415659935</v>
      </c>
      <c r="FR75" s="21">
        <f>EXP(-LN(2)/25)*FR74+(1-EXP(-LN(2)/25))/(LN(2)/25)*Calculateur!FM75*Calculateur!FO75*VLOOKUP('Données projet'!$B$16,Paramètres!$A$1:$I$89,3,0)*0.475*44/12</f>
        <v>16.120524655219004</v>
      </c>
      <c r="FS75" s="21">
        <f>EXP(-LN(2)/2)*FS74+(1-EXP(-LN(2)/2))/(LN(2)/2)*FM75*FP75*VLOOKUP('Données projet'!$B$16,Paramètres!$A$1:$I$89,3,0)*0.475*44/12</f>
        <v>0</v>
      </c>
      <c r="FT75" s="22">
        <f t="shared" si="143"/>
        <v>26.30981507087894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projet'!$A$253:$I$273,2,0)</f>
        <v>#N/A</v>
      </c>
      <c r="FX75" s="12" t="e">
        <f>VLOOKUP(A75,'Données projet'!$A$253:$I$273,9,0)</f>
        <v>#N/A</v>
      </c>
      <c r="FY75" s="12">
        <f t="array" ref="FY75">INDEX(FX:FX,MIN(IF(ISNUMBER(FX75:FX271),ROW(FX75:FX271),"")))</f>
        <v>3.4</v>
      </c>
      <c r="FZ75" s="12">
        <f>IF('Données projet'!$A$254&gt;35,FZ74+FY75-GH74,IF(A75&lt;'Données projet'!$A$254,$FW$205^A75,IF(A75='Données projet'!$A$254,'Données projet'!$B$254,FZ74+FY75-GH74)))</f>
        <v>259.79999999999984</v>
      </c>
      <c r="GA75" s="17">
        <f>FZ75*VLOOKUP('Données projet'!$B$17,Paramètres!$A$1:$I$89,3,0)*VLOOKUP('Données projet'!$B$17,Paramètres!$A$1:$I$89,5,0)</f>
        <v>226.96127999999987</v>
      </c>
      <c r="GB75" s="13">
        <f t="shared" si="198"/>
        <v>55.625131501998617</v>
      </c>
      <c r="GC75" s="20">
        <f t="shared" si="144"/>
        <v>492.17133336598067</v>
      </c>
      <c r="GD75" s="59">
        <f t="shared" si="145"/>
        <v>785.50466669931393</v>
      </c>
      <c r="GE75" s="59">
        <f ca="1">AVERAGE(OFFSET($GD$3,0,0,'Données projet'!$E$17+1,1))-AVERAGE(OFFSET($H$3,0,0,'Données projet'!$E$17+1,1))</f>
        <v>245.1983232777614</v>
      </c>
      <c r="GF75" s="59">
        <f t="shared" si="199"/>
        <v>242.34010522344573</v>
      </c>
      <c r="GG75" s="15">
        <f>IF(ISNA(VLOOKUP(A75,'Données projet'!$A$253:$I$273,3,0)),0,VLOOKUP(A75,'Données projet'!$A$253:$I$273,3,0))</f>
        <v>0</v>
      </c>
      <c r="GH75" s="15">
        <f>IF(ISNA(VLOOKUP(A75,'Données projet'!$A$253:$I$273,4,0)),0,VLOOKUP(A75,'Données projet'!$A$253:$I$273,4,0))</f>
        <v>0</v>
      </c>
      <c r="GI75" s="16">
        <f>IF(ISNA(VLOOKUP(A75,'Données projet'!$A$253:$I$273,5,0)),0%,VLOOKUP(A75,'Données projet'!$A$253:$I$273,5,0)*VLOOKUP('Données projet'!$B$17,Paramètres!$A$1:$I$89,7,0))</f>
        <v>0</v>
      </c>
      <c r="GJ75" s="16">
        <f>IF(ISNA(VLOOKUP(A75,'Données projet'!$A$253:$I$273,6,0)),0%,VLOOKUP(A75,'Données projet'!$A$253:$I$273,6,0)*VLOOKUP('Données projet'!$B$17,Paramètres!$A$1:$I$89,7,0))</f>
        <v>0</v>
      </c>
      <c r="GK75" s="16">
        <f>IF(ISNA(VLOOKUP(A75,'Données projet'!$A$253:$I$273,7,0)),0%,VLOOKUP(A75,'Données projet'!$A$253:$I$273,7,0))</f>
        <v>0</v>
      </c>
      <c r="GL75" s="21">
        <f>EXP(-LN(2)/35)*GL74+(1-EXP(-LN(2)/35))/(LN(2)/35)*GH75*GI75*VLOOKUP('Données projet'!$B$17,Paramètres!$A$1:$I$89,3,0)*0.475*44/12</f>
        <v>23.097103200023053</v>
      </c>
      <c r="GM75" s="21">
        <f>EXP(-LN(2)/25)*GM74+(1-EXP(-LN(2)/25))/(LN(2)/25)*Calculateur!GH75*Calculateur!GJ75*VLOOKUP('Données projet'!$B$17,Paramètres!$A$1:$I$89,3,0)*0.475*44/12</f>
        <v>8.2804927514651254</v>
      </c>
      <c r="GN75" s="21">
        <f>EXP(-LN(2)/2)*GN74+(1-EXP(-LN(2)/2))/(LN(2)/2)*GH75*GK75*VLOOKUP('Données projet'!$B$17,Paramètres!$A$1:$I$89,3,0)*0.475*44/12</f>
        <v>0</v>
      </c>
      <c r="GO75" s="21">
        <f t="shared" si="146"/>
        <v>31.377595951488178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projet'!$A$279:$I$299,2,0)</f>
        <v>#N/A</v>
      </c>
      <c r="GS75" s="12" t="e">
        <f>VLOOKUP(A75,'Données projet'!$A$279:$I$299,9,0)</f>
        <v>#N/A</v>
      </c>
      <c r="GT75" s="12">
        <f t="array" ref="GT75">INDEX(GS:GS,MIN(IF(ISNUMBER(GS75:GS271),ROW(GS75:GS271),"")))</f>
        <v>9.8000000000000007</v>
      </c>
      <c r="GU75" s="12">
        <f>IF('Données projet'!$A$280&gt;35,GU74+GT75-HC74,IF(A75&lt;'Données projet'!$A$280,$GR$205^A75,IF(A75='Données projet'!$A$280,'Données projet'!$B$280,GU74+GT75-HC74)))</f>
        <v>779.60000000000025</v>
      </c>
      <c r="GV75" s="17">
        <f>GU75*VLOOKUP('Données projet'!$B$18,Paramètres!$A$1:$I$89,3,0)*VLOOKUP('Données projet'!$B$18,Paramètres!$A$1:$I$89,5,0)</f>
        <v>314.17880000000008</v>
      </c>
      <c r="GW75" s="13">
        <f t="shared" si="200"/>
        <v>74.140848678450723</v>
      </c>
      <c r="GX75" s="20">
        <f t="shared" si="147"/>
        <v>676.32338811496845</v>
      </c>
      <c r="GY75" s="59">
        <f t="shared" si="148"/>
        <v>969.65672144830182</v>
      </c>
      <c r="GZ75" s="59">
        <f ca="1">AVERAGE(OFFSET($GY$3,0,0,'Données projet'!$E$18+1,1))-AVERAGE(OFFSET($H$3,0,0,'Données projet'!$E$18+1,1))</f>
        <v>324.36162935850876</v>
      </c>
      <c r="HA75" s="59">
        <f t="shared" si="201"/>
        <v>265.23571072429735</v>
      </c>
      <c r="HB75" s="15">
        <f>IF(ISNA(VLOOKUP(A75,'Données projet'!$A$279:$I$299,3,0)),0,VLOOKUP(A75,'Données projet'!$A$279:$I$299,3,0))</f>
        <v>0</v>
      </c>
      <c r="HC75" s="15">
        <f>IF(ISNA(VLOOKUP(A75,'Données projet'!$A$279:$I$299,4,0)),0,VLOOKUP(A75,'Données projet'!$A$279:$I$299,4,0))</f>
        <v>0</v>
      </c>
      <c r="HD75" s="16">
        <f>IF(ISNA(VLOOKUP(A75,'Données projet'!$A$279:$I$299,5,0)),0%,VLOOKUP(A75,'Données projet'!$A$279:$I$299,5,0)*VLOOKUP('Données projet'!$B$18,Paramètres!$A$1:$I$89,7,0))</f>
        <v>0</v>
      </c>
      <c r="HE75" s="16">
        <f>IF(ISNA(VLOOKUP(A75,'Données projet'!$A$279:$I$299,6,0)),0%,VLOOKUP(A75,'Données projet'!$A$279:$I$299,6,0)*VLOOKUP('Données projet'!$B$18,Paramètres!$A$1:$I$89,7,0))</f>
        <v>0</v>
      </c>
      <c r="HF75" s="16">
        <f>IF(ISNA(VLOOKUP($A75,'Données projet'!$A$279:$I$299,7,0)),0%,VLOOKUP($A75,'Données projet'!$A$279:$I$299,7,0))</f>
        <v>0</v>
      </c>
      <c r="HG75" s="21">
        <f>EXP(-LN(2)/35)*HG74+(1-EXP(-LN(2)/35))/(LN(2)/35)*HC75*HD75*VLOOKUP('Données projet'!$B$18,Paramètres!$A$1:$I$89,3,0)*0.475*44/12</f>
        <v>15.971578845038801</v>
      </c>
      <c r="HH75" s="21">
        <f>EXP(-LN(2)/25)*HH74+(1-EXP(-LN(2)/25))/(LN(2)/25)*Calculateur!HC75*Calculateur!HE75*VLOOKUP('Données projet'!$B$18,Paramètres!$A$1:$I$89,3,0)*0.475*44/12</f>
        <v>9.3205545458120884</v>
      </c>
      <c r="HI75" s="21">
        <f>EXP(-LN(2)/2)*HI74+(1-EXP(-LN(2)/2))/(LN(2)/2)*HC75*HF75*VLOOKUP('Données projet'!$B$18,Paramètres!$A$1:$I$89,3,0)*0.475*44/12</f>
        <v>0.11988726467329519</v>
      </c>
      <c r="HJ75" s="22">
        <f t="shared" si="149"/>
        <v>25.412020655524184</v>
      </c>
      <c r="HK75" s="74">
        <f>('Scénario référence'!$F$8+'Scénario référence'!$F$9+'Scénario référence'!$B$17+'Scénario référence'!$B$9+'Scénario référence'!$B$10)*70+IF((45+25*(1-EXP(-0.0175*$A75)))&lt;70,'Scénario référence'!$B$16*(45+25*(1-EXP(-0.0175*$A75))),70*'Scénario référence'!$B$16)+IF((32+38*(1-EXP(-0.0175*$A75)))&lt;70,'Scénario référence'!$B$18*(32+38*(1-EXP(-0.0175*$A75))),70*'Scénario référence'!$B$18)</f>
        <v>70</v>
      </c>
      <c r="HL75" s="12">
        <f>IF($A75&gt;30,10,('Scénario référence'!$B$16+'Scénario référence'!$B$17+'Scénario référence'!$B$18+'Scénario référence'!$B$9+'Scénario référence'!$B$10)*$A75*10/30+('Scénario référence'!$F$8+'Scénario référence'!$F$9)*10)</f>
        <v>10</v>
      </c>
      <c r="HM75" s="12" t="e">
        <f>VLOOKUP($A75,'Données projet'!$A$304:$I$324,2,0)</f>
        <v>#N/A</v>
      </c>
      <c r="HN75" s="12" t="e">
        <f>VLOOKUP($A75,'Données projet'!$A$304:$I$324,9,0)</f>
        <v>#N/A</v>
      </c>
      <c r="HO75" s="12">
        <f t="array" ref="HO75">INDEX(HN:HN,MIN(IF(ISNUMBER(HN75:HN271),ROW(HN75:HN271),"")))</f>
        <v>0</v>
      </c>
      <c r="HP75" s="12">
        <f>IF('Données projet'!$A$304&gt;35,HP74+HO75-HX74,IF($A75&lt;'Données projet'!$A$304,$CQ$205^$A75,IF($A75='Données projet'!$A$304,'Données projet'!$B$304,HP74+HO75-HX74)))</f>
        <v>0</v>
      </c>
      <c r="HQ75" s="17">
        <f>HP75*VLOOKUP('Données projet'!$B$19,Paramètres!$A$1:$I$89,3,0)*VLOOKUP('Données projet'!$B$19,Paramètres!$A$1:$I$89,5,0)</f>
        <v>0</v>
      </c>
      <c r="HR75" s="13" t="e">
        <f t="shared" si="202"/>
        <v>#NUM!</v>
      </c>
      <c r="HS75" s="14" t="e">
        <f t="shared" si="150"/>
        <v>#NUM!</v>
      </c>
      <c r="HT75" s="59" t="e">
        <f t="shared" si="151"/>
        <v>#NUM!</v>
      </c>
      <c r="HU75" s="59">
        <f ca="1">AVERAGE(OFFSET(HT$3,0,0,'Données projet'!$E$19+1,1))-AVERAGE(OFFSET($H$3,0,0,'Données projet'!$E$19+1,1))</f>
        <v>91.60721429656013</v>
      </c>
      <c r="HV75" s="59">
        <f t="shared" si="203"/>
        <v>258.94957804210856</v>
      </c>
      <c r="HW75" s="15">
        <f>IF(ISNA(VLOOKUP($A75,'Données projet'!$A$304:$I$324,3,0)),0,VLOOKUP($A75,'Données projet'!$A$304:$I$324,3,0))</f>
        <v>0</v>
      </c>
      <c r="HX75" s="15">
        <f>IF(ISNA(VLOOKUP($A75,'Données projet'!$A$304:$I$324,4,0)),0,VLOOKUP($A75,'Données projet'!$A$304:$I$324,4,0))</f>
        <v>0</v>
      </c>
      <c r="HY75" s="16">
        <f>IF(ISNA(VLOOKUP($A75,'Données projet'!$A$304:$I$324,5,0)),0%,VLOOKUP($A75,'Données projet'!$A$304:$I$324,5,0)*VLOOKUP('Données projet'!$B$19,Paramètres!$A$1:$I$89,7,0))</f>
        <v>0</v>
      </c>
      <c r="HZ75" s="16">
        <f>IF(ISNA(VLOOKUP($A75,'Données projet'!$A$304:$I$324,6,0)),0%,VLOOKUP($A75,'Données projet'!$A$304:$I$324,6,0)*VLOOKUP('Données projet'!$B$19,Paramètres!$A$1:$I$89,7,0))</f>
        <v>0</v>
      </c>
      <c r="IA75" s="16">
        <f>IF(ISNA(VLOOKUP($A75,'Données projet'!$A$304:$I$324,7,0)),0%,VLOOKUP($A75,'Données projet'!$A$304:$I$324,7,0))</f>
        <v>0</v>
      </c>
      <c r="IB75" s="21">
        <f>EXP(-LN(2)/35)*IB74+(1-EXP(-LN(2)/35))/(LN(2)/35)*HX75*HY75*VLOOKUP('Données projet'!$B$19,Paramètres!$A$1:$I$89,3,0)*0.475*44/12</f>
        <v>21.473306938601851</v>
      </c>
      <c r="IC75" s="21">
        <f>EXP(-LN(2)/25)*IC74+(1-EXP(-LN(2)/25))/(LN(2)/25)*Calculateur!HX75*Calculateur!HZ75*VLOOKUP('Données projet'!$B$19,Paramètres!$A$1:$I$89,3,0)*0.475*44/12</f>
        <v>3.0358545952976423</v>
      </c>
      <c r="ID75" s="21">
        <f>EXP(-LN(2)/2)*ID74+(1-EXP(-LN(2)/2))/(LN(2)/2)*HX75*IA75*VLOOKUP('Données projet'!$B$19,Paramètres!$A$1:$I$89,3,0)*0.475*44/12</f>
        <v>2.731572684020889E-7</v>
      </c>
      <c r="IE75" s="22">
        <f t="shared" si="152"/>
        <v>24.509161807056763</v>
      </c>
      <c r="IF75" s="74">
        <f>('Scénario référence'!$F$8+'Scénario référence'!$F$9+'Scénario référence'!$B$17+'Scénario référence'!$B$9+'Scénario référence'!$B$10)*70+IF((45+25*(1-EXP(-0.0175*$A75)))&lt;70,'Scénario référence'!$B$16*(45+25*(1-EXP(-0.0175*$A75))),70*'Scénario référence'!$B$16)+IF((32+38*(1-EXP(-0.0175*$A75)))&lt;70,'Scénario référence'!$B$18*(32+38*(1-EXP(-0.0175*$A75))),70*'Scénario référence'!$B$18)</f>
        <v>70</v>
      </c>
      <c r="IG75" s="12">
        <f>IF($A75&gt;30,10,('Scénario référence'!$B$16+'Scénario référence'!$B$17+'Scénario référence'!$B$18+'Scénario référence'!$B$9+'Scénario référence'!$B$10)*$A75*10/30+('Scénario référence'!$F$8+'Scénario référence'!$F$9)*10)</f>
        <v>10</v>
      </c>
      <c r="IH75" s="12" t="e">
        <f>VLOOKUP($A75,'Données projet'!$A$330:$I$350,2,0)</f>
        <v>#N/A</v>
      </c>
      <c r="II75" s="12" t="e">
        <f>VLOOKUP($A75,'Données projet'!$A$330:$I$350,9,0)</f>
        <v>#N/A</v>
      </c>
      <c r="IJ75" s="12">
        <f t="array" ref="IJ75">INDEX(II:II,MIN(IF(ISNUMBER(II75:II271),ROW(II75:II271),"")))</f>
        <v>0</v>
      </c>
      <c r="IK75" s="12">
        <f>IF('Données projet'!$A$330&gt;35,IK74+IJ75-IS74,IF($A75&lt;'Données projet'!$A$330,$CQ$205^$A75,IF($A75='Données projet'!$A$330,'Données projet'!$B$330,IK74+IJ75-IS74)))</f>
        <v>0</v>
      </c>
      <c r="IL75" s="17">
        <f>IK75*VLOOKUP('Données projet'!$B$20,Paramètres!$A$1:$I$89,3,0)*VLOOKUP('Données projet'!$B$20,Paramètres!$A$1:$I$89,5,0)</f>
        <v>0</v>
      </c>
      <c r="IM75" s="13" t="e">
        <f t="shared" si="204"/>
        <v>#NUM!</v>
      </c>
      <c r="IN75" s="20" t="e">
        <f t="shared" si="153"/>
        <v>#NUM!</v>
      </c>
      <c r="IO75" s="59" t="e">
        <f t="shared" si="154"/>
        <v>#NUM!</v>
      </c>
      <c r="IP75" s="59">
        <f ca="1">AVERAGE(OFFSET(IO$3,0,0,'Données projet'!$E$20+1,1))-AVERAGE(OFFSET($H$3,0,0,'Données projet'!$E$20+1,1))</f>
        <v>91.60721429656013</v>
      </c>
      <c r="IQ75" s="59">
        <f t="shared" si="205"/>
        <v>258.94957804210856</v>
      </c>
      <c r="IR75" s="15">
        <f>IF(ISNA(VLOOKUP($A75,'Données projet'!$A$330:$I$350,3,0)),0,VLOOKUP($A75,'Données projet'!$A$330:$I$350,3,0))</f>
        <v>0</v>
      </c>
      <c r="IS75" s="15">
        <f>IF(ISNA(VLOOKUP($A75,'Données projet'!$A$330:$I$350,4,0)),0,VLOOKUP($A75,'Données projet'!$A$330:$I$350,4,0))</f>
        <v>0</v>
      </c>
      <c r="IT75" s="16">
        <f>IF(ISNA(VLOOKUP($A75,'Données projet'!$A$330:$I$350,5,0)),0%,VLOOKUP($A75,'Données projet'!$A$330:$I$350,5,0)*VLOOKUP('Données projet'!$B$20,Paramètres!$A$1:$I$89,7,0))</f>
        <v>0</v>
      </c>
      <c r="IU75" s="16">
        <f>IF(ISNA(VLOOKUP($A75,'Données projet'!$A$330:$I$350,6,0)),0%,VLOOKUP($A75,'Données projet'!$A$330:$I$350,6,0)*VLOOKUP('Données projet'!$B$20,Paramètres!$A$1:$I$89,7,0))</f>
        <v>0</v>
      </c>
      <c r="IV75" s="16">
        <f>IF(ISNA(VLOOKUP($A75,'Données projet'!$A$330:$I$350,7,0)),0%,VLOOKUP($A75,'Données projet'!$A$330:$I$350,7,0))</f>
        <v>0</v>
      </c>
      <c r="IW75" s="21">
        <f>EXP(-LN(2)/35)*IW74+(1-EXP(-LN(2)/35))/(LN(2)/35)*IS75*IT75*VLOOKUP('Données projet'!$B$20,Paramètres!$A$1:$I$89,3,0)*0.475*44/12</f>
        <v>21.473306938601851</v>
      </c>
      <c r="IX75" s="21">
        <f>EXP(-LN(2)/25)*IX74+(1-EXP(-LN(2)/25))/(LN(2)/25)*Calculateur!IS75*Calculateur!IU75*VLOOKUP('Données projet'!$B$20,Paramètres!$A$1:$I$89,3,0)*0.475*44/12</f>
        <v>3.0358545952976423</v>
      </c>
      <c r="IY75" s="21">
        <f>EXP(-LN(2)/2)*IY74+(1-EXP(-LN(2)/2))/(LN(2)/2)*IS75*IV75*VLOOKUP('Données projet'!$B$20,Paramètres!$A$1:$I$89,3,0)*0.475*44/12</f>
        <v>2.731572684020889E-7</v>
      </c>
      <c r="IZ75" s="22">
        <f t="shared" si="155"/>
        <v>24.509161807056763</v>
      </c>
      <c r="JA75" s="74">
        <f>('Scénario référence'!$F$8+'Scénario référence'!$F$9+'Scénario référence'!$B$17+'Scénario référence'!$B$9+'Scénario référence'!$B$10)*70+IF((45+25*(1-EXP(-0.0175*$A75)))&lt;70,'Scénario référence'!$B$16*(45+25*(1-EXP(-0.0175*$A75))),70*'Scénario référence'!$B$16)+IF((32+38*(1-EXP(-0.0175*$A75)))&lt;70,'Scénario référence'!$B$18*(32+38*(1-EXP(-0.0175*$A75))),70*'Scénario référence'!$B$18)</f>
        <v>70</v>
      </c>
      <c r="JB75" s="12">
        <f>IF($A75&gt;30,10,('Scénario référence'!$B$16+'Scénario référence'!$B$17+'Scénario référence'!$B$18+'Scénario référence'!$B$9+'Scénario référence'!$B$10)*$A75*10/30+('Scénario référence'!$F$8+'Scénario référence'!$F$9)*10)</f>
        <v>10</v>
      </c>
      <c r="JC75" s="12" t="e">
        <f>VLOOKUP($A75,'Données projet'!$A$356:$I$376,2,0)</f>
        <v>#N/A</v>
      </c>
      <c r="JD75" s="12" t="e">
        <f>VLOOKUP($A75,'Données projet'!$A$356:$I$376,9,0)</f>
        <v>#N/A</v>
      </c>
      <c r="JE75" s="12">
        <f t="array" ref="JE75">INDEX(JD:JD,MIN(IF(ISNUMBER(JD75:JD271),ROW(JD75:JD271),"")))</f>
        <v>9.4</v>
      </c>
      <c r="JF75" s="12">
        <f>IF('Données projet'!$A$356&gt;35,JF74+JE75-JN74,IF($A75&lt;'Données projet'!$A$356,$CQ$205^$A75,IF($A75='Données projet'!$A$356,'Données projet'!$B$356,JF74+JE75-JN74)))</f>
        <v>306.79999999999995</v>
      </c>
      <c r="JG75" s="17">
        <f>JF75*VLOOKUP('Données projet'!$B$21,Paramètres!$A$1:$I$89,3,0)*VLOOKUP('Données projet'!$B$21,Paramètres!$A$1:$I$89,5,0)</f>
        <v>248.87615999999997</v>
      </c>
      <c r="JH75" s="13">
        <f t="shared" si="206"/>
        <v>60.345224363146883</v>
      </c>
      <c r="JI75" s="20">
        <f t="shared" si="156"/>
        <v>538.56057776581406</v>
      </c>
      <c r="JJ75" s="59">
        <f t="shared" si="157"/>
        <v>831.89391109914732</v>
      </c>
      <c r="JK75" s="59">
        <f ca="1">AVERAGE(OFFSET($JJ$3,0,0,'Données projet'!$E$22+1,1))-AVERAGE(OFFSET($H$3,0,0,'Données projet'!$E$22+1,1))</f>
        <v>353.35574633294613</v>
      </c>
      <c r="JL75" s="59">
        <f t="shared" si="207"/>
        <v>170.36796666474726</v>
      </c>
      <c r="JM75" s="15">
        <f>IF(ISNA(VLOOKUP($A75,'Données projet'!$A$356:$I$376,3,0)),0,VLOOKUP($A75,'Données projet'!$A$356:$I$376,3,0))</f>
        <v>0</v>
      </c>
      <c r="JN75" s="15">
        <f>IF(ISNA(VLOOKUP($A75,'Données projet'!$A$356:$I$376,4,0)),0,VLOOKUP($A75,'Données projet'!$A$356:$I$376,4,0))</f>
        <v>0</v>
      </c>
      <c r="JO75" s="16">
        <f>IF(ISNA(VLOOKUP($A75,'Données projet'!$A$356:$I$376,5,0)),0%,VLOOKUP($A75,'Données projet'!$A$356:$I$376,5,0)*VLOOKUP('Données projet'!$B$21,Paramètres!$A$1:$I$89,7,0))</f>
        <v>0</v>
      </c>
      <c r="JP75" s="16">
        <f>IF(ISNA(VLOOKUP($A75,'Données projet'!$A$356:$I$376,6,0)),0%,VLOOKUP($A75,'Données projet'!$A$356:$I$376,6,0)*VLOOKUP('Données projet'!$B$21,Paramètres!$A$1:$I$89,7,0))</f>
        <v>0</v>
      </c>
      <c r="JQ75" s="16">
        <f>IF(ISNA(VLOOKUP($A75,'Données projet'!$A$356:$I$376,7,0)),0%,VLOOKUP($A75,'Données projet'!$A$356:$I$376,7,0))</f>
        <v>0</v>
      </c>
      <c r="JR75" s="21">
        <f>EXP(-LN(2)/35)*JR74+(1-EXP(-LN(2)/35))/(LN(2)/35)*JN75*JO75*VLOOKUP('Données projet'!$B$21,Paramètres!$A$1:$I$89,3,0)*0.475*44/12</f>
        <v>0</v>
      </c>
      <c r="JS75" s="21">
        <f>EXP(-LN(2)/25)*JS74+(1-EXP(-LN(2)/25))/(LN(2)/25)*Calculateur!JN75*Calculateur!JP75*VLOOKUP('Données projet'!$B$21,Paramètres!$A$1:$I$89,3,0)*0.475*44/12</f>
        <v>11.957931736807208</v>
      </c>
      <c r="JT75" s="21">
        <f>EXP(-LN(2)/2)*JT74+(1-EXP(-LN(2)/2))/(LN(2)/2)*JN75*JQ75*VLOOKUP('Données projet'!$B$21,Paramètres!$A$1:$I$89,3,0)*0.475*44/12</f>
        <v>3.9049348807596402</v>
      </c>
      <c r="JU75" s="18">
        <f t="shared" si="158"/>
        <v>15.862866617566848</v>
      </c>
      <c r="JV75" s="74">
        <f>('Scénario référence'!$F$8+'Scénario référence'!$F$9+'Scénario référence'!$B$17+'Scénario référence'!$B$9+'Scénario référence'!$B$10)*70+IF((45+25*(1-EXP(-0.0175*$A75)))&lt;70,'Scénario référence'!$B$16*(45+25*(1-EXP(-0.0175*$A75))),70*'Scénario référence'!$B$16)+IF((32+38*(1-EXP(-0.0175*$A75)))&lt;70,'Scénario référence'!$B$18*(32+38*(1-EXP(-0.0175*$A75))),70*'Scénario référence'!$B$18)</f>
        <v>70</v>
      </c>
      <c r="JW75" s="12">
        <f>IF($A75&gt;30,10,('Scénario référence'!$B$16+'Scénario référence'!$B$17+'Scénario référence'!$B$18+'Scénario référence'!$B$9+'Scénario référence'!$B$10)*$A75*10/30+('Scénario référence'!$F$8+'Scénario référence'!$F$9)*10)</f>
        <v>10</v>
      </c>
      <c r="JX75" s="12" t="e">
        <f>VLOOKUP($A75,'Données projet'!$A$382:$I$402,2,0)</f>
        <v>#N/A</v>
      </c>
      <c r="JY75" s="12" t="e">
        <f>VLOOKUP($A75,'Données projet'!$A$382:$I$402,9,0)</f>
        <v>#N/A</v>
      </c>
      <c r="JZ75" s="12">
        <f t="array" ref="JZ75">INDEX(JY:JY,MIN(IF(ISNUMBER(JY75:JY271),ROW(JY75:JY271),"")))</f>
        <v>7.8425925925925934</v>
      </c>
      <c r="KA75" s="12">
        <f>IF('Données projet'!$A$382&gt;35,KA74+JZ75-KI74,IF($A75&lt;'Données projet'!$A$382,$CQ$205^$A75,IF($A75='Données projet'!$A$382,'Données projet'!$B$382,KA74+JZ75-KI74)))</f>
        <v>211.27207977207996</v>
      </c>
      <c r="KB75" s="17">
        <f>KA75*VLOOKUP('Données projet'!$B$22,Paramètres!$A$1:$I$89,3,0)*VLOOKUP('Données projet'!$B$22,Paramètres!$A$1:$I$89,5,0)</f>
        <v>141.72131111111125</v>
      </c>
      <c r="KC75" s="13">
        <f t="shared" si="208"/>
        <v>36.691052810970632</v>
      </c>
      <c r="KD75" s="20">
        <f t="shared" si="159"/>
        <v>310.73486716429261</v>
      </c>
      <c r="KE75" s="59">
        <f t="shared" si="160"/>
        <v>604.06820049762587</v>
      </c>
      <c r="KF75" s="59">
        <f ca="1">AVERAGE(OFFSET($KE$3,0,0,'Données projet'!$E$22+1,1))-AVERAGE(OFFSET($H$3,0,0,'Données projet'!$E$22+1,1))</f>
        <v>193.91714772848269</v>
      </c>
      <c r="KG75" s="59">
        <f t="shared" si="209"/>
        <v>159.20429420478047</v>
      </c>
      <c r="KH75" s="15">
        <f>IF(ISNA(VLOOKUP($A75,'Données projet'!$A$382:$I$402,3,0)),0,VLOOKUP($A75,'Données projet'!$A$382:$I$402,3,0))</f>
        <v>0</v>
      </c>
      <c r="KI75" s="15">
        <f>IF(ISNA(VLOOKUP($A75,'Données projet'!$A$382:$I$402,4,0)),0,VLOOKUP($A75,'Données projet'!$A$382:$I$402,4,0))</f>
        <v>0</v>
      </c>
      <c r="KJ75" s="16">
        <f>IF(ISNA(VLOOKUP($A75,'Données projet'!$A$382:$I$402,5,0)),0%,VLOOKUP($A75,'Données projet'!$A$382:$I$402,5,0)*VLOOKUP('Données projet'!$B$22,Paramètres!$A$1:$I$89,7,0))</f>
        <v>0</v>
      </c>
      <c r="KK75" s="16">
        <f>IF(ISNA(VLOOKUP($A75,'Données projet'!$A$382:$I$402,6,0)),0%,VLOOKUP($A75,'Données projet'!$A$382:$I$402,6,0)*VLOOKUP('Données projet'!$B$22,Paramètres!$A$1:$I$89,7,0))</f>
        <v>0</v>
      </c>
      <c r="KL75" s="16">
        <f>IF(ISNA(VLOOKUP($A75,'Données projet'!$A$382:$I$402,7,0)),0%,VLOOKUP($A75,'Données projet'!$A$382:$I$402,7,0))</f>
        <v>0</v>
      </c>
      <c r="KM75" s="21">
        <f>EXP(-LN(2)/35)*KM74+(1-EXP(-LN(2)/35))/(LN(2)/35)*KI75*KJ75*VLOOKUP('Données projet'!$B$22,Paramètres!$A$1:$I$89,3,0)*0.475*44/12</f>
        <v>20.376482360677816</v>
      </c>
      <c r="KN75" s="21">
        <f>EXP(-LN(2)/25)*KN74+(1-EXP(-LN(2)/25))/(LN(2)/25)*Calculateur!KI75*Calculateur!KK75*VLOOKUP('Données projet'!$B$22,Paramètres!$A$1:$I$89,3,0)*0.475*44/12</f>
        <v>0</v>
      </c>
      <c r="KO75" s="21">
        <f>EXP(-LN(2)/2)*KO74+(1-EXP(-LN(2)/2))/(LN(2)/2)*KI75*KL75*VLOOKUP('Données projet'!$B$22,Paramètres!$A$1:$I$89,3,0)*0.475*44/12</f>
        <v>0</v>
      </c>
      <c r="KP75" s="22">
        <f t="shared" si="161"/>
        <v>20.376482360677816</v>
      </c>
      <c r="KQ75" s="74">
        <f>('Scénario référence'!$F$8+'Scénario référence'!$F$9+'Scénario référence'!$B$17+'Scénario référence'!$B$9+'Scénario référence'!$B$10)*70+IF((45+25*(1-EXP(-0.0175*$A75)))&lt;70,'Scénario référence'!$B$16*(45+25*(1-EXP(-0.0175*$A75))),70*'Scénario référence'!$B$16)+IF((32+38*(1-EXP(-0.0175*$A75)))&lt;70,'Scénario référence'!$B$18*(32+38*(1-EXP(-0.0175*$A75))),70*'Scénario référence'!$B$18)</f>
        <v>70</v>
      </c>
      <c r="KR75" s="12">
        <f>IF($A75&gt;30,10,('Scénario référence'!$B$16+'Scénario référence'!$B$17+'Scénario référence'!$B$18+'Scénario référence'!$B$9+'Scénario référence'!$B$10)*$A75*10/30+('Scénario référence'!$F$8+'Scénario référence'!$F$9)*10)</f>
        <v>10</v>
      </c>
      <c r="KS75" s="12" t="e">
        <f>VLOOKUP($A75,'Données projet'!$A$408:$I$428,2,0)</f>
        <v>#N/A</v>
      </c>
      <c r="KT75" s="12" t="e">
        <f>VLOOKUP($A75,'Données projet'!$A$408:$I$428,9,0)</f>
        <v>#N/A</v>
      </c>
      <c r="KU75" s="12">
        <f t="array" ref="KU75">INDEX(KT:KT,MIN(IF(ISNUMBER(KT75:KT271),ROW(KT75:KT271),"")))</f>
        <v>3.4</v>
      </c>
      <c r="KV75" s="12">
        <f>IF('Données projet'!$A$408&gt;35,KV74+KU75-LD74,IF($A75&lt;'Données projet'!$A$408,$CQ$205^$A75,IF($A75='Données projet'!$A$408,'Données projet'!$B$408,KV74+KU75-LD74)))</f>
        <v>259.7999999999999</v>
      </c>
      <c r="KW75" s="17">
        <f>KV75*VLOOKUP('Données projet'!$B$23,Paramètres!$A$1:$I$89,3,0)*VLOOKUP('Données projet'!$B$23,Paramètres!$A$1:$I$89,5,0)</f>
        <v>226.96127999999993</v>
      </c>
      <c r="KX75" s="13">
        <f t="shared" si="210"/>
        <v>55.625131501998617</v>
      </c>
      <c r="KY75" s="14">
        <f t="shared" si="162"/>
        <v>492.17133336598084</v>
      </c>
      <c r="KZ75" s="59">
        <f t="shared" si="163"/>
        <v>785.50466669931416</v>
      </c>
      <c r="LA75" s="59">
        <f ca="1">AVERAGE(OFFSET($KZ$3,0,0,'Données projet'!$E$23+1,1))-AVERAGE(OFFSET($H$3,0,0,'Données projet'!$E$23+1,1))</f>
        <v>248.33596943633819</v>
      </c>
      <c r="LB75" s="59">
        <f t="shared" si="211"/>
        <v>242.34010522344573</v>
      </c>
      <c r="LC75" s="15">
        <f>IF(ISNA(VLOOKUP($A75,'Données projet'!$A$408:$I$428,3,0)),0,VLOOKUP($A75,'Données projet'!$A$408:$I$428,3,0))</f>
        <v>0</v>
      </c>
      <c r="LD75" s="15">
        <f>IF(ISNA(VLOOKUP($A75,'Données projet'!$A$408:$I$428,4,0)),0,VLOOKUP($A75,'Données projet'!$A$408:$I$428,4,0))</f>
        <v>0</v>
      </c>
      <c r="LE75" s="16">
        <f>IF(ISNA(VLOOKUP($A75,'Données projet'!$A$408:$I$428,5,0)),0%,VLOOKUP($A75,'Données projet'!$A$408:$I$428,5,0)*VLOOKUP('Données projet'!$B$23,Paramètres!$A$1:$I$89,7,0))</f>
        <v>0</v>
      </c>
      <c r="LF75" s="16">
        <f>IF(ISNA(VLOOKUP($A75,'Données projet'!$A$408:$I$428,6,0)),0%,VLOOKUP($A75,'Données projet'!$A$408:$I$428,6,0)*VLOOKUP('Données projet'!$B$23,Paramètres!$A$1:$I$89,7,0))</f>
        <v>0</v>
      </c>
      <c r="LG75" s="16">
        <f>IF(ISNA(VLOOKUP($A75,'Données projet'!$A$408:$I$428,7,0)),0%,VLOOKUP($A75,'Données projet'!$A$408:$I$428,7,0))</f>
        <v>0</v>
      </c>
      <c r="LH75" s="21">
        <f>EXP(-LN(2)/35)*LH74+(1-EXP(-LN(2)/35))/(LN(2)/35)*LD75*LE75*VLOOKUP('Données projet'!$B$23,Paramètres!$A$1:$I$89,3,0)*0.475*44/12</f>
        <v>23.097103200023053</v>
      </c>
      <c r="LI75" s="21">
        <f>EXP(-LN(2)/25)*LI74+(1-EXP(-LN(2)/25))/(LN(2)/25)*Calculateur!LD75*Calculateur!LF75*VLOOKUP('Données projet'!$B$23,Paramètres!$A$1:$I$89,3,0)*0.475*44/12</f>
        <v>8.2804927514651254</v>
      </c>
      <c r="LJ75" s="21">
        <f>EXP(-LN(2)/2)*LJ74+(1-EXP(-LN(2)/2))/(LN(2)/2)*LD75*LG75*VLOOKUP('Données projet'!$B$23,Paramètres!$A$1:$I$89,3,0)*0.475*44/12</f>
        <v>0</v>
      </c>
      <c r="LK75" s="22">
        <f t="shared" si="164"/>
        <v>31.377595951488178</v>
      </c>
      <c r="LL75" s="74">
        <f>('Scénario référence'!$F$8+'Scénario référence'!$F$9+'Scénario référence'!$B$17+'Scénario référence'!$B$9+'Scénario référence'!$B$10)*70+IF((45+25*(1-EXP(-0.0175*$A75)))&lt;70,'Scénario référence'!$B$16*(45+25*(1-EXP(-0.0175*$A75))),70*'Scénario référence'!$B$16)+IF((32+38*(1-EXP(-0.0175*$A75)))&lt;70,'Scénario référence'!$B$18*(32+38*(1-EXP(-0.0175*$A75))),70*'Scénario référence'!$B$18)</f>
        <v>70</v>
      </c>
      <c r="LM75" s="12">
        <f>IF($A75&gt;30,10,('Scénario référence'!$B$16+'Scénario référence'!$B$17+'Scénario référence'!$B$18+'Scénario référence'!$B$9+'Scénario référence'!$B$10)*$A75*10/30+('Scénario référence'!$F$8+'Scénario référence'!$F$9)*10)</f>
        <v>10</v>
      </c>
      <c r="LN75" s="12" t="e">
        <f>VLOOKUP($A75,'Données projet'!$A$434:$I$454,2,0)</f>
        <v>#N/A</v>
      </c>
      <c r="LO75" s="12" t="e">
        <f>VLOOKUP($A75,'Données projet'!$A$434:$I$454,9,0)</f>
        <v>#N/A</v>
      </c>
      <c r="LP75" s="12">
        <f t="array" ref="LP75">INDEX(LO:LO,MIN(IF(ISNUMBER(LO75:LO271),ROW(LO75:LO271),"")))</f>
        <v>5.6899038461538431</v>
      </c>
      <c r="LQ75" s="12">
        <f>IF('Données projet'!$A$434&gt;35,LQ74+LP75-LY74,IF($A75&lt;'Données projet'!$A$434,$CQ$205^$A75,IF($A75='Données projet'!$A$434,'Données projet'!$B$434,LQ74+LP75-LY74)))</f>
        <v>164.31490384615381</v>
      </c>
      <c r="LR75" s="17">
        <f>LQ75*VLOOKUP('Données projet'!$B$24,Paramètres!$A$1:$I$89,3,0)*VLOOKUP('Données projet'!$B$24,Paramètres!$A$1:$I$89,5,0)</f>
        <v>166.61531249999999</v>
      </c>
      <c r="LS75" s="13">
        <f t="shared" si="212"/>
        <v>42.331081196606618</v>
      </c>
      <c r="LT75" s="14">
        <f t="shared" si="165"/>
        <v>363.9149690215898</v>
      </c>
      <c r="LU75" s="59">
        <f t="shared" si="166"/>
        <v>657.24830235492311</v>
      </c>
      <c r="LV75" s="59">
        <f ca="1">AVERAGE(OFFSET($LU$3,0,0,'Données projet'!$E$24+1,1))-AVERAGE(OFFSET($H$3,0,0,'Données projet'!$E$24+1,1))</f>
        <v>260.52627655062872</v>
      </c>
      <c r="LW75" s="59">
        <f t="shared" si="213"/>
        <v>159.20429420478047</v>
      </c>
      <c r="LX75" s="15">
        <f>IF(ISNA(VLOOKUP($A75,'Données projet'!$A$434:$I$454,3,0)),0,VLOOKUP($A75,'Données projet'!$A$434:$I$454,3,0))</f>
        <v>0</v>
      </c>
      <c r="LY75" s="15">
        <f>IF(ISNA(VLOOKUP($A75,'Données projet'!$A$434:$I$454,4,0)),0,VLOOKUP($A75,'Données projet'!$A$434:$I$454,4,0))</f>
        <v>0</v>
      </c>
      <c r="LZ75" s="16">
        <f>IF(ISNA(VLOOKUP($A75,'Données projet'!$A$434:$I$454,5,0)),0%,VLOOKUP($A75,'Données projet'!$A$434:$I$454,5,0)*VLOOKUP('Données projet'!$B$24,Paramètres!$A$1:$I$89,7,0))</f>
        <v>0</v>
      </c>
      <c r="MA75" s="16">
        <f>IF(ISNA(VLOOKUP($A75,'Données projet'!$A$434:$I$454,6,0)),0%,VLOOKUP($A75,'Données projet'!$A$434:$I$454,6,0)*VLOOKUP('Données projet'!$B$24,Paramètres!$A$1:$I$89,7,0))</f>
        <v>0</v>
      </c>
      <c r="MB75" s="16">
        <f>IF(ISNA(VLOOKUP($A75,'Données projet'!$A$434:$I$454,7,0)),0%,VLOOKUP($A75,'Données projet'!$A$434:$I$454,7,0))</f>
        <v>0</v>
      </c>
      <c r="MC75" s="21">
        <f>EXP(-LN(2)/35)*MC74+(1-EXP(-LN(2)/35))/(LN(2)/35)*LY75*LZ75*VLOOKUP('Données projet'!$B$24,Paramètres!$A$1:$I$89,3,0)*0.475*44/12</f>
        <v>0</v>
      </c>
      <c r="MD75" s="21">
        <f>EXP(-LN(2)/25)*MD74+(1-EXP(-LN(2)/25))/(LN(2)/25)*Calculateur!LY75*Calculateur!MA75*VLOOKUP('Données projet'!$B$24,Paramètres!$A$1:$I$89,3,0)*0.475*44/12</f>
        <v>0</v>
      </c>
      <c r="ME75" s="21">
        <f>EXP(-LN(2)/2)*ME74+(1-EXP(-LN(2)/2))/(LN(2)/2)*LY75*MB75*VLOOKUP('Données projet'!$B$24,Paramètres!$A$1:$I$89,3,0)*0.475*44/12</f>
        <v>0</v>
      </c>
      <c r="MF75" s="22">
        <f t="shared" si="167"/>
        <v>0</v>
      </c>
      <c r="MG75" s="74">
        <f>('Scénario référence'!$F$8+'Scénario référence'!$F$9+'Scénario référence'!$B$17+'Scénario référence'!$B$9+'Scénario référence'!$B$10)*70+IF((45+25*(1-EXP(-0.0175*$A75)))&lt;70,'Scénario référence'!$B$16*(45+25*(1-EXP(-0.0175*$A75))),70*'Scénario référence'!$B$16)+IF((32+38*(1-EXP(-0.0175*$A75)))&lt;70,'Scénario référence'!$B$18*(32+38*(1-EXP(-0.0175*$A75))),70*'Scénario référence'!$B$18)</f>
        <v>70</v>
      </c>
      <c r="MH75" s="12">
        <f>IF($A75&gt;30,10,('Scénario référence'!$B$16+'Scénario référence'!$B$17+'Scénario référence'!$B$18+'Scénario référence'!$B$9+'Scénario référence'!$B$10)*$A75*10/30+('Scénario référence'!$F$8+'Scénario référence'!$F$9)*10)</f>
        <v>10</v>
      </c>
      <c r="MI75" s="12" t="e">
        <f>VLOOKUP($A75,'Données projet'!$A$460:$I$480,2,0)</f>
        <v>#N/A</v>
      </c>
      <c r="MJ75" s="12" t="e">
        <f>VLOOKUP($A75,'Données projet'!$A$460:$I$480,9,0)</f>
        <v>#N/A</v>
      </c>
      <c r="MK75" s="12">
        <f t="array" ref="MK75">INDEX(MJ:MJ,MIN(IF(ISNUMBER(MJ75:MJ271),ROW(MJ75:MJ271),"")))</f>
        <v>0</v>
      </c>
      <c r="ML75" s="12">
        <f>IF('Données projet'!$A$460&gt;35,ML74+MK75-MT74,IF($A75&lt;'Données projet'!$A$460,$CQ$205^$A75,IF($A75='Données projet'!$A$460,'Données projet'!$B$460,ML74+MK75-MT74)))</f>
        <v>0</v>
      </c>
      <c r="MM75" s="17" t="e">
        <f>ML75*VLOOKUP('Données projet'!$B$25,Paramètres!$A$1:$I$89,3,0)*VLOOKUP('Données projet'!$B$25,Paramètres!$A$1:$I$89,5,0)</f>
        <v>#N/A</v>
      </c>
      <c r="MN75" s="13" t="e">
        <f t="shared" si="214"/>
        <v>#N/A</v>
      </c>
      <c r="MO75" s="14" t="e">
        <f t="shared" si="168"/>
        <v>#N/A</v>
      </c>
      <c r="MP75" s="59" t="e">
        <f t="shared" si="169"/>
        <v>#N/A</v>
      </c>
      <c r="MQ75" s="20" t="e">
        <f ca="1">AVERAGE(OFFSET($MP$3,0,0,'Données projet'!$E$25+1,1))-AVERAGE(OFFSET($H$3,0,0,'Données projet'!$E$25+1,1))</f>
        <v>#N/A</v>
      </c>
      <c r="MR75" s="59" t="e">
        <f t="shared" si="215"/>
        <v>#N/A</v>
      </c>
      <c r="MS75" s="15">
        <f>IF(ISNA(VLOOKUP($A75,'Données projet'!$A$460:$I$480,3,0)),0,VLOOKUP($A75,'Données projet'!$A$460:$I$480,3,0))</f>
        <v>0</v>
      </c>
      <c r="MT75" s="15">
        <f>IF(ISNA(VLOOKUP($A75,'Données projet'!$A$460:$I$480,4,0)),0,VLOOKUP($A75,'Données projet'!$A$460:$I$480,4,0))</f>
        <v>0</v>
      </c>
      <c r="MU75" s="16">
        <f>IF(ISNA(VLOOKUP($A75,'Données projet'!$A$460:$I$480,5,0)),0%,VLOOKUP($A75,'Données projet'!$A$460:$I$480,5,0)*VLOOKUP('Données projet'!$B$25,Paramètres!$A$1:$I$89,7,0))</f>
        <v>0</v>
      </c>
      <c r="MV75" s="16">
        <f>IF(ISNA(VLOOKUP($A75,'Données projet'!$A$460:$I$480,6,0)),0%,VLOOKUP($A75,'Données projet'!$A$460:$I$480,6,0)*VLOOKUP('Données projet'!$B$25,Paramètres!$A$1:$I$89,7,0))</f>
        <v>0</v>
      </c>
      <c r="MW75" s="16">
        <f>IF(ISNA(VLOOKUP($A75,'Données projet'!$A$460:$I$480,7,0)),0%,VLOOKUP($A75,'Données projet'!$A$460:$I$480,7,0))</f>
        <v>0</v>
      </c>
      <c r="MX75" s="21" t="e">
        <f>EXP(-LN(2)/35)*MX74+(1-EXP(-LN(2)/35))/(LN(2)/35)*MT75*MU75*VLOOKUP('Données projet'!$B$25,Paramètres!$A$1:$I$89,3,0)*0.475*44/12</f>
        <v>#N/A</v>
      </c>
      <c r="MY75" s="21" t="e">
        <f>EXP(-LN(2)/25)*MY74+(1-EXP(-LN(2)/25))/(LN(2)/25)*Calculateur!MT75*Calculateur!MV75*VLOOKUP('Données projet'!$B$25,Paramètres!$A$1:$I$89,3,0)*0.475*44/12</f>
        <v>#N/A</v>
      </c>
      <c r="MZ75" s="21" t="e">
        <f>EXP(-LN(2)/2)*MZ74+(1-EXP(-LN(2)/2))/(LN(2)/2)*MT75*MW75*VLOOKUP('Données projet'!$B$25,Paramètres!$A$1:$I$89,3,0)*0.475*44/12</f>
        <v>#N/A</v>
      </c>
      <c r="NA75" s="22" t="e">
        <f t="shared" si="170"/>
        <v>#N/A</v>
      </c>
      <c r="NB75" s="74">
        <f>('Scénario référence'!$F$8+'Scénario référence'!$F$9+'Scénario référence'!$B$17+'Scénario référence'!$B$9+'Scénario référence'!$B$10)*70+IF((45+25*(1-EXP(-0.0175*$A75)))&lt;70,'Scénario référence'!$B$16*(45+25*(1-EXP(-0.0175*$A75))),70*'Scénario référence'!$B$16)+IF((32+38*(1-EXP(-0.0175*$A75)))&lt;70,'Scénario référence'!$B$18*(32+38*(1-EXP(-0.0175*$A75))),70*'Scénario référence'!$B$18)</f>
        <v>70</v>
      </c>
      <c r="NC75" s="12">
        <f>IF($A75&gt;30,10,('Scénario référence'!$B$16+'Scénario référence'!$B$17+'Scénario référence'!$B$18+'Scénario référence'!$B$9+'Scénario référence'!$B$10)*$A75*10/30+('Scénario référence'!$F$8+'Scénario référence'!$F$9)*10)</f>
        <v>10</v>
      </c>
      <c r="ND75" s="12" t="e">
        <f>VLOOKUP($A75,'Données projet'!$A$486:$I$506,2,0)</f>
        <v>#N/A</v>
      </c>
      <c r="NE75" s="12" t="e">
        <f>VLOOKUP($A75,'Données projet'!$A$486:$I$506,9,0)</f>
        <v>#N/A</v>
      </c>
      <c r="NF75" s="12">
        <f t="array" ref="NF75">INDEX(NE:NE,MIN(IF(ISNUMBER(NE75:NE271),ROW(NE75:NE271),"")))</f>
        <v>0</v>
      </c>
      <c r="NG75" s="12">
        <f>IF('Données projet'!$A$486&gt;35,NG74+NF75-NO74,IF($A75&lt;'Données projet'!$A$486,$CQ$205^$A75,IF($A75='Données projet'!$A$486,'Données projet'!$B$486,NG74+NF75-NO74)))</f>
        <v>0</v>
      </c>
      <c r="NH75" s="17" t="e">
        <f>NG75*VLOOKUP('Données projet'!$B$26,Paramètres!$A$1:$I$89,3,0)*VLOOKUP('Données projet'!$B$26,Paramètres!$A$1:$I$89,5,0)</f>
        <v>#N/A</v>
      </c>
      <c r="NI75" s="13" t="e">
        <f t="shared" si="216"/>
        <v>#N/A</v>
      </c>
      <c r="NJ75" s="14" t="e">
        <f t="shared" si="171"/>
        <v>#N/A</v>
      </c>
      <c r="NK75" s="59" t="e">
        <f t="shared" si="172"/>
        <v>#N/A</v>
      </c>
      <c r="NL75" s="20" t="e">
        <f ca="1">AVERAGE(OFFSET($NK$3,0,0,'Données projet'!$E$26+1,1))-AVERAGE(OFFSET($H$3,0,0,'Données projet'!$E$26+1,1))</f>
        <v>#N/A</v>
      </c>
      <c r="NM75" s="59" t="e">
        <f t="shared" si="217"/>
        <v>#N/A</v>
      </c>
      <c r="NN75" s="15">
        <f>IF(ISNA(VLOOKUP($A75,'Données projet'!$A$486:$I$506,3,0)),0,VLOOKUP($A75,'Données projet'!$A$486:$I$506,3,0))</f>
        <v>0</v>
      </c>
      <c r="NO75" s="15">
        <f>IF(ISNA(VLOOKUP($A75,'Données projet'!$A$486:$I$506,4,0)),0,VLOOKUP($A75,'Données projet'!$A$486:$I$506,4,0))</f>
        <v>0</v>
      </c>
      <c r="NP75" s="16">
        <f>IF(ISNA(VLOOKUP($A75,'Données projet'!$A$486:$I$506,5,0)),0%,VLOOKUP($A75,'Données projet'!$A$486:$I$506,5,0)*VLOOKUP('Données projet'!$B$26,Paramètres!$A$1:$I$89,7,0))</f>
        <v>0</v>
      </c>
      <c r="NQ75" s="16">
        <f>IF(ISNA(VLOOKUP($A75,'Données projet'!$A$486:$I$506,6,0)),0%,VLOOKUP($A75,'Données projet'!$A$486:$I$506,6,0)*VLOOKUP('Données projet'!$B$26,Paramètres!$A$1:$I$89,7,0))</f>
        <v>0</v>
      </c>
      <c r="NR75" s="16">
        <f>IF(ISNA(VLOOKUP($A75,'Données projet'!$A$486:$I$506,7,0)),0%,VLOOKUP($A75,'Données projet'!$A$486:$I$506,7,0))</f>
        <v>0</v>
      </c>
      <c r="NS75" s="21" t="e">
        <f>EXP(-LN(2)/35)*NS74+(1-EXP(-LN(2)/35))/(LN(2)/35)*NO75*NP75*VLOOKUP('Données projet'!$B$26,Paramètres!$A$1:$I$89,3,0)*0.475*44/12</f>
        <v>#N/A</v>
      </c>
      <c r="NT75" s="21" t="e">
        <f>EXP(-LN(2)/25)*NT74+(1-EXP(-LN(2)/25))/(LN(2)/25)*Calculateur!NO75*Calculateur!NQ75*VLOOKUP('Données projet'!$B$26,Paramètres!$A$1:$I$89,3,0)*0.475*44/12</f>
        <v>#N/A</v>
      </c>
      <c r="NU75" s="21" t="e">
        <f>EXP(-LN(2)/2)*NU74+(1-EXP(-LN(2)/2))/(LN(2)/2)*NO75*NR75*VLOOKUP('Données projet'!$B$26,Paramètres!$A$1:$I$89,3,0)*0.475*44/12</f>
        <v>#N/A</v>
      </c>
      <c r="NV75" s="22" t="e">
        <f t="shared" si="173"/>
        <v>#N/A</v>
      </c>
      <c r="NW75" s="74">
        <f>('Scénario référence'!$F$8+'Scénario référence'!$F$9+'Scénario référence'!$B$17+'Scénario référence'!$B$9+'Scénario référence'!$B$10)*70+IF((45+25*(1-EXP(-0.0175*$A75)))&lt;70,'Scénario référence'!$B$16*(45+25*(1-EXP(-0.0175*$A75))),70*'Scénario référence'!$B$16)+IF((32+38*(1-EXP(-0.0175*$A75)))&lt;70,'Scénario référence'!$B$18*(32+38*(1-EXP(-0.0175*$A75))),70*'Scénario référence'!$B$18)</f>
        <v>70</v>
      </c>
      <c r="NX75" s="12">
        <f>IF($A75&gt;30,10,('Scénario référence'!$B$16+'Scénario référence'!$B$17+'Scénario référence'!$B$18+'Scénario référence'!$B$9+'Scénario référence'!$B$10)*$A75*10/30+('Scénario référence'!$F$8+'Scénario référence'!$F$9)*10)</f>
        <v>10</v>
      </c>
      <c r="NY75" s="12" t="e">
        <f>VLOOKUP($A75,'Données projet'!$A$512:$I$532,2,0)</f>
        <v>#N/A</v>
      </c>
      <c r="NZ75" s="12" t="e">
        <f>VLOOKUP($A75,'Données projet'!$A$512:$I$532,9,0)</f>
        <v>#N/A</v>
      </c>
      <c r="OA75" s="12">
        <f t="array" ref="OA75">INDEX(NZ:NZ,MIN(IF(ISNUMBER(NZ75:NZ271),ROW(NZ75:NZ271),"")))</f>
        <v>0</v>
      </c>
      <c r="OB75" s="12">
        <f>IF('Données projet'!$A$512&gt;35,OB74+OA75-OJ74,IF($A75&lt;'Données projet'!$A$512,$CQ$205^$A75,IF($A75='Données projet'!$A$512,'Données projet'!$B$512,OB74+OA75-OJ74)))</f>
        <v>0</v>
      </c>
      <c r="OC75" s="17" t="e">
        <f>OB75*VLOOKUP('Données projet'!$B$27,Paramètres!$A$1:$I$89,3,0)*VLOOKUP('Données projet'!$B$27,Paramètres!$A$1:$I$89,5,0)</f>
        <v>#N/A</v>
      </c>
      <c r="OD75" s="13" t="e">
        <f t="shared" si="218"/>
        <v>#N/A</v>
      </c>
      <c r="OE75" s="14" t="e">
        <f t="shared" si="174"/>
        <v>#N/A</v>
      </c>
      <c r="OF75" s="59" t="e">
        <f t="shared" si="175"/>
        <v>#N/A</v>
      </c>
      <c r="OG75" s="20" t="e">
        <f ca="1">AVERAGE(OFFSET($OF$3,0,0,'Données projet'!$E$27+1,1))-AVERAGE(OFFSET($H$3,0,0,'Données projet'!$E$27+1,1))</f>
        <v>#N/A</v>
      </c>
      <c r="OH75" s="59" t="e">
        <f t="shared" si="219"/>
        <v>#N/A</v>
      </c>
      <c r="OI75" s="15">
        <f>IF(ISNA(VLOOKUP($A75,'Données projet'!$A$512:$I$532,3,0)),0,VLOOKUP($A75,'Données projet'!$A$512:$I$532,3,0))</f>
        <v>0</v>
      </c>
      <c r="OJ75" s="15">
        <f>IF(ISNA(VLOOKUP($A75,'Données projet'!$A$512:$I$532,4,0)),0,VLOOKUP($A75,'Données projet'!$A$512:$I$532,4,0))</f>
        <v>0</v>
      </c>
      <c r="OK75" s="16">
        <f>IF(ISNA(VLOOKUP($A75,'Données projet'!$A$512:$I$532,5,0)),0%,VLOOKUP($A75,'Données projet'!$A$512:$I$532,5,0)*VLOOKUP('Données projet'!$B$27,Paramètres!$A$1:$I$89,7,0))</f>
        <v>0</v>
      </c>
      <c r="OL75" s="16">
        <f>IF(ISNA(VLOOKUP($A75,'Données projet'!$A$512:$I$532,6,0)),0%,VLOOKUP($A75,'Données projet'!$A$512:$I$532,6,0)*VLOOKUP('Données projet'!$B$27,Paramètres!$A$1:$I$89,7,0))</f>
        <v>0</v>
      </c>
      <c r="OM75" s="16">
        <f>IF(ISNA(VLOOKUP($A75,'Données projet'!$A$512:$I$532,7,0)),0%,VLOOKUP($A75,'Données projet'!$A$512:$I$532,7,0))</f>
        <v>0</v>
      </c>
      <c r="ON75" s="21" t="e">
        <f>EXP(-LN(2)/35)*ON74+(1-EXP(-LN(2)/35))/(LN(2)/35)*OJ75*OK75*VLOOKUP('Données projet'!$B$27,Paramètres!$A$1:$I$89,3,0)*0.475*44/12</f>
        <v>#N/A</v>
      </c>
      <c r="OO75" s="21" t="e">
        <f>EXP(-LN(2)/25)*OO74+(1-EXP(-LN(2)/25))/(LN(2)/25)*Calculateur!OJ75*Calculateur!OL75*VLOOKUP('Données projet'!$B$27,Paramètres!$A$1:$I$89,3,0)*0.475*44/12</f>
        <v>#N/A</v>
      </c>
      <c r="OP75" s="21" t="e">
        <f>EXP(-LN(2)/2)*OP74+(1-EXP(-LN(2)/2))/(LN(2)/2)*OJ75*OM75*VLOOKUP('Données projet'!$B$27,Paramètres!$A$1:$I$89,3,0)*0.475*44/12</f>
        <v>#N/A</v>
      </c>
      <c r="OQ75" s="22" t="e">
        <f t="shared" si="176"/>
        <v>#N/A</v>
      </c>
      <c r="OR75" s="74">
        <f>('Scénario référence'!$F$8+'Scénario référence'!$F$9+'Scénario référence'!$B$17+'Scénario référence'!$B$9+'Scénario référence'!$B$10)*70+IF((45+25*(1-EXP(-0.0175*$A75)))&lt;70,'Scénario référence'!$B$16*(45+25*(1-EXP(-0.0175*$A75))),70*'Scénario référence'!$B$16)+IF((32+38*(1-EXP(-0.0175*$A75)))&lt;70,'Scénario référence'!$B$18*(32+38*(1-EXP(-0.0175*$A75))),70*'Scénario référence'!$B$18)</f>
        <v>70</v>
      </c>
      <c r="OS75" s="12">
        <f>IF($A75&gt;30,10,('Scénario référence'!$B$16+'Scénario référence'!$B$17+'Scénario référence'!$B$18+'Scénario référence'!$B$9+'Scénario référence'!$B$10)*$A75*10/30+('Scénario référence'!$F$8+'Scénario référence'!$F$9)*10)</f>
        <v>10</v>
      </c>
      <c r="OT75" s="12" t="e">
        <f>VLOOKUP($A75,'Données projet'!$A$538:$I$558,2,0)</f>
        <v>#N/A</v>
      </c>
      <c r="OU75" s="12" t="e">
        <f>VLOOKUP($A75,'Données projet'!$A$538:$I$558,9,0)</f>
        <v>#N/A</v>
      </c>
      <c r="OV75" s="12">
        <f t="array" ref="OV75">INDEX(OU:OU,MIN(IF(ISNUMBER(OU75:OU271),ROW(OU75:OU271),"")))</f>
        <v>0</v>
      </c>
      <c r="OW75" s="12">
        <f>IF('Données projet'!$A$538&gt;35,OW74+OV75-PE74,IF($A75&lt;'Données projet'!$A$538,$CQ$205^$A75,IF($A75='Données projet'!$A$538,'Données projet'!$B$538,OW74+OV75-PE74)))</f>
        <v>0</v>
      </c>
      <c r="OX75" s="17" t="e">
        <f>OW75*VLOOKUP('Données projet'!$B$28,Paramètres!$A$1:$I$89,3,0)*VLOOKUP('Données projet'!$B$28,Paramètres!$A$1:$I$89,5,0)</f>
        <v>#N/A</v>
      </c>
      <c r="OY75" s="13" t="e">
        <f t="shared" si="220"/>
        <v>#N/A</v>
      </c>
      <c r="OZ75" s="14" t="e">
        <f t="shared" si="177"/>
        <v>#N/A</v>
      </c>
      <c r="PA75" s="59" t="e">
        <f t="shared" si="178"/>
        <v>#N/A</v>
      </c>
      <c r="PB75" s="20" t="e">
        <f ca="1">AVERAGE(OFFSET($PA$3,0,0,'Données projet'!$E$28+1,1))-AVERAGE(OFFSET($H$3,0,0,'Données projet'!$E$28+1,1))</f>
        <v>#N/A</v>
      </c>
      <c r="PC75" s="59" t="e">
        <f t="shared" si="221"/>
        <v>#N/A</v>
      </c>
      <c r="PD75" s="15">
        <f>IF(ISNA(VLOOKUP($A75,'Données projet'!$A$538:$I$558,3,0)),0,VLOOKUP($A75,'Données projet'!$A$538:$I$558,3,0))</f>
        <v>0</v>
      </c>
      <c r="PE75" s="15">
        <f>IF(ISNA(VLOOKUP($A75,'Données projet'!$A$538:$I$558,4,0)),0,VLOOKUP($A75,'Données projet'!$A$538:$I$558,4,0))</f>
        <v>0</v>
      </c>
      <c r="PF75" s="16">
        <f>IF(ISNA(VLOOKUP($A75,'Données projet'!$A$538:$I$558,5,0)),0%,VLOOKUP($A75,'Données projet'!$A$538:$I$558,5,0)*VLOOKUP('Données projet'!$B$28,Paramètres!$A$1:$I$89,7,0))</f>
        <v>0</v>
      </c>
      <c r="PG75" s="16">
        <f>IF(ISNA(VLOOKUP($A75,'Données projet'!$A$538:$I$558,6,0)),0%,VLOOKUP($A75,'Données projet'!$A$538:$I$558,6,0)*VLOOKUP('Données projet'!$B$28,Paramètres!$A$1:$I$89,7,0))</f>
        <v>0</v>
      </c>
      <c r="PH75" s="16">
        <f>IF(ISNA(VLOOKUP($A75,'Données projet'!$A$538:$I$558,7,0)),0%,VLOOKUP($A75,'Données projet'!$A$538:$I$558,7,0))</f>
        <v>0</v>
      </c>
      <c r="PI75" s="21" t="e">
        <f>EXP(-LN(2)/35)*PI74+(1-EXP(-LN(2)/35))/(LN(2)/35)*PE75*PF75*VLOOKUP('Données projet'!$B$28,Paramètres!$A$1:$I$89,3,0)*0.475*44/12</f>
        <v>#N/A</v>
      </c>
      <c r="PJ75" s="21" t="e">
        <f>EXP(-LN(2)/25)*PJ74+(1-EXP(-LN(2)/25))/(LN(2)/25)*Calculateur!PE75*Calculateur!PG75*VLOOKUP('Données projet'!$B$28,Paramètres!$A$1:$I$89,3,0)*0.475*44/12</f>
        <v>#N/A</v>
      </c>
      <c r="PK75" s="21" t="e">
        <f>EXP(-LN(2)/2)*PK74+(1-EXP(-LN(2)/2))/(LN(2)/2)*PE75*PH75*VLOOKUP('Données projet'!$B$28,Paramètres!$A$1:$I$89,3,0)*0.475*44/12</f>
        <v>#N/A</v>
      </c>
      <c r="PL75" s="22" t="e">
        <f t="shared" si="179"/>
        <v>#N/A</v>
      </c>
    </row>
    <row r="76" spans="1:428" x14ac:dyDescent="0.35">
      <c r="A76" s="10">
        <f t="shared" si="180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181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121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projet'!$A$45:$I$65,2,0)</f>
        <v>#N/A</v>
      </c>
      <c r="L76" s="12" t="e">
        <f>VLOOKUP(A76,'Données projet'!$A$45:$I$65,9,0)</f>
        <v>#N/A</v>
      </c>
      <c r="M76" s="12">
        <f t="array" ref="M76">INDEX(L:L,MIN(IF(ISNUMBER(L76:L272),ROW(L76:L272),"")))</f>
        <v>0</v>
      </c>
      <c r="N76" s="13">
        <f>IF('Données projet'!$A$46&gt;35,N75+M76-V75,IF(A76&lt;'Données projet'!$A$46,$K$205^A76,IF(A76='Données projet'!$A$46,'Données projet'!$B$46,N75+M76-V75)))</f>
        <v>-1.1368683772161603E-13</v>
      </c>
      <c r="O76" s="13">
        <f>N76*VLOOKUP('Données projet'!$B$9,Paramètres!$A$1:$I$89,3,0)*VLOOKUP('Données projet'!$B$9,Paramètres!$A$1:$I$89,5,0)</f>
        <v>-6.3550942286383367E-14</v>
      </c>
      <c r="P76" s="13" t="e">
        <f t="shared" si="182"/>
        <v>#NUM!</v>
      </c>
      <c r="Q76" s="20" t="e">
        <f t="shared" si="119"/>
        <v>#NUM!</v>
      </c>
      <c r="R76" s="59" t="e">
        <f t="shared" si="120"/>
        <v>#NUM!</v>
      </c>
      <c r="S76" s="59">
        <f ca="1">AVERAGE(OFFSET($R$3,0,0,'Données projet'!$E$9+1,1))-AVERAGE(OFFSET($H$3,0,0,'Données projet'!$E$9+1,1))</f>
        <v>274.57619581652199</v>
      </c>
      <c r="T76" s="59">
        <f t="shared" si="183"/>
        <v>366.15117322598775</v>
      </c>
      <c r="U76" s="15">
        <f>IF(ISNA(VLOOKUP(A76,'Données projet'!$A$45:$I$65,3,0)),0,VLOOKUP(A76,'Données projet'!$A$45:$I$65,3,0))</f>
        <v>0</v>
      </c>
      <c r="V76" s="15">
        <f>IF(ISNA(VLOOKUP(A76,'Données projet'!$A$45:$I$65,4,0)),0,VLOOKUP(A76,'Données projet'!$A$45:$I$65,4,0))</f>
        <v>0</v>
      </c>
      <c r="W76" s="16">
        <f>IF(ISNA(VLOOKUP(A76,'Données projet'!$A$45:$I$65,5,0)),0%,VLOOKUP(A76,'Données projet'!$A$45:$I$65,5,0)*VLOOKUP('Données projet'!$B$9,Paramètres!$A$1:$I$89,7,0))</f>
        <v>0</v>
      </c>
      <c r="X76" s="16">
        <f>IF(ISNA(VLOOKUP(A76,'Données projet'!$A$45:$I$65,6,0)),0%,VLOOKUP(A76,'Données projet'!$A$45:$I$65,6,0)*VLOOKUP('Données projet'!$B$9,Paramètres!$A$1:$I$89,7,0))</f>
        <v>0</v>
      </c>
      <c r="Y76" s="16">
        <f>IF(ISNA(VLOOKUP(A76,'Données projet'!$A$45:$I$65,7,0)),0%,VLOOKUP(A76,'Données projet'!$A$45:$I$65,7,0))</f>
        <v>0</v>
      </c>
      <c r="Z76" s="21">
        <f>EXP(-LN(2)/35)*Z75+(1-EXP(-LN(2)/35))/(LN(2)/35)*V76*W76*VLOOKUP('Données projet'!$B$9,Paramètres!$A$1:$I$89,3,0)*0.475*44/12</f>
        <v>158.69157369123721</v>
      </c>
      <c r="AA76" s="21">
        <f>EXP(-LN(2)/25)*AA75+(1-EXP(-LN(2)/25))/(LN(2)/25)*Calculateur!V76*Calculateur!X76*VLOOKUP('Données projet'!$B$9,Paramètres!$A$1:$I$89,3,0)*0.475*44/12</f>
        <v>34.973475414632865</v>
      </c>
      <c r="AB76" s="21">
        <f>EXP(-LN(2)/2)*AB75+(1-EXP(-LN(2)/2))/(LN(2)/2)*V76*Y76*VLOOKUP('Données projet'!$B$9,Paramètres!$A$1:$I$89,3,0)*0.475*44/12</f>
        <v>6.6721296883032175E-2</v>
      </c>
      <c r="AC76" s="22">
        <f t="shared" si="122"/>
        <v>193.73177040275311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projet'!$A$71:$I$91,2,0)</f>
        <v>#N/A</v>
      </c>
      <c r="AG76" s="12" t="e">
        <f>VLOOKUP(A76,'Données projet'!$A$71:$I$91,9,0)</f>
        <v>#N/A</v>
      </c>
      <c r="AH76" s="12">
        <f t="array" ref="AH76">INDEX(AG:AG,MIN(IF(ISNUMBER(AG76:AG272),ROW(AG76:AG272),"")))</f>
        <v>7.8425925925925934</v>
      </c>
      <c r="AI76" s="13">
        <f>IF('Données projet'!$A$72&gt;35,AI75+AH76-AQ75,IF(A76&lt;'Données projet'!$A$72,$AF$205^A76,IF(A76='Données projet'!$A$72,'Données projet'!$B$72,AI75+AH76-AQ75)))</f>
        <v>219.1146723646726</v>
      </c>
      <c r="AJ76" s="13">
        <f>AI76*VLOOKUP('Données projet'!$B$10,Paramètres!$A$1:$I$89,3,0)*VLOOKUP('Données projet'!$B$10,Paramètres!$A$1:$I$89,5,0)</f>
        <v>198.25495555555577</v>
      </c>
      <c r="AK76" s="13">
        <f t="shared" si="184"/>
        <v>49.360464390082804</v>
      </c>
      <c r="AL76" s="20">
        <f t="shared" si="123"/>
        <v>431.26352307198721</v>
      </c>
      <c r="AM76" s="59">
        <f t="shared" si="124"/>
        <v>724.59685640532052</v>
      </c>
      <c r="AN76" s="59">
        <f ca="1">AVERAGE(OFFSET($AM$3,0,0,'Données projet'!$E$10+1,1))-AVERAGE(OFFSET($H$3,0,0,'Données projet'!$E$10+1,1))</f>
        <v>270.87836509222456</v>
      </c>
      <c r="AO76" s="59">
        <f t="shared" si="185"/>
        <v>205.24998237949734</v>
      </c>
      <c r="AP76" s="15">
        <f>IF(ISNA(VLOOKUP(A76,'Données projet'!$A$71:$I$91,3,0)),0,VLOOKUP(A76,'Données projet'!$A$71:$I$91,3,0))</f>
        <v>0</v>
      </c>
      <c r="AQ76" s="15">
        <f>IF(ISNA(VLOOKUP(A76,'Données projet'!$A$71:$I$91,4,0)),0,VLOOKUP(A76,'Données projet'!$A$71:$I$91,4,0))</f>
        <v>0</v>
      </c>
      <c r="AR76" s="16">
        <f>IF(ISNA(VLOOKUP(A76,'Données projet'!$A$71:$I$91,5,0)),0%,VLOOKUP(A76,'Données projet'!$A$71:$I$91,5,0)*VLOOKUP('Données projet'!$B$10,Paramètres!$A$1:$I$89,7,0))</f>
        <v>0</v>
      </c>
      <c r="AS76" s="16">
        <f>IF(ISNA(VLOOKUP(A76,'Données projet'!$A$71:$I$91,6,0)),0%,VLOOKUP(A76,'Données projet'!$A$71:$I$91,6,0)*VLOOKUP('Données projet'!$B$10,Paramètres!$A$1:$I$89,7,0))</f>
        <v>0</v>
      </c>
      <c r="AT76" s="16">
        <f>IF(ISNA(VLOOKUP(A76,'Données projet'!$A$71:$I$91,7,0)),0%,VLOOKUP(A76,'Données projet'!$A$71:$I$91,7,0))</f>
        <v>0</v>
      </c>
      <c r="AU76" s="21">
        <f>EXP(-LN(2)/35)*AU75+(1-EXP(-LN(2)/35))/(LN(2)/35)*AQ76*AR76*VLOOKUP('Données projet'!$B$10,Paramètres!$A$1:$I$89,3,0)*0.475*44/12</f>
        <v>21.861526306805541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125"/>
        <v>21.861526306805541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projet'!$A$97:$I$117,2,0)</f>
        <v>#N/A</v>
      </c>
      <c r="BB76" s="12" t="e">
        <f>VLOOKUP(A76,'Données projet'!$A$97:$I$117,9,0)</f>
        <v>#N/A</v>
      </c>
      <c r="BC76" s="12">
        <f t="array" ref="BC76">INDEX(BB:BB,MIN(IF(ISNUMBER(BB76:BB272),ROW(BB76:BB272),"")))</f>
        <v>0</v>
      </c>
      <c r="BD76" s="12">
        <f>IF('Données projet'!$A$98&gt;35,BD75+BC76-BL75,IF(A76&lt;'Données projet'!$A$98,$BA$205^A76,IF(A76='Données projet'!$A$98,'Données projet'!$B$98,BD75+BC76-BL75)))</f>
        <v>-1.1368683772161603E-13</v>
      </c>
      <c r="BE76" s="13">
        <f>BD76*VLOOKUP('Données projet'!$B$11,Paramètres!$A$1:$I$89,3,0)*VLOOKUP('Données projet'!$B$11,Paramètres!$A$1:$I$89,5,0)</f>
        <v>-5.0249582272954292E-14</v>
      </c>
      <c r="BF76" s="13" t="e">
        <f t="shared" si="186"/>
        <v>#NUM!</v>
      </c>
      <c r="BG76" s="20" t="e">
        <f t="shared" si="126"/>
        <v>#NUM!</v>
      </c>
      <c r="BH76" s="59" t="e">
        <f t="shared" si="127"/>
        <v>#NUM!</v>
      </c>
      <c r="BI76" s="59">
        <f ca="1">AVERAGE(OFFSET($BH$3,0,0,'Données projet'!$E$11+1,1))-AVERAGE(OFFSET($H$3,0,0,'Données projet'!$E$11+1,1))</f>
        <v>211.31057120485542</v>
      </c>
      <c r="BJ76" s="59">
        <f t="shared" si="187"/>
        <v>283.33292006714777</v>
      </c>
      <c r="BK76" s="15">
        <f>IF(ISNA(VLOOKUP(A76,'Données projet'!$A$97:$I$117,3,0)),0,VLOOKUP(A76,'Données projet'!$A$97:$I$117,3,0))</f>
        <v>0</v>
      </c>
      <c r="BL76" s="15">
        <f>IF(ISNA(VLOOKUP(A76,'Données projet'!$A$97:$I$117,4,0)),0,VLOOKUP(A76,'Données projet'!$A$97:$I$117,4,0))</f>
        <v>0</v>
      </c>
      <c r="BM76" s="16">
        <f>IF(ISNA(VLOOKUP(A76,'Données projet'!$A$97:$I$117,5,0)),0%,VLOOKUP(A76,'Données projet'!$A$97:$I$117,5,0)*VLOOKUP('Données projet'!$B$11,Paramètres!$A$1:$I$89,7,0))</f>
        <v>0</v>
      </c>
      <c r="BN76" s="16">
        <f>IF(ISNA(VLOOKUP(A76,'Données projet'!$A$97:$I$117,6,0)),0%,VLOOKUP(A76,'Données projet'!$A$97:$I$117,6,0)*VLOOKUP('Données projet'!$B$11,Paramètres!$A$1:$I$89,7,0))</f>
        <v>0</v>
      </c>
      <c r="BO76" s="16">
        <f>IF(ISNA(VLOOKUP(A76,'Données projet'!$A$97:$I$117,7,0)),0%,VLOOKUP(A76,'Données projet'!$A$97:$I$117,7,0))</f>
        <v>0</v>
      </c>
      <c r="BP76" s="21">
        <f>EXP(-LN(2)/35)*BP75+(1-EXP(-LN(2)/35))/(LN(2)/35)*BL76*BM76*VLOOKUP('Données projet'!$B$11,Paramètres!$A$1:$I$89,3,0)*0.475*44/12</f>
        <v>125.47705826748992</v>
      </c>
      <c r="BQ76" s="21">
        <f>EXP(-LN(2)/25)*BQ75+(1-EXP(-LN(2)/25))/(LN(2)/25)*Calculateur!BL76*Calculateur!BN76*VLOOKUP('Données projet'!$B$11,Paramètres!$A$1:$I$89,3,0)*0.475*44/12</f>
        <v>27.653445676686449</v>
      </c>
      <c r="BR76" s="21">
        <f>EXP(-LN(2)/2)*BR75+(1-EXP(-LN(2)/2))/(LN(2)/2)*BL76*BO76*VLOOKUP('Données projet'!$B$11,Paramètres!$A$1:$I$89,3,0)*0.475*44/12</f>
        <v>5.2756374279606826E-2</v>
      </c>
      <c r="BS76" s="22">
        <f t="shared" si="128"/>
        <v>153.18326031845598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projet'!$A$123:$I$143,2,0)</f>
        <v>#N/A</v>
      </c>
      <c r="BW76" s="12" t="e">
        <f>VLOOKUP(A76,'Données projet'!$A$123:$I$143,9,0)</f>
        <v>#N/A</v>
      </c>
      <c r="BX76" s="12">
        <f t="array" ref="BX76">INDEX(BW:BW,MIN(IF(ISNUMBER(BW76:BW272),ROW(BW76:BW272),"")))</f>
        <v>4.4000000000000004</v>
      </c>
      <c r="BY76" s="12">
        <f>IF('Données projet'!$A$124&gt;35,BY75+BX76-CG75,IF(A76&lt;'Données projet'!$A$124,$BV$205^A76,IF(A76='Données projet'!$A$124,'Données projet'!$B$124,BY75+BX76-CG75)))</f>
        <v>232.20000000000002</v>
      </c>
      <c r="BZ76" s="13">
        <f>BY76*VLOOKUP('Données projet'!$B$12,Paramètres!$A$1:$I$89,3,0)*VLOOKUP('Données projet'!$B$12,Paramètres!$A$1:$I$89,5,0)</f>
        <v>242.69544000000002</v>
      </c>
      <c r="CA76" s="13">
        <f t="shared" si="188"/>
        <v>59.019090031230249</v>
      </c>
      <c r="CB76" s="20">
        <f t="shared" si="129"/>
        <v>525.48613980439268</v>
      </c>
      <c r="CC76" s="59">
        <f t="shared" si="130"/>
        <v>818.81947313772594</v>
      </c>
      <c r="CD76" s="59">
        <f ca="1">AVERAGE(OFFSET($CC$3,0,0,'Données projet'!$E$12+1,1))-AVERAGE(OFFSET($H$3,0,0,'Données projet'!$E$12+1,1))</f>
        <v>322.93502595881938</v>
      </c>
      <c r="CE76" s="59">
        <f t="shared" si="189"/>
        <v>302.67072119588164</v>
      </c>
      <c r="CF76" s="15">
        <f>IF(ISNA(VLOOKUP(A76,'Données projet'!$A$123:$I$143,3,0)),0,VLOOKUP(A76,'Données projet'!$A$123:$I$143,3,0))</f>
        <v>0</v>
      </c>
      <c r="CG76" s="15">
        <f>IF(ISNA(VLOOKUP(A76,'Données projet'!$A$123:$I$143,4,0)),0,VLOOKUP(A76,'Données projet'!$A$123:$I$143,4,0))</f>
        <v>0</v>
      </c>
      <c r="CH76" s="16">
        <f>IF(ISNA(VLOOKUP(A76,'Données projet'!$A$123:$I$143,5,0)),0%,VLOOKUP(A76,'Données projet'!$A$123:$I$143,5,0)*VLOOKUP('Données projet'!$B$12,Paramètres!$A$1:$I$89,7,0))</f>
        <v>0</v>
      </c>
      <c r="CI76" s="16">
        <f>IF(ISNA(VLOOKUP(A76,'Données projet'!$A$123:$I$143,6,0)),0%,VLOOKUP(A76,'Données projet'!$A$123:$I$143,6,0)*VLOOKUP('Données projet'!$B$12,Paramètres!$A$1:$I$89,7,0))</f>
        <v>0</v>
      </c>
      <c r="CJ76" s="16">
        <f>IF(ISNA(VLOOKUP(A76,'Données projet'!$A$123:$I$143,7,0)),0%,VLOOKUP(A76,'Données projet'!$A$123:$I$143,7,0))</f>
        <v>0</v>
      </c>
      <c r="CK76" s="21">
        <f>EXP(-LN(2)/35)*CK75+(1-EXP(-LN(2)/35))/(LN(2)/35)*CG76*CH76*VLOOKUP('Données projet'!$B$12,Paramètres!$A$1:$I$89,3,0)*0.475*44/12</f>
        <v>21.679296980744478</v>
      </c>
      <c r="CL76" s="21">
        <f>EXP(-LN(2)/25)*CL75+(1-EXP(-LN(2)/25))/(LN(2)/25)*Calculateur!CG76*Calculateur!CI76*VLOOKUP('Données projet'!$B$12,Paramètres!$A$1:$I$89,3,0)*0.475*44/12</f>
        <v>21.997637968912684</v>
      </c>
      <c r="CM76" s="21">
        <f>EXP(-LN(2)/2)*CM75+(1-EXP(-LN(2)/2))/(LN(2)/2)*CG76*CJ76*VLOOKUP('Données projet'!$B$12,Paramètres!$A$1:$I$89,3,0)*0.475*44/12</f>
        <v>0</v>
      </c>
      <c r="CN76" s="22">
        <f t="shared" si="131"/>
        <v>43.676934949657166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projet'!$A$149:$I$169,2,0)</f>
        <v>#N/A</v>
      </c>
      <c r="CR76" s="12" t="e">
        <f>VLOOKUP(A76,'Données projet'!$A$149:$I$169,9,0)</f>
        <v>#N/A</v>
      </c>
      <c r="CS76" s="12">
        <f t="array" ref="CS76">INDEX(CR:CR,MIN(IF(ISNUMBER(CR76:CR272),ROW(CR76:CR272),"")))</f>
        <v>5.6899038461538431</v>
      </c>
      <c r="CT76" s="12">
        <f>IF('Données projet'!$A$150&gt;35,CT75+CS76-DB75,IF(A76&lt;'Données projet'!$A$150,$CQ$205^A76,IF(A76='Données projet'!$A$150,'Données projet'!$B$150,CT75+CS76-DB75)))</f>
        <v>170.00480769230765</v>
      </c>
      <c r="CU76" s="17">
        <f>CT76*VLOOKUP('Données projet'!$B$13,Paramètres!$A$1:$I$89,3,0)*VLOOKUP('Données projet'!$B$13,Paramètres!$A$1:$I$89,5,0)</f>
        <v>172.38487499999997</v>
      </c>
      <c r="CV76" s="13">
        <f t="shared" si="190"/>
        <v>43.623722408092668</v>
      </c>
      <c r="CW76" s="20">
        <f t="shared" si="132"/>
        <v>376.21497381909467</v>
      </c>
      <c r="CX76" s="59">
        <f t="shared" si="133"/>
        <v>669.54830715242792</v>
      </c>
      <c r="CY76" s="59">
        <f ca="1">AVERAGE(OFFSET($CX$3,0,0,'Données projet'!$E$13+1,1))-AVERAGE(OFFSET($H$3,0,0,'Données projet'!$E$13+1,1))</f>
        <v>250.31277422753283</v>
      </c>
      <c r="CZ76" s="59">
        <f t="shared" si="191"/>
        <v>159.20429420478047</v>
      </c>
      <c r="DA76" s="15">
        <f>IF(ISNA(VLOOKUP(A76,'Données projet'!$A$149:$I$169,3,0)),0,VLOOKUP(A76,'Données projet'!$A$149:$I$169,3,0))</f>
        <v>0</v>
      </c>
      <c r="DB76" s="15">
        <f>IF(ISNA(VLOOKUP(A76,'Données projet'!$A$149:$I$169,4,0)),0,VLOOKUP(A76,'Données projet'!$A$149:$I$169,4,0))</f>
        <v>0</v>
      </c>
      <c r="DC76" s="16">
        <f>IF(ISNA(VLOOKUP(A76,'Données projet'!$A$149:$I$169,5,0)),0%,VLOOKUP(A76,'Données projet'!$A$149:$I$169,5,0)*VLOOKUP('Données projet'!$B$13,Paramètres!$A$1:$I$89,7,0))</f>
        <v>0</v>
      </c>
      <c r="DD76" s="16">
        <f>IF(ISNA(VLOOKUP(A76,'Données projet'!$A$149:$I$169,6,0)),0%,VLOOKUP(A76,'Données projet'!$A$149:$I$169,6,0)*VLOOKUP('Données projet'!$B$13,Paramètres!$A$1:$I$89,7,0))</f>
        <v>0</v>
      </c>
      <c r="DE76" s="16">
        <f>IF(ISNA(VLOOKUP(A76,'Données projet'!$A$149:$I$169,7,0)),0%,VLOOKUP(A76,'Données projet'!$A$149:$I$169,7,0))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134"/>
        <v>0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projet'!$A$175:$I$195,2,0)</f>
        <v>#N/A</v>
      </c>
      <c r="DM76" s="12" t="e">
        <f>VLOOKUP(A76,'Données projet'!$A$175:$I$195,9,0)</f>
        <v>#N/A</v>
      </c>
      <c r="DN76" s="12">
        <f t="array" ref="DN76">INDEX(DM:DM,MIN(IF(ISNUMBER(DM76:DM272),ROW(DM76:DM272),"")))</f>
        <v>4.8</v>
      </c>
      <c r="DO76" s="12">
        <f>IF('Données projet'!$A$176&gt;35,DO75+DN76-DW75,IF(A76&lt;'Données projet'!$A$176,$DL$205^A76,IF(A76='Données projet'!$A$176,'Données projet'!$B$176,DO75+DN76-DW75)))</f>
        <v>365.39999999999969</v>
      </c>
      <c r="DP76" s="17">
        <f>DO76*VLOOKUP('Données projet'!$B$14,Paramètres!$A$1:$I$89,3,0)*VLOOKUP('Données projet'!$B$14,Paramètres!$A$1:$I$89,5,0)</f>
        <v>267.91127999999981</v>
      </c>
      <c r="DQ76" s="13">
        <f t="shared" si="192"/>
        <v>64.405790031310872</v>
      </c>
      <c r="DR76" s="20">
        <f t="shared" si="135"/>
        <v>578.78556363786606</v>
      </c>
      <c r="DS76" s="59">
        <f t="shared" si="136"/>
        <v>872.11889697119932</v>
      </c>
      <c r="DT76" s="59">
        <f ca="1">AVERAGE(OFFSET($DS$3,0,0,'Données projet'!$E$14+1,1))-AVERAGE(OFFSET($H$3,0,0,'Données projet'!$E$14+1,1))</f>
        <v>296.91321813251051</v>
      </c>
      <c r="DU76" s="59">
        <f t="shared" si="193"/>
        <v>291.0718079639509</v>
      </c>
      <c r="DV76" s="15">
        <f>IF(ISNA(VLOOKUP(A76,'Données projet'!$A$175:$I$195,3,0)),0,VLOOKUP(A76,'Données projet'!$A$175:$I$195,3,0))</f>
        <v>0</v>
      </c>
      <c r="DW76" s="15">
        <f>IF(ISNA(VLOOKUP(A76,'Données projet'!$A$175:$I$195,4,0)),0,VLOOKUP(A76,'Données projet'!$A$175:$I$195,4,0))</f>
        <v>0</v>
      </c>
      <c r="DX76" s="16">
        <f>IF(ISNA(VLOOKUP(A76,'Données projet'!$A$175:$I$195,5,0)),0%,VLOOKUP(A76,'Données projet'!$A$175:$I$195,5,0)*VLOOKUP('Données projet'!$B$14,Paramètres!$A$1:$I$89,7,0))</f>
        <v>0</v>
      </c>
      <c r="DY76" s="16">
        <f>IF(ISNA(VLOOKUP(A76,'Données projet'!$A$175:$I$195,6,0)),0%,VLOOKUP(A76,'Données projet'!$A$175:$I$195,6,0)*VLOOKUP('Données projet'!$B$14,Paramètres!$A$1:$I$89,7,0))</f>
        <v>0</v>
      </c>
      <c r="DZ76" s="16">
        <f>IF(ISNA(VLOOKUP(A76,'Données projet'!$A$175:$I$195,7,0)),0%,VLOOKUP(A76,'Données projet'!$A$175:$I$195,7,0))</f>
        <v>0</v>
      </c>
      <c r="EA76" s="21">
        <f>EXP(-LN(2)/35)*EA75+(1-EXP(-LN(2)/35))/(LN(2)/35)*DW76*DX76*VLOOKUP('Données projet'!$B$14,Paramètres!$A$1:$I$89,3,0)*0.475*44/12</f>
        <v>41.99534328848781</v>
      </c>
      <c r="EB76" s="21">
        <f>EXP(-LN(2)/25)*EB75+(1-EXP(-LN(2)/25))/(LN(2)/25)*Calculateur!DW76*Calculateur!DY76*VLOOKUP('Données projet'!$B$14,Paramètres!$A$1:$I$89,3,0)*0.475*44/12</f>
        <v>6.1422490011744504</v>
      </c>
      <c r="EC76" s="21">
        <f>EXP(-LN(2)/2)*EC75+(1-EXP(-LN(2)/2))/(LN(2)/2)*DW76*DZ76*VLOOKUP('Données projet'!$B$14,Paramètres!$A$1:$I$89,3,0)*0.475*44/12</f>
        <v>0</v>
      </c>
      <c r="ED76" s="22">
        <f t="shared" si="137"/>
        <v>48.137592289662258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projet'!$A$201:$I$221,2,0)</f>
        <v>#N/A</v>
      </c>
      <c r="EH76" s="12" t="e">
        <f>VLOOKUP(A76,'Données projet'!$A$201:$I$221,9,0)</f>
        <v>#N/A</v>
      </c>
      <c r="EI76" s="12">
        <f t="array" ref="EI76">INDEX(EH:EH,MIN(IF(ISNUMBER(EH76:EH272),ROW(EH76:EH272),"")))</f>
        <v>9.8224358974358967</v>
      </c>
      <c r="EJ76" s="12">
        <f>IF('Données projet'!$A$202&gt;35,EJ75+EI76-ER75,IF(A76&lt;'Données projet'!$A$202,$EG$205^A76,IF(A76='Données projet'!$A$202,'Données projet'!$B$202,EJ75+EI76-ER75)))</f>
        <v>340.83205128205168</v>
      </c>
      <c r="EK76" s="17">
        <f>EJ76*VLOOKUP('Données projet'!$B$15,Paramètres!$A$1:$I$89,3,0)*VLOOKUP('Données projet'!$B$15,Paramètres!$A$1:$I$89,5,0)</f>
        <v>159.50940000000017</v>
      </c>
      <c r="EL76" s="13">
        <f t="shared" si="194"/>
        <v>40.7318394374633</v>
      </c>
      <c r="EM76" s="20">
        <f t="shared" si="138"/>
        <v>348.75349202024881</v>
      </c>
      <c r="EN76" s="59">
        <f t="shared" si="139"/>
        <v>642.08682535358207</v>
      </c>
      <c r="EO76" s="59">
        <f ca="1">AVERAGE(OFFSET($EN$3,0,0,'Données projet'!$E$15+1,1))-AVERAGE(OFFSET($H$3,0,0,'Données projet'!$E$15+1,1))</f>
        <v>147.64256291235483</v>
      </c>
      <c r="EP76" s="59">
        <f t="shared" si="195"/>
        <v>70.859031694091868</v>
      </c>
      <c r="EQ76" s="15">
        <f>IF(ISNA(VLOOKUP(A76,'Données projet'!$A$201:$I$221,3,0)),0,VLOOKUP(A76,'Données projet'!$A$201:$I$221,3,0))</f>
        <v>0</v>
      </c>
      <c r="ER76" s="15">
        <f>IF(ISNA(VLOOKUP(A76,'Données projet'!$A$201:$I$221,4,0)),0,VLOOKUP(A76,'Données projet'!$A$201:$I$221,4,0))</f>
        <v>0</v>
      </c>
      <c r="ES76" s="16">
        <f>IF(ISNA(VLOOKUP(A76,'Données projet'!$A$201:$I$221,5,0)),0%,VLOOKUP(A76,'Données projet'!$A$201:$I$221,5,0)*VLOOKUP('Données projet'!$B$15,Paramètres!$A$1:$I$89,7,0))</f>
        <v>0</v>
      </c>
      <c r="ET76" s="16">
        <f>IF(ISNA(VLOOKUP(A76,'Données projet'!$A$201:$I$221,6,0)),0%,VLOOKUP(A76,'Données projet'!$A$201:$I$221,6,0)*VLOOKUP('Données projet'!$B$15,Paramètres!$A$1:$I$89,7,0))</f>
        <v>0</v>
      </c>
      <c r="EU76" s="16">
        <f>IF(ISNA(VLOOKUP(A76,'Données projet'!$A$201:$I$221,7,0)),0%,VLOOKUP(A76,'Données projet'!$A$201:$I$221,7,0))</f>
        <v>0</v>
      </c>
      <c r="EV76" s="21">
        <f>EXP(-LN(2)/35)*EV75+(1-EXP(-LN(2)/35))/(LN(2)/35)*ER76*ES76*VLOOKUP('Données projet'!$B$15,Paramètres!$A$1:$I$89,3,0)*0.475*44/12</f>
        <v>21.192893237365325</v>
      </c>
      <c r="EW76" s="21">
        <f>EXP(-LN(2)/25)*EW75+(1-EXP(-LN(2)/25))/(LN(2)/25)*Calculateur!ER76*Calculateur!ET76*VLOOKUP('Données projet'!$B$15,Paramètres!$A$1:$I$89,3,0)*0.475*44/12</f>
        <v>15.061423951722565</v>
      </c>
      <c r="EX76" s="21">
        <f>EXP(-LN(2)/2)*EX75+(1-EXP(-LN(2)/2))/(LN(2)/2)*ER76*EU76*VLOOKUP('Données projet'!$B$15,Paramètres!$A$1:$I$89,3,0)*0.475*44/12</f>
        <v>0.24766786115202444</v>
      </c>
      <c r="EY76" s="22">
        <f t="shared" si="140"/>
        <v>36.501985050239917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projet'!$A$227:$I$247,2,0)</f>
        <v>#N/A</v>
      </c>
      <c r="FC76" s="12" t="e">
        <f>VLOOKUP(A76,'Données projet'!$A$227:$I$247,9,0)</f>
        <v>#N/A</v>
      </c>
      <c r="FD76" s="12">
        <f t="array" ref="FD76">INDEX(FC:FC,MIN(IF(ISNUMBER(FC76:FC272),ROW(FC76:FC272),"")))</f>
        <v>3.4</v>
      </c>
      <c r="FE76" s="12">
        <f>IF('Données projet'!$A$228&gt;35,FE75+FD76-FM75,IF(A76&lt;'Données projet'!$A$228,$FB$205^A76,IF(A76='Données projet'!$A$228,'Données projet'!$B$228,FE75+FD76-FM75)))</f>
        <v>197.19999999999996</v>
      </c>
      <c r="FF76" s="17">
        <f>FE76*VLOOKUP('Données projet'!$B$16,Paramètres!$A$1:$I$89,3,0)*VLOOKUP('Données projet'!$B$16,Paramètres!$A$1:$I$89,5,0)</f>
        <v>206.11344</v>
      </c>
      <c r="FG76" s="13">
        <f t="shared" si="196"/>
        <v>51.085353370375145</v>
      </c>
      <c r="FH76" s="20">
        <f t="shared" si="141"/>
        <v>447.95456512007007</v>
      </c>
      <c r="FI76" s="59">
        <f t="shared" si="142"/>
        <v>741.28789845340339</v>
      </c>
      <c r="FJ76" s="59">
        <f ca="1">AVERAGE(OFFSET($FI$3,0,0,'Données projet'!$E$16+1,1))-AVERAGE(OFFSET($H$3,0,0,'Données projet'!$E$16+1,1))</f>
        <v>259.03906550253788</v>
      </c>
      <c r="FK76" s="59">
        <f t="shared" si="197"/>
        <v>235.54542903570831</v>
      </c>
      <c r="FL76" s="15">
        <f>IF(ISNA(VLOOKUP(A76,'Données projet'!$A$227:$I$247,3,0)),0,VLOOKUP(A76,'Données projet'!$A$227:$I$247,3,0))</f>
        <v>0</v>
      </c>
      <c r="FM76" s="15">
        <f>IF(ISNA(VLOOKUP(A76,'Données projet'!$A$227:$I$247,4,0)),0,VLOOKUP(A76,'Données projet'!$A$227:$I$247,4,0))</f>
        <v>0</v>
      </c>
      <c r="FN76" s="16">
        <f>IF(ISNA(VLOOKUP(A76,'Données projet'!$A$227:$I$247,5,0)),0%,VLOOKUP(A76,'Données projet'!$A$227:$I$247,5,0)*VLOOKUP('Données projet'!$B$16,Paramètres!$A$1:$I$89,7,0))</f>
        <v>0</v>
      </c>
      <c r="FO76" s="16">
        <f>IF(ISNA(VLOOKUP(A76,'Données projet'!$A$227:$I$247,6,0)),0%,VLOOKUP(A76,'Données projet'!$A$227:$I$247,6,0)*VLOOKUP('Données projet'!$B$16,Paramètres!$A$1:$I$89,7,0))</f>
        <v>0</v>
      </c>
      <c r="FP76" s="16">
        <f>IF(ISNA(VLOOKUP(A76,'Données projet'!$A$227:$I$247,7,0)),0%,VLOOKUP(A76,'Données projet'!$A$227:$I$247,7,0))</f>
        <v>0</v>
      </c>
      <c r="FQ76" s="21">
        <f>EXP(-LN(2)/35)*FQ75+(1-EXP(-LN(2)/35))/(LN(2)/35)*FM76*FN76*VLOOKUP('Données projet'!$B$16,Paramètres!$A$1:$I$89,3,0)*0.475*44/12</f>
        <v>9.9894846454623316</v>
      </c>
      <c r="FR76" s="21">
        <f>EXP(-LN(2)/25)*FR75+(1-EXP(-LN(2)/25))/(LN(2)/25)*Calculateur!FM76*Calculateur!FO76*VLOOKUP('Données projet'!$B$16,Paramètres!$A$1:$I$89,3,0)*0.475*44/12</f>
        <v>15.679708060780493</v>
      </c>
      <c r="FS76" s="21">
        <f>EXP(-LN(2)/2)*FS75+(1-EXP(-LN(2)/2))/(LN(2)/2)*FM76*FP76*VLOOKUP('Données projet'!$B$16,Paramètres!$A$1:$I$89,3,0)*0.475*44/12</f>
        <v>0</v>
      </c>
      <c r="FT76" s="22">
        <f t="shared" si="143"/>
        <v>25.669192706242825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projet'!$A$253:$I$273,2,0)</f>
        <v>#N/A</v>
      </c>
      <c r="FX76" s="12" t="e">
        <f>VLOOKUP(A76,'Données projet'!$A$253:$I$273,9,0)</f>
        <v>#N/A</v>
      </c>
      <c r="FY76" s="12">
        <f t="array" ref="FY76">INDEX(FX:FX,MIN(IF(ISNUMBER(FX76:FX272),ROW(FX76:FX272),"")))</f>
        <v>3.4</v>
      </c>
      <c r="FZ76" s="12">
        <f>IF('Données projet'!$A$254&gt;35,FZ75+FY76-GH75,IF(A76&lt;'Données projet'!$A$254,$FW$205^A76,IF(A76='Données projet'!$A$254,'Données projet'!$B$254,FZ75+FY76-GH75)))</f>
        <v>263.19999999999982</v>
      </c>
      <c r="GA76" s="17">
        <f>FZ76*VLOOKUP('Données projet'!$B$17,Paramètres!$A$1:$I$89,3,0)*VLOOKUP('Données projet'!$B$17,Paramètres!$A$1:$I$89,5,0)</f>
        <v>229.93151999999986</v>
      </c>
      <c r="GB76" s="13">
        <f t="shared" si="198"/>
        <v>56.26787429746841</v>
      </c>
      <c r="GC76" s="20">
        <f t="shared" si="144"/>
        <v>498.4639450680906</v>
      </c>
      <c r="GD76" s="59">
        <f t="shared" si="145"/>
        <v>791.79727840142391</v>
      </c>
      <c r="GE76" s="59">
        <f ca="1">AVERAGE(OFFSET($GD$3,0,0,'Données projet'!$E$17+1,1))-AVERAGE(OFFSET($H$3,0,0,'Données projet'!$E$17+1,1))</f>
        <v>245.1983232777614</v>
      </c>
      <c r="GF76" s="59">
        <f t="shared" si="199"/>
        <v>242.34010522344573</v>
      </c>
      <c r="GG76" s="15">
        <f>IF(ISNA(VLOOKUP(A76,'Données projet'!$A$253:$I$273,3,0)),0,VLOOKUP(A76,'Données projet'!$A$253:$I$273,3,0))</f>
        <v>0</v>
      </c>
      <c r="GH76" s="15">
        <f>IF(ISNA(VLOOKUP(A76,'Données projet'!$A$253:$I$273,4,0)),0,VLOOKUP(A76,'Données projet'!$A$253:$I$273,4,0))</f>
        <v>0</v>
      </c>
      <c r="GI76" s="16">
        <f>IF(ISNA(VLOOKUP(A76,'Données projet'!$A$253:$I$273,5,0)),0%,VLOOKUP(A76,'Données projet'!$A$253:$I$273,5,0)*VLOOKUP('Données projet'!$B$17,Paramètres!$A$1:$I$89,7,0))</f>
        <v>0</v>
      </c>
      <c r="GJ76" s="16">
        <f>IF(ISNA(VLOOKUP(A76,'Données projet'!$A$253:$I$273,6,0)),0%,VLOOKUP(A76,'Données projet'!$A$253:$I$273,6,0)*VLOOKUP('Données projet'!$B$17,Paramètres!$A$1:$I$89,7,0))</f>
        <v>0</v>
      </c>
      <c r="GK76" s="16">
        <f>IF(ISNA(VLOOKUP(A76,'Données projet'!$A$253:$I$273,7,0)),0%,VLOOKUP(A76,'Données projet'!$A$253:$I$273,7,0))</f>
        <v>0</v>
      </c>
      <c r="GL76" s="21">
        <f>EXP(-LN(2)/35)*GL75+(1-EXP(-LN(2)/35))/(LN(2)/35)*GH76*GI76*VLOOKUP('Données projet'!$B$17,Paramètres!$A$1:$I$89,3,0)*0.475*44/12</f>
        <v>22.644183094112496</v>
      </c>
      <c r="GM76" s="21">
        <f>EXP(-LN(2)/25)*GM75+(1-EXP(-LN(2)/25))/(LN(2)/25)*Calculateur!GH76*Calculateur!GJ76*VLOOKUP('Données projet'!$B$17,Paramètres!$A$1:$I$89,3,0)*0.475*44/12</f>
        <v>8.0540622417241234</v>
      </c>
      <c r="GN76" s="21">
        <f>EXP(-LN(2)/2)*GN75+(1-EXP(-LN(2)/2))/(LN(2)/2)*GH76*GK76*VLOOKUP('Données projet'!$B$17,Paramètres!$A$1:$I$89,3,0)*0.475*44/12</f>
        <v>0</v>
      </c>
      <c r="GO76" s="21">
        <f t="shared" si="146"/>
        <v>30.698245335836617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projet'!$A$279:$I$299,2,0)</f>
        <v>#N/A</v>
      </c>
      <c r="GS76" s="12" t="e">
        <f>VLOOKUP(A76,'Données projet'!$A$279:$I$299,9,0)</f>
        <v>#N/A</v>
      </c>
      <c r="GT76" s="12">
        <f t="array" ref="GT76">INDEX(GS:GS,MIN(IF(ISNUMBER(GS76:GS272),ROW(GS76:GS272),"")))</f>
        <v>9.8000000000000007</v>
      </c>
      <c r="GU76" s="12">
        <f>IF('Données projet'!$A$280&gt;35,GU75+GT76-HC75,IF(A76&lt;'Données projet'!$A$280,$GR$205^A76,IF(A76='Données projet'!$A$280,'Données projet'!$B$280,GU75+GT76-HC75)))</f>
        <v>789.4000000000002</v>
      </c>
      <c r="GV76" s="17">
        <f>GU76*VLOOKUP('Données projet'!$B$18,Paramètres!$A$1:$I$89,3,0)*VLOOKUP('Données projet'!$B$18,Paramètres!$A$1:$I$89,5,0)</f>
        <v>318.12820000000011</v>
      </c>
      <c r="GW76" s="13">
        <f t="shared" si="200"/>
        <v>74.963756394154998</v>
      </c>
      <c r="GX76" s="20">
        <f t="shared" si="147"/>
        <v>684.63515738648675</v>
      </c>
      <c r="GY76" s="59">
        <f t="shared" si="148"/>
        <v>977.96849071982001</v>
      </c>
      <c r="GZ76" s="59">
        <f ca="1">AVERAGE(OFFSET($GY$3,0,0,'Données projet'!$E$18+1,1))-AVERAGE(OFFSET($H$3,0,0,'Données projet'!$E$18+1,1))</f>
        <v>324.36162935850876</v>
      </c>
      <c r="HA76" s="59">
        <f t="shared" si="201"/>
        <v>265.23571072429735</v>
      </c>
      <c r="HB76" s="15">
        <f>IF(ISNA(VLOOKUP(A76,'Données projet'!$A$279:$I$299,3,0)),0,VLOOKUP(A76,'Données projet'!$A$279:$I$299,3,0))</f>
        <v>0</v>
      </c>
      <c r="HC76" s="15">
        <f>IF(ISNA(VLOOKUP(A76,'Données projet'!$A$279:$I$299,4,0)),0,VLOOKUP(A76,'Données projet'!$A$279:$I$299,4,0))</f>
        <v>0</v>
      </c>
      <c r="HD76" s="16">
        <f>IF(ISNA(VLOOKUP(A76,'Données projet'!$A$279:$I$299,5,0)),0%,VLOOKUP(A76,'Données projet'!$A$279:$I$299,5,0)*VLOOKUP('Données projet'!$B$18,Paramètres!$A$1:$I$89,7,0))</f>
        <v>0</v>
      </c>
      <c r="HE76" s="16">
        <f>IF(ISNA(VLOOKUP(A76,'Données projet'!$A$279:$I$299,6,0)),0%,VLOOKUP(A76,'Données projet'!$A$279:$I$299,6,0)*VLOOKUP('Données projet'!$B$18,Paramètres!$A$1:$I$89,7,0))</f>
        <v>0</v>
      </c>
      <c r="HF76" s="16">
        <f>IF(ISNA(VLOOKUP($A76,'Données projet'!$A$279:$I$299,7,0)),0%,VLOOKUP($A76,'Données projet'!$A$279:$I$299,7,0))</f>
        <v>0</v>
      </c>
      <c r="HG76" s="21">
        <f>EXP(-LN(2)/35)*HG75+(1-EXP(-LN(2)/35))/(LN(2)/35)*HC76*HD76*VLOOKUP('Données projet'!$B$18,Paramètres!$A$1:$I$89,3,0)*0.475*44/12</f>
        <v>15.658385925588773</v>
      </c>
      <c r="HH76" s="21">
        <f>EXP(-LN(2)/25)*HH75+(1-EXP(-LN(2)/25))/(LN(2)/25)*Calculateur!HC76*Calculateur!HE76*VLOOKUP('Données projet'!$B$18,Paramètres!$A$1:$I$89,3,0)*0.475*44/12</f>
        <v>9.065683491610196</v>
      </c>
      <c r="HI76" s="21">
        <f>EXP(-LN(2)/2)*HI75+(1-EXP(-LN(2)/2))/(LN(2)/2)*HC76*HF76*VLOOKUP('Données projet'!$B$18,Paramètres!$A$1:$I$89,3,0)*0.475*44/12</f>
        <v>8.4773097828393457E-2</v>
      </c>
      <c r="HJ76" s="22">
        <f t="shared" si="149"/>
        <v>24.808842515027361</v>
      </c>
      <c r="HK76" s="74">
        <f>('Scénario référence'!$F$8+'Scénario référence'!$F$9+'Scénario référence'!$B$17+'Scénario référence'!$B$9+'Scénario référence'!$B$10)*70+IF((45+25*(1-EXP(-0.0175*$A76)))&lt;70,'Scénario référence'!$B$16*(45+25*(1-EXP(-0.0175*$A76))),70*'Scénario référence'!$B$16)+IF((32+38*(1-EXP(-0.0175*$A76)))&lt;70,'Scénario référence'!$B$18*(32+38*(1-EXP(-0.0175*$A76))),70*'Scénario référence'!$B$18)</f>
        <v>70</v>
      </c>
      <c r="HL76" s="12">
        <f>IF($A76&gt;30,10,('Scénario référence'!$B$16+'Scénario référence'!$B$17+'Scénario référence'!$B$18+'Scénario référence'!$B$9+'Scénario référence'!$B$10)*$A76*10/30+('Scénario référence'!$F$8+'Scénario référence'!$F$9)*10)</f>
        <v>10</v>
      </c>
      <c r="HM76" s="12" t="e">
        <f>VLOOKUP($A76,'Données projet'!$A$304:$I$324,2,0)</f>
        <v>#N/A</v>
      </c>
      <c r="HN76" s="12" t="e">
        <f>VLOOKUP($A76,'Données projet'!$A$304:$I$324,9,0)</f>
        <v>#N/A</v>
      </c>
      <c r="HO76" s="12">
        <f t="array" ref="HO76">INDEX(HN:HN,MIN(IF(ISNUMBER(HN76:HN272),ROW(HN76:HN272),"")))</f>
        <v>0</v>
      </c>
      <c r="HP76" s="12">
        <f>IF('Données projet'!$A$304&gt;35,HP75+HO76-HX75,IF($A76&lt;'Données projet'!$A$304,$CQ$205^$A76,IF($A76='Données projet'!$A$304,'Données projet'!$B$304,HP75+HO76-HX75)))</f>
        <v>0</v>
      </c>
      <c r="HQ76" s="17">
        <f>HP76*VLOOKUP('Données projet'!$B$19,Paramètres!$A$1:$I$89,3,0)*VLOOKUP('Données projet'!$B$19,Paramètres!$A$1:$I$89,5,0)</f>
        <v>0</v>
      </c>
      <c r="HR76" s="13" t="e">
        <f t="shared" si="202"/>
        <v>#NUM!</v>
      </c>
      <c r="HS76" s="14" t="e">
        <f t="shared" si="150"/>
        <v>#NUM!</v>
      </c>
      <c r="HT76" s="59" t="e">
        <f t="shared" si="151"/>
        <v>#NUM!</v>
      </c>
      <c r="HU76" s="59">
        <f ca="1">AVERAGE(OFFSET(HT$3,0,0,'Données projet'!$E$19+1,1))-AVERAGE(OFFSET($H$3,0,0,'Données projet'!$E$19+1,1))</f>
        <v>91.60721429656013</v>
      </c>
      <c r="HV76" s="59">
        <f t="shared" si="203"/>
        <v>258.94957804210856</v>
      </c>
      <c r="HW76" s="15">
        <f>IF(ISNA(VLOOKUP($A76,'Données projet'!$A$304:$I$324,3,0)),0,VLOOKUP($A76,'Données projet'!$A$304:$I$324,3,0))</f>
        <v>0</v>
      </c>
      <c r="HX76" s="15">
        <f>IF(ISNA(VLOOKUP($A76,'Données projet'!$A$304:$I$324,4,0)),0,VLOOKUP($A76,'Données projet'!$A$304:$I$324,4,0))</f>
        <v>0</v>
      </c>
      <c r="HY76" s="16">
        <f>IF(ISNA(VLOOKUP($A76,'Données projet'!$A$304:$I$324,5,0)),0%,VLOOKUP($A76,'Données projet'!$A$304:$I$324,5,0)*VLOOKUP('Données projet'!$B$19,Paramètres!$A$1:$I$89,7,0))</f>
        <v>0</v>
      </c>
      <c r="HZ76" s="16">
        <f>IF(ISNA(VLOOKUP($A76,'Données projet'!$A$304:$I$324,6,0)),0%,VLOOKUP($A76,'Données projet'!$A$304:$I$324,6,0)*VLOOKUP('Données projet'!$B$19,Paramètres!$A$1:$I$89,7,0))</f>
        <v>0</v>
      </c>
      <c r="IA76" s="16">
        <f>IF(ISNA(VLOOKUP($A76,'Données projet'!$A$304:$I$324,7,0)),0%,VLOOKUP($A76,'Données projet'!$A$304:$I$324,7,0))</f>
        <v>0</v>
      </c>
      <c r="IB76" s="21">
        <f>EXP(-LN(2)/35)*IB75+(1-EXP(-LN(2)/35))/(LN(2)/35)*HX76*HY76*VLOOKUP('Données projet'!$B$19,Paramètres!$A$1:$I$89,3,0)*0.475*44/12</f>
        <v>21.052228486959837</v>
      </c>
      <c r="IC76" s="21">
        <f>EXP(-LN(2)/25)*IC75+(1-EXP(-LN(2)/25))/(LN(2)/25)*Calculateur!HX76*Calculateur!HZ76*VLOOKUP('Données projet'!$B$19,Paramètres!$A$1:$I$89,3,0)*0.475*44/12</f>
        <v>2.9528389917405735</v>
      </c>
      <c r="ID76" s="21">
        <f>EXP(-LN(2)/2)*ID75+(1-EXP(-LN(2)/2))/(LN(2)/2)*HX76*IA76*VLOOKUP('Données projet'!$B$19,Paramètres!$A$1:$I$89,3,0)*0.475*44/12</f>
        <v>1.9315135681751091E-7</v>
      </c>
      <c r="IE76" s="22">
        <f t="shared" si="152"/>
        <v>24.005067671851769</v>
      </c>
      <c r="IF76" s="74">
        <f>('Scénario référence'!$F$8+'Scénario référence'!$F$9+'Scénario référence'!$B$17+'Scénario référence'!$B$9+'Scénario référence'!$B$10)*70+IF((45+25*(1-EXP(-0.0175*$A76)))&lt;70,'Scénario référence'!$B$16*(45+25*(1-EXP(-0.0175*$A76))),70*'Scénario référence'!$B$16)+IF((32+38*(1-EXP(-0.0175*$A76)))&lt;70,'Scénario référence'!$B$18*(32+38*(1-EXP(-0.0175*$A76))),70*'Scénario référence'!$B$18)</f>
        <v>70</v>
      </c>
      <c r="IG76" s="12">
        <f>IF($A76&gt;30,10,('Scénario référence'!$B$16+'Scénario référence'!$B$17+'Scénario référence'!$B$18+'Scénario référence'!$B$9+'Scénario référence'!$B$10)*$A76*10/30+('Scénario référence'!$F$8+'Scénario référence'!$F$9)*10)</f>
        <v>10</v>
      </c>
      <c r="IH76" s="12" t="e">
        <f>VLOOKUP($A76,'Données projet'!$A$330:$I$350,2,0)</f>
        <v>#N/A</v>
      </c>
      <c r="II76" s="12" t="e">
        <f>VLOOKUP($A76,'Données projet'!$A$330:$I$350,9,0)</f>
        <v>#N/A</v>
      </c>
      <c r="IJ76" s="12">
        <f t="array" ref="IJ76">INDEX(II:II,MIN(IF(ISNUMBER(II76:II272),ROW(II76:II272),"")))</f>
        <v>0</v>
      </c>
      <c r="IK76" s="12">
        <f>IF('Données projet'!$A$330&gt;35,IK75+IJ76-IS75,IF($A76&lt;'Données projet'!$A$330,$CQ$205^$A76,IF($A76='Données projet'!$A$330,'Données projet'!$B$330,IK75+IJ76-IS75)))</f>
        <v>0</v>
      </c>
      <c r="IL76" s="17">
        <f>IK76*VLOOKUP('Données projet'!$B$20,Paramètres!$A$1:$I$89,3,0)*VLOOKUP('Données projet'!$B$20,Paramètres!$A$1:$I$89,5,0)</f>
        <v>0</v>
      </c>
      <c r="IM76" s="13" t="e">
        <f t="shared" si="204"/>
        <v>#NUM!</v>
      </c>
      <c r="IN76" s="20" t="e">
        <f t="shared" si="153"/>
        <v>#NUM!</v>
      </c>
      <c r="IO76" s="59" t="e">
        <f t="shared" si="154"/>
        <v>#NUM!</v>
      </c>
      <c r="IP76" s="59">
        <f ca="1">AVERAGE(OFFSET(IO$3,0,0,'Données projet'!$E$20+1,1))-AVERAGE(OFFSET($H$3,0,0,'Données projet'!$E$20+1,1))</f>
        <v>91.60721429656013</v>
      </c>
      <c r="IQ76" s="59">
        <f t="shared" si="205"/>
        <v>258.94957804210856</v>
      </c>
      <c r="IR76" s="15">
        <f>IF(ISNA(VLOOKUP($A76,'Données projet'!$A$330:$I$350,3,0)),0,VLOOKUP($A76,'Données projet'!$A$330:$I$350,3,0))</f>
        <v>0</v>
      </c>
      <c r="IS76" s="15">
        <f>IF(ISNA(VLOOKUP($A76,'Données projet'!$A$330:$I$350,4,0)),0,VLOOKUP($A76,'Données projet'!$A$330:$I$350,4,0))</f>
        <v>0</v>
      </c>
      <c r="IT76" s="16">
        <f>IF(ISNA(VLOOKUP($A76,'Données projet'!$A$330:$I$350,5,0)),0%,VLOOKUP($A76,'Données projet'!$A$330:$I$350,5,0)*VLOOKUP('Données projet'!$B$20,Paramètres!$A$1:$I$89,7,0))</f>
        <v>0</v>
      </c>
      <c r="IU76" s="16">
        <f>IF(ISNA(VLOOKUP($A76,'Données projet'!$A$330:$I$350,6,0)),0%,VLOOKUP($A76,'Données projet'!$A$330:$I$350,6,0)*VLOOKUP('Données projet'!$B$20,Paramètres!$A$1:$I$89,7,0))</f>
        <v>0</v>
      </c>
      <c r="IV76" s="16">
        <f>IF(ISNA(VLOOKUP($A76,'Données projet'!$A$330:$I$350,7,0)),0%,VLOOKUP($A76,'Données projet'!$A$330:$I$350,7,0))</f>
        <v>0</v>
      </c>
      <c r="IW76" s="21">
        <f>EXP(-LN(2)/35)*IW75+(1-EXP(-LN(2)/35))/(LN(2)/35)*IS76*IT76*VLOOKUP('Données projet'!$B$20,Paramètres!$A$1:$I$89,3,0)*0.475*44/12</f>
        <v>21.052228486959837</v>
      </c>
      <c r="IX76" s="21">
        <f>EXP(-LN(2)/25)*IX75+(1-EXP(-LN(2)/25))/(LN(2)/25)*Calculateur!IS76*Calculateur!IU76*VLOOKUP('Données projet'!$B$20,Paramètres!$A$1:$I$89,3,0)*0.475*44/12</f>
        <v>2.9528389917405735</v>
      </c>
      <c r="IY76" s="21">
        <f>EXP(-LN(2)/2)*IY75+(1-EXP(-LN(2)/2))/(LN(2)/2)*IS76*IV76*VLOOKUP('Données projet'!$B$20,Paramètres!$A$1:$I$89,3,0)*0.475*44/12</f>
        <v>1.9315135681751091E-7</v>
      </c>
      <c r="IZ76" s="22">
        <f t="shared" si="155"/>
        <v>24.005067671851769</v>
      </c>
      <c r="JA76" s="74">
        <f>('Scénario référence'!$F$8+'Scénario référence'!$F$9+'Scénario référence'!$B$17+'Scénario référence'!$B$9+'Scénario référence'!$B$10)*70+IF((45+25*(1-EXP(-0.0175*$A76)))&lt;70,'Scénario référence'!$B$16*(45+25*(1-EXP(-0.0175*$A76))),70*'Scénario référence'!$B$16)+IF((32+38*(1-EXP(-0.0175*$A76)))&lt;70,'Scénario référence'!$B$18*(32+38*(1-EXP(-0.0175*$A76))),70*'Scénario référence'!$B$18)</f>
        <v>70</v>
      </c>
      <c r="JB76" s="12">
        <f>IF($A76&gt;30,10,('Scénario référence'!$B$16+'Scénario référence'!$B$17+'Scénario référence'!$B$18+'Scénario référence'!$B$9+'Scénario référence'!$B$10)*$A76*10/30+('Scénario référence'!$F$8+'Scénario référence'!$F$9)*10)</f>
        <v>10</v>
      </c>
      <c r="JC76" s="12" t="e">
        <f>VLOOKUP($A76,'Données projet'!$A$356:$I$376,2,0)</f>
        <v>#N/A</v>
      </c>
      <c r="JD76" s="12" t="e">
        <f>VLOOKUP($A76,'Données projet'!$A$356:$I$376,9,0)</f>
        <v>#N/A</v>
      </c>
      <c r="JE76" s="12">
        <f t="array" ref="JE76">INDEX(JD:JD,MIN(IF(ISNUMBER(JD76:JD272),ROW(JD76:JD272),"")))</f>
        <v>9.4</v>
      </c>
      <c r="JF76" s="12">
        <f>IF('Données projet'!$A$356&gt;35,JF75+JE76-JN75,IF($A76&lt;'Données projet'!$A$356,$CQ$205^$A76,IF($A76='Données projet'!$A$356,'Données projet'!$B$356,JF75+JE76-JN75)))</f>
        <v>316.19999999999993</v>
      </c>
      <c r="JG76" s="17">
        <f>JF76*VLOOKUP('Données projet'!$B$21,Paramètres!$A$1:$I$89,3,0)*VLOOKUP('Données projet'!$B$21,Paramètres!$A$1:$I$89,5,0)</f>
        <v>256.50144</v>
      </c>
      <c r="JH76" s="13">
        <f t="shared" si="206"/>
        <v>61.976039371382214</v>
      </c>
      <c r="JI76" s="20">
        <f t="shared" si="156"/>
        <v>554.68160990515742</v>
      </c>
      <c r="JJ76" s="59">
        <f t="shared" si="157"/>
        <v>848.01494323849079</v>
      </c>
      <c r="JK76" s="59">
        <f ca="1">AVERAGE(OFFSET($JJ$3,0,0,'Données projet'!$E$22+1,1))-AVERAGE(OFFSET($H$3,0,0,'Données projet'!$E$22+1,1))</f>
        <v>353.35574633294613</v>
      </c>
      <c r="JL76" s="59">
        <f t="shared" si="207"/>
        <v>170.36796666474726</v>
      </c>
      <c r="JM76" s="15">
        <f>IF(ISNA(VLOOKUP($A76,'Données projet'!$A$356:$I$376,3,0)),0,VLOOKUP($A76,'Données projet'!$A$356:$I$376,3,0))</f>
        <v>0</v>
      </c>
      <c r="JN76" s="15">
        <f>IF(ISNA(VLOOKUP($A76,'Données projet'!$A$356:$I$376,4,0)),0,VLOOKUP($A76,'Données projet'!$A$356:$I$376,4,0))</f>
        <v>0</v>
      </c>
      <c r="JO76" s="16">
        <f>IF(ISNA(VLOOKUP($A76,'Données projet'!$A$356:$I$376,5,0)),0%,VLOOKUP($A76,'Données projet'!$A$356:$I$376,5,0)*VLOOKUP('Données projet'!$B$21,Paramètres!$A$1:$I$89,7,0))</f>
        <v>0</v>
      </c>
      <c r="JP76" s="16">
        <f>IF(ISNA(VLOOKUP($A76,'Données projet'!$A$356:$I$376,6,0)),0%,VLOOKUP($A76,'Données projet'!$A$356:$I$376,6,0)*VLOOKUP('Données projet'!$B$21,Paramètres!$A$1:$I$89,7,0))</f>
        <v>0</v>
      </c>
      <c r="JQ76" s="16">
        <f>IF(ISNA(VLOOKUP($A76,'Données projet'!$A$356:$I$376,7,0)),0%,VLOOKUP($A76,'Données projet'!$A$356:$I$376,7,0))</f>
        <v>0</v>
      </c>
      <c r="JR76" s="21">
        <f>EXP(-LN(2)/35)*JR75+(1-EXP(-LN(2)/35))/(LN(2)/35)*JN76*JO76*VLOOKUP('Données projet'!$B$21,Paramètres!$A$1:$I$89,3,0)*0.475*44/12</f>
        <v>0</v>
      </c>
      <c r="JS76" s="21">
        <f>EXP(-LN(2)/25)*JS75+(1-EXP(-LN(2)/25))/(LN(2)/25)*Calculateur!JN76*Calculateur!JP76*VLOOKUP('Données projet'!$B$21,Paramètres!$A$1:$I$89,3,0)*0.475*44/12</f>
        <v>11.630941464623914</v>
      </c>
      <c r="JT76" s="21">
        <f>EXP(-LN(2)/2)*JT75+(1-EXP(-LN(2)/2))/(LN(2)/2)*JN76*JQ76*VLOOKUP('Données projet'!$B$21,Paramètres!$A$1:$I$89,3,0)*0.475*44/12</f>
        <v>2.7612059342770241</v>
      </c>
      <c r="JU76" s="18">
        <f t="shared" si="158"/>
        <v>14.392147398900939</v>
      </c>
      <c r="JV76" s="74">
        <f>('Scénario référence'!$F$8+'Scénario référence'!$F$9+'Scénario référence'!$B$17+'Scénario référence'!$B$9+'Scénario référence'!$B$10)*70+IF((45+25*(1-EXP(-0.0175*$A76)))&lt;70,'Scénario référence'!$B$16*(45+25*(1-EXP(-0.0175*$A76))),70*'Scénario référence'!$B$16)+IF((32+38*(1-EXP(-0.0175*$A76)))&lt;70,'Scénario référence'!$B$18*(32+38*(1-EXP(-0.0175*$A76))),70*'Scénario référence'!$B$18)</f>
        <v>70</v>
      </c>
      <c r="JW76" s="12">
        <f>IF($A76&gt;30,10,('Scénario référence'!$B$16+'Scénario référence'!$B$17+'Scénario référence'!$B$18+'Scénario référence'!$B$9+'Scénario référence'!$B$10)*$A76*10/30+('Scénario référence'!$F$8+'Scénario référence'!$F$9)*10)</f>
        <v>10</v>
      </c>
      <c r="JX76" s="12" t="e">
        <f>VLOOKUP($A76,'Données projet'!$A$382:$I$402,2,0)</f>
        <v>#N/A</v>
      </c>
      <c r="JY76" s="12" t="e">
        <f>VLOOKUP($A76,'Données projet'!$A$382:$I$402,9,0)</f>
        <v>#N/A</v>
      </c>
      <c r="JZ76" s="12">
        <f t="array" ref="JZ76">INDEX(JY:JY,MIN(IF(ISNUMBER(JY76:JY272),ROW(JY76:JY272),"")))</f>
        <v>7.8425925925925934</v>
      </c>
      <c r="KA76" s="12">
        <f>IF('Données projet'!$A$382&gt;35,KA75+JZ76-KI75,IF($A76&lt;'Données projet'!$A$382,$CQ$205^$A76,IF($A76='Données projet'!$A$382,'Données projet'!$B$382,KA75+JZ76-KI75)))</f>
        <v>219.11467236467254</v>
      </c>
      <c r="KB76" s="17">
        <f>KA76*VLOOKUP('Données projet'!$B$22,Paramètres!$A$1:$I$89,3,0)*VLOOKUP('Données projet'!$B$22,Paramètres!$A$1:$I$89,5,0)</f>
        <v>146.98212222222233</v>
      </c>
      <c r="KC76" s="13">
        <f t="shared" si="208"/>
        <v>37.891952933412185</v>
      </c>
      <c r="KD76" s="20">
        <f t="shared" si="159"/>
        <v>321.98901422939673</v>
      </c>
      <c r="KE76" s="59">
        <f t="shared" si="160"/>
        <v>615.3223475627301</v>
      </c>
      <c r="KF76" s="59">
        <f ca="1">AVERAGE(OFFSET($KE$3,0,0,'Données projet'!$E$22+1,1))-AVERAGE(OFFSET($H$3,0,0,'Données projet'!$E$22+1,1))</f>
        <v>193.91714772848269</v>
      </c>
      <c r="KG76" s="59">
        <f t="shared" si="209"/>
        <v>159.20429420478047</v>
      </c>
      <c r="KH76" s="15">
        <f>IF(ISNA(VLOOKUP($A76,'Données projet'!$A$382:$I$402,3,0)),0,VLOOKUP($A76,'Données projet'!$A$382:$I$402,3,0))</f>
        <v>0</v>
      </c>
      <c r="KI76" s="15">
        <f>IF(ISNA(VLOOKUP($A76,'Données projet'!$A$382:$I$402,4,0)),0,VLOOKUP($A76,'Données projet'!$A$382:$I$402,4,0))</f>
        <v>0</v>
      </c>
      <c r="KJ76" s="16">
        <f>IF(ISNA(VLOOKUP($A76,'Données projet'!$A$382:$I$402,5,0)),0%,VLOOKUP($A76,'Données projet'!$A$382:$I$402,5,0)*VLOOKUP('Données projet'!$B$22,Paramètres!$A$1:$I$89,7,0))</f>
        <v>0</v>
      </c>
      <c r="KK76" s="16">
        <f>IF(ISNA(VLOOKUP($A76,'Données projet'!$A$382:$I$402,6,0)),0%,VLOOKUP($A76,'Données projet'!$A$382:$I$402,6,0)*VLOOKUP('Données projet'!$B$22,Paramètres!$A$1:$I$89,7,0))</f>
        <v>0</v>
      </c>
      <c r="KL76" s="16">
        <f>IF(ISNA(VLOOKUP($A76,'Données projet'!$A$382:$I$402,7,0)),0%,VLOOKUP($A76,'Données projet'!$A$382:$I$402,7,0))</f>
        <v>0</v>
      </c>
      <c r="KM76" s="21">
        <f>EXP(-LN(2)/35)*KM75+(1-EXP(-LN(2)/35))/(LN(2)/35)*KI76*KJ76*VLOOKUP('Données projet'!$B$22,Paramètres!$A$1:$I$89,3,0)*0.475*44/12</f>
        <v>19.976911970011958</v>
      </c>
      <c r="KN76" s="21">
        <f>EXP(-LN(2)/25)*KN75+(1-EXP(-LN(2)/25))/(LN(2)/25)*Calculateur!KI76*Calculateur!KK76*VLOOKUP('Données projet'!$B$22,Paramètres!$A$1:$I$89,3,0)*0.475*44/12</f>
        <v>0</v>
      </c>
      <c r="KO76" s="21">
        <f>EXP(-LN(2)/2)*KO75+(1-EXP(-LN(2)/2))/(LN(2)/2)*KI76*KL76*VLOOKUP('Données projet'!$B$22,Paramètres!$A$1:$I$89,3,0)*0.475*44/12</f>
        <v>0</v>
      </c>
      <c r="KP76" s="22">
        <f t="shared" si="161"/>
        <v>19.976911970011958</v>
      </c>
      <c r="KQ76" s="74">
        <f>('Scénario référence'!$F$8+'Scénario référence'!$F$9+'Scénario référence'!$B$17+'Scénario référence'!$B$9+'Scénario référence'!$B$10)*70+IF((45+25*(1-EXP(-0.0175*$A76)))&lt;70,'Scénario référence'!$B$16*(45+25*(1-EXP(-0.0175*$A76))),70*'Scénario référence'!$B$16)+IF((32+38*(1-EXP(-0.0175*$A76)))&lt;70,'Scénario référence'!$B$18*(32+38*(1-EXP(-0.0175*$A76))),70*'Scénario référence'!$B$18)</f>
        <v>70</v>
      </c>
      <c r="KR76" s="12">
        <f>IF($A76&gt;30,10,('Scénario référence'!$B$16+'Scénario référence'!$B$17+'Scénario référence'!$B$18+'Scénario référence'!$B$9+'Scénario référence'!$B$10)*$A76*10/30+('Scénario référence'!$F$8+'Scénario référence'!$F$9)*10)</f>
        <v>10</v>
      </c>
      <c r="KS76" s="12" t="e">
        <f>VLOOKUP($A76,'Données projet'!$A$408:$I$428,2,0)</f>
        <v>#N/A</v>
      </c>
      <c r="KT76" s="12" t="e">
        <f>VLOOKUP($A76,'Données projet'!$A$408:$I$428,9,0)</f>
        <v>#N/A</v>
      </c>
      <c r="KU76" s="12">
        <f t="array" ref="KU76">INDEX(KT:KT,MIN(IF(ISNUMBER(KT76:KT272),ROW(KT76:KT272),"")))</f>
        <v>3.4</v>
      </c>
      <c r="KV76" s="12">
        <f>IF('Données projet'!$A$408&gt;35,KV75+KU76-LD75,IF($A76&lt;'Données projet'!$A$408,$CQ$205^$A76,IF($A76='Données projet'!$A$408,'Données projet'!$B$408,KV75+KU76-LD75)))</f>
        <v>263.19999999999987</v>
      </c>
      <c r="KW76" s="17">
        <f>KV76*VLOOKUP('Données projet'!$B$23,Paramètres!$A$1:$I$89,3,0)*VLOOKUP('Données projet'!$B$23,Paramètres!$A$1:$I$89,5,0)</f>
        <v>229.93151999999992</v>
      </c>
      <c r="KX76" s="13">
        <f t="shared" si="210"/>
        <v>56.26787429746841</v>
      </c>
      <c r="KY76" s="14">
        <f t="shared" si="162"/>
        <v>498.4639450680906</v>
      </c>
      <c r="KZ76" s="59">
        <f t="shared" si="163"/>
        <v>791.79727840142391</v>
      </c>
      <c r="LA76" s="59">
        <f ca="1">AVERAGE(OFFSET($KZ$3,0,0,'Données projet'!$E$23+1,1))-AVERAGE(OFFSET($H$3,0,0,'Données projet'!$E$23+1,1))</f>
        <v>248.33596943633819</v>
      </c>
      <c r="LB76" s="59">
        <f t="shared" si="211"/>
        <v>242.34010522344573</v>
      </c>
      <c r="LC76" s="15">
        <f>IF(ISNA(VLOOKUP($A76,'Données projet'!$A$408:$I$428,3,0)),0,VLOOKUP($A76,'Données projet'!$A$408:$I$428,3,0))</f>
        <v>0</v>
      </c>
      <c r="LD76" s="15">
        <f>IF(ISNA(VLOOKUP($A76,'Données projet'!$A$408:$I$428,4,0)),0,VLOOKUP($A76,'Données projet'!$A$408:$I$428,4,0))</f>
        <v>0</v>
      </c>
      <c r="LE76" s="16">
        <f>IF(ISNA(VLOOKUP($A76,'Données projet'!$A$408:$I$428,5,0)),0%,VLOOKUP($A76,'Données projet'!$A$408:$I$428,5,0)*VLOOKUP('Données projet'!$B$23,Paramètres!$A$1:$I$89,7,0))</f>
        <v>0</v>
      </c>
      <c r="LF76" s="16">
        <f>IF(ISNA(VLOOKUP($A76,'Données projet'!$A$408:$I$428,6,0)),0%,VLOOKUP($A76,'Données projet'!$A$408:$I$428,6,0)*VLOOKUP('Données projet'!$B$23,Paramètres!$A$1:$I$89,7,0))</f>
        <v>0</v>
      </c>
      <c r="LG76" s="16">
        <f>IF(ISNA(VLOOKUP($A76,'Données projet'!$A$408:$I$428,7,0)),0%,VLOOKUP($A76,'Données projet'!$A$408:$I$428,7,0))</f>
        <v>0</v>
      </c>
      <c r="LH76" s="21">
        <f>EXP(-LN(2)/35)*LH75+(1-EXP(-LN(2)/35))/(LN(2)/35)*LD76*LE76*VLOOKUP('Données projet'!$B$23,Paramètres!$A$1:$I$89,3,0)*0.475*44/12</f>
        <v>22.644183094112496</v>
      </c>
      <c r="LI76" s="21">
        <f>EXP(-LN(2)/25)*LI75+(1-EXP(-LN(2)/25))/(LN(2)/25)*Calculateur!LD76*Calculateur!LF76*VLOOKUP('Données projet'!$B$23,Paramètres!$A$1:$I$89,3,0)*0.475*44/12</f>
        <v>8.0540622417241234</v>
      </c>
      <c r="LJ76" s="21">
        <f>EXP(-LN(2)/2)*LJ75+(1-EXP(-LN(2)/2))/(LN(2)/2)*LD76*LG76*VLOOKUP('Données projet'!$B$23,Paramètres!$A$1:$I$89,3,0)*0.475*44/12</f>
        <v>0</v>
      </c>
      <c r="LK76" s="22">
        <f t="shared" si="164"/>
        <v>30.698245335836617</v>
      </c>
      <c r="LL76" s="74">
        <f>('Scénario référence'!$F$8+'Scénario référence'!$F$9+'Scénario référence'!$B$17+'Scénario référence'!$B$9+'Scénario référence'!$B$10)*70+IF((45+25*(1-EXP(-0.0175*$A76)))&lt;70,'Scénario référence'!$B$16*(45+25*(1-EXP(-0.0175*$A76))),70*'Scénario référence'!$B$16)+IF((32+38*(1-EXP(-0.0175*$A76)))&lt;70,'Scénario référence'!$B$18*(32+38*(1-EXP(-0.0175*$A76))),70*'Scénario référence'!$B$18)</f>
        <v>70</v>
      </c>
      <c r="LM76" s="12">
        <f>IF($A76&gt;30,10,('Scénario référence'!$B$16+'Scénario référence'!$B$17+'Scénario référence'!$B$18+'Scénario référence'!$B$9+'Scénario référence'!$B$10)*$A76*10/30+('Scénario référence'!$F$8+'Scénario référence'!$F$9)*10)</f>
        <v>10</v>
      </c>
      <c r="LN76" s="12" t="e">
        <f>VLOOKUP($A76,'Données projet'!$A$434:$I$454,2,0)</f>
        <v>#N/A</v>
      </c>
      <c r="LO76" s="12" t="e">
        <f>VLOOKUP($A76,'Données projet'!$A$434:$I$454,9,0)</f>
        <v>#N/A</v>
      </c>
      <c r="LP76" s="12">
        <f t="array" ref="LP76">INDEX(LO:LO,MIN(IF(ISNUMBER(LO76:LO272),ROW(LO76:LO272),"")))</f>
        <v>5.6899038461538431</v>
      </c>
      <c r="LQ76" s="12">
        <f>IF('Données projet'!$A$434&gt;35,LQ75+LP76-LY75,IF($A76&lt;'Données projet'!$A$434,$CQ$205^$A76,IF($A76='Données projet'!$A$434,'Données projet'!$B$434,LQ75+LP76-LY75)))</f>
        <v>170.00480769230765</v>
      </c>
      <c r="LR76" s="17">
        <f>LQ76*VLOOKUP('Données projet'!$B$24,Paramètres!$A$1:$I$89,3,0)*VLOOKUP('Données projet'!$B$24,Paramètres!$A$1:$I$89,5,0)</f>
        <v>172.38487499999997</v>
      </c>
      <c r="LS76" s="13">
        <f t="shared" si="212"/>
        <v>43.623722408092668</v>
      </c>
      <c r="LT76" s="14">
        <f t="shared" si="165"/>
        <v>376.21497381909467</v>
      </c>
      <c r="LU76" s="59">
        <f t="shared" si="166"/>
        <v>669.54830715242792</v>
      </c>
      <c r="LV76" s="59">
        <f ca="1">AVERAGE(OFFSET($LU$3,0,0,'Données projet'!$E$24+1,1))-AVERAGE(OFFSET($H$3,0,0,'Données projet'!$E$24+1,1))</f>
        <v>260.52627655062872</v>
      </c>
      <c r="LW76" s="59">
        <f t="shared" si="213"/>
        <v>159.20429420478047</v>
      </c>
      <c r="LX76" s="15">
        <f>IF(ISNA(VLOOKUP($A76,'Données projet'!$A$434:$I$454,3,0)),0,VLOOKUP($A76,'Données projet'!$A$434:$I$454,3,0))</f>
        <v>0</v>
      </c>
      <c r="LY76" s="15">
        <f>IF(ISNA(VLOOKUP($A76,'Données projet'!$A$434:$I$454,4,0)),0,VLOOKUP($A76,'Données projet'!$A$434:$I$454,4,0))</f>
        <v>0</v>
      </c>
      <c r="LZ76" s="16">
        <f>IF(ISNA(VLOOKUP($A76,'Données projet'!$A$434:$I$454,5,0)),0%,VLOOKUP($A76,'Données projet'!$A$434:$I$454,5,0)*VLOOKUP('Données projet'!$B$24,Paramètres!$A$1:$I$89,7,0))</f>
        <v>0</v>
      </c>
      <c r="MA76" s="16">
        <f>IF(ISNA(VLOOKUP($A76,'Données projet'!$A$434:$I$454,6,0)),0%,VLOOKUP($A76,'Données projet'!$A$434:$I$454,6,0)*VLOOKUP('Données projet'!$B$24,Paramètres!$A$1:$I$89,7,0))</f>
        <v>0</v>
      </c>
      <c r="MB76" s="16">
        <f>IF(ISNA(VLOOKUP($A76,'Données projet'!$A$434:$I$454,7,0)),0%,VLOOKUP($A76,'Données projet'!$A$434:$I$454,7,0))</f>
        <v>0</v>
      </c>
      <c r="MC76" s="21">
        <f>EXP(-LN(2)/35)*MC75+(1-EXP(-LN(2)/35))/(LN(2)/35)*LY76*LZ76*VLOOKUP('Données projet'!$B$24,Paramètres!$A$1:$I$89,3,0)*0.475*44/12</f>
        <v>0</v>
      </c>
      <c r="MD76" s="21">
        <f>EXP(-LN(2)/25)*MD75+(1-EXP(-LN(2)/25))/(LN(2)/25)*Calculateur!LY76*Calculateur!MA76*VLOOKUP('Données projet'!$B$24,Paramètres!$A$1:$I$89,3,0)*0.475*44/12</f>
        <v>0</v>
      </c>
      <c r="ME76" s="21">
        <f>EXP(-LN(2)/2)*ME75+(1-EXP(-LN(2)/2))/(LN(2)/2)*LY76*MB76*VLOOKUP('Données projet'!$B$24,Paramètres!$A$1:$I$89,3,0)*0.475*44/12</f>
        <v>0</v>
      </c>
      <c r="MF76" s="22">
        <f t="shared" si="167"/>
        <v>0</v>
      </c>
      <c r="MG76" s="74">
        <f>('Scénario référence'!$F$8+'Scénario référence'!$F$9+'Scénario référence'!$B$17+'Scénario référence'!$B$9+'Scénario référence'!$B$10)*70+IF((45+25*(1-EXP(-0.0175*$A76)))&lt;70,'Scénario référence'!$B$16*(45+25*(1-EXP(-0.0175*$A76))),70*'Scénario référence'!$B$16)+IF((32+38*(1-EXP(-0.0175*$A76)))&lt;70,'Scénario référence'!$B$18*(32+38*(1-EXP(-0.0175*$A76))),70*'Scénario référence'!$B$18)</f>
        <v>70</v>
      </c>
      <c r="MH76" s="12">
        <f>IF($A76&gt;30,10,('Scénario référence'!$B$16+'Scénario référence'!$B$17+'Scénario référence'!$B$18+'Scénario référence'!$B$9+'Scénario référence'!$B$10)*$A76*10/30+('Scénario référence'!$F$8+'Scénario référence'!$F$9)*10)</f>
        <v>10</v>
      </c>
      <c r="MI76" s="12" t="e">
        <f>VLOOKUP($A76,'Données projet'!$A$460:$I$480,2,0)</f>
        <v>#N/A</v>
      </c>
      <c r="MJ76" s="12" t="e">
        <f>VLOOKUP($A76,'Données projet'!$A$460:$I$480,9,0)</f>
        <v>#N/A</v>
      </c>
      <c r="MK76" s="12">
        <f t="array" ref="MK76">INDEX(MJ:MJ,MIN(IF(ISNUMBER(MJ76:MJ272),ROW(MJ76:MJ272),"")))</f>
        <v>0</v>
      </c>
      <c r="ML76" s="12">
        <f>IF('Données projet'!$A$460&gt;35,ML75+MK76-MT75,IF($A76&lt;'Données projet'!$A$460,$CQ$205^$A76,IF($A76='Données projet'!$A$460,'Données projet'!$B$460,ML75+MK76-MT75)))</f>
        <v>0</v>
      </c>
      <c r="MM76" s="17" t="e">
        <f>ML76*VLOOKUP('Données projet'!$B$25,Paramètres!$A$1:$I$89,3,0)*VLOOKUP('Données projet'!$B$25,Paramètres!$A$1:$I$89,5,0)</f>
        <v>#N/A</v>
      </c>
      <c r="MN76" s="13" t="e">
        <f t="shared" si="214"/>
        <v>#N/A</v>
      </c>
      <c r="MO76" s="14" t="e">
        <f t="shared" si="168"/>
        <v>#N/A</v>
      </c>
      <c r="MP76" s="59" t="e">
        <f t="shared" si="169"/>
        <v>#N/A</v>
      </c>
      <c r="MQ76" s="20" t="e">
        <f ca="1">AVERAGE(OFFSET($MP$3,0,0,'Données projet'!$E$25+1,1))-AVERAGE(OFFSET($H$3,0,0,'Données projet'!$E$25+1,1))</f>
        <v>#N/A</v>
      </c>
      <c r="MR76" s="59" t="e">
        <f t="shared" si="215"/>
        <v>#N/A</v>
      </c>
      <c r="MS76" s="15">
        <f>IF(ISNA(VLOOKUP($A76,'Données projet'!$A$460:$I$480,3,0)),0,VLOOKUP($A76,'Données projet'!$A$460:$I$480,3,0))</f>
        <v>0</v>
      </c>
      <c r="MT76" s="15">
        <f>IF(ISNA(VLOOKUP($A76,'Données projet'!$A$460:$I$480,4,0)),0,VLOOKUP($A76,'Données projet'!$A$460:$I$480,4,0))</f>
        <v>0</v>
      </c>
      <c r="MU76" s="16">
        <f>IF(ISNA(VLOOKUP($A76,'Données projet'!$A$460:$I$480,5,0)),0%,VLOOKUP($A76,'Données projet'!$A$460:$I$480,5,0)*VLOOKUP('Données projet'!$B$25,Paramètres!$A$1:$I$89,7,0))</f>
        <v>0</v>
      </c>
      <c r="MV76" s="16">
        <f>IF(ISNA(VLOOKUP($A76,'Données projet'!$A$460:$I$480,6,0)),0%,VLOOKUP($A76,'Données projet'!$A$460:$I$480,6,0)*VLOOKUP('Données projet'!$B$25,Paramètres!$A$1:$I$89,7,0))</f>
        <v>0</v>
      </c>
      <c r="MW76" s="16">
        <f>IF(ISNA(VLOOKUP($A76,'Données projet'!$A$460:$I$480,7,0)),0%,VLOOKUP($A76,'Données projet'!$A$460:$I$480,7,0))</f>
        <v>0</v>
      </c>
      <c r="MX76" s="21" t="e">
        <f>EXP(-LN(2)/35)*MX75+(1-EXP(-LN(2)/35))/(LN(2)/35)*MT76*MU76*VLOOKUP('Données projet'!$B$25,Paramètres!$A$1:$I$89,3,0)*0.475*44/12</f>
        <v>#N/A</v>
      </c>
      <c r="MY76" s="21" t="e">
        <f>EXP(-LN(2)/25)*MY75+(1-EXP(-LN(2)/25))/(LN(2)/25)*Calculateur!MT76*Calculateur!MV76*VLOOKUP('Données projet'!$B$25,Paramètres!$A$1:$I$89,3,0)*0.475*44/12</f>
        <v>#N/A</v>
      </c>
      <c r="MZ76" s="21" t="e">
        <f>EXP(-LN(2)/2)*MZ75+(1-EXP(-LN(2)/2))/(LN(2)/2)*MT76*MW76*VLOOKUP('Données projet'!$B$25,Paramètres!$A$1:$I$89,3,0)*0.475*44/12</f>
        <v>#N/A</v>
      </c>
      <c r="NA76" s="22" t="e">
        <f t="shared" si="170"/>
        <v>#N/A</v>
      </c>
      <c r="NB76" s="74">
        <f>('Scénario référence'!$F$8+'Scénario référence'!$F$9+'Scénario référence'!$B$17+'Scénario référence'!$B$9+'Scénario référence'!$B$10)*70+IF((45+25*(1-EXP(-0.0175*$A76)))&lt;70,'Scénario référence'!$B$16*(45+25*(1-EXP(-0.0175*$A76))),70*'Scénario référence'!$B$16)+IF((32+38*(1-EXP(-0.0175*$A76)))&lt;70,'Scénario référence'!$B$18*(32+38*(1-EXP(-0.0175*$A76))),70*'Scénario référence'!$B$18)</f>
        <v>70</v>
      </c>
      <c r="NC76" s="12">
        <f>IF($A76&gt;30,10,('Scénario référence'!$B$16+'Scénario référence'!$B$17+'Scénario référence'!$B$18+'Scénario référence'!$B$9+'Scénario référence'!$B$10)*$A76*10/30+('Scénario référence'!$F$8+'Scénario référence'!$F$9)*10)</f>
        <v>10</v>
      </c>
      <c r="ND76" s="12" t="e">
        <f>VLOOKUP($A76,'Données projet'!$A$486:$I$506,2,0)</f>
        <v>#N/A</v>
      </c>
      <c r="NE76" s="12" t="e">
        <f>VLOOKUP($A76,'Données projet'!$A$486:$I$506,9,0)</f>
        <v>#N/A</v>
      </c>
      <c r="NF76" s="12">
        <f t="array" ref="NF76">INDEX(NE:NE,MIN(IF(ISNUMBER(NE76:NE272),ROW(NE76:NE272),"")))</f>
        <v>0</v>
      </c>
      <c r="NG76" s="12">
        <f>IF('Données projet'!$A$486&gt;35,NG75+NF76-NO75,IF($A76&lt;'Données projet'!$A$486,$CQ$205^$A76,IF($A76='Données projet'!$A$486,'Données projet'!$B$486,NG75+NF76-NO75)))</f>
        <v>0</v>
      </c>
      <c r="NH76" s="17" t="e">
        <f>NG76*VLOOKUP('Données projet'!$B$26,Paramètres!$A$1:$I$89,3,0)*VLOOKUP('Données projet'!$B$26,Paramètres!$A$1:$I$89,5,0)</f>
        <v>#N/A</v>
      </c>
      <c r="NI76" s="13" t="e">
        <f t="shared" si="216"/>
        <v>#N/A</v>
      </c>
      <c r="NJ76" s="14" t="e">
        <f t="shared" si="171"/>
        <v>#N/A</v>
      </c>
      <c r="NK76" s="59" t="e">
        <f t="shared" si="172"/>
        <v>#N/A</v>
      </c>
      <c r="NL76" s="20" t="e">
        <f ca="1">AVERAGE(OFFSET($NK$3,0,0,'Données projet'!$E$26+1,1))-AVERAGE(OFFSET($H$3,0,0,'Données projet'!$E$26+1,1))</f>
        <v>#N/A</v>
      </c>
      <c r="NM76" s="59" t="e">
        <f t="shared" si="217"/>
        <v>#N/A</v>
      </c>
      <c r="NN76" s="15">
        <f>IF(ISNA(VLOOKUP($A76,'Données projet'!$A$486:$I$506,3,0)),0,VLOOKUP($A76,'Données projet'!$A$486:$I$506,3,0))</f>
        <v>0</v>
      </c>
      <c r="NO76" s="15">
        <f>IF(ISNA(VLOOKUP($A76,'Données projet'!$A$486:$I$506,4,0)),0,VLOOKUP($A76,'Données projet'!$A$486:$I$506,4,0))</f>
        <v>0</v>
      </c>
      <c r="NP76" s="16">
        <f>IF(ISNA(VLOOKUP($A76,'Données projet'!$A$486:$I$506,5,0)),0%,VLOOKUP($A76,'Données projet'!$A$486:$I$506,5,0)*VLOOKUP('Données projet'!$B$26,Paramètres!$A$1:$I$89,7,0))</f>
        <v>0</v>
      </c>
      <c r="NQ76" s="16">
        <f>IF(ISNA(VLOOKUP($A76,'Données projet'!$A$486:$I$506,6,0)),0%,VLOOKUP($A76,'Données projet'!$A$486:$I$506,6,0)*VLOOKUP('Données projet'!$B$26,Paramètres!$A$1:$I$89,7,0))</f>
        <v>0</v>
      </c>
      <c r="NR76" s="16">
        <f>IF(ISNA(VLOOKUP($A76,'Données projet'!$A$486:$I$506,7,0)),0%,VLOOKUP($A76,'Données projet'!$A$486:$I$506,7,0))</f>
        <v>0</v>
      </c>
      <c r="NS76" s="21" t="e">
        <f>EXP(-LN(2)/35)*NS75+(1-EXP(-LN(2)/35))/(LN(2)/35)*NO76*NP76*VLOOKUP('Données projet'!$B$26,Paramètres!$A$1:$I$89,3,0)*0.475*44/12</f>
        <v>#N/A</v>
      </c>
      <c r="NT76" s="21" t="e">
        <f>EXP(-LN(2)/25)*NT75+(1-EXP(-LN(2)/25))/(LN(2)/25)*Calculateur!NO76*Calculateur!NQ76*VLOOKUP('Données projet'!$B$26,Paramètres!$A$1:$I$89,3,0)*0.475*44/12</f>
        <v>#N/A</v>
      </c>
      <c r="NU76" s="21" t="e">
        <f>EXP(-LN(2)/2)*NU75+(1-EXP(-LN(2)/2))/(LN(2)/2)*NO76*NR76*VLOOKUP('Données projet'!$B$26,Paramètres!$A$1:$I$89,3,0)*0.475*44/12</f>
        <v>#N/A</v>
      </c>
      <c r="NV76" s="22" t="e">
        <f t="shared" si="173"/>
        <v>#N/A</v>
      </c>
      <c r="NW76" s="74">
        <f>('Scénario référence'!$F$8+'Scénario référence'!$F$9+'Scénario référence'!$B$17+'Scénario référence'!$B$9+'Scénario référence'!$B$10)*70+IF((45+25*(1-EXP(-0.0175*$A76)))&lt;70,'Scénario référence'!$B$16*(45+25*(1-EXP(-0.0175*$A76))),70*'Scénario référence'!$B$16)+IF((32+38*(1-EXP(-0.0175*$A76)))&lt;70,'Scénario référence'!$B$18*(32+38*(1-EXP(-0.0175*$A76))),70*'Scénario référence'!$B$18)</f>
        <v>70</v>
      </c>
      <c r="NX76" s="12">
        <f>IF($A76&gt;30,10,('Scénario référence'!$B$16+'Scénario référence'!$B$17+'Scénario référence'!$B$18+'Scénario référence'!$B$9+'Scénario référence'!$B$10)*$A76*10/30+('Scénario référence'!$F$8+'Scénario référence'!$F$9)*10)</f>
        <v>10</v>
      </c>
      <c r="NY76" s="12" t="e">
        <f>VLOOKUP($A76,'Données projet'!$A$512:$I$532,2,0)</f>
        <v>#N/A</v>
      </c>
      <c r="NZ76" s="12" t="e">
        <f>VLOOKUP($A76,'Données projet'!$A$512:$I$532,9,0)</f>
        <v>#N/A</v>
      </c>
      <c r="OA76" s="12">
        <f t="array" ref="OA76">INDEX(NZ:NZ,MIN(IF(ISNUMBER(NZ76:NZ272),ROW(NZ76:NZ272),"")))</f>
        <v>0</v>
      </c>
      <c r="OB76" s="12">
        <f>IF('Données projet'!$A$512&gt;35,OB75+OA76-OJ75,IF($A76&lt;'Données projet'!$A$512,$CQ$205^$A76,IF($A76='Données projet'!$A$512,'Données projet'!$B$512,OB75+OA76-OJ75)))</f>
        <v>0</v>
      </c>
      <c r="OC76" s="17" t="e">
        <f>OB76*VLOOKUP('Données projet'!$B$27,Paramètres!$A$1:$I$89,3,0)*VLOOKUP('Données projet'!$B$27,Paramètres!$A$1:$I$89,5,0)</f>
        <v>#N/A</v>
      </c>
      <c r="OD76" s="13" t="e">
        <f t="shared" si="218"/>
        <v>#N/A</v>
      </c>
      <c r="OE76" s="14" t="e">
        <f t="shared" si="174"/>
        <v>#N/A</v>
      </c>
      <c r="OF76" s="59" t="e">
        <f t="shared" si="175"/>
        <v>#N/A</v>
      </c>
      <c r="OG76" s="20" t="e">
        <f ca="1">AVERAGE(OFFSET($OF$3,0,0,'Données projet'!$E$27+1,1))-AVERAGE(OFFSET($H$3,0,0,'Données projet'!$E$27+1,1))</f>
        <v>#N/A</v>
      </c>
      <c r="OH76" s="59" t="e">
        <f t="shared" si="219"/>
        <v>#N/A</v>
      </c>
      <c r="OI76" s="15">
        <f>IF(ISNA(VLOOKUP($A76,'Données projet'!$A$512:$I$532,3,0)),0,VLOOKUP($A76,'Données projet'!$A$512:$I$532,3,0))</f>
        <v>0</v>
      </c>
      <c r="OJ76" s="15">
        <f>IF(ISNA(VLOOKUP($A76,'Données projet'!$A$512:$I$532,4,0)),0,VLOOKUP($A76,'Données projet'!$A$512:$I$532,4,0))</f>
        <v>0</v>
      </c>
      <c r="OK76" s="16">
        <f>IF(ISNA(VLOOKUP($A76,'Données projet'!$A$512:$I$532,5,0)),0%,VLOOKUP($A76,'Données projet'!$A$512:$I$532,5,0)*VLOOKUP('Données projet'!$B$27,Paramètres!$A$1:$I$89,7,0))</f>
        <v>0</v>
      </c>
      <c r="OL76" s="16">
        <f>IF(ISNA(VLOOKUP($A76,'Données projet'!$A$512:$I$532,6,0)),0%,VLOOKUP($A76,'Données projet'!$A$512:$I$532,6,0)*VLOOKUP('Données projet'!$B$27,Paramètres!$A$1:$I$89,7,0))</f>
        <v>0</v>
      </c>
      <c r="OM76" s="16">
        <f>IF(ISNA(VLOOKUP($A76,'Données projet'!$A$512:$I$532,7,0)),0%,VLOOKUP($A76,'Données projet'!$A$512:$I$532,7,0))</f>
        <v>0</v>
      </c>
      <c r="ON76" s="21" t="e">
        <f>EXP(-LN(2)/35)*ON75+(1-EXP(-LN(2)/35))/(LN(2)/35)*OJ76*OK76*VLOOKUP('Données projet'!$B$27,Paramètres!$A$1:$I$89,3,0)*0.475*44/12</f>
        <v>#N/A</v>
      </c>
      <c r="OO76" s="21" t="e">
        <f>EXP(-LN(2)/25)*OO75+(1-EXP(-LN(2)/25))/(LN(2)/25)*Calculateur!OJ76*Calculateur!OL76*VLOOKUP('Données projet'!$B$27,Paramètres!$A$1:$I$89,3,0)*0.475*44/12</f>
        <v>#N/A</v>
      </c>
      <c r="OP76" s="21" t="e">
        <f>EXP(-LN(2)/2)*OP75+(1-EXP(-LN(2)/2))/(LN(2)/2)*OJ76*OM76*VLOOKUP('Données projet'!$B$27,Paramètres!$A$1:$I$89,3,0)*0.475*44/12</f>
        <v>#N/A</v>
      </c>
      <c r="OQ76" s="22" t="e">
        <f t="shared" si="176"/>
        <v>#N/A</v>
      </c>
      <c r="OR76" s="74">
        <f>('Scénario référence'!$F$8+'Scénario référence'!$F$9+'Scénario référence'!$B$17+'Scénario référence'!$B$9+'Scénario référence'!$B$10)*70+IF((45+25*(1-EXP(-0.0175*$A76)))&lt;70,'Scénario référence'!$B$16*(45+25*(1-EXP(-0.0175*$A76))),70*'Scénario référence'!$B$16)+IF((32+38*(1-EXP(-0.0175*$A76)))&lt;70,'Scénario référence'!$B$18*(32+38*(1-EXP(-0.0175*$A76))),70*'Scénario référence'!$B$18)</f>
        <v>70</v>
      </c>
      <c r="OS76" s="12">
        <f>IF($A76&gt;30,10,('Scénario référence'!$B$16+'Scénario référence'!$B$17+'Scénario référence'!$B$18+'Scénario référence'!$B$9+'Scénario référence'!$B$10)*$A76*10/30+('Scénario référence'!$F$8+'Scénario référence'!$F$9)*10)</f>
        <v>10</v>
      </c>
      <c r="OT76" s="12" t="e">
        <f>VLOOKUP($A76,'Données projet'!$A$538:$I$558,2,0)</f>
        <v>#N/A</v>
      </c>
      <c r="OU76" s="12" t="e">
        <f>VLOOKUP($A76,'Données projet'!$A$538:$I$558,9,0)</f>
        <v>#N/A</v>
      </c>
      <c r="OV76" s="12">
        <f t="array" ref="OV76">INDEX(OU:OU,MIN(IF(ISNUMBER(OU76:OU272),ROW(OU76:OU272),"")))</f>
        <v>0</v>
      </c>
      <c r="OW76" s="12">
        <f>IF('Données projet'!$A$538&gt;35,OW75+OV76-PE75,IF($A76&lt;'Données projet'!$A$538,$CQ$205^$A76,IF($A76='Données projet'!$A$538,'Données projet'!$B$538,OW75+OV76-PE75)))</f>
        <v>0</v>
      </c>
      <c r="OX76" s="17" t="e">
        <f>OW76*VLOOKUP('Données projet'!$B$28,Paramètres!$A$1:$I$89,3,0)*VLOOKUP('Données projet'!$B$28,Paramètres!$A$1:$I$89,5,0)</f>
        <v>#N/A</v>
      </c>
      <c r="OY76" s="13" t="e">
        <f t="shared" si="220"/>
        <v>#N/A</v>
      </c>
      <c r="OZ76" s="14" t="e">
        <f t="shared" si="177"/>
        <v>#N/A</v>
      </c>
      <c r="PA76" s="59" t="e">
        <f t="shared" si="178"/>
        <v>#N/A</v>
      </c>
      <c r="PB76" s="20" t="e">
        <f ca="1">AVERAGE(OFFSET($PA$3,0,0,'Données projet'!$E$28+1,1))-AVERAGE(OFFSET($H$3,0,0,'Données projet'!$E$28+1,1))</f>
        <v>#N/A</v>
      </c>
      <c r="PC76" s="59" t="e">
        <f t="shared" si="221"/>
        <v>#N/A</v>
      </c>
      <c r="PD76" s="15">
        <f>IF(ISNA(VLOOKUP($A76,'Données projet'!$A$538:$I$558,3,0)),0,VLOOKUP($A76,'Données projet'!$A$538:$I$558,3,0))</f>
        <v>0</v>
      </c>
      <c r="PE76" s="15">
        <f>IF(ISNA(VLOOKUP($A76,'Données projet'!$A$538:$I$558,4,0)),0,VLOOKUP($A76,'Données projet'!$A$538:$I$558,4,0))</f>
        <v>0</v>
      </c>
      <c r="PF76" s="16">
        <f>IF(ISNA(VLOOKUP($A76,'Données projet'!$A$538:$I$558,5,0)),0%,VLOOKUP($A76,'Données projet'!$A$538:$I$558,5,0)*VLOOKUP('Données projet'!$B$28,Paramètres!$A$1:$I$89,7,0))</f>
        <v>0</v>
      </c>
      <c r="PG76" s="16">
        <f>IF(ISNA(VLOOKUP($A76,'Données projet'!$A$538:$I$558,6,0)),0%,VLOOKUP($A76,'Données projet'!$A$538:$I$558,6,0)*VLOOKUP('Données projet'!$B$28,Paramètres!$A$1:$I$89,7,0))</f>
        <v>0</v>
      </c>
      <c r="PH76" s="16">
        <f>IF(ISNA(VLOOKUP($A76,'Données projet'!$A$538:$I$558,7,0)),0%,VLOOKUP($A76,'Données projet'!$A$538:$I$558,7,0))</f>
        <v>0</v>
      </c>
      <c r="PI76" s="21" t="e">
        <f>EXP(-LN(2)/35)*PI75+(1-EXP(-LN(2)/35))/(LN(2)/35)*PE76*PF76*VLOOKUP('Données projet'!$B$28,Paramètres!$A$1:$I$89,3,0)*0.475*44/12</f>
        <v>#N/A</v>
      </c>
      <c r="PJ76" s="21" t="e">
        <f>EXP(-LN(2)/25)*PJ75+(1-EXP(-LN(2)/25))/(LN(2)/25)*Calculateur!PE76*Calculateur!PG76*VLOOKUP('Données projet'!$B$28,Paramètres!$A$1:$I$89,3,0)*0.475*44/12</f>
        <v>#N/A</v>
      </c>
      <c r="PK76" s="21" t="e">
        <f>EXP(-LN(2)/2)*PK75+(1-EXP(-LN(2)/2))/(LN(2)/2)*PE76*PH76*VLOOKUP('Données projet'!$B$28,Paramètres!$A$1:$I$89,3,0)*0.475*44/12</f>
        <v>#N/A</v>
      </c>
      <c r="PL76" s="22" t="e">
        <f t="shared" si="179"/>
        <v>#N/A</v>
      </c>
    </row>
    <row r="77" spans="1:428" x14ac:dyDescent="0.35">
      <c r="A77" s="10">
        <f t="shared" si="180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181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121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projet'!$A$45:$I$65,2,0)</f>
        <v>#N/A</v>
      </c>
      <c r="L77" s="12" t="e">
        <f>VLOOKUP(A77,'Données projet'!$A$45:$I$65,9,0)</f>
        <v>#N/A</v>
      </c>
      <c r="M77" s="12">
        <f t="array" ref="M77">INDEX(L:L,MIN(IF(ISNUMBER(L77:L273),ROW(L77:L273),"")))</f>
        <v>0</v>
      </c>
      <c r="N77" s="13">
        <f>IF('Données projet'!$A$46&gt;35,N76+M77-V76,IF(A77&lt;'Données projet'!$A$46,$K$205^A77,IF(A77='Données projet'!$A$46,'Données projet'!$B$46,N76+M77-V76)))</f>
        <v>-1.1368683772161603E-13</v>
      </c>
      <c r="O77" s="13">
        <f>N77*VLOOKUP('Données projet'!$B$9,Paramètres!$A$1:$I$89,3,0)*VLOOKUP('Données projet'!$B$9,Paramètres!$A$1:$I$89,5,0)</f>
        <v>-6.3550942286383367E-14</v>
      </c>
      <c r="P77" s="13" t="e">
        <f t="shared" si="182"/>
        <v>#NUM!</v>
      </c>
      <c r="Q77" s="20" t="e">
        <f t="shared" si="119"/>
        <v>#NUM!</v>
      </c>
      <c r="R77" s="59" t="e">
        <f t="shared" si="120"/>
        <v>#NUM!</v>
      </c>
      <c r="S77" s="59">
        <f ca="1">AVERAGE(OFFSET($R$3,0,0,'Données projet'!$E$9+1,1))-AVERAGE(OFFSET($H$3,0,0,'Données projet'!$E$9+1,1))</f>
        <v>274.57619581652199</v>
      </c>
      <c r="T77" s="59">
        <f t="shared" si="183"/>
        <v>366.15117322598775</v>
      </c>
      <c r="U77" s="15">
        <f>IF(ISNA(VLOOKUP(A77,'Données projet'!$A$45:$I$65,3,0)),0,VLOOKUP(A77,'Données projet'!$A$45:$I$65,3,0))</f>
        <v>0</v>
      </c>
      <c r="V77" s="15">
        <f>IF(ISNA(VLOOKUP(A77,'Données projet'!$A$45:$I$65,4,0)),0,VLOOKUP(A77,'Données projet'!$A$45:$I$65,4,0))</f>
        <v>0</v>
      </c>
      <c r="W77" s="16">
        <f>IF(ISNA(VLOOKUP(A77,'Données projet'!$A$45:$I$65,5,0)),0%,VLOOKUP(A77,'Données projet'!$A$45:$I$65,5,0)*VLOOKUP('Données projet'!$B$9,Paramètres!$A$1:$I$89,7,0))</f>
        <v>0</v>
      </c>
      <c r="X77" s="16">
        <f>IF(ISNA(VLOOKUP(A77,'Données projet'!$A$45:$I$65,6,0)),0%,VLOOKUP(A77,'Données projet'!$A$45:$I$65,6,0)*VLOOKUP('Données projet'!$B$9,Paramètres!$A$1:$I$89,7,0))</f>
        <v>0</v>
      </c>
      <c r="Y77" s="16">
        <f>IF(ISNA(VLOOKUP(A77,'Données projet'!$A$45:$I$65,7,0)),0%,VLOOKUP(A77,'Données projet'!$A$45:$I$65,7,0))</f>
        <v>0</v>
      </c>
      <c r="Z77" s="21">
        <f>EXP(-LN(2)/35)*Z76+(1-EXP(-LN(2)/35))/(LN(2)/35)*V77*W77*VLOOKUP('Données projet'!$B$9,Paramètres!$A$1:$I$89,3,0)*0.475*44/12</f>
        <v>155.57972872345456</v>
      </c>
      <c r="AA77" s="21">
        <f>EXP(-LN(2)/25)*AA76+(1-EXP(-LN(2)/25))/(LN(2)/25)*Calculateur!V77*Calculateur!X77*VLOOKUP('Données projet'!$B$9,Paramètres!$A$1:$I$89,3,0)*0.475*44/12</f>
        <v>34.017123890244591</v>
      </c>
      <c r="AB77" s="21">
        <f>EXP(-LN(2)/2)*AB76+(1-EXP(-LN(2)/2))/(LN(2)/2)*V77*Y77*VLOOKUP('Données projet'!$B$9,Paramètres!$A$1:$I$89,3,0)*0.475*44/12</f>
        <v>4.7179081475552907E-2</v>
      </c>
      <c r="AC77" s="22">
        <f t="shared" si="122"/>
        <v>189.6440316951747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projet'!$A$71:$I$91,2,0)</f>
        <v>#N/A</v>
      </c>
      <c r="AG77" s="12" t="e">
        <f>VLOOKUP(A77,'Données projet'!$A$71:$I$91,9,0)</f>
        <v>#N/A</v>
      </c>
      <c r="AH77" s="12">
        <f t="array" ref="AH77">INDEX(AG:AG,MIN(IF(ISNUMBER(AG77:AG273),ROW(AG77:AG273),"")))</f>
        <v>7.8425925925925934</v>
      </c>
      <c r="AI77" s="13">
        <f>IF('Données projet'!$A$72&gt;35,AI76+AH77-AQ76,IF(A77&lt;'Données projet'!$A$72,$AF$205^A77,IF(A77='Données projet'!$A$72,'Données projet'!$B$72,AI76+AH77-AQ76)))</f>
        <v>226.95726495726518</v>
      </c>
      <c r="AJ77" s="13">
        <f>AI77*VLOOKUP('Données projet'!$B$10,Paramètres!$A$1:$I$89,3,0)*VLOOKUP('Données projet'!$B$10,Paramètres!$A$1:$I$89,5,0)</f>
        <v>205.35093333333353</v>
      </c>
      <c r="AK77" s="13">
        <f t="shared" si="184"/>
        <v>50.91832775961656</v>
      </c>
      <c r="AL77" s="20">
        <f t="shared" si="123"/>
        <v>446.33562973688805</v>
      </c>
      <c r="AM77" s="59">
        <f t="shared" si="124"/>
        <v>739.66896307022137</v>
      </c>
      <c r="AN77" s="59">
        <f ca="1">AVERAGE(OFFSET($AM$3,0,0,'Données projet'!$E$10+1,1))-AVERAGE(OFFSET($H$3,0,0,'Données projet'!$E$10+1,1))</f>
        <v>270.87836509222456</v>
      </c>
      <c r="AO77" s="59">
        <f t="shared" si="185"/>
        <v>205.24998237949734</v>
      </c>
      <c r="AP77" s="15">
        <f>IF(ISNA(VLOOKUP(A77,'Données projet'!$A$71:$I$91,3,0)),0,VLOOKUP(A77,'Données projet'!$A$71:$I$91,3,0))</f>
        <v>0</v>
      </c>
      <c r="AQ77" s="15">
        <f>IF(ISNA(VLOOKUP(A77,'Données projet'!$A$71:$I$91,4,0)),0,VLOOKUP(A77,'Données projet'!$A$71:$I$91,4,0))</f>
        <v>0</v>
      </c>
      <c r="AR77" s="16">
        <f>IF(ISNA(VLOOKUP(A77,'Données projet'!$A$71:$I$91,5,0)),0%,VLOOKUP(A77,'Données projet'!$A$71:$I$91,5,0)*VLOOKUP('Données projet'!$B$10,Paramètres!$A$1:$I$89,7,0))</f>
        <v>0</v>
      </c>
      <c r="AS77" s="16">
        <f>IF(ISNA(VLOOKUP(A77,'Données projet'!$A$71:$I$91,6,0)),0%,VLOOKUP(A77,'Données projet'!$A$71:$I$91,6,0)*VLOOKUP('Données projet'!$B$10,Paramètres!$A$1:$I$89,7,0))</f>
        <v>0</v>
      </c>
      <c r="AT77" s="16">
        <f>IF(ISNA(VLOOKUP(A77,'Données projet'!$A$71:$I$91,7,0)),0%,VLOOKUP(A77,'Données projet'!$A$71:$I$91,7,0))</f>
        <v>0</v>
      </c>
      <c r="AU77" s="21">
        <f>EXP(-LN(2)/35)*AU76+(1-EXP(-LN(2)/35))/(LN(2)/35)*AQ77*AR77*VLOOKUP('Données projet'!$B$10,Paramètres!$A$1:$I$89,3,0)*0.475*44/12</f>
        <v>21.432835110143486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125"/>
        <v>21.432835110143486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projet'!$A$97:$I$117,2,0)</f>
        <v>#N/A</v>
      </c>
      <c r="BB77" s="12" t="e">
        <f>VLOOKUP(A77,'Données projet'!$A$97:$I$117,9,0)</f>
        <v>#N/A</v>
      </c>
      <c r="BC77" s="12">
        <f t="array" ref="BC77">INDEX(BB:BB,MIN(IF(ISNUMBER(BB77:BB273),ROW(BB77:BB273),"")))</f>
        <v>0</v>
      </c>
      <c r="BD77" s="12">
        <f>IF('Données projet'!$A$98&gt;35,BD76+BC77-BL76,IF(A77&lt;'Données projet'!$A$98,$BA$205^A77,IF(A77='Données projet'!$A$98,'Données projet'!$B$98,BD76+BC77-BL76)))</f>
        <v>-1.1368683772161603E-13</v>
      </c>
      <c r="BE77" s="13">
        <f>BD77*VLOOKUP('Données projet'!$B$11,Paramètres!$A$1:$I$89,3,0)*VLOOKUP('Données projet'!$B$11,Paramètres!$A$1:$I$89,5,0)</f>
        <v>-5.0249582272954292E-14</v>
      </c>
      <c r="BF77" s="13" t="e">
        <f t="shared" si="186"/>
        <v>#NUM!</v>
      </c>
      <c r="BG77" s="20" t="e">
        <f t="shared" si="126"/>
        <v>#NUM!</v>
      </c>
      <c r="BH77" s="59" t="e">
        <f t="shared" si="127"/>
        <v>#NUM!</v>
      </c>
      <c r="BI77" s="59">
        <f ca="1">AVERAGE(OFFSET($BH$3,0,0,'Données projet'!$E$11+1,1))-AVERAGE(OFFSET($H$3,0,0,'Données projet'!$E$11+1,1))</f>
        <v>211.31057120485542</v>
      </c>
      <c r="BJ77" s="59">
        <f t="shared" si="187"/>
        <v>283.33292006714777</v>
      </c>
      <c r="BK77" s="15">
        <f>IF(ISNA(VLOOKUP(A77,'Données projet'!$A$97:$I$117,3,0)),0,VLOOKUP(A77,'Données projet'!$A$97:$I$117,3,0))</f>
        <v>0</v>
      </c>
      <c r="BL77" s="15">
        <f>IF(ISNA(VLOOKUP(A77,'Données projet'!$A$97:$I$117,4,0)),0,VLOOKUP(A77,'Données projet'!$A$97:$I$117,4,0))</f>
        <v>0</v>
      </c>
      <c r="BM77" s="16">
        <f>IF(ISNA(VLOOKUP(A77,'Données projet'!$A$97:$I$117,5,0)),0%,VLOOKUP(A77,'Données projet'!$A$97:$I$117,5,0)*VLOOKUP('Données projet'!$B$11,Paramètres!$A$1:$I$89,7,0))</f>
        <v>0</v>
      </c>
      <c r="BN77" s="16">
        <f>IF(ISNA(VLOOKUP(A77,'Données projet'!$A$97:$I$117,6,0)),0%,VLOOKUP(A77,'Données projet'!$A$97:$I$117,6,0)*VLOOKUP('Données projet'!$B$11,Paramètres!$A$1:$I$89,7,0))</f>
        <v>0</v>
      </c>
      <c r="BO77" s="16">
        <f>IF(ISNA(VLOOKUP(A77,'Données projet'!$A$97:$I$117,7,0)),0%,VLOOKUP(A77,'Données projet'!$A$97:$I$117,7,0))</f>
        <v>0</v>
      </c>
      <c r="BP77" s="21">
        <f>EXP(-LN(2)/35)*BP76+(1-EXP(-LN(2)/35))/(LN(2)/35)*BL77*BM77*VLOOKUP('Données projet'!$B$11,Paramètres!$A$1:$I$89,3,0)*0.475*44/12</f>
        <v>123.01652968831294</v>
      </c>
      <c r="BQ77" s="21">
        <f>EXP(-LN(2)/25)*BQ76+(1-EXP(-LN(2)/25))/(LN(2)/25)*Calculateur!BL77*Calculateur!BN77*VLOOKUP('Données projet'!$B$11,Paramètres!$A$1:$I$89,3,0)*0.475*44/12</f>
        <v>26.897260750425954</v>
      </c>
      <c r="BR77" s="21">
        <f>EXP(-LN(2)/2)*BR76+(1-EXP(-LN(2)/2))/(LN(2)/2)*BL77*BO77*VLOOKUP('Données projet'!$B$11,Paramètres!$A$1:$I$89,3,0)*0.475*44/12</f>
        <v>3.7304390003925547E-2</v>
      </c>
      <c r="BS77" s="22">
        <f t="shared" si="128"/>
        <v>149.95109482874281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projet'!$A$123:$I$143,2,0)</f>
        <v>#N/A</v>
      </c>
      <c r="BW77" s="12" t="e">
        <f>VLOOKUP(A77,'Données projet'!$A$123:$I$143,9,0)</f>
        <v>#N/A</v>
      </c>
      <c r="BX77" s="12">
        <f t="array" ref="BX77">INDEX(BW:BW,MIN(IF(ISNUMBER(BW77:BW273),ROW(BW77:BW273),"")))</f>
        <v>4.4000000000000004</v>
      </c>
      <c r="BY77" s="12">
        <f>IF('Données projet'!$A$124&gt;35,BY76+BX77-CG76,IF(A77&lt;'Données projet'!$A$124,$BV$205^A77,IF(A77='Données projet'!$A$124,'Données projet'!$B$124,BY76+BX77-CG76)))</f>
        <v>236.60000000000002</v>
      </c>
      <c r="BZ77" s="13">
        <f>BY77*VLOOKUP('Données projet'!$B$12,Paramètres!$A$1:$I$89,3,0)*VLOOKUP('Données projet'!$B$12,Paramètres!$A$1:$I$89,5,0)</f>
        <v>247.29432000000003</v>
      </c>
      <c r="CA77" s="13">
        <f t="shared" si="188"/>
        <v>60.006193782698659</v>
      </c>
      <c r="CB77" s="20">
        <f t="shared" si="129"/>
        <v>535.21506150486687</v>
      </c>
      <c r="CC77" s="59">
        <f t="shared" si="130"/>
        <v>828.54839483820024</v>
      </c>
      <c r="CD77" s="59">
        <f ca="1">AVERAGE(OFFSET($CC$3,0,0,'Données projet'!$E$12+1,1))-AVERAGE(OFFSET($H$3,0,0,'Données projet'!$E$12+1,1))</f>
        <v>322.93502595881938</v>
      </c>
      <c r="CE77" s="59">
        <f t="shared" si="189"/>
        <v>302.67072119588164</v>
      </c>
      <c r="CF77" s="15">
        <f>IF(ISNA(VLOOKUP(A77,'Données projet'!$A$123:$I$143,3,0)),0,VLOOKUP(A77,'Données projet'!$A$123:$I$143,3,0))</f>
        <v>0</v>
      </c>
      <c r="CG77" s="15">
        <f>IF(ISNA(VLOOKUP(A77,'Données projet'!$A$123:$I$143,4,0)),0,VLOOKUP(A77,'Données projet'!$A$123:$I$143,4,0))</f>
        <v>0</v>
      </c>
      <c r="CH77" s="16">
        <f>IF(ISNA(VLOOKUP(A77,'Données projet'!$A$123:$I$143,5,0)),0%,VLOOKUP(A77,'Données projet'!$A$123:$I$143,5,0)*VLOOKUP('Données projet'!$B$12,Paramètres!$A$1:$I$89,7,0))</f>
        <v>0</v>
      </c>
      <c r="CI77" s="16">
        <f>IF(ISNA(VLOOKUP(A77,'Données projet'!$A$123:$I$143,6,0)),0%,VLOOKUP(A77,'Données projet'!$A$123:$I$143,6,0)*VLOOKUP('Données projet'!$B$12,Paramètres!$A$1:$I$89,7,0))</f>
        <v>0</v>
      </c>
      <c r="CJ77" s="16">
        <f>IF(ISNA(VLOOKUP(A77,'Données projet'!$A$123:$I$143,7,0)),0%,VLOOKUP(A77,'Données projet'!$A$123:$I$143,7,0))</f>
        <v>0</v>
      </c>
      <c r="CK77" s="21">
        <f>EXP(-LN(2)/35)*CK76+(1-EXP(-LN(2)/35))/(LN(2)/35)*CG77*CH77*VLOOKUP('Données projet'!$B$12,Paramètres!$A$1:$I$89,3,0)*0.475*44/12</f>
        <v>21.254179190017567</v>
      </c>
      <c r="CL77" s="21">
        <f>EXP(-LN(2)/25)*CL76+(1-EXP(-LN(2)/25))/(LN(2)/25)*Calculateur!CG77*Calculateur!CI77*VLOOKUP('Données projet'!$B$12,Paramètres!$A$1:$I$89,3,0)*0.475*44/12</f>
        <v>21.396111401847264</v>
      </c>
      <c r="CM77" s="21">
        <f>EXP(-LN(2)/2)*CM76+(1-EXP(-LN(2)/2))/(LN(2)/2)*CG77*CJ77*VLOOKUP('Données projet'!$B$12,Paramètres!$A$1:$I$89,3,0)*0.475*44/12</f>
        <v>0</v>
      </c>
      <c r="CN77" s="22">
        <f t="shared" si="131"/>
        <v>42.650290591864831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projet'!$A$149:$I$169,2,0)</f>
        <v>#N/A</v>
      </c>
      <c r="CR77" s="12" t="e">
        <f>VLOOKUP(A77,'Données projet'!$A$149:$I$169,9,0)</f>
        <v>#N/A</v>
      </c>
      <c r="CS77" s="12">
        <f t="array" ref="CS77">INDEX(CR:CR,MIN(IF(ISNUMBER(CR77:CR273),ROW(CR77:CR273),"")))</f>
        <v>5.6899038461538431</v>
      </c>
      <c r="CT77" s="12">
        <f>IF('Données projet'!$A$150&gt;35,CT76+CS77-DB76,IF(A77&lt;'Données projet'!$A$150,$CQ$205^A77,IF(A77='Données projet'!$A$150,'Données projet'!$B$150,CT76+CS77-DB76)))</f>
        <v>175.69471153846149</v>
      </c>
      <c r="CU77" s="17">
        <f>CT77*VLOOKUP('Données projet'!$B$13,Paramètres!$A$1:$I$89,3,0)*VLOOKUP('Données projet'!$B$13,Paramètres!$A$1:$I$89,5,0)</f>
        <v>178.15443749999994</v>
      </c>
      <c r="CV77" s="13">
        <f t="shared" si="190"/>
        <v>44.911336552510832</v>
      </c>
      <c r="CW77" s="20">
        <f t="shared" si="132"/>
        <v>388.50622314145625</v>
      </c>
      <c r="CX77" s="59">
        <f t="shared" si="133"/>
        <v>681.83955647478956</v>
      </c>
      <c r="CY77" s="59">
        <f ca="1">AVERAGE(OFFSET($CX$3,0,0,'Données projet'!$E$13+1,1))-AVERAGE(OFFSET($H$3,0,0,'Données projet'!$E$13+1,1))</f>
        <v>250.31277422753283</v>
      </c>
      <c r="CZ77" s="59">
        <f t="shared" si="191"/>
        <v>159.20429420478047</v>
      </c>
      <c r="DA77" s="15">
        <f>IF(ISNA(VLOOKUP(A77,'Données projet'!$A$149:$I$169,3,0)),0,VLOOKUP(A77,'Données projet'!$A$149:$I$169,3,0))</f>
        <v>0</v>
      </c>
      <c r="DB77" s="15">
        <f>IF(ISNA(VLOOKUP(A77,'Données projet'!$A$149:$I$169,4,0)),0,VLOOKUP(A77,'Données projet'!$A$149:$I$169,4,0))</f>
        <v>0</v>
      </c>
      <c r="DC77" s="16">
        <f>IF(ISNA(VLOOKUP(A77,'Données projet'!$A$149:$I$169,5,0)),0%,VLOOKUP(A77,'Données projet'!$A$149:$I$169,5,0)*VLOOKUP('Données projet'!$B$13,Paramètres!$A$1:$I$89,7,0))</f>
        <v>0</v>
      </c>
      <c r="DD77" s="16">
        <f>IF(ISNA(VLOOKUP(A77,'Données projet'!$A$149:$I$169,6,0)),0%,VLOOKUP(A77,'Données projet'!$A$149:$I$169,6,0)*VLOOKUP('Données projet'!$B$13,Paramètres!$A$1:$I$89,7,0))</f>
        <v>0</v>
      </c>
      <c r="DE77" s="16">
        <f>IF(ISNA(VLOOKUP(A77,'Données projet'!$A$149:$I$169,7,0)),0%,VLOOKUP(A77,'Données projet'!$A$149:$I$169,7,0))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134"/>
        <v>0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projet'!$A$175:$I$195,2,0)</f>
        <v>#N/A</v>
      </c>
      <c r="DM77" s="12" t="e">
        <f>VLOOKUP(A77,'Données projet'!$A$175:$I$195,9,0)</f>
        <v>#N/A</v>
      </c>
      <c r="DN77" s="12">
        <f t="array" ref="DN77">INDEX(DM:DM,MIN(IF(ISNUMBER(DM77:DM273),ROW(DM77:DM273),"")))</f>
        <v>4.8</v>
      </c>
      <c r="DO77" s="12">
        <f>IF('Données projet'!$A$176&gt;35,DO76+DN77-DW76,IF(A77&lt;'Données projet'!$A$176,$DL$205^A77,IF(A77='Données projet'!$A$176,'Données projet'!$B$176,DO76+DN77-DW76)))</f>
        <v>370.1999999999997</v>
      </c>
      <c r="DP77" s="17">
        <f>DO77*VLOOKUP('Données projet'!$B$14,Paramètres!$A$1:$I$89,3,0)*VLOOKUP('Données projet'!$B$14,Paramètres!$A$1:$I$89,5,0)</f>
        <v>271.43063999999981</v>
      </c>
      <c r="DQ77" s="13">
        <f t="shared" si="192"/>
        <v>65.152793756453633</v>
      </c>
      <c r="DR77" s="20">
        <f t="shared" si="135"/>
        <v>586.21614712582311</v>
      </c>
      <c r="DS77" s="59">
        <f t="shared" si="136"/>
        <v>879.54948045915648</v>
      </c>
      <c r="DT77" s="59">
        <f ca="1">AVERAGE(OFFSET($DS$3,0,0,'Données projet'!$E$14+1,1))-AVERAGE(OFFSET($H$3,0,0,'Données projet'!$E$14+1,1))</f>
        <v>296.91321813251051</v>
      </c>
      <c r="DU77" s="59">
        <f t="shared" si="193"/>
        <v>291.0718079639509</v>
      </c>
      <c r="DV77" s="15">
        <f>IF(ISNA(VLOOKUP(A77,'Données projet'!$A$175:$I$195,3,0)),0,VLOOKUP(A77,'Données projet'!$A$175:$I$195,3,0))</f>
        <v>0</v>
      </c>
      <c r="DW77" s="15">
        <f>IF(ISNA(VLOOKUP(A77,'Données projet'!$A$175:$I$195,4,0)),0,VLOOKUP(A77,'Données projet'!$A$175:$I$195,4,0))</f>
        <v>0</v>
      </c>
      <c r="DX77" s="16">
        <f>IF(ISNA(VLOOKUP(A77,'Données projet'!$A$175:$I$195,5,0)),0%,VLOOKUP(A77,'Données projet'!$A$175:$I$195,5,0)*VLOOKUP('Données projet'!$B$14,Paramètres!$A$1:$I$89,7,0))</f>
        <v>0</v>
      </c>
      <c r="DY77" s="16">
        <f>IF(ISNA(VLOOKUP(A77,'Données projet'!$A$175:$I$195,6,0)),0%,VLOOKUP(A77,'Données projet'!$A$175:$I$195,6,0)*VLOOKUP('Données projet'!$B$14,Paramètres!$A$1:$I$89,7,0))</f>
        <v>0</v>
      </c>
      <c r="DZ77" s="16">
        <f>IF(ISNA(VLOOKUP(A77,'Données projet'!$A$175:$I$195,7,0)),0%,VLOOKUP(A77,'Données projet'!$A$175:$I$195,7,0))</f>
        <v>0</v>
      </c>
      <c r="EA77" s="21">
        <f>EXP(-LN(2)/35)*EA76+(1-EXP(-LN(2)/35))/(LN(2)/35)*DW77*DX77*VLOOKUP('Données projet'!$B$14,Paramètres!$A$1:$I$89,3,0)*0.475*44/12</f>
        <v>41.171840221230738</v>
      </c>
      <c r="EB77" s="21">
        <f>EXP(-LN(2)/25)*EB76+(1-EXP(-LN(2)/25))/(LN(2)/25)*Calculateur!DW77*Calculateur!DY77*VLOOKUP('Données projet'!$B$14,Paramètres!$A$1:$I$89,3,0)*0.475*44/12</f>
        <v>5.9742888792304987</v>
      </c>
      <c r="EC77" s="21">
        <f>EXP(-LN(2)/2)*EC76+(1-EXP(-LN(2)/2))/(LN(2)/2)*DW77*DZ77*VLOOKUP('Données projet'!$B$14,Paramètres!$A$1:$I$89,3,0)*0.475*44/12</f>
        <v>0</v>
      </c>
      <c r="ED77" s="22">
        <f t="shared" si="137"/>
        <v>47.146129100461238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projet'!$A$201:$I$221,2,0)</f>
        <v>#N/A</v>
      </c>
      <c r="EH77" s="12" t="e">
        <f>VLOOKUP(A77,'Données projet'!$A$201:$I$221,9,0)</f>
        <v>#N/A</v>
      </c>
      <c r="EI77" s="12">
        <f t="array" ref="EI77">INDEX(EH:EH,MIN(IF(ISNUMBER(EH77:EH273),ROW(EH77:EH273),"")))</f>
        <v>9.8224358974358967</v>
      </c>
      <c r="EJ77" s="12">
        <f>IF('Données projet'!$A$202&gt;35,EJ76+EI77-ER76,IF(A77&lt;'Données projet'!$A$202,$EG$205^A77,IF(A77='Données projet'!$A$202,'Données projet'!$B$202,EJ76+EI77-ER76)))</f>
        <v>350.6544871794876</v>
      </c>
      <c r="EK77" s="17">
        <f>EJ77*VLOOKUP('Données projet'!$B$15,Paramètres!$A$1:$I$89,3,0)*VLOOKUP('Données projet'!$B$15,Paramètres!$A$1:$I$89,5,0)</f>
        <v>164.1063000000002</v>
      </c>
      <c r="EL77" s="13">
        <f t="shared" si="194"/>
        <v>41.767332454312395</v>
      </c>
      <c r="EM77" s="20">
        <f t="shared" si="138"/>
        <v>358.56324319126111</v>
      </c>
      <c r="EN77" s="59">
        <f t="shared" si="139"/>
        <v>651.89657652459437</v>
      </c>
      <c r="EO77" s="59">
        <f ca="1">AVERAGE(OFFSET($EN$3,0,0,'Données projet'!$E$15+1,1))-AVERAGE(OFFSET($H$3,0,0,'Données projet'!$E$15+1,1))</f>
        <v>147.64256291235483</v>
      </c>
      <c r="EP77" s="59">
        <f t="shared" si="195"/>
        <v>70.859031694091868</v>
      </c>
      <c r="EQ77" s="15">
        <f>IF(ISNA(VLOOKUP(A77,'Données projet'!$A$201:$I$221,3,0)),0,VLOOKUP(A77,'Données projet'!$A$201:$I$221,3,0))</f>
        <v>0</v>
      </c>
      <c r="ER77" s="15">
        <f>IF(ISNA(VLOOKUP(A77,'Données projet'!$A$201:$I$221,4,0)),0,VLOOKUP(A77,'Données projet'!$A$201:$I$221,4,0))</f>
        <v>0</v>
      </c>
      <c r="ES77" s="16">
        <f>IF(ISNA(VLOOKUP(A77,'Données projet'!$A$201:$I$221,5,0)),0%,VLOOKUP(A77,'Données projet'!$A$201:$I$221,5,0)*VLOOKUP('Données projet'!$B$15,Paramètres!$A$1:$I$89,7,0))</f>
        <v>0</v>
      </c>
      <c r="ET77" s="16">
        <f>IF(ISNA(VLOOKUP(A77,'Données projet'!$A$201:$I$221,6,0)),0%,VLOOKUP(A77,'Données projet'!$A$201:$I$221,6,0)*VLOOKUP('Données projet'!$B$15,Paramètres!$A$1:$I$89,7,0))</f>
        <v>0</v>
      </c>
      <c r="EU77" s="16">
        <f>IF(ISNA(VLOOKUP(A77,'Données projet'!$A$201:$I$221,7,0)),0%,VLOOKUP(A77,'Données projet'!$A$201:$I$221,7,0))</f>
        <v>0</v>
      </c>
      <c r="EV77" s="21">
        <f>EXP(-LN(2)/35)*EV76+(1-EXP(-LN(2)/35))/(LN(2)/35)*ER77*ES77*VLOOKUP('Données projet'!$B$15,Paramètres!$A$1:$I$89,3,0)*0.475*44/12</f>
        <v>20.777313527369092</v>
      </c>
      <c r="EW77" s="21">
        <f>EXP(-LN(2)/25)*EW76+(1-EXP(-LN(2)/25))/(LN(2)/25)*Calculateur!ER77*Calculateur!ET77*VLOOKUP('Données projet'!$B$15,Paramètres!$A$1:$I$89,3,0)*0.475*44/12</f>
        <v>14.64956852171685</v>
      </c>
      <c r="EX77" s="21">
        <f>EXP(-LN(2)/2)*EX76+(1-EXP(-LN(2)/2))/(LN(2)/2)*ER77*EU77*VLOOKUP('Données projet'!$B$15,Paramètres!$A$1:$I$89,3,0)*0.475*44/12</f>
        <v>0.1751276241025648</v>
      </c>
      <c r="EY77" s="22">
        <f t="shared" si="140"/>
        <v>35.602009673188505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projet'!$A$227:$I$247,2,0)</f>
        <v>#N/A</v>
      </c>
      <c r="FC77" s="12" t="e">
        <f>VLOOKUP(A77,'Données projet'!$A$227:$I$247,9,0)</f>
        <v>#N/A</v>
      </c>
      <c r="FD77" s="12">
        <f t="array" ref="FD77">INDEX(FC:FC,MIN(IF(ISNUMBER(FC77:FC273),ROW(FC77:FC273),"")))</f>
        <v>3.4</v>
      </c>
      <c r="FE77" s="12">
        <f>IF('Données projet'!$A$228&gt;35,FE76+FD77-FM76,IF(A77&lt;'Données projet'!$A$228,$FB$205^A77,IF(A77='Données projet'!$A$228,'Données projet'!$B$228,FE76+FD77-FM76)))</f>
        <v>200.59999999999997</v>
      </c>
      <c r="FF77" s="17">
        <f>FE77*VLOOKUP('Données projet'!$B$16,Paramètres!$A$1:$I$89,3,0)*VLOOKUP('Données projet'!$B$16,Paramètres!$A$1:$I$89,5,0)</f>
        <v>209.66711999999998</v>
      </c>
      <c r="FG77" s="13">
        <f t="shared" si="196"/>
        <v>51.862836328303665</v>
      </c>
      <c r="FH77" s="20">
        <f t="shared" si="141"/>
        <v>455.49800727179553</v>
      </c>
      <c r="FI77" s="59">
        <f t="shared" si="142"/>
        <v>748.83134060512884</v>
      </c>
      <c r="FJ77" s="59">
        <f ca="1">AVERAGE(OFFSET($FI$3,0,0,'Données projet'!$E$16+1,1))-AVERAGE(OFFSET($H$3,0,0,'Données projet'!$E$16+1,1))</f>
        <v>259.03906550253788</v>
      </c>
      <c r="FK77" s="59">
        <f t="shared" si="197"/>
        <v>235.54542903570831</v>
      </c>
      <c r="FL77" s="15">
        <f>IF(ISNA(VLOOKUP(A77,'Données projet'!$A$227:$I$247,3,0)),0,VLOOKUP(A77,'Données projet'!$A$227:$I$247,3,0))</f>
        <v>0</v>
      </c>
      <c r="FM77" s="15">
        <f>IF(ISNA(VLOOKUP(A77,'Données projet'!$A$227:$I$247,4,0)),0,VLOOKUP(A77,'Données projet'!$A$227:$I$247,4,0))</f>
        <v>0</v>
      </c>
      <c r="FN77" s="16">
        <f>IF(ISNA(VLOOKUP(A77,'Données projet'!$A$227:$I$247,5,0)),0%,VLOOKUP(A77,'Données projet'!$A$227:$I$247,5,0)*VLOOKUP('Données projet'!$B$16,Paramètres!$A$1:$I$89,7,0))</f>
        <v>0</v>
      </c>
      <c r="FO77" s="16">
        <f>IF(ISNA(VLOOKUP(A77,'Données projet'!$A$227:$I$247,6,0)),0%,VLOOKUP(A77,'Données projet'!$A$227:$I$247,6,0)*VLOOKUP('Données projet'!$B$16,Paramètres!$A$1:$I$89,7,0))</f>
        <v>0</v>
      </c>
      <c r="FP77" s="16">
        <f>IF(ISNA(VLOOKUP(A77,'Données projet'!$A$227:$I$247,7,0)),0%,VLOOKUP(A77,'Données projet'!$A$227:$I$247,7,0))</f>
        <v>0</v>
      </c>
      <c r="FQ77" s="21">
        <f>EXP(-LN(2)/35)*FQ76+(1-EXP(-LN(2)/35))/(LN(2)/35)*FM77*FN77*VLOOKUP('Données projet'!$B$16,Paramètres!$A$1:$I$89,3,0)*0.475*44/12</f>
        <v>9.7935969445488169</v>
      </c>
      <c r="FR77" s="21">
        <f>EXP(-LN(2)/25)*FR76+(1-EXP(-LN(2)/25))/(LN(2)/25)*Calculateur!FM77*Calculateur!FO77*VLOOKUP('Données projet'!$B$16,Paramètres!$A$1:$I$89,3,0)*0.475*44/12</f>
        <v>15.25094561929844</v>
      </c>
      <c r="FS77" s="21">
        <f>EXP(-LN(2)/2)*FS76+(1-EXP(-LN(2)/2))/(LN(2)/2)*FM77*FP77*VLOOKUP('Données projet'!$B$16,Paramètres!$A$1:$I$89,3,0)*0.475*44/12</f>
        <v>0</v>
      </c>
      <c r="FT77" s="22">
        <f t="shared" si="143"/>
        <v>25.044542563847259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projet'!$A$253:$I$273,2,0)</f>
        <v>#N/A</v>
      </c>
      <c r="FX77" s="12" t="e">
        <f>VLOOKUP(A77,'Données projet'!$A$253:$I$273,9,0)</f>
        <v>#N/A</v>
      </c>
      <c r="FY77" s="12">
        <f t="array" ref="FY77">INDEX(FX:FX,MIN(IF(ISNUMBER(FX77:FX273),ROW(FX77:FX273),"")))</f>
        <v>3.4</v>
      </c>
      <c r="FZ77" s="12">
        <f>IF('Données projet'!$A$254&gt;35,FZ76+FY77-GH76,IF(A77&lt;'Données projet'!$A$254,$FW$205^A77,IF(A77='Données projet'!$A$254,'Données projet'!$B$254,FZ76+FY77-GH76)))</f>
        <v>266.5999999999998</v>
      </c>
      <c r="GA77" s="17">
        <f>FZ77*VLOOKUP('Données projet'!$B$17,Paramètres!$A$1:$I$89,3,0)*VLOOKUP('Données projet'!$B$17,Paramètres!$A$1:$I$89,5,0)</f>
        <v>232.90175999999985</v>
      </c>
      <c r="GB77" s="13">
        <f t="shared" si="198"/>
        <v>56.909651332233778</v>
      </c>
      <c r="GC77" s="20">
        <f t="shared" si="144"/>
        <v>504.75487473697353</v>
      </c>
      <c r="GD77" s="59">
        <f t="shared" si="145"/>
        <v>798.08820807030679</v>
      </c>
      <c r="GE77" s="59">
        <f ca="1">AVERAGE(OFFSET($GD$3,0,0,'Données projet'!$E$17+1,1))-AVERAGE(OFFSET($H$3,0,0,'Données projet'!$E$17+1,1))</f>
        <v>245.1983232777614</v>
      </c>
      <c r="GF77" s="59">
        <f t="shared" si="199"/>
        <v>242.34010522344573</v>
      </c>
      <c r="GG77" s="15">
        <f>IF(ISNA(VLOOKUP(A77,'Données projet'!$A$253:$I$273,3,0)),0,VLOOKUP(A77,'Données projet'!$A$253:$I$273,3,0))</f>
        <v>0</v>
      </c>
      <c r="GH77" s="15">
        <f>IF(ISNA(VLOOKUP(A77,'Données projet'!$A$253:$I$273,4,0)),0,VLOOKUP(A77,'Données projet'!$A$253:$I$273,4,0))</f>
        <v>0</v>
      </c>
      <c r="GI77" s="16">
        <f>IF(ISNA(VLOOKUP(A77,'Données projet'!$A$253:$I$273,5,0)),0%,VLOOKUP(A77,'Données projet'!$A$253:$I$273,5,0)*VLOOKUP('Données projet'!$B$17,Paramètres!$A$1:$I$89,7,0))</f>
        <v>0</v>
      </c>
      <c r="GJ77" s="16">
        <f>IF(ISNA(VLOOKUP(A77,'Données projet'!$A$253:$I$273,6,0)),0%,VLOOKUP(A77,'Données projet'!$A$253:$I$273,6,0)*VLOOKUP('Données projet'!$B$17,Paramètres!$A$1:$I$89,7,0))</f>
        <v>0</v>
      </c>
      <c r="GK77" s="16">
        <f>IF(ISNA(VLOOKUP(A77,'Données projet'!$A$253:$I$273,7,0)),0%,VLOOKUP(A77,'Données projet'!$A$253:$I$273,7,0))</f>
        <v>0</v>
      </c>
      <c r="GL77" s="21">
        <f>EXP(-LN(2)/35)*GL76+(1-EXP(-LN(2)/35))/(LN(2)/35)*GH77*GI77*VLOOKUP('Données projet'!$B$17,Paramètres!$A$1:$I$89,3,0)*0.475*44/12</f>
        <v>22.200144475224857</v>
      </c>
      <c r="GM77" s="21">
        <f>EXP(-LN(2)/25)*GM76+(1-EXP(-LN(2)/25))/(LN(2)/25)*Calculateur!GH77*Calculateur!GJ77*VLOOKUP('Données projet'!$B$17,Paramètres!$A$1:$I$89,3,0)*0.475*44/12</f>
        <v>7.833823486179452</v>
      </c>
      <c r="GN77" s="21">
        <f>EXP(-LN(2)/2)*GN76+(1-EXP(-LN(2)/2))/(LN(2)/2)*GH77*GK77*VLOOKUP('Données projet'!$B$17,Paramètres!$A$1:$I$89,3,0)*0.475*44/12</f>
        <v>0</v>
      </c>
      <c r="GO77" s="21">
        <f t="shared" si="146"/>
        <v>30.033967961404308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projet'!$A$279:$I$299,2,0)</f>
        <v>#N/A</v>
      </c>
      <c r="GS77" s="12" t="e">
        <f>VLOOKUP(A77,'Données projet'!$A$279:$I$299,9,0)</f>
        <v>#N/A</v>
      </c>
      <c r="GT77" s="12">
        <f t="array" ref="GT77">INDEX(GS:GS,MIN(IF(ISNUMBER(GS77:GS273),ROW(GS77:GS273),"")))</f>
        <v>9.8000000000000007</v>
      </c>
      <c r="GU77" s="12">
        <f>IF('Données projet'!$A$280&gt;35,GU76+GT77-HC76,IF(A77&lt;'Données projet'!$A$280,$GR$205^A77,IF(A77='Données projet'!$A$280,'Données projet'!$B$280,GU76+GT77-HC76)))</f>
        <v>799.20000000000016</v>
      </c>
      <c r="GV77" s="17">
        <f>GU77*VLOOKUP('Données projet'!$B$18,Paramètres!$A$1:$I$89,3,0)*VLOOKUP('Données projet'!$B$18,Paramètres!$A$1:$I$89,5,0)</f>
        <v>322.07760000000007</v>
      </c>
      <c r="GW77" s="13">
        <f t="shared" si="200"/>
        <v>75.785475796129461</v>
      </c>
      <c r="GX77" s="20">
        <f t="shared" si="147"/>
        <v>692.94485701159226</v>
      </c>
      <c r="GY77" s="59">
        <f t="shared" si="148"/>
        <v>986.27819034492563</v>
      </c>
      <c r="GZ77" s="59">
        <f ca="1">AVERAGE(OFFSET($GY$3,0,0,'Données projet'!$E$18+1,1))-AVERAGE(OFFSET($H$3,0,0,'Données projet'!$E$18+1,1))</f>
        <v>324.36162935850876</v>
      </c>
      <c r="HA77" s="59">
        <f t="shared" si="201"/>
        <v>265.23571072429735</v>
      </c>
      <c r="HB77" s="15">
        <f>IF(ISNA(VLOOKUP(A77,'Données projet'!$A$279:$I$299,3,0)),0,VLOOKUP(A77,'Données projet'!$A$279:$I$299,3,0))</f>
        <v>0</v>
      </c>
      <c r="HC77" s="15">
        <f>IF(ISNA(VLOOKUP(A77,'Données projet'!$A$279:$I$299,4,0)),0,VLOOKUP(A77,'Données projet'!$A$279:$I$299,4,0))</f>
        <v>0</v>
      </c>
      <c r="HD77" s="16">
        <f>IF(ISNA(VLOOKUP(A77,'Données projet'!$A$279:$I$299,5,0)),0%,VLOOKUP(A77,'Données projet'!$A$279:$I$299,5,0)*VLOOKUP('Données projet'!$B$18,Paramètres!$A$1:$I$89,7,0))</f>
        <v>0</v>
      </c>
      <c r="HE77" s="16">
        <f>IF(ISNA(VLOOKUP(A77,'Données projet'!$A$279:$I$299,6,0)),0%,VLOOKUP(A77,'Données projet'!$A$279:$I$299,6,0)*VLOOKUP('Données projet'!$B$18,Paramètres!$A$1:$I$89,7,0))</f>
        <v>0</v>
      </c>
      <c r="HF77" s="16">
        <f>IF(ISNA(VLOOKUP($A77,'Données projet'!$A$279:$I$299,7,0)),0%,VLOOKUP($A77,'Données projet'!$A$279:$I$299,7,0))</f>
        <v>0</v>
      </c>
      <c r="HG77" s="21">
        <f>EXP(-LN(2)/35)*HG76+(1-EXP(-LN(2)/35))/(LN(2)/35)*HC77*HD77*VLOOKUP('Données projet'!$B$18,Paramètres!$A$1:$I$89,3,0)*0.475*44/12</f>
        <v>15.351334528260342</v>
      </c>
      <c r="HH77" s="21">
        <f>EXP(-LN(2)/25)*HH76+(1-EXP(-LN(2)/25))/(LN(2)/25)*Calculateur!HC77*Calculateur!HE77*VLOOKUP('Données projet'!$B$18,Paramètres!$A$1:$I$89,3,0)*0.475*44/12</f>
        <v>8.8177818997885407</v>
      </c>
      <c r="HI77" s="21">
        <f>EXP(-LN(2)/2)*HI76+(1-EXP(-LN(2)/2))/(LN(2)/2)*HC77*HF77*VLOOKUP('Données projet'!$B$18,Paramètres!$A$1:$I$89,3,0)*0.475*44/12</f>
        <v>5.9943632336647602E-2</v>
      </c>
      <c r="HJ77" s="22">
        <f t="shared" si="149"/>
        <v>24.229060060385528</v>
      </c>
      <c r="HK77" s="74">
        <f>('Scénario référence'!$F$8+'Scénario référence'!$F$9+'Scénario référence'!$B$17+'Scénario référence'!$B$9+'Scénario référence'!$B$10)*70+IF((45+25*(1-EXP(-0.0175*$A77)))&lt;70,'Scénario référence'!$B$16*(45+25*(1-EXP(-0.0175*$A77))),70*'Scénario référence'!$B$16)+IF((32+38*(1-EXP(-0.0175*$A77)))&lt;70,'Scénario référence'!$B$18*(32+38*(1-EXP(-0.0175*$A77))),70*'Scénario référence'!$B$18)</f>
        <v>70</v>
      </c>
      <c r="HL77" s="12">
        <f>IF($A77&gt;30,10,('Scénario référence'!$B$16+'Scénario référence'!$B$17+'Scénario référence'!$B$18+'Scénario référence'!$B$9+'Scénario référence'!$B$10)*$A77*10/30+('Scénario référence'!$F$8+'Scénario référence'!$F$9)*10)</f>
        <v>10</v>
      </c>
      <c r="HM77" s="12" t="e">
        <f>VLOOKUP($A77,'Données projet'!$A$304:$I$324,2,0)</f>
        <v>#N/A</v>
      </c>
      <c r="HN77" s="12" t="e">
        <f>VLOOKUP($A77,'Données projet'!$A$304:$I$324,9,0)</f>
        <v>#N/A</v>
      </c>
      <c r="HO77" s="12">
        <f t="array" ref="HO77">INDEX(HN:HN,MIN(IF(ISNUMBER(HN77:HN273),ROW(HN77:HN273),"")))</f>
        <v>0</v>
      </c>
      <c r="HP77" s="12">
        <f>IF('Données projet'!$A$304&gt;35,HP76+HO77-HX76,IF($A77&lt;'Données projet'!$A$304,$CQ$205^$A77,IF($A77='Données projet'!$A$304,'Données projet'!$B$304,HP76+HO77-HX76)))</f>
        <v>0</v>
      </c>
      <c r="HQ77" s="17">
        <f>HP77*VLOOKUP('Données projet'!$B$19,Paramètres!$A$1:$I$89,3,0)*VLOOKUP('Données projet'!$B$19,Paramètres!$A$1:$I$89,5,0)</f>
        <v>0</v>
      </c>
      <c r="HR77" s="13" t="e">
        <f t="shared" si="202"/>
        <v>#NUM!</v>
      </c>
      <c r="HS77" s="14" t="e">
        <f t="shared" si="150"/>
        <v>#NUM!</v>
      </c>
      <c r="HT77" s="59" t="e">
        <f t="shared" si="151"/>
        <v>#NUM!</v>
      </c>
      <c r="HU77" s="59">
        <f ca="1">AVERAGE(OFFSET(HT$3,0,0,'Données projet'!$E$19+1,1))-AVERAGE(OFFSET($H$3,0,0,'Données projet'!$E$19+1,1))</f>
        <v>91.60721429656013</v>
      </c>
      <c r="HV77" s="59">
        <f t="shared" si="203"/>
        <v>258.94957804210856</v>
      </c>
      <c r="HW77" s="15">
        <f>IF(ISNA(VLOOKUP($A77,'Données projet'!$A$304:$I$324,3,0)),0,VLOOKUP($A77,'Données projet'!$A$304:$I$324,3,0))</f>
        <v>0</v>
      </c>
      <c r="HX77" s="15">
        <f>IF(ISNA(VLOOKUP($A77,'Données projet'!$A$304:$I$324,4,0)),0,VLOOKUP($A77,'Données projet'!$A$304:$I$324,4,0))</f>
        <v>0</v>
      </c>
      <c r="HY77" s="16">
        <f>IF(ISNA(VLOOKUP($A77,'Données projet'!$A$304:$I$324,5,0)),0%,VLOOKUP($A77,'Données projet'!$A$304:$I$324,5,0)*VLOOKUP('Données projet'!$B$19,Paramètres!$A$1:$I$89,7,0))</f>
        <v>0</v>
      </c>
      <c r="HZ77" s="16">
        <f>IF(ISNA(VLOOKUP($A77,'Données projet'!$A$304:$I$324,6,0)),0%,VLOOKUP($A77,'Données projet'!$A$304:$I$324,6,0)*VLOOKUP('Données projet'!$B$19,Paramètres!$A$1:$I$89,7,0))</f>
        <v>0</v>
      </c>
      <c r="IA77" s="16">
        <f>IF(ISNA(VLOOKUP($A77,'Données projet'!$A$304:$I$324,7,0)),0%,VLOOKUP($A77,'Données projet'!$A$304:$I$324,7,0))</f>
        <v>0</v>
      </c>
      <c r="IB77" s="21">
        <f>EXP(-LN(2)/35)*IB76+(1-EXP(-LN(2)/35))/(LN(2)/35)*HX77*HY77*VLOOKUP('Données projet'!$B$19,Paramètres!$A$1:$I$89,3,0)*0.475*44/12</f>
        <v>20.63940712692203</v>
      </c>
      <c r="IC77" s="21">
        <f>EXP(-LN(2)/25)*IC76+(1-EXP(-LN(2)/25))/(LN(2)/25)*Calculateur!HX77*Calculateur!HZ77*VLOOKUP('Données projet'!$B$19,Paramètres!$A$1:$I$89,3,0)*0.475*44/12</f>
        <v>2.8720934542283736</v>
      </c>
      <c r="ID77" s="21">
        <f>EXP(-LN(2)/2)*ID76+(1-EXP(-LN(2)/2))/(LN(2)/2)*HX77*IA77*VLOOKUP('Données projet'!$B$19,Paramètres!$A$1:$I$89,3,0)*0.475*44/12</f>
        <v>1.3657863420104445E-7</v>
      </c>
      <c r="IE77" s="22">
        <f t="shared" si="152"/>
        <v>23.511500717729039</v>
      </c>
      <c r="IF77" s="74">
        <f>('Scénario référence'!$F$8+'Scénario référence'!$F$9+'Scénario référence'!$B$17+'Scénario référence'!$B$9+'Scénario référence'!$B$10)*70+IF((45+25*(1-EXP(-0.0175*$A77)))&lt;70,'Scénario référence'!$B$16*(45+25*(1-EXP(-0.0175*$A77))),70*'Scénario référence'!$B$16)+IF((32+38*(1-EXP(-0.0175*$A77)))&lt;70,'Scénario référence'!$B$18*(32+38*(1-EXP(-0.0175*$A77))),70*'Scénario référence'!$B$18)</f>
        <v>70</v>
      </c>
      <c r="IG77" s="12">
        <f>IF($A77&gt;30,10,('Scénario référence'!$B$16+'Scénario référence'!$B$17+'Scénario référence'!$B$18+'Scénario référence'!$B$9+'Scénario référence'!$B$10)*$A77*10/30+('Scénario référence'!$F$8+'Scénario référence'!$F$9)*10)</f>
        <v>10</v>
      </c>
      <c r="IH77" s="12" t="e">
        <f>VLOOKUP($A77,'Données projet'!$A$330:$I$350,2,0)</f>
        <v>#N/A</v>
      </c>
      <c r="II77" s="12" t="e">
        <f>VLOOKUP($A77,'Données projet'!$A$330:$I$350,9,0)</f>
        <v>#N/A</v>
      </c>
      <c r="IJ77" s="12">
        <f t="array" ref="IJ77">INDEX(II:II,MIN(IF(ISNUMBER(II77:II273),ROW(II77:II273),"")))</f>
        <v>0</v>
      </c>
      <c r="IK77" s="12">
        <f>IF('Données projet'!$A$330&gt;35,IK76+IJ77-IS76,IF($A77&lt;'Données projet'!$A$330,$CQ$205^$A77,IF($A77='Données projet'!$A$330,'Données projet'!$B$330,IK76+IJ77-IS76)))</f>
        <v>0</v>
      </c>
      <c r="IL77" s="17">
        <f>IK77*VLOOKUP('Données projet'!$B$20,Paramètres!$A$1:$I$89,3,0)*VLOOKUP('Données projet'!$B$20,Paramètres!$A$1:$I$89,5,0)</f>
        <v>0</v>
      </c>
      <c r="IM77" s="13" t="e">
        <f t="shared" si="204"/>
        <v>#NUM!</v>
      </c>
      <c r="IN77" s="20" t="e">
        <f t="shared" si="153"/>
        <v>#NUM!</v>
      </c>
      <c r="IO77" s="59" t="e">
        <f t="shared" si="154"/>
        <v>#NUM!</v>
      </c>
      <c r="IP77" s="59">
        <f ca="1">AVERAGE(OFFSET(IO$3,0,0,'Données projet'!$E$20+1,1))-AVERAGE(OFFSET($H$3,0,0,'Données projet'!$E$20+1,1))</f>
        <v>91.60721429656013</v>
      </c>
      <c r="IQ77" s="59">
        <f t="shared" si="205"/>
        <v>258.94957804210856</v>
      </c>
      <c r="IR77" s="15">
        <f>IF(ISNA(VLOOKUP($A77,'Données projet'!$A$330:$I$350,3,0)),0,VLOOKUP($A77,'Données projet'!$A$330:$I$350,3,0))</f>
        <v>0</v>
      </c>
      <c r="IS77" s="15">
        <f>IF(ISNA(VLOOKUP($A77,'Données projet'!$A$330:$I$350,4,0)),0,VLOOKUP($A77,'Données projet'!$A$330:$I$350,4,0))</f>
        <v>0</v>
      </c>
      <c r="IT77" s="16">
        <f>IF(ISNA(VLOOKUP($A77,'Données projet'!$A$330:$I$350,5,0)),0%,VLOOKUP($A77,'Données projet'!$A$330:$I$350,5,0)*VLOOKUP('Données projet'!$B$20,Paramètres!$A$1:$I$89,7,0))</f>
        <v>0</v>
      </c>
      <c r="IU77" s="16">
        <f>IF(ISNA(VLOOKUP($A77,'Données projet'!$A$330:$I$350,6,0)),0%,VLOOKUP($A77,'Données projet'!$A$330:$I$350,6,0)*VLOOKUP('Données projet'!$B$20,Paramètres!$A$1:$I$89,7,0))</f>
        <v>0</v>
      </c>
      <c r="IV77" s="16">
        <f>IF(ISNA(VLOOKUP($A77,'Données projet'!$A$330:$I$350,7,0)),0%,VLOOKUP($A77,'Données projet'!$A$330:$I$350,7,0))</f>
        <v>0</v>
      </c>
      <c r="IW77" s="21">
        <f>EXP(-LN(2)/35)*IW76+(1-EXP(-LN(2)/35))/(LN(2)/35)*IS77*IT77*VLOOKUP('Données projet'!$B$20,Paramètres!$A$1:$I$89,3,0)*0.475*44/12</f>
        <v>20.63940712692203</v>
      </c>
      <c r="IX77" s="21">
        <f>EXP(-LN(2)/25)*IX76+(1-EXP(-LN(2)/25))/(LN(2)/25)*Calculateur!IS77*Calculateur!IU77*VLOOKUP('Données projet'!$B$20,Paramètres!$A$1:$I$89,3,0)*0.475*44/12</f>
        <v>2.8720934542283736</v>
      </c>
      <c r="IY77" s="21">
        <f>EXP(-LN(2)/2)*IY76+(1-EXP(-LN(2)/2))/(LN(2)/2)*IS77*IV77*VLOOKUP('Données projet'!$B$20,Paramètres!$A$1:$I$89,3,0)*0.475*44/12</f>
        <v>1.3657863420104445E-7</v>
      </c>
      <c r="IZ77" s="22">
        <f t="shared" si="155"/>
        <v>23.511500717729039</v>
      </c>
      <c r="JA77" s="74">
        <f>('Scénario référence'!$F$8+'Scénario référence'!$F$9+'Scénario référence'!$B$17+'Scénario référence'!$B$9+'Scénario référence'!$B$10)*70+IF((45+25*(1-EXP(-0.0175*$A77)))&lt;70,'Scénario référence'!$B$16*(45+25*(1-EXP(-0.0175*$A77))),70*'Scénario référence'!$B$16)+IF((32+38*(1-EXP(-0.0175*$A77)))&lt;70,'Scénario référence'!$B$18*(32+38*(1-EXP(-0.0175*$A77))),70*'Scénario référence'!$B$18)</f>
        <v>70</v>
      </c>
      <c r="JB77" s="12">
        <f>IF($A77&gt;30,10,('Scénario référence'!$B$16+'Scénario référence'!$B$17+'Scénario référence'!$B$18+'Scénario référence'!$B$9+'Scénario référence'!$B$10)*$A77*10/30+('Scénario référence'!$F$8+'Scénario référence'!$F$9)*10)</f>
        <v>10</v>
      </c>
      <c r="JC77" s="12" t="e">
        <f>VLOOKUP($A77,'Données projet'!$A$356:$I$376,2,0)</f>
        <v>#N/A</v>
      </c>
      <c r="JD77" s="12" t="e">
        <f>VLOOKUP($A77,'Données projet'!$A$356:$I$376,9,0)</f>
        <v>#N/A</v>
      </c>
      <c r="JE77" s="12">
        <f t="array" ref="JE77">INDEX(JD:JD,MIN(IF(ISNUMBER(JD77:JD273),ROW(JD77:JD273),"")))</f>
        <v>9.4</v>
      </c>
      <c r="JF77" s="12">
        <f>IF('Données projet'!$A$356&gt;35,JF76+JE77-JN76,IF($A77&lt;'Données projet'!$A$356,$CQ$205^$A77,IF($A77='Données projet'!$A$356,'Données projet'!$B$356,JF76+JE77-JN76)))</f>
        <v>325.59999999999991</v>
      </c>
      <c r="JG77" s="17">
        <f>JF77*VLOOKUP('Données projet'!$B$21,Paramètres!$A$1:$I$89,3,0)*VLOOKUP('Données projet'!$B$21,Paramètres!$A$1:$I$89,5,0)</f>
        <v>264.12671999999992</v>
      </c>
      <c r="JH77" s="13">
        <f t="shared" si="206"/>
        <v>63.601220078222639</v>
      </c>
      <c r="JI77" s="20">
        <f t="shared" si="156"/>
        <v>570.79282896957091</v>
      </c>
      <c r="JJ77" s="59">
        <f t="shared" si="157"/>
        <v>864.12616230290428</v>
      </c>
      <c r="JK77" s="59">
        <f ca="1">AVERAGE(OFFSET($JJ$3,0,0,'Données projet'!$E$22+1,1))-AVERAGE(OFFSET($H$3,0,0,'Données projet'!$E$22+1,1))</f>
        <v>353.35574633294613</v>
      </c>
      <c r="JL77" s="59">
        <f t="shared" si="207"/>
        <v>170.36796666474726</v>
      </c>
      <c r="JM77" s="15">
        <f>IF(ISNA(VLOOKUP($A77,'Données projet'!$A$356:$I$376,3,0)),0,VLOOKUP($A77,'Données projet'!$A$356:$I$376,3,0))</f>
        <v>0</v>
      </c>
      <c r="JN77" s="15">
        <f>IF(ISNA(VLOOKUP($A77,'Données projet'!$A$356:$I$376,4,0)),0,VLOOKUP($A77,'Données projet'!$A$356:$I$376,4,0))</f>
        <v>0</v>
      </c>
      <c r="JO77" s="16">
        <f>IF(ISNA(VLOOKUP($A77,'Données projet'!$A$356:$I$376,5,0)),0%,VLOOKUP($A77,'Données projet'!$A$356:$I$376,5,0)*VLOOKUP('Données projet'!$B$21,Paramètres!$A$1:$I$89,7,0))</f>
        <v>0</v>
      </c>
      <c r="JP77" s="16">
        <f>IF(ISNA(VLOOKUP($A77,'Données projet'!$A$356:$I$376,6,0)),0%,VLOOKUP($A77,'Données projet'!$A$356:$I$376,6,0)*VLOOKUP('Données projet'!$B$21,Paramètres!$A$1:$I$89,7,0))</f>
        <v>0</v>
      </c>
      <c r="JQ77" s="16">
        <f>IF(ISNA(VLOOKUP($A77,'Données projet'!$A$356:$I$376,7,0)),0%,VLOOKUP($A77,'Données projet'!$A$356:$I$376,7,0))</f>
        <v>0</v>
      </c>
      <c r="JR77" s="21">
        <f>EXP(-LN(2)/35)*JR76+(1-EXP(-LN(2)/35))/(LN(2)/35)*JN77*JO77*VLOOKUP('Données projet'!$B$21,Paramètres!$A$1:$I$89,3,0)*0.475*44/12</f>
        <v>0</v>
      </c>
      <c r="JS77" s="21">
        <f>EXP(-LN(2)/25)*JS76+(1-EXP(-LN(2)/25))/(LN(2)/25)*Calculateur!JN77*Calculateur!JP77*VLOOKUP('Données projet'!$B$21,Paramètres!$A$1:$I$89,3,0)*0.475*44/12</f>
        <v>11.312892758629145</v>
      </c>
      <c r="JT77" s="21">
        <f>EXP(-LN(2)/2)*JT76+(1-EXP(-LN(2)/2))/(LN(2)/2)*JN77*JQ77*VLOOKUP('Données projet'!$B$21,Paramètres!$A$1:$I$89,3,0)*0.475*44/12</f>
        <v>1.9524674403798203</v>
      </c>
      <c r="JU77" s="18">
        <f t="shared" si="158"/>
        <v>13.265360199008965</v>
      </c>
      <c r="JV77" s="74">
        <f>('Scénario référence'!$F$8+'Scénario référence'!$F$9+'Scénario référence'!$B$17+'Scénario référence'!$B$9+'Scénario référence'!$B$10)*70+IF((45+25*(1-EXP(-0.0175*$A77)))&lt;70,'Scénario référence'!$B$16*(45+25*(1-EXP(-0.0175*$A77))),70*'Scénario référence'!$B$16)+IF((32+38*(1-EXP(-0.0175*$A77)))&lt;70,'Scénario référence'!$B$18*(32+38*(1-EXP(-0.0175*$A77))),70*'Scénario référence'!$B$18)</f>
        <v>70</v>
      </c>
      <c r="JW77" s="12">
        <f>IF($A77&gt;30,10,('Scénario référence'!$B$16+'Scénario référence'!$B$17+'Scénario référence'!$B$18+'Scénario référence'!$B$9+'Scénario référence'!$B$10)*$A77*10/30+('Scénario référence'!$F$8+'Scénario référence'!$F$9)*10)</f>
        <v>10</v>
      </c>
      <c r="JX77" s="12" t="e">
        <f>VLOOKUP($A77,'Données projet'!$A$382:$I$402,2,0)</f>
        <v>#N/A</v>
      </c>
      <c r="JY77" s="12" t="e">
        <f>VLOOKUP($A77,'Données projet'!$A$382:$I$402,9,0)</f>
        <v>#N/A</v>
      </c>
      <c r="JZ77" s="12">
        <f t="array" ref="JZ77">INDEX(JY:JY,MIN(IF(ISNUMBER(JY77:JY273),ROW(JY77:JY273),"")))</f>
        <v>7.8425925925925934</v>
      </c>
      <c r="KA77" s="12">
        <f>IF('Données projet'!$A$382&gt;35,KA76+JZ77-KI76,IF($A77&lt;'Données projet'!$A$382,$CQ$205^$A77,IF($A77='Données projet'!$A$382,'Données projet'!$B$382,KA76+JZ77-KI76)))</f>
        <v>226.95726495726512</v>
      </c>
      <c r="KB77" s="17">
        <f>KA77*VLOOKUP('Données projet'!$B$22,Paramètres!$A$1:$I$89,3,0)*VLOOKUP('Données projet'!$B$22,Paramètres!$A$1:$I$89,5,0)</f>
        <v>152.24293333333344</v>
      </c>
      <c r="KC77" s="13">
        <f t="shared" si="208"/>
        <v>39.087859134953547</v>
      </c>
      <c r="KD77" s="20">
        <f t="shared" si="159"/>
        <v>333.23446354893315</v>
      </c>
      <c r="KE77" s="59">
        <f t="shared" si="160"/>
        <v>626.56779688226652</v>
      </c>
      <c r="KF77" s="59">
        <f ca="1">AVERAGE(OFFSET($KE$3,0,0,'Données projet'!$E$22+1,1))-AVERAGE(OFFSET($H$3,0,0,'Données projet'!$E$22+1,1))</f>
        <v>193.91714772848269</v>
      </c>
      <c r="KG77" s="59">
        <f t="shared" si="209"/>
        <v>159.20429420478047</v>
      </c>
      <c r="KH77" s="15">
        <f>IF(ISNA(VLOOKUP($A77,'Données projet'!$A$382:$I$402,3,0)),0,VLOOKUP($A77,'Données projet'!$A$382:$I$402,3,0))</f>
        <v>0</v>
      </c>
      <c r="KI77" s="15">
        <f>IF(ISNA(VLOOKUP($A77,'Données projet'!$A$382:$I$402,4,0)),0,VLOOKUP($A77,'Données projet'!$A$382:$I$402,4,0))</f>
        <v>0</v>
      </c>
      <c r="KJ77" s="16">
        <f>IF(ISNA(VLOOKUP($A77,'Données projet'!$A$382:$I$402,5,0)),0%,VLOOKUP($A77,'Données projet'!$A$382:$I$402,5,0)*VLOOKUP('Données projet'!$B$22,Paramètres!$A$1:$I$89,7,0))</f>
        <v>0</v>
      </c>
      <c r="KK77" s="16">
        <f>IF(ISNA(VLOOKUP($A77,'Données projet'!$A$382:$I$402,6,0)),0%,VLOOKUP($A77,'Données projet'!$A$382:$I$402,6,0)*VLOOKUP('Données projet'!$B$22,Paramètres!$A$1:$I$89,7,0))</f>
        <v>0</v>
      </c>
      <c r="KL77" s="16">
        <f>IF(ISNA(VLOOKUP($A77,'Données projet'!$A$382:$I$402,7,0)),0%,VLOOKUP($A77,'Données projet'!$A$382:$I$402,7,0))</f>
        <v>0</v>
      </c>
      <c r="KM77" s="21">
        <f>EXP(-LN(2)/35)*KM76+(1-EXP(-LN(2)/35))/(LN(2)/35)*KI77*KJ77*VLOOKUP('Données projet'!$B$22,Paramètres!$A$1:$I$89,3,0)*0.475*44/12</f>
        <v>19.585176910993184</v>
      </c>
      <c r="KN77" s="21">
        <f>EXP(-LN(2)/25)*KN76+(1-EXP(-LN(2)/25))/(LN(2)/25)*Calculateur!KI77*Calculateur!KK77*VLOOKUP('Données projet'!$B$22,Paramètres!$A$1:$I$89,3,0)*0.475*44/12</f>
        <v>0</v>
      </c>
      <c r="KO77" s="21">
        <f>EXP(-LN(2)/2)*KO76+(1-EXP(-LN(2)/2))/(LN(2)/2)*KI77*KL77*VLOOKUP('Données projet'!$B$22,Paramètres!$A$1:$I$89,3,0)*0.475*44/12</f>
        <v>0</v>
      </c>
      <c r="KP77" s="22">
        <f t="shared" si="161"/>
        <v>19.585176910993184</v>
      </c>
      <c r="KQ77" s="74">
        <f>('Scénario référence'!$F$8+'Scénario référence'!$F$9+'Scénario référence'!$B$17+'Scénario référence'!$B$9+'Scénario référence'!$B$10)*70+IF((45+25*(1-EXP(-0.0175*$A77)))&lt;70,'Scénario référence'!$B$16*(45+25*(1-EXP(-0.0175*$A77))),70*'Scénario référence'!$B$16)+IF((32+38*(1-EXP(-0.0175*$A77)))&lt;70,'Scénario référence'!$B$18*(32+38*(1-EXP(-0.0175*$A77))),70*'Scénario référence'!$B$18)</f>
        <v>70</v>
      </c>
      <c r="KR77" s="12">
        <f>IF($A77&gt;30,10,('Scénario référence'!$B$16+'Scénario référence'!$B$17+'Scénario référence'!$B$18+'Scénario référence'!$B$9+'Scénario référence'!$B$10)*$A77*10/30+('Scénario référence'!$F$8+'Scénario référence'!$F$9)*10)</f>
        <v>10</v>
      </c>
      <c r="KS77" s="12" t="e">
        <f>VLOOKUP($A77,'Données projet'!$A$408:$I$428,2,0)</f>
        <v>#N/A</v>
      </c>
      <c r="KT77" s="12" t="e">
        <f>VLOOKUP($A77,'Données projet'!$A$408:$I$428,9,0)</f>
        <v>#N/A</v>
      </c>
      <c r="KU77" s="12">
        <f t="array" ref="KU77">INDEX(KT:KT,MIN(IF(ISNUMBER(KT77:KT273),ROW(KT77:KT273),"")))</f>
        <v>3.4</v>
      </c>
      <c r="KV77" s="12">
        <f>IF('Données projet'!$A$408&gt;35,KV76+KU77-LD76,IF($A77&lt;'Données projet'!$A$408,$CQ$205^$A77,IF($A77='Données projet'!$A$408,'Données projet'!$B$408,KV76+KU77-LD76)))</f>
        <v>266.59999999999985</v>
      </c>
      <c r="KW77" s="17">
        <f>KV77*VLOOKUP('Données projet'!$B$23,Paramètres!$A$1:$I$89,3,0)*VLOOKUP('Données projet'!$B$23,Paramètres!$A$1:$I$89,5,0)</f>
        <v>232.90175999999991</v>
      </c>
      <c r="KX77" s="13">
        <f t="shared" si="210"/>
        <v>56.909651332233828</v>
      </c>
      <c r="KY77" s="14">
        <f t="shared" si="162"/>
        <v>504.7548747369737</v>
      </c>
      <c r="KZ77" s="59">
        <f t="shared" si="163"/>
        <v>798.08820807030702</v>
      </c>
      <c r="LA77" s="59">
        <f ca="1">AVERAGE(OFFSET($KZ$3,0,0,'Données projet'!$E$23+1,1))-AVERAGE(OFFSET($H$3,0,0,'Données projet'!$E$23+1,1))</f>
        <v>248.33596943633819</v>
      </c>
      <c r="LB77" s="59">
        <f t="shared" si="211"/>
        <v>242.34010522344573</v>
      </c>
      <c r="LC77" s="15">
        <f>IF(ISNA(VLOOKUP($A77,'Données projet'!$A$408:$I$428,3,0)),0,VLOOKUP($A77,'Données projet'!$A$408:$I$428,3,0))</f>
        <v>0</v>
      </c>
      <c r="LD77" s="15">
        <f>IF(ISNA(VLOOKUP($A77,'Données projet'!$A$408:$I$428,4,0)),0,VLOOKUP($A77,'Données projet'!$A$408:$I$428,4,0))</f>
        <v>0</v>
      </c>
      <c r="LE77" s="16">
        <f>IF(ISNA(VLOOKUP($A77,'Données projet'!$A$408:$I$428,5,0)),0%,VLOOKUP($A77,'Données projet'!$A$408:$I$428,5,0)*VLOOKUP('Données projet'!$B$23,Paramètres!$A$1:$I$89,7,0))</f>
        <v>0</v>
      </c>
      <c r="LF77" s="16">
        <f>IF(ISNA(VLOOKUP($A77,'Données projet'!$A$408:$I$428,6,0)),0%,VLOOKUP($A77,'Données projet'!$A$408:$I$428,6,0)*VLOOKUP('Données projet'!$B$23,Paramètres!$A$1:$I$89,7,0))</f>
        <v>0</v>
      </c>
      <c r="LG77" s="16">
        <f>IF(ISNA(VLOOKUP($A77,'Données projet'!$A$408:$I$428,7,0)),0%,VLOOKUP($A77,'Données projet'!$A$408:$I$428,7,0))</f>
        <v>0</v>
      </c>
      <c r="LH77" s="21">
        <f>EXP(-LN(2)/35)*LH76+(1-EXP(-LN(2)/35))/(LN(2)/35)*LD77*LE77*VLOOKUP('Données projet'!$B$23,Paramètres!$A$1:$I$89,3,0)*0.475*44/12</f>
        <v>22.200144475224857</v>
      </c>
      <c r="LI77" s="21">
        <f>EXP(-LN(2)/25)*LI76+(1-EXP(-LN(2)/25))/(LN(2)/25)*Calculateur!LD77*Calculateur!LF77*VLOOKUP('Données projet'!$B$23,Paramètres!$A$1:$I$89,3,0)*0.475*44/12</f>
        <v>7.833823486179452</v>
      </c>
      <c r="LJ77" s="21">
        <f>EXP(-LN(2)/2)*LJ76+(1-EXP(-LN(2)/2))/(LN(2)/2)*LD77*LG77*VLOOKUP('Données projet'!$B$23,Paramètres!$A$1:$I$89,3,0)*0.475*44/12</f>
        <v>0</v>
      </c>
      <c r="LK77" s="22">
        <f t="shared" si="164"/>
        <v>30.033967961404308</v>
      </c>
      <c r="LL77" s="74">
        <f>('Scénario référence'!$F$8+'Scénario référence'!$F$9+'Scénario référence'!$B$17+'Scénario référence'!$B$9+'Scénario référence'!$B$10)*70+IF((45+25*(1-EXP(-0.0175*$A77)))&lt;70,'Scénario référence'!$B$16*(45+25*(1-EXP(-0.0175*$A77))),70*'Scénario référence'!$B$16)+IF((32+38*(1-EXP(-0.0175*$A77)))&lt;70,'Scénario référence'!$B$18*(32+38*(1-EXP(-0.0175*$A77))),70*'Scénario référence'!$B$18)</f>
        <v>70</v>
      </c>
      <c r="LM77" s="12">
        <f>IF($A77&gt;30,10,('Scénario référence'!$B$16+'Scénario référence'!$B$17+'Scénario référence'!$B$18+'Scénario référence'!$B$9+'Scénario référence'!$B$10)*$A77*10/30+('Scénario référence'!$F$8+'Scénario référence'!$F$9)*10)</f>
        <v>10</v>
      </c>
      <c r="LN77" s="12" t="e">
        <f>VLOOKUP($A77,'Données projet'!$A$434:$I$454,2,0)</f>
        <v>#N/A</v>
      </c>
      <c r="LO77" s="12" t="e">
        <f>VLOOKUP($A77,'Données projet'!$A$434:$I$454,9,0)</f>
        <v>#N/A</v>
      </c>
      <c r="LP77" s="12">
        <f t="array" ref="LP77">INDEX(LO:LO,MIN(IF(ISNUMBER(LO77:LO273),ROW(LO77:LO273),"")))</f>
        <v>5.6899038461538431</v>
      </c>
      <c r="LQ77" s="12">
        <f>IF('Données projet'!$A$434&gt;35,LQ76+LP77-LY76,IF($A77&lt;'Données projet'!$A$434,$CQ$205^$A77,IF($A77='Données projet'!$A$434,'Données projet'!$B$434,LQ76+LP77-LY76)))</f>
        <v>175.69471153846149</v>
      </c>
      <c r="LR77" s="17">
        <f>LQ77*VLOOKUP('Données projet'!$B$24,Paramètres!$A$1:$I$89,3,0)*VLOOKUP('Données projet'!$B$24,Paramètres!$A$1:$I$89,5,0)</f>
        <v>178.15443749999994</v>
      </c>
      <c r="LS77" s="13">
        <f t="shared" si="212"/>
        <v>44.911336552510832</v>
      </c>
      <c r="LT77" s="14">
        <f t="shared" si="165"/>
        <v>388.50622314145625</v>
      </c>
      <c r="LU77" s="59">
        <f t="shared" si="166"/>
        <v>681.83955647478956</v>
      </c>
      <c r="LV77" s="59">
        <f ca="1">AVERAGE(OFFSET($LU$3,0,0,'Données projet'!$E$24+1,1))-AVERAGE(OFFSET($H$3,0,0,'Données projet'!$E$24+1,1))</f>
        <v>260.52627655062872</v>
      </c>
      <c r="LW77" s="59">
        <f t="shared" si="213"/>
        <v>159.20429420478047</v>
      </c>
      <c r="LX77" s="15">
        <f>IF(ISNA(VLOOKUP($A77,'Données projet'!$A$434:$I$454,3,0)),0,VLOOKUP($A77,'Données projet'!$A$434:$I$454,3,0))</f>
        <v>0</v>
      </c>
      <c r="LY77" s="15">
        <f>IF(ISNA(VLOOKUP($A77,'Données projet'!$A$434:$I$454,4,0)),0,VLOOKUP($A77,'Données projet'!$A$434:$I$454,4,0))</f>
        <v>0</v>
      </c>
      <c r="LZ77" s="16">
        <f>IF(ISNA(VLOOKUP($A77,'Données projet'!$A$434:$I$454,5,0)),0%,VLOOKUP($A77,'Données projet'!$A$434:$I$454,5,0)*VLOOKUP('Données projet'!$B$24,Paramètres!$A$1:$I$89,7,0))</f>
        <v>0</v>
      </c>
      <c r="MA77" s="16">
        <f>IF(ISNA(VLOOKUP($A77,'Données projet'!$A$434:$I$454,6,0)),0%,VLOOKUP($A77,'Données projet'!$A$434:$I$454,6,0)*VLOOKUP('Données projet'!$B$24,Paramètres!$A$1:$I$89,7,0))</f>
        <v>0</v>
      </c>
      <c r="MB77" s="16">
        <f>IF(ISNA(VLOOKUP($A77,'Données projet'!$A$434:$I$454,7,0)),0%,VLOOKUP($A77,'Données projet'!$A$434:$I$454,7,0))</f>
        <v>0</v>
      </c>
      <c r="MC77" s="21">
        <f>EXP(-LN(2)/35)*MC76+(1-EXP(-LN(2)/35))/(LN(2)/35)*LY77*LZ77*VLOOKUP('Données projet'!$B$24,Paramètres!$A$1:$I$89,3,0)*0.475*44/12</f>
        <v>0</v>
      </c>
      <c r="MD77" s="21">
        <f>EXP(-LN(2)/25)*MD76+(1-EXP(-LN(2)/25))/(LN(2)/25)*Calculateur!LY77*Calculateur!MA77*VLOOKUP('Données projet'!$B$24,Paramètres!$A$1:$I$89,3,0)*0.475*44/12</f>
        <v>0</v>
      </c>
      <c r="ME77" s="21">
        <f>EXP(-LN(2)/2)*ME76+(1-EXP(-LN(2)/2))/(LN(2)/2)*LY77*MB77*VLOOKUP('Données projet'!$B$24,Paramètres!$A$1:$I$89,3,0)*0.475*44/12</f>
        <v>0</v>
      </c>
      <c r="MF77" s="22">
        <f t="shared" si="167"/>
        <v>0</v>
      </c>
      <c r="MG77" s="74">
        <f>('Scénario référence'!$F$8+'Scénario référence'!$F$9+'Scénario référence'!$B$17+'Scénario référence'!$B$9+'Scénario référence'!$B$10)*70+IF((45+25*(1-EXP(-0.0175*$A77)))&lt;70,'Scénario référence'!$B$16*(45+25*(1-EXP(-0.0175*$A77))),70*'Scénario référence'!$B$16)+IF((32+38*(1-EXP(-0.0175*$A77)))&lt;70,'Scénario référence'!$B$18*(32+38*(1-EXP(-0.0175*$A77))),70*'Scénario référence'!$B$18)</f>
        <v>70</v>
      </c>
      <c r="MH77" s="12">
        <f>IF($A77&gt;30,10,('Scénario référence'!$B$16+'Scénario référence'!$B$17+'Scénario référence'!$B$18+'Scénario référence'!$B$9+'Scénario référence'!$B$10)*$A77*10/30+('Scénario référence'!$F$8+'Scénario référence'!$F$9)*10)</f>
        <v>10</v>
      </c>
      <c r="MI77" s="12" t="e">
        <f>VLOOKUP($A77,'Données projet'!$A$460:$I$480,2,0)</f>
        <v>#N/A</v>
      </c>
      <c r="MJ77" s="12" t="e">
        <f>VLOOKUP($A77,'Données projet'!$A$460:$I$480,9,0)</f>
        <v>#N/A</v>
      </c>
      <c r="MK77" s="12">
        <f t="array" ref="MK77">INDEX(MJ:MJ,MIN(IF(ISNUMBER(MJ77:MJ273),ROW(MJ77:MJ273),"")))</f>
        <v>0</v>
      </c>
      <c r="ML77" s="12">
        <f>IF('Données projet'!$A$460&gt;35,ML76+MK77-MT76,IF($A77&lt;'Données projet'!$A$460,$CQ$205^$A77,IF($A77='Données projet'!$A$460,'Données projet'!$B$460,ML76+MK77-MT76)))</f>
        <v>0</v>
      </c>
      <c r="MM77" s="17" t="e">
        <f>ML77*VLOOKUP('Données projet'!$B$25,Paramètres!$A$1:$I$89,3,0)*VLOOKUP('Données projet'!$B$25,Paramètres!$A$1:$I$89,5,0)</f>
        <v>#N/A</v>
      </c>
      <c r="MN77" s="13" t="e">
        <f t="shared" si="214"/>
        <v>#N/A</v>
      </c>
      <c r="MO77" s="14" t="e">
        <f t="shared" si="168"/>
        <v>#N/A</v>
      </c>
      <c r="MP77" s="59" t="e">
        <f t="shared" si="169"/>
        <v>#N/A</v>
      </c>
      <c r="MQ77" s="20" t="e">
        <f ca="1">AVERAGE(OFFSET($MP$3,0,0,'Données projet'!$E$25+1,1))-AVERAGE(OFFSET($H$3,0,0,'Données projet'!$E$25+1,1))</f>
        <v>#N/A</v>
      </c>
      <c r="MR77" s="59" t="e">
        <f t="shared" si="215"/>
        <v>#N/A</v>
      </c>
      <c r="MS77" s="15">
        <f>IF(ISNA(VLOOKUP($A77,'Données projet'!$A$460:$I$480,3,0)),0,VLOOKUP($A77,'Données projet'!$A$460:$I$480,3,0))</f>
        <v>0</v>
      </c>
      <c r="MT77" s="15">
        <f>IF(ISNA(VLOOKUP($A77,'Données projet'!$A$460:$I$480,4,0)),0,VLOOKUP($A77,'Données projet'!$A$460:$I$480,4,0))</f>
        <v>0</v>
      </c>
      <c r="MU77" s="16">
        <f>IF(ISNA(VLOOKUP($A77,'Données projet'!$A$460:$I$480,5,0)),0%,VLOOKUP($A77,'Données projet'!$A$460:$I$480,5,0)*VLOOKUP('Données projet'!$B$25,Paramètres!$A$1:$I$89,7,0))</f>
        <v>0</v>
      </c>
      <c r="MV77" s="16">
        <f>IF(ISNA(VLOOKUP($A77,'Données projet'!$A$460:$I$480,6,0)),0%,VLOOKUP($A77,'Données projet'!$A$460:$I$480,6,0)*VLOOKUP('Données projet'!$B$25,Paramètres!$A$1:$I$89,7,0))</f>
        <v>0</v>
      </c>
      <c r="MW77" s="16">
        <f>IF(ISNA(VLOOKUP($A77,'Données projet'!$A$460:$I$480,7,0)),0%,VLOOKUP($A77,'Données projet'!$A$460:$I$480,7,0))</f>
        <v>0</v>
      </c>
      <c r="MX77" s="21" t="e">
        <f>EXP(-LN(2)/35)*MX76+(1-EXP(-LN(2)/35))/(LN(2)/35)*MT77*MU77*VLOOKUP('Données projet'!$B$25,Paramètres!$A$1:$I$89,3,0)*0.475*44/12</f>
        <v>#N/A</v>
      </c>
      <c r="MY77" s="21" t="e">
        <f>EXP(-LN(2)/25)*MY76+(1-EXP(-LN(2)/25))/(LN(2)/25)*Calculateur!MT77*Calculateur!MV77*VLOOKUP('Données projet'!$B$25,Paramètres!$A$1:$I$89,3,0)*0.475*44/12</f>
        <v>#N/A</v>
      </c>
      <c r="MZ77" s="21" t="e">
        <f>EXP(-LN(2)/2)*MZ76+(1-EXP(-LN(2)/2))/(LN(2)/2)*MT77*MW77*VLOOKUP('Données projet'!$B$25,Paramètres!$A$1:$I$89,3,0)*0.475*44/12</f>
        <v>#N/A</v>
      </c>
      <c r="NA77" s="22" t="e">
        <f t="shared" si="170"/>
        <v>#N/A</v>
      </c>
      <c r="NB77" s="74">
        <f>('Scénario référence'!$F$8+'Scénario référence'!$F$9+'Scénario référence'!$B$17+'Scénario référence'!$B$9+'Scénario référence'!$B$10)*70+IF((45+25*(1-EXP(-0.0175*$A77)))&lt;70,'Scénario référence'!$B$16*(45+25*(1-EXP(-0.0175*$A77))),70*'Scénario référence'!$B$16)+IF((32+38*(1-EXP(-0.0175*$A77)))&lt;70,'Scénario référence'!$B$18*(32+38*(1-EXP(-0.0175*$A77))),70*'Scénario référence'!$B$18)</f>
        <v>70</v>
      </c>
      <c r="NC77" s="12">
        <f>IF($A77&gt;30,10,('Scénario référence'!$B$16+'Scénario référence'!$B$17+'Scénario référence'!$B$18+'Scénario référence'!$B$9+'Scénario référence'!$B$10)*$A77*10/30+('Scénario référence'!$F$8+'Scénario référence'!$F$9)*10)</f>
        <v>10</v>
      </c>
      <c r="ND77" s="12" t="e">
        <f>VLOOKUP($A77,'Données projet'!$A$486:$I$506,2,0)</f>
        <v>#N/A</v>
      </c>
      <c r="NE77" s="12" t="e">
        <f>VLOOKUP($A77,'Données projet'!$A$486:$I$506,9,0)</f>
        <v>#N/A</v>
      </c>
      <c r="NF77" s="12">
        <f t="array" ref="NF77">INDEX(NE:NE,MIN(IF(ISNUMBER(NE77:NE273),ROW(NE77:NE273),"")))</f>
        <v>0</v>
      </c>
      <c r="NG77" s="12">
        <f>IF('Données projet'!$A$486&gt;35,NG76+NF77-NO76,IF($A77&lt;'Données projet'!$A$486,$CQ$205^$A77,IF($A77='Données projet'!$A$486,'Données projet'!$B$486,NG76+NF77-NO76)))</f>
        <v>0</v>
      </c>
      <c r="NH77" s="17" t="e">
        <f>NG77*VLOOKUP('Données projet'!$B$26,Paramètres!$A$1:$I$89,3,0)*VLOOKUP('Données projet'!$B$26,Paramètres!$A$1:$I$89,5,0)</f>
        <v>#N/A</v>
      </c>
      <c r="NI77" s="13" t="e">
        <f t="shared" si="216"/>
        <v>#N/A</v>
      </c>
      <c r="NJ77" s="14" t="e">
        <f t="shared" si="171"/>
        <v>#N/A</v>
      </c>
      <c r="NK77" s="59" t="e">
        <f t="shared" si="172"/>
        <v>#N/A</v>
      </c>
      <c r="NL77" s="20" t="e">
        <f ca="1">AVERAGE(OFFSET($NK$3,0,0,'Données projet'!$E$26+1,1))-AVERAGE(OFFSET($H$3,0,0,'Données projet'!$E$26+1,1))</f>
        <v>#N/A</v>
      </c>
      <c r="NM77" s="59" t="e">
        <f t="shared" si="217"/>
        <v>#N/A</v>
      </c>
      <c r="NN77" s="15">
        <f>IF(ISNA(VLOOKUP($A77,'Données projet'!$A$486:$I$506,3,0)),0,VLOOKUP($A77,'Données projet'!$A$486:$I$506,3,0))</f>
        <v>0</v>
      </c>
      <c r="NO77" s="15">
        <f>IF(ISNA(VLOOKUP($A77,'Données projet'!$A$486:$I$506,4,0)),0,VLOOKUP($A77,'Données projet'!$A$486:$I$506,4,0))</f>
        <v>0</v>
      </c>
      <c r="NP77" s="16">
        <f>IF(ISNA(VLOOKUP($A77,'Données projet'!$A$486:$I$506,5,0)),0%,VLOOKUP($A77,'Données projet'!$A$486:$I$506,5,0)*VLOOKUP('Données projet'!$B$26,Paramètres!$A$1:$I$89,7,0))</f>
        <v>0</v>
      </c>
      <c r="NQ77" s="16">
        <f>IF(ISNA(VLOOKUP($A77,'Données projet'!$A$486:$I$506,6,0)),0%,VLOOKUP($A77,'Données projet'!$A$486:$I$506,6,0)*VLOOKUP('Données projet'!$B$26,Paramètres!$A$1:$I$89,7,0))</f>
        <v>0</v>
      </c>
      <c r="NR77" s="16">
        <f>IF(ISNA(VLOOKUP($A77,'Données projet'!$A$486:$I$506,7,0)),0%,VLOOKUP($A77,'Données projet'!$A$486:$I$506,7,0))</f>
        <v>0</v>
      </c>
      <c r="NS77" s="21" t="e">
        <f>EXP(-LN(2)/35)*NS76+(1-EXP(-LN(2)/35))/(LN(2)/35)*NO77*NP77*VLOOKUP('Données projet'!$B$26,Paramètres!$A$1:$I$89,3,0)*0.475*44/12</f>
        <v>#N/A</v>
      </c>
      <c r="NT77" s="21" t="e">
        <f>EXP(-LN(2)/25)*NT76+(1-EXP(-LN(2)/25))/(LN(2)/25)*Calculateur!NO77*Calculateur!NQ77*VLOOKUP('Données projet'!$B$26,Paramètres!$A$1:$I$89,3,0)*0.475*44/12</f>
        <v>#N/A</v>
      </c>
      <c r="NU77" s="21" t="e">
        <f>EXP(-LN(2)/2)*NU76+(1-EXP(-LN(2)/2))/(LN(2)/2)*NO77*NR77*VLOOKUP('Données projet'!$B$26,Paramètres!$A$1:$I$89,3,0)*0.475*44/12</f>
        <v>#N/A</v>
      </c>
      <c r="NV77" s="22" t="e">
        <f t="shared" si="173"/>
        <v>#N/A</v>
      </c>
      <c r="NW77" s="74">
        <f>('Scénario référence'!$F$8+'Scénario référence'!$F$9+'Scénario référence'!$B$17+'Scénario référence'!$B$9+'Scénario référence'!$B$10)*70+IF((45+25*(1-EXP(-0.0175*$A77)))&lt;70,'Scénario référence'!$B$16*(45+25*(1-EXP(-0.0175*$A77))),70*'Scénario référence'!$B$16)+IF((32+38*(1-EXP(-0.0175*$A77)))&lt;70,'Scénario référence'!$B$18*(32+38*(1-EXP(-0.0175*$A77))),70*'Scénario référence'!$B$18)</f>
        <v>70</v>
      </c>
      <c r="NX77" s="12">
        <f>IF($A77&gt;30,10,('Scénario référence'!$B$16+'Scénario référence'!$B$17+'Scénario référence'!$B$18+'Scénario référence'!$B$9+'Scénario référence'!$B$10)*$A77*10/30+('Scénario référence'!$F$8+'Scénario référence'!$F$9)*10)</f>
        <v>10</v>
      </c>
      <c r="NY77" s="12" t="e">
        <f>VLOOKUP($A77,'Données projet'!$A$512:$I$532,2,0)</f>
        <v>#N/A</v>
      </c>
      <c r="NZ77" s="12" t="e">
        <f>VLOOKUP($A77,'Données projet'!$A$512:$I$532,9,0)</f>
        <v>#N/A</v>
      </c>
      <c r="OA77" s="12">
        <f t="array" ref="OA77">INDEX(NZ:NZ,MIN(IF(ISNUMBER(NZ77:NZ273),ROW(NZ77:NZ273),"")))</f>
        <v>0</v>
      </c>
      <c r="OB77" s="12">
        <f>IF('Données projet'!$A$512&gt;35,OB76+OA77-OJ76,IF($A77&lt;'Données projet'!$A$512,$CQ$205^$A77,IF($A77='Données projet'!$A$512,'Données projet'!$B$512,OB76+OA77-OJ76)))</f>
        <v>0</v>
      </c>
      <c r="OC77" s="17" t="e">
        <f>OB77*VLOOKUP('Données projet'!$B$27,Paramètres!$A$1:$I$89,3,0)*VLOOKUP('Données projet'!$B$27,Paramètres!$A$1:$I$89,5,0)</f>
        <v>#N/A</v>
      </c>
      <c r="OD77" s="13" t="e">
        <f t="shared" si="218"/>
        <v>#N/A</v>
      </c>
      <c r="OE77" s="14" t="e">
        <f t="shared" si="174"/>
        <v>#N/A</v>
      </c>
      <c r="OF77" s="59" t="e">
        <f t="shared" si="175"/>
        <v>#N/A</v>
      </c>
      <c r="OG77" s="20" t="e">
        <f ca="1">AVERAGE(OFFSET($OF$3,0,0,'Données projet'!$E$27+1,1))-AVERAGE(OFFSET($H$3,0,0,'Données projet'!$E$27+1,1))</f>
        <v>#N/A</v>
      </c>
      <c r="OH77" s="59" t="e">
        <f t="shared" si="219"/>
        <v>#N/A</v>
      </c>
      <c r="OI77" s="15">
        <f>IF(ISNA(VLOOKUP($A77,'Données projet'!$A$512:$I$532,3,0)),0,VLOOKUP($A77,'Données projet'!$A$512:$I$532,3,0))</f>
        <v>0</v>
      </c>
      <c r="OJ77" s="15">
        <f>IF(ISNA(VLOOKUP($A77,'Données projet'!$A$512:$I$532,4,0)),0,VLOOKUP($A77,'Données projet'!$A$512:$I$532,4,0))</f>
        <v>0</v>
      </c>
      <c r="OK77" s="16">
        <f>IF(ISNA(VLOOKUP($A77,'Données projet'!$A$512:$I$532,5,0)),0%,VLOOKUP($A77,'Données projet'!$A$512:$I$532,5,0)*VLOOKUP('Données projet'!$B$27,Paramètres!$A$1:$I$89,7,0))</f>
        <v>0</v>
      </c>
      <c r="OL77" s="16">
        <f>IF(ISNA(VLOOKUP($A77,'Données projet'!$A$512:$I$532,6,0)),0%,VLOOKUP($A77,'Données projet'!$A$512:$I$532,6,0)*VLOOKUP('Données projet'!$B$27,Paramètres!$A$1:$I$89,7,0))</f>
        <v>0</v>
      </c>
      <c r="OM77" s="16">
        <f>IF(ISNA(VLOOKUP($A77,'Données projet'!$A$512:$I$532,7,0)),0%,VLOOKUP($A77,'Données projet'!$A$512:$I$532,7,0))</f>
        <v>0</v>
      </c>
      <c r="ON77" s="21" t="e">
        <f>EXP(-LN(2)/35)*ON76+(1-EXP(-LN(2)/35))/(LN(2)/35)*OJ77*OK77*VLOOKUP('Données projet'!$B$27,Paramètres!$A$1:$I$89,3,0)*0.475*44/12</f>
        <v>#N/A</v>
      </c>
      <c r="OO77" s="21" t="e">
        <f>EXP(-LN(2)/25)*OO76+(1-EXP(-LN(2)/25))/(LN(2)/25)*Calculateur!OJ77*Calculateur!OL77*VLOOKUP('Données projet'!$B$27,Paramètres!$A$1:$I$89,3,0)*0.475*44/12</f>
        <v>#N/A</v>
      </c>
      <c r="OP77" s="21" t="e">
        <f>EXP(-LN(2)/2)*OP76+(1-EXP(-LN(2)/2))/(LN(2)/2)*OJ77*OM77*VLOOKUP('Données projet'!$B$27,Paramètres!$A$1:$I$89,3,0)*0.475*44/12</f>
        <v>#N/A</v>
      </c>
      <c r="OQ77" s="22" t="e">
        <f t="shared" si="176"/>
        <v>#N/A</v>
      </c>
      <c r="OR77" s="74">
        <f>('Scénario référence'!$F$8+'Scénario référence'!$F$9+'Scénario référence'!$B$17+'Scénario référence'!$B$9+'Scénario référence'!$B$10)*70+IF((45+25*(1-EXP(-0.0175*$A77)))&lt;70,'Scénario référence'!$B$16*(45+25*(1-EXP(-0.0175*$A77))),70*'Scénario référence'!$B$16)+IF((32+38*(1-EXP(-0.0175*$A77)))&lt;70,'Scénario référence'!$B$18*(32+38*(1-EXP(-0.0175*$A77))),70*'Scénario référence'!$B$18)</f>
        <v>70</v>
      </c>
      <c r="OS77" s="12">
        <f>IF($A77&gt;30,10,('Scénario référence'!$B$16+'Scénario référence'!$B$17+'Scénario référence'!$B$18+'Scénario référence'!$B$9+'Scénario référence'!$B$10)*$A77*10/30+('Scénario référence'!$F$8+'Scénario référence'!$F$9)*10)</f>
        <v>10</v>
      </c>
      <c r="OT77" s="12" t="e">
        <f>VLOOKUP($A77,'Données projet'!$A$538:$I$558,2,0)</f>
        <v>#N/A</v>
      </c>
      <c r="OU77" s="12" t="e">
        <f>VLOOKUP($A77,'Données projet'!$A$538:$I$558,9,0)</f>
        <v>#N/A</v>
      </c>
      <c r="OV77" s="12">
        <f t="array" ref="OV77">INDEX(OU:OU,MIN(IF(ISNUMBER(OU77:OU273),ROW(OU77:OU273),"")))</f>
        <v>0</v>
      </c>
      <c r="OW77" s="12">
        <f>IF('Données projet'!$A$538&gt;35,OW76+OV77-PE76,IF($A77&lt;'Données projet'!$A$538,$CQ$205^$A77,IF($A77='Données projet'!$A$538,'Données projet'!$B$538,OW76+OV77-PE76)))</f>
        <v>0</v>
      </c>
      <c r="OX77" s="17" t="e">
        <f>OW77*VLOOKUP('Données projet'!$B$28,Paramètres!$A$1:$I$89,3,0)*VLOOKUP('Données projet'!$B$28,Paramètres!$A$1:$I$89,5,0)</f>
        <v>#N/A</v>
      </c>
      <c r="OY77" s="13" t="e">
        <f t="shared" si="220"/>
        <v>#N/A</v>
      </c>
      <c r="OZ77" s="14" t="e">
        <f t="shared" si="177"/>
        <v>#N/A</v>
      </c>
      <c r="PA77" s="59" t="e">
        <f t="shared" si="178"/>
        <v>#N/A</v>
      </c>
      <c r="PB77" s="20" t="e">
        <f ca="1">AVERAGE(OFFSET($PA$3,0,0,'Données projet'!$E$28+1,1))-AVERAGE(OFFSET($H$3,0,0,'Données projet'!$E$28+1,1))</f>
        <v>#N/A</v>
      </c>
      <c r="PC77" s="59" t="e">
        <f t="shared" si="221"/>
        <v>#N/A</v>
      </c>
      <c r="PD77" s="15">
        <f>IF(ISNA(VLOOKUP($A77,'Données projet'!$A$538:$I$558,3,0)),0,VLOOKUP($A77,'Données projet'!$A$538:$I$558,3,0))</f>
        <v>0</v>
      </c>
      <c r="PE77" s="15">
        <f>IF(ISNA(VLOOKUP($A77,'Données projet'!$A$538:$I$558,4,0)),0,VLOOKUP($A77,'Données projet'!$A$538:$I$558,4,0))</f>
        <v>0</v>
      </c>
      <c r="PF77" s="16">
        <f>IF(ISNA(VLOOKUP($A77,'Données projet'!$A$538:$I$558,5,0)),0%,VLOOKUP($A77,'Données projet'!$A$538:$I$558,5,0)*VLOOKUP('Données projet'!$B$28,Paramètres!$A$1:$I$89,7,0))</f>
        <v>0</v>
      </c>
      <c r="PG77" s="16">
        <f>IF(ISNA(VLOOKUP($A77,'Données projet'!$A$538:$I$558,6,0)),0%,VLOOKUP($A77,'Données projet'!$A$538:$I$558,6,0)*VLOOKUP('Données projet'!$B$28,Paramètres!$A$1:$I$89,7,0))</f>
        <v>0</v>
      </c>
      <c r="PH77" s="16">
        <f>IF(ISNA(VLOOKUP($A77,'Données projet'!$A$538:$I$558,7,0)),0%,VLOOKUP($A77,'Données projet'!$A$538:$I$558,7,0))</f>
        <v>0</v>
      </c>
      <c r="PI77" s="21" t="e">
        <f>EXP(-LN(2)/35)*PI76+(1-EXP(-LN(2)/35))/(LN(2)/35)*PE77*PF77*VLOOKUP('Données projet'!$B$28,Paramètres!$A$1:$I$89,3,0)*0.475*44/12</f>
        <v>#N/A</v>
      </c>
      <c r="PJ77" s="21" t="e">
        <f>EXP(-LN(2)/25)*PJ76+(1-EXP(-LN(2)/25))/(LN(2)/25)*Calculateur!PE77*Calculateur!PG77*VLOOKUP('Données projet'!$B$28,Paramètres!$A$1:$I$89,3,0)*0.475*44/12</f>
        <v>#N/A</v>
      </c>
      <c r="PK77" s="21" t="e">
        <f>EXP(-LN(2)/2)*PK76+(1-EXP(-LN(2)/2))/(LN(2)/2)*PE77*PH77*VLOOKUP('Données projet'!$B$28,Paramètres!$A$1:$I$89,3,0)*0.475*44/12</f>
        <v>#N/A</v>
      </c>
      <c r="PL77" s="22" t="e">
        <f t="shared" si="179"/>
        <v>#N/A</v>
      </c>
    </row>
    <row r="78" spans="1:428" x14ac:dyDescent="0.35">
      <c r="A78" s="10">
        <f t="shared" si="180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181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121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projet'!$A$45:$I$65,2,0)</f>
        <v>#N/A</v>
      </c>
      <c r="L78" s="12" t="e">
        <f>VLOOKUP(A78,'Données projet'!$A$45:$I$65,9,0)</f>
        <v>#N/A</v>
      </c>
      <c r="M78" s="12">
        <f t="array" ref="M78">INDEX(L:L,MIN(IF(ISNUMBER(L78:L274),ROW(L78:L274),"")))</f>
        <v>0</v>
      </c>
      <c r="N78" s="13">
        <f>IF('Données projet'!$A$46&gt;35,N77+M78-V77,IF(A78&lt;'Données projet'!$A$46,$K$205^A78,IF(A78='Données projet'!$A$46,'Données projet'!$B$46,N77+M78-V77)))</f>
        <v>-1.1368683772161603E-13</v>
      </c>
      <c r="O78" s="13">
        <f>N78*VLOOKUP('Données projet'!$B$9,Paramètres!$A$1:$I$89,3,0)*VLOOKUP('Données projet'!$B$9,Paramètres!$A$1:$I$89,5,0)</f>
        <v>-6.3550942286383367E-14</v>
      </c>
      <c r="P78" s="13" t="e">
        <f t="shared" si="182"/>
        <v>#NUM!</v>
      </c>
      <c r="Q78" s="20" t="e">
        <f t="shared" si="119"/>
        <v>#NUM!</v>
      </c>
      <c r="R78" s="59" t="e">
        <f t="shared" si="120"/>
        <v>#NUM!</v>
      </c>
      <c r="S78" s="59">
        <f ca="1">AVERAGE(OFFSET($R$3,0,0,'Données projet'!$E$9+1,1))-AVERAGE(OFFSET($H$3,0,0,'Données projet'!$E$9+1,1))</f>
        <v>274.57619581652199</v>
      </c>
      <c r="T78" s="59">
        <f t="shared" si="183"/>
        <v>366.15117322598775</v>
      </c>
      <c r="U78" s="15">
        <f>IF(ISNA(VLOOKUP(A78,'Données projet'!$A$45:$I$65,3,0)),0,VLOOKUP(A78,'Données projet'!$A$45:$I$65,3,0))</f>
        <v>0</v>
      </c>
      <c r="V78" s="15">
        <f>IF(ISNA(VLOOKUP(A78,'Données projet'!$A$45:$I$65,4,0)),0,VLOOKUP(A78,'Données projet'!$A$45:$I$65,4,0))</f>
        <v>0</v>
      </c>
      <c r="W78" s="16">
        <f>IF(ISNA(VLOOKUP(A78,'Données projet'!$A$45:$I$65,5,0)),0%,VLOOKUP(A78,'Données projet'!$A$45:$I$65,5,0)*VLOOKUP('Données projet'!$B$9,Paramètres!$A$1:$I$89,7,0))</f>
        <v>0</v>
      </c>
      <c r="X78" s="16">
        <f>IF(ISNA(VLOOKUP(A78,'Données projet'!$A$45:$I$65,6,0)),0%,VLOOKUP(A78,'Données projet'!$A$45:$I$65,6,0)*VLOOKUP('Données projet'!$B$9,Paramètres!$A$1:$I$89,7,0))</f>
        <v>0</v>
      </c>
      <c r="Y78" s="16">
        <f>IF(ISNA(VLOOKUP(A78,'Données projet'!$A$45:$I$65,7,0)),0%,VLOOKUP(A78,'Données projet'!$A$45:$I$65,7,0))</f>
        <v>0</v>
      </c>
      <c r="Z78" s="21">
        <f>EXP(-LN(2)/35)*Z77+(1-EXP(-LN(2)/35))/(LN(2)/35)*V78*W78*VLOOKUP('Données projet'!$B$9,Paramètres!$A$1:$I$89,3,0)*0.475*44/12</f>
        <v>152.52890513745211</v>
      </c>
      <c r="AA78" s="21">
        <f>EXP(-LN(2)/25)*AA77+(1-EXP(-LN(2)/25))/(LN(2)/25)*Calculateur!V78*Calculateur!X78*VLOOKUP('Données projet'!$B$9,Paramètres!$A$1:$I$89,3,0)*0.475*44/12</f>
        <v>33.086923848583055</v>
      </c>
      <c r="AB78" s="21">
        <f>EXP(-LN(2)/2)*AB77+(1-EXP(-LN(2)/2))/(LN(2)/2)*V78*Y78*VLOOKUP('Données projet'!$B$9,Paramètres!$A$1:$I$89,3,0)*0.475*44/12</f>
        <v>3.3360648441516087E-2</v>
      </c>
      <c r="AC78" s="22">
        <f t="shared" si="122"/>
        <v>185.6491896344767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projet'!$A$71:$I$91,2,0)</f>
        <v>#N/A</v>
      </c>
      <c r="AG78" s="12" t="e">
        <f>VLOOKUP(A78,'Données projet'!$A$71:$I$91,9,0)</f>
        <v>#N/A</v>
      </c>
      <c r="AH78" s="12">
        <f t="array" ref="AH78">INDEX(AG:AG,MIN(IF(ISNUMBER(AG78:AG274),ROW(AG78:AG274),"")))</f>
        <v>7.8425925925925934</v>
      </c>
      <c r="AI78" s="13">
        <f>IF('Données projet'!$A$72&gt;35,AI77+AH78-AQ77,IF(A78&lt;'Données projet'!$A$72,$AF$205^A78,IF(A78='Données projet'!$A$72,'Données projet'!$B$72,AI77+AH78-AQ77)))</f>
        <v>234.79985754985776</v>
      </c>
      <c r="AJ78" s="13">
        <f>AI78*VLOOKUP('Données projet'!$B$10,Paramètres!$A$1:$I$89,3,0)*VLOOKUP('Données projet'!$B$10,Paramètres!$A$1:$I$89,5,0)</f>
        <v>212.44691111111132</v>
      </c>
      <c r="AK78" s="13">
        <f t="shared" si="184"/>
        <v>52.469936290697497</v>
      </c>
      <c r="AL78" s="20">
        <f t="shared" si="123"/>
        <v>461.39684255815035</v>
      </c>
      <c r="AM78" s="59">
        <f t="shared" si="124"/>
        <v>754.73017589148367</v>
      </c>
      <c r="AN78" s="59">
        <f ca="1">AVERAGE(OFFSET($AM$3,0,0,'Données projet'!$E$10+1,1))-AVERAGE(OFFSET($H$3,0,0,'Données projet'!$E$10+1,1))</f>
        <v>270.87836509222456</v>
      </c>
      <c r="AO78" s="59">
        <f t="shared" si="185"/>
        <v>205.24998237949734</v>
      </c>
      <c r="AP78" s="15">
        <f>IF(ISNA(VLOOKUP(A78,'Données projet'!$A$71:$I$91,3,0)),0,VLOOKUP(A78,'Données projet'!$A$71:$I$91,3,0))</f>
        <v>0</v>
      </c>
      <c r="AQ78" s="15">
        <f>IF(ISNA(VLOOKUP(A78,'Données projet'!$A$71:$I$91,4,0)),0,VLOOKUP(A78,'Données projet'!$A$71:$I$91,4,0))</f>
        <v>0</v>
      </c>
      <c r="AR78" s="16">
        <f>IF(ISNA(VLOOKUP(A78,'Données projet'!$A$71:$I$91,5,0)),0%,VLOOKUP(A78,'Données projet'!$A$71:$I$91,5,0)*VLOOKUP('Données projet'!$B$10,Paramètres!$A$1:$I$89,7,0))</f>
        <v>0</v>
      </c>
      <c r="AS78" s="16">
        <f>IF(ISNA(VLOOKUP(A78,'Données projet'!$A$71:$I$91,6,0)),0%,VLOOKUP(A78,'Données projet'!$A$71:$I$91,6,0)*VLOOKUP('Données projet'!$B$10,Paramètres!$A$1:$I$89,7,0))</f>
        <v>0</v>
      </c>
      <c r="AT78" s="16">
        <f>IF(ISNA(VLOOKUP(A78,'Données projet'!$A$71:$I$91,7,0)),0%,VLOOKUP(A78,'Données projet'!$A$71:$I$91,7,0))</f>
        <v>0</v>
      </c>
      <c r="AU78" s="21">
        <f>EXP(-LN(2)/35)*AU77+(1-EXP(-LN(2)/35))/(LN(2)/35)*AQ78*AR78*VLOOKUP('Données projet'!$B$10,Paramètres!$A$1:$I$89,3,0)*0.475*44/12</f>
        <v>21.012550286372164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125"/>
        <v>21.012550286372164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projet'!$A$97:$I$117,2,0)</f>
        <v>#N/A</v>
      </c>
      <c r="BB78" s="12" t="e">
        <f>VLOOKUP(A78,'Données projet'!$A$97:$I$117,9,0)</f>
        <v>#N/A</v>
      </c>
      <c r="BC78" s="12">
        <f t="array" ref="BC78">INDEX(BB:BB,MIN(IF(ISNUMBER(BB78:BB274),ROW(BB78:BB274),"")))</f>
        <v>0</v>
      </c>
      <c r="BD78" s="12">
        <f>IF('Données projet'!$A$98&gt;35,BD77+BC78-BL77,IF(A78&lt;'Données projet'!$A$98,$BA$205^A78,IF(A78='Données projet'!$A$98,'Données projet'!$B$98,BD77+BC78-BL77)))</f>
        <v>-1.1368683772161603E-13</v>
      </c>
      <c r="BE78" s="13">
        <f>BD78*VLOOKUP('Données projet'!$B$11,Paramètres!$A$1:$I$89,3,0)*VLOOKUP('Données projet'!$B$11,Paramètres!$A$1:$I$89,5,0)</f>
        <v>-5.0249582272954292E-14</v>
      </c>
      <c r="BF78" s="13" t="e">
        <f t="shared" si="186"/>
        <v>#NUM!</v>
      </c>
      <c r="BG78" s="20" t="e">
        <f t="shared" si="126"/>
        <v>#NUM!</v>
      </c>
      <c r="BH78" s="59" t="e">
        <f t="shared" si="127"/>
        <v>#NUM!</v>
      </c>
      <c r="BI78" s="59">
        <f ca="1">AVERAGE(OFFSET($BH$3,0,0,'Données projet'!$E$11+1,1))-AVERAGE(OFFSET($H$3,0,0,'Données projet'!$E$11+1,1))</f>
        <v>211.31057120485542</v>
      </c>
      <c r="BJ78" s="59">
        <f t="shared" si="187"/>
        <v>283.33292006714777</v>
      </c>
      <c r="BK78" s="15">
        <f>IF(ISNA(VLOOKUP(A78,'Données projet'!$A$97:$I$117,3,0)),0,VLOOKUP(A78,'Données projet'!$A$97:$I$117,3,0))</f>
        <v>0</v>
      </c>
      <c r="BL78" s="15">
        <f>IF(ISNA(VLOOKUP(A78,'Données projet'!$A$97:$I$117,4,0)),0,VLOOKUP(A78,'Données projet'!$A$97:$I$117,4,0))</f>
        <v>0</v>
      </c>
      <c r="BM78" s="16">
        <f>IF(ISNA(VLOOKUP(A78,'Données projet'!$A$97:$I$117,5,0)),0%,VLOOKUP(A78,'Données projet'!$A$97:$I$117,5,0)*VLOOKUP('Données projet'!$B$11,Paramètres!$A$1:$I$89,7,0))</f>
        <v>0</v>
      </c>
      <c r="BN78" s="16">
        <f>IF(ISNA(VLOOKUP(A78,'Données projet'!$A$97:$I$117,6,0)),0%,VLOOKUP(A78,'Données projet'!$A$97:$I$117,6,0)*VLOOKUP('Données projet'!$B$11,Paramètres!$A$1:$I$89,7,0))</f>
        <v>0</v>
      </c>
      <c r="BO78" s="16">
        <f>IF(ISNA(VLOOKUP(A78,'Données projet'!$A$97:$I$117,7,0)),0%,VLOOKUP(A78,'Données projet'!$A$97:$I$117,7,0))</f>
        <v>0</v>
      </c>
      <c r="BP78" s="21">
        <f>EXP(-LN(2)/35)*BP77+(1-EXP(-LN(2)/35))/(LN(2)/35)*BL78*BM78*VLOOKUP('Données projet'!$B$11,Paramètres!$A$1:$I$89,3,0)*0.475*44/12</f>
        <v>120.60425057379938</v>
      </c>
      <c r="BQ78" s="21">
        <f>EXP(-LN(2)/25)*BQ77+(1-EXP(-LN(2)/25))/(LN(2)/25)*Calculateur!BL78*Calculateur!BN78*VLOOKUP('Données projet'!$B$11,Paramètres!$A$1:$I$89,3,0)*0.475*44/12</f>
        <v>26.161753740740089</v>
      </c>
      <c r="BR78" s="21">
        <f>EXP(-LN(2)/2)*BR77+(1-EXP(-LN(2)/2))/(LN(2)/2)*BL78*BO78*VLOOKUP('Données projet'!$B$11,Paramètres!$A$1:$I$89,3,0)*0.475*44/12</f>
        <v>2.6378187139803413E-2</v>
      </c>
      <c r="BS78" s="22">
        <f t="shared" si="128"/>
        <v>146.79238250167927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projet'!$A$123:$I$143,2,0)</f>
        <v>241</v>
      </c>
      <c r="BW78" s="12">
        <f>VLOOKUP(A78,'Données projet'!$A$123:$I$143,9,0)</f>
        <v>4.4000000000000004</v>
      </c>
      <c r="BX78" s="12">
        <f t="array" ref="BX78">INDEX(BW:BW,MIN(IF(ISNUMBER(BW78:BW274),ROW(BW78:BW274),"")))</f>
        <v>4.4000000000000004</v>
      </c>
      <c r="BY78" s="12">
        <f>IF('Données projet'!$A$124&gt;35,BY77+BX78-CG77,IF(A78&lt;'Données projet'!$A$124,$BV$205^A78,IF(A78='Données projet'!$A$124,'Données projet'!$B$124,BY77+BX78-CG77)))</f>
        <v>241.00000000000003</v>
      </c>
      <c r="BZ78" s="13">
        <f>BY78*VLOOKUP('Données projet'!$B$12,Paramètres!$A$1:$I$89,3,0)*VLOOKUP('Données projet'!$B$12,Paramètres!$A$1:$I$89,5,0)</f>
        <v>251.89320000000006</v>
      </c>
      <c r="CA78" s="13">
        <f t="shared" si="188"/>
        <v>60.991162965075887</v>
      </c>
      <c r="CB78" s="20">
        <f t="shared" si="129"/>
        <v>544.94026549750731</v>
      </c>
      <c r="CC78" s="59">
        <f t="shared" si="130"/>
        <v>838.27359883084068</v>
      </c>
      <c r="CD78" s="59">
        <f ca="1">AVERAGE(OFFSET($CC$3,0,0,'Données projet'!$E$12+1,1))-AVERAGE(OFFSET($H$3,0,0,'Données projet'!$E$12+1,1))</f>
        <v>322.93502595881938</v>
      </c>
      <c r="CE78" s="59">
        <f t="shared" si="189"/>
        <v>302.67072119588164</v>
      </c>
      <c r="CF78" s="15">
        <f>IF(ISNA(VLOOKUP(A78,'Données projet'!$A$123:$I$143,3,0)),0,VLOOKUP(A78,'Données projet'!$A$123:$I$143,3,0))</f>
        <v>12</v>
      </c>
      <c r="CG78" s="15" t="str">
        <f>IF(ISNA(VLOOKUP(A78,'Données projet'!$A$123:$I$143,4,0)),0,VLOOKUP(A78,'Données projet'!$A$123:$I$143,4,0))</f>
        <v>16</v>
      </c>
      <c r="CH78" s="16">
        <f>IF(ISNA(VLOOKUP(A78,'Données projet'!$A$123:$I$143,5,0)),0%,VLOOKUP(A78,'Données projet'!$A$123:$I$143,5,0)*VLOOKUP('Données projet'!$B$12,Paramètres!$A$1:$I$89,7,0))</f>
        <v>0.25800000000000001</v>
      </c>
      <c r="CI78" s="16">
        <f>IF(ISNA(VLOOKUP(A78,'Données projet'!$A$123:$I$143,6,0)),0%,VLOOKUP(A78,'Données projet'!$A$123:$I$143,6,0)*VLOOKUP('Données projet'!$B$12,Paramètres!$A$1:$I$89,7,0))</f>
        <v>0.129</v>
      </c>
      <c r="CJ78" s="16">
        <f>IF(ISNA(VLOOKUP(A78,'Données projet'!$A$123:$I$143,7,0)),0%,VLOOKUP(A78,'Données projet'!$A$123:$I$143,7,0))</f>
        <v>0</v>
      </c>
      <c r="CK78" s="21">
        <f>EXP(-LN(2)/35)*CK77+(1-EXP(-LN(2)/35))/(LN(2)/35)*CG78*CH78*VLOOKUP('Données projet'!$B$12,Paramètres!$A$1:$I$89,3,0)*0.475*44/12</f>
        <v>25.607044280629964</v>
      </c>
      <c r="CL78" s="21">
        <f>EXP(-LN(2)/25)*CL77+(1-EXP(-LN(2)/25))/(LN(2)/25)*Calculateur!CG78*Calculateur!CI78*VLOOKUP('Données projet'!$B$12,Paramètres!$A$1:$I$89,3,0)*0.475*44/12</f>
        <v>23.186466942787717</v>
      </c>
      <c r="CM78" s="21">
        <f>EXP(-LN(2)/2)*CM77+(1-EXP(-LN(2)/2))/(LN(2)/2)*CG78*CJ78*VLOOKUP('Données projet'!$B$12,Paramètres!$A$1:$I$89,3,0)*0.475*44/12</f>
        <v>0</v>
      </c>
      <c r="CN78" s="22">
        <f t="shared" si="131"/>
        <v>48.793511223417681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projet'!$A$149:$I$169,2,0)</f>
        <v>181.38461538461536</v>
      </c>
      <c r="CR78" s="12">
        <f>VLOOKUP(A78,'Données projet'!$A$149:$I$169,9,0)</f>
        <v>5.6899038461538431</v>
      </c>
      <c r="CS78" s="12">
        <f t="array" ref="CS78">INDEX(CR:CR,MIN(IF(ISNUMBER(CR78:CR274),ROW(CR78:CR274),"")))</f>
        <v>5.6899038461538431</v>
      </c>
      <c r="CT78" s="12">
        <f>IF('Données projet'!$A$150&gt;35,CT77+CS78-DB77,IF(A78&lt;'Données projet'!$A$150,$CQ$205^A78,IF(A78='Données projet'!$A$150,'Données projet'!$B$150,CT77+CS78-DB77)))</f>
        <v>181.38461538461533</v>
      </c>
      <c r="CU78" s="17">
        <f>CT78*VLOOKUP('Données projet'!$B$13,Paramètres!$A$1:$I$89,3,0)*VLOOKUP('Données projet'!$B$13,Paramètres!$A$1:$I$89,5,0)</f>
        <v>183.92399999999995</v>
      </c>
      <c r="CV78" s="13">
        <f t="shared" si="190"/>
        <v>46.194105104770117</v>
      </c>
      <c r="CW78" s="20">
        <f t="shared" si="132"/>
        <v>400.78903305747446</v>
      </c>
      <c r="CX78" s="59">
        <f t="shared" si="133"/>
        <v>694.12236639080777</v>
      </c>
      <c r="CY78" s="59">
        <f ca="1">AVERAGE(OFFSET($CX$3,0,0,'Données projet'!$E$13+1,1))-AVERAGE(OFFSET($H$3,0,0,'Données projet'!$E$13+1,1))</f>
        <v>250.31277422753283</v>
      </c>
      <c r="CZ78" s="59">
        <f t="shared" si="191"/>
        <v>159.20429420478047</v>
      </c>
      <c r="DA78" s="15">
        <f>IF(ISNA(VLOOKUP(A78,'Données projet'!$A$149:$I$169,3,0)),0,VLOOKUP(A78,'Données projet'!$A$149:$I$169,3,0))</f>
        <v>5</v>
      </c>
      <c r="DB78" s="15">
        <f>IF(ISNA(VLOOKUP(A78,'Données projet'!$A$149:$I$169,4,0)),0,VLOOKUP(A78,'Données projet'!$A$149:$I$169,4,0))</f>
        <v>30.916666666666664</v>
      </c>
      <c r="DC78" s="16">
        <f>IF(ISNA(VLOOKUP(A78,'Données projet'!$A$149:$I$169,5,0)),0%,VLOOKUP(A78,'Données projet'!$A$149:$I$169,5,0)*VLOOKUP('Données projet'!$B$13,Paramètres!$A$1:$I$89,7,0))</f>
        <v>0.30099999999999999</v>
      </c>
      <c r="DD78" s="16">
        <f>IF(ISNA(VLOOKUP(A78,'Données projet'!$A$149:$I$169,6,0)),0%,VLOOKUP(A78,'Données projet'!$A$149:$I$169,6,0)*VLOOKUP('Données projet'!$B$13,Paramètres!$A$1:$I$89,7,0))</f>
        <v>0</v>
      </c>
      <c r="DE78" s="16">
        <f>IF(ISNA(VLOOKUP(A78,'Données projet'!$A$149:$I$169,7,0)),0%,VLOOKUP(A78,'Données projet'!$A$149:$I$169,7,0))</f>
        <v>0</v>
      </c>
      <c r="DF78" s="21">
        <f>EXP(-LN(2)/35)*DF77+(1-EXP(-LN(2)/35))/(LN(2)/35)*DB78*DC78*VLOOKUP('Données projet'!$B$13,Paramètres!$A$1:$I$89,3,0)*0.475*44/12</f>
        <v>10.431439042613633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134"/>
        <v>10.431439042613633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projet'!$A$175:$I$195,2,0)</f>
        <v>375</v>
      </c>
      <c r="DM78" s="12">
        <f>VLOOKUP(A78,'Données projet'!$A$175:$I$195,9,0)</f>
        <v>4.8</v>
      </c>
      <c r="DN78" s="12">
        <f t="array" ref="DN78">INDEX(DM:DM,MIN(IF(ISNUMBER(DM78:DM274),ROW(DM78:DM274),"")))</f>
        <v>4.8</v>
      </c>
      <c r="DO78" s="12">
        <f>IF('Données projet'!$A$176&gt;35,DO77+DN78-DW77,IF(A78&lt;'Données projet'!$A$176,$DL$205^A78,IF(A78='Données projet'!$A$176,'Données projet'!$B$176,DO77+DN78-DW77)))</f>
        <v>374.99999999999972</v>
      </c>
      <c r="DP78" s="17">
        <f>DO78*VLOOKUP('Données projet'!$B$14,Paramètres!$A$1:$I$89,3,0)*VLOOKUP('Données projet'!$B$14,Paramètres!$A$1:$I$89,5,0)</f>
        <v>274.94999999999976</v>
      </c>
      <c r="DQ78" s="13">
        <f t="shared" si="192"/>
        <v>65.898670891956897</v>
      </c>
      <c r="DR78" s="20">
        <f t="shared" si="135"/>
        <v>593.64476847015783</v>
      </c>
      <c r="DS78" s="59">
        <f t="shared" si="136"/>
        <v>886.9781018034912</v>
      </c>
      <c r="DT78" s="59">
        <f ca="1">AVERAGE(OFFSET($DS$3,0,0,'Données projet'!$E$14+1,1))-AVERAGE(OFFSET($H$3,0,0,'Données projet'!$E$14+1,1))</f>
        <v>296.91321813251051</v>
      </c>
      <c r="DU78" s="59">
        <f t="shared" si="193"/>
        <v>291.0718079639509</v>
      </c>
      <c r="DV78" s="15">
        <f>IF(ISNA(VLOOKUP(A78,'Données projet'!$A$175:$I$195,3,0)),0,VLOOKUP(A78,'Données projet'!$A$175:$I$195,3,0))</f>
        <v>14</v>
      </c>
      <c r="DW78" s="15">
        <f>IF(ISNA(VLOOKUP(A78,'Données projet'!$A$175:$I$195,4,0)),0,VLOOKUP(A78,'Données projet'!$A$175:$I$195,4,0))</f>
        <v>14</v>
      </c>
      <c r="DX78" s="16">
        <f>IF(ISNA(VLOOKUP(A78,'Données projet'!$A$175:$I$195,5,0)),0%,VLOOKUP(A78,'Données projet'!$A$175:$I$195,5,0)*VLOOKUP('Données projet'!$B$14,Paramètres!$A$1:$I$89,7,0))</f>
        <v>0.39990000000000003</v>
      </c>
      <c r="DY78" s="16">
        <f>IF(ISNA(VLOOKUP(A78,'Données projet'!$A$175:$I$195,6,0)),0%,VLOOKUP(A78,'Données projet'!$A$175:$I$195,6,0)*VLOOKUP('Données projet'!$B$14,Paramètres!$A$1:$I$89,7,0))</f>
        <v>3.0100000000000002E-2</v>
      </c>
      <c r="DZ78" s="16">
        <f>IF(ISNA(VLOOKUP(A78,'Données projet'!$A$175:$I$195,7,0)),0%,VLOOKUP(A78,'Données projet'!$A$175:$I$195,7,0))</f>
        <v>0</v>
      </c>
      <c r="EA78" s="21">
        <f>EXP(-LN(2)/35)*EA77+(1-EXP(-LN(2)/35))/(LN(2)/35)*DW78*DX78*VLOOKUP('Données projet'!$B$14,Paramètres!$A$1:$I$89,3,0)*0.475*44/12</f>
        <v>44.902323744332044</v>
      </c>
      <c r="EB78" s="21">
        <f>EXP(-LN(2)/25)*EB77+(1-EXP(-LN(2)/25))/(LN(2)/25)*Calculateur!DW78*Calculateur!DY78*VLOOKUP('Données projet'!$B$14,Paramètres!$A$1:$I$89,3,0)*0.475*44/12</f>
        <v>6.1511345065809371</v>
      </c>
      <c r="EC78" s="21">
        <f>EXP(-LN(2)/2)*EC77+(1-EXP(-LN(2)/2))/(LN(2)/2)*DW78*DZ78*VLOOKUP('Données projet'!$B$14,Paramètres!$A$1:$I$89,3,0)*0.475*44/12</f>
        <v>0</v>
      </c>
      <c r="ED78" s="22">
        <f t="shared" si="137"/>
        <v>51.053458250912982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projet'!$A$201:$I$221,2,0)</f>
        <v>360.47692307692307</v>
      </c>
      <c r="EH78" s="12">
        <f>VLOOKUP(A78,'Données projet'!$A$201:$I$221,9,0)</f>
        <v>9.8224358974358967</v>
      </c>
      <c r="EI78" s="12">
        <f t="array" ref="EI78">INDEX(EH:EH,MIN(IF(ISNUMBER(EH78:EH274),ROW(EH78:EH274),"")))</f>
        <v>9.8224358974358967</v>
      </c>
      <c r="EJ78" s="12">
        <f>IF('Données projet'!$A$202&gt;35,EJ77+EI78-ER77,IF(A78&lt;'Données projet'!$A$202,$EG$205^A78,IF(A78='Données projet'!$A$202,'Données projet'!$B$202,EJ77+EI78-ER77)))</f>
        <v>360.47692307692353</v>
      </c>
      <c r="EK78" s="17">
        <f>EJ78*VLOOKUP('Données projet'!$B$15,Paramètres!$A$1:$I$89,3,0)*VLOOKUP('Données projet'!$B$15,Paramètres!$A$1:$I$89,5,0)</f>
        <v>168.70320000000021</v>
      </c>
      <c r="EL78" s="13">
        <f t="shared" si="194"/>
        <v>42.799454211954647</v>
      </c>
      <c r="EM78" s="20">
        <f t="shared" si="138"/>
        <v>368.367122752488</v>
      </c>
      <c r="EN78" s="59">
        <f t="shared" si="139"/>
        <v>661.70045608582132</v>
      </c>
      <c r="EO78" s="59">
        <f ca="1">AVERAGE(OFFSET($EN$3,0,0,'Données projet'!$E$15+1,1))-AVERAGE(OFFSET($H$3,0,0,'Données projet'!$E$15+1,1))</f>
        <v>147.64256291235483</v>
      </c>
      <c r="EP78" s="59">
        <f t="shared" si="195"/>
        <v>70.859031694091868</v>
      </c>
      <c r="EQ78" s="15">
        <f>IF(ISNA(VLOOKUP(A78,'Données projet'!$A$201:$I$221,3,0)),0,VLOOKUP(A78,'Données projet'!$A$201:$I$221,3,0))</f>
        <v>3</v>
      </c>
      <c r="ER78" s="15">
        <f>IF(ISNA(VLOOKUP(A78,'Données projet'!$A$201:$I$221,4,0)),0,VLOOKUP(A78,'Données projet'!$A$201:$I$221,4,0))</f>
        <v>85.361538461538458</v>
      </c>
      <c r="ES78" s="16">
        <f>IF(ISNA(VLOOKUP(A78,'Données projet'!$A$201:$I$221,5,0)),0%,VLOOKUP(A78,'Données projet'!$A$201:$I$221,5,0)*VLOOKUP('Données projet'!$B$15,Paramètres!$A$1:$I$89,7,0))</f>
        <v>0.38500000000000001</v>
      </c>
      <c r="ET78" s="16">
        <f>IF(ISNA(VLOOKUP(A78,'Données projet'!$A$201:$I$221,6,0)),0%,VLOOKUP(A78,'Données projet'!$A$201:$I$221,6,0)*VLOOKUP('Données projet'!$B$15,Paramètres!$A$1:$I$89,7,0))</f>
        <v>9.240000000000001E-2</v>
      </c>
      <c r="EU78" s="16">
        <f>IF(ISNA(VLOOKUP(A78,'Données projet'!$A$201:$I$221,7,0)),0%,VLOOKUP(A78,'Données projet'!$A$201:$I$221,7,0))</f>
        <v>0.13200000000000001</v>
      </c>
      <c r="EV78" s="21">
        <f>EXP(-LN(2)/35)*EV77+(1-EXP(-LN(2)/35))/(LN(2)/35)*ER78*ES78*VLOOKUP('Données projet'!$B$15,Paramètres!$A$1:$I$89,3,0)*0.475*44/12</f>
        <v>40.773030748156728</v>
      </c>
      <c r="EW78" s="21">
        <f>EXP(-LN(2)/25)*EW77+(1-EXP(-LN(2)/25))/(LN(2)/25)*Calculateur!ER78*Calculateur!ET78*VLOOKUP('Données projet'!$B$15,Paramètres!$A$1:$I$89,3,0)*0.475*44/12</f>
        <v>19.126450348002148</v>
      </c>
      <c r="EX78" s="21">
        <f>EXP(-LN(2)/2)*EX77+(1-EXP(-LN(2)/2))/(LN(2)/2)*ER78*EU78*VLOOKUP('Données projet'!$B$15,Paramètres!$A$1:$I$89,3,0)*0.475*44/12</f>
        <v>6.0944281646214584</v>
      </c>
      <c r="EY78" s="22">
        <f t="shared" si="140"/>
        <v>65.993909260780342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projet'!$A$227:$I$247,2,0)</f>
        <v>204</v>
      </c>
      <c r="FC78" s="12">
        <f>VLOOKUP(A78,'Données projet'!$A$227:$I$247,9,0)</f>
        <v>3.4</v>
      </c>
      <c r="FD78" s="12">
        <f t="array" ref="FD78">INDEX(FC:FC,MIN(IF(ISNUMBER(FC78:FC274),ROW(FC78:FC274),"")))</f>
        <v>3.4</v>
      </c>
      <c r="FE78" s="12">
        <f>IF('Données projet'!$A$228&gt;35,FE77+FD78-FM77,IF(A78&lt;'Données projet'!$A$228,$FB$205^A78,IF(A78='Données projet'!$A$228,'Données projet'!$B$228,FE77+FD78-FM77)))</f>
        <v>203.99999999999997</v>
      </c>
      <c r="FF78" s="17">
        <f>FE78*VLOOKUP('Données projet'!$B$16,Paramètres!$A$1:$I$89,3,0)*VLOOKUP('Données projet'!$B$16,Paramètres!$A$1:$I$89,5,0)</f>
        <v>213.22079999999997</v>
      </c>
      <c r="FG78" s="13">
        <f t="shared" si="196"/>
        <v>52.638786839117564</v>
      </c>
      <c r="FH78" s="20">
        <f t="shared" si="141"/>
        <v>463.03878041146299</v>
      </c>
      <c r="FI78" s="59">
        <f t="shared" si="142"/>
        <v>756.37211374479625</v>
      </c>
      <c r="FJ78" s="59">
        <f ca="1">AVERAGE(OFFSET($FI$3,0,0,'Données projet'!$E$16+1,1))-AVERAGE(OFFSET($H$3,0,0,'Données projet'!$E$16+1,1))</f>
        <v>259.03906550253788</v>
      </c>
      <c r="FK78" s="59">
        <f t="shared" si="197"/>
        <v>235.54542903570831</v>
      </c>
      <c r="FL78" s="15">
        <f>IF(ISNA(VLOOKUP(A78,'Données projet'!$A$227:$I$247,3,0)),0,VLOOKUP(A78,'Données projet'!$A$227:$I$247,3,0))</f>
        <v>12</v>
      </c>
      <c r="FM78" s="15" t="str">
        <f>IF(ISNA(VLOOKUP(A78,'Données projet'!$A$227:$I$247,4,0)),0,VLOOKUP(A78,'Données projet'!$A$227:$I$247,4,0))</f>
        <v>12</v>
      </c>
      <c r="FN78" s="16">
        <f>IF(ISNA(VLOOKUP(A78,'Données projet'!$A$227:$I$247,5,0)),0%,VLOOKUP(A78,'Données projet'!$A$227:$I$247,5,0)*VLOOKUP('Données projet'!$B$16,Paramètres!$A$1:$I$89,7,0))</f>
        <v>0.17200000000000001</v>
      </c>
      <c r="FO78" s="16">
        <f>IF(ISNA(VLOOKUP(A78,'Données projet'!$A$227:$I$247,6,0)),0%,VLOOKUP(A78,'Données projet'!$A$227:$I$247,6,0)*VLOOKUP('Données projet'!$B$16,Paramètres!$A$1:$I$89,7,0))</f>
        <v>0.17200000000000001</v>
      </c>
      <c r="FP78" s="16">
        <f>IF(ISNA(VLOOKUP(A78,'Données projet'!$A$227:$I$247,7,0)),0%,VLOOKUP(A78,'Données projet'!$A$227:$I$247,7,0))</f>
        <v>0</v>
      </c>
      <c r="FQ78" s="21">
        <f>EXP(-LN(2)/35)*FQ77+(1-EXP(-LN(2)/35))/(LN(2)/35)*FM78*FN78*VLOOKUP('Données projet'!$B$16,Paramètres!$A$1:$I$89,3,0)*0.475*44/12</f>
        <v>11.986373772350218</v>
      </c>
      <c r="FR78" s="21">
        <f>EXP(-LN(2)/25)*FR77+(1-EXP(-LN(2)/25))/(LN(2)/25)*Calculateur!FM78*Calculateur!FO78*VLOOKUP('Données projet'!$B$16,Paramètres!$A$1:$I$89,3,0)*0.475*44/12</f>
        <v>17.209341041722915</v>
      </c>
      <c r="FS78" s="21">
        <f>EXP(-LN(2)/2)*FS77+(1-EXP(-LN(2)/2))/(LN(2)/2)*FM78*FP78*VLOOKUP('Données projet'!$B$16,Paramètres!$A$1:$I$89,3,0)*0.475*44/12</f>
        <v>0</v>
      </c>
      <c r="FT78" s="22">
        <f t="shared" si="143"/>
        <v>29.195714814073135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>
        <f>VLOOKUP(A78,'Données projet'!$A$253:$I$273,2,0)</f>
        <v>270</v>
      </c>
      <c r="FX78" s="12">
        <f>VLOOKUP(A78,'Données projet'!$A$253:$I$273,9,0)</f>
        <v>3.4</v>
      </c>
      <c r="FY78" s="12">
        <f t="array" ref="FY78">INDEX(FX:FX,MIN(IF(ISNUMBER(FX78:FX274),ROW(FX78:FX274),"")))</f>
        <v>3.4</v>
      </c>
      <c r="FZ78" s="12">
        <f>IF('Données projet'!$A$254&gt;35,FZ77+FY78-GH77,IF(A78&lt;'Données projet'!$A$254,$FW$205^A78,IF(A78='Données projet'!$A$254,'Données projet'!$B$254,FZ77+FY78-GH77)))</f>
        <v>269.99999999999977</v>
      </c>
      <c r="GA78" s="17">
        <f>FZ78*VLOOKUP('Données projet'!$B$17,Paramètres!$A$1:$I$89,3,0)*VLOOKUP('Données projet'!$B$17,Paramètres!$A$1:$I$89,5,0)</f>
        <v>235.87199999999982</v>
      </c>
      <c r="GB78" s="13">
        <f t="shared" si="198"/>
        <v>57.55047634701522</v>
      </c>
      <c r="GC78" s="20">
        <f t="shared" si="144"/>
        <v>511.04414630438458</v>
      </c>
      <c r="GD78" s="59">
        <f t="shared" si="145"/>
        <v>804.3774796377179</v>
      </c>
      <c r="GE78" s="59">
        <f ca="1">AVERAGE(OFFSET($GD$3,0,0,'Données projet'!$E$17+1,1))-AVERAGE(OFFSET($H$3,0,0,'Données projet'!$E$17+1,1))</f>
        <v>245.1983232777614</v>
      </c>
      <c r="GF78" s="59">
        <f t="shared" si="199"/>
        <v>242.34010522344573</v>
      </c>
      <c r="GG78" s="15">
        <f>IF(ISNA(VLOOKUP(A78,'Données projet'!$A$253:$I$273,3,0)),0,VLOOKUP(A78,'Données projet'!$A$253:$I$273,3,0))</f>
        <v>13</v>
      </c>
      <c r="GH78" s="15">
        <f>IF(ISNA(VLOOKUP(A78,'Données projet'!$A$253:$I$273,4,0)),0,VLOOKUP(A78,'Données projet'!$A$253:$I$273,4,0))</f>
        <v>9</v>
      </c>
      <c r="GI78" s="16">
        <f>IF(ISNA(VLOOKUP(A78,'Données projet'!$A$253:$I$273,5,0)),0%,VLOOKUP(A78,'Données projet'!$A$253:$I$273,5,0)*VLOOKUP('Données projet'!$B$17,Paramètres!$A$1:$I$89,7,0))</f>
        <v>0.38269999999999998</v>
      </c>
      <c r="GJ78" s="16">
        <f>IF(ISNA(VLOOKUP(A78,'Données projet'!$A$253:$I$273,6,0)),0%,VLOOKUP(A78,'Données projet'!$A$253:$I$273,6,0)*VLOOKUP('Données projet'!$B$17,Paramètres!$A$1:$I$89,7,0))</f>
        <v>4.7300000000000002E-2</v>
      </c>
      <c r="GK78" s="16">
        <f>IF(ISNA(VLOOKUP(A78,'Données projet'!$A$253:$I$273,7,0)),0%,VLOOKUP(A78,'Données projet'!$A$253:$I$273,7,0))</f>
        <v>0</v>
      </c>
      <c r="GL78" s="21">
        <f>EXP(-LN(2)/35)*GL77+(1-EXP(-LN(2)/35))/(LN(2)/35)*GH78*GI78*VLOOKUP('Données projet'!$B$17,Paramètres!$A$1:$I$89,3,0)*0.475*44/12</f>
        <v>25.091107757234443</v>
      </c>
      <c r="GM78" s="21">
        <f>EXP(-LN(2)/25)*GM77+(1-EXP(-LN(2)/25))/(LN(2)/25)*Calculateur!GH78*Calculateur!GJ78*VLOOKUP('Données projet'!$B$17,Paramètres!$A$1:$I$89,3,0)*0.475*44/12</f>
        <v>8.0291035141090958</v>
      </c>
      <c r="GN78" s="21">
        <f>EXP(-LN(2)/2)*GN77+(1-EXP(-LN(2)/2))/(LN(2)/2)*GH78*GK78*VLOOKUP('Données projet'!$B$17,Paramètres!$A$1:$I$89,3,0)*0.475*44/12</f>
        <v>0</v>
      </c>
      <c r="GO78" s="21">
        <f t="shared" si="146"/>
        <v>33.120211271343535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>
        <f>VLOOKUP(A78,'Données projet'!$A$279:$I$299,2,0)</f>
        <v>809</v>
      </c>
      <c r="GS78" s="12">
        <f>VLOOKUP(A78,'Données projet'!$A$279:$I$299,9,0)</f>
        <v>9.8000000000000007</v>
      </c>
      <c r="GT78" s="12">
        <f t="array" ref="GT78">INDEX(GS:GS,MIN(IF(ISNUMBER(GS78:GS274),ROW(GS78:GS274),"")))</f>
        <v>9.8000000000000007</v>
      </c>
      <c r="GU78" s="12">
        <f>IF('Données projet'!$A$280&gt;35,GU77+GT78-HC77,IF(A78&lt;'Données projet'!$A$280,$GR$205^A78,IF(A78='Données projet'!$A$280,'Données projet'!$B$280,GU77+GT78-HC77)))</f>
        <v>809.00000000000011</v>
      </c>
      <c r="GV78" s="17">
        <f>GU78*VLOOKUP('Données projet'!$B$18,Paramètres!$A$1:$I$89,3,0)*VLOOKUP('Données projet'!$B$18,Paramètres!$A$1:$I$89,5,0)</f>
        <v>326.02700000000004</v>
      </c>
      <c r="GW78" s="13">
        <f t="shared" si="200"/>
        <v>76.606023141116538</v>
      </c>
      <c r="GX78" s="20">
        <f t="shared" si="147"/>
        <v>701.2525153041114</v>
      </c>
      <c r="GY78" s="59">
        <f t="shared" si="148"/>
        <v>994.58584863744477</v>
      </c>
      <c r="GZ78" s="59">
        <f ca="1">AVERAGE(OFFSET($GY$3,0,0,'Données projet'!$E$18+1,1))-AVERAGE(OFFSET($H$3,0,0,'Données projet'!$E$18+1,1))</f>
        <v>324.36162935850876</v>
      </c>
      <c r="HA78" s="59">
        <f t="shared" si="201"/>
        <v>265.23571072429735</v>
      </c>
      <c r="HB78" s="15">
        <f>IF(ISNA(VLOOKUP(A78,'Données projet'!$A$279:$I$299,3,0)),0,VLOOKUP(A78,'Données projet'!$A$279:$I$299,3,0))</f>
        <v>12</v>
      </c>
      <c r="HC78" s="15">
        <f>IF(ISNA(VLOOKUP(A78,'Données projet'!$A$279:$I$299,4,0)),0,VLOOKUP(A78,'Données projet'!$A$279:$I$299,4,0))</f>
        <v>13</v>
      </c>
      <c r="HD78" s="16">
        <f>IF(ISNA(VLOOKUP(A78,'Données projet'!$A$279:$I$299,5,0)),0%,VLOOKUP(A78,'Données projet'!$A$279:$I$299,5,0)*VLOOKUP('Données projet'!$B$18,Paramètres!$A$1:$I$89,7,0))</f>
        <v>0.46808510638297879</v>
      </c>
      <c r="HE78" s="16">
        <f>IF(ISNA(VLOOKUP(A78,'Données projet'!$A$279:$I$299,6,0)),0%,VLOOKUP(A78,'Données projet'!$A$279:$I$299,6,0)*VLOOKUP('Données projet'!$B$18,Paramètres!$A$1:$I$89,7,0))</f>
        <v>5.8510638297872349E-2</v>
      </c>
      <c r="HF78" s="16">
        <f>IF(ISNA(VLOOKUP($A78,'Données projet'!$A$279:$I$299,7,0)),0%,VLOOKUP($A78,'Données projet'!$A$279:$I$299,7,0))</f>
        <v>2.1276595744680851E-2</v>
      </c>
      <c r="HG78" s="21">
        <f>EXP(-LN(2)/35)*HG77+(1-EXP(-LN(2)/35))/(LN(2)/35)*HC78*HD78*VLOOKUP('Données projet'!$B$18,Paramètres!$A$1:$I$89,3,0)*0.475*44/12</f>
        <v>18.303435413147483</v>
      </c>
      <c r="HH78" s="21">
        <f>EXP(-LN(2)/25)*HH77+(1-EXP(-LN(2)/25))/(LN(2)/25)*Calculateur!HC78*Calculateur!HE78*VLOOKUP('Données projet'!$B$18,Paramètres!$A$1:$I$89,3,0)*0.475*44/12</f>
        <v>8.9816994868512445</v>
      </c>
      <c r="HI78" s="21">
        <f>EXP(-LN(2)/2)*HI77+(1-EXP(-LN(2)/2))/(LN(2)/2)*HC78*HF78*VLOOKUP('Données projet'!$B$18,Paramètres!$A$1:$I$89,3,0)*0.475*44/12</f>
        <v>0.16859431501507235</v>
      </c>
      <c r="HJ78" s="22">
        <f t="shared" si="149"/>
        <v>27.453729215013798</v>
      </c>
      <c r="HK78" s="74">
        <f>('Scénario référence'!$F$8+'Scénario référence'!$F$9+'Scénario référence'!$B$17+'Scénario référence'!$B$9+'Scénario référence'!$B$10)*70+IF((45+25*(1-EXP(-0.0175*$A78)))&lt;70,'Scénario référence'!$B$16*(45+25*(1-EXP(-0.0175*$A78))),70*'Scénario référence'!$B$16)+IF((32+38*(1-EXP(-0.0175*$A78)))&lt;70,'Scénario référence'!$B$18*(32+38*(1-EXP(-0.0175*$A78))),70*'Scénario référence'!$B$18)</f>
        <v>70</v>
      </c>
      <c r="HL78" s="12">
        <f>IF($A78&gt;30,10,('Scénario référence'!$B$16+'Scénario référence'!$B$17+'Scénario référence'!$B$18+'Scénario référence'!$B$9+'Scénario référence'!$B$10)*$A78*10/30+('Scénario référence'!$F$8+'Scénario référence'!$F$9)*10)</f>
        <v>10</v>
      </c>
      <c r="HM78" s="12" t="e">
        <f>VLOOKUP($A78,'Données projet'!$A$304:$I$324,2,0)</f>
        <v>#N/A</v>
      </c>
      <c r="HN78" s="12" t="e">
        <f>VLOOKUP($A78,'Données projet'!$A$304:$I$324,9,0)</f>
        <v>#N/A</v>
      </c>
      <c r="HO78" s="12">
        <f t="array" ref="HO78">INDEX(HN:HN,MIN(IF(ISNUMBER(HN78:HN274),ROW(HN78:HN274),"")))</f>
        <v>0</v>
      </c>
      <c r="HP78" s="12">
        <f>IF('Données projet'!$A$304&gt;35,HP77+HO78-HX77,IF($A78&lt;'Données projet'!$A$304,$CQ$205^$A78,IF($A78='Données projet'!$A$304,'Données projet'!$B$304,HP77+HO78-HX77)))</f>
        <v>0</v>
      </c>
      <c r="HQ78" s="17">
        <f>HP78*VLOOKUP('Données projet'!$B$19,Paramètres!$A$1:$I$89,3,0)*VLOOKUP('Données projet'!$B$19,Paramètres!$A$1:$I$89,5,0)</f>
        <v>0</v>
      </c>
      <c r="HR78" s="13" t="e">
        <f t="shared" si="202"/>
        <v>#NUM!</v>
      </c>
      <c r="HS78" s="14" t="e">
        <f t="shared" si="150"/>
        <v>#NUM!</v>
      </c>
      <c r="HT78" s="59" t="e">
        <f t="shared" si="151"/>
        <v>#NUM!</v>
      </c>
      <c r="HU78" s="59">
        <f ca="1">AVERAGE(OFFSET(HT$3,0,0,'Données projet'!$E$19+1,1))-AVERAGE(OFFSET($H$3,0,0,'Données projet'!$E$19+1,1))</f>
        <v>91.60721429656013</v>
      </c>
      <c r="HV78" s="59">
        <f t="shared" si="203"/>
        <v>258.94957804210856</v>
      </c>
      <c r="HW78" s="15">
        <f>IF(ISNA(VLOOKUP($A78,'Données projet'!$A$304:$I$324,3,0)),0,VLOOKUP($A78,'Données projet'!$A$304:$I$324,3,0))</f>
        <v>0</v>
      </c>
      <c r="HX78" s="15">
        <f>IF(ISNA(VLOOKUP($A78,'Données projet'!$A$304:$I$324,4,0)),0,VLOOKUP($A78,'Données projet'!$A$304:$I$324,4,0))</f>
        <v>0</v>
      </c>
      <c r="HY78" s="16">
        <f>IF(ISNA(VLOOKUP($A78,'Données projet'!$A$304:$I$324,5,0)),0%,VLOOKUP($A78,'Données projet'!$A$304:$I$324,5,0)*VLOOKUP('Données projet'!$B$19,Paramètres!$A$1:$I$89,7,0))</f>
        <v>0</v>
      </c>
      <c r="HZ78" s="16">
        <f>IF(ISNA(VLOOKUP($A78,'Données projet'!$A$304:$I$324,6,0)),0%,VLOOKUP($A78,'Données projet'!$A$304:$I$324,6,0)*VLOOKUP('Données projet'!$B$19,Paramètres!$A$1:$I$89,7,0))</f>
        <v>0</v>
      </c>
      <c r="IA78" s="16">
        <f>IF(ISNA(VLOOKUP($A78,'Données projet'!$A$304:$I$324,7,0)),0%,VLOOKUP($A78,'Données projet'!$A$304:$I$324,7,0))</f>
        <v>0</v>
      </c>
      <c r="IB78" s="21">
        <f>EXP(-LN(2)/35)*IB77+(1-EXP(-LN(2)/35))/(LN(2)/35)*HX78*HY78*VLOOKUP('Données projet'!$B$19,Paramètres!$A$1:$I$89,3,0)*0.475*44/12</f>
        <v>20.234680941958395</v>
      </c>
      <c r="IC78" s="21">
        <f>EXP(-LN(2)/25)*IC77+(1-EXP(-LN(2)/25))/(LN(2)/25)*Calculateur!HX78*Calculateur!HZ78*VLOOKUP('Données projet'!$B$19,Paramètres!$A$1:$I$89,3,0)*0.475*44/12</f>
        <v>2.7935559076856684</v>
      </c>
      <c r="ID78" s="21">
        <f>EXP(-LN(2)/2)*ID77+(1-EXP(-LN(2)/2))/(LN(2)/2)*HX78*IA78*VLOOKUP('Données projet'!$B$19,Paramètres!$A$1:$I$89,3,0)*0.475*44/12</f>
        <v>9.6575678408755456E-8</v>
      </c>
      <c r="IE78" s="22">
        <f t="shared" si="152"/>
        <v>23.028236946219742</v>
      </c>
      <c r="IF78" s="74">
        <f>('Scénario référence'!$F$8+'Scénario référence'!$F$9+'Scénario référence'!$B$17+'Scénario référence'!$B$9+'Scénario référence'!$B$10)*70+IF((45+25*(1-EXP(-0.0175*$A78)))&lt;70,'Scénario référence'!$B$16*(45+25*(1-EXP(-0.0175*$A78))),70*'Scénario référence'!$B$16)+IF((32+38*(1-EXP(-0.0175*$A78)))&lt;70,'Scénario référence'!$B$18*(32+38*(1-EXP(-0.0175*$A78))),70*'Scénario référence'!$B$18)</f>
        <v>70</v>
      </c>
      <c r="IG78" s="12">
        <f>IF($A78&gt;30,10,('Scénario référence'!$B$16+'Scénario référence'!$B$17+'Scénario référence'!$B$18+'Scénario référence'!$B$9+'Scénario référence'!$B$10)*$A78*10/30+('Scénario référence'!$F$8+'Scénario référence'!$F$9)*10)</f>
        <v>10</v>
      </c>
      <c r="IH78" s="12" t="e">
        <f>VLOOKUP($A78,'Données projet'!$A$330:$I$350,2,0)</f>
        <v>#N/A</v>
      </c>
      <c r="II78" s="12" t="e">
        <f>VLOOKUP($A78,'Données projet'!$A$330:$I$350,9,0)</f>
        <v>#N/A</v>
      </c>
      <c r="IJ78" s="12">
        <f t="array" ref="IJ78">INDEX(II:II,MIN(IF(ISNUMBER(II78:II274),ROW(II78:II274),"")))</f>
        <v>0</v>
      </c>
      <c r="IK78" s="12">
        <f>IF('Données projet'!$A$330&gt;35,IK77+IJ78-IS77,IF($A78&lt;'Données projet'!$A$330,$CQ$205^$A78,IF($A78='Données projet'!$A$330,'Données projet'!$B$330,IK77+IJ78-IS77)))</f>
        <v>0</v>
      </c>
      <c r="IL78" s="17">
        <f>IK78*VLOOKUP('Données projet'!$B$20,Paramètres!$A$1:$I$89,3,0)*VLOOKUP('Données projet'!$B$20,Paramètres!$A$1:$I$89,5,0)</f>
        <v>0</v>
      </c>
      <c r="IM78" s="13" t="e">
        <f t="shared" si="204"/>
        <v>#NUM!</v>
      </c>
      <c r="IN78" s="20" t="e">
        <f t="shared" si="153"/>
        <v>#NUM!</v>
      </c>
      <c r="IO78" s="59" t="e">
        <f t="shared" si="154"/>
        <v>#NUM!</v>
      </c>
      <c r="IP78" s="59">
        <f ca="1">AVERAGE(OFFSET(IO$3,0,0,'Données projet'!$E$20+1,1))-AVERAGE(OFFSET($H$3,0,0,'Données projet'!$E$20+1,1))</f>
        <v>91.60721429656013</v>
      </c>
      <c r="IQ78" s="59">
        <f t="shared" si="205"/>
        <v>258.94957804210856</v>
      </c>
      <c r="IR78" s="15">
        <f>IF(ISNA(VLOOKUP($A78,'Données projet'!$A$330:$I$350,3,0)),0,VLOOKUP($A78,'Données projet'!$A$330:$I$350,3,0))</f>
        <v>0</v>
      </c>
      <c r="IS78" s="15">
        <f>IF(ISNA(VLOOKUP($A78,'Données projet'!$A$330:$I$350,4,0)),0,VLOOKUP($A78,'Données projet'!$A$330:$I$350,4,0))</f>
        <v>0</v>
      </c>
      <c r="IT78" s="16">
        <f>IF(ISNA(VLOOKUP($A78,'Données projet'!$A$330:$I$350,5,0)),0%,VLOOKUP($A78,'Données projet'!$A$330:$I$350,5,0)*VLOOKUP('Données projet'!$B$20,Paramètres!$A$1:$I$89,7,0))</f>
        <v>0</v>
      </c>
      <c r="IU78" s="16">
        <f>IF(ISNA(VLOOKUP($A78,'Données projet'!$A$330:$I$350,6,0)),0%,VLOOKUP($A78,'Données projet'!$A$330:$I$350,6,0)*VLOOKUP('Données projet'!$B$20,Paramètres!$A$1:$I$89,7,0))</f>
        <v>0</v>
      </c>
      <c r="IV78" s="16">
        <f>IF(ISNA(VLOOKUP($A78,'Données projet'!$A$330:$I$350,7,0)),0%,VLOOKUP($A78,'Données projet'!$A$330:$I$350,7,0))</f>
        <v>0</v>
      </c>
      <c r="IW78" s="21">
        <f>EXP(-LN(2)/35)*IW77+(1-EXP(-LN(2)/35))/(LN(2)/35)*IS78*IT78*VLOOKUP('Données projet'!$B$20,Paramètres!$A$1:$I$89,3,0)*0.475*44/12</f>
        <v>20.234680941958395</v>
      </c>
      <c r="IX78" s="21">
        <f>EXP(-LN(2)/25)*IX77+(1-EXP(-LN(2)/25))/(LN(2)/25)*Calculateur!IS78*Calculateur!IU78*VLOOKUP('Données projet'!$B$20,Paramètres!$A$1:$I$89,3,0)*0.475*44/12</f>
        <v>2.7935559076856684</v>
      </c>
      <c r="IY78" s="21">
        <f>EXP(-LN(2)/2)*IY77+(1-EXP(-LN(2)/2))/(LN(2)/2)*IS78*IV78*VLOOKUP('Données projet'!$B$20,Paramètres!$A$1:$I$89,3,0)*0.475*44/12</f>
        <v>9.6575678408755456E-8</v>
      </c>
      <c r="IZ78" s="22">
        <f t="shared" si="155"/>
        <v>23.028236946219742</v>
      </c>
      <c r="JA78" s="74">
        <f>('Scénario référence'!$F$8+'Scénario référence'!$F$9+'Scénario référence'!$B$17+'Scénario référence'!$B$9+'Scénario référence'!$B$10)*70+IF((45+25*(1-EXP(-0.0175*$A78)))&lt;70,'Scénario référence'!$B$16*(45+25*(1-EXP(-0.0175*$A78))),70*'Scénario référence'!$B$16)+IF((32+38*(1-EXP(-0.0175*$A78)))&lt;70,'Scénario référence'!$B$18*(32+38*(1-EXP(-0.0175*$A78))),70*'Scénario référence'!$B$18)</f>
        <v>70</v>
      </c>
      <c r="JB78" s="12">
        <f>IF($A78&gt;30,10,('Scénario référence'!$B$16+'Scénario référence'!$B$17+'Scénario référence'!$B$18+'Scénario référence'!$B$9+'Scénario référence'!$B$10)*$A78*10/30+('Scénario référence'!$F$8+'Scénario référence'!$F$9)*10)</f>
        <v>10</v>
      </c>
      <c r="JC78" s="12">
        <f>VLOOKUP($A78,'Données projet'!$A$356:$I$376,2,0)</f>
        <v>335</v>
      </c>
      <c r="JD78" s="12">
        <f>VLOOKUP($A78,'Données projet'!$A$356:$I$376,9,0)</f>
        <v>9.4</v>
      </c>
      <c r="JE78" s="12">
        <f t="array" ref="JE78">INDEX(JD:JD,MIN(IF(ISNUMBER(JD78:JD274),ROW(JD78:JD274),"")))</f>
        <v>9.4</v>
      </c>
      <c r="JF78" s="12">
        <f>IF('Données projet'!$A$356&gt;35,JF77+JE78-JN77,IF($A78&lt;'Données projet'!$A$356,$CQ$205^$A78,IF($A78='Données projet'!$A$356,'Données projet'!$B$356,JF77+JE78-JN77)))</f>
        <v>334.99999999999989</v>
      </c>
      <c r="JG78" s="17">
        <f>JF78*VLOOKUP('Données projet'!$B$21,Paramètres!$A$1:$I$89,3,0)*VLOOKUP('Données projet'!$B$21,Paramètres!$A$1:$I$89,5,0)</f>
        <v>271.75199999999995</v>
      </c>
      <c r="JH78" s="13">
        <f t="shared" si="206"/>
        <v>65.220947824724931</v>
      </c>
      <c r="JI78" s="20">
        <f t="shared" si="156"/>
        <v>586.89455079472907</v>
      </c>
      <c r="JJ78" s="59">
        <f t="shared" si="157"/>
        <v>880.22788412806244</v>
      </c>
      <c r="JK78" s="59">
        <f ca="1">AVERAGE(OFFSET($JJ$3,0,0,'Données projet'!$E$22+1,1))-AVERAGE(OFFSET($H$3,0,0,'Données projet'!$E$22+1,1))</f>
        <v>353.35574633294613</v>
      </c>
      <c r="JL78" s="59">
        <f t="shared" si="207"/>
        <v>170.36796666474726</v>
      </c>
      <c r="JM78" s="15">
        <f>IF(ISNA(VLOOKUP($A78,'Données projet'!$A$356:$I$376,3,0)),0,VLOOKUP($A78,'Données projet'!$A$356:$I$376,3,0))</f>
        <v>11</v>
      </c>
      <c r="JN78" s="15">
        <f>IF(ISNA(VLOOKUP($A78,'Données projet'!$A$356:$I$376,4,0)),0,VLOOKUP($A78,'Données projet'!$A$356:$I$376,4,0))</f>
        <v>28</v>
      </c>
      <c r="JO78" s="16">
        <f>IF(ISNA(VLOOKUP($A78,'Données projet'!$A$356:$I$376,5,0)),0%,VLOOKUP($A78,'Données projet'!$A$356:$I$376,5,0)*VLOOKUP('Données projet'!$B$21,Paramètres!$A$1:$I$89,7,0))</f>
        <v>4.3000000000000003E-2</v>
      </c>
      <c r="JP78" s="16">
        <f>IF(ISNA(VLOOKUP($A78,'Données projet'!$A$356:$I$376,6,0)),0%,VLOOKUP($A78,'Données projet'!$A$356:$I$376,6,0)*VLOOKUP('Données projet'!$B$21,Paramètres!$A$1:$I$89,7,0))</f>
        <v>0.17200000000000001</v>
      </c>
      <c r="JQ78" s="16">
        <f>IF(ISNA(VLOOKUP($A78,'Données projet'!$A$356:$I$376,7,0)),0%,VLOOKUP($A78,'Données projet'!$A$356:$I$376,7,0))</f>
        <v>0.3</v>
      </c>
      <c r="JR78" s="21">
        <f>EXP(-LN(2)/35)*JR77+(1-EXP(-LN(2)/35))/(LN(2)/35)*JN78*JO78*VLOOKUP('Données projet'!$B$21,Paramètres!$A$1:$I$89,3,0)*0.475*44/12</f>
        <v>1.0796961165400638</v>
      </c>
      <c r="JS78" s="21">
        <f>EXP(-LN(2)/25)*JS77+(1-EXP(-LN(2)/25))/(LN(2)/25)*Calculateur!JN78*Calculateur!JP78*VLOOKUP('Données projet'!$B$21,Paramètres!$A$1:$I$89,3,0)*0.475*44/12</f>
        <v>15.305320877356344</v>
      </c>
      <c r="JT78" s="21">
        <f>EXP(-LN(2)/2)*JT77+(1-EXP(-LN(2)/2))/(LN(2)/2)*JN78*JQ78*VLOOKUP('Données projet'!$B$21,Paramètres!$A$1:$I$89,3,0)*0.475*44/12</f>
        <v>7.8098708454127959</v>
      </c>
      <c r="JU78" s="18">
        <f t="shared" si="158"/>
        <v>24.194887839309203</v>
      </c>
      <c r="JV78" s="74">
        <f>('Scénario référence'!$F$8+'Scénario référence'!$F$9+'Scénario référence'!$B$17+'Scénario référence'!$B$9+'Scénario référence'!$B$10)*70+IF((45+25*(1-EXP(-0.0175*$A78)))&lt;70,'Scénario référence'!$B$16*(45+25*(1-EXP(-0.0175*$A78))),70*'Scénario référence'!$B$16)+IF((32+38*(1-EXP(-0.0175*$A78)))&lt;70,'Scénario référence'!$B$18*(32+38*(1-EXP(-0.0175*$A78))),70*'Scénario référence'!$B$18)</f>
        <v>70</v>
      </c>
      <c r="JW78" s="12">
        <f>IF($A78&gt;30,10,('Scénario référence'!$B$16+'Scénario référence'!$B$17+'Scénario référence'!$B$18+'Scénario référence'!$B$9+'Scénario référence'!$B$10)*$A78*10/30+('Scénario référence'!$F$8+'Scénario référence'!$F$9)*10)</f>
        <v>10</v>
      </c>
      <c r="JX78" s="12" t="e">
        <f>VLOOKUP($A78,'Données projet'!$A$382:$I$402,2,0)</f>
        <v>#N/A</v>
      </c>
      <c r="JY78" s="12" t="e">
        <f>VLOOKUP($A78,'Données projet'!$A$382:$I$402,9,0)</f>
        <v>#N/A</v>
      </c>
      <c r="JZ78" s="12">
        <f t="array" ref="JZ78">INDEX(JY:JY,MIN(IF(ISNUMBER(JY78:JY274),ROW(JY78:JY274),"")))</f>
        <v>7.8425925925925934</v>
      </c>
      <c r="KA78" s="12">
        <f>IF('Données projet'!$A$382&gt;35,KA77+JZ78-KI77,IF($A78&lt;'Données projet'!$A$382,$CQ$205^$A78,IF($A78='Données projet'!$A$382,'Données projet'!$B$382,KA77+JZ78-KI77)))</f>
        <v>234.79985754985771</v>
      </c>
      <c r="KB78" s="17">
        <f>KA78*VLOOKUP('Données projet'!$B$22,Paramètres!$A$1:$I$89,3,0)*VLOOKUP('Données projet'!$B$22,Paramètres!$A$1:$I$89,5,0)</f>
        <v>157.50374444444455</v>
      </c>
      <c r="KC78" s="13">
        <f t="shared" si="208"/>
        <v>40.278963760026976</v>
      </c>
      <c r="KD78" s="20">
        <f t="shared" si="159"/>
        <v>344.4715501227879</v>
      </c>
      <c r="KE78" s="59">
        <f t="shared" si="160"/>
        <v>637.80488345612116</v>
      </c>
      <c r="KF78" s="59">
        <f ca="1">AVERAGE(OFFSET($KE$3,0,0,'Données projet'!$E$22+1,1))-AVERAGE(OFFSET($H$3,0,0,'Données projet'!$E$22+1,1))</f>
        <v>193.91714772848269</v>
      </c>
      <c r="KG78" s="59">
        <f t="shared" si="209"/>
        <v>159.20429420478047</v>
      </c>
      <c r="KH78" s="15">
        <f>IF(ISNA(VLOOKUP($A78,'Données projet'!$A$382:$I$402,3,0)),0,VLOOKUP($A78,'Données projet'!$A$382:$I$402,3,0))</f>
        <v>0</v>
      </c>
      <c r="KI78" s="15">
        <f>IF(ISNA(VLOOKUP($A78,'Données projet'!$A$382:$I$402,4,0)),0,VLOOKUP($A78,'Données projet'!$A$382:$I$402,4,0))</f>
        <v>0</v>
      </c>
      <c r="KJ78" s="16">
        <f>IF(ISNA(VLOOKUP($A78,'Données projet'!$A$382:$I$402,5,0)),0%,VLOOKUP($A78,'Données projet'!$A$382:$I$402,5,0)*VLOOKUP('Données projet'!$B$22,Paramètres!$A$1:$I$89,7,0))</f>
        <v>0</v>
      </c>
      <c r="KK78" s="16">
        <f>IF(ISNA(VLOOKUP($A78,'Données projet'!$A$382:$I$402,6,0)),0%,VLOOKUP($A78,'Données projet'!$A$382:$I$402,6,0)*VLOOKUP('Données projet'!$B$22,Paramètres!$A$1:$I$89,7,0))</f>
        <v>0</v>
      </c>
      <c r="KL78" s="16">
        <f>IF(ISNA(VLOOKUP($A78,'Données projet'!$A$382:$I$402,7,0)),0%,VLOOKUP($A78,'Données projet'!$A$382:$I$402,7,0))</f>
        <v>0</v>
      </c>
      <c r="KM78" s="21">
        <f>EXP(-LN(2)/35)*KM77+(1-EXP(-LN(2)/35))/(LN(2)/35)*KI78*KJ78*VLOOKUP('Données projet'!$B$22,Paramètres!$A$1:$I$89,3,0)*0.475*44/12</f>
        <v>19.201123537546977</v>
      </c>
      <c r="KN78" s="21">
        <f>EXP(-LN(2)/25)*KN77+(1-EXP(-LN(2)/25))/(LN(2)/25)*Calculateur!KI78*Calculateur!KK78*VLOOKUP('Données projet'!$B$22,Paramètres!$A$1:$I$89,3,0)*0.475*44/12</f>
        <v>0</v>
      </c>
      <c r="KO78" s="21">
        <f>EXP(-LN(2)/2)*KO77+(1-EXP(-LN(2)/2))/(LN(2)/2)*KI78*KL78*VLOOKUP('Données projet'!$B$22,Paramètres!$A$1:$I$89,3,0)*0.475*44/12</f>
        <v>0</v>
      </c>
      <c r="KP78" s="22">
        <f t="shared" si="161"/>
        <v>19.201123537546977</v>
      </c>
      <c r="KQ78" s="74">
        <f>('Scénario référence'!$F$8+'Scénario référence'!$F$9+'Scénario référence'!$B$17+'Scénario référence'!$B$9+'Scénario référence'!$B$10)*70+IF((45+25*(1-EXP(-0.0175*$A78)))&lt;70,'Scénario référence'!$B$16*(45+25*(1-EXP(-0.0175*$A78))),70*'Scénario référence'!$B$16)+IF((32+38*(1-EXP(-0.0175*$A78)))&lt;70,'Scénario référence'!$B$18*(32+38*(1-EXP(-0.0175*$A78))),70*'Scénario référence'!$B$18)</f>
        <v>70</v>
      </c>
      <c r="KR78" s="12">
        <f>IF($A78&gt;30,10,('Scénario référence'!$B$16+'Scénario référence'!$B$17+'Scénario référence'!$B$18+'Scénario référence'!$B$9+'Scénario référence'!$B$10)*$A78*10/30+('Scénario référence'!$F$8+'Scénario référence'!$F$9)*10)</f>
        <v>10</v>
      </c>
      <c r="KS78" s="12">
        <f>VLOOKUP($A78,'Données projet'!$A$408:$I$428,2,0)</f>
        <v>270</v>
      </c>
      <c r="KT78" s="12">
        <f>VLOOKUP($A78,'Données projet'!$A$408:$I$428,9,0)</f>
        <v>3.4</v>
      </c>
      <c r="KU78" s="12">
        <f t="array" ref="KU78">INDEX(KT:KT,MIN(IF(ISNUMBER(KT78:KT274),ROW(KT78:KT274),"")))</f>
        <v>3.4</v>
      </c>
      <c r="KV78" s="12">
        <f>IF('Données projet'!$A$408&gt;35,KV77+KU78-LD77,IF($A78&lt;'Données projet'!$A$408,$CQ$205^$A78,IF($A78='Données projet'!$A$408,'Données projet'!$B$408,KV77+KU78-LD77)))</f>
        <v>269.99999999999983</v>
      </c>
      <c r="KW78" s="17">
        <f>KV78*VLOOKUP('Données projet'!$B$23,Paramètres!$A$1:$I$89,3,0)*VLOOKUP('Données projet'!$B$23,Paramètres!$A$1:$I$89,5,0)</f>
        <v>235.8719999999999</v>
      </c>
      <c r="KX78" s="13">
        <f t="shared" si="210"/>
        <v>57.550476347015277</v>
      </c>
      <c r="KY78" s="14">
        <f t="shared" si="162"/>
        <v>511.04414630438481</v>
      </c>
      <c r="KZ78" s="59">
        <f t="shared" si="163"/>
        <v>804.37747963771812</v>
      </c>
      <c r="LA78" s="59">
        <f ca="1">AVERAGE(OFFSET($KZ$3,0,0,'Données projet'!$E$23+1,1))-AVERAGE(OFFSET($H$3,0,0,'Données projet'!$E$23+1,1))</f>
        <v>248.33596943633819</v>
      </c>
      <c r="LB78" s="59">
        <f t="shared" si="211"/>
        <v>242.34010522344573</v>
      </c>
      <c r="LC78" s="15">
        <f>IF(ISNA(VLOOKUP($A78,'Données projet'!$A$408:$I$428,3,0)),0,VLOOKUP($A78,'Données projet'!$A$408:$I$428,3,0))</f>
        <v>13</v>
      </c>
      <c r="LD78" s="15">
        <f>IF(ISNA(VLOOKUP($A78,'Données projet'!$A$408:$I$428,4,0)),0,VLOOKUP($A78,'Données projet'!$A$408:$I$428,4,0))</f>
        <v>9</v>
      </c>
      <c r="LE78" s="16">
        <f>IF(ISNA(VLOOKUP($A78,'Données projet'!$A$408:$I$428,5,0)),0%,VLOOKUP($A78,'Données projet'!$A$408:$I$428,5,0)*VLOOKUP('Données projet'!$B$23,Paramètres!$A$1:$I$89,7,0))</f>
        <v>0.38269999999999998</v>
      </c>
      <c r="LF78" s="16">
        <f>IF(ISNA(VLOOKUP($A78,'Données projet'!$A$408:$I$428,6,0)),0%,VLOOKUP($A78,'Données projet'!$A$408:$I$428,6,0)*VLOOKUP('Données projet'!$B$23,Paramètres!$A$1:$I$89,7,0))</f>
        <v>4.7300000000000002E-2</v>
      </c>
      <c r="LG78" s="16">
        <f>IF(ISNA(VLOOKUP($A78,'Données projet'!$A$408:$I$428,7,0)),0%,VLOOKUP($A78,'Données projet'!$A$408:$I$428,7,0))</f>
        <v>0</v>
      </c>
      <c r="LH78" s="21">
        <f>EXP(-LN(2)/35)*LH77+(1-EXP(-LN(2)/35))/(LN(2)/35)*LD78*LE78*VLOOKUP('Données projet'!$B$23,Paramètres!$A$1:$I$89,3,0)*0.475*44/12</f>
        <v>25.091107757234443</v>
      </c>
      <c r="LI78" s="21">
        <f>EXP(-LN(2)/25)*LI77+(1-EXP(-LN(2)/25))/(LN(2)/25)*Calculateur!LD78*Calculateur!LF78*VLOOKUP('Données projet'!$B$23,Paramètres!$A$1:$I$89,3,0)*0.475*44/12</f>
        <v>8.0291035141090958</v>
      </c>
      <c r="LJ78" s="21">
        <f>EXP(-LN(2)/2)*LJ77+(1-EXP(-LN(2)/2))/(LN(2)/2)*LD78*LG78*VLOOKUP('Données projet'!$B$23,Paramètres!$A$1:$I$89,3,0)*0.475*44/12</f>
        <v>0</v>
      </c>
      <c r="LK78" s="22">
        <f t="shared" si="164"/>
        <v>33.120211271343535</v>
      </c>
      <c r="LL78" s="74">
        <f>('Scénario référence'!$F$8+'Scénario référence'!$F$9+'Scénario référence'!$B$17+'Scénario référence'!$B$9+'Scénario référence'!$B$10)*70+IF((45+25*(1-EXP(-0.0175*$A78)))&lt;70,'Scénario référence'!$B$16*(45+25*(1-EXP(-0.0175*$A78))),70*'Scénario référence'!$B$16)+IF((32+38*(1-EXP(-0.0175*$A78)))&lt;70,'Scénario référence'!$B$18*(32+38*(1-EXP(-0.0175*$A78))),70*'Scénario référence'!$B$18)</f>
        <v>70</v>
      </c>
      <c r="LM78" s="12">
        <f>IF($A78&gt;30,10,('Scénario référence'!$B$16+'Scénario référence'!$B$17+'Scénario référence'!$B$18+'Scénario référence'!$B$9+'Scénario référence'!$B$10)*$A78*10/30+('Scénario référence'!$F$8+'Scénario référence'!$F$9)*10)</f>
        <v>10</v>
      </c>
      <c r="LN78" s="12">
        <f>VLOOKUP($A78,'Données projet'!$A$434:$I$454,2,0)</f>
        <v>181.38461538461536</v>
      </c>
      <c r="LO78" s="12">
        <f>VLOOKUP($A78,'Données projet'!$A$434:$I$454,9,0)</f>
        <v>5.6899038461538431</v>
      </c>
      <c r="LP78" s="12">
        <f t="array" ref="LP78">INDEX(LO:LO,MIN(IF(ISNUMBER(LO78:LO274),ROW(LO78:LO274),"")))</f>
        <v>5.6899038461538431</v>
      </c>
      <c r="LQ78" s="12">
        <f>IF('Données projet'!$A$434&gt;35,LQ77+LP78-LY77,IF($A78&lt;'Données projet'!$A$434,$CQ$205^$A78,IF($A78='Données projet'!$A$434,'Données projet'!$B$434,LQ77+LP78-LY77)))</f>
        <v>181.38461538461533</v>
      </c>
      <c r="LR78" s="17">
        <f>LQ78*VLOOKUP('Données projet'!$B$24,Paramètres!$A$1:$I$89,3,0)*VLOOKUP('Données projet'!$B$24,Paramètres!$A$1:$I$89,5,0)</f>
        <v>183.92399999999995</v>
      </c>
      <c r="LS78" s="13">
        <f t="shared" si="212"/>
        <v>46.194105104770117</v>
      </c>
      <c r="LT78" s="14">
        <f t="shared" si="165"/>
        <v>400.78903305747446</v>
      </c>
      <c r="LU78" s="59">
        <f t="shared" si="166"/>
        <v>694.12236639080777</v>
      </c>
      <c r="LV78" s="59">
        <f ca="1">AVERAGE(OFFSET($LU$3,0,0,'Données projet'!$E$24+1,1))-AVERAGE(OFFSET($H$3,0,0,'Données projet'!$E$24+1,1))</f>
        <v>260.52627655062872</v>
      </c>
      <c r="LW78" s="59">
        <f t="shared" si="213"/>
        <v>159.20429420478047</v>
      </c>
      <c r="LX78" s="15">
        <f>IF(ISNA(VLOOKUP($A78,'Données projet'!$A$434:$I$454,3,0)),0,VLOOKUP($A78,'Données projet'!$A$434:$I$454,3,0))</f>
        <v>5</v>
      </c>
      <c r="LY78" s="15">
        <f>IF(ISNA(VLOOKUP($A78,'Données projet'!$A$434:$I$454,4,0)),0,VLOOKUP($A78,'Données projet'!$A$434:$I$454,4,0))</f>
        <v>30.916666666666664</v>
      </c>
      <c r="LZ78" s="16">
        <f>IF(ISNA(VLOOKUP($A78,'Données projet'!$A$434:$I$454,5,0)),0%,VLOOKUP($A78,'Données projet'!$A$434:$I$454,5,0)*VLOOKUP('Données projet'!$B$24,Paramètres!$A$1:$I$89,7,0))</f>
        <v>0.30099999999999999</v>
      </c>
      <c r="MA78" s="16">
        <f>IF(ISNA(VLOOKUP($A78,'Données projet'!$A$434:$I$454,6,0)),0%,VLOOKUP($A78,'Données projet'!$A$434:$I$454,6,0)*VLOOKUP('Données projet'!$B$24,Paramètres!$A$1:$I$89,7,0))</f>
        <v>0</v>
      </c>
      <c r="MB78" s="16">
        <f>IF(ISNA(VLOOKUP($A78,'Données projet'!$A$434:$I$454,7,0)),0%,VLOOKUP($A78,'Données projet'!$A$434:$I$454,7,0))</f>
        <v>0</v>
      </c>
      <c r="MC78" s="21">
        <f>EXP(-LN(2)/35)*MC77+(1-EXP(-LN(2)/35))/(LN(2)/35)*LY78*LZ78*VLOOKUP('Données projet'!$B$24,Paramètres!$A$1:$I$89,3,0)*0.475*44/12</f>
        <v>10.431439042613633</v>
      </c>
      <c r="MD78" s="21">
        <f>EXP(-LN(2)/25)*MD77+(1-EXP(-LN(2)/25))/(LN(2)/25)*Calculateur!LY78*Calculateur!MA78*VLOOKUP('Données projet'!$B$24,Paramètres!$A$1:$I$89,3,0)*0.475*44/12</f>
        <v>0</v>
      </c>
      <c r="ME78" s="21">
        <f>EXP(-LN(2)/2)*ME77+(1-EXP(-LN(2)/2))/(LN(2)/2)*LY78*MB78*VLOOKUP('Données projet'!$B$24,Paramètres!$A$1:$I$89,3,0)*0.475*44/12</f>
        <v>0</v>
      </c>
      <c r="MF78" s="22">
        <f t="shared" si="167"/>
        <v>10.431439042613633</v>
      </c>
      <c r="MG78" s="74">
        <f>('Scénario référence'!$F$8+'Scénario référence'!$F$9+'Scénario référence'!$B$17+'Scénario référence'!$B$9+'Scénario référence'!$B$10)*70+IF((45+25*(1-EXP(-0.0175*$A78)))&lt;70,'Scénario référence'!$B$16*(45+25*(1-EXP(-0.0175*$A78))),70*'Scénario référence'!$B$16)+IF((32+38*(1-EXP(-0.0175*$A78)))&lt;70,'Scénario référence'!$B$18*(32+38*(1-EXP(-0.0175*$A78))),70*'Scénario référence'!$B$18)</f>
        <v>70</v>
      </c>
      <c r="MH78" s="12">
        <f>IF($A78&gt;30,10,('Scénario référence'!$B$16+'Scénario référence'!$B$17+'Scénario référence'!$B$18+'Scénario référence'!$B$9+'Scénario référence'!$B$10)*$A78*10/30+('Scénario référence'!$F$8+'Scénario référence'!$F$9)*10)</f>
        <v>10</v>
      </c>
      <c r="MI78" s="12" t="e">
        <f>VLOOKUP($A78,'Données projet'!$A$460:$I$480,2,0)</f>
        <v>#N/A</v>
      </c>
      <c r="MJ78" s="12" t="e">
        <f>VLOOKUP($A78,'Données projet'!$A$460:$I$480,9,0)</f>
        <v>#N/A</v>
      </c>
      <c r="MK78" s="12">
        <f t="array" ref="MK78">INDEX(MJ:MJ,MIN(IF(ISNUMBER(MJ78:MJ274),ROW(MJ78:MJ274),"")))</f>
        <v>0</v>
      </c>
      <c r="ML78" s="12">
        <f>IF('Données projet'!$A$460&gt;35,ML77+MK78-MT77,IF($A78&lt;'Données projet'!$A$460,$CQ$205^$A78,IF($A78='Données projet'!$A$460,'Données projet'!$B$460,ML77+MK78-MT77)))</f>
        <v>0</v>
      </c>
      <c r="MM78" s="17" t="e">
        <f>ML78*VLOOKUP('Données projet'!$B$25,Paramètres!$A$1:$I$89,3,0)*VLOOKUP('Données projet'!$B$25,Paramètres!$A$1:$I$89,5,0)</f>
        <v>#N/A</v>
      </c>
      <c r="MN78" s="13" t="e">
        <f t="shared" si="214"/>
        <v>#N/A</v>
      </c>
      <c r="MO78" s="14" t="e">
        <f t="shared" si="168"/>
        <v>#N/A</v>
      </c>
      <c r="MP78" s="59" t="e">
        <f t="shared" si="169"/>
        <v>#N/A</v>
      </c>
      <c r="MQ78" s="20" t="e">
        <f ca="1">AVERAGE(OFFSET($MP$3,0,0,'Données projet'!$E$25+1,1))-AVERAGE(OFFSET($H$3,0,0,'Données projet'!$E$25+1,1))</f>
        <v>#N/A</v>
      </c>
      <c r="MR78" s="59" t="e">
        <f t="shared" si="215"/>
        <v>#N/A</v>
      </c>
      <c r="MS78" s="15">
        <f>IF(ISNA(VLOOKUP($A78,'Données projet'!$A$460:$I$480,3,0)),0,VLOOKUP($A78,'Données projet'!$A$460:$I$480,3,0))</f>
        <v>0</v>
      </c>
      <c r="MT78" s="15">
        <f>IF(ISNA(VLOOKUP($A78,'Données projet'!$A$460:$I$480,4,0)),0,VLOOKUP($A78,'Données projet'!$A$460:$I$480,4,0))</f>
        <v>0</v>
      </c>
      <c r="MU78" s="16">
        <f>IF(ISNA(VLOOKUP($A78,'Données projet'!$A$460:$I$480,5,0)),0%,VLOOKUP($A78,'Données projet'!$A$460:$I$480,5,0)*VLOOKUP('Données projet'!$B$25,Paramètres!$A$1:$I$89,7,0))</f>
        <v>0</v>
      </c>
      <c r="MV78" s="16">
        <f>IF(ISNA(VLOOKUP($A78,'Données projet'!$A$460:$I$480,6,0)),0%,VLOOKUP($A78,'Données projet'!$A$460:$I$480,6,0)*VLOOKUP('Données projet'!$B$25,Paramètres!$A$1:$I$89,7,0))</f>
        <v>0</v>
      </c>
      <c r="MW78" s="16">
        <f>IF(ISNA(VLOOKUP($A78,'Données projet'!$A$460:$I$480,7,0)),0%,VLOOKUP($A78,'Données projet'!$A$460:$I$480,7,0))</f>
        <v>0</v>
      </c>
      <c r="MX78" s="21" t="e">
        <f>EXP(-LN(2)/35)*MX77+(1-EXP(-LN(2)/35))/(LN(2)/35)*MT78*MU78*VLOOKUP('Données projet'!$B$25,Paramètres!$A$1:$I$89,3,0)*0.475*44/12</f>
        <v>#N/A</v>
      </c>
      <c r="MY78" s="21" t="e">
        <f>EXP(-LN(2)/25)*MY77+(1-EXP(-LN(2)/25))/(LN(2)/25)*Calculateur!MT78*Calculateur!MV78*VLOOKUP('Données projet'!$B$25,Paramètres!$A$1:$I$89,3,0)*0.475*44/12</f>
        <v>#N/A</v>
      </c>
      <c r="MZ78" s="21" t="e">
        <f>EXP(-LN(2)/2)*MZ77+(1-EXP(-LN(2)/2))/(LN(2)/2)*MT78*MW78*VLOOKUP('Données projet'!$B$25,Paramètres!$A$1:$I$89,3,0)*0.475*44/12</f>
        <v>#N/A</v>
      </c>
      <c r="NA78" s="22" t="e">
        <f t="shared" si="170"/>
        <v>#N/A</v>
      </c>
      <c r="NB78" s="74">
        <f>('Scénario référence'!$F$8+'Scénario référence'!$F$9+'Scénario référence'!$B$17+'Scénario référence'!$B$9+'Scénario référence'!$B$10)*70+IF((45+25*(1-EXP(-0.0175*$A78)))&lt;70,'Scénario référence'!$B$16*(45+25*(1-EXP(-0.0175*$A78))),70*'Scénario référence'!$B$16)+IF((32+38*(1-EXP(-0.0175*$A78)))&lt;70,'Scénario référence'!$B$18*(32+38*(1-EXP(-0.0175*$A78))),70*'Scénario référence'!$B$18)</f>
        <v>70</v>
      </c>
      <c r="NC78" s="12">
        <f>IF($A78&gt;30,10,('Scénario référence'!$B$16+'Scénario référence'!$B$17+'Scénario référence'!$B$18+'Scénario référence'!$B$9+'Scénario référence'!$B$10)*$A78*10/30+('Scénario référence'!$F$8+'Scénario référence'!$F$9)*10)</f>
        <v>10</v>
      </c>
      <c r="ND78" s="12" t="e">
        <f>VLOOKUP($A78,'Données projet'!$A$486:$I$506,2,0)</f>
        <v>#N/A</v>
      </c>
      <c r="NE78" s="12" t="e">
        <f>VLOOKUP($A78,'Données projet'!$A$486:$I$506,9,0)</f>
        <v>#N/A</v>
      </c>
      <c r="NF78" s="12">
        <f t="array" ref="NF78">INDEX(NE:NE,MIN(IF(ISNUMBER(NE78:NE274),ROW(NE78:NE274),"")))</f>
        <v>0</v>
      </c>
      <c r="NG78" s="12">
        <f>IF('Données projet'!$A$486&gt;35,NG77+NF78-NO77,IF($A78&lt;'Données projet'!$A$486,$CQ$205^$A78,IF($A78='Données projet'!$A$486,'Données projet'!$B$486,NG77+NF78-NO77)))</f>
        <v>0</v>
      </c>
      <c r="NH78" s="17" t="e">
        <f>NG78*VLOOKUP('Données projet'!$B$26,Paramètres!$A$1:$I$89,3,0)*VLOOKUP('Données projet'!$B$26,Paramètres!$A$1:$I$89,5,0)</f>
        <v>#N/A</v>
      </c>
      <c r="NI78" s="13" t="e">
        <f t="shared" si="216"/>
        <v>#N/A</v>
      </c>
      <c r="NJ78" s="14" t="e">
        <f t="shared" si="171"/>
        <v>#N/A</v>
      </c>
      <c r="NK78" s="59" t="e">
        <f t="shared" si="172"/>
        <v>#N/A</v>
      </c>
      <c r="NL78" s="20" t="e">
        <f ca="1">AVERAGE(OFFSET($NK$3,0,0,'Données projet'!$E$26+1,1))-AVERAGE(OFFSET($H$3,0,0,'Données projet'!$E$26+1,1))</f>
        <v>#N/A</v>
      </c>
      <c r="NM78" s="59" t="e">
        <f t="shared" si="217"/>
        <v>#N/A</v>
      </c>
      <c r="NN78" s="15">
        <f>IF(ISNA(VLOOKUP($A78,'Données projet'!$A$486:$I$506,3,0)),0,VLOOKUP($A78,'Données projet'!$A$486:$I$506,3,0))</f>
        <v>0</v>
      </c>
      <c r="NO78" s="15">
        <f>IF(ISNA(VLOOKUP($A78,'Données projet'!$A$486:$I$506,4,0)),0,VLOOKUP($A78,'Données projet'!$A$486:$I$506,4,0))</f>
        <v>0</v>
      </c>
      <c r="NP78" s="16">
        <f>IF(ISNA(VLOOKUP($A78,'Données projet'!$A$486:$I$506,5,0)),0%,VLOOKUP($A78,'Données projet'!$A$486:$I$506,5,0)*VLOOKUP('Données projet'!$B$26,Paramètres!$A$1:$I$89,7,0))</f>
        <v>0</v>
      </c>
      <c r="NQ78" s="16">
        <f>IF(ISNA(VLOOKUP($A78,'Données projet'!$A$486:$I$506,6,0)),0%,VLOOKUP($A78,'Données projet'!$A$486:$I$506,6,0)*VLOOKUP('Données projet'!$B$26,Paramètres!$A$1:$I$89,7,0))</f>
        <v>0</v>
      </c>
      <c r="NR78" s="16">
        <f>IF(ISNA(VLOOKUP($A78,'Données projet'!$A$486:$I$506,7,0)),0%,VLOOKUP($A78,'Données projet'!$A$486:$I$506,7,0))</f>
        <v>0</v>
      </c>
      <c r="NS78" s="21" t="e">
        <f>EXP(-LN(2)/35)*NS77+(1-EXP(-LN(2)/35))/(LN(2)/35)*NO78*NP78*VLOOKUP('Données projet'!$B$26,Paramètres!$A$1:$I$89,3,0)*0.475*44/12</f>
        <v>#N/A</v>
      </c>
      <c r="NT78" s="21" t="e">
        <f>EXP(-LN(2)/25)*NT77+(1-EXP(-LN(2)/25))/(LN(2)/25)*Calculateur!NO78*Calculateur!NQ78*VLOOKUP('Données projet'!$B$26,Paramètres!$A$1:$I$89,3,0)*0.475*44/12</f>
        <v>#N/A</v>
      </c>
      <c r="NU78" s="21" t="e">
        <f>EXP(-LN(2)/2)*NU77+(1-EXP(-LN(2)/2))/(LN(2)/2)*NO78*NR78*VLOOKUP('Données projet'!$B$26,Paramètres!$A$1:$I$89,3,0)*0.475*44/12</f>
        <v>#N/A</v>
      </c>
      <c r="NV78" s="22" t="e">
        <f t="shared" si="173"/>
        <v>#N/A</v>
      </c>
      <c r="NW78" s="74">
        <f>('Scénario référence'!$F$8+'Scénario référence'!$F$9+'Scénario référence'!$B$17+'Scénario référence'!$B$9+'Scénario référence'!$B$10)*70+IF((45+25*(1-EXP(-0.0175*$A78)))&lt;70,'Scénario référence'!$B$16*(45+25*(1-EXP(-0.0175*$A78))),70*'Scénario référence'!$B$16)+IF((32+38*(1-EXP(-0.0175*$A78)))&lt;70,'Scénario référence'!$B$18*(32+38*(1-EXP(-0.0175*$A78))),70*'Scénario référence'!$B$18)</f>
        <v>70</v>
      </c>
      <c r="NX78" s="12">
        <f>IF($A78&gt;30,10,('Scénario référence'!$B$16+'Scénario référence'!$B$17+'Scénario référence'!$B$18+'Scénario référence'!$B$9+'Scénario référence'!$B$10)*$A78*10/30+('Scénario référence'!$F$8+'Scénario référence'!$F$9)*10)</f>
        <v>10</v>
      </c>
      <c r="NY78" s="12" t="e">
        <f>VLOOKUP($A78,'Données projet'!$A$512:$I$532,2,0)</f>
        <v>#N/A</v>
      </c>
      <c r="NZ78" s="12" t="e">
        <f>VLOOKUP($A78,'Données projet'!$A$512:$I$532,9,0)</f>
        <v>#N/A</v>
      </c>
      <c r="OA78" s="12">
        <f t="array" ref="OA78">INDEX(NZ:NZ,MIN(IF(ISNUMBER(NZ78:NZ274),ROW(NZ78:NZ274),"")))</f>
        <v>0</v>
      </c>
      <c r="OB78" s="12">
        <f>IF('Données projet'!$A$512&gt;35,OB77+OA78-OJ77,IF($A78&lt;'Données projet'!$A$512,$CQ$205^$A78,IF($A78='Données projet'!$A$512,'Données projet'!$B$512,OB77+OA78-OJ77)))</f>
        <v>0</v>
      </c>
      <c r="OC78" s="17" t="e">
        <f>OB78*VLOOKUP('Données projet'!$B$27,Paramètres!$A$1:$I$89,3,0)*VLOOKUP('Données projet'!$B$27,Paramètres!$A$1:$I$89,5,0)</f>
        <v>#N/A</v>
      </c>
      <c r="OD78" s="13" t="e">
        <f t="shared" si="218"/>
        <v>#N/A</v>
      </c>
      <c r="OE78" s="14" t="e">
        <f t="shared" si="174"/>
        <v>#N/A</v>
      </c>
      <c r="OF78" s="59" t="e">
        <f t="shared" si="175"/>
        <v>#N/A</v>
      </c>
      <c r="OG78" s="20" t="e">
        <f ca="1">AVERAGE(OFFSET($OF$3,0,0,'Données projet'!$E$27+1,1))-AVERAGE(OFFSET($H$3,0,0,'Données projet'!$E$27+1,1))</f>
        <v>#N/A</v>
      </c>
      <c r="OH78" s="59" t="e">
        <f t="shared" si="219"/>
        <v>#N/A</v>
      </c>
      <c r="OI78" s="15">
        <f>IF(ISNA(VLOOKUP($A78,'Données projet'!$A$512:$I$532,3,0)),0,VLOOKUP($A78,'Données projet'!$A$512:$I$532,3,0))</f>
        <v>0</v>
      </c>
      <c r="OJ78" s="15">
        <f>IF(ISNA(VLOOKUP($A78,'Données projet'!$A$512:$I$532,4,0)),0,VLOOKUP($A78,'Données projet'!$A$512:$I$532,4,0))</f>
        <v>0</v>
      </c>
      <c r="OK78" s="16">
        <f>IF(ISNA(VLOOKUP($A78,'Données projet'!$A$512:$I$532,5,0)),0%,VLOOKUP($A78,'Données projet'!$A$512:$I$532,5,0)*VLOOKUP('Données projet'!$B$27,Paramètres!$A$1:$I$89,7,0))</f>
        <v>0</v>
      </c>
      <c r="OL78" s="16">
        <f>IF(ISNA(VLOOKUP($A78,'Données projet'!$A$512:$I$532,6,0)),0%,VLOOKUP($A78,'Données projet'!$A$512:$I$532,6,0)*VLOOKUP('Données projet'!$B$27,Paramètres!$A$1:$I$89,7,0))</f>
        <v>0</v>
      </c>
      <c r="OM78" s="16">
        <f>IF(ISNA(VLOOKUP($A78,'Données projet'!$A$512:$I$532,7,0)),0%,VLOOKUP($A78,'Données projet'!$A$512:$I$532,7,0))</f>
        <v>0</v>
      </c>
      <c r="ON78" s="21" t="e">
        <f>EXP(-LN(2)/35)*ON77+(1-EXP(-LN(2)/35))/(LN(2)/35)*OJ78*OK78*VLOOKUP('Données projet'!$B$27,Paramètres!$A$1:$I$89,3,0)*0.475*44/12</f>
        <v>#N/A</v>
      </c>
      <c r="OO78" s="21" t="e">
        <f>EXP(-LN(2)/25)*OO77+(1-EXP(-LN(2)/25))/(LN(2)/25)*Calculateur!OJ78*Calculateur!OL78*VLOOKUP('Données projet'!$B$27,Paramètres!$A$1:$I$89,3,0)*0.475*44/12</f>
        <v>#N/A</v>
      </c>
      <c r="OP78" s="21" t="e">
        <f>EXP(-LN(2)/2)*OP77+(1-EXP(-LN(2)/2))/(LN(2)/2)*OJ78*OM78*VLOOKUP('Données projet'!$B$27,Paramètres!$A$1:$I$89,3,0)*0.475*44/12</f>
        <v>#N/A</v>
      </c>
      <c r="OQ78" s="22" t="e">
        <f t="shared" si="176"/>
        <v>#N/A</v>
      </c>
      <c r="OR78" s="74">
        <f>('Scénario référence'!$F$8+'Scénario référence'!$F$9+'Scénario référence'!$B$17+'Scénario référence'!$B$9+'Scénario référence'!$B$10)*70+IF((45+25*(1-EXP(-0.0175*$A78)))&lt;70,'Scénario référence'!$B$16*(45+25*(1-EXP(-0.0175*$A78))),70*'Scénario référence'!$B$16)+IF((32+38*(1-EXP(-0.0175*$A78)))&lt;70,'Scénario référence'!$B$18*(32+38*(1-EXP(-0.0175*$A78))),70*'Scénario référence'!$B$18)</f>
        <v>70</v>
      </c>
      <c r="OS78" s="12">
        <f>IF($A78&gt;30,10,('Scénario référence'!$B$16+'Scénario référence'!$B$17+'Scénario référence'!$B$18+'Scénario référence'!$B$9+'Scénario référence'!$B$10)*$A78*10/30+('Scénario référence'!$F$8+'Scénario référence'!$F$9)*10)</f>
        <v>10</v>
      </c>
      <c r="OT78" s="12" t="e">
        <f>VLOOKUP($A78,'Données projet'!$A$538:$I$558,2,0)</f>
        <v>#N/A</v>
      </c>
      <c r="OU78" s="12" t="e">
        <f>VLOOKUP($A78,'Données projet'!$A$538:$I$558,9,0)</f>
        <v>#N/A</v>
      </c>
      <c r="OV78" s="12">
        <f t="array" ref="OV78">INDEX(OU:OU,MIN(IF(ISNUMBER(OU78:OU274),ROW(OU78:OU274),"")))</f>
        <v>0</v>
      </c>
      <c r="OW78" s="12">
        <f>IF('Données projet'!$A$538&gt;35,OW77+OV78-PE77,IF($A78&lt;'Données projet'!$A$538,$CQ$205^$A78,IF($A78='Données projet'!$A$538,'Données projet'!$B$538,OW77+OV78-PE77)))</f>
        <v>0</v>
      </c>
      <c r="OX78" s="17" t="e">
        <f>OW78*VLOOKUP('Données projet'!$B$28,Paramètres!$A$1:$I$89,3,0)*VLOOKUP('Données projet'!$B$28,Paramètres!$A$1:$I$89,5,0)</f>
        <v>#N/A</v>
      </c>
      <c r="OY78" s="13" t="e">
        <f t="shared" si="220"/>
        <v>#N/A</v>
      </c>
      <c r="OZ78" s="14" t="e">
        <f t="shared" si="177"/>
        <v>#N/A</v>
      </c>
      <c r="PA78" s="59" t="e">
        <f t="shared" si="178"/>
        <v>#N/A</v>
      </c>
      <c r="PB78" s="20" t="e">
        <f ca="1">AVERAGE(OFFSET($PA$3,0,0,'Données projet'!$E$28+1,1))-AVERAGE(OFFSET($H$3,0,0,'Données projet'!$E$28+1,1))</f>
        <v>#N/A</v>
      </c>
      <c r="PC78" s="59" t="e">
        <f t="shared" si="221"/>
        <v>#N/A</v>
      </c>
      <c r="PD78" s="15">
        <f>IF(ISNA(VLOOKUP($A78,'Données projet'!$A$538:$I$558,3,0)),0,VLOOKUP($A78,'Données projet'!$A$538:$I$558,3,0))</f>
        <v>0</v>
      </c>
      <c r="PE78" s="15">
        <f>IF(ISNA(VLOOKUP($A78,'Données projet'!$A$538:$I$558,4,0)),0,VLOOKUP($A78,'Données projet'!$A$538:$I$558,4,0))</f>
        <v>0</v>
      </c>
      <c r="PF78" s="16">
        <f>IF(ISNA(VLOOKUP($A78,'Données projet'!$A$538:$I$558,5,0)),0%,VLOOKUP($A78,'Données projet'!$A$538:$I$558,5,0)*VLOOKUP('Données projet'!$B$28,Paramètres!$A$1:$I$89,7,0))</f>
        <v>0</v>
      </c>
      <c r="PG78" s="16">
        <f>IF(ISNA(VLOOKUP($A78,'Données projet'!$A$538:$I$558,6,0)),0%,VLOOKUP($A78,'Données projet'!$A$538:$I$558,6,0)*VLOOKUP('Données projet'!$B$28,Paramètres!$A$1:$I$89,7,0))</f>
        <v>0</v>
      </c>
      <c r="PH78" s="16">
        <f>IF(ISNA(VLOOKUP($A78,'Données projet'!$A$538:$I$558,7,0)),0%,VLOOKUP($A78,'Données projet'!$A$538:$I$558,7,0))</f>
        <v>0</v>
      </c>
      <c r="PI78" s="21" t="e">
        <f>EXP(-LN(2)/35)*PI77+(1-EXP(-LN(2)/35))/(LN(2)/35)*PE78*PF78*VLOOKUP('Données projet'!$B$28,Paramètres!$A$1:$I$89,3,0)*0.475*44/12</f>
        <v>#N/A</v>
      </c>
      <c r="PJ78" s="21" t="e">
        <f>EXP(-LN(2)/25)*PJ77+(1-EXP(-LN(2)/25))/(LN(2)/25)*Calculateur!PE78*Calculateur!PG78*VLOOKUP('Données projet'!$B$28,Paramètres!$A$1:$I$89,3,0)*0.475*44/12</f>
        <v>#N/A</v>
      </c>
      <c r="PK78" s="21" t="e">
        <f>EXP(-LN(2)/2)*PK77+(1-EXP(-LN(2)/2))/(LN(2)/2)*PE78*PH78*VLOOKUP('Données projet'!$B$28,Paramètres!$A$1:$I$89,3,0)*0.475*44/12</f>
        <v>#N/A</v>
      </c>
      <c r="PL78" s="22" t="e">
        <f t="shared" si="179"/>
        <v>#N/A</v>
      </c>
    </row>
    <row r="79" spans="1:428" x14ac:dyDescent="0.35">
      <c r="A79" s="10">
        <f t="shared" si="180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181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121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projet'!$A$45:$I$65,2,0)</f>
        <v>#N/A</v>
      </c>
      <c r="L79" s="12" t="e">
        <f>VLOOKUP(A79,'Données projet'!$A$45:$I$65,9,0)</f>
        <v>#N/A</v>
      </c>
      <c r="M79" s="12">
        <f t="array" ref="M79">INDEX(L:L,MIN(IF(ISNUMBER(L79:L275),ROW(L79:L275),"")))</f>
        <v>0</v>
      </c>
      <c r="N79" s="13">
        <f>IF('Données projet'!$A$46&gt;35,N78+M79-V78,IF(A79&lt;'Données projet'!$A$46,$K$205^A79,IF(A79='Données projet'!$A$46,'Données projet'!$B$46,N78+M79-V78)))</f>
        <v>-1.1368683772161603E-13</v>
      </c>
      <c r="O79" s="13">
        <f>N79*VLOOKUP('Données projet'!$B$9,Paramètres!$A$1:$I$89,3,0)*VLOOKUP('Données projet'!$B$9,Paramètres!$A$1:$I$89,5,0)</f>
        <v>-6.3550942286383367E-14</v>
      </c>
      <c r="P79" s="13" t="e">
        <f t="shared" si="182"/>
        <v>#NUM!</v>
      </c>
      <c r="Q79" s="20" t="e">
        <f t="shared" si="119"/>
        <v>#NUM!</v>
      </c>
      <c r="R79" s="59" t="e">
        <f t="shared" si="120"/>
        <v>#NUM!</v>
      </c>
      <c r="S79" s="59">
        <f ca="1">AVERAGE(OFFSET($R$3,0,0,'Données projet'!$E$9+1,1))-AVERAGE(OFFSET($H$3,0,0,'Données projet'!$E$9+1,1))</f>
        <v>274.57619581652199</v>
      </c>
      <c r="T79" s="59">
        <f t="shared" si="183"/>
        <v>366.15117322598775</v>
      </c>
      <c r="U79" s="15">
        <f>IF(ISNA(VLOOKUP(A79,'Données projet'!$A$45:$I$65,3,0)),0,VLOOKUP(A79,'Données projet'!$A$45:$I$65,3,0))</f>
        <v>0</v>
      </c>
      <c r="V79" s="15">
        <f>IF(ISNA(VLOOKUP(A79,'Données projet'!$A$45:$I$65,4,0)),0,VLOOKUP(A79,'Données projet'!$A$45:$I$65,4,0))</f>
        <v>0</v>
      </c>
      <c r="W79" s="16">
        <f>IF(ISNA(VLOOKUP(A79,'Données projet'!$A$45:$I$65,5,0)),0%,VLOOKUP(A79,'Données projet'!$A$45:$I$65,5,0)*VLOOKUP('Données projet'!$B$9,Paramètres!$A$1:$I$89,7,0))</f>
        <v>0</v>
      </c>
      <c r="X79" s="16">
        <f>IF(ISNA(VLOOKUP(A79,'Données projet'!$A$45:$I$65,6,0)),0%,VLOOKUP(A79,'Données projet'!$A$45:$I$65,6,0)*VLOOKUP('Données projet'!$B$9,Paramètres!$A$1:$I$89,7,0))</f>
        <v>0</v>
      </c>
      <c r="Y79" s="16">
        <f>IF(ISNA(VLOOKUP(A79,'Données projet'!$A$45:$I$65,7,0)),0%,VLOOKUP(A79,'Données projet'!$A$45:$I$65,7,0))</f>
        <v>0</v>
      </c>
      <c r="Z79" s="21">
        <f>EXP(-LN(2)/35)*Z78+(1-EXP(-LN(2)/35))/(LN(2)/35)*V79*W79*VLOOKUP('Données projet'!$B$9,Paramètres!$A$1:$I$89,3,0)*0.475*44/12</f>
        <v>149.53790634115254</v>
      </c>
      <c r="AA79" s="21">
        <f>EXP(-LN(2)/25)*AA78+(1-EXP(-LN(2)/25))/(LN(2)/25)*Calculateur!V79*Calculateur!X79*VLOOKUP('Données projet'!$B$9,Paramètres!$A$1:$I$89,3,0)*0.475*44/12</f>
        <v>32.182160175977849</v>
      </c>
      <c r="AB79" s="21">
        <f>EXP(-LN(2)/2)*AB78+(1-EXP(-LN(2)/2))/(LN(2)/2)*V79*Y79*VLOOKUP('Données projet'!$B$9,Paramètres!$A$1:$I$89,3,0)*0.475*44/12</f>
        <v>2.3589540737776454E-2</v>
      </c>
      <c r="AC79" s="22">
        <f t="shared" si="122"/>
        <v>181.74365605786818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projet'!$A$71:$I$91,2,0)</f>
        <v>#N/A</v>
      </c>
      <c r="AG79" s="12" t="e">
        <f>VLOOKUP(A79,'Données projet'!$A$71:$I$91,9,0)</f>
        <v>#N/A</v>
      </c>
      <c r="AH79" s="12">
        <f t="array" ref="AH79">INDEX(AG:AG,MIN(IF(ISNUMBER(AG79:AG275),ROW(AG79:AG275),"")))</f>
        <v>7.8425925925925934</v>
      </c>
      <c r="AI79" s="13">
        <f>IF('Données projet'!$A$72&gt;35,AI78+AH79-AQ78,IF(A79&lt;'Données projet'!$A$72,$AF$205^A79,IF(A79='Données projet'!$A$72,'Données projet'!$B$72,AI78+AH79-AQ78)))</f>
        <v>242.64245014245034</v>
      </c>
      <c r="AJ79" s="13">
        <f>AI79*VLOOKUP('Données projet'!$B$10,Paramètres!$A$1:$I$89,3,0)*VLOOKUP('Données projet'!$B$10,Paramètres!$A$1:$I$89,5,0)</f>
        <v>219.54288888888908</v>
      </c>
      <c r="AK79" s="13">
        <f t="shared" si="184"/>
        <v>54.015522855627488</v>
      </c>
      <c r="AL79" s="20">
        <f t="shared" si="123"/>
        <v>476.44756712169959</v>
      </c>
      <c r="AM79" s="59">
        <f t="shared" si="124"/>
        <v>769.78090045503291</v>
      </c>
      <c r="AN79" s="59">
        <f ca="1">AVERAGE(OFFSET($AM$3,0,0,'Données projet'!$E$10+1,1))-AVERAGE(OFFSET($H$3,0,0,'Données projet'!$E$10+1,1))</f>
        <v>270.87836509222456</v>
      </c>
      <c r="AO79" s="59">
        <f t="shared" si="185"/>
        <v>205.24998237949734</v>
      </c>
      <c r="AP79" s="15">
        <f>IF(ISNA(VLOOKUP(A79,'Données projet'!$A$71:$I$91,3,0)),0,VLOOKUP(A79,'Données projet'!$A$71:$I$91,3,0))</f>
        <v>0</v>
      </c>
      <c r="AQ79" s="15">
        <f>IF(ISNA(VLOOKUP(A79,'Données projet'!$A$71:$I$91,4,0)),0,VLOOKUP(A79,'Données projet'!$A$71:$I$91,4,0))</f>
        <v>0</v>
      </c>
      <c r="AR79" s="16">
        <f>IF(ISNA(VLOOKUP(A79,'Données projet'!$A$71:$I$91,5,0)),0%,VLOOKUP(A79,'Données projet'!$A$71:$I$91,5,0)*VLOOKUP('Données projet'!$B$10,Paramètres!$A$1:$I$89,7,0))</f>
        <v>0</v>
      </c>
      <c r="AS79" s="16">
        <f>IF(ISNA(VLOOKUP(A79,'Données projet'!$A$71:$I$91,6,0)),0%,VLOOKUP(A79,'Données projet'!$A$71:$I$91,6,0)*VLOOKUP('Données projet'!$B$10,Paramètres!$A$1:$I$89,7,0))</f>
        <v>0</v>
      </c>
      <c r="AT79" s="16">
        <f>IF(ISNA(VLOOKUP(A79,'Données projet'!$A$71:$I$91,7,0)),0%,VLOOKUP(A79,'Données projet'!$A$71:$I$91,7,0))</f>
        <v>0</v>
      </c>
      <c r="AU79" s="21">
        <f>EXP(-LN(2)/35)*AU78+(1-EXP(-LN(2)/35))/(LN(2)/35)*AQ79*AR79*VLOOKUP('Données projet'!$B$10,Paramètres!$A$1:$I$89,3,0)*0.475*44/12</f>
        <v>20.600506991646569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125"/>
        <v>20.600506991646569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projet'!$A$97:$I$117,2,0)</f>
        <v>#N/A</v>
      </c>
      <c r="BB79" s="12" t="e">
        <f>VLOOKUP(A79,'Données projet'!$A$97:$I$117,9,0)</f>
        <v>#N/A</v>
      </c>
      <c r="BC79" s="12">
        <f t="array" ref="BC79">INDEX(BB:BB,MIN(IF(ISNUMBER(BB79:BB275),ROW(BB79:BB275),"")))</f>
        <v>0</v>
      </c>
      <c r="BD79" s="12">
        <f>IF('Données projet'!$A$98&gt;35,BD78+BC79-BL78,IF(A79&lt;'Données projet'!$A$98,$BA$205^A79,IF(A79='Données projet'!$A$98,'Données projet'!$B$98,BD78+BC79-BL78)))</f>
        <v>-1.1368683772161603E-13</v>
      </c>
      <c r="BE79" s="13">
        <f>BD79*VLOOKUP('Données projet'!$B$11,Paramètres!$A$1:$I$89,3,0)*VLOOKUP('Données projet'!$B$11,Paramètres!$A$1:$I$89,5,0)</f>
        <v>-5.0249582272954292E-14</v>
      </c>
      <c r="BF79" s="13" t="e">
        <f t="shared" si="186"/>
        <v>#NUM!</v>
      </c>
      <c r="BG79" s="20" t="e">
        <f t="shared" si="126"/>
        <v>#NUM!</v>
      </c>
      <c r="BH79" s="59" t="e">
        <f t="shared" si="127"/>
        <v>#NUM!</v>
      </c>
      <c r="BI79" s="59">
        <f ca="1">AVERAGE(OFFSET($BH$3,0,0,'Données projet'!$E$11+1,1))-AVERAGE(OFFSET($H$3,0,0,'Données projet'!$E$11+1,1))</f>
        <v>211.31057120485542</v>
      </c>
      <c r="BJ79" s="59">
        <f t="shared" si="187"/>
        <v>283.33292006714777</v>
      </c>
      <c r="BK79" s="15">
        <f>IF(ISNA(VLOOKUP(A79,'Données projet'!$A$97:$I$117,3,0)),0,VLOOKUP(A79,'Données projet'!$A$97:$I$117,3,0))</f>
        <v>0</v>
      </c>
      <c r="BL79" s="15">
        <f>IF(ISNA(VLOOKUP(A79,'Données projet'!$A$97:$I$117,4,0)),0,VLOOKUP(A79,'Données projet'!$A$97:$I$117,4,0))</f>
        <v>0</v>
      </c>
      <c r="BM79" s="16">
        <f>IF(ISNA(VLOOKUP(A79,'Données projet'!$A$97:$I$117,5,0)),0%,VLOOKUP(A79,'Données projet'!$A$97:$I$117,5,0)*VLOOKUP('Données projet'!$B$11,Paramètres!$A$1:$I$89,7,0))</f>
        <v>0</v>
      </c>
      <c r="BN79" s="16">
        <f>IF(ISNA(VLOOKUP(A79,'Données projet'!$A$97:$I$117,6,0)),0%,VLOOKUP(A79,'Données projet'!$A$97:$I$117,6,0)*VLOOKUP('Données projet'!$B$11,Paramètres!$A$1:$I$89,7,0))</f>
        <v>0</v>
      </c>
      <c r="BO79" s="16">
        <f>IF(ISNA(VLOOKUP(A79,'Données projet'!$A$97:$I$117,7,0)),0%,VLOOKUP(A79,'Données projet'!$A$97:$I$117,7,0))</f>
        <v>0</v>
      </c>
      <c r="BP79" s="21">
        <f>EXP(-LN(2)/35)*BP78+(1-EXP(-LN(2)/35))/(LN(2)/35)*BL79*BM79*VLOOKUP('Données projet'!$B$11,Paramètres!$A$1:$I$89,3,0)*0.475*44/12</f>
        <v>118.23927478137644</v>
      </c>
      <c r="BQ79" s="21">
        <f>EXP(-LN(2)/25)*BQ78+(1-EXP(-LN(2)/25))/(LN(2)/25)*Calculateur!BL79*Calculateur!BN79*VLOOKUP('Données projet'!$B$11,Paramètres!$A$1:$I$89,3,0)*0.475*44/12</f>
        <v>25.446359208912714</v>
      </c>
      <c r="BR79" s="21">
        <f>EXP(-LN(2)/2)*BR78+(1-EXP(-LN(2)/2))/(LN(2)/2)*BL79*BO79*VLOOKUP('Données projet'!$B$11,Paramètres!$A$1:$I$89,3,0)*0.475*44/12</f>
        <v>1.8652195001962774E-2</v>
      </c>
      <c r="BS79" s="22">
        <f t="shared" si="128"/>
        <v>143.70428618529112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projet'!$A$123:$I$143,2,0)</f>
        <v>#N/A</v>
      </c>
      <c r="BW79" s="12" t="e">
        <f>VLOOKUP(A79,'Données projet'!$A$123:$I$143,9,0)</f>
        <v>#N/A</v>
      </c>
      <c r="BX79" s="12">
        <f t="array" ref="BX79">INDEX(BW:BW,MIN(IF(ISNUMBER(BW79:BW275),ROW(BW79:BW275),"")))</f>
        <v>4</v>
      </c>
      <c r="BY79" s="12">
        <f>IF('Données projet'!$A$124&gt;35,BY78+BX79-CG78,IF(A79&lt;'Données projet'!$A$124,$BV$205^A79,IF(A79='Données projet'!$A$124,'Données projet'!$B$124,BY78+BX79-CG78)))</f>
        <v>229.00000000000003</v>
      </c>
      <c r="BZ79" s="13">
        <f>BY79*VLOOKUP('Données projet'!$B$12,Paramètres!$A$1:$I$89,3,0)*VLOOKUP('Données projet'!$B$12,Paramètres!$A$1:$I$89,5,0)</f>
        <v>239.35080000000005</v>
      </c>
      <c r="CA79" s="13">
        <f t="shared" si="188"/>
        <v>58.299829927807131</v>
      </c>
      <c r="CB79" s="20">
        <f t="shared" si="129"/>
        <v>518.4081804575975</v>
      </c>
      <c r="CC79" s="59">
        <f t="shared" si="130"/>
        <v>811.74151379093087</v>
      </c>
      <c r="CD79" s="59">
        <f ca="1">AVERAGE(OFFSET($CC$3,0,0,'Données projet'!$E$12+1,1))-AVERAGE(OFFSET($H$3,0,0,'Données projet'!$E$12+1,1))</f>
        <v>322.93502595881938</v>
      </c>
      <c r="CE79" s="59">
        <f t="shared" si="189"/>
        <v>302.67072119588164</v>
      </c>
      <c r="CF79" s="15">
        <f>IF(ISNA(VLOOKUP(A79,'Données projet'!$A$123:$I$143,3,0)),0,VLOOKUP(A79,'Données projet'!$A$123:$I$143,3,0))</f>
        <v>0</v>
      </c>
      <c r="CG79" s="15">
        <f>IF(ISNA(VLOOKUP(A79,'Données projet'!$A$123:$I$143,4,0)),0,VLOOKUP(A79,'Données projet'!$A$123:$I$143,4,0))</f>
        <v>0</v>
      </c>
      <c r="CH79" s="16">
        <f>IF(ISNA(VLOOKUP(A79,'Données projet'!$A$123:$I$143,5,0)),0%,VLOOKUP(A79,'Données projet'!$A$123:$I$143,5,0)*VLOOKUP('Données projet'!$B$12,Paramètres!$A$1:$I$89,7,0))</f>
        <v>0</v>
      </c>
      <c r="CI79" s="16">
        <f>IF(ISNA(VLOOKUP(A79,'Données projet'!$A$123:$I$143,6,0)),0%,VLOOKUP(A79,'Données projet'!$A$123:$I$143,6,0)*VLOOKUP('Données projet'!$B$12,Paramètres!$A$1:$I$89,7,0))</f>
        <v>0</v>
      </c>
      <c r="CJ79" s="16">
        <f>IF(ISNA(VLOOKUP(A79,'Données projet'!$A$123:$I$143,7,0)),0%,VLOOKUP(A79,'Données projet'!$A$123:$I$143,7,0))</f>
        <v>0</v>
      </c>
      <c r="CK79" s="21">
        <f>EXP(-LN(2)/35)*CK78+(1-EXP(-LN(2)/35))/(LN(2)/35)*CG79*CH79*VLOOKUP('Données projet'!$B$12,Paramètres!$A$1:$I$89,3,0)*0.475*44/12</f>
        <v>25.104905761041596</v>
      </c>
      <c r="CL79" s="21">
        <f>EXP(-LN(2)/25)*CL78+(1-EXP(-LN(2)/25))/(LN(2)/25)*Calculateur!CG79*Calculateur!CI79*VLOOKUP('Données projet'!$B$12,Paramètres!$A$1:$I$89,3,0)*0.475*44/12</f>
        <v>22.552431784913885</v>
      </c>
      <c r="CM79" s="21">
        <f>EXP(-LN(2)/2)*CM78+(1-EXP(-LN(2)/2))/(LN(2)/2)*CG79*CJ79*VLOOKUP('Données projet'!$B$12,Paramètres!$A$1:$I$89,3,0)*0.475*44/12</f>
        <v>0</v>
      </c>
      <c r="CN79" s="22">
        <f t="shared" si="131"/>
        <v>47.657337545955485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projet'!$A$149:$I$169,2,0)</f>
        <v>#N/A</v>
      </c>
      <c r="CR79" s="12" t="e">
        <f>VLOOKUP(A79,'Données projet'!$A$149:$I$169,9,0)</f>
        <v>#N/A</v>
      </c>
      <c r="CS79" s="12">
        <f t="array" ref="CS79">INDEX(CR:CR,MIN(IF(ISNUMBER(CR79:CR275),ROW(CR79:CR275),"")))</f>
        <v>5.5042735042735051</v>
      </c>
      <c r="CT79" s="12">
        <f>IF('Données projet'!$A$150&gt;35,CT78+CS79-DB78,IF(A79&lt;'Données projet'!$A$150,$CQ$205^A79,IF(A79='Données projet'!$A$150,'Données projet'!$B$150,CT78+CS79-DB78)))</f>
        <v>155.97222222222217</v>
      </c>
      <c r="CU79" s="17">
        <f>CT79*VLOOKUP('Données projet'!$B$13,Paramètres!$A$1:$I$89,3,0)*VLOOKUP('Données projet'!$B$13,Paramètres!$A$1:$I$89,5,0)</f>
        <v>158.15583333333331</v>
      </c>
      <c r="CV79" s="13">
        <f t="shared" si="190"/>
        <v>40.426278232755124</v>
      </c>
      <c r="CW79" s="20">
        <f t="shared" si="132"/>
        <v>345.86384431093734</v>
      </c>
      <c r="CX79" s="59">
        <f t="shared" si="133"/>
        <v>639.1971776442706</v>
      </c>
      <c r="CY79" s="59">
        <f ca="1">AVERAGE(OFFSET($CX$3,0,0,'Données projet'!$E$13+1,1))-AVERAGE(OFFSET($H$3,0,0,'Données projet'!$E$13+1,1))</f>
        <v>250.31277422753283</v>
      </c>
      <c r="CZ79" s="59">
        <f t="shared" si="191"/>
        <v>159.20429420478047</v>
      </c>
      <c r="DA79" s="15">
        <f>IF(ISNA(VLOOKUP(A79,'Données projet'!$A$149:$I$169,3,0)),0,VLOOKUP(A79,'Données projet'!$A$149:$I$169,3,0))</f>
        <v>0</v>
      </c>
      <c r="DB79" s="15">
        <f>IF(ISNA(VLOOKUP(A79,'Données projet'!$A$149:$I$169,4,0)),0,VLOOKUP(A79,'Données projet'!$A$149:$I$169,4,0))</f>
        <v>0</v>
      </c>
      <c r="DC79" s="16">
        <f>IF(ISNA(VLOOKUP(A79,'Données projet'!$A$149:$I$169,5,0)),0%,VLOOKUP(A79,'Données projet'!$A$149:$I$169,5,0)*VLOOKUP('Données projet'!$B$13,Paramètres!$A$1:$I$89,7,0))</f>
        <v>0</v>
      </c>
      <c r="DD79" s="16">
        <f>IF(ISNA(VLOOKUP(A79,'Données projet'!$A$149:$I$169,6,0)),0%,VLOOKUP(A79,'Données projet'!$A$149:$I$169,6,0)*VLOOKUP('Données projet'!$B$13,Paramètres!$A$1:$I$89,7,0))</f>
        <v>0</v>
      </c>
      <c r="DE79" s="16">
        <f>IF(ISNA(VLOOKUP(A79,'Données projet'!$A$149:$I$169,7,0)),0%,VLOOKUP(A79,'Données projet'!$A$149:$I$169,7,0))</f>
        <v>0</v>
      </c>
      <c r="DF79" s="21">
        <f>EXP(-LN(2)/35)*DF78+(1-EXP(-LN(2)/35))/(LN(2)/35)*DB79*DC79*VLOOKUP('Données projet'!$B$13,Paramètres!$A$1:$I$89,3,0)*0.475*44/12</f>
        <v>10.226884885537546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134"/>
        <v>10.226884885537546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projet'!$A$175:$I$195,2,0)</f>
        <v>#N/A</v>
      </c>
      <c r="DM79" s="12" t="e">
        <f>VLOOKUP(A79,'Données projet'!$A$175:$I$195,9,0)</f>
        <v>#N/A</v>
      </c>
      <c r="DN79" s="12">
        <f t="array" ref="DN79">INDEX(DM:DM,MIN(IF(ISNUMBER(DM79:DM275),ROW(DM79:DM275),"")))</f>
        <v>4</v>
      </c>
      <c r="DO79" s="12">
        <f>IF('Données projet'!$A$176&gt;35,DO78+DN79-DW78,IF(A79&lt;'Données projet'!$A$176,$DL$205^A79,IF(A79='Données projet'!$A$176,'Données projet'!$B$176,DO78+DN79-DW78)))</f>
        <v>364.99999999999972</v>
      </c>
      <c r="DP79" s="17">
        <f>DO79*VLOOKUP('Données projet'!$B$14,Paramètres!$A$1:$I$89,3,0)*VLOOKUP('Données projet'!$B$14,Paramètres!$A$1:$I$89,5,0)</f>
        <v>267.61799999999982</v>
      </c>
      <c r="DQ79" s="13">
        <f t="shared" si="192"/>
        <v>64.343488352847658</v>
      </c>
      <c r="DR79" s="20">
        <f t="shared" si="135"/>
        <v>578.16625888120927</v>
      </c>
      <c r="DS79" s="59">
        <f t="shared" si="136"/>
        <v>871.49959221454264</v>
      </c>
      <c r="DT79" s="59">
        <f ca="1">AVERAGE(OFFSET($DS$3,0,0,'Données projet'!$E$14+1,1))-AVERAGE(OFFSET($H$3,0,0,'Données projet'!$E$14+1,1))</f>
        <v>296.91321813251051</v>
      </c>
      <c r="DU79" s="59">
        <f t="shared" si="193"/>
        <v>291.0718079639509</v>
      </c>
      <c r="DV79" s="15">
        <f>IF(ISNA(VLOOKUP(A79,'Données projet'!$A$175:$I$195,3,0)),0,VLOOKUP(A79,'Données projet'!$A$175:$I$195,3,0))</f>
        <v>0</v>
      </c>
      <c r="DW79" s="15">
        <f>IF(ISNA(VLOOKUP(A79,'Données projet'!$A$175:$I$195,4,0)),0,VLOOKUP(A79,'Données projet'!$A$175:$I$195,4,0))</f>
        <v>0</v>
      </c>
      <c r="DX79" s="16">
        <f>IF(ISNA(VLOOKUP(A79,'Données projet'!$A$175:$I$195,5,0)),0%,VLOOKUP(A79,'Données projet'!$A$175:$I$195,5,0)*VLOOKUP('Données projet'!$B$14,Paramètres!$A$1:$I$89,7,0))</f>
        <v>0</v>
      </c>
      <c r="DY79" s="16">
        <f>IF(ISNA(VLOOKUP(A79,'Données projet'!$A$175:$I$195,6,0)),0%,VLOOKUP(A79,'Données projet'!$A$175:$I$195,6,0)*VLOOKUP('Données projet'!$B$14,Paramètres!$A$1:$I$89,7,0))</f>
        <v>0</v>
      </c>
      <c r="DZ79" s="16">
        <f>IF(ISNA(VLOOKUP(A79,'Données projet'!$A$175:$I$195,7,0)),0%,VLOOKUP(A79,'Données projet'!$A$175:$I$195,7,0))</f>
        <v>0</v>
      </c>
      <c r="EA79" s="21">
        <f>EXP(-LN(2)/35)*EA78+(1-EXP(-LN(2)/35))/(LN(2)/35)*DW79*DX79*VLOOKUP('Données projet'!$B$14,Paramètres!$A$1:$I$89,3,0)*0.475*44/12</f>
        <v>44.021816563418867</v>
      </c>
      <c r="EB79" s="21">
        <f>EXP(-LN(2)/25)*EB78+(1-EXP(-LN(2)/25))/(LN(2)/25)*Calculateur!DW79*Calculateur!DY79*VLOOKUP('Données projet'!$B$14,Paramètres!$A$1:$I$89,3,0)*0.475*44/12</f>
        <v>5.982931410024376</v>
      </c>
      <c r="EC79" s="21">
        <f>EXP(-LN(2)/2)*EC78+(1-EXP(-LN(2)/2))/(LN(2)/2)*DW79*DZ79*VLOOKUP('Données projet'!$B$14,Paramètres!$A$1:$I$89,3,0)*0.475*44/12</f>
        <v>0</v>
      </c>
      <c r="ED79" s="22">
        <f t="shared" si="137"/>
        <v>50.004747973443244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projet'!$A$201:$I$221,2,0)</f>
        <v>#N/A</v>
      </c>
      <c r="EH79" s="12" t="e">
        <f>VLOOKUP(A79,'Données projet'!$A$201:$I$221,9,0)</f>
        <v>#N/A</v>
      </c>
      <c r="EI79" s="12">
        <f t="array" ref="EI79">INDEX(EH:EH,MIN(IF(ISNUMBER(EH79:EH275),ROW(EH79:EH275),"")))</f>
        <v>9.001923076923072</v>
      </c>
      <c r="EJ79" s="12">
        <f>IF('Données projet'!$A$202&gt;35,EJ78+EI79-ER78,IF(A79&lt;'Données projet'!$A$202,$EG$205^A79,IF(A79='Données projet'!$A$202,'Données projet'!$B$202,EJ78+EI79-ER78)))</f>
        <v>284.11730769230815</v>
      </c>
      <c r="EK79" s="17">
        <f>EJ79*VLOOKUP('Données projet'!$B$15,Paramètres!$A$1:$I$89,3,0)*VLOOKUP('Données projet'!$B$15,Paramètres!$A$1:$I$89,5,0)</f>
        <v>132.96690000000021</v>
      </c>
      <c r="EL79" s="13">
        <f t="shared" si="194"/>
        <v>34.681019848273998</v>
      </c>
      <c r="EM79" s="20">
        <f t="shared" si="138"/>
        <v>291.98679373574424</v>
      </c>
      <c r="EN79" s="59">
        <f t="shared" si="139"/>
        <v>585.32012706907756</v>
      </c>
      <c r="EO79" s="59">
        <f ca="1">AVERAGE(OFFSET($EN$3,0,0,'Données projet'!$E$15+1,1))-AVERAGE(OFFSET($H$3,0,0,'Données projet'!$E$15+1,1))</f>
        <v>147.64256291235483</v>
      </c>
      <c r="EP79" s="59">
        <f t="shared" si="195"/>
        <v>70.859031694091868</v>
      </c>
      <c r="EQ79" s="15">
        <f>IF(ISNA(VLOOKUP(A79,'Données projet'!$A$201:$I$221,3,0)),0,VLOOKUP(A79,'Données projet'!$A$201:$I$221,3,0))</f>
        <v>0</v>
      </c>
      <c r="ER79" s="15">
        <f>IF(ISNA(VLOOKUP(A79,'Données projet'!$A$201:$I$221,4,0)),0,VLOOKUP(A79,'Données projet'!$A$201:$I$221,4,0))</f>
        <v>0</v>
      </c>
      <c r="ES79" s="16">
        <f>IF(ISNA(VLOOKUP(A79,'Données projet'!$A$201:$I$221,5,0)),0%,VLOOKUP(A79,'Données projet'!$A$201:$I$221,5,0)*VLOOKUP('Données projet'!$B$15,Paramètres!$A$1:$I$89,7,0))</f>
        <v>0</v>
      </c>
      <c r="ET79" s="16">
        <f>IF(ISNA(VLOOKUP(A79,'Données projet'!$A$201:$I$221,6,0)),0%,VLOOKUP(A79,'Données projet'!$A$201:$I$221,6,0)*VLOOKUP('Données projet'!$B$15,Paramètres!$A$1:$I$89,7,0))</f>
        <v>0</v>
      </c>
      <c r="EU79" s="16">
        <f>IF(ISNA(VLOOKUP(A79,'Données projet'!$A$201:$I$221,7,0)),0%,VLOOKUP(A79,'Données projet'!$A$201:$I$221,7,0))</f>
        <v>0</v>
      </c>
      <c r="EV79" s="21">
        <f>EXP(-LN(2)/35)*EV78+(1-EXP(-LN(2)/35))/(LN(2)/35)*ER79*ES79*VLOOKUP('Données projet'!$B$15,Paramètres!$A$1:$I$89,3,0)*0.475*44/12</f>
        <v>39.973496484278513</v>
      </c>
      <c r="EW79" s="21">
        <f>EXP(-LN(2)/25)*EW78+(1-EXP(-LN(2)/25))/(LN(2)/25)*Calculateur!ER79*Calculateur!ET79*VLOOKUP('Données projet'!$B$15,Paramètres!$A$1:$I$89,3,0)*0.475*44/12</f>
        <v>18.60343655741972</v>
      </c>
      <c r="EX79" s="21">
        <f>EXP(-LN(2)/2)*EX78+(1-EXP(-LN(2)/2))/(LN(2)/2)*ER79*EU79*VLOOKUP('Données projet'!$B$15,Paramètres!$A$1:$I$89,3,0)*0.475*44/12</f>
        <v>4.3094114826581187</v>
      </c>
      <c r="EY79" s="22">
        <f t="shared" si="140"/>
        <v>62.886344524356353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projet'!$A$227:$I$247,2,0)</f>
        <v>#N/A</v>
      </c>
      <c r="FC79" s="12" t="e">
        <f>VLOOKUP(A79,'Données projet'!$A$227:$I$247,9,0)</f>
        <v>#N/A</v>
      </c>
      <c r="FD79" s="12">
        <f t="array" ref="FD79">INDEX(FC:FC,MIN(IF(ISNUMBER(FC79:FC275),ROW(FC79:FC275),"")))</f>
        <v>3.2</v>
      </c>
      <c r="FE79" s="12">
        <f>IF('Données projet'!$A$228&gt;35,FE78+FD79-FM78,IF(A79&lt;'Données projet'!$A$228,$FB$205^A79,IF(A79='Données projet'!$A$228,'Données projet'!$B$228,FE78+FD79-FM78)))</f>
        <v>195.19999999999996</v>
      </c>
      <c r="FF79" s="17">
        <f>FE79*VLOOKUP('Données projet'!$B$16,Paramètres!$A$1:$I$89,3,0)*VLOOKUP('Données projet'!$B$16,Paramètres!$A$1:$I$89,5,0)</f>
        <v>204.02303999999998</v>
      </c>
      <c r="FG79" s="13">
        <f t="shared" si="196"/>
        <v>50.627282749042514</v>
      </c>
      <c r="FH79" s="20">
        <f t="shared" si="141"/>
        <v>443.51597878791563</v>
      </c>
      <c r="FI79" s="59">
        <f t="shared" si="142"/>
        <v>736.84931212124889</v>
      </c>
      <c r="FJ79" s="59">
        <f ca="1">AVERAGE(OFFSET($FI$3,0,0,'Données projet'!$E$16+1,1))-AVERAGE(OFFSET($H$3,0,0,'Données projet'!$E$16+1,1))</f>
        <v>259.03906550253788</v>
      </c>
      <c r="FK79" s="59">
        <f t="shared" si="197"/>
        <v>235.54542903570831</v>
      </c>
      <c r="FL79" s="15">
        <f>IF(ISNA(VLOOKUP(A79,'Données projet'!$A$227:$I$247,3,0)),0,VLOOKUP(A79,'Données projet'!$A$227:$I$247,3,0))</f>
        <v>0</v>
      </c>
      <c r="FM79" s="15">
        <f>IF(ISNA(VLOOKUP(A79,'Données projet'!$A$227:$I$247,4,0)),0,VLOOKUP(A79,'Données projet'!$A$227:$I$247,4,0))</f>
        <v>0</v>
      </c>
      <c r="FN79" s="16">
        <f>IF(ISNA(VLOOKUP(A79,'Données projet'!$A$227:$I$247,5,0)),0%,VLOOKUP(A79,'Données projet'!$A$227:$I$247,5,0)*VLOOKUP('Données projet'!$B$16,Paramètres!$A$1:$I$89,7,0))</f>
        <v>0</v>
      </c>
      <c r="FO79" s="16">
        <f>IF(ISNA(VLOOKUP(A79,'Données projet'!$A$227:$I$247,6,0)),0%,VLOOKUP(A79,'Données projet'!$A$227:$I$247,6,0)*VLOOKUP('Données projet'!$B$16,Paramètres!$A$1:$I$89,7,0))</f>
        <v>0</v>
      </c>
      <c r="FP79" s="16">
        <f>IF(ISNA(VLOOKUP(A79,'Données projet'!$A$227:$I$247,7,0)),0%,VLOOKUP(A79,'Données projet'!$A$227:$I$247,7,0))</f>
        <v>0</v>
      </c>
      <c r="FQ79" s="21">
        <f>EXP(-LN(2)/35)*FQ78+(1-EXP(-LN(2)/35))/(LN(2)/35)*FM79*FN79*VLOOKUP('Données projet'!$B$16,Paramètres!$A$1:$I$89,3,0)*0.475*44/12</f>
        <v>11.751328293640533</v>
      </c>
      <c r="FR79" s="21">
        <f>EXP(-LN(2)/25)*FR78+(1-EXP(-LN(2)/25))/(LN(2)/25)*Calculateur!FM79*Calculateur!FO79*VLOOKUP('Données projet'!$B$16,Paramètres!$A$1:$I$89,3,0)*0.475*44/12</f>
        <v>16.73875070593709</v>
      </c>
      <c r="FS79" s="21">
        <f>EXP(-LN(2)/2)*FS78+(1-EXP(-LN(2)/2))/(LN(2)/2)*FM79*FP79*VLOOKUP('Données projet'!$B$16,Paramètres!$A$1:$I$89,3,0)*0.475*44/12</f>
        <v>0</v>
      </c>
      <c r="FT79" s="22">
        <f t="shared" si="143"/>
        <v>28.490078999577623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projet'!$A$253:$I$273,2,0)</f>
        <v>#N/A</v>
      </c>
      <c r="FX79" s="12" t="e">
        <f>VLOOKUP(A79,'Données projet'!$A$253:$I$273,9,0)</f>
        <v>#N/A</v>
      </c>
      <c r="FY79" s="12">
        <f t="array" ref="FY79">INDEX(FX:FX,MIN(IF(ISNUMBER(FX79:FX275),ROW(FX79:FX275),"")))</f>
        <v>2.8</v>
      </c>
      <c r="FZ79" s="12">
        <f>IF('Données projet'!$A$254&gt;35,FZ78+FY79-GH78,IF(A79&lt;'Données projet'!$A$254,$FW$205^A79,IF(A79='Données projet'!$A$254,'Données projet'!$B$254,FZ78+FY79-GH78)))</f>
        <v>263.79999999999978</v>
      </c>
      <c r="GA79" s="17">
        <f>FZ79*VLOOKUP('Données projet'!$B$17,Paramètres!$A$1:$I$89,3,0)*VLOOKUP('Données projet'!$B$17,Paramètres!$A$1:$I$89,5,0)</f>
        <v>230.45567999999983</v>
      </c>
      <c r="GB79" s="13">
        <f t="shared" si="198"/>
        <v>56.381198848277869</v>
      </c>
      <c r="GC79" s="20">
        <f t="shared" si="144"/>
        <v>499.57423066075035</v>
      </c>
      <c r="GD79" s="59">
        <f t="shared" si="145"/>
        <v>792.9075639940836</v>
      </c>
      <c r="GE79" s="59">
        <f ca="1">AVERAGE(OFFSET($GD$3,0,0,'Données projet'!$E$17+1,1))-AVERAGE(OFFSET($H$3,0,0,'Données projet'!$E$17+1,1))</f>
        <v>245.1983232777614</v>
      </c>
      <c r="GF79" s="59">
        <f t="shared" si="199"/>
        <v>242.34010522344573</v>
      </c>
      <c r="GG79" s="15">
        <f>IF(ISNA(VLOOKUP(A79,'Données projet'!$A$253:$I$273,3,0)),0,VLOOKUP(A79,'Données projet'!$A$253:$I$273,3,0))</f>
        <v>0</v>
      </c>
      <c r="GH79" s="15">
        <f>IF(ISNA(VLOOKUP(A79,'Données projet'!$A$253:$I$273,4,0)),0,VLOOKUP(A79,'Données projet'!$A$253:$I$273,4,0))</f>
        <v>0</v>
      </c>
      <c r="GI79" s="16">
        <f>IF(ISNA(VLOOKUP(A79,'Données projet'!$A$253:$I$273,5,0)),0%,VLOOKUP(A79,'Données projet'!$A$253:$I$273,5,0)*VLOOKUP('Données projet'!$B$17,Paramètres!$A$1:$I$89,7,0))</f>
        <v>0</v>
      </c>
      <c r="GJ79" s="16">
        <f>IF(ISNA(VLOOKUP(A79,'Données projet'!$A$253:$I$273,6,0)),0%,VLOOKUP(A79,'Données projet'!$A$253:$I$273,6,0)*VLOOKUP('Données projet'!$B$17,Paramètres!$A$1:$I$89,7,0))</f>
        <v>0</v>
      </c>
      <c r="GK79" s="16">
        <f>IF(ISNA(VLOOKUP(A79,'Données projet'!$A$253:$I$273,7,0)),0%,VLOOKUP(A79,'Données projet'!$A$253:$I$273,7,0))</f>
        <v>0</v>
      </c>
      <c r="GL79" s="21">
        <f>EXP(-LN(2)/35)*GL78+(1-EXP(-LN(2)/35))/(LN(2)/35)*GH79*GI79*VLOOKUP('Données projet'!$B$17,Paramètres!$A$1:$I$89,3,0)*0.475*44/12</f>
        <v>24.599086438179658</v>
      </c>
      <c r="GM79" s="21">
        <f>EXP(-LN(2)/25)*GM78+(1-EXP(-LN(2)/25))/(LN(2)/25)*Calculateur!GH79*Calculateur!GJ79*VLOOKUP('Données projet'!$B$17,Paramètres!$A$1:$I$89,3,0)*0.475*44/12</f>
        <v>7.8095472562835795</v>
      </c>
      <c r="GN79" s="21">
        <f>EXP(-LN(2)/2)*GN78+(1-EXP(-LN(2)/2))/(LN(2)/2)*GH79*GK79*VLOOKUP('Données projet'!$B$17,Paramètres!$A$1:$I$89,3,0)*0.475*44/12</f>
        <v>0</v>
      </c>
      <c r="GO79" s="21">
        <f t="shared" si="146"/>
        <v>32.408633694463234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projet'!$A$279:$I$299,2,0)</f>
        <v>#N/A</v>
      </c>
      <c r="GS79" s="12" t="e">
        <f>VLOOKUP(A79,'Données projet'!$A$279:$I$299,9,0)</f>
        <v>#N/A</v>
      </c>
      <c r="GT79" s="12">
        <f t="array" ref="GT79">INDEX(GS:GS,MIN(IF(ISNUMBER(GS79:GS275),ROW(GS79:GS275),"")))</f>
        <v>8.8000000000000007</v>
      </c>
      <c r="GU79" s="12">
        <f>IF('Données projet'!$A$280&gt;35,GU78+GT79-HC78,IF(A79&lt;'Données projet'!$A$280,$GR$205^A79,IF(A79='Données projet'!$A$280,'Données projet'!$B$280,GU78+GT79-HC78)))</f>
        <v>804.80000000000007</v>
      </c>
      <c r="GV79" s="17">
        <f>GU79*VLOOKUP('Données projet'!$B$18,Paramètres!$A$1:$I$89,3,0)*VLOOKUP('Données projet'!$B$18,Paramètres!$A$1:$I$89,5,0)</f>
        <v>324.33440000000007</v>
      </c>
      <c r="GW79" s="13">
        <f t="shared" si="200"/>
        <v>76.254502485101398</v>
      </c>
      <c r="GX79" s="20">
        <f t="shared" si="147"/>
        <v>697.69233849488501</v>
      </c>
      <c r="GY79" s="59">
        <f t="shared" si="148"/>
        <v>991.02567182821826</v>
      </c>
      <c r="GZ79" s="59">
        <f ca="1">AVERAGE(OFFSET($GY$3,0,0,'Données projet'!$E$18+1,1))-AVERAGE(OFFSET($H$3,0,0,'Données projet'!$E$18+1,1))</f>
        <v>324.36162935850876</v>
      </c>
      <c r="HA79" s="59">
        <f t="shared" si="201"/>
        <v>265.23571072429735</v>
      </c>
      <c r="HB79" s="15">
        <f>IF(ISNA(VLOOKUP(A79,'Données projet'!$A$279:$I$299,3,0)),0,VLOOKUP(A79,'Données projet'!$A$279:$I$299,3,0))</f>
        <v>0</v>
      </c>
      <c r="HC79" s="15">
        <f>IF(ISNA(VLOOKUP(A79,'Données projet'!$A$279:$I$299,4,0)),0,VLOOKUP(A79,'Données projet'!$A$279:$I$299,4,0))</f>
        <v>0</v>
      </c>
      <c r="HD79" s="16">
        <f>IF(ISNA(VLOOKUP(A79,'Données projet'!$A$279:$I$299,5,0)),0%,VLOOKUP(A79,'Données projet'!$A$279:$I$299,5,0)*VLOOKUP('Données projet'!$B$18,Paramètres!$A$1:$I$89,7,0))</f>
        <v>0</v>
      </c>
      <c r="HE79" s="16">
        <f>IF(ISNA(VLOOKUP(A79,'Données projet'!$A$279:$I$299,6,0)),0%,VLOOKUP(A79,'Données projet'!$A$279:$I$299,6,0)*VLOOKUP('Données projet'!$B$18,Paramètres!$A$1:$I$89,7,0))</f>
        <v>0</v>
      </c>
      <c r="HF79" s="16">
        <f>IF(ISNA(VLOOKUP($A79,'Données projet'!$A$279:$I$299,7,0)),0%,VLOOKUP($A79,'Données projet'!$A$279:$I$299,7,0))</f>
        <v>0</v>
      </c>
      <c r="HG79" s="21">
        <f>EXP(-LN(2)/35)*HG78+(1-EXP(-LN(2)/35))/(LN(2)/35)*HC79*HD79*VLOOKUP('Données projet'!$B$18,Paramètres!$A$1:$I$89,3,0)*0.475*44/12</f>
        <v>17.94451620868891</v>
      </c>
      <c r="HH79" s="21">
        <f>EXP(-LN(2)/25)*HH78+(1-EXP(-LN(2)/25))/(LN(2)/25)*Calculateur!HC79*Calculateur!HE79*VLOOKUP('Données projet'!$B$18,Paramètres!$A$1:$I$89,3,0)*0.475*44/12</f>
        <v>8.736094442056249</v>
      </c>
      <c r="HI79" s="21">
        <f>EXP(-LN(2)/2)*HI78+(1-EXP(-LN(2)/2))/(LN(2)/2)*HC79*HF79*VLOOKUP('Données projet'!$B$18,Paramètres!$A$1:$I$89,3,0)*0.475*44/12</f>
        <v>0.11921418341665864</v>
      </c>
      <c r="HJ79" s="22">
        <f t="shared" si="149"/>
        <v>26.799824834161818</v>
      </c>
      <c r="HK79" s="74">
        <f>('Scénario référence'!$F$8+'Scénario référence'!$F$9+'Scénario référence'!$B$17+'Scénario référence'!$B$9+'Scénario référence'!$B$10)*70+IF((45+25*(1-EXP(-0.0175*$A79)))&lt;70,'Scénario référence'!$B$16*(45+25*(1-EXP(-0.0175*$A79))),70*'Scénario référence'!$B$16)+IF((32+38*(1-EXP(-0.0175*$A79)))&lt;70,'Scénario référence'!$B$18*(32+38*(1-EXP(-0.0175*$A79))),70*'Scénario référence'!$B$18)</f>
        <v>70</v>
      </c>
      <c r="HL79" s="12">
        <f>IF($A79&gt;30,10,('Scénario référence'!$B$16+'Scénario référence'!$B$17+'Scénario référence'!$B$18+'Scénario référence'!$B$9+'Scénario référence'!$B$10)*$A79*10/30+('Scénario référence'!$F$8+'Scénario référence'!$F$9)*10)</f>
        <v>10</v>
      </c>
      <c r="HM79" s="12" t="e">
        <f>VLOOKUP($A79,'Données projet'!$A$304:$I$324,2,0)</f>
        <v>#N/A</v>
      </c>
      <c r="HN79" s="12" t="e">
        <f>VLOOKUP($A79,'Données projet'!$A$304:$I$324,9,0)</f>
        <v>#N/A</v>
      </c>
      <c r="HO79" s="12">
        <f t="array" ref="HO79">INDEX(HN:HN,MIN(IF(ISNUMBER(HN79:HN275),ROW(HN79:HN275),"")))</f>
        <v>0</v>
      </c>
      <c r="HP79" s="12">
        <f>IF('Données projet'!$A$304&gt;35,HP78+HO79-HX78,IF($A79&lt;'Données projet'!$A$304,$CQ$205^$A79,IF($A79='Données projet'!$A$304,'Données projet'!$B$304,HP78+HO79-HX78)))</f>
        <v>0</v>
      </c>
      <c r="HQ79" s="17">
        <f>HP79*VLOOKUP('Données projet'!$B$19,Paramètres!$A$1:$I$89,3,0)*VLOOKUP('Données projet'!$B$19,Paramètres!$A$1:$I$89,5,0)</f>
        <v>0</v>
      </c>
      <c r="HR79" s="13" t="e">
        <f t="shared" si="202"/>
        <v>#NUM!</v>
      </c>
      <c r="HS79" s="14" t="e">
        <f t="shared" si="150"/>
        <v>#NUM!</v>
      </c>
      <c r="HT79" s="59" t="e">
        <f t="shared" si="151"/>
        <v>#NUM!</v>
      </c>
      <c r="HU79" s="59">
        <f ca="1">AVERAGE(OFFSET(HT$3,0,0,'Données projet'!$E$19+1,1))-AVERAGE(OFFSET($H$3,0,0,'Données projet'!$E$19+1,1))</f>
        <v>91.60721429656013</v>
      </c>
      <c r="HV79" s="59">
        <f t="shared" si="203"/>
        <v>258.94957804210856</v>
      </c>
      <c r="HW79" s="15">
        <f>IF(ISNA(VLOOKUP($A79,'Données projet'!$A$304:$I$324,3,0)),0,VLOOKUP($A79,'Données projet'!$A$304:$I$324,3,0))</f>
        <v>0</v>
      </c>
      <c r="HX79" s="15">
        <f>IF(ISNA(VLOOKUP($A79,'Données projet'!$A$304:$I$324,4,0)),0,VLOOKUP($A79,'Données projet'!$A$304:$I$324,4,0))</f>
        <v>0</v>
      </c>
      <c r="HY79" s="16">
        <f>IF(ISNA(VLOOKUP($A79,'Données projet'!$A$304:$I$324,5,0)),0%,VLOOKUP($A79,'Données projet'!$A$304:$I$324,5,0)*VLOOKUP('Données projet'!$B$19,Paramètres!$A$1:$I$89,7,0))</f>
        <v>0</v>
      </c>
      <c r="HZ79" s="16">
        <f>IF(ISNA(VLOOKUP($A79,'Données projet'!$A$304:$I$324,6,0)),0%,VLOOKUP($A79,'Données projet'!$A$304:$I$324,6,0)*VLOOKUP('Données projet'!$B$19,Paramètres!$A$1:$I$89,7,0))</f>
        <v>0</v>
      </c>
      <c r="IA79" s="16">
        <f>IF(ISNA(VLOOKUP($A79,'Données projet'!$A$304:$I$324,7,0)),0%,VLOOKUP($A79,'Données projet'!$A$304:$I$324,7,0))</f>
        <v>0</v>
      </c>
      <c r="IB79" s="21">
        <f>EXP(-LN(2)/35)*IB78+(1-EXP(-LN(2)/35))/(LN(2)/35)*HX79*HY79*VLOOKUP('Données projet'!$B$19,Paramètres!$A$1:$I$89,3,0)*0.475*44/12</f>
        <v>19.837891190623299</v>
      </c>
      <c r="IC79" s="21">
        <f>EXP(-LN(2)/25)*IC78+(1-EXP(-LN(2)/25))/(LN(2)/25)*Calculateur!HX79*Calculateur!HZ79*VLOOKUP('Données projet'!$B$19,Paramètres!$A$1:$I$89,3,0)*0.475*44/12</f>
        <v>2.7171659744832835</v>
      </c>
      <c r="ID79" s="21">
        <f>EXP(-LN(2)/2)*ID78+(1-EXP(-LN(2)/2))/(LN(2)/2)*HX79*IA79*VLOOKUP('Données projet'!$B$19,Paramètres!$A$1:$I$89,3,0)*0.475*44/12</f>
        <v>6.8289317100522226E-8</v>
      </c>
      <c r="IE79" s="22">
        <f t="shared" si="152"/>
        <v>22.5550572333959</v>
      </c>
      <c r="IF79" s="74">
        <f>('Scénario référence'!$F$8+'Scénario référence'!$F$9+'Scénario référence'!$B$17+'Scénario référence'!$B$9+'Scénario référence'!$B$10)*70+IF((45+25*(1-EXP(-0.0175*$A79)))&lt;70,'Scénario référence'!$B$16*(45+25*(1-EXP(-0.0175*$A79))),70*'Scénario référence'!$B$16)+IF((32+38*(1-EXP(-0.0175*$A79)))&lt;70,'Scénario référence'!$B$18*(32+38*(1-EXP(-0.0175*$A79))),70*'Scénario référence'!$B$18)</f>
        <v>70</v>
      </c>
      <c r="IG79" s="12">
        <f>IF($A79&gt;30,10,('Scénario référence'!$B$16+'Scénario référence'!$B$17+'Scénario référence'!$B$18+'Scénario référence'!$B$9+'Scénario référence'!$B$10)*$A79*10/30+('Scénario référence'!$F$8+'Scénario référence'!$F$9)*10)</f>
        <v>10</v>
      </c>
      <c r="IH79" s="12" t="e">
        <f>VLOOKUP($A79,'Données projet'!$A$330:$I$350,2,0)</f>
        <v>#N/A</v>
      </c>
      <c r="II79" s="12" t="e">
        <f>VLOOKUP($A79,'Données projet'!$A$330:$I$350,9,0)</f>
        <v>#N/A</v>
      </c>
      <c r="IJ79" s="12">
        <f t="array" ref="IJ79">INDEX(II:II,MIN(IF(ISNUMBER(II79:II275),ROW(II79:II275),"")))</f>
        <v>0</v>
      </c>
      <c r="IK79" s="12">
        <f>IF('Données projet'!$A$330&gt;35,IK78+IJ79-IS78,IF($A79&lt;'Données projet'!$A$330,$CQ$205^$A79,IF($A79='Données projet'!$A$330,'Données projet'!$B$330,IK78+IJ79-IS78)))</f>
        <v>0</v>
      </c>
      <c r="IL79" s="17">
        <f>IK79*VLOOKUP('Données projet'!$B$20,Paramètres!$A$1:$I$89,3,0)*VLOOKUP('Données projet'!$B$20,Paramètres!$A$1:$I$89,5,0)</f>
        <v>0</v>
      </c>
      <c r="IM79" s="13" t="e">
        <f t="shared" si="204"/>
        <v>#NUM!</v>
      </c>
      <c r="IN79" s="20" t="e">
        <f t="shared" si="153"/>
        <v>#NUM!</v>
      </c>
      <c r="IO79" s="59" t="e">
        <f t="shared" si="154"/>
        <v>#NUM!</v>
      </c>
      <c r="IP79" s="59">
        <f ca="1">AVERAGE(OFFSET(IO$3,0,0,'Données projet'!$E$20+1,1))-AVERAGE(OFFSET($H$3,0,0,'Données projet'!$E$20+1,1))</f>
        <v>91.60721429656013</v>
      </c>
      <c r="IQ79" s="59">
        <f t="shared" si="205"/>
        <v>258.94957804210856</v>
      </c>
      <c r="IR79" s="15">
        <f>IF(ISNA(VLOOKUP($A79,'Données projet'!$A$330:$I$350,3,0)),0,VLOOKUP($A79,'Données projet'!$A$330:$I$350,3,0))</f>
        <v>0</v>
      </c>
      <c r="IS79" s="15">
        <f>IF(ISNA(VLOOKUP($A79,'Données projet'!$A$330:$I$350,4,0)),0,VLOOKUP($A79,'Données projet'!$A$330:$I$350,4,0))</f>
        <v>0</v>
      </c>
      <c r="IT79" s="16">
        <f>IF(ISNA(VLOOKUP($A79,'Données projet'!$A$330:$I$350,5,0)),0%,VLOOKUP($A79,'Données projet'!$A$330:$I$350,5,0)*VLOOKUP('Données projet'!$B$20,Paramètres!$A$1:$I$89,7,0))</f>
        <v>0</v>
      </c>
      <c r="IU79" s="16">
        <f>IF(ISNA(VLOOKUP($A79,'Données projet'!$A$330:$I$350,6,0)),0%,VLOOKUP($A79,'Données projet'!$A$330:$I$350,6,0)*VLOOKUP('Données projet'!$B$20,Paramètres!$A$1:$I$89,7,0))</f>
        <v>0</v>
      </c>
      <c r="IV79" s="16">
        <f>IF(ISNA(VLOOKUP($A79,'Données projet'!$A$330:$I$350,7,0)),0%,VLOOKUP($A79,'Données projet'!$A$330:$I$350,7,0))</f>
        <v>0</v>
      </c>
      <c r="IW79" s="21">
        <f>EXP(-LN(2)/35)*IW78+(1-EXP(-LN(2)/35))/(LN(2)/35)*IS79*IT79*VLOOKUP('Données projet'!$B$20,Paramètres!$A$1:$I$89,3,0)*0.475*44/12</f>
        <v>19.837891190623299</v>
      </c>
      <c r="IX79" s="21">
        <f>EXP(-LN(2)/25)*IX78+(1-EXP(-LN(2)/25))/(LN(2)/25)*Calculateur!IS79*Calculateur!IU79*VLOOKUP('Données projet'!$B$20,Paramètres!$A$1:$I$89,3,0)*0.475*44/12</f>
        <v>2.7171659744832835</v>
      </c>
      <c r="IY79" s="21">
        <f>EXP(-LN(2)/2)*IY78+(1-EXP(-LN(2)/2))/(LN(2)/2)*IS79*IV79*VLOOKUP('Données projet'!$B$20,Paramètres!$A$1:$I$89,3,0)*0.475*44/12</f>
        <v>6.8289317100522226E-8</v>
      </c>
      <c r="IZ79" s="22">
        <f t="shared" si="155"/>
        <v>22.5550572333959</v>
      </c>
      <c r="JA79" s="74">
        <f>('Scénario référence'!$F$8+'Scénario référence'!$F$9+'Scénario référence'!$B$17+'Scénario référence'!$B$9+'Scénario référence'!$B$10)*70+IF((45+25*(1-EXP(-0.0175*$A79)))&lt;70,'Scénario référence'!$B$16*(45+25*(1-EXP(-0.0175*$A79))),70*'Scénario référence'!$B$16)+IF((32+38*(1-EXP(-0.0175*$A79)))&lt;70,'Scénario référence'!$B$18*(32+38*(1-EXP(-0.0175*$A79))),70*'Scénario référence'!$B$18)</f>
        <v>70</v>
      </c>
      <c r="JB79" s="12">
        <f>IF($A79&gt;30,10,('Scénario référence'!$B$16+'Scénario référence'!$B$17+'Scénario référence'!$B$18+'Scénario référence'!$B$9+'Scénario référence'!$B$10)*$A79*10/30+('Scénario référence'!$F$8+'Scénario référence'!$F$9)*10)</f>
        <v>10</v>
      </c>
      <c r="JC79" s="12" t="e">
        <f>VLOOKUP($A79,'Données projet'!$A$356:$I$376,2,0)</f>
        <v>#N/A</v>
      </c>
      <c r="JD79" s="12" t="e">
        <f>VLOOKUP($A79,'Données projet'!$A$356:$I$376,9,0)</f>
        <v>#N/A</v>
      </c>
      <c r="JE79" s="12">
        <f t="array" ref="JE79">INDEX(JD:JD,MIN(IF(ISNUMBER(JD79:JD275),ROW(JD79:JD275),"")))</f>
        <v>8.8000000000000007</v>
      </c>
      <c r="JF79" s="12">
        <f>IF('Données projet'!$A$356&gt;35,JF78+JE79-JN78,IF($A79&lt;'Données projet'!$A$356,$CQ$205^$A79,IF($A79='Données projet'!$A$356,'Données projet'!$B$356,JF78+JE79-JN78)))</f>
        <v>315.7999999999999</v>
      </c>
      <c r="JG79" s="17">
        <f>JF79*VLOOKUP('Données projet'!$B$21,Paramètres!$A$1:$I$89,3,0)*VLOOKUP('Données projet'!$B$21,Paramètres!$A$1:$I$89,5,0)</f>
        <v>256.17695999999995</v>
      </c>
      <c r="JH79" s="13">
        <f t="shared" si="206"/>
        <v>61.906759090416728</v>
      </c>
      <c r="JI79" s="20">
        <f t="shared" si="156"/>
        <v>553.99581074914238</v>
      </c>
      <c r="JJ79" s="59">
        <f t="shared" si="157"/>
        <v>847.32914408247575</v>
      </c>
      <c r="JK79" s="59">
        <f ca="1">AVERAGE(OFFSET($JJ$3,0,0,'Données projet'!$E$22+1,1))-AVERAGE(OFFSET($H$3,0,0,'Données projet'!$E$22+1,1))</f>
        <v>353.35574633294613</v>
      </c>
      <c r="JL79" s="59">
        <f t="shared" si="207"/>
        <v>170.36796666474726</v>
      </c>
      <c r="JM79" s="15">
        <f>IF(ISNA(VLOOKUP($A79,'Données projet'!$A$356:$I$376,3,0)),0,VLOOKUP($A79,'Données projet'!$A$356:$I$376,3,0))</f>
        <v>0</v>
      </c>
      <c r="JN79" s="15">
        <f>IF(ISNA(VLOOKUP($A79,'Données projet'!$A$356:$I$376,4,0)),0,VLOOKUP($A79,'Données projet'!$A$356:$I$376,4,0))</f>
        <v>0</v>
      </c>
      <c r="JO79" s="16">
        <f>IF(ISNA(VLOOKUP($A79,'Données projet'!$A$356:$I$376,5,0)),0%,VLOOKUP($A79,'Données projet'!$A$356:$I$376,5,0)*VLOOKUP('Données projet'!$B$21,Paramètres!$A$1:$I$89,7,0))</f>
        <v>0</v>
      </c>
      <c r="JP79" s="16">
        <f>IF(ISNA(VLOOKUP($A79,'Données projet'!$A$356:$I$376,6,0)),0%,VLOOKUP($A79,'Données projet'!$A$356:$I$376,6,0)*VLOOKUP('Données projet'!$B$21,Paramètres!$A$1:$I$89,7,0))</f>
        <v>0</v>
      </c>
      <c r="JQ79" s="16">
        <f>IF(ISNA(VLOOKUP($A79,'Données projet'!$A$356:$I$376,7,0)),0%,VLOOKUP($A79,'Données projet'!$A$356:$I$376,7,0))</f>
        <v>0</v>
      </c>
      <c r="JR79" s="21">
        <f>EXP(-LN(2)/35)*JR78+(1-EXP(-LN(2)/35))/(LN(2)/35)*JN79*JO79*VLOOKUP('Données projet'!$B$21,Paramètres!$A$1:$I$89,3,0)*0.475*44/12</f>
        <v>1.0585239342443178</v>
      </c>
      <c r="JS79" s="21">
        <f>EXP(-LN(2)/25)*JS78+(1-EXP(-LN(2)/25))/(LN(2)/25)*Calculateur!JN79*Calculateur!JP79*VLOOKUP('Données projet'!$B$21,Paramètres!$A$1:$I$89,3,0)*0.475*44/12</f>
        <v>14.886796073093191</v>
      </c>
      <c r="JT79" s="21">
        <f>EXP(-LN(2)/2)*JT78+(1-EXP(-LN(2)/2))/(LN(2)/2)*JN79*JQ79*VLOOKUP('Données projet'!$B$21,Paramètres!$A$1:$I$89,3,0)*0.475*44/12</f>
        <v>5.5224126349825031</v>
      </c>
      <c r="JU79" s="18">
        <f t="shared" si="158"/>
        <v>21.467732642320012</v>
      </c>
      <c r="JV79" s="74">
        <f>('Scénario référence'!$F$8+'Scénario référence'!$F$9+'Scénario référence'!$B$17+'Scénario référence'!$B$9+'Scénario référence'!$B$10)*70+IF((45+25*(1-EXP(-0.0175*$A79)))&lt;70,'Scénario référence'!$B$16*(45+25*(1-EXP(-0.0175*$A79))),70*'Scénario référence'!$B$16)+IF((32+38*(1-EXP(-0.0175*$A79)))&lt;70,'Scénario référence'!$B$18*(32+38*(1-EXP(-0.0175*$A79))),70*'Scénario référence'!$B$18)</f>
        <v>70</v>
      </c>
      <c r="JW79" s="12">
        <f>IF($A79&gt;30,10,('Scénario référence'!$B$16+'Scénario référence'!$B$17+'Scénario référence'!$B$18+'Scénario référence'!$B$9+'Scénario référence'!$B$10)*$A79*10/30+('Scénario référence'!$F$8+'Scénario référence'!$F$9)*10)</f>
        <v>10</v>
      </c>
      <c r="JX79" s="12" t="e">
        <f>VLOOKUP($A79,'Données projet'!$A$382:$I$402,2,0)</f>
        <v>#N/A</v>
      </c>
      <c r="JY79" s="12" t="e">
        <f>VLOOKUP($A79,'Données projet'!$A$382:$I$402,9,0)</f>
        <v>#N/A</v>
      </c>
      <c r="JZ79" s="12">
        <f t="array" ref="JZ79">INDEX(JY:JY,MIN(IF(ISNUMBER(JY79:JY275),ROW(JY79:JY275),"")))</f>
        <v>7.8425925925925934</v>
      </c>
      <c r="KA79" s="12">
        <f>IF('Données projet'!$A$382&gt;35,KA78+JZ79-KI78,IF($A79&lt;'Données projet'!$A$382,$CQ$205^$A79,IF($A79='Données projet'!$A$382,'Données projet'!$B$382,KA78+JZ79-KI78)))</f>
        <v>242.64245014245029</v>
      </c>
      <c r="KB79" s="17">
        <f>KA79*VLOOKUP('Données projet'!$B$22,Paramètres!$A$1:$I$89,3,0)*VLOOKUP('Données projet'!$B$22,Paramètres!$A$1:$I$89,5,0)</f>
        <v>162.76455555555566</v>
      </c>
      <c r="KC79" s="13">
        <f t="shared" si="208"/>
        <v>41.465445574906497</v>
      </c>
      <c r="KD79" s="20">
        <f t="shared" si="159"/>
        <v>355.70058530222155</v>
      </c>
      <c r="KE79" s="59">
        <f t="shared" si="160"/>
        <v>649.03391863555487</v>
      </c>
      <c r="KF79" s="59">
        <f ca="1">AVERAGE(OFFSET($KE$3,0,0,'Données projet'!$E$22+1,1))-AVERAGE(OFFSET($H$3,0,0,'Données projet'!$E$22+1,1))</f>
        <v>193.91714772848269</v>
      </c>
      <c r="KG79" s="59">
        <f t="shared" si="209"/>
        <v>159.20429420478047</v>
      </c>
      <c r="KH79" s="15">
        <f>IF(ISNA(VLOOKUP($A79,'Données projet'!$A$382:$I$402,3,0)),0,VLOOKUP($A79,'Données projet'!$A$382:$I$402,3,0))</f>
        <v>0</v>
      </c>
      <c r="KI79" s="15">
        <f>IF(ISNA(VLOOKUP($A79,'Données projet'!$A$382:$I$402,4,0)),0,VLOOKUP($A79,'Données projet'!$A$382:$I$402,4,0))</f>
        <v>0</v>
      </c>
      <c r="KJ79" s="16">
        <f>IF(ISNA(VLOOKUP($A79,'Données projet'!$A$382:$I$402,5,0)),0%,VLOOKUP($A79,'Données projet'!$A$382:$I$402,5,0)*VLOOKUP('Données projet'!$B$22,Paramètres!$A$1:$I$89,7,0))</f>
        <v>0</v>
      </c>
      <c r="KK79" s="16">
        <f>IF(ISNA(VLOOKUP($A79,'Données projet'!$A$382:$I$402,6,0)),0%,VLOOKUP($A79,'Données projet'!$A$382:$I$402,6,0)*VLOOKUP('Données projet'!$B$22,Paramètres!$A$1:$I$89,7,0))</f>
        <v>0</v>
      </c>
      <c r="KL79" s="16">
        <f>IF(ISNA(VLOOKUP($A79,'Données projet'!$A$382:$I$402,7,0)),0%,VLOOKUP($A79,'Données projet'!$A$382:$I$402,7,0))</f>
        <v>0</v>
      </c>
      <c r="KM79" s="21">
        <f>EXP(-LN(2)/35)*KM78+(1-EXP(-LN(2)/35))/(LN(2)/35)*KI79*KJ79*VLOOKUP('Données projet'!$B$22,Paramètres!$A$1:$I$89,3,0)*0.475*44/12</f>
        <v>18.824601216504622</v>
      </c>
      <c r="KN79" s="21">
        <f>EXP(-LN(2)/25)*KN78+(1-EXP(-LN(2)/25))/(LN(2)/25)*Calculateur!KI79*Calculateur!KK79*VLOOKUP('Données projet'!$B$22,Paramètres!$A$1:$I$89,3,0)*0.475*44/12</f>
        <v>0</v>
      </c>
      <c r="KO79" s="21">
        <f>EXP(-LN(2)/2)*KO78+(1-EXP(-LN(2)/2))/(LN(2)/2)*KI79*KL79*VLOOKUP('Données projet'!$B$22,Paramètres!$A$1:$I$89,3,0)*0.475*44/12</f>
        <v>0</v>
      </c>
      <c r="KP79" s="22">
        <f t="shared" si="161"/>
        <v>18.824601216504622</v>
      </c>
      <c r="KQ79" s="74">
        <f>('Scénario référence'!$F$8+'Scénario référence'!$F$9+'Scénario référence'!$B$17+'Scénario référence'!$B$9+'Scénario référence'!$B$10)*70+IF((45+25*(1-EXP(-0.0175*$A79)))&lt;70,'Scénario référence'!$B$16*(45+25*(1-EXP(-0.0175*$A79))),70*'Scénario référence'!$B$16)+IF((32+38*(1-EXP(-0.0175*$A79)))&lt;70,'Scénario référence'!$B$18*(32+38*(1-EXP(-0.0175*$A79))),70*'Scénario référence'!$B$18)</f>
        <v>70</v>
      </c>
      <c r="KR79" s="12">
        <f>IF($A79&gt;30,10,('Scénario référence'!$B$16+'Scénario référence'!$B$17+'Scénario référence'!$B$18+'Scénario référence'!$B$9+'Scénario référence'!$B$10)*$A79*10/30+('Scénario référence'!$F$8+'Scénario référence'!$F$9)*10)</f>
        <v>10</v>
      </c>
      <c r="KS79" s="12" t="e">
        <f>VLOOKUP($A79,'Données projet'!$A$408:$I$428,2,0)</f>
        <v>#N/A</v>
      </c>
      <c r="KT79" s="12" t="e">
        <f>VLOOKUP($A79,'Données projet'!$A$408:$I$428,9,0)</f>
        <v>#N/A</v>
      </c>
      <c r="KU79" s="12">
        <f t="array" ref="KU79">INDEX(KT:KT,MIN(IF(ISNUMBER(KT79:KT275),ROW(KT79:KT275),"")))</f>
        <v>2.8</v>
      </c>
      <c r="KV79" s="12">
        <f>IF('Données projet'!$A$408&gt;35,KV78+KU79-LD78,IF($A79&lt;'Données projet'!$A$408,$CQ$205^$A79,IF($A79='Données projet'!$A$408,'Données projet'!$B$408,KV78+KU79-LD78)))</f>
        <v>263.79999999999984</v>
      </c>
      <c r="KW79" s="17">
        <f>KV79*VLOOKUP('Données projet'!$B$23,Paramètres!$A$1:$I$89,3,0)*VLOOKUP('Données projet'!$B$23,Paramètres!$A$1:$I$89,5,0)</f>
        <v>230.45567999999989</v>
      </c>
      <c r="KX79" s="13">
        <f t="shared" si="210"/>
        <v>56.381198848277869</v>
      </c>
      <c r="KY79" s="14">
        <f t="shared" si="162"/>
        <v>499.5742306607504</v>
      </c>
      <c r="KZ79" s="59">
        <f t="shared" si="163"/>
        <v>792.90756399408372</v>
      </c>
      <c r="LA79" s="59">
        <f ca="1">AVERAGE(OFFSET($KZ$3,0,0,'Données projet'!$E$23+1,1))-AVERAGE(OFFSET($H$3,0,0,'Données projet'!$E$23+1,1))</f>
        <v>248.33596943633819</v>
      </c>
      <c r="LB79" s="59">
        <f t="shared" si="211"/>
        <v>242.34010522344573</v>
      </c>
      <c r="LC79" s="15">
        <f>IF(ISNA(VLOOKUP($A79,'Données projet'!$A$408:$I$428,3,0)),0,VLOOKUP($A79,'Données projet'!$A$408:$I$428,3,0))</f>
        <v>0</v>
      </c>
      <c r="LD79" s="15">
        <f>IF(ISNA(VLOOKUP($A79,'Données projet'!$A$408:$I$428,4,0)),0,VLOOKUP($A79,'Données projet'!$A$408:$I$428,4,0))</f>
        <v>0</v>
      </c>
      <c r="LE79" s="16">
        <f>IF(ISNA(VLOOKUP($A79,'Données projet'!$A$408:$I$428,5,0)),0%,VLOOKUP($A79,'Données projet'!$A$408:$I$428,5,0)*VLOOKUP('Données projet'!$B$23,Paramètres!$A$1:$I$89,7,0))</f>
        <v>0</v>
      </c>
      <c r="LF79" s="16">
        <f>IF(ISNA(VLOOKUP($A79,'Données projet'!$A$408:$I$428,6,0)),0%,VLOOKUP($A79,'Données projet'!$A$408:$I$428,6,0)*VLOOKUP('Données projet'!$B$23,Paramètres!$A$1:$I$89,7,0))</f>
        <v>0</v>
      </c>
      <c r="LG79" s="16">
        <f>IF(ISNA(VLOOKUP($A79,'Données projet'!$A$408:$I$428,7,0)),0%,VLOOKUP($A79,'Données projet'!$A$408:$I$428,7,0))</f>
        <v>0</v>
      </c>
      <c r="LH79" s="21">
        <f>EXP(-LN(2)/35)*LH78+(1-EXP(-LN(2)/35))/(LN(2)/35)*LD79*LE79*VLOOKUP('Données projet'!$B$23,Paramètres!$A$1:$I$89,3,0)*0.475*44/12</f>
        <v>24.599086438179658</v>
      </c>
      <c r="LI79" s="21">
        <f>EXP(-LN(2)/25)*LI78+(1-EXP(-LN(2)/25))/(LN(2)/25)*Calculateur!LD79*Calculateur!LF79*VLOOKUP('Données projet'!$B$23,Paramètres!$A$1:$I$89,3,0)*0.475*44/12</f>
        <v>7.8095472562835795</v>
      </c>
      <c r="LJ79" s="21">
        <f>EXP(-LN(2)/2)*LJ78+(1-EXP(-LN(2)/2))/(LN(2)/2)*LD79*LG79*VLOOKUP('Données projet'!$B$23,Paramètres!$A$1:$I$89,3,0)*0.475*44/12</f>
        <v>0</v>
      </c>
      <c r="LK79" s="22">
        <f t="shared" si="164"/>
        <v>32.408633694463234</v>
      </c>
      <c r="LL79" s="74">
        <f>('Scénario référence'!$F$8+'Scénario référence'!$F$9+'Scénario référence'!$B$17+'Scénario référence'!$B$9+'Scénario référence'!$B$10)*70+IF((45+25*(1-EXP(-0.0175*$A79)))&lt;70,'Scénario référence'!$B$16*(45+25*(1-EXP(-0.0175*$A79))),70*'Scénario référence'!$B$16)+IF((32+38*(1-EXP(-0.0175*$A79)))&lt;70,'Scénario référence'!$B$18*(32+38*(1-EXP(-0.0175*$A79))),70*'Scénario référence'!$B$18)</f>
        <v>70</v>
      </c>
      <c r="LM79" s="12">
        <f>IF($A79&gt;30,10,('Scénario référence'!$B$16+'Scénario référence'!$B$17+'Scénario référence'!$B$18+'Scénario référence'!$B$9+'Scénario référence'!$B$10)*$A79*10/30+('Scénario référence'!$F$8+'Scénario référence'!$F$9)*10)</f>
        <v>10</v>
      </c>
      <c r="LN79" s="12" t="e">
        <f>VLOOKUP($A79,'Données projet'!$A$434:$I$454,2,0)</f>
        <v>#N/A</v>
      </c>
      <c r="LO79" s="12" t="e">
        <f>VLOOKUP($A79,'Données projet'!$A$434:$I$454,9,0)</f>
        <v>#N/A</v>
      </c>
      <c r="LP79" s="12">
        <f t="array" ref="LP79">INDEX(LO:LO,MIN(IF(ISNUMBER(LO79:LO275),ROW(LO79:LO275),"")))</f>
        <v>5.5042735042735051</v>
      </c>
      <c r="LQ79" s="12">
        <f>IF('Données projet'!$A$434&gt;35,LQ78+LP79-LY78,IF($A79&lt;'Données projet'!$A$434,$CQ$205^$A79,IF($A79='Données projet'!$A$434,'Données projet'!$B$434,LQ78+LP79-LY78)))</f>
        <v>155.97222222222217</v>
      </c>
      <c r="LR79" s="17">
        <f>LQ79*VLOOKUP('Données projet'!$B$24,Paramètres!$A$1:$I$89,3,0)*VLOOKUP('Données projet'!$B$24,Paramètres!$A$1:$I$89,5,0)</f>
        <v>158.15583333333331</v>
      </c>
      <c r="LS79" s="13">
        <f t="shared" si="212"/>
        <v>40.426278232755124</v>
      </c>
      <c r="LT79" s="14">
        <f t="shared" si="165"/>
        <v>345.86384431093734</v>
      </c>
      <c r="LU79" s="59">
        <f t="shared" si="166"/>
        <v>639.1971776442706</v>
      </c>
      <c r="LV79" s="59">
        <f ca="1">AVERAGE(OFFSET($LU$3,0,0,'Données projet'!$E$24+1,1))-AVERAGE(OFFSET($H$3,0,0,'Données projet'!$E$24+1,1))</f>
        <v>260.52627655062872</v>
      </c>
      <c r="LW79" s="59">
        <f t="shared" si="213"/>
        <v>159.20429420478047</v>
      </c>
      <c r="LX79" s="15">
        <f>IF(ISNA(VLOOKUP($A79,'Données projet'!$A$434:$I$454,3,0)),0,VLOOKUP($A79,'Données projet'!$A$434:$I$454,3,0))</f>
        <v>0</v>
      </c>
      <c r="LY79" s="15">
        <f>IF(ISNA(VLOOKUP($A79,'Données projet'!$A$434:$I$454,4,0)),0,VLOOKUP($A79,'Données projet'!$A$434:$I$454,4,0))</f>
        <v>0</v>
      </c>
      <c r="LZ79" s="16">
        <f>IF(ISNA(VLOOKUP($A79,'Données projet'!$A$434:$I$454,5,0)),0%,VLOOKUP($A79,'Données projet'!$A$434:$I$454,5,0)*VLOOKUP('Données projet'!$B$24,Paramètres!$A$1:$I$89,7,0))</f>
        <v>0</v>
      </c>
      <c r="MA79" s="16">
        <f>IF(ISNA(VLOOKUP($A79,'Données projet'!$A$434:$I$454,6,0)),0%,VLOOKUP($A79,'Données projet'!$A$434:$I$454,6,0)*VLOOKUP('Données projet'!$B$24,Paramètres!$A$1:$I$89,7,0))</f>
        <v>0</v>
      </c>
      <c r="MB79" s="16">
        <f>IF(ISNA(VLOOKUP($A79,'Données projet'!$A$434:$I$454,7,0)),0%,VLOOKUP($A79,'Données projet'!$A$434:$I$454,7,0))</f>
        <v>0</v>
      </c>
      <c r="MC79" s="21">
        <f>EXP(-LN(2)/35)*MC78+(1-EXP(-LN(2)/35))/(LN(2)/35)*LY79*LZ79*VLOOKUP('Données projet'!$B$24,Paramètres!$A$1:$I$89,3,0)*0.475*44/12</f>
        <v>10.226884885537546</v>
      </c>
      <c r="MD79" s="21">
        <f>EXP(-LN(2)/25)*MD78+(1-EXP(-LN(2)/25))/(LN(2)/25)*Calculateur!LY79*Calculateur!MA79*VLOOKUP('Données projet'!$B$24,Paramètres!$A$1:$I$89,3,0)*0.475*44/12</f>
        <v>0</v>
      </c>
      <c r="ME79" s="21">
        <f>EXP(-LN(2)/2)*ME78+(1-EXP(-LN(2)/2))/(LN(2)/2)*LY79*MB79*VLOOKUP('Données projet'!$B$24,Paramètres!$A$1:$I$89,3,0)*0.475*44/12</f>
        <v>0</v>
      </c>
      <c r="MF79" s="22">
        <f t="shared" si="167"/>
        <v>10.226884885537546</v>
      </c>
      <c r="MG79" s="74">
        <f>('Scénario référence'!$F$8+'Scénario référence'!$F$9+'Scénario référence'!$B$17+'Scénario référence'!$B$9+'Scénario référence'!$B$10)*70+IF((45+25*(1-EXP(-0.0175*$A79)))&lt;70,'Scénario référence'!$B$16*(45+25*(1-EXP(-0.0175*$A79))),70*'Scénario référence'!$B$16)+IF((32+38*(1-EXP(-0.0175*$A79)))&lt;70,'Scénario référence'!$B$18*(32+38*(1-EXP(-0.0175*$A79))),70*'Scénario référence'!$B$18)</f>
        <v>70</v>
      </c>
      <c r="MH79" s="12">
        <f>IF($A79&gt;30,10,('Scénario référence'!$B$16+'Scénario référence'!$B$17+'Scénario référence'!$B$18+'Scénario référence'!$B$9+'Scénario référence'!$B$10)*$A79*10/30+('Scénario référence'!$F$8+'Scénario référence'!$F$9)*10)</f>
        <v>10</v>
      </c>
      <c r="MI79" s="12" t="e">
        <f>VLOOKUP($A79,'Données projet'!$A$460:$I$480,2,0)</f>
        <v>#N/A</v>
      </c>
      <c r="MJ79" s="12" t="e">
        <f>VLOOKUP($A79,'Données projet'!$A$460:$I$480,9,0)</f>
        <v>#N/A</v>
      </c>
      <c r="MK79" s="12">
        <f t="array" ref="MK79">INDEX(MJ:MJ,MIN(IF(ISNUMBER(MJ79:MJ275),ROW(MJ79:MJ275),"")))</f>
        <v>0</v>
      </c>
      <c r="ML79" s="12">
        <f>IF('Données projet'!$A$460&gt;35,ML78+MK79-MT78,IF($A79&lt;'Données projet'!$A$460,$CQ$205^$A79,IF($A79='Données projet'!$A$460,'Données projet'!$B$460,ML78+MK79-MT78)))</f>
        <v>0</v>
      </c>
      <c r="MM79" s="17" t="e">
        <f>ML79*VLOOKUP('Données projet'!$B$25,Paramètres!$A$1:$I$89,3,0)*VLOOKUP('Données projet'!$B$25,Paramètres!$A$1:$I$89,5,0)</f>
        <v>#N/A</v>
      </c>
      <c r="MN79" s="13" t="e">
        <f t="shared" si="214"/>
        <v>#N/A</v>
      </c>
      <c r="MO79" s="14" t="e">
        <f t="shared" si="168"/>
        <v>#N/A</v>
      </c>
      <c r="MP79" s="59" t="e">
        <f t="shared" si="169"/>
        <v>#N/A</v>
      </c>
      <c r="MQ79" s="20" t="e">
        <f ca="1">AVERAGE(OFFSET($MP$3,0,0,'Données projet'!$E$25+1,1))-AVERAGE(OFFSET($H$3,0,0,'Données projet'!$E$25+1,1))</f>
        <v>#N/A</v>
      </c>
      <c r="MR79" s="59" t="e">
        <f t="shared" si="215"/>
        <v>#N/A</v>
      </c>
      <c r="MS79" s="15">
        <f>IF(ISNA(VLOOKUP($A79,'Données projet'!$A$460:$I$480,3,0)),0,VLOOKUP($A79,'Données projet'!$A$460:$I$480,3,0))</f>
        <v>0</v>
      </c>
      <c r="MT79" s="15">
        <f>IF(ISNA(VLOOKUP($A79,'Données projet'!$A$460:$I$480,4,0)),0,VLOOKUP($A79,'Données projet'!$A$460:$I$480,4,0))</f>
        <v>0</v>
      </c>
      <c r="MU79" s="16">
        <f>IF(ISNA(VLOOKUP($A79,'Données projet'!$A$460:$I$480,5,0)),0%,VLOOKUP($A79,'Données projet'!$A$460:$I$480,5,0)*VLOOKUP('Données projet'!$B$25,Paramètres!$A$1:$I$89,7,0))</f>
        <v>0</v>
      </c>
      <c r="MV79" s="16">
        <f>IF(ISNA(VLOOKUP($A79,'Données projet'!$A$460:$I$480,6,0)),0%,VLOOKUP($A79,'Données projet'!$A$460:$I$480,6,0)*VLOOKUP('Données projet'!$B$25,Paramètres!$A$1:$I$89,7,0))</f>
        <v>0</v>
      </c>
      <c r="MW79" s="16">
        <f>IF(ISNA(VLOOKUP($A79,'Données projet'!$A$460:$I$480,7,0)),0%,VLOOKUP($A79,'Données projet'!$A$460:$I$480,7,0))</f>
        <v>0</v>
      </c>
      <c r="MX79" s="21" t="e">
        <f>EXP(-LN(2)/35)*MX78+(1-EXP(-LN(2)/35))/(LN(2)/35)*MT79*MU79*VLOOKUP('Données projet'!$B$25,Paramètres!$A$1:$I$89,3,0)*0.475*44/12</f>
        <v>#N/A</v>
      </c>
      <c r="MY79" s="21" t="e">
        <f>EXP(-LN(2)/25)*MY78+(1-EXP(-LN(2)/25))/(LN(2)/25)*Calculateur!MT79*Calculateur!MV79*VLOOKUP('Données projet'!$B$25,Paramètres!$A$1:$I$89,3,0)*0.475*44/12</f>
        <v>#N/A</v>
      </c>
      <c r="MZ79" s="21" t="e">
        <f>EXP(-LN(2)/2)*MZ78+(1-EXP(-LN(2)/2))/(LN(2)/2)*MT79*MW79*VLOOKUP('Données projet'!$B$25,Paramètres!$A$1:$I$89,3,0)*0.475*44/12</f>
        <v>#N/A</v>
      </c>
      <c r="NA79" s="22" t="e">
        <f t="shared" si="170"/>
        <v>#N/A</v>
      </c>
      <c r="NB79" s="74">
        <f>('Scénario référence'!$F$8+'Scénario référence'!$F$9+'Scénario référence'!$B$17+'Scénario référence'!$B$9+'Scénario référence'!$B$10)*70+IF((45+25*(1-EXP(-0.0175*$A79)))&lt;70,'Scénario référence'!$B$16*(45+25*(1-EXP(-0.0175*$A79))),70*'Scénario référence'!$B$16)+IF((32+38*(1-EXP(-0.0175*$A79)))&lt;70,'Scénario référence'!$B$18*(32+38*(1-EXP(-0.0175*$A79))),70*'Scénario référence'!$B$18)</f>
        <v>70</v>
      </c>
      <c r="NC79" s="12">
        <f>IF($A79&gt;30,10,('Scénario référence'!$B$16+'Scénario référence'!$B$17+'Scénario référence'!$B$18+'Scénario référence'!$B$9+'Scénario référence'!$B$10)*$A79*10/30+('Scénario référence'!$F$8+'Scénario référence'!$F$9)*10)</f>
        <v>10</v>
      </c>
      <c r="ND79" s="12" t="e">
        <f>VLOOKUP($A79,'Données projet'!$A$486:$I$506,2,0)</f>
        <v>#N/A</v>
      </c>
      <c r="NE79" s="12" t="e">
        <f>VLOOKUP($A79,'Données projet'!$A$486:$I$506,9,0)</f>
        <v>#N/A</v>
      </c>
      <c r="NF79" s="12">
        <f t="array" ref="NF79">INDEX(NE:NE,MIN(IF(ISNUMBER(NE79:NE275),ROW(NE79:NE275),"")))</f>
        <v>0</v>
      </c>
      <c r="NG79" s="12">
        <f>IF('Données projet'!$A$486&gt;35,NG78+NF79-NO78,IF($A79&lt;'Données projet'!$A$486,$CQ$205^$A79,IF($A79='Données projet'!$A$486,'Données projet'!$B$486,NG78+NF79-NO78)))</f>
        <v>0</v>
      </c>
      <c r="NH79" s="17" t="e">
        <f>NG79*VLOOKUP('Données projet'!$B$26,Paramètres!$A$1:$I$89,3,0)*VLOOKUP('Données projet'!$B$26,Paramètres!$A$1:$I$89,5,0)</f>
        <v>#N/A</v>
      </c>
      <c r="NI79" s="13" t="e">
        <f t="shared" si="216"/>
        <v>#N/A</v>
      </c>
      <c r="NJ79" s="14" t="e">
        <f t="shared" si="171"/>
        <v>#N/A</v>
      </c>
      <c r="NK79" s="59" t="e">
        <f t="shared" si="172"/>
        <v>#N/A</v>
      </c>
      <c r="NL79" s="20" t="e">
        <f ca="1">AVERAGE(OFFSET($NK$3,0,0,'Données projet'!$E$26+1,1))-AVERAGE(OFFSET($H$3,0,0,'Données projet'!$E$26+1,1))</f>
        <v>#N/A</v>
      </c>
      <c r="NM79" s="59" t="e">
        <f t="shared" si="217"/>
        <v>#N/A</v>
      </c>
      <c r="NN79" s="15">
        <f>IF(ISNA(VLOOKUP($A79,'Données projet'!$A$486:$I$506,3,0)),0,VLOOKUP($A79,'Données projet'!$A$486:$I$506,3,0))</f>
        <v>0</v>
      </c>
      <c r="NO79" s="15">
        <f>IF(ISNA(VLOOKUP($A79,'Données projet'!$A$486:$I$506,4,0)),0,VLOOKUP($A79,'Données projet'!$A$486:$I$506,4,0))</f>
        <v>0</v>
      </c>
      <c r="NP79" s="16">
        <f>IF(ISNA(VLOOKUP($A79,'Données projet'!$A$486:$I$506,5,0)),0%,VLOOKUP($A79,'Données projet'!$A$486:$I$506,5,0)*VLOOKUP('Données projet'!$B$26,Paramètres!$A$1:$I$89,7,0))</f>
        <v>0</v>
      </c>
      <c r="NQ79" s="16">
        <f>IF(ISNA(VLOOKUP($A79,'Données projet'!$A$486:$I$506,6,0)),0%,VLOOKUP($A79,'Données projet'!$A$486:$I$506,6,0)*VLOOKUP('Données projet'!$B$26,Paramètres!$A$1:$I$89,7,0))</f>
        <v>0</v>
      </c>
      <c r="NR79" s="16">
        <f>IF(ISNA(VLOOKUP($A79,'Données projet'!$A$486:$I$506,7,0)),0%,VLOOKUP($A79,'Données projet'!$A$486:$I$506,7,0))</f>
        <v>0</v>
      </c>
      <c r="NS79" s="21" t="e">
        <f>EXP(-LN(2)/35)*NS78+(1-EXP(-LN(2)/35))/(LN(2)/35)*NO79*NP79*VLOOKUP('Données projet'!$B$26,Paramètres!$A$1:$I$89,3,0)*0.475*44/12</f>
        <v>#N/A</v>
      </c>
      <c r="NT79" s="21" t="e">
        <f>EXP(-LN(2)/25)*NT78+(1-EXP(-LN(2)/25))/(LN(2)/25)*Calculateur!NO79*Calculateur!NQ79*VLOOKUP('Données projet'!$B$26,Paramètres!$A$1:$I$89,3,0)*0.475*44/12</f>
        <v>#N/A</v>
      </c>
      <c r="NU79" s="21" t="e">
        <f>EXP(-LN(2)/2)*NU78+(1-EXP(-LN(2)/2))/(LN(2)/2)*NO79*NR79*VLOOKUP('Données projet'!$B$26,Paramètres!$A$1:$I$89,3,0)*0.475*44/12</f>
        <v>#N/A</v>
      </c>
      <c r="NV79" s="22" t="e">
        <f t="shared" si="173"/>
        <v>#N/A</v>
      </c>
      <c r="NW79" s="74">
        <f>('Scénario référence'!$F$8+'Scénario référence'!$F$9+'Scénario référence'!$B$17+'Scénario référence'!$B$9+'Scénario référence'!$B$10)*70+IF((45+25*(1-EXP(-0.0175*$A79)))&lt;70,'Scénario référence'!$B$16*(45+25*(1-EXP(-0.0175*$A79))),70*'Scénario référence'!$B$16)+IF((32+38*(1-EXP(-0.0175*$A79)))&lt;70,'Scénario référence'!$B$18*(32+38*(1-EXP(-0.0175*$A79))),70*'Scénario référence'!$B$18)</f>
        <v>70</v>
      </c>
      <c r="NX79" s="12">
        <f>IF($A79&gt;30,10,('Scénario référence'!$B$16+'Scénario référence'!$B$17+'Scénario référence'!$B$18+'Scénario référence'!$B$9+'Scénario référence'!$B$10)*$A79*10/30+('Scénario référence'!$F$8+'Scénario référence'!$F$9)*10)</f>
        <v>10</v>
      </c>
      <c r="NY79" s="12" t="e">
        <f>VLOOKUP($A79,'Données projet'!$A$512:$I$532,2,0)</f>
        <v>#N/A</v>
      </c>
      <c r="NZ79" s="12" t="e">
        <f>VLOOKUP($A79,'Données projet'!$A$512:$I$532,9,0)</f>
        <v>#N/A</v>
      </c>
      <c r="OA79" s="12">
        <f t="array" ref="OA79">INDEX(NZ:NZ,MIN(IF(ISNUMBER(NZ79:NZ275),ROW(NZ79:NZ275),"")))</f>
        <v>0</v>
      </c>
      <c r="OB79" s="12">
        <f>IF('Données projet'!$A$512&gt;35,OB78+OA79-OJ78,IF($A79&lt;'Données projet'!$A$512,$CQ$205^$A79,IF($A79='Données projet'!$A$512,'Données projet'!$B$512,OB78+OA79-OJ78)))</f>
        <v>0</v>
      </c>
      <c r="OC79" s="17" t="e">
        <f>OB79*VLOOKUP('Données projet'!$B$27,Paramètres!$A$1:$I$89,3,0)*VLOOKUP('Données projet'!$B$27,Paramètres!$A$1:$I$89,5,0)</f>
        <v>#N/A</v>
      </c>
      <c r="OD79" s="13" t="e">
        <f t="shared" si="218"/>
        <v>#N/A</v>
      </c>
      <c r="OE79" s="14" t="e">
        <f t="shared" si="174"/>
        <v>#N/A</v>
      </c>
      <c r="OF79" s="59" t="e">
        <f t="shared" si="175"/>
        <v>#N/A</v>
      </c>
      <c r="OG79" s="20" t="e">
        <f ca="1">AVERAGE(OFFSET($OF$3,0,0,'Données projet'!$E$27+1,1))-AVERAGE(OFFSET($H$3,0,0,'Données projet'!$E$27+1,1))</f>
        <v>#N/A</v>
      </c>
      <c r="OH79" s="59" t="e">
        <f t="shared" si="219"/>
        <v>#N/A</v>
      </c>
      <c r="OI79" s="15">
        <f>IF(ISNA(VLOOKUP($A79,'Données projet'!$A$512:$I$532,3,0)),0,VLOOKUP($A79,'Données projet'!$A$512:$I$532,3,0))</f>
        <v>0</v>
      </c>
      <c r="OJ79" s="15">
        <f>IF(ISNA(VLOOKUP($A79,'Données projet'!$A$512:$I$532,4,0)),0,VLOOKUP($A79,'Données projet'!$A$512:$I$532,4,0))</f>
        <v>0</v>
      </c>
      <c r="OK79" s="16">
        <f>IF(ISNA(VLOOKUP($A79,'Données projet'!$A$512:$I$532,5,0)),0%,VLOOKUP($A79,'Données projet'!$A$512:$I$532,5,0)*VLOOKUP('Données projet'!$B$27,Paramètres!$A$1:$I$89,7,0))</f>
        <v>0</v>
      </c>
      <c r="OL79" s="16">
        <f>IF(ISNA(VLOOKUP($A79,'Données projet'!$A$512:$I$532,6,0)),0%,VLOOKUP($A79,'Données projet'!$A$512:$I$532,6,0)*VLOOKUP('Données projet'!$B$27,Paramètres!$A$1:$I$89,7,0))</f>
        <v>0</v>
      </c>
      <c r="OM79" s="16">
        <f>IF(ISNA(VLOOKUP($A79,'Données projet'!$A$512:$I$532,7,0)),0%,VLOOKUP($A79,'Données projet'!$A$512:$I$532,7,0))</f>
        <v>0</v>
      </c>
      <c r="ON79" s="21" t="e">
        <f>EXP(-LN(2)/35)*ON78+(1-EXP(-LN(2)/35))/(LN(2)/35)*OJ79*OK79*VLOOKUP('Données projet'!$B$27,Paramètres!$A$1:$I$89,3,0)*0.475*44/12</f>
        <v>#N/A</v>
      </c>
      <c r="OO79" s="21" t="e">
        <f>EXP(-LN(2)/25)*OO78+(1-EXP(-LN(2)/25))/(LN(2)/25)*Calculateur!OJ79*Calculateur!OL79*VLOOKUP('Données projet'!$B$27,Paramètres!$A$1:$I$89,3,0)*0.475*44/12</f>
        <v>#N/A</v>
      </c>
      <c r="OP79" s="21" t="e">
        <f>EXP(-LN(2)/2)*OP78+(1-EXP(-LN(2)/2))/(LN(2)/2)*OJ79*OM79*VLOOKUP('Données projet'!$B$27,Paramètres!$A$1:$I$89,3,0)*0.475*44/12</f>
        <v>#N/A</v>
      </c>
      <c r="OQ79" s="22" t="e">
        <f t="shared" si="176"/>
        <v>#N/A</v>
      </c>
      <c r="OR79" s="74">
        <f>('Scénario référence'!$F$8+'Scénario référence'!$F$9+'Scénario référence'!$B$17+'Scénario référence'!$B$9+'Scénario référence'!$B$10)*70+IF((45+25*(1-EXP(-0.0175*$A79)))&lt;70,'Scénario référence'!$B$16*(45+25*(1-EXP(-0.0175*$A79))),70*'Scénario référence'!$B$16)+IF((32+38*(1-EXP(-0.0175*$A79)))&lt;70,'Scénario référence'!$B$18*(32+38*(1-EXP(-0.0175*$A79))),70*'Scénario référence'!$B$18)</f>
        <v>70</v>
      </c>
      <c r="OS79" s="12">
        <f>IF($A79&gt;30,10,('Scénario référence'!$B$16+'Scénario référence'!$B$17+'Scénario référence'!$B$18+'Scénario référence'!$B$9+'Scénario référence'!$B$10)*$A79*10/30+('Scénario référence'!$F$8+'Scénario référence'!$F$9)*10)</f>
        <v>10</v>
      </c>
      <c r="OT79" s="12" t="e">
        <f>VLOOKUP($A79,'Données projet'!$A$538:$I$558,2,0)</f>
        <v>#N/A</v>
      </c>
      <c r="OU79" s="12" t="e">
        <f>VLOOKUP($A79,'Données projet'!$A$538:$I$558,9,0)</f>
        <v>#N/A</v>
      </c>
      <c r="OV79" s="12">
        <f t="array" ref="OV79">INDEX(OU:OU,MIN(IF(ISNUMBER(OU79:OU275),ROW(OU79:OU275),"")))</f>
        <v>0</v>
      </c>
      <c r="OW79" s="12">
        <f>IF('Données projet'!$A$538&gt;35,OW78+OV79-PE78,IF($A79&lt;'Données projet'!$A$538,$CQ$205^$A79,IF($A79='Données projet'!$A$538,'Données projet'!$B$538,OW78+OV79-PE78)))</f>
        <v>0</v>
      </c>
      <c r="OX79" s="17" t="e">
        <f>OW79*VLOOKUP('Données projet'!$B$28,Paramètres!$A$1:$I$89,3,0)*VLOOKUP('Données projet'!$B$28,Paramètres!$A$1:$I$89,5,0)</f>
        <v>#N/A</v>
      </c>
      <c r="OY79" s="13" t="e">
        <f t="shared" si="220"/>
        <v>#N/A</v>
      </c>
      <c r="OZ79" s="14" t="e">
        <f t="shared" si="177"/>
        <v>#N/A</v>
      </c>
      <c r="PA79" s="59" t="e">
        <f t="shared" si="178"/>
        <v>#N/A</v>
      </c>
      <c r="PB79" s="20" t="e">
        <f ca="1">AVERAGE(OFFSET($PA$3,0,0,'Données projet'!$E$28+1,1))-AVERAGE(OFFSET($H$3,0,0,'Données projet'!$E$28+1,1))</f>
        <v>#N/A</v>
      </c>
      <c r="PC79" s="59" t="e">
        <f t="shared" si="221"/>
        <v>#N/A</v>
      </c>
      <c r="PD79" s="15">
        <f>IF(ISNA(VLOOKUP($A79,'Données projet'!$A$538:$I$558,3,0)),0,VLOOKUP($A79,'Données projet'!$A$538:$I$558,3,0))</f>
        <v>0</v>
      </c>
      <c r="PE79" s="15">
        <f>IF(ISNA(VLOOKUP($A79,'Données projet'!$A$538:$I$558,4,0)),0,VLOOKUP($A79,'Données projet'!$A$538:$I$558,4,0))</f>
        <v>0</v>
      </c>
      <c r="PF79" s="16">
        <f>IF(ISNA(VLOOKUP($A79,'Données projet'!$A$538:$I$558,5,0)),0%,VLOOKUP($A79,'Données projet'!$A$538:$I$558,5,0)*VLOOKUP('Données projet'!$B$28,Paramètres!$A$1:$I$89,7,0))</f>
        <v>0</v>
      </c>
      <c r="PG79" s="16">
        <f>IF(ISNA(VLOOKUP($A79,'Données projet'!$A$538:$I$558,6,0)),0%,VLOOKUP($A79,'Données projet'!$A$538:$I$558,6,0)*VLOOKUP('Données projet'!$B$28,Paramètres!$A$1:$I$89,7,0))</f>
        <v>0</v>
      </c>
      <c r="PH79" s="16">
        <f>IF(ISNA(VLOOKUP($A79,'Données projet'!$A$538:$I$558,7,0)),0%,VLOOKUP($A79,'Données projet'!$A$538:$I$558,7,0))</f>
        <v>0</v>
      </c>
      <c r="PI79" s="21" t="e">
        <f>EXP(-LN(2)/35)*PI78+(1-EXP(-LN(2)/35))/(LN(2)/35)*PE79*PF79*VLOOKUP('Données projet'!$B$28,Paramètres!$A$1:$I$89,3,0)*0.475*44/12</f>
        <v>#N/A</v>
      </c>
      <c r="PJ79" s="21" t="e">
        <f>EXP(-LN(2)/25)*PJ78+(1-EXP(-LN(2)/25))/(LN(2)/25)*Calculateur!PE79*Calculateur!PG79*VLOOKUP('Données projet'!$B$28,Paramètres!$A$1:$I$89,3,0)*0.475*44/12</f>
        <v>#N/A</v>
      </c>
      <c r="PK79" s="21" t="e">
        <f>EXP(-LN(2)/2)*PK78+(1-EXP(-LN(2)/2))/(LN(2)/2)*PE79*PH79*VLOOKUP('Données projet'!$B$28,Paramètres!$A$1:$I$89,3,0)*0.475*44/12</f>
        <v>#N/A</v>
      </c>
      <c r="PL79" s="22" t="e">
        <f t="shared" si="179"/>
        <v>#N/A</v>
      </c>
    </row>
    <row r="80" spans="1:428" x14ac:dyDescent="0.35">
      <c r="A80" s="10">
        <f t="shared" si="180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181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121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projet'!$A$45:$I$65,2,0)</f>
        <v>#N/A</v>
      </c>
      <c r="L80" s="12" t="e">
        <f>VLOOKUP(A80,'Données projet'!$A$45:$I$65,9,0)</f>
        <v>#N/A</v>
      </c>
      <c r="M80" s="12">
        <f t="array" ref="M80">INDEX(L:L,MIN(IF(ISNUMBER(L80:L276),ROW(L80:L276),"")))</f>
        <v>0</v>
      </c>
      <c r="N80" s="13">
        <f>IF('Données projet'!$A$46&gt;35,N79+M80-V79,IF(A80&lt;'Données projet'!$A$46,$K$205^A80,IF(A80='Données projet'!$A$46,'Données projet'!$B$46,N79+M80-V79)))</f>
        <v>-1.1368683772161603E-13</v>
      </c>
      <c r="O80" s="13">
        <f>N80*VLOOKUP('Données projet'!$B$9,Paramètres!$A$1:$I$89,3,0)*VLOOKUP('Données projet'!$B$9,Paramètres!$A$1:$I$89,5,0)</f>
        <v>-6.3550942286383367E-14</v>
      </c>
      <c r="P80" s="13" t="e">
        <f t="shared" si="182"/>
        <v>#NUM!</v>
      </c>
      <c r="Q80" s="20" t="e">
        <f t="shared" si="119"/>
        <v>#NUM!</v>
      </c>
      <c r="R80" s="59" t="e">
        <f t="shared" si="120"/>
        <v>#NUM!</v>
      </c>
      <c r="S80" s="59">
        <f ca="1">AVERAGE(OFFSET($R$3,0,0,'Données projet'!$E$9+1,1))-AVERAGE(OFFSET($H$3,0,0,'Données projet'!$E$9+1,1))</f>
        <v>274.57619581652199</v>
      </c>
      <c r="T80" s="59">
        <f t="shared" si="183"/>
        <v>366.15117322598775</v>
      </c>
      <c r="U80" s="15">
        <f>IF(ISNA(VLOOKUP(A80,'Données projet'!$A$45:$I$65,3,0)),0,VLOOKUP(A80,'Données projet'!$A$45:$I$65,3,0))</f>
        <v>0</v>
      </c>
      <c r="V80" s="15">
        <f>IF(ISNA(VLOOKUP(A80,'Données projet'!$A$45:$I$65,4,0)),0,VLOOKUP(A80,'Données projet'!$A$45:$I$65,4,0))</f>
        <v>0</v>
      </c>
      <c r="W80" s="16">
        <f>IF(ISNA(VLOOKUP(A80,'Données projet'!$A$45:$I$65,5,0)),0%,VLOOKUP(A80,'Données projet'!$A$45:$I$65,5,0)*VLOOKUP('Données projet'!$B$9,Paramètres!$A$1:$I$89,7,0))</f>
        <v>0</v>
      </c>
      <c r="X80" s="16">
        <f>IF(ISNA(VLOOKUP(A80,'Données projet'!$A$45:$I$65,6,0)),0%,VLOOKUP(A80,'Données projet'!$A$45:$I$65,6,0)*VLOOKUP('Données projet'!$B$9,Paramètres!$A$1:$I$89,7,0))</f>
        <v>0</v>
      </c>
      <c r="Y80" s="16">
        <f>IF(ISNA(VLOOKUP(A80,'Données projet'!$A$45:$I$65,7,0)),0%,VLOOKUP(A80,'Données projet'!$A$45:$I$65,7,0))</f>
        <v>0</v>
      </c>
      <c r="Z80" s="21">
        <f>EXP(-LN(2)/35)*Z79+(1-EXP(-LN(2)/35))/(LN(2)/35)*V80*W80*VLOOKUP('Données projet'!$B$9,Paramètres!$A$1:$I$89,3,0)*0.475*44/12</f>
        <v>146.60555920691925</v>
      </c>
      <c r="AA80" s="21">
        <f>EXP(-LN(2)/25)*AA79+(1-EXP(-LN(2)/25))/(LN(2)/25)*Calculateur!V80*Calculateur!X80*VLOOKUP('Données projet'!$B$9,Paramètres!$A$1:$I$89,3,0)*0.475*44/12</f>
        <v>31.302137313579482</v>
      </c>
      <c r="AB80" s="21">
        <f>EXP(-LN(2)/2)*AB79+(1-EXP(-LN(2)/2))/(LN(2)/2)*V80*Y80*VLOOKUP('Données projet'!$B$9,Paramètres!$A$1:$I$89,3,0)*0.475*44/12</f>
        <v>1.6680324220758044E-2</v>
      </c>
      <c r="AC80" s="22">
        <f t="shared" si="122"/>
        <v>177.92437684471952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projet'!$A$71:$I$91,2,0)</f>
        <v>#N/A</v>
      </c>
      <c r="AG80" s="12" t="e">
        <f>VLOOKUP(A80,'Données projet'!$A$71:$I$91,9,0)</f>
        <v>#N/A</v>
      </c>
      <c r="AH80" s="12">
        <f t="array" ref="AH80">INDEX(AG:AG,MIN(IF(ISNUMBER(AG80:AG276),ROW(AG80:AG276),"")))</f>
        <v>7.8425925925925934</v>
      </c>
      <c r="AI80" s="13">
        <f>IF('Données projet'!$A$72&gt;35,AI79+AH80-AQ79,IF(A80&lt;'Données projet'!$A$72,$AF$205^A80,IF(A80='Données projet'!$A$72,'Données projet'!$B$72,AI79+AH80-AQ79)))</f>
        <v>250.48504273504292</v>
      </c>
      <c r="AJ80" s="13">
        <f>AI80*VLOOKUP('Données projet'!$B$10,Paramètres!$A$1:$I$89,3,0)*VLOOKUP('Données projet'!$B$10,Paramètres!$A$1:$I$89,5,0)</f>
        <v>226.63886666666684</v>
      </c>
      <c r="AK80" s="13">
        <f t="shared" si="184"/>
        <v>55.555304418491261</v>
      </c>
      <c r="AL80" s="20">
        <f t="shared" si="123"/>
        <v>491.4881813066504</v>
      </c>
      <c r="AM80" s="59">
        <f t="shared" si="124"/>
        <v>784.82151463998366</v>
      </c>
      <c r="AN80" s="59">
        <f ca="1">AVERAGE(OFFSET($AM$3,0,0,'Données projet'!$E$10+1,1))-AVERAGE(OFFSET($H$3,0,0,'Données projet'!$E$10+1,1))</f>
        <v>270.87836509222456</v>
      </c>
      <c r="AO80" s="59">
        <f t="shared" si="185"/>
        <v>205.24998237949734</v>
      </c>
      <c r="AP80" s="15">
        <f>IF(ISNA(VLOOKUP(A80,'Données projet'!$A$71:$I$91,3,0)),0,VLOOKUP(A80,'Données projet'!$A$71:$I$91,3,0))</f>
        <v>0</v>
      </c>
      <c r="AQ80" s="15">
        <f>IF(ISNA(VLOOKUP(A80,'Données projet'!$A$71:$I$91,4,0)),0,VLOOKUP(A80,'Données projet'!$A$71:$I$91,4,0))</f>
        <v>0</v>
      </c>
      <c r="AR80" s="16">
        <f>IF(ISNA(VLOOKUP(A80,'Données projet'!$A$71:$I$91,5,0)),0%,VLOOKUP(A80,'Données projet'!$A$71:$I$91,5,0)*VLOOKUP('Données projet'!$B$10,Paramètres!$A$1:$I$89,7,0))</f>
        <v>0</v>
      </c>
      <c r="AS80" s="16">
        <f>IF(ISNA(VLOOKUP(A80,'Données projet'!$A$71:$I$91,6,0)),0%,VLOOKUP(A80,'Données projet'!$A$71:$I$91,6,0)*VLOOKUP('Données projet'!$B$10,Paramètres!$A$1:$I$89,7,0))</f>
        <v>0</v>
      </c>
      <c r="AT80" s="16">
        <f>IF(ISNA(VLOOKUP(A80,'Données projet'!$A$71:$I$91,7,0)),0%,VLOOKUP(A80,'Données projet'!$A$71:$I$91,7,0))</f>
        <v>0</v>
      </c>
      <c r="AU80" s="21">
        <f>EXP(-LN(2)/35)*AU79+(1-EXP(-LN(2)/35))/(LN(2)/35)*AQ80*AR80*VLOOKUP('Données projet'!$B$10,Paramètres!$A$1:$I$89,3,0)*0.475*44/12</f>
        <v>20.196543614608945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125"/>
        <v>20.196543614608945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projet'!$A$97:$I$117,2,0)</f>
        <v>#N/A</v>
      </c>
      <c r="BB80" s="12" t="e">
        <f>VLOOKUP(A80,'Données projet'!$A$97:$I$117,9,0)</f>
        <v>#N/A</v>
      </c>
      <c r="BC80" s="12">
        <f t="array" ref="BC80">INDEX(BB:BB,MIN(IF(ISNUMBER(BB80:BB276),ROW(BB80:BB276),"")))</f>
        <v>0</v>
      </c>
      <c r="BD80" s="12">
        <f>IF('Données projet'!$A$98&gt;35,BD79+BC80-BL79,IF(A80&lt;'Données projet'!$A$98,$BA$205^A80,IF(A80='Données projet'!$A$98,'Données projet'!$B$98,BD79+BC80-BL79)))</f>
        <v>-1.1368683772161603E-13</v>
      </c>
      <c r="BE80" s="13">
        <f>BD80*VLOOKUP('Données projet'!$B$11,Paramètres!$A$1:$I$89,3,0)*VLOOKUP('Données projet'!$B$11,Paramètres!$A$1:$I$89,5,0)</f>
        <v>-5.0249582272954292E-14</v>
      </c>
      <c r="BF80" s="13" t="e">
        <f t="shared" si="186"/>
        <v>#NUM!</v>
      </c>
      <c r="BG80" s="20" t="e">
        <f t="shared" si="126"/>
        <v>#NUM!</v>
      </c>
      <c r="BH80" s="59" t="e">
        <f t="shared" si="127"/>
        <v>#NUM!</v>
      </c>
      <c r="BI80" s="59">
        <f ca="1">AVERAGE(OFFSET($BH$3,0,0,'Données projet'!$E$11+1,1))-AVERAGE(OFFSET($H$3,0,0,'Données projet'!$E$11+1,1))</f>
        <v>211.31057120485542</v>
      </c>
      <c r="BJ80" s="59">
        <f t="shared" si="187"/>
        <v>283.33292006714777</v>
      </c>
      <c r="BK80" s="15">
        <f>IF(ISNA(VLOOKUP(A80,'Données projet'!$A$97:$I$117,3,0)),0,VLOOKUP(A80,'Données projet'!$A$97:$I$117,3,0))</f>
        <v>0</v>
      </c>
      <c r="BL80" s="15">
        <f>IF(ISNA(VLOOKUP(A80,'Données projet'!$A$97:$I$117,4,0)),0,VLOOKUP(A80,'Données projet'!$A$97:$I$117,4,0))</f>
        <v>0</v>
      </c>
      <c r="BM80" s="16">
        <f>IF(ISNA(VLOOKUP(A80,'Données projet'!$A$97:$I$117,5,0)),0%,VLOOKUP(A80,'Données projet'!$A$97:$I$117,5,0)*VLOOKUP('Données projet'!$B$11,Paramètres!$A$1:$I$89,7,0))</f>
        <v>0</v>
      </c>
      <c r="BN80" s="16">
        <f>IF(ISNA(VLOOKUP(A80,'Données projet'!$A$97:$I$117,6,0)),0%,VLOOKUP(A80,'Données projet'!$A$97:$I$117,6,0)*VLOOKUP('Données projet'!$B$11,Paramètres!$A$1:$I$89,7,0))</f>
        <v>0</v>
      </c>
      <c r="BO80" s="16">
        <f>IF(ISNA(VLOOKUP(A80,'Données projet'!$A$97:$I$117,7,0)),0%,VLOOKUP(A80,'Données projet'!$A$97:$I$117,7,0))</f>
        <v>0</v>
      </c>
      <c r="BP80" s="21">
        <f>EXP(-LN(2)/35)*BP79+(1-EXP(-LN(2)/35))/(LN(2)/35)*BL80*BM80*VLOOKUP('Données projet'!$B$11,Paramètres!$A$1:$I$89,3,0)*0.475*44/12</f>
        <v>115.92067472175012</v>
      </c>
      <c r="BQ80" s="21">
        <f>EXP(-LN(2)/25)*BQ79+(1-EXP(-LN(2)/25))/(LN(2)/25)*Calculateur!BL80*Calculateur!BN80*VLOOKUP('Données projet'!$B$11,Paramètres!$A$1:$I$89,3,0)*0.475*44/12</f>
        <v>24.750527178179123</v>
      </c>
      <c r="BR80" s="21">
        <f>EXP(-LN(2)/2)*BR79+(1-EXP(-LN(2)/2))/(LN(2)/2)*BL80*BO80*VLOOKUP('Données projet'!$B$11,Paramètres!$A$1:$I$89,3,0)*0.475*44/12</f>
        <v>1.3189093569901706E-2</v>
      </c>
      <c r="BS80" s="22">
        <f t="shared" si="128"/>
        <v>140.68439099349914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projet'!$A$123:$I$143,2,0)</f>
        <v>#N/A</v>
      </c>
      <c r="BW80" s="12" t="e">
        <f>VLOOKUP(A80,'Données projet'!$A$123:$I$143,9,0)</f>
        <v>#N/A</v>
      </c>
      <c r="BX80" s="12">
        <f t="array" ref="BX80">INDEX(BW:BW,MIN(IF(ISNUMBER(BW80:BW276),ROW(BW80:BW276),"")))</f>
        <v>4</v>
      </c>
      <c r="BY80" s="12">
        <f>IF('Données projet'!$A$124&gt;35,BY79+BX80-CG79,IF(A80&lt;'Données projet'!$A$124,$BV$205^A80,IF(A80='Données projet'!$A$124,'Données projet'!$B$124,BY79+BX80-CG79)))</f>
        <v>233.00000000000003</v>
      </c>
      <c r="BZ80" s="13">
        <f>BY80*VLOOKUP('Données projet'!$B$12,Paramètres!$A$1:$I$89,3,0)*VLOOKUP('Données projet'!$B$12,Paramètres!$A$1:$I$89,5,0)</f>
        <v>243.53160000000008</v>
      </c>
      <c r="CA80" s="13">
        <f t="shared" si="188"/>
        <v>59.198724224270414</v>
      </c>
      <c r="CB80" s="20">
        <f t="shared" si="129"/>
        <v>527.25531469060445</v>
      </c>
      <c r="CC80" s="59">
        <f t="shared" si="130"/>
        <v>820.58864802393782</v>
      </c>
      <c r="CD80" s="59">
        <f ca="1">AVERAGE(OFFSET($CC$3,0,0,'Données projet'!$E$12+1,1))-AVERAGE(OFFSET($H$3,0,0,'Données projet'!$E$12+1,1))</f>
        <v>322.93502595881938</v>
      </c>
      <c r="CE80" s="59">
        <f t="shared" si="189"/>
        <v>302.67072119588164</v>
      </c>
      <c r="CF80" s="15">
        <f>IF(ISNA(VLOOKUP(A80,'Données projet'!$A$123:$I$143,3,0)),0,VLOOKUP(A80,'Données projet'!$A$123:$I$143,3,0))</f>
        <v>0</v>
      </c>
      <c r="CG80" s="15">
        <f>IF(ISNA(VLOOKUP(A80,'Données projet'!$A$123:$I$143,4,0)),0,VLOOKUP(A80,'Données projet'!$A$123:$I$143,4,0))</f>
        <v>0</v>
      </c>
      <c r="CH80" s="16">
        <f>IF(ISNA(VLOOKUP(A80,'Données projet'!$A$123:$I$143,5,0)),0%,VLOOKUP(A80,'Données projet'!$A$123:$I$143,5,0)*VLOOKUP('Données projet'!$B$12,Paramètres!$A$1:$I$89,7,0))</f>
        <v>0</v>
      </c>
      <c r="CI80" s="16">
        <f>IF(ISNA(VLOOKUP(A80,'Données projet'!$A$123:$I$143,6,0)),0%,VLOOKUP(A80,'Données projet'!$A$123:$I$143,6,0)*VLOOKUP('Données projet'!$B$12,Paramètres!$A$1:$I$89,7,0))</f>
        <v>0</v>
      </c>
      <c r="CJ80" s="16">
        <f>IF(ISNA(VLOOKUP(A80,'Données projet'!$A$123:$I$143,7,0)),0%,VLOOKUP(A80,'Données projet'!$A$123:$I$143,7,0))</f>
        <v>0</v>
      </c>
      <c r="CK80" s="21">
        <f>EXP(-LN(2)/35)*CK79+(1-EXP(-LN(2)/35))/(LN(2)/35)*CG80*CH80*VLOOKUP('Données projet'!$B$12,Paramètres!$A$1:$I$89,3,0)*0.475*44/12</f>
        <v>24.612613871548103</v>
      </c>
      <c r="CL80" s="21">
        <f>EXP(-LN(2)/25)*CL79+(1-EXP(-LN(2)/25))/(LN(2)/25)*Calculateur!CG80*Calculateur!CI80*VLOOKUP('Données projet'!$B$12,Paramètres!$A$1:$I$89,3,0)*0.475*44/12</f>
        <v>21.93573435177457</v>
      </c>
      <c r="CM80" s="21">
        <f>EXP(-LN(2)/2)*CM79+(1-EXP(-LN(2)/2))/(LN(2)/2)*CG80*CJ80*VLOOKUP('Données projet'!$B$12,Paramètres!$A$1:$I$89,3,0)*0.475*44/12</f>
        <v>0</v>
      </c>
      <c r="CN80" s="22">
        <f t="shared" si="131"/>
        <v>46.548348223322677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projet'!$A$149:$I$169,2,0)</f>
        <v>#N/A</v>
      </c>
      <c r="CR80" s="12" t="e">
        <f>VLOOKUP(A80,'Données projet'!$A$149:$I$169,9,0)</f>
        <v>#N/A</v>
      </c>
      <c r="CS80" s="12">
        <f t="array" ref="CS80">INDEX(CR:CR,MIN(IF(ISNUMBER(CR80:CR276),ROW(CR80:CR276),"")))</f>
        <v>5.5042735042735051</v>
      </c>
      <c r="CT80" s="12">
        <f>IF('Données projet'!$A$150&gt;35,CT79+CS80-DB79,IF(A80&lt;'Données projet'!$A$150,$CQ$205^A80,IF(A80='Données projet'!$A$150,'Données projet'!$B$150,CT79+CS80-DB79)))</f>
        <v>161.47649572649567</v>
      </c>
      <c r="CU80" s="17">
        <f>CT80*VLOOKUP('Données projet'!$B$13,Paramètres!$A$1:$I$89,3,0)*VLOOKUP('Données projet'!$B$13,Paramètres!$A$1:$I$89,5,0)</f>
        <v>163.73716666666661</v>
      </c>
      <c r="CV80" s="13">
        <f t="shared" si="190"/>
        <v>41.68430774657778</v>
      </c>
      <c r="CW80" s="20">
        <f t="shared" si="132"/>
        <v>357.77573460306729</v>
      </c>
      <c r="CX80" s="59">
        <f t="shared" si="133"/>
        <v>651.10906793640061</v>
      </c>
      <c r="CY80" s="59">
        <f ca="1">AVERAGE(OFFSET($CX$3,0,0,'Données projet'!$E$13+1,1))-AVERAGE(OFFSET($H$3,0,0,'Données projet'!$E$13+1,1))</f>
        <v>250.31277422753283</v>
      </c>
      <c r="CZ80" s="59">
        <f t="shared" si="191"/>
        <v>159.20429420478047</v>
      </c>
      <c r="DA80" s="15">
        <f>IF(ISNA(VLOOKUP(A80,'Données projet'!$A$149:$I$169,3,0)),0,VLOOKUP(A80,'Données projet'!$A$149:$I$169,3,0))</f>
        <v>0</v>
      </c>
      <c r="DB80" s="15">
        <f>IF(ISNA(VLOOKUP(A80,'Données projet'!$A$149:$I$169,4,0)),0,VLOOKUP(A80,'Données projet'!$A$149:$I$169,4,0))</f>
        <v>0</v>
      </c>
      <c r="DC80" s="16">
        <f>IF(ISNA(VLOOKUP(A80,'Données projet'!$A$149:$I$169,5,0)),0%,VLOOKUP(A80,'Données projet'!$A$149:$I$169,5,0)*VLOOKUP('Données projet'!$B$13,Paramètres!$A$1:$I$89,7,0))</f>
        <v>0</v>
      </c>
      <c r="DD80" s="16">
        <f>IF(ISNA(VLOOKUP(A80,'Données projet'!$A$149:$I$169,6,0)),0%,VLOOKUP(A80,'Données projet'!$A$149:$I$169,6,0)*VLOOKUP('Données projet'!$B$13,Paramètres!$A$1:$I$89,7,0))</f>
        <v>0</v>
      </c>
      <c r="DE80" s="16">
        <f>IF(ISNA(VLOOKUP(A80,'Données projet'!$A$149:$I$169,7,0)),0%,VLOOKUP(A80,'Données projet'!$A$149:$I$169,7,0))</f>
        <v>0</v>
      </c>
      <c r="DF80" s="21">
        <f>EXP(-LN(2)/35)*DF79+(1-EXP(-LN(2)/35))/(LN(2)/35)*DB80*DC80*VLOOKUP('Données projet'!$B$13,Paramètres!$A$1:$I$89,3,0)*0.475*44/12</f>
        <v>10.026341910716004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134"/>
        <v>10.026341910716004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projet'!$A$175:$I$195,2,0)</f>
        <v>#N/A</v>
      </c>
      <c r="DM80" s="12" t="e">
        <f>VLOOKUP(A80,'Données projet'!$A$175:$I$195,9,0)</f>
        <v>#N/A</v>
      </c>
      <c r="DN80" s="12">
        <f t="array" ref="DN80">INDEX(DM:DM,MIN(IF(ISNUMBER(DM80:DM276),ROW(DM80:DM276),"")))</f>
        <v>4</v>
      </c>
      <c r="DO80" s="12">
        <f>IF('Données projet'!$A$176&gt;35,DO79+DN80-DW79,IF(A80&lt;'Données projet'!$A$176,$DL$205^A80,IF(A80='Données projet'!$A$176,'Données projet'!$B$176,DO79+DN80-DW79)))</f>
        <v>368.99999999999972</v>
      </c>
      <c r="DP80" s="17">
        <f>DO80*VLOOKUP('Données projet'!$B$14,Paramètres!$A$1:$I$89,3,0)*VLOOKUP('Données projet'!$B$14,Paramètres!$A$1:$I$89,5,0)</f>
        <v>270.55079999999981</v>
      </c>
      <c r="DQ80" s="13">
        <f t="shared" si="192"/>
        <v>64.966149081071777</v>
      </c>
      <c r="DR80" s="20">
        <f t="shared" si="135"/>
        <v>584.35868631619962</v>
      </c>
      <c r="DS80" s="59">
        <f t="shared" si="136"/>
        <v>877.69201964953299</v>
      </c>
      <c r="DT80" s="59">
        <f ca="1">AVERAGE(OFFSET($DS$3,0,0,'Données projet'!$E$14+1,1))-AVERAGE(OFFSET($H$3,0,0,'Données projet'!$E$14+1,1))</f>
        <v>296.91321813251051</v>
      </c>
      <c r="DU80" s="59">
        <f t="shared" si="193"/>
        <v>291.0718079639509</v>
      </c>
      <c r="DV80" s="15">
        <f>IF(ISNA(VLOOKUP(A80,'Données projet'!$A$175:$I$195,3,0)),0,VLOOKUP(A80,'Données projet'!$A$175:$I$195,3,0))</f>
        <v>0</v>
      </c>
      <c r="DW80" s="15">
        <f>IF(ISNA(VLOOKUP(A80,'Données projet'!$A$175:$I$195,4,0)),0,VLOOKUP(A80,'Données projet'!$A$175:$I$195,4,0))</f>
        <v>0</v>
      </c>
      <c r="DX80" s="16">
        <f>IF(ISNA(VLOOKUP(A80,'Données projet'!$A$175:$I$195,5,0)),0%,VLOOKUP(A80,'Données projet'!$A$175:$I$195,5,0)*VLOOKUP('Données projet'!$B$14,Paramètres!$A$1:$I$89,7,0))</f>
        <v>0</v>
      </c>
      <c r="DY80" s="16">
        <f>IF(ISNA(VLOOKUP(A80,'Données projet'!$A$175:$I$195,6,0)),0%,VLOOKUP(A80,'Données projet'!$A$175:$I$195,6,0)*VLOOKUP('Données projet'!$B$14,Paramètres!$A$1:$I$89,7,0))</f>
        <v>0</v>
      </c>
      <c r="DZ80" s="16">
        <f>IF(ISNA(VLOOKUP(A80,'Données projet'!$A$175:$I$195,7,0)),0%,VLOOKUP(A80,'Données projet'!$A$175:$I$195,7,0))</f>
        <v>0</v>
      </c>
      <c r="EA80" s="21">
        <f>EXP(-LN(2)/35)*EA79+(1-EXP(-LN(2)/35))/(LN(2)/35)*DW80*DX80*VLOOKUP('Données projet'!$B$14,Paramètres!$A$1:$I$89,3,0)*0.475*44/12</f>
        <v>43.158575591267045</v>
      </c>
      <c r="EB80" s="21">
        <f>EXP(-LN(2)/25)*EB79+(1-EXP(-LN(2)/25))/(LN(2)/25)*Calculateur!DW80*Calculateur!DY80*VLOOKUP('Données projet'!$B$14,Paramètres!$A$1:$I$89,3,0)*0.475*44/12</f>
        <v>5.8193278359885712</v>
      </c>
      <c r="EC80" s="21">
        <f>EXP(-LN(2)/2)*EC79+(1-EXP(-LN(2)/2))/(LN(2)/2)*DW80*DZ80*VLOOKUP('Données projet'!$B$14,Paramètres!$A$1:$I$89,3,0)*0.475*44/12</f>
        <v>0</v>
      </c>
      <c r="ED80" s="22">
        <f t="shared" si="137"/>
        <v>48.977903427255619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projet'!$A$201:$I$221,2,0)</f>
        <v>#N/A</v>
      </c>
      <c r="EH80" s="12" t="e">
        <f>VLOOKUP(A80,'Données projet'!$A$201:$I$221,9,0)</f>
        <v>#N/A</v>
      </c>
      <c r="EI80" s="12">
        <f t="array" ref="EI80">INDEX(EH:EH,MIN(IF(ISNUMBER(EH80:EH276),ROW(EH80:EH276),"")))</f>
        <v>9.001923076923072</v>
      </c>
      <c r="EJ80" s="12">
        <f>IF('Données projet'!$A$202&gt;35,EJ79+EI80-ER79,IF(A80&lt;'Données projet'!$A$202,$EG$205^A80,IF(A80='Données projet'!$A$202,'Données projet'!$B$202,EJ79+EI80-ER79)))</f>
        <v>293.11923076923119</v>
      </c>
      <c r="EK80" s="17">
        <f>EJ80*VLOOKUP('Données projet'!$B$15,Paramètres!$A$1:$I$89,3,0)*VLOOKUP('Données projet'!$B$15,Paramètres!$A$1:$I$89,5,0)</f>
        <v>137.1798000000002</v>
      </c>
      <c r="EL80" s="13">
        <f t="shared" si="194"/>
        <v>35.65017408944302</v>
      </c>
      <c r="EM80" s="20">
        <f t="shared" si="138"/>
        <v>301.01220487244694</v>
      </c>
      <c r="EN80" s="59">
        <f t="shared" si="139"/>
        <v>594.34553820578026</v>
      </c>
      <c r="EO80" s="59">
        <f ca="1">AVERAGE(OFFSET($EN$3,0,0,'Données projet'!$E$15+1,1))-AVERAGE(OFFSET($H$3,0,0,'Données projet'!$E$15+1,1))</f>
        <v>147.64256291235483</v>
      </c>
      <c r="EP80" s="59">
        <f t="shared" si="195"/>
        <v>70.859031694091868</v>
      </c>
      <c r="EQ80" s="15">
        <f>IF(ISNA(VLOOKUP(A80,'Données projet'!$A$201:$I$221,3,0)),0,VLOOKUP(A80,'Données projet'!$A$201:$I$221,3,0))</f>
        <v>0</v>
      </c>
      <c r="ER80" s="15">
        <f>IF(ISNA(VLOOKUP(A80,'Données projet'!$A$201:$I$221,4,0)),0,VLOOKUP(A80,'Données projet'!$A$201:$I$221,4,0))</f>
        <v>0</v>
      </c>
      <c r="ES80" s="16">
        <f>IF(ISNA(VLOOKUP(A80,'Données projet'!$A$201:$I$221,5,0)),0%,VLOOKUP(A80,'Données projet'!$A$201:$I$221,5,0)*VLOOKUP('Données projet'!$B$15,Paramètres!$A$1:$I$89,7,0))</f>
        <v>0</v>
      </c>
      <c r="ET80" s="16">
        <f>IF(ISNA(VLOOKUP(A80,'Données projet'!$A$201:$I$221,6,0)),0%,VLOOKUP(A80,'Données projet'!$A$201:$I$221,6,0)*VLOOKUP('Données projet'!$B$15,Paramètres!$A$1:$I$89,7,0))</f>
        <v>0</v>
      </c>
      <c r="EU80" s="16">
        <f>IF(ISNA(VLOOKUP(A80,'Données projet'!$A$201:$I$221,7,0)),0%,VLOOKUP(A80,'Données projet'!$A$201:$I$221,7,0))</f>
        <v>0</v>
      </c>
      <c r="EV80" s="21">
        <f>EXP(-LN(2)/35)*EV79+(1-EXP(-LN(2)/35))/(LN(2)/35)*ER80*ES80*VLOOKUP('Données projet'!$B$15,Paramètres!$A$1:$I$89,3,0)*0.475*44/12</f>
        <v>39.189640599647198</v>
      </c>
      <c r="EW80" s="21">
        <f>EXP(-LN(2)/25)*EW79+(1-EXP(-LN(2)/25))/(LN(2)/25)*Calculateur!ER80*Calculateur!ET80*VLOOKUP('Données projet'!$B$15,Paramètres!$A$1:$I$89,3,0)*0.475*44/12</f>
        <v>18.094724606444867</v>
      </c>
      <c r="EX80" s="21">
        <f>EXP(-LN(2)/2)*EX79+(1-EXP(-LN(2)/2))/(LN(2)/2)*ER80*EU80*VLOOKUP('Données projet'!$B$15,Paramètres!$A$1:$I$89,3,0)*0.475*44/12</f>
        <v>3.0472140823107301</v>
      </c>
      <c r="EY80" s="22">
        <f t="shared" si="140"/>
        <v>60.331579288402793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projet'!$A$227:$I$247,2,0)</f>
        <v>#N/A</v>
      </c>
      <c r="FC80" s="12" t="e">
        <f>VLOOKUP(A80,'Données projet'!$A$227:$I$247,9,0)</f>
        <v>#N/A</v>
      </c>
      <c r="FD80" s="12">
        <f t="array" ref="FD80">INDEX(FC:FC,MIN(IF(ISNUMBER(FC80:FC276),ROW(FC80:FC276),"")))</f>
        <v>3.2</v>
      </c>
      <c r="FE80" s="12">
        <f>IF('Données projet'!$A$228&gt;35,FE79+FD80-FM79,IF(A80&lt;'Données projet'!$A$228,$FB$205^A80,IF(A80='Données projet'!$A$228,'Données projet'!$B$228,FE79+FD80-FM79)))</f>
        <v>198.39999999999995</v>
      </c>
      <c r="FF80" s="17">
        <f>FE80*VLOOKUP('Données projet'!$B$16,Paramètres!$A$1:$I$89,3,0)*VLOOKUP('Données projet'!$B$16,Paramètres!$A$1:$I$89,5,0)</f>
        <v>207.36767999999995</v>
      </c>
      <c r="FG80" s="13">
        <f t="shared" si="196"/>
        <v>51.359935934080831</v>
      </c>
      <c r="FH80" s="20">
        <f t="shared" si="141"/>
        <v>450.61726441852403</v>
      </c>
      <c r="FI80" s="59">
        <f t="shared" si="142"/>
        <v>743.95059775185734</v>
      </c>
      <c r="FJ80" s="59">
        <f ca="1">AVERAGE(OFFSET($FI$3,0,0,'Données projet'!$E$16+1,1))-AVERAGE(OFFSET($H$3,0,0,'Données projet'!$E$16+1,1))</f>
        <v>259.03906550253788</v>
      </c>
      <c r="FK80" s="59">
        <f t="shared" si="197"/>
        <v>235.54542903570831</v>
      </c>
      <c r="FL80" s="15">
        <f>IF(ISNA(VLOOKUP(A80,'Données projet'!$A$227:$I$247,3,0)),0,VLOOKUP(A80,'Données projet'!$A$227:$I$247,3,0))</f>
        <v>0</v>
      </c>
      <c r="FM80" s="15">
        <f>IF(ISNA(VLOOKUP(A80,'Données projet'!$A$227:$I$247,4,0)),0,VLOOKUP(A80,'Données projet'!$A$227:$I$247,4,0))</f>
        <v>0</v>
      </c>
      <c r="FN80" s="16">
        <f>IF(ISNA(VLOOKUP(A80,'Données projet'!$A$227:$I$247,5,0)),0%,VLOOKUP(A80,'Données projet'!$A$227:$I$247,5,0)*VLOOKUP('Données projet'!$B$16,Paramètres!$A$1:$I$89,7,0))</f>
        <v>0</v>
      </c>
      <c r="FO80" s="16">
        <f>IF(ISNA(VLOOKUP(A80,'Données projet'!$A$227:$I$247,6,0)),0%,VLOOKUP(A80,'Données projet'!$A$227:$I$247,6,0)*VLOOKUP('Données projet'!$B$16,Paramètres!$A$1:$I$89,7,0))</f>
        <v>0</v>
      </c>
      <c r="FP80" s="16">
        <f>IF(ISNA(VLOOKUP(A80,'Données projet'!$A$227:$I$247,7,0)),0%,VLOOKUP(A80,'Données projet'!$A$227:$I$247,7,0))</f>
        <v>0</v>
      </c>
      <c r="FQ80" s="21">
        <f>EXP(-LN(2)/35)*FQ79+(1-EXP(-LN(2)/35))/(LN(2)/35)*FM80*FN80*VLOOKUP('Données projet'!$B$16,Paramètres!$A$1:$I$89,3,0)*0.475*44/12</f>
        <v>11.520891913404759</v>
      </c>
      <c r="FR80" s="21">
        <f>EXP(-LN(2)/25)*FR79+(1-EXP(-LN(2)/25))/(LN(2)/25)*Calculateur!FM80*Calculateur!FO80*VLOOKUP('Données projet'!$B$16,Paramètres!$A$1:$I$89,3,0)*0.475*44/12</f>
        <v>16.281028687630599</v>
      </c>
      <c r="FS80" s="21">
        <f>EXP(-LN(2)/2)*FS79+(1-EXP(-LN(2)/2))/(LN(2)/2)*FM80*FP80*VLOOKUP('Données projet'!$B$16,Paramètres!$A$1:$I$89,3,0)*0.475*44/12</f>
        <v>0</v>
      </c>
      <c r="FT80" s="22">
        <f t="shared" si="143"/>
        <v>27.801920601035356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projet'!$A$253:$I$273,2,0)</f>
        <v>#N/A</v>
      </c>
      <c r="FX80" s="12" t="e">
        <f>VLOOKUP(A80,'Données projet'!$A$253:$I$273,9,0)</f>
        <v>#N/A</v>
      </c>
      <c r="FY80" s="12">
        <f t="array" ref="FY80">INDEX(FX:FX,MIN(IF(ISNUMBER(FX80:FX276),ROW(FX80:FX276),"")))</f>
        <v>2.8</v>
      </c>
      <c r="FZ80" s="12">
        <f>IF('Données projet'!$A$254&gt;35,FZ79+FY80-GH79,IF(A80&lt;'Données projet'!$A$254,$FW$205^A80,IF(A80='Données projet'!$A$254,'Données projet'!$B$254,FZ79+FY80-GH79)))</f>
        <v>266.5999999999998</v>
      </c>
      <c r="GA80" s="17">
        <f>FZ80*VLOOKUP('Données projet'!$B$17,Paramètres!$A$1:$I$89,3,0)*VLOOKUP('Données projet'!$B$17,Paramètres!$A$1:$I$89,5,0)</f>
        <v>232.90175999999985</v>
      </c>
      <c r="GB80" s="13">
        <f t="shared" si="198"/>
        <v>56.909651332233778</v>
      </c>
      <c r="GC80" s="20">
        <f t="shared" si="144"/>
        <v>504.75487473697353</v>
      </c>
      <c r="GD80" s="59">
        <f t="shared" si="145"/>
        <v>798.08820807030679</v>
      </c>
      <c r="GE80" s="59">
        <f ca="1">AVERAGE(OFFSET($GD$3,0,0,'Données projet'!$E$17+1,1))-AVERAGE(OFFSET($H$3,0,0,'Données projet'!$E$17+1,1))</f>
        <v>245.1983232777614</v>
      </c>
      <c r="GF80" s="59">
        <f t="shared" si="199"/>
        <v>242.34010522344573</v>
      </c>
      <c r="GG80" s="15">
        <f>IF(ISNA(VLOOKUP(A80,'Données projet'!$A$253:$I$273,3,0)),0,VLOOKUP(A80,'Données projet'!$A$253:$I$273,3,0))</f>
        <v>0</v>
      </c>
      <c r="GH80" s="15">
        <f>IF(ISNA(VLOOKUP(A80,'Données projet'!$A$253:$I$273,4,0)),0,VLOOKUP(A80,'Données projet'!$A$253:$I$273,4,0))</f>
        <v>0</v>
      </c>
      <c r="GI80" s="16">
        <f>IF(ISNA(VLOOKUP(A80,'Données projet'!$A$253:$I$273,5,0)),0%,VLOOKUP(A80,'Données projet'!$A$253:$I$273,5,0)*VLOOKUP('Données projet'!$B$17,Paramètres!$A$1:$I$89,7,0))</f>
        <v>0</v>
      </c>
      <c r="GJ80" s="16">
        <f>IF(ISNA(VLOOKUP(A80,'Données projet'!$A$253:$I$273,6,0)),0%,VLOOKUP(A80,'Données projet'!$A$253:$I$273,6,0)*VLOOKUP('Données projet'!$B$17,Paramètres!$A$1:$I$89,7,0))</f>
        <v>0</v>
      </c>
      <c r="GK80" s="16">
        <f>IF(ISNA(VLOOKUP(A80,'Données projet'!$A$253:$I$273,7,0)),0%,VLOOKUP(A80,'Données projet'!$A$253:$I$273,7,0))</f>
        <v>0</v>
      </c>
      <c r="GL80" s="21">
        <f>EXP(-LN(2)/35)*GL79+(1-EXP(-LN(2)/35))/(LN(2)/35)*GH80*GI80*VLOOKUP('Données projet'!$B$17,Paramètres!$A$1:$I$89,3,0)*0.475*44/12</f>
        <v>24.116713357088162</v>
      </c>
      <c r="GM80" s="21">
        <f>EXP(-LN(2)/25)*GM79+(1-EXP(-LN(2)/25))/(LN(2)/25)*Calculateur!GH80*Calculateur!GJ80*VLOOKUP('Données projet'!$B$17,Paramètres!$A$1:$I$89,3,0)*0.475*44/12</f>
        <v>7.5959947758742636</v>
      </c>
      <c r="GN80" s="21">
        <f>EXP(-LN(2)/2)*GN79+(1-EXP(-LN(2)/2))/(LN(2)/2)*GH80*GK80*VLOOKUP('Données projet'!$B$17,Paramètres!$A$1:$I$89,3,0)*0.475*44/12</f>
        <v>0</v>
      </c>
      <c r="GO80" s="21">
        <f t="shared" si="146"/>
        <v>31.712708132962426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projet'!$A$279:$I$299,2,0)</f>
        <v>#N/A</v>
      </c>
      <c r="GS80" s="12" t="e">
        <f>VLOOKUP(A80,'Données projet'!$A$279:$I$299,9,0)</f>
        <v>#N/A</v>
      </c>
      <c r="GT80" s="12">
        <f t="array" ref="GT80">INDEX(GS:GS,MIN(IF(ISNUMBER(GS80:GS276),ROW(GS80:GS276),"")))</f>
        <v>8.8000000000000007</v>
      </c>
      <c r="GU80" s="12">
        <f>IF('Données projet'!$A$280&gt;35,GU79+GT80-HC79,IF(A80&lt;'Données projet'!$A$280,$GR$205^A80,IF(A80='Données projet'!$A$280,'Données projet'!$B$280,GU79+GT80-HC79)))</f>
        <v>813.6</v>
      </c>
      <c r="GV80" s="17">
        <f>GU80*VLOOKUP('Données projet'!$B$18,Paramètres!$A$1:$I$89,3,0)*VLOOKUP('Données projet'!$B$18,Paramètres!$A$1:$I$89,5,0)</f>
        <v>327.88080000000002</v>
      </c>
      <c r="GW80" s="13">
        <f t="shared" si="200"/>
        <v>76.99077833778739</v>
      </c>
      <c r="GX80" s="20">
        <f t="shared" si="147"/>
        <v>705.15133227164642</v>
      </c>
      <c r="GY80" s="59">
        <f t="shared" si="148"/>
        <v>998.48466560497968</v>
      </c>
      <c r="GZ80" s="59">
        <f ca="1">AVERAGE(OFFSET($GY$3,0,0,'Données projet'!$E$18+1,1))-AVERAGE(OFFSET($H$3,0,0,'Données projet'!$E$18+1,1))</f>
        <v>324.36162935850876</v>
      </c>
      <c r="HA80" s="59">
        <f t="shared" si="201"/>
        <v>265.23571072429735</v>
      </c>
      <c r="HB80" s="15">
        <f>IF(ISNA(VLOOKUP(A80,'Données projet'!$A$279:$I$299,3,0)),0,VLOOKUP(A80,'Données projet'!$A$279:$I$299,3,0))</f>
        <v>0</v>
      </c>
      <c r="HC80" s="15">
        <f>IF(ISNA(VLOOKUP(A80,'Données projet'!$A$279:$I$299,4,0)),0,VLOOKUP(A80,'Données projet'!$A$279:$I$299,4,0))</f>
        <v>0</v>
      </c>
      <c r="HD80" s="16">
        <f>IF(ISNA(VLOOKUP(A80,'Données projet'!$A$279:$I$299,5,0)),0%,VLOOKUP(A80,'Données projet'!$A$279:$I$299,5,0)*VLOOKUP('Données projet'!$B$18,Paramètres!$A$1:$I$89,7,0))</f>
        <v>0</v>
      </c>
      <c r="HE80" s="16">
        <f>IF(ISNA(VLOOKUP(A80,'Données projet'!$A$279:$I$299,6,0)),0%,VLOOKUP(A80,'Données projet'!$A$279:$I$299,6,0)*VLOOKUP('Données projet'!$B$18,Paramètres!$A$1:$I$89,7,0))</f>
        <v>0</v>
      </c>
      <c r="HF80" s="16">
        <f>IF(ISNA(VLOOKUP($A80,'Données projet'!$A$279:$I$299,7,0)),0%,VLOOKUP($A80,'Données projet'!$A$279:$I$299,7,0))</f>
        <v>0</v>
      </c>
      <c r="HG80" s="21">
        <f>EXP(-LN(2)/35)*HG79+(1-EXP(-LN(2)/35))/(LN(2)/35)*HC80*HD80*VLOOKUP('Données projet'!$B$18,Paramètres!$A$1:$I$89,3,0)*0.475*44/12</f>
        <v>17.59263519091067</v>
      </c>
      <c r="HH80" s="21">
        <f>EXP(-LN(2)/25)*HH79+(1-EXP(-LN(2)/25))/(LN(2)/25)*Calculateur!HC80*Calculateur!HE80*VLOOKUP('Données projet'!$B$18,Paramètres!$A$1:$I$89,3,0)*0.475*44/12</f>
        <v>8.497205480126981</v>
      </c>
      <c r="HI80" s="21">
        <f>EXP(-LN(2)/2)*HI79+(1-EXP(-LN(2)/2))/(LN(2)/2)*HC80*HF80*VLOOKUP('Données projet'!$B$18,Paramètres!$A$1:$I$89,3,0)*0.475*44/12</f>
        <v>8.4297157507536191E-2</v>
      </c>
      <c r="HJ80" s="22">
        <f t="shared" si="149"/>
        <v>26.174137828545184</v>
      </c>
      <c r="HK80" s="74">
        <f>('Scénario référence'!$F$8+'Scénario référence'!$F$9+'Scénario référence'!$B$17+'Scénario référence'!$B$9+'Scénario référence'!$B$10)*70+IF((45+25*(1-EXP(-0.0175*$A80)))&lt;70,'Scénario référence'!$B$16*(45+25*(1-EXP(-0.0175*$A80))),70*'Scénario référence'!$B$16)+IF((32+38*(1-EXP(-0.0175*$A80)))&lt;70,'Scénario référence'!$B$18*(32+38*(1-EXP(-0.0175*$A80))),70*'Scénario référence'!$B$18)</f>
        <v>70</v>
      </c>
      <c r="HL80" s="12">
        <f>IF($A80&gt;30,10,('Scénario référence'!$B$16+'Scénario référence'!$B$17+'Scénario référence'!$B$18+'Scénario référence'!$B$9+'Scénario référence'!$B$10)*$A80*10/30+('Scénario référence'!$F$8+'Scénario référence'!$F$9)*10)</f>
        <v>10</v>
      </c>
      <c r="HM80" s="12" t="e">
        <f>VLOOKUP($A80,'Données projet'!$A$304:$I$324,2,0)</f>
        <v>#N/A</v>
      </c>
      <c r="HN80" s="12" t="e">
        <f>VLOOKUP($A80,'Données projet'!$A$304:$I$324,9,0)</f>
        <v>#N/A</v>
      </c>
      <c r="HO80" s="12">
        <f t="array" ref="HO80">INDEX(HN:HN,MIN(IF(ISNUMBER(HN80:HN276),ROW(HN80:HN276),"")))</f>
        <v>0</v>
      </c>
      <c r="HP80" s="12">
        <f>IF('Données projet'!$A$304&gt;35,HP79+HO80-HX79,IF($A80&lt;'Données projet'!$A$304,$CQ$205^$A80,IF($A80='Données projet'!$A$304,'Données projet'!$B$304,HP79+HO80-HX79)))</f>
        <v>0</v>
      </c>
      <c r="HQ80" s="17">
        <f>HP80*VLOOKUP('Données projet'!$B$19,Paramètres!$A$1:$I$89,3,0)*VLOOKUP('Données projet'!$B$19,Paramètres!$A$1:$I$89,5,0)</f>
        <v>0</v>
      </c>
      <c r="HR80" s="13" t="e">
        <f t="shared" si="202"/>
        <v>#NUM!</v>
      </c>
      <c r="HS80" s="14" t="e">
        <f t="shared" si="150"/>
        <v>#NUM!</v>
      </c>
      <c r="HT80" s="59" t="e">
        <f t="shared" si="151"/>
        <v>#NUM!</v>
      </c>
      <c r="HU80" s="59">
        <f ca="1">AVERAGE(OFFSET(HT$3,0,0,'Données projet'!$E$19+1,1))-AVERAGE(OFFSET($H$3,0,0,'Données projet'!$E$19+1,1))</f>
        <v>91.60721429656013</v>
      </c>
      <c r="HV80" s="59">
        <f t="shared" si="203"/>
        <v>258.94957804210856</v>
      </c>
      <c r="HW80" s="15">
        <f>IF(ISNA(VLOOKUP($A80,'Données projet'!$A$304:$I$324,3,0)),0,VLOOKUP($A80,'Données projet'!$A$304:$I$324,3,0))</f>
        <v>0</v>
      </c>
      <c r="HX80" s="15">
        <f>IF(ISNA(VLOOKUP($A80,'Données projet'!$A$304:$I$324,4,0)),0,VLOOKUP($A80,'Données projet'!$A$304:$I$324,4,0))</f>
        <v>0</v>
      </c>
      <c r="HY80" s="16">
        <f>IF(ISNA(VLOOKUP($A80,'Données projet'!$A$304:$I$324,5,0)),0%,VLOOKUP($A80,'Données projet'!$A$304:$I$324,5,0)*VLOOKUP('Données projet'!$B$19,Paramètres!$A$1:$I$89,7,0))</f>
        <v>0</v>
      </c>
      <c r="HZ80" s="16">
        <f>IF(ISNA(VLOOKUP($A80,'Données projet'!$A$304:$I$324,6,0)),0%,VLOOKUP($A80,'Données projet'!$A$304:$I$324,6,0)*VLOOKUP('Données projet'!$B$19,Paramètres!$A$1:$I$89,7,0))</f>
        <v>0</v>
      </c>
      <c r="IA80" s="16">
        <f>IF(ISNA(VLOOKUP($A80,'Données projet'!$A$304:$I$324,7,0)),0%,VLOOKUP($A80,'Données projet'!$A$304:$I$324,7,0))</f>
        <v>0</v>
      </c>
      <c r="IB80" s="21">
        <f>EXP(-LN(2)/35)*IB79+(1-EXP(-LN(2)/35))/(LN(2)/35)*HX80*HY80*VLOOKUP('Données projet'!$B$19,Paramètres!$A$1:$I$89,3,0)*0.475*44/12</f>
        <v>19.448882244294033</v>
      </c>
      <c r="IC80" s="21">
        <f>EXP(-LN(2)/25)*IC79+(1-EXP(-LN(2)/25))/(LN(2)/25)*Calculateur!HX80*Calculateur!HZ80*VLOOKUP('Données projet'!$B$19,Paramètres!$A$1:$I$89,3,0)*0.475*44/12</f>
        <v>2.6428649280214898</v>
      </c>
      <c r="ID80" s="21">
        <f>EXP(-LN(2)/2)*ID79+(1-EXP(-LN(2)/2))/(LN(2)/2)*HX80*IA80*VLOOKUP('Données projet'!$B$19,Paramètres!$A$1:$I$89,3,0)*0.475*44/12</f>
        <v>4.8287839204377728E-8</v>
      </c>
      <c r="IE80" s="22">
        <f t="shared" si="152"/>
        <v>22.091747220603359</v>
      </c>
      <c r="IF80" s="74">
        <f>('Scénario référence'!$F$8+'Scénario référence'!$F$9+'Scénario référence'!$B$17+'Scénario référence'!$B$9+'Scénario référence'!$B$10)*70+IF((45+25*(1-EXP(-0.0175*$A80)))&lt;70,'Scénario référence'!$B$16*(45+25*(1-EXP(-0.0175*$A80))),70*'Scénario référence'!$B$16)+IF((32+38*(1-EXP(-0.0175*$A80)))&lt;70,'Scénario référence'!$B$18*(32+38*(1-EXP(-0.0175*$A80))),70*'Scénario référence'!$B$18)</f>
        <v>70</v>
      </c>
      <c r="IG80" s="12">
        <f>IF($A80&gt;30,10,('Scénario référence'!$B$16+'Scénario référence'!$B$17+'Scénario référence'!$B$18+'Scénario référence'!$B$9+'Scénario référence'!$B$10)*$A80*10/30+('Scénario référence'!$F$8+'Scénario référence'!$F$9)*10)</f>
        <v>10</v>
      </c>
      <c r="IH80" s="12" t="e">
        <f>VLOOKUP($A80,'Données projet'!$A$330:$I$350,2,0)</f>
        <v>#N/A</v>
      </c>
      <c r="II80" s="12" t="e">
        <f>VLOOKUP($A80,'Données projet'!$A$330:$I$350,9,0)</f>
        <v>#N/A</v>
      </c>
      <c r="IJ80" s="12">
        <f t="array" ref="IJ80">INDEX(II:II,MIN(IF(ISNUMBER(II80:II276),ROW(II80:II276),"")))</f>
        <v>0</v>
      </c>
      <c r="IK80" s="12">
        <f>IF('Données projet'!$A$330&gt;35,IK79+IJ80-IS79,IF($A80&lt;'Données projet'!$A$330,$CQ$205^$A80,IF($A80='Données projet'!$A$330,'Données projet'!$B$330,IK79+IJ80-IS79)))</f>
        <v>0</v>
      </c>
      <c r="IL80" s="17">
        <f>IK80*VLOOKUP('Données projet'!$B$20,Paramètres!$A$1:$I$89,3,0)*VLOOKUP('Données projet'!$B$20,Paramètres!$A$1:$I$89,5,0)</f>
        <v>0</v>
      </c>
      <c r="IM80" s="13" t="e">
        <f t="shared" si="204"/>
        <v>#NUM!</v>
      </c>
      <c r="IN80" s="20" t="e">
        <f t="shared" si="153"/>
        <v>#NUM!</v>
      </c>
      <c r="IO80" s="59" t="e">
        <f t="shared" si="154"/>
        <v>#NUM!</v>
      </c>
      <c r="IP80" s="59">
        <f ca="1">AVERAGE(OFFSET(IO$3,0,0,'Données projet'!$E$20+1,1))-AVERAGE(OFFSET($H$3,0,0,'Données projet'!$E$20+1,1))</f>
        <v>91.60721429656013</v>
      </c>
      <c r="IQ80" s="59">
        <f t="shared" si="205"/>
        <v>258.94957804210856</v>
      </c>
      <c r="IR80" s="15">
        <f>IF(ISNA(VLOOKUP($A80,'Données projet'!$A$330:$I$350,3,0)),0,VLOOKUP($A80,'Données projet'!$A$330:$I$350,3,0))</f>
        <v>0</v>
      </c>
      <c r="IS80" s="15">
        <f>IF(ISNA(VLOOKUP($A80,'Données projet'!$A$330:$I$350,4,0)),0,VLOOKUP($A80,'Données projet'!$A$330:$I$350,4,0))</f>
        <v>0</v>
      </c>
      <c r="IT80" s="16">
        <f>IF(ISNA(VLOOKUP($A80,'Données projet'!$A$330:$I$350,5,0)),0%,VLOOKUP($A80,'Données projet'!$A$330:$I$350,5,0)*VLOOKUP('Données projet'!$B$20,Paramètres!$A$1:$I$89,7,0))</f>
        <v>0</v>
      </c>
      <c r="IU80" s="16">
        <f>IF(ISNA(VLOOKUP($A80,'Données projet'!$A$330:$I$350,6,0)),0%,VLOOKUP($A80,'Données projet'!$A$330:$I$350,6,0)*VLOOKUP('Données projet'!$B$20,Paramètres!$A$1:$I$89,7,0))</f>
        <v>0</v>
      </c>
      <c r="IV80" s="16">
        <f>IF(ISNA(VLOOKUP($A80,'Données projet'!$A$330:$I$350,7,0)),0%,VLOOKUP($A80,'Données projet'!$A$330:$I$350,7,0))</f>
        <v>0</v>
      </c>
      <c r="IW80" s="21">
        <f>EXP(-LN(2)/35)*IW79+(1-EXP(-LN(2)/35))/(LN(2)/35)*IS80*IT80*VLOOKUP('Données projet'!$B$20,Paramètres!$A$1:$I$89,3,0)*0.475*44/12</f>
        <v>19.448882244294033</v>
      </c>
      <c r="IX80" s="21">
        <f>EXP(-LN(2)/25)*IX79+(1-EXP(-LN(2)/25))/(LN(2)/25)*Calculateur!IS80*Calculateur!IU80*VLOOKUP('Données projet'!$B$20,Paramètres!$A$1:$I$89,3,0)*0.475*44/12</f>
        <v>2.6428649280214898</v>
      </c>
      <c r="IY80" s="21">
        <f>EXP(-LN(2)/2)*IY79+(1-EXP(-LN(2)/2))/(LN(2)/2)*IS80*IV80*VLOOKUP('Données projet'!$B$20,Paramètres!$A$1:$I$89,3,0)*0.475*44/12</f>
        <v>4.8287839204377728E-8</v>
      </c>
      <c r="IZ80" s="22">
        <f t="shared" si="155"/>
        <v>22.091747220603359</v>
      </c>
      <c r="JA80" s="74">
        <f>('Scénario référence'!$F$8+'Scénario référence'!$F$9+'Scénario référence'!$B$17+'Scénario référence'!$B$9+'Scénario référence'!$B$10)*70+IF((45+25*(1-EXP(-0.0175*$A80)))&lt;70,'Scénario référence'!$B$16*(45+25*(1-EXP(-0.0175*$A80))),70*'Scénario référence'!$B$16)+IF((32+38*(1-EXP(-0.0175*$A80)))&lt;70,'Scénario référence'!$B$18*(32+38*(1-EXP(-0.0175*$A80))),70*'Scénario référence'!$B$18)</f>
        <v>70</v>
      </c>
      <c r="JB80" s="12">
        <f>IF($A80&gt;30,10,('Scénario référence'!$B$16+'Scénario référence'!$B$17+'Scénario référence'!$B$18+'Scénario référence'!$B$9+'Scénario référence'!$B$10)*$A80*10/30+('Scénario référence'!$F$8+'Scénario référence'!$F$9)*10)</f>
        <v>10</v>
      </c>
      <c r="JC80" s="12" t="e">
        <f>VLOOKUP($A80,'Données projet'!$A$356:$I$376,2,0)</f>
        <v>#N/A</v>
      </c>
      <c r="JD80" s="12" t="e">
        <f>VLOOKUP($A80,'Données projet'!$A$356:$I$376,9,0)</f>
        <v>#N/A</v>
      </c>
      <c r="JE80" s="12">
        <f t="array" ref="JE80">INDEX(JD:JD,MIN(IF(ISNUMBER(JD80:JD276),ROW(JD80:JD276),"")))</f>
        <v>8.8000000000000007</v>
      </c>
      <c r="JF80" s="12">
        <f>IF('Données projet'!$A$356&gt;35,JF79+JE80-JN79,IF($A80&lt;'Données projet'!$A$356,$CQ$205^$A80,IF($A80='Données projet'!$A$356,'Données projet'!$B$356,JF79+JE80-JN79)))</f>
        <v>324.59999999999991</v>
      </c>
      <c r="JG80" s="17">
        <f>JF80*VLOOKUP('Données projet'!$B$21,Paramètres!$A$1:$I$89,3,0)*VLOOKUP('Données projet'!$B$21,Paramètres!$A$1:$I$89,5,0)</f>
        <v>263.31551999999994</v>
      </c>
      <c r="JH80" s="13">
        <f t="shared" si="206"/>
        <v>63.428590794477664</v>
      </c>
      <c r="JI80" s="20">
        <f t="shared" si="156"/>
        <v>569.07932630038181</v>
      </c>
      <c r="JJ80" s="59">
        <f t="shared" si="157"/>
        <v>862.41265963371507</v>
      </c>
      <c r="JK80" s="59">
        <f ca="1">AVERAGE(OFFSET($JJ$3,0,0,'Données projet'!$E$22+1,1))-AVERAGE(OFFSET($H$3,0,0,'Données projet'!$E$22+1,1))</f>
        <v>353.35574633294613</v>
      </c>
      <c r="JL80" s="59">
        <f t="shared" si="207"/>
        <v>170.36796666474726</v>
      </c>
      <c r="JM80" s="15">
        <f>IF(ISNA(VLOOKUP($A80,'Données projet'!$A$356:$I$376,3,0)),0,VLOOKUP($A80,'Données projet'!$A$356:$I$376,3,0))</f>
        <v>0</v>
      </c>
      <c r="JN80" s="15">
        <f>IF(ISNA(VLOOKUP($A80,'Données projet'!$A$356:$I$376,4,0)),0,VLOOKUP($A80,'Données projet'!$A$356:$I$376,4,0))</f>
        <v>0</v>
      </c>
      <c r="JO80" s="16">
        <f>IF(ISNA(VLOOKUP($A80,'Données projet'!$A$356:$I$376,5,0)),0%,VLOOKUP($A80,'Données projet'!$A$356:$I$376,5,0)*VLOOKUP('Données projet'!$B$21,Paramètres!$A$1:$I$89,7,0))</f>
        <v>0</v>
      </c>
      <c r="JP80" s="16">
        <f>IF(ISNA(VLOOKUP($A80,'Données projet'!$A$356:$I$376,6,0)),0%,VLOOKUP($A80,'Données projet'!$A$356:$I$376,6,0)*VLOOKUP('Données projet'!$B$21,Paramètres!$A$1:$I$89,7,0))</f>
        <v>0</v>
      </c>
      <c r="JQ80" s="16">
        <f>IF(ISNA(VLOOKUP($A80,'Données projet'!$A$356:$I$376,7,0)),0%,VLOOKUP($A80,'Données projet'!$A$356:$I$376,7,0))</f>
        <v>0</v>
      </c>
      <c r="JR80" s="21">
        <f>EXP(-LN(2)/35)*JR79+(1-EXP(-LN(2)/35))/(LN(2)/35)*JN80*JO80*VLOOKUP('Données projet'!$B$21,Paramètres!$A$1:$I$89,3,0)*0.475*44/12</f>
        <v>1.0377669255296353</v>
      </c>
      <c r="JS80" s="21">
        <f>EXP(-LN(2)/25)*JS79+(1-EXP(-LN(2)/25))/(LN(2)/25)*Calculateur!JN80*Calculateur!JP80*VLOOKUP('Données projet'!$B$21,Paramètres!$A$1:$I$89,3,0)*0.475*44/12</f>
        <v>14.479715851611877</v>
      </c>
      <c r="JT80" s="21">
        <f>EXP(-LN(2)/2)*JT79+(1-EXP(-LN(2)/2))/(LN(2)/2)*JN80*JQ80*VLOOKUP('Données projet'!$B$21,Paramètres!$A$1:$I$89,3,0)*0.475*44/12</f>
        <v>3.9049354227063984</v>
      </c>
      <c r="JU80" s="18">
        <f t="shared" si="158"/>
        <v>19.422418199847911</v>
      </c>
      <c r="JV80" s="74">
        <f>('Scénario référence'!$F$8+'Scénario référence'!$F$9+'Scénario référence'!$B$17+'Scénario référence'!$B$9+'Scénario référence'!$B$10)*70+IF((45+25*(1-EXP(-0.0175*$A80)))&lt;70,'Scénario référence'!$B$16*(45+25*(1-EXP(-0.0175*$A80))),70*'Scénario référence'!$B$16)+IF((32+38*(1-EXP(-0.0175*$A80)))&lt;70,'Scénario référence'!$B$18*(32+38*(1-EXP(-0.0175*$A80))),70*'Scénario référence'!$B$18)</f>
        <v>70</v>
      </c>
      <c r="JW80" s="12">
        <f>IF($A80&gt;30,10,('Scénario référence'!$B$16+'Scénario référence'!$B$17+'Scénario référence'!$B$18+'Scénario référence'!$B$9+'Scénario référence'!$B$10)*$A80*10/30+('Scénario référence'!$F$8+'Scénario référence'!$F$9)*10)</f>
        <v>10</v>
      </c>
      <c r="JX80" s="12" t="e">
        <f>VLOOKUP($A80,'Données projet'!$A$382:$I$402,2,0)</f>
        <v>#N/A</v>
      </c>
      <c r="JY80" s="12" t="e">
        <f>VLOOKUP($A80,'Données projet'!$A$382:$I$402,9,0)</f>
        <v>#N/A</v>
      </c>
      <c r="JZ80" s="12">
        <f t="array" ref="JZ80">INDEX(JY:JY,MIN(IF(ISNUMBER(JY80:JY276),ROW(JY80:JY276),"")))</f>
        <v>7.8425925925925934</v>
      </c>
      <c r="KA80" s="12">
        <f>IF('Données projet'!$A$382&gt;35,KA79+JZ80-KI79,IF($A80&lt;'Données projet'!$A$382,$CQ$205^$A80,IF($A80='Données projet'!$A$382,'Données projet'!$B$382,KA79+JZ80-KI79)))</f>
        <v>250.48504273504287</v>
      </c>
      <c r="KB80" s="17">
        <f>KA80*VLOOKUP('Données projet'!$B$22,Paramètres!$A$1:$I$89,3,0)*VLOOKUP('Données projet'!$B$22,Paramètres!$A$1:$I$89,5,0)</f>
        <v>168.02536666666674</v>
      </c>
      <c r="KC80" s="13">
        <f t="shared" si="208"/>
        <v>42.647471133796707</v>
      </c>
      <c r="KD80" s="20">
        <f t="shared" si="159"/>
        <v>366.92185916914053</v>
      </c>
      <c r="KE80" s="59">
        <f t="shared" si="160"/>
        <v>660.25519250247385</v>
      </c>
      <c r="KF80" s="59">
        <f ca="1">AVERAGE(OFFSET($KE$3,0,0,'Données projet'!$E$22+1,1))-AVERAGE(OFFSET($H$3,0,0,'Données projet'!$E$22+1,1))</f>
        <v>193.91714772848269</v>
      </c>
      <c r="KG80" s="59">
        <f t="shared" si="209"/>
        <v>159.20429420478047</v>
      </c>
      <c r="KH80" s="15">
        <f>IF(ISNA(VLOOKUP($A80,'Données projet'!$A$382:$I$402,3,0)),0,VLOOKUP($A80,'Données projet'!$A$382:$I$402,3,0))</f>
        <v>0</v>
      </c>
      <c r="KI80" s="15">
        <f>IF(ISNA(VLOOKUP($A80,'Données projet'!$A$382:$I$402,4,0)),0,VLOOKUP($A80,'Données projet'!$A$382:$I$402,4,0))</f>
        <v>0</v>
      </c>
      <c r="KJ80" s="16">
        <f>IF(ISNA(VLOOKUP($A80,'Données projet'!$A$382:$I$402,5,0)),0%,VLOOKUP($A80,'Données projet'!$A$382:$I$402,5,0)*VLOOKUP('Données projet'!$B$22,Paramètres!$A$1:$I$89,7,0))</f>
        <v>0</v>
      </c>
      <c r="KK80" s="16">
        <f>IF(ISNA(VLOOKUP($A80,'Données projet'!$A$382:$I$402,6,0)),0%,VLOOKUP($A80,'Données projet'!$A$382:$I$402,6,0)*VLOOKUP('Données projet'!$B$22,Paramètres!$A$1:$I$89,7,0))</f>
        <v>0</v>
      </c>
      <c r="KL80" s="16">
        <f>IF(ISNA(VLOOKUP($A80,'Données projet'!$A$382:$I$402,7,0)),0%,VLOOKUP($A80,'Données projet'!$A$382:$I$402,7,0))</f>
        <v>0</v>
      </c>
      <c r="KM80" s="21">
        <f>EXP(-LN(2)/35)*KM79+(1-EXP(-LN(2)/35))/(LN(2)/35)*KI80*KJ80*VLOOKUP('Données projet'!$B$22,Paramètres!$A$1:$I$89,3,0)*0.475*44/12</f>
        <v>18.455462268521966</v>
      </c>
      <c r="KN80" s="21">
        <f>EXP(-LN(2)/25)*KN79+(1-EXP(-LN(2)/25))/(LN(2)/25)*Calculateur!KI80*Calculateur!KK80*VLOOKUP('Données projet'!$B$22,Paramètres!$A$1:$I$89,3,0)*0.475*44/12</f>
        <v>0</v>
      </c>
      <c r="KO80" s="21">
        <f>EXP(-LN(2)/2)*KO79+(1-EXP(-LN(2)/2))/(LN(2)/2)*KI80*KL80*VLOOKUP('Données projet'!$B$22,Paramètres!$A$1:$I$89,3,0)*0.475*44/12</f>
        <v>0</v>
      </c>
      <c r="KP80" s="22">
        <f t="shared" si="161"/>
        <v>18.455462268521966</v>
      </c>
      <c r="KQ80" s="74">
        <f>('Scénario référence'!$F$8+'Scénario référence'!$F$9+'Scénario référence'!$B$17+'Scénario référence'!$B$9+'Scénario référence'!$B$10)*70+IF((45+25*(1-EXP(-0.0175*$A80)))&lt;70,'Scénario référence'!$B$16*(45+25*(1-EXP(-0.0175*$A80))),70*'Scénario référence'!$B$16)+IF((32+38*(1-EXP(-0.0175*$A80)))&lt;70,'Scénario référence'!$B$18*(32+38*(1-EXP(-0.0175*$A80))),70*'Scénario référence'!$B$18)</f>
        <v>70</v>
      </c>
      <c r="KR80" s="12">
        <f>IF($A80&gt;30,10,('Scénario référence'!$B$16+'Scénario référence'!$B$17+'Scénario référence'!$B$18+'Scénario référence'!$B$9+'Scénario référence'!$B$10)*$A80*10/30+('Scénario référence'!$F$8+'Scénario référence'!$F$9)*10)</f>
        <v>10</v>
      </c>
      <c r="KS80" s="12" t="e">
        <f>VLOOKUP($A80,'Données projet'!$A$408:$I$428,2,0)</f>
        <v>#N/A</v>
      </c>
      <c r="KT80" s="12" t="e">
        <f>VLOOKUP($A80,'Données projet'!$A$408:$I$428,9,0)</f>
        <v>#N/A</v>
      </c>
      <c r="KU80" s="12">
        <f t="array" ref="KU80">INDEX(KT:KT,MIN(IF(ISNUMBER(KT80:KT276),ROW(KT80:KT276),"")))</f>
        <v>2.8</v>
      </c>
      <c r="KV80" s="12">
        <f>IF('Données projet'!$A$408&gt;35,KV79+KU80-LD79,IF($A80&lt;'Données projet'!$A$408,$CQ$205^$A80,IF($A80='Données projet'!$A$408,'Données projet'!$B$408,KV79+KU80-LD79)))</f>
        <v>266.59999999999985</v>
      </c>
      <c r="KW80" s="17">
        <f>KV80*VLOOKUP('Données projet'!$B$23,Paramètres!$A$1:$I$89,3,0)*VLOOKUP('Données projet'!$B$23,Paramètres!$A$1:$I$89,5,0)</f>
        <v>232.90175999999991</v>
      </c>
      <c r="KX80" s="13">
        <f t="shared" si="210"/>
        <v>56.909651332233828</v>
      </c>
      <c r="KY80" s="14">
        <f t="shared" si="162"/>
        <v>504.7548747369737</v>
      </c>
      <c r="KZ80" s="59">
        <f t="shared" si="163"/>
        <v>798.08820807030702</v>
      </c>
      <c r="LA80" s="59">
        <f ca="1">AVERAGE(OFFSET($KZ$3,0,0,'Données projet'!$E$23+1,1))-AVERAGE(OFFSET($H$3,0,0,'Données projet'!$E$23+1,1))</f>
        <v>248.33596943633819</v>
      </c>
      <c r="LB80" s="59">
        <f t="shared" si="211"/>
        <v>242.34010522344573</v>
      </c>
      <c r="LC80" s="15">
        <f>IF(ISNA(VLOOKUP($A80,'Données projet'!$A$408:$I$428,3,0)),0,VLOOKUP($A80,'Données projet'!$A$408:$I$428,3,0))</f>
        <v>0</v>
      </c>
      <c r="LD80" s="15">
        <f>IF(ISNA(VLOOKUP($A80,'Données projet'!$A$408:$I$428,4,0)),0,VLOOKUP($A80,'Données projet'!$A$408:$I$428,4,0))</f>
        <v>0</v>
      </c>
      <c r="LE80" s="16">
        <f>IF(ISNA(VLOOKUP($A80,'Données projet'!$A$408:$I$428,5,0)),0%,VLOOKUP($A80,'Données projet'!$A$408:$I$428,5,0)*VLOOKUP('Données projet'!$B$23,Paramètres!$A$1:$I$89,7,0))</f>
        <v>0</v>
      </c>
      <c r="LF80" s="16">
        <f>IF(ISNA(VLOOKUP($A80,'Données projet'!$A$408:$I$428,6,0)),0%,VLOOKUP($A80,'Données projet'!$A$408:$I$428,6,0)*VLOOKUP('Données projet'!$B$23,Paramètres!$A$1:$I$89,7,0))</f>
        <v>0</v>
      </c>
      <c r="LG80" s="16">
        <f>IF(ISNA(VLOOKUP($A80,'Données projet'!$A$408:$I$428,7,0)),0%,VLOOKUP($A80,'Données projet'!$A$408:$I$428,7,0))</f>
        <v>0</v>
      </c>
      <c r="LH80" s="21">
        <f>EXP(-LN(2)/35)*LH79+(1-EXP(-LN(2)/35))/(LN(2)/35)*LD80*LE80*VLOOKUP('Données projet'!$B$23,Paramètres!$A$1:$I$89,3,0)*0.475*44/12</f>
        <v>24.116713357088162</v>
      </c>
      <c r="LI80" s="21">
        <f>EXP(-LN(2)/25)*LI79+(1-EXP(-LN(2)/25))/(LN(2)/25)*Calculateur!LD80*Calculateur!LF80*VLOOKUP('Données projet'!$B$23,Paramètres!$A$1:$I$89,3,0)*0.475*44/12</f>
        <v>7.5959947758742636</v>
      </c>
      <c r="LJ80" s="21">
        <f>EXP(-LN(2)/2)*LJ79+(1-EXP(-LN(2)/2))/(LN(2)/2)*LD80*LG80*VLOOKUP('Données projet'!$B$23,Paramètres!$A$1:$I$89,3,0)*0.475*44/12</f>
        <v>0</v>
      </c>
      <c r="LK80" s="22">
        <f t="shared" si="164"/>
        <v>31.712708132962426</v>
      </c>
      <c r="LL80" s="74">
        <f>('Scénario référence'!$F$8+'Scénario référence'!$F$9+'Scénario référence'!$B$17+'Scénario référence'!$B$9+'Scénario référence'!$B$10)*70+IF((45+25*(1-EXP(-0.0175*$A80)))&lt;70,'Scénario référence'!$B$16*(45+25*(1-EXP(-0.0175*$A80))),70*'Scénario référence'!$B$16)+IF((32+38*(1-EXP(-0.0175*$A80)))&lt;70,'Scénario référence'!$B$18*(32+38*(1-EXP(-0.0175*$A80))),70*'Scénario référence'!$B$18)</f>
        <v>70</v>
      </c>
      <c r="LM80" s="12">
        <f>IF($A80&gt;30,10,('Scénario référence'!$B$16+'Scénario référence'!$B$17+'Scénario référence'!$B$18+'Scénario référence'!$B$9+'Scénario référence'!$B$10)*$A80*10/30+('Scénario référence'!$F$8+'Scénario référence'!$F$9)*10)</f>
        <v>10</v>
      </c>
      <c r="LN80" s="12" t="e">
        <f>VLOOKUP($A80,'Données projet'!$A$434:$I$454,2,0)</f>
        <v>#N/A</v>
      </c>
      <c r="LO80" s="12" t="e">
        <f>VLOOKUP($A80,'Données projet'!$A$434:$I$454,9,0)</f>
        <v>#N/A</v>
      </c>
      <c r="LP80" s="12">
        <f t="array" ref="LP80">INDEX(LO:LO,MIN(IF(ISNUMBER(LO80:LO276),ROW(LO80:LO276),"")))</f>
        <v>5.5042735042735051</v>
      </c>
      <c r="LQ80" s="12">
        <f>IF('Données projet'!$A$434&gt;35,LQ79+LP80-LY79,IF($A80&lt;'Données projet'!$A$434,$CQ$205^$A80,IF($A80='Données projet'!$A$434,'Données projet'!$B$434,LQ79+LP80-LY79)))</f>
        <v>161.47649572649567</v>
      </c>
      <c r="LR80" s="17">
        <f>LQ80*VLOOKUP('Données projet'!$B$24,Paramètres!$A$1:$I$89,3,0)*VLOOKUP('Données projet'!$B$24,Paramètres!$A$1:$I$89,5,0)</f>
        <v>163.73716666666661</v>
      </c>
      <c r="LS80" s="13">
        <f t="shared" si="212"/>
        <v>41.68430774657778</v>
      </c>
      <c r="LT80" s="14">
        <f t="shared" si="165"/>
        <v>357.77573460306729</v>
      </c>
      <c r="LU80" s="59">
        <f t="shared" si="166"/>
        <v>651.10906793640061</v>
      </c>
      <c r="LV80" s="59">
        <f ca="1">AVERAGE(OFFSET($LU$3,0,0,'Données projet'!$E$24+1,1))-AVERAGE(OFFSET($H$3,0,0,'Données projet'!$E$24+1,1))</f>
        <v>260.52627655062872</v>
      </c>
      <c r="LW80" s="59">
        <f t="shared" si="213"/>
        <v>159.20429420478047</v>
      </c>
      <c r="LX80" s="15">
        <f>IF(ISNA(VLOOKUP($A80,'Données projet'!$A$434:$I$454,3,0)),0,VLOOKUP($A80,'Données projet'!$A$434:$I$454,3,0))</f>
        <v>0</v>
      </c>
      <c r="LY80" s="15">
        <f>IF(ISNA(VLOOKUP($A80,'Données projet'!$A$434:$I$454,4,0)),0,VLOOKUP($A80,'Données projet'!$A$434:$I$454,4,0))</f>
        <v>0</v>
      </c>
      <c r="LZ80" s="16">
        <f>IF(ISNA(VLOOKUP($A80,'Données projet'!$A$434:$I$454,5,0)),0%,VLOOKUP($A80,'Données projet'!$A$434:$I$454,5,0)*VLOOKUP('Données projet'!$B$24,Paramètres!$A$1:$I$89,7,0))</f>
        <v>0</v>
      </c>
      <c r="MA80" s="16">
        <f>IF(ISNA(VLOOKUP($A80,'Données projet'!$A$434:$I$454,6,0)),0%,VLOOKUP($A80,'Données projet'!$A$434:$I$454,6,0)*VLOOKUP('Données projet'!$B$24,Paramètres!$A$1:$I$89,7,0))</f>
        <v>0</v>
      </c>
      <c r="MB80" s="16">
        <f>IF(ISNA(VLOOKUP($A80,'Données projet'!$A$434:$I$454,7,0)),0%,VLOOKUP($A80,'Données projet'!$A$434:$I$454,7,0))</f>
        <v>0</v>
      </c>
      <c r="MC80" s="21">
        <f>EXP(-LN(2)/35)*MC79+(1-EXP(-LN(2)/35))/(LN(2)/35)*LY80*LZ80*VLOOKUP('Données projet'!$B$24,Paramètres!$A$1:$I$89,3,0)*0.475*44/12</f>
        <v>10.026341910716004</v>
      </c>
      <c r="MD80" s="21">
        <f>EXP(-LN(2)/25)*MD79+(1-EXP(-LN(2)/25))/(LN(2)/25)*Calculateur!LY80*Calculateur!MA80*VLOOKUP('Données projet'!$B$24,Paramètres!$A$1:$I$89,3,0)*0.475*44/12</f>
        <v>0</v>
      </c>
      <c r="ME80" s="21">
        <f>EXP(-LN(2)/2)*ME79+(1-EXP(-LN(2)/2))/(LN(2)/2)*LY80*MB80*VLOOKUP('Données projet'!$B$24,Paramètres!$A$1:$I$89,3,0)*0.475*44/12</f>
        <v>0</v>
      </c>
      <c r="MF80" s="22">
        <f t="shared" si="167"/>
        <v>10.026341910716004</v>
      </c>
      <c r="MG80" s="74">
        <f>('Scénario référence'!$F$8+'Scénario référence'!$F$9+'Scénario référence'!$B$17+'Scénario référence'!$B$9+'Scénario référence'!$B$10)*70+IF((45+25*(1-EXP(-0.0175*$A80)))&lt;70,'Scénario référence'!$B$16*(45+25*(1-EXP(-0.0175*$A80))),70*'Scénario référence'!$B$16)+IF((32+38*(1-EXP(-0.0175*$A80)))&lt;70,'Scénario référence'!$B$18*(32+38*(1-EXP(-0.0175*$A80))),70*'Scénario référence'!$B$18)</f>
        <v>70</v>
      </c>
      <c r="MH80" s="12">
        <f>IF($A80&gt;30,10,('Scénario référence'!$B$16+'Scénario référence'!$B$17+'Scénario référence'!$B$18+'Scénario référence'!$B$9+'Scénario référence'!$B$10)*$A80*10/30+('Scénario référence'!$F$8+'Scénario référence'!$F$9)*10)</f>
        <v>10</v>
      </c>
      <c r="MI80" s="12" t="e">
        <f>VLOOKUP($A80,'Données projet'!$A$460:$I$480,2,0)</f>
        <v>#N/A</v>
      </c>
      <c r="MJ80" s="12" t="e">
        <f>VLOOKUP($A80,'Données projet'!$A$460:$I$480,9,0)</f>
        <v>#N/A</v>
      </c>
      <c r="MK80" s="12">
        <f t="array" ref="MK80">INDEX(MJ:MJ,MIN(IF(ISNUMBER(MJ80:MJ276),ROW(MJ80:MJ276),"")))</f>
        <v>0</v>
      </c>
      <c r="ML80" s="12">
        <f>IF('Données projet'!$A$460&gt;35,ML79+MK80-MT79,IF($A80&lt;'Données projet'!$A$460,$CQ$205^$A80,IF($A80='Données projet'!$A$460,'Données projet'!$B$460,ML79+MK80-MT79)))</f>
        <v>0</v>
      </c>
      <c r="MM80" s="17" t="e">
        <f>ML80*VLOOKUP('Données projet'!$B$25,Paramètres!$A$1:$I$89,3,0)*VLOOKUP('Données projet'!$B$25,Paramètres!$A$1:$I$89,5,0)</f>
        <v>#N/A</v>
      </c>
      <c r="MN80" s="13" t="e">
        <f t="shared" si="214"/>
        <v>#N/A</v>
      </c>
      <c r="MO80" s="14" t="e">
        <f t="shared" si="168"/>
        <v>#N/A</v>
      </c>
      <c r="MP80" s="59" t="e">
        <f t="shared" si="169"/>
        <v>#N/A</v>
      </c>
      <c r="MQ80" s="20" t="e">
        <f ca="1">AVERAGE(OFFSET($MP$3,0,0,'Données projet'!$E$25+1,1))-AVERAGE(OFFSET($H$3,0,0,'Données projet'!$E$25+1,1))</f>
        <v>#N/A</v>
      </c>
      <c r="MR80" s="59" t="e">
        <f t="shared" si="215"/>
        <v>#N/A</v>
      </c>
      <c r="MS80" s="15">
        <f>IF(ISNA(VLOOKUP($A80,'Données projet'!$A$460:$I$480,3,0)),0,VLOOKUP($A80,'Données projet'!$A$460:$I$480,3,0))</f>
        <v>0</v>
      </c>
      <c r="MT80" s="15">
        <f>IF(ISNA(VLOOKUP($A80,'Données projet'!$A$460:$I$480,4,0)),0,VLOOKUP($A80,'Données projet'!$A$460:$I$480,4,0))</f>
        <v>0</v>
      </c>
      <c r="MU80" s="16">
        <f>IF(ISNA(VLOOKUP($A80,'Données projet'!$A$460:$I$480,5,0)),0%,VLOOKUP($A80,'Données projet'!$A$460:$I$480,5,0)*VLOOKUP('Données projet'!$B$25,Paramètres!$A$1:$I$89,7,0))</f>
        <v>0</v>
      </c>
      <c r="MV80" s="16">
        <f>IF(ISNA(VLOOKUP($A80,'Données projet'!$A$460:$I$480,6,0)),0%,VLOOKUP($A80,'Données projet'!$A$460:$I$480,6,0)*VLOOKUP('Données projet'!$B$25,Paramètres!$A$1:$I$89,7,0))</f>
        <v>0</v>
      </c>
      <c r="MW80" s="16">
        <f>IF(ISNA(VLOOKUP($A80,'Données projet'!$A$460:$I$480,7,0)),0%,VLOOKUP($A80,'Données projet'!$A$460:$I$480,7,0))</f>
        <v>0</v>
      </c>
      <c r="MX80" s="21" t="e">
        <f>EXP(-LN(2)/35)*MX79+(1-EXP(-LN(2)/35))/(LN(2)/35)*MT80*MU80*VLOOKUP('Données projet'!$B$25,Paramètres!$A$1:$I$89,3,0)*0.475*44/12</f>
        <v>#N/A</v>
      </c>
      <c r="MY80" s="21" t="e">
        <f>EXP(-LN(2)/25)*MY79+(1-EXP(-LN(2)/25))/(LN(2)/25)*Calculateur!MT80*Calculateur!MV80*VLOOKUP('Données projet'!$B$25,Paramètres!$A$1:$I$89,3,0)*0.475*44/12</f>
        <v>#N/A</v>
      </c>
      <c r="MZ80" s="21" t="e">
        <f>EXP(-LN(2)/2)*MZ79+(1-EXP(-LN(2)/2))/(LN(2)/2)*MT80*MW80*VLOOKUP('Données projet'!$B$25,Paramètres!$A$1:$I$89,3,0)*0.475*44/12</f>
        <v>#N/A</v>
      </c>
      <c r="NA80" s="22" t="e">
        <f t="shared" si="170"/>
        <v>#N/A</v>
      </c>
      <c r="NB80" s="74">
        <f>('Scénario référence'!$F$8+'Scénario référence'!$F$9+'Scénario référence'!$B$17+'Scénario référence'!$B$9+'Scénario référence'!$B$10)*70+IF((45+25*(1-EXP(-0.0175*$A80)))&lt;70,'Scénario référence'!$B$16*(45+25*(1-EXP(-0.0175*$A80))),70*'Scénario référence'!$B$16)+IF((32+38*(1-EXP(-0.0175*$A80)))&lt;70,'Scénario référence'!$B$18*(32+38*(1-EXP(-0.0175*$A80))),70*'Scénario référence'!$B$18)</f>
        <v>70</v>
      </c>
      <c r="NC80" s="12">
        <f>IF($A80&gt;30,10,('Scénario référence'!$B$16+'Scénario référence'!$B$17+'Scénario référence'!$B$18+'Scénario référence'!$B$9+'Scénario référence'!$B$10)*$A80*10/30+('Scénario référence'!$F$8+'Scénario référence'!$F$9)*10)</f>
        <v>10</v>
      </c>
      <c r="ND80" s="12" t="e">
        <f>VLOOKUP($A80,'Données projet'!$A$486:$I$506,2,0)</f>
        <v>#N/A</v>
      </c>
      <c r="NE80" s="12" t="e">
        <f>VLOOKUP($A80,'Données projet'!$A$486:$I$506,9,0)</f>
        <v>#N/A</v>
      </c>
      <c r="NF80" s="12">
        <f t="array" ref="NF80">INDEX(NE:NE,MIN(IF(ISNUMBER(NE80:NE276),ROW(NE80:NE276),"")))</f>
        <v>0</v>
      </c>
      <c r="NG80" s="12">
        <f>IF('Données projet'!$A$486&gt;35,NG79+NF80-NO79,IF($A80&lt;'Données projet'!$A$486,$CQ$205^$A80,IF($A80='Données projet'!$A$486,'Données projet'!$B$486,NG79+NF80-NO79)))</f>
        <v>0</v>
      </c>
      <c r="NH80" s="17" t="e">
        <f>NG80*VLOOKUP('Données projet'!$B$26,Paramètres!$A$1:$I$89,3,0)*VLOOKUP('Données projet'!$B$26,Paramètres!$A$1:$I$89,5,0)</f>
        <v>#N/A</v>
      </c>
      <c r="NI80" s="13" t="e">
        <f t="shared" si="216"/>
        <v>#N/A</v>
      </c>
      <c r="NJ80" s="14" t="e">
        <f t="shared" si="171"/>
        <v>#N/A</v>
      </c>
      <c r="NK80" s="59" t="e">
        <f t="shared" si="172"/>
        <v>#N/A</v>
      </c>
      <c r="NL80" s="20" t="e">
        <f ca="1">AVERAGE(OFFSET($NK$3,0,0,'Données projet'!$E$26+1,1))-AVERAGE(OFFSET($H$3,0,0,'Données projet'!$E$26+1,1))</f>
        <v>#N/A</v>
      </c>
      <c r="NM80" s="59" t="e">
        <f t="shared" si="217"/>
        <v>#N/A</v>
      </c>
      <c r="NN80" s="15">
        <f>IF(ISNA(VLOOKUP($A80,'Données projet'!$A$486:$I$506,3,0)),0,VLOOKUP($A80,'Données projet'!$A$486:$I$506,3,0))</f>
        <v>0</v>
      </c>
      <c r="NO80" s="15">
        <f>IF(ISNA(VLOOKUP($A80,'Données projet'!$A$486:$I$506,4,0)),0,VLOOKUP($A80,'Données projet'!$A$486:$I$506,4,0))</f>
        <v>0</v>
      </c>
      <c r="NP80" s="16">
        <f>IF(ISNA(VLOOKUP($A80,'Données projet'!$A$486:$I$506,5,0)),0%,VLOOKUP($A80,'Données projet'!$A$486:$I$506,5,0)*VLOOKUP('Données projet'!$B$26,Paramètres!$A$1:$I$89,7,0))</f>
        <v>0</v>
      </c>
      <c r="NQ80" s="16">
        <f>IF(ISNA(VLOOKUP($A80,'Données projet'!$A$486:$I$506,6,0)),0%,VLOOKUP($A80,'Données projet'!$A$486:$I$506,6,0)*VLOOKUP('Données projet'!$B$26,Paramètres!$A$1:$I$89,7,0))</f>
        <v>0</v>
      </c>
      <c r="NR80" s="16">
        <f>IF(ISNA(VLOOKUP($A80,'Données projet'!$A$486:$I$506,7,0)),0%,VLOOKUP($A80,'Données projet'!$A$486:$I$506,7,0))</f>
        <v>0</v>
      </c>
      <c r="NS80" s="21" t="e">
        <f>EXP(-LN(2)/35)*NS79+(1-EXP(-LN(2)/35))/(LN(2)/35)*NO80*NP80*VLOOKUP('Données projet'!$B$26,Paramètres!$A$1:$I$89,3,0)*0.475*44/12</f>
        <v>#N/A</v>
      </c>
      <c r="NT80" s="21" t="e">
        <f>EXP(-LN(2)/25)*NT79+(1-EXP(-LN(2)/25))/(LN(2)/25)*Calculateur!NO80*Calculateur!NQ80*VLOOKUP('Données projet'!$B$26,Paramètres!$A$1:$I$89,3,0)*0.475*44/12</f>
        <v>#N/A</v>
      </c>
      <c r="NU80" s="21" t="e">
        <f>EXP(-LN(2)/2)*NU79+(1-EXP(-LN(2)/2))/(LN(2)/2)*NO80*NR80*VLOOKUP('Données projet'!$B$26,Paramètres!$A$1:$I$89,3,0)*0.475*44/12</f>
        <v>#N/A</v>
      </c>
      <c r="NV80" s="22" t="e">
        <f t="shared" si="173"/>
        <v>#N/A</v>
      </c>
      <c r="NW80" s="74">
        <f>('Scénario référence'!$F$8+'Scénario référence'!$F$9+'Scénario référence'!$B$17+'Scénario référence'!$B$9+'Scénario référence'!$B$10)*70+IF((45+25*(1-EXP(-0.0175*$A80)))&lt;70,'Scénario référence'!$B$16*(45+25*(1-EXP(-0.0175*$A80))),70*'Scénario référence'!$B$16)+IF((32+38*(1-EXP(-0.0175*$A80)))&lt;70,'Scénario référence'!$B$18*(32+38*(1-EXP(-0.0175*$A80))),70*'Scénario référence'!$B$18)</f>
        <v>70</v>
      </c>
      <c r="NX80" s="12">
        <f>IF($A80&gt;30,10,('Scénario référence'!$B$16+'Scénario référence'!$B$17+'Scénario référence'!$B$18+'Scénario référence'!$B$9+'Scénario référence'!$B$10)*$A80*10/30+('Scénario référence'!$F$8+'Scénario référence'!$F$9)*10)</f>
        <v>10</v>
      </c>
      <c r="NY80" s="12" t="e">
        <f>VLOOKUP($A80,'Données projet'!$A$512:$I$532,2,0)</f>
        <v>#N/A</v>
      </c>
      <c r="NZ80" s="12" t="e">
        <f>VLOOKUP($A80,'Données projet'!$A$512:$I$532,9,0)</f>
        <v>#N/A</v>
      </c>
      <c r="OA80" s="12">
        <f t="array" ref="OA80">INDEX(NZ:NZ,MIN(IF(ISNUMBER(NZ80:NZ276),ROW(NZ80:NZ276),"")))</f>
        <v>0</v>
      </c>
      <c r="OB80" s="12">
        <f>IF('Données projet'!$A$512&gt;35,OB79+OA80-OJ79,IF($A80&lt;'Données projet'!$A$512,$CQ$205^$A80,IF($A80='Données projet'!$A$512,'Données projet'!$B$512,OB79+OA80-OJ79)))</f>
        <v>0</v>
      </c>
      <c r="OC80" s="17" t="e">
        <f>OB80*VLOOKUP('Données projet'!$B$27,Paramètres!$A$1:$I$89,3,0)*VLOOKUP('Données projet'!$B$27,Paramètres!$A$1:$I$89,5,0)</f>
        <v>#N/A</v>
      </c>
      <c r="OD80" s="13" t="e">
        <f t="shared" si="218"/>
        <v>#N/A</v>
      </c>
      <c r="OE80" s="14" t="e">
        <f t="shared" si="174"/>
        <v>#N/A</v>
      </c>
      <c r="OF80" s="59" t="e">
        <f t="shared" si="175"/>
        <v>#N/A</v>
      </c>
      <c r="OG80" s="20" t="e">
        <f ca="1">AVERAGE(OFFSET($OF$3,0,0,'Données projet'!$E$27+1,1))-AVERAGE(OFFSET($H$3,0,0,'Données projet'!$E$27+1,1))</f>
        <v>#N/A</v>
      </c>
      <c r="OH80" s="59" t="e">
        <f t="shared" si="219"/>
        <v>#N/A</v>
      </c>
      <c r="OI80" s="15">
        <f>IF(ISNA(VLOOKUP($A80,'Données projet'!$A$512:$I$532,3,0)),0,VLOOKUP($A80,'Données projet'!$A$512:$I$532,3,0))</f>
        <v>0</v>
      </c>
      <c r="OJ80" s="15">
        <f>IF(ISNA(VLOOKUP($A80,'Données projet'!$A$512:$I$532,4,0)),0,VLOOKUP($A80,'Données projet'!$A$512:$I$532,4,0))</f>
        <v>0</v>
      </c>
      <c r="OK80" s="16">
        <f>IF(ISNA(VLOOKUP($A80,'Données projet'!$A$512:$I$532,5,0)),0%,VLOOKUP($A80,'Données projet'!$A$512:$I$532,5,0)*VLOOKUP('Données projet'!$B$27,Paramètres!$A$1:$I$89,7,0))</f>
        <v>0</v>
      </c>
      <c r="OL80" s="16">
        <f>IF(ISNA(VLOOKUP($A80,'Données projet'!$A$512:$I$532,6,0)),0%,VLOOKUP($A80,'Données projet'!$A$512:$I$532,6,0)*VLOOKUP('Données projet'!$B$27,Paramètres!$A$1:$I$89,7,0))</f>
        <v>0</v>
      </c>
      <c r="OM80" s="16">
        <f>IF(ISNA(VLOOKUP($A80,'Données projet'!$A$512:$I$532,7,0)),0%,VLOOKUP($A80,'Données projet'!$A$512:$I$532,7,0))</f>
        <v>0</v>
      </c>
      <c r="ON80" s="21" t="e">
        <f>EXP(-LN(2)/35)*ON79+(1-EXP(-LN(2)/35))/(LN(2)/35)*OJ80*OK80*VLOOKUP('Données projet'!$B$27,Paramètres!$A$1:$I$89,3,0)*0.475*44/12</f>
        <v>#N/A</v>
      </c>
      <c r="OO80" s="21" t="e">
        <f>EXP(-LN(2)/25)*OO79+(1-EXP(-LN(2)/25))/(LN(2)/25)*Calculateur!OJ80*Calculateur!OL80*VLOOKUP('Données projet'!$B$27,Paramètres!$A$1:$I$89,3,0)*0.475*44/12</f>
        <v>#N/A</v>
      </c>
      <c r="OP80" s="21" t="e">
        <f>EXP(-LN(2)/2)*OP79+(1-EXP(-LN(2)/2))/(LN(2)/2)*OJ80*OM80*VLOOKUP('Données projet'!$B$27,Paramètres!$A$1:$I$89,3,0)*0.475*44/12</f>
        <v>#N/A</v>
      </c>
      <c r="OQ80" s="22" t="e">
        <f t="shared" si="176"/>
        <v>#N/A</v>
      </c>
      <c r="OR80" s="74">
        <f>('Scénario référence'!$F$8+'Scénario référence'!$F$9+'Scénario référence'!$B$17+'Scénario référence'!$B$9+'Scénario référence'!$B$10)*70+IF((45+25*(1-EXP(-0.0175*$A80)))&lt;70,'Scénario référence'!$B$16*(45+25*(1-EXP(-0.0175*$A80))),70*'Scénario référence'!$B$16)+IF((32+38*(1-EXP(-0.0175*$A80)))&lt;70,'Scénario référence'!$B$18*(32+38*(1-EXP(-0.0175*$A80))),70*'Scénario référence'!$B$18)</f>
        <v>70</v>
      </c>
      <c r="OS80" s="12">
        <f>IF($A80&gt;30,10,('Scénario référence'!$B$16+'Scénario référence'!$B$17+'Scénario référence'!$B$18+'Scénario référence'!$B$9+'Scénario référence'!$B$10)*$A80*10/30+('Scénario référence'!$F$8+'Scénario référence'!$F$9)*10)</f>
        <v>10</v>
      </c>
      <c r="OT80" s="12" t="e">
        <f>VLOOKUP($A80,'Données projet'!$A$538:$I$558,2,0)</f>
        <v>#N/A</v>
      </c>
      <c r="OU80" s="12" t="e">
        <f>VLOOKUP($A80,'Données projet'!$A$538:$I$558,9,0)</f>
        <v>#N/A</v>
      </c>
      <c r="OV80" s="12">
        <f t="array" ref="OV80">INDEX(OU:OU,MIN(IF(ISNUMBER(OU80:OU276),ROW(OU80:OU276),"")))</f>
        <v>0</v>
      </c>
      <c r="OW80" s="12">
        <f>IF('Données projet'!$A$538&gt;35,OW79+OV80-PE79,IF($A80&lt;'Données projet'!$A$538,$CQ$205^$A80,IF($A80='Données projet'!$A$538,'Données projet'!$B$538,OW79+OV80-PE79)))</f>
        <v>0</v>
      </c>
      <c r="OX80" s="17" t="e">
        <f>OW80*VLOOKUP('Données projet'!$B$28,Paramètres!$A$1:$I$89,3,0)*VLOOKUP('Données projet'!$B$28,Paramètres!$A$1:$I$89,5,0)</f>
        <v>#N/A</v>
      </c>
      <c r="OY80" s="13" t="e">
        <f t="shared" si="220"/>
        <v>#N/A</v>
      </c>
      <c r="OZ80" s="14" t="e">
        <f t="shared" si="177"/>
        <v>#N/A</v>
      </c>
      <c r="PA80" s="59" t="e">
        <f t="shared" si="178"/>
        <v>#N/A</v>
      </c>
      <c r="PB80" s="20" t="e">
        <f ca="1">AVERAGE(OFFSET($PA$3,0,0,'Données projet'!$E$28+1,1))-AVERAGE(OFFSET($H$3,0,0,'Données projet'!$E$28+1,1))</f>
        <v>#N/A</v>
      </c>
      <c r="PC80" s="59" t="e">
        <f t="shared" si="221"/>
        <v>#N/A</v>
      </c>
      <c r="PD80" s="15">
        <f>IF(ISNA(VLOOKUP($A80,'Données projet'!$A$538:$I$558,3,0)),0,VLOOKUP($A80,'Données projet'!$A$538:$I$558,3,0))</f>
        <v>0</v>
      </c>
      <c r="PE80" s="15">
        <f>IF(ISNA(VLOOKUP($A80,'Données projet'!$A$538:$I$558,4,0)),0,VLOOKUP($A80,'Données projet'!$A$538:$I$558,4,0))</f>
        <v>0</v>
      </c>
      <c r="PF80" s="16">
        <f>IF(ISNA(VLOOKUP($A80,'Données projet'!$A$538:$I$558,5,0)),0%,VLOOKUP($A80,'Données projet'!$A$538:$I$558,5,0)*VLOOKUP('Données projet'!$B$28,Paramètres!$A$1:$I$89,7,0))</f>
        <v>0</v>
      </c>
      <c r="PG80" s="16">
        <f>IF(ISNA(VLOOKUP($A80,'Données projet'!$A$538:$I$558,6,0)),0%,VLOOKUP($A80,'Données projet'!$A$538:$I$558,6,0)*VLOOKUP('Données projet'!$B$28,Paramètres!$A$1:$I$89,7,0))</f>
        <v>0</v>
      </c>
      <c r="PH80" s="16">
        <f>IF(ISNA(VLOOKUP($A80,'Données projet'!$A$538:$I$558,7,0)),0%,VLOOKUP($A80,'Données projet'!$A$538:$I$558,7,0))</f>
        <v>0</v>
      </c>
      <c r="PI80" s="21" t="e">
        <f>EXP(-LN(2)/35)*PI79+(1-EXP(-LN(2)/35))/(LN(2)/35)*PE80*PF80*VLOOKUP('Données projet'!$B$28,Paramètres!$A$1:$I$89,3,0)*0.475*44/12</f>
        <v>#N/A</v>
      </c>
      <c r="PJ80" s="21" t="e">
        <f>EXP(-LN(2)/25)*PJ79+(1-EXP(-LN(2)/25))/(LN(2)/25)*Calculateur!PE80*Calculateur!PG80*VLOOKUP('Données projet'!$B$28,Paramètres!$A$1:$I$89,3,0)*0.475*44/12</f>
        <v>#N/A</v>
      </c>
      <c r="PK80" s="21" t="e">
        <f>EXP(-LN(2)/2)*PK79+(1-EXP(-LN(2)/2))/(LN(2)/2)*PE80*PH80*VLOOKUP('Données projet'!$B$28,Paramètres!$A$1:$I$89,3,0)*0.475*44/12</f>
        <v>#N/A</v>
      </c>
      <c r="PL80" s="22" t="e">
        <f t="shared" si="179"/>
        <v>#N/A</v>
      </c>
    </row>
    <row r="81" spans="1:428" x14ac:dyDescent="0.35">
      <c r="A81" s="10">
        <f t="shared" si="180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181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121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projet'!$A$45:$I$65,2,0)</f>
        <v>#N/A</v>
      </c>
      <c r="L81" s="12" t="e">
        <f>VLOOKUP(A81,'Données projet'!$A$45:$I$65,9,0)</f>
        <v>#N/A</v>
      </c>
      <c r="M81" s="12">
        <f t="array" ref="M81">INDEX(L:L,MIN(IF(ISNUMBER(L81:L277),ROW(L81:L277),"")))</f>
        <v>0</v>
      </c>
      <c r="N81" s="13">
        <f>IF('Données projet'!$A$46&gt;35,N80+M81-V80,IF(A81&lt;'Données projet'!$A$46,$K$205^A81,IF(A81='Données projet'!$A$46,'Données projet'!$B$46,N80+M81-V80)))</f>
        <v>-1.1368683772161603E-13</v>
      </c>
      <c r="O81" s="13">
        <f>N81*VLOOKUP('Données projet'!$B$9,Paramètres!$A$1:$I$89,3,0)*VLOOKUP('Données projet'!$B$9,Paramètres!$A$1:$I$89,5,0)</f>
        <v>-6.3550942286383367E-14</v>
      </c>
      <c r="P81" s="13" t="e">
        <f t="shared" si="182"/>
        <v>#NUM!</v>
      </c>
      <c r="Q81" s="20" t="e">
        <f t="shared" si="119"/>
        <v>#NUM!</v>
      </c>
      <c r="R81" s="59" t="e">
        <f t="shared" si="120"/>
        <v>#NUM!</v>
      </c>
      <c r="S81" s="59">
        <f ca="1">AVERAGE(OFFSET($R$3,0,0,'Données projet'!$E$9+1,1))-AVERAGE(OFFSET($H$3,0,0,'Données projet'!$E$9+1,1))</f>
        <v>274.57619581652199</v>
      </c>
      <c r="T81" s="59">
        <f t="shared" si="183"/>
        <v>366.15117322598775</v>
      </c>
      <c r="U81" s="15">
        <f>IF(ISNA(VLOOKUP(A81,'Données projet'!$A$45:$I$65,3,0)),0,VLOOKUP(A81,'Données projet'!$A$45:$I$65,3,0))</f>
        <v>0</v>
      </c>
      <c r="V81" s="15">
        <f>IF(ISNA(VLOOKUP(A81,'Données projet'!$A$45:$I$65,4,0)),0,VLOOKUP(A81,'Données projet'!$A$45:$I$65,4,0))</f>
        <v>0</v>
      </c>
      <c r="W81" s="16">
        <f>IF(ISNA(VLOOKUP(A81,'Données projet'!$A$45:$I$65,5,0)),0%,VLOOKUP(A81,'Données projet'!$A$45:$I$65,5,0)*VLOOKUP('Données projet'!$B$9,Paramètres!$A$1:$I$89,7,0))</f>
        <v>0</v>
      </c>
      <c r="X81" s="16">
        <f>IF(ISNA(VLOOKUP(A81,'Données projet'!$A$45:$I$65,6,0)),0%,VLOOKUP(A81,'Données projet'!$A$45:$I$65,6,0)*VLOOKUP('Données projet'!$B$9,Paramètres!$A$1:$I$89,7,0))</f>
        <v>0</v>
      </c>
      <c r="Y81" s="16">
        <f>IF(ISNA(VLOOKUP(A81,'Données projet'!$A$45:$I$65,7,0)),0%,VLOOKUP(A81,'Données projet'!$A$45:$I$65,7,0))</f>
        <v>0</v>
      </c>
      <c r="Z81" s="21">
        <f>EXP(-LN(2)/35)*Z80+(1-EXP(-LN(2)/35))/(LN(2)/35)*V81*W81*VLOOKUP('Données projet'!$B$9,Paramètres!$A$1:$I$89,3,0)*0.475*44/12</f>
        <v>143.73071361143315</v>
      </c>
      <c r="AA81" s="21">
        <f>EXP(-LN(2)/25)*AA80+(1-EXP(-LN(2)/25))/(LN(2)/25)*Calculateur!V81*Calculateur!X81*VLOOKUP('Données projet'!$B$9,Paramètres!$A$1:$I$89,3,0)*0.475*44/12</f>
        <v>30.446178722631792</v>
      </c>
      <c r="AB81" s="21">
        <f>EXP(-LN(2)/2)*AB80+(1-EXP(-LN(2)/2))/(LN(2)/2)*V81*Y81*VLOOKUP('Données projet'!$B$9,Paramètres!$A$1:$I$89,3,0)*0.475*44/12</f>
        <v>1.1794770368888227E-2</v>
      </c>
      <c r="AC81" s="22">
        <f t="shared" si="122"/>
        <v>174.18868710443382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projet'!$A$71:$I$91,2,0)</f>
        <v>#N/A</v>
      </c>
      <c r="AG81" s="12" t="e">
        <f>VLOOKUP(A81,'Données projet'!$A$71:$I$91,9,0)</f>
        <v>#N/A</v>
      </c>
      <c r="AH81" s="12">
        <f t="array" ref="AH81">INDEX(AG:AG,MIN(IF(ISNUMBER(AG81:AG277),ROW(AG81:AG277),"")))</f>
        <v>7.8425925925925934</v>
      </c>
      <c r="AI81" s="13">
        <f>IF('Données projet'!$A$72&gt;35,AI80+AH81-AQ80,IF(A81&lt;'Données projet'!$A$72,$AF$205^A81,IF(A81='Données projet'!$A$72,'Données projet'!$B$72,AI80+AH81-AQ80)))</f>
        <v>258.32763532763551</v>
      </c>
      <c r="AJ81" s="13">
        <f>AI81*VLOOKUP('Données projet'!$B$10,Paramètres!$A$1:$I$89,3,0)*VLOOKUP('Données projet'!$B$10,Paramètres!$A$1:$I$89,5,0)</f>
        <v>233.7348444444446</v>
      </c>
      <c r="AK81" s="13">
        <f t="shared" si="184"/>
        <v>57.089483585580787</v>
      </c>
      <c r="AL81" s="20">
        <f t="shared" si="123"/>
        <v>506.51903798562756</v>
      </c>
      <c r="AM81" s="59">
        <f t="shared" si="124"/>
        <v>799.85237131896088</v>
      </c>
      <c r="AN81" s="59">
        <f ca="1">AVERAGE(OFFSET($AM$3,0,0,'Données projet'!$E$10+1,1))-AVERAGE(OFFSET($H$3,0,0,'Données projet'!$E$10+1,1))</f>
        <v>270.87836509222456</v>
      </c>
      <c r="AO81" s="59">
        <f t="shared" si="185"/>
        <v>205.24998237949734</v>
      </c>
      <c r="AP81" s="15">
        <f>IF(ISNA(VLOOKUP(A81,'Données projet'!$A$71:$I$91,3,0)),0,VLOOKUP(A81,'Données projet'!$A$71:$I$91,3,0))</f>
        <v>0</v>
      </c>
      <c r="AQ81" s="15">
        <f>IF(ISNA(VLOOKUP(A81,'Données projet'!$A$71:$I$91,4,0)),0,VLOOKUP(A81,'Données projet'!$A$71:$I$91,4,0))</f>
        <v>0</v>
      </c>
      <c r="AR81" s="16">
        <f>IF(ISNA(VLOOKUP(A81,'Données projet'!$A$71:$I$91,5,0)),0%,VLOOKUP(A81,'Données projet'!$A$71:$I$91,5,0)*VLOOKUP('Données projet'!$B$10,Paramètres!$A$1:$I$89,7,0))</f>
        <v>0</v>
      </c>
      <c r="AS81" s="16">
        <f>IF(ISNA(VLOOKUP(A81,'Données projet'!$A$71:$I$91,6,0)),0%,VLOOKUP(A81,'Données projet'!$A$71:$I$91,6,0)*VLOOKUP('Données projet'!$B$10,Paramètres!$A$1:$I$89,7,0))</f>
        <v>0</v>
      </c>
      <c r="AT81" s="16">
        <f>IF(ISNA(VLOOKUP(A81,'Données projet'!$A$71:$I$91,7,0)),0%,VLOOKUP(A81,'Données projet'!$A$71:$I$91,7,0))</f>
        <v>0</v>
      </c>
      <c r="AU81" s="21">
        <f>EXP(-LN(2)/35)*AU80+(1-EXP(-LN(2)/35))/(LN(2)/35)*AQ81*AR81*VLOOKUP('Données projet'!$B$10,Paramètres!$A$1:$I$89,3,0)*0.475*44/12</f>
        <v>19.800501713001701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125"/>
        <v>19.800501713001701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projet'!$A$97:$I$117,2,0)</f>
        <v>#N/A</v>
      </c>
      <c r="BB81" s="12" t="e">
        <f>VLOOKUP(A81,'Données projet'!$A$97:$I$117,9,0)</f>
        <v>#N/A</v>
      </c>
      <c r="BC81" s="12">
        <f t="array" ref="BC81">INDEX(BB:BB,MIN(IF(ISNUMBER(BB81:BB277),ROW(BB81:BB277),"")))</f>
        <v>0</v>
      </c>
      <c r="BD81" s="12">
        <f>IF('Données projet'!$A$98&gt;35,BD80+BC81-BL80,IF(A81&lt;'Données projet'!$A$98,$BA$205^A81,IF(A81='Données projet'!$A$98,'Données projet'!$B$98,BD80+BC81-BL80)))</f>
        <v>-1.1368683772161603E-13</v>
      </c>
      <c r="BE81" s="13">
        <f>BD81*VLOOKUP('Données projet'!$B$11,Paramètres!$A$1:$I$89,3,0)*VLOOKUP('Données projet'!$B$11,Paramètres!$A$1:$I$89,5,0)</f>
        <v>-5.0249582272954292E-14</v>
      </c>
      <c r="BF81" s="13" t="e">
        <f t="shared" si="186"/>
        <v>#NUM!</v>
      </c>
      <c r="BG81" s="20" t="e">
        <f t="shared" si="126"/>
        <v>#NUM!</v>
      </c>
      <c r="BH81" s="59" t="e">
        <f t="shared" si="127"/>
        <v>#NUM!</v>
      </c>
      <c r="BI81" s="59">
        <f ca="1">AVERAGE(OFFSET($BH$3,0,0,'Données projet'!$E$11+1,1))-AVERAGE(OFFSET($H$3,0,0,'Données projet'!$E$11+1,1))</f>
        <v>211.31057120485542</v>
      </c>
      <c r="BJ81" s="59">
        <f t="shared" si="187"/>
        <v>283.33292006714777</v>
      </c>
      <c r="BK81" s="15">
        <f>IF(ISNA(VLOOKUP(A81,'Données projet'!$A$97:$I$117,3,0)),0,VLOOKUP(A81,'Données projet'!$A$97:$I$117,3,0))</f>
        <v>0</v>
      </c>
      <c r="BL81" s="15">
        <f>IF(ISNA(VLOOKUP(A81,'Données projet'!$A$97:$I$117,4,0)),0,VLOOKUP(A81,'Données projet'!$A$97:$I$117,4,0))</f>
        <v>0</v>
      </c>
      <c r="BM81" s="16">
        <f>IF(ISNA(VLOOKUP(A81,'Données projet'!$A$97:$I$117,5,0)),0%,VLOOKUP(A81,'Données projet'!$A$97:$I$117,5,0)*VLOOKUP('Données projet'!$B$11,Paramètres!$A$1:$I$89,7,0))</f>
        <v>0</v>
      </c>
      <c r="BN81" s="16">
        <f>IF(ISNA(VLOOKUP(A81,'Données projet'!$A$97:$I$117,6,0)),0%,VLOOKUP(A81,'Données projet'!$A$97:$I$117,6,0)*VLOOKUP('Données projet'!$B$11,Paramètres!$A$1:$I$89,7,0))</f>
        <v>0</v>
      </c>
      <c r="BO81" s="16">
        <f>IF(ISNA(VLOOKUP(A81,'Données projet'!$A$97:$I$117,7,0)),0%,VLOOKUP(A81,'Données projet'!$A$97:$I$117,7,0))</f>
        <v>0</v>
      </c>
      <c r="BP81" s="21">
        <f>EXP(-LN(2)/35)*BP80+(1-EXP(-LN(2)/35))/(LN(2)/35)*BL81*BM81*VLOOKUP('Données projet'!$B$11,Paramètres!$A$1:$I$89,3,0)*0.475*44/12</f>
        <v>113.64754099508667</v>
      </c>
      <c r="BQ81" s="21">
        <f>EXP(-LN(2)/25)*BQ80+(1-EXP(-LN(2)/25))/(LN(2)/25)*Calculateur!BL81*Calculateur!BN81*VLOOKUP('Données projet'!$B$11,Paramètres!$A$1:$I$89,3,0)*0.475*44/12</f>
        <v>24.073722710918158</v>
      </c>
      <c r="BR81" s="21">
        <f>EXP(-LN(2)/2)*BR80+(1-EXP(-LN(2)/2))/(LN(2)/2)*BL81*BO81*VLOOKUP('Données projet'!$B$11,Paramètres!$A$1:$I$89,3,0)*0.475*44/12</f>
        <v>9.3260975009813868E-3</v>
      </c>
      <c r="BS81" s="22">
        <f t="shared" si="128"/>
        <v>137.73058980350581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projet'!$A$123:$I$143,2,0)</f>
        <v>#N/A</v>
      </c>
      <c r="BW81" s="12" t="e">
        <f>VLOOKUP(A81,'Données projet'!$A$123:$I$143,9,0)</f>
        <v>#N/A</v>
      </c>
      <c r="BX81" s="12">
        <f t="array" ref="BX81">INDEX(BW:BW,MIN(IF(ISNUMBER(BW81:BW277),ROW(BW81:BW277),"")))</f>
        <v>4</v>
      </c>
      <c r="BY81" s="12">
        <f>IF('Données projet'!$A$124&gt;35,BY80+BX81-CG80,IF(A81&lt;'Données projet'!$A$124,$BV$205^A81,IF(A81='Données projet'!$A$124,'Données projet'!$B$124,BY80+BX81-CG80)))</f>
        <v>237.00000000000003</v>
      </c>
      <c r="BZ81" s="13">
        <f>BY81*VLOOKUP('Données projet'!$B$12,Paramètres!$A$1:$I$89,3,0)*VLOOKUP('Données projet'!$B$12,Paramètres!$A$1:$I$89,5,0)</f>
        <v>247.71240000000003</v>
      </c>
      <c r="CA81" s="13">
        <f t="shared" si="188"/>
        <v>60.095823975624157</v>
      </c>
      <c r="CB81" s="20">
        <f t="shared" si="129"/>
        <v>536.099323424212</v>
      </c>
      <c r="CC81" s="59">
        <f t="shared" si="130"/>
        <v>829.43265675754537</v>
      </c>
      <c r="CD81" s="59">
        <f ca="1">AVERAGE(OFFSET($CC$3,0,0,'Données projet'!$E$12+1,1))-AVERAGE(OFFSET($H$3,0,0,'Données projet'!$E$12+1,1))</f>
        <v>322.93502595881938</v>
      </c>
      <c r="CE81" s="59">
        <f t="shared" si="189"/>
        <v>302.67072119588164</v>
      </c>
      <c r="CF81" s="15">
        <f>IF(ISNA(VLOOKUP(A81,'Données projet'!$A$123:$I$143,3,0)),0,VLOOKUP(A81,'Données projet'!$A$123:$I$143,3,0))</f>
        <v>0</v>
      </c>
      <c r="CG81" s="15">
        <f>IF(ISNA(VLOOKUP(A81,'Données projet'!$A$123:$I$143,4,0)),0,VLOOKUP(A81,'Données projet'!$A$123:$I$143,4,0))</f>
        <v>0</v>
      </c>
      <c r="CH81" s="16">
        <f>IF(ISNA(VLOOKUP(A81,'Données projet'!$A$123:$I$143,5,0)),0%,VLOOKUP(A81,'Données projet'!$A$123:$I$143,5,0)*VLOOKUP('Données projet'!$B$12,Paramètres!$A$1:$I$89,7,0))</f>
        <v>0</v>
      </c>
      <c r="CI81" s="16">
        <f>IF(ISNA(VLOOKUP(A81,'Données projet'!$A$123:$I$143,6,0)),0%,VLOOKUP(A81,'Données projet'!$A$123:$I$143,6,0)*VLOOKUP('Données projet'!$B$12,Paramètres!$A$1:$I$89,7,0))</f>
        <v>0</v>
      </c>
      <c r="CJ81" s="16">
        <f>IF(ISNA(VLOOKUP(A81,'Données projet'!$A$123:$I$143,7,0)),0%,VLOOKUP(A81,'Données projet'!$A$123:$I$143,7,0))</f>
        <v>0</v>
      </c>
      <c r="CK81" s="21">
        <f>EXP(-LN(2)/35)*CK80+(1-EXP(-LN(2)/35))/(LN(2)/35)*CG81*CH81*VLOOKUP('Données projet'!$B$12,Paramètres!$A$1:$I$89,3,0)*0.475*44/12</f>
        <v>24.129975525739173</v>
      </c>
      <c r="CL81" s="21">
        <f>EXP(-LN(2)/25)*CL80+(1-EXP(-LN(2)/25))/(LN(2)/25)*Calculateur!CG81*Calculateur!CI81*VLOOKUP('Données projet'!$B$12,Paramètres!$A$1:$I$89,3,0)*0.475*44/12</f>
        <v>21.33590054237516</v>
      </c>
      <c r="CM81" s="21">
        <f>EXP(-LN(2)/2)*CM80+(1-EXP(-LN(2)/2))/(LN(2)/2)*CG81*CJ81*VLOOKUP('Données projet'!$B$12,Paramètres!$A$1:$I$89,3,0)*0.475*44/12</f>
        <v>0</v>
      </c>
      <c r="CN81" s="22">
        <f t="shared" si="131"/>
        <v>45.465876068114333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projet'!$A$149:$I$169,2,0)</f>
        <v>#N/A</v>
      </c>
      <c r="CR81" s="12" t="e">
        <f>VLOOKUP(A81,'Données projet'!$A$149:$I$169,9,0)</f>
        <v>#N/A</v>
      </c>
      <c r="CS81" s="12">
        <f t="array" ref="CS81">INDEX(CR:CR,MIN(IF(ISNUMBER(CR81:CR277),ROW(CR81:CR277),"")))</f>
        <v>5.5042735042735051</v>
      </c>
      <c r="CT81" s="12">
        <f>IF('Données projet'!$A$150&gt;35,CT80+CS81-DB80,IF(A81&lt;'Données projet'!$A$150,$CQ$205^A81,IF(A81='Données projet'!$A$150,'Données projet'!$B$150,CT80+CS81-DB80)))</f>
        <v>166.98076923076917</v>
      </c>
      <c r="CU81" s="17">
        <f>CT81*VLOOKUP('Données projet'!$B$13,Paramètres!$A$1:$I$89,3,0)*VLOOKUP('Données projet'!$B$13,Paramètres!$A$1:$I$89,5,0)</f>
        <v>169.31849999999994</v>
      </c>
      <c r="CV81" s="13">
        <f t="shared" si="190"/>
        <v>42.93735459119118</v>
      </c>
      <c r="CW81" s="20">
        <f t="shared" si="132"/>
        <v>369.67894674632447</v>
      </c>
      <c r="CX81" s="59">
        <f t="shared" si="133"/>
        <v>663.01228007965778</v>
      </c>
      <c r="CY81" s="59">
        <f ca="1">AVERAGE(OFFSET($CX$3,0,0,'Données projet'!$E$13+1,1))-AVERAGE(OFFSET($H$3,0,0,'Données projet'!$E$13+1,1))</f>
        <v>250.31277422753283</v>
      </c>
      <c r="CZ81" s="59">
        <f t="shared" si="191"/>
        <v>159.20429420478047</v>
      </c>
      <c r="DA81" s="15">
        <f>IF(ISNA(VLOOKUP(A81,'Données projet'!$A$149:$I$169,3,0)),0,VLOOKUP(A81,'Données projet'!$A$149:$I$169,3,0))</f>
        <v>0</v>
      </c>
      <c r="DB81" s="15">
        <f>IF(ISNA(VLOOKUP(A81,'Données projet'!$A$149:$I$169,4,0)),0,VLOOKUP(A81,'Données projet'!$A$149:$I$169,4,0))</f>
        <v>0</v>
      </c>
      <c r="DC81" s="16">
        <f>IF(ISNA(VLOOKUP(A81,'Données projet'!$A$149:$I$169,5,0)),0%,VLOOKUP(A81,'Données projet'!$A$149:$I$169,5,0)*VLOOKUP('Données projet'!$B$13,Paramètres!$A$1:$I$89,7,0))</f>
        <v>0</v>
      </c>
      <c r="DD81" s="16">
        <f>IF(ISNA(VLOOKUP(A81,'Données projet'!$A$149:$I$169,6,0)),0%,VLOOKUP(A81,'Données projet'!$A$149:$I$169,6,0)*VLOOKUP('Données projet'!$B$13,Paramètres!$A$1:$I$89,7,0))</f>
        <v>0</v>
      </c>
      <c r="DE81" s="16">
        <f>IF(ISNA(VLOOKUP(A81,'Données projet'!$A$149:$I$169,7,0)),0%,VLOOKUP(A81,'Données projet'!$A$149:$I$169,7,0))</f>
        <v>0</v>
      </c>
      <c r="DF81" s="21">
        <f>EXP(-LN(2)/35)*DF80+(1-EXP(-LN(2)/35))/(LN(2)/35)*DB81*DC81*VLOOKUP('Données projet'!$B$13,Paramètres!$A$1:$I$89,3,0)*0.475*44/12</f>
        <v>9.8297314613115763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134"/>
        <v>9.8297314613115763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projet'!$A$175:$I$195,2,0)</f>
        <v>#N/A</v>
      </c>
      <c r="DM81" s="12" t="e">
        <f>VLOOKUP(A81,'Données projet'!$A$175:$I$195,9,0)</f>
        <v>#N/A</v>
      </c>
      <c r="DN81" s="12">
        <f t="array" ref="DN81">INDEX(DM:DM,MIN(IF(ISNUMBER(DM81:DM277),ROW(DM81:DM277),"")))</f>
        <v>4</v>
      </c>
      <c r="DO81" s="12">
        <f>IF('Données projet'!$A$176&gt;35,DO80+DN81-DW80,IF(A81&lt;'Données projet'!$A$176,$DL$205^A81,IF(A81='Données projet'!$A$176,'Données projet'!$B$176,DO80+DN81-DW80)))</f>
        <v>372.99999999999972</v>
      </c>
      <c r="DP81" s="17">
        <f>DO81*VLOOKUP('Données projet'!$B$14,Paramètres!$A$1:$I$89,3,0)*VLOOKUP('Données projet'!$B$14,Paramètres!$A$1:$I$89,5,0)</f>
        <v>273.4835999999998</v>
      </c>
      <c r="DQ81" s="13">
        <f t="shared" si="192"/>
        <v>65.588024622277445</v>
      </c>
      <c r="DR81" s="20">
        <f t="shared" si="135"/>
        <v>590.54974621713279</v>
      </c>
      <c r="DS81" s="59">
        <f t="shared" si="136"/>
        <v>883.88307955046616</v>
      </c>
      <c r="DT81" s="59">
        <f ca="1">AVERAGE(OFFSET($DS$3,0,0,'Données projet'!$E$14+1,1))-AVERAGE(OFFSET($H$3,0,0,'Données projet'!$E$14+1,1))</f>
        <v>296.91321813251051</v>
      </c>
      <c r="DU81" s="59">
        <f t="shared" si="193"/>
        <v>291.0718079639509</v>
      </c>
      <c r="DV81" s="15">
        <f>IF(ISNA(VLOOKUP(A81,'Données projet'!$A$175:$I$195,3,0)),0,VLOOKUP(A81,'Données projet'!$A$175:$I$195,3,0))</f>
        <v>0</v>
      </c>
      <c r="DW81" s="15">
        <f>IF(ISNA(VLOOKUP(A81,'Données projet'!$A$175:$I$195,4,0)),0,VLOOKUP(A81,'Données projet'!$A$175:$I$195,4,0))</f>
        <v>0</v>
      </c>
      <c r="DX81" s="16">
        <f>IF(ISNA(VLOOKUP(A81,'Données projet'!$A$175:$I$195,5,0)),0%,VLOOKUP(A81,'Données projet'!$A$175:$I$195,5,0)*VLOOKUP('Données projet'!$B$14,Paramètres!$A$1:$I$89,7,0))</f>
        <v>0</v>
      </c>
      <c r="DY81" s="16">
        <f>IF(ISNA(VLOOKUP(A81,'Données projet'!$A$175:$I$195,6,0)),0%,VLOOKUP(A81,'Données projet'!$A$175:$I$195,6,0)*VLOOKUP('Données projet'!$B$14,Paramètres!$A$1:$I$89,7,0))</f>
        <v>0</v>
      </c>
      <c r="DZ81" s="16">
        <f>IF(ISNA(VLOOKUP(A81,'Données projet'!$A$175:$I$195,7,0)),0%,VLOOKUP(A81,'Données projet'!$A$175:$I$195,7,0))</f>
        <v>0</v>
      </c>
      <c r="EA81" s="21">
        <f>EXP(-LN(2)/35)*EA80+(1-EXP(-LN(2)/35))/(LN(2)/35)*DW81*DX81*VLOOKUP('Données projet'!$B$14,Paramètres!$A$1:$I$89,3,0)*0.475*44/12</f>
        <v>42.312262248054118</v>
      </c>
      <c r="EB81" s="21">
        <f>EXP(-LN(2)/25)*EB80+(1-EXP(-LN(2)/25))/(LN(2)/25)*Calculateur!DW81*Calculateur!DY81*VLOOKUP('Données projet'!$B$14,Paramètres!$A$1:$I$89,3,0)*0.475*44/12</f>
        <v>5.6601980102883127</v>
      </c>
      <c r="EC81" s="21">
        <f>EXP(-LN(2)/2)*EC80+(1-EXP(-LN(2)/2))/(LN(2)/2)*DW81*DZ81*VLOOKUP('Données projet'!$B$14,Paramètres!$A$1:$I$89,3,0)*0.475*44/12</f>
        <v>0</v>
      </c>
      <c r="ED81" s="22">
        <f t="shared" si="137"/>
        <v>47.97246025834243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projet'!$A$201:$I$221,2,0)</f>
        <v>#N/A</v>
      </c>
      <c r="EH81" s="12" t="e">
        <f>VLOOKUP(A81,'Données projet'!$A$201:$I$221,9,0)</f>
        <v>#N/A</v>
      </c>
      <c r="EI81" s="12">
        <f t="array" ref="EI81">INDEX(EH:EH,MIN(IF(ISNUMBER(EH81:EH277),ROW(EH81:EH277),"")))</f>
        <v>9.001923076923072</v>
      </c>
      <c r="EJ81" s="12">
        <f>IF('Données projet'!$A$202&gt;35,EJ80+EI81-ER80,IF(A81&lt;'Données projet'!$A$202,$EG$205^A81,IF(A81='Données projet'!$A$202,'Données projet'!$B$202,EJ80+EI81-ER80)))</f>
        <v>302.12115384615424</v>
      </c>
      <c r="EK81" s="17">
        <f>EJ81*VLOOKUP('Données projet'!$B$15,Paramètres!$A$1:$I$89,3,0)*VLOOKUP('Données projet'!$B$15,Paramètres!$A$1:$I$89,5,0)</f>
        <v>141.39270000000019</v>
      </c>
      <c r="EL81" s="13">
        <f t="shared" si="194"/>
        <v>36.615869470582794</v>
      </c>
      <c r="EM81" s="20">
        <f t="shared" si="138"/>
        <v>310.031591827932</v>
      </c>
      <c r="EN81" s="59">
        <f t="shared" si="139"/>
        <v>603.36492516126532</v>
      </c>
      <c r="EO81" s="59">
        <f ca="1">AVERAGE(OFFSET($EN$3,0,0,'Données projet'!$E$15+1,1))-AVERAGE(OFFSET($H$3,0,0,'Données projet'!$E$15+1,1))</f>
        <v>147.64256291235483</v>
      </c>
      <c r="EP81" s="59">
        <f t="shared" si="195"/>
        <v>70.859031694091868</v>
      </c>
      <c r="EQ81" s="15">
        <f>IF(ISNA(VLOOKUP(A81,'Données projet'!$A$201:$I$221,3,0)),0,VLOOKUP(A81,'Données projet'!$A$201:$I$221,3,0))</f>
        <v>0</v>
      </c>
      <c r="ER81" s="15">
        <f>IF(ISNA(VLOOKUP(A81,'Données projet'!$A$201:$I$221,4,0)),0,VLOOKUP(A81,'Données projet'!$A$201:$I$221,4,0))</f>
        <v>0</v>
      </c>
      <c r="ES81" s="16">
        <f>IF(ISNA(VLOOKUP(A81,'Données projet'!$A$201:$I$221,5,0)),0%,VLOOKUP(A81,'Données projet'!$A$201:$I$221,5,0)*VLOOKUP('Données projet'!$B$15,Paramètres!$A$1:$I$89,7,0))</f>
        <v>0</v>
      </c>
      <c r="ET81" s="16">
        <f>IF(ISNA(VLOOKUP(A81,'Données projet'!$A$201:$I$221,6,0)),0%,VLOOKUP(A81,'Données projet'!$A$201:$I$221,6,0)*VLOOKUP('Données projet'!$B$15,Paramètres!$A$1:$I$89,7,0))</f>
        <v>0</v>
      </c>
      <c r="EU81" s="16">
        <f>IF(ISNA(VLOOKUP(A81,'Données projet'!$A$201:$I$221,7,0)),0%,VLOOKUP(A81,'Données projet'!$A$201:$I$221,7,0))</f>
        <v>0</v>
      </c>
      <c r="EV81" s="21">
        <f>EXP(-LN(2)/35)*EV80+(1-EXP(-LN(2)/35))/(LN(2)/35)*ER81*ES81*VLOOKUP('Données projet'!$B$15,Paramètres!$A$1:$I$89,3,0)*0.475*44/12</f>
        <v>38.421155650808629</v>
      </c>
      <c r="EW81" s="21">
        <f>EXP(-LN(2)/25)*EW80+(1-EXP(-LN(2)/25))/(LN(2)/25)*Calculateur!ER81*Calculateur!ET81*VLOOKUP('Données projet'!$B$15,Paramètres!$A$1:$I$89,3,0)*0.475*44/12</f>
        <v>17.59992341052142</v>
      </c>
      <c r="EX81" s="21">
        <f>EXP(-LN(2)/2)*EX80+(1-EXP(-LN(2)/2))/(LN(2)/2)*ER81*EU81*VLOOKUP('Données projet'!$B$15,Paramètres!$A$1:$I$89,3,0)*0.475*44/12</f>
        <v>2.1547057413290598</v>
      </c>
      <c r="EY81" s="22">
        <f t="shared" si="140"/>
        <v>58.175784802659109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projet'!$A$227:$I$247,2,0)</f>
        <v>#N/A</v>
      </c>
      <c r="FC81" s="12" t="e">
        <f>VLOOKUP(A81,'Données projet'!$A$227:$I$247,9,0)</f>
        <v>#N/A</v>
      </c>
      <c r="FD81" s="12">
        <f t="array" ref="FD81">INDEX(FC:FC,MIN(IF(ISNUMBER(FC81:FC277),ROW(FC81:FC277),"")))</f>
        <v>3.2</v>
      </c>
      <c r="FE81" s="12">
        <f>IF('Données projet'!$A$228&gt;35,FE80+FD81-FM80,IF(A81&lt;'Données projet'!$A$228,$FB$205^A81,IF(A81='Données projet'!$A$228,'Données projet'!$B$228,FE80+FD81-FM80)))</f>
        <v>201.59999999999994</v>
      </c>
      <c r="FF81" s="17">
        <f>FE81*VLOOKUP('Données projet'!$B$16,Paramètres!$A$1:$I$89,3,0)*VLOOKUP('Données projet'!$B$16,Paramètres!$A$1:$I$89,5,0)</f>
        <v>210.71231999999998</v>
      </c>
      <c r="FG81" s="13">
        <f t="shared" si="196"/>
        <v>52.091214849236422</v>
      </c>
      <c r="FH81" s="20">
        <f t="shared" si="141"/>
        <v>457.71615652908667</v>
      </c>
      <c r="FI81" s="59">
        <f t="shared" si="142"/>
        <v>751.04948986241993</v>
      </c>
      <c r="FJ81" s="59">
        <f ca="1">AVERAGE(OFFSET($FI$3,0,0,'Données projet'!$E$16+1,1))-AVERAGE(OFFSET($H$3,0,0,'Données projet'!$E$16+1,1))</f>
        <v>259.03906550253788</v>
      </c>
      <c r="FK81" s="59">
        <f t="shared" si="197"/>
        <v>235.54542903570831</v>
      </c>
      <c r="FL81" s="15">
        <f>IF(ISNA(VLOOKUP(A81,'Données projet'!$A$227:$I$247,3,0)),0,VLOOKUP(A81,'Données projet'!$A$227:$I$247,3,0))</f>
        <v>0</v>
      </c>
      <c r="FM81" s="15">
        <f>IF(ISNA(VLOOKUP(A81,'Données projet'!$A$227:$I$247,4,0)),0,VLOOKUP(A81,'Données projet'!$A$227:$I$247,4,0))</f>
        <v>0</v>
      </c>
      <c r="FN81" s="16">
        <f>IF(ISNA(VLOOKUP(A81,'Données projet'!$A$227:$I$247,5,0)),0%,VLOOKUP(A81,'Données projet'!$A$227:$I$247,5,0)*VLOOKUP('Données projet'!$B$16,Paramètres!$A$1:$I$89,7,0))</f>
        <v>0</v>
      </c>
      <c r="FO81" s="16">
        <f>IF(ISNA(VLOOKUP(A81,'Données projet'!$A$227:$I$247,6,0)),0%,VLOOKUP(A81,'Données projet'!$A$227:$I$247,6,0)*VLOOKUP('Données projet'!$B$16,Paramètres!$A$1:$I$89,7,0))</f>
        <v>0</v>
      </c>
      <c r="FP81" s="16">
        <f>IF(ISNA(VLOOKUP(A81,'Données projet'!$A$227:$I$247,7,0)),0%,VLOOKUP(A81,'Données projet'!$A$227:$I$247,7,0))</f>
        <v>0</v>
      </c>
      <c r="FQ81" s="21">
        <f>EXP(-LN(2)/35)*FQ80+(1-EXP(-LN(2)/35))/(LN(2)/35)*FM81*FN81*VLOOKUP('Données projet'!$B$16,Paramètres!$A$1:$I$89,3,0)*0.475*44/12</f>
        <v>11.294974250033095</v>
      </c>
      <c r="FR81" s="21">
        <f>EXP(-LN(2)/25)*FR80+(1-EXP(-LN(2)/25))/(LN(2)/25)*Calculateur!FM81*Calculateur!FO81*VLOOKUP('Données projet'!$B$16,Paramètres!$A$1:$I$89,3,0)*0.475*44/12</f>
        <v>15.835823101985252</v>
      </c>
      <c r="FS81" s="21">
        <f>EXP(-LN(2)/2)*FS80+(1-EXP(-LN(2)/2))/(LN(2)/2)*FM81*FP81*VLOOKUP('Données projet'!$B$16,Paramètres!$A$1:$I$89,3,0)*0.475*44/12</f>
        <v>0</v>
      </c>
      <c r="FT81" s="22">
        <f t="shared" si="143"/>
        <v>27.130797352018348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projet'!$A$253:$I$273,2,0)</f>
        <v>#N/A</v>
      </c>
      <c r="FX81" s="12" t="e">
        <f>VLOOKUP(A81,'Données projet'!$A$253:$I$273,9,0)</f>
        <v>#N/A</v>
      </c>
      <c r="FY81" s="12">
        <f t="array" ref="FY81">INDEX(FX:FX,MIN(IF(ISNUMBER(FX81:FX277),ROW(FX81:FX277),"")))</f>
        <v>2.8</v>
      </c>
      <c r="FZ81" s="12">
        <f>IF('Données projet'!$A$254&gt;35,FZ80+FY81-GH80,IF(A81&lt;'Données projet'!$A$254,$FW$205^A81,IF(A81='Données projet'!$A$254,'Données projet'!$B$254,FZ80+FY81-GH80)))</f>
        <v>269.39999999999981</v>
      </c>
      <c r="GA81" s="17">
        <f>FZ81*VLOOKUP('Données projet'!$B$17,Paramètres!$A$1:$I$89,3,0)*VLOOKUP('Données projet'!$B$17,Paramètres!$A$1:$I$89,5,0)</f>
        <v>235.34783999999988</v>
      </c>
      <c r="GB81" s="13">
        <f t="shared" si="198"/>
        <v>57.437458162232033</v>
      </c>
      <c r="GC81" s="20">
        <f t="shared" si="144"/>
        <v>509.93439429922063</v>
      </c>
      <c r="GD81" s="59">
        <f t="shared" si="145"/>
        <v>803.26772763255394</v>
      </c>
      <c r="GE81" s="59">
        <f ca="1">AVERAGE(OFFSET($GD$3,0,0,'Données projet'!$E$17+1,1))-AVERAGE(OFFSET($H$3,0,0,'Données projet'!$E$17+1,1))</f>
        <v>245.1983232777614</v>
      </c>
      <c r="GF81" s="59">
        <f t="shared" si="199"/>
        <v>242.34010522344573</v>
      </c>
      <c r="GG81" s="15">
        <f>IF(ISNA(VLOOKUP(A81,'Données projet'!$A$253:$I$273,3,0)),0,VLOOKUP(A81,'Données projet'!$A$253:$I$273,3,0))</f>
        <v>0</v>
      </c>
      <c r="GH81" s="15">
        <f>IF(ISNA(VLOOKUP(A81,'Données projet'!$A$253:$I$273,4,0)),0,VLOOKUP(A81,'Données projet'!$A$253:$I$273,4,0))</f>
        <v>0</v>
      </c>
      <c r="GI81" s="16">
        <f>IF(ISNA(VLOOKUP(A81,'Données projet'!$A$253:$I$273,5,0)),0%,VLOOKUP(A81,'Données projet'!$A$253:$I$273,5,0)*VLOOKUP('Données projet'!$B$17,Paramètres!$A$1:$I$89,7,0))</f>
        <v>0</v>
      </c>
      <c r="GJ81" s="16">
        <f>IF(ISNA(VLOOKUP(A81,'Données projet'!$A$253:$I$273,6,0)),0%,VLOOKUP(A81,'Données projet'!$A$253:$I$273,6,0)*VLOOKUP('Données projet'!$B$17,Paramètres!$A$1:$I$89,7,0))</f>
        <v>0</v>
      </c>
      <c r="GK81" s="16">
        <f>IF(ISNA(VLOOKUP(A81,'Données projet'!$A$253:$I$273,7,0)),0%,VLOOKUP(A81,'Données projet'!$A$253:$I$273,7,0))</f>
        <v>0</v>
      </c>
      <c r="GL81" s="21">
        <f>EXP(-LN(2)/35)*GL80+(1-EXP(-LN(2)/35))/(LN(2)/35)*GH81*GI81*VLOOKUP('Données projet'!$B$17,Paramètres!$A$1:$I$89,3,0)*0.475*44/12</f>
        <v>23.643799317898345</v>
      </c>
      <c r="GM81" s="21">
        <f>EXP(-LN(2)/25)*GM80+(1-EXP(-LN(2)/25))/(LN(2)/25)*Calculateur!GH81*Calculateur!GJ81*VLOOKUP('Données projet'!$B$17,Paramètres!$A$1:$I$89,3,0)*0.475*44/12</f>
        <v>7.3882818992719779</v>
      </c>
      <c r="GN81" s="21">
        <f>EXP(-LN(2)/2)*GN80+(1-EXP(-LN(2)/2))/(LN(2)/2)*GH81*GK81*VLOOKUP('Données projet'!$B$17,Paramètres!$A$1:$I$89,3,0)*0.475*44/12</f>
        <v>0</v>
      </c>
      <c r="GO81" s="21">
        <f t="shared" si="146"/>
        <v>31.032081217170322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projet'!$A$279:$I$299,2,0)</f>
        <v>#N/A</v>
      </c>
      <c r="GS81" s="12" t="e">
        <f>VLOOKUP(A81,'Données projet'!$A$279:$I$299,9,0)</f>
        <v>#N/A</v>
      </c>
      <c r="GT81" s="12">
        <f t="array" ref="GT81">INDEX(GS:GS,MIN(IF(ISNUMBER(GS81:GS277),ROW(GS81:GS277),"")))</f>
        <v>8.8000000000000007</v>
      </c>
      <c r="GU81" s="12">
        <f>IF('Données projet'!$A$280&gt;35,GU80+GT81-HC80,IF(A81&lt;'Données projet'!$A$280,$GR$205^A81,IF(A81='Données projet'!$A$280,'Données projet'!$B$280,GU80+GT81-HC80)))</f>
        <v>822.4</v>
      </c>
      <c r="GV81" s="17">
        <f>GU81*VLOOKUP('Données projet'!$B$18,Paramètres!$A$1:$I$89,3,0)*VLOOKUP('Données projet'!$B$18,Paramètres!$A$1:$I$89,5,0)</f>
        <v>331.42719999999997</v>
      </c>
      <c r="GW81" s="13">
        <f t="shared" si="200"/>
        <v>77.726127785524838</v>
      </c>
      <c r="GX81" s="20">
        <f t="shared" si="147"/>
        <v>712.60871255978907</v>
      </c>
      <c r="GY81" s="59">
        <f t="shared" si="148"/>
        <v>1005.9420458931224</v>
      </c>
      <c r="GZ81" s="59">
        <f ca="1">AVERAGE(OFFSET($GY$3,0,0,'Données projet'!$E$18+1,1))-AVERAGE(OFFSET($H$3,0,0,'Données projet'!$E$18+1,1))</f>
        <v>324.36162935850876</v>
      </c>
      <c r="HA81" s="59">
        <f t="shared" si="201"/>
        <v>265.23571072429735</v>
      </c>
      <c r="HB81" s="15">
        <f>IF(ISNA(VLOOKUP(A81,'Données projet'!$A$279:$I$299,3,0)),0,VLOOKUP(A81,'Données projet'!$A$279:$I$299,3,0))</f>
        <v>0</v>
      </c>
      <c r="HC81" s="15">
        <f>IF(ISNA(VLOOKUP(A81,'Données projet'!$A$279:$I$299,4,0)),0,VLOOKUP(A81,'Données projet'!$A$279:$I$299,4,0))</f>
        <v>0</v>
      </c>
      <c r="HD81" s="16">
        <f>IF(ISNA(VLOOKUP(A81,'Données projet'!$A$279:$I$299,5,0)),0%,VLOOKUP(A81,'Données projet'!$A$279:$I$299,5,0)*VLOOKUP('Données projet'!$B$18,Paramètres!$A$1:$I$89,7,0))</f>
        <v>0</v>
      </c>
      <c r="HE81" s="16">
        <f>IF(ISNA(VLOOKUP(A81,'Données projet'!$A$279:$I$299,6,0)),0%,VLOOKUP(A81,'Données projet'!$A$279:$I$299,6,0)*VLOOKUP('Données projet'!$B$18,Paramètres!$A$1:$I$89,7,0))</f>
        <v>0</v>
      </c>
      <c r="HF81" s="16">
        <f>IF(ISNA(VLOOKUP($A81,'Données projet'!$A$279:$I$299,7,0)),0%,VLOOKUP($A81,'Données projet'!$A$279:$I$299,7,0))</f>
        <v>0</v>
      </c>
      <c r="HG81" s="21">
        <f>EXP(-LN(2)/35)*HG80+(1-EXP(-LN(2)/35))/(LN(2)/35)*HC81*HD81*VLOOKUP('Données projet'!$B$18,Paramètres!$A$1:$I$89,3,0)*0.475*44/12</f>
        <v>17.247654345264834</v>
      </c>
      <c r="HH81" s="21">
        <f>EXP(-LN(2)/25)*HH80+(1-EXP(-LN(2)/25))/(LN(2)/25)*Calculateur!HC81*Calculateur!HE81*VLOOKUP('Données projet'!$B$18,Paramètres!$A$1:$I$89,3,0)*0.475*44/12</f>
        <v>8.2648489494242927</v>
      </c>
      <c r="HI81" s="21">
        <f>EXP(-LN(2)/2)*HI80+(1-EXP(-LN(2)/2))/(LN(2)/2)*HC81*HF81*VLOOKUP('Données projet'!$B$18,Paramètres!$A$1:$I$89,3,0)*0.475*44/12</f>
        <v>5.9607091708329327E-2</v>
      </c>
      <c r="HJ81" s="22">
        <f t="shared" si="149"/>
        <v>25.572110386397455</v>
      </c>
      <c r="HK81" s="74">
        <f>('Scénario référence'!$F$8+'Scénario référence'!$F$9+'Scénario référence'!$B$17+'Scénario référence'!$B$9+'Scénario référence'!$B$10)*70+IF((45+25*(1-EXP(-0.0175*$A81)))&lt;70,'Scénario référence'!$B$16*(45+25*(1-EXP(-0.0175*$A81))),70*'Scénario référence'!$B$16)+IF((32+38*(1-EXP(-0.0175*$A81)))&lt;70,'Scénario référence'!$B$18*(32+38*(1-EXP(-0.0175*$A81))),70*'Scénario référence'!$B$18)</f>
        <v>70</v>
      </c>
      <c r="HL81" s="12">
        <f>IF($A81&gt;30,10,('Scénario référence'!$B$16+'Scénario référence'!$B$17+'Scénario référence'!$B$18+'Scénario référence'!$B$9+'Scénario référence'!$B$10)*$A81*10/30+('Scénario référence'!$F$8+'Scénario référence'!$F$9)*10)</f>
        <v>10</v>
      </c>
      <c r="HM81" s="12" t="e">
        <f>VLOOKUP($A81,'Données projet'!$A$304:$I$324,2,0)</f>
        <v>#N/A</v>
      </c>
      <c r="HN81" s="12" t="e">
        <f>VLOOKUP($A81,'Données projet'!$A$304:$I$324,9,0)</f>
        <v>#N/A</v>
      </c>
      <c r="HO81" s="12">
        <f t="array" ref="HO81">INDEX(HN:HN,MIN(IF(ISNUMBER(HN81:HN277),ROW(HN81:HN277),"")))</f>
        <v>0</v>
      </c>
      <c r="HP81" s="12">
        <f>IF('Données projet'!$A$304&gt;35,HP80+HO81-HX80,IF($A81&lt;'Données projet'!$A$304,$CQ$205^$A81,IF($A81='Données projet'!$A$304,'Données projet'!$B$304,HP80+HO81-HX80)))</f>
        <v>0</v>
      </c>
      <c r="HQ81" s="17">
        <f>HP81*VLOOKUP('Données projet'!$B$19,Paramètres!$A$1:$I$89,3,0)*VLOOKUP('Données projet'!$B$19,Paramètres!$A$1:$I$89,5,0)</f>
        <v>0</v>
      </c>
      <c r="HR81" s="13" t="e">
        <f t="shared" si="202"/>
        <v>#NUM!</v>
      </c>
      <c r="HS81" s="14" t="e">
        <f t="shared" si="150"/>
        <v>#NUM!</v>
      </c>
      <c r="HT81" s="59" t="e">
        <f t="shared" si="151"/>
        <v>#NUM!</v>
      </c>
      <c r="HU81" s="59">
        <f ca="1">AVERAGE(OFFSET(HT$3,0,0,'Données projet'!$E$19+1,1))-AVERAGE(OFFSET($H$3,0,0,'Données projet'!$E$19+1,1))</f>
        <v>91.60721429656013</v>
      </c>
      <c r="HV81" s="59">
        <f t="shared" si="203"/>
        <v>258.94957804210856</v>
      </c>
      <c r="HW81" s="15">
        <f>IF(ISNA(VLOOKUP($A81,'Données projet'!$A$304:$I$324,3,0)),0,VLOOKUP($A81,'Données projet'!$A$304:$I$324,3,0))</f>
        <v>0</v>
      </c>
      <c r="HX81" s="15">
        <f>IF(ISNA(VLOOKUP($A81,'Données projet'!$A$304:$I$324,4,0)),0,VLOOKUP($A81,'Données projet'!$A$304:$I$324,4,0))</f>
        <v>0</v>
      </c>
      <c r="HY81" s="16">
        <f>IF(ISNA(VLOOKUP($A81,'Données projet'!$A$304:$I$324,5,0)),0%,VLOOKUP($A81,'Données projet'!$A$304:$I$324,5,0)*VLOOKUP('Données projet'!$B$19,Paramètres!$A$1:$I$89,7,0))</f>
        <v>0</v>
      </c>
      <c r="HZ81" s="16">
        <f>IF(ISNA(VLOOKUP($A81,'Données projet'!$A$304:$I$324,6,0)),0%,VLOOKUP($A81,'Données projet'!$A$304:$I$324,6,0)*VLOOKUP('Données projet'!$B$19,Paramètres!$A$1:$I$89,7,0))</f>
        <v>0</v>
      </c>
      <c r="IA81" s="16">
        <f>IF(ISNA(VLOOKUP($A81,'Données projet'!$A$304:$I$324,7,0)),0%,VLOOKUP($A81,'Données projet'!$A$304:$I$324,7,0))</f>
        <v>0</v>
      </c>
      <c r="IB81" s="21">
        <f>EXP(-LN(2)/35)*IB80+(1-EXP(-LN(2)/35))/(LN(2)/35)*HX81*HY81*VLOOKUP('Données projet'!$B$19,Paramètres!$A$1:$I$89,3,0)*0.475*44/12</f>
        <v>19.067501526130258</v>
      </c>
      <c r="IC81" s="21">
        <f>EXP(-LN(2)/25)*IC80+(1-EXP(-LN(2)/25))/(LN(2)/25)*Calculateur!HX81*Calculateur!HZ81*VLOOKUP('Données projet'!$B$19,Paramètres!$A$1:$I$89,3,0)*0.475*44/12</f>
        <v>2.570595647582516</v>
      </c>
      <c r="ID81" s="21">
        <f>EXP(-LN(2)/2)*ID80+(1-EXP(-LN(2)/2))/(LN(2)/2)*HX81*IA81*VLOOKUP('Données projet'!$B$19,Paramètres!$A$1:$I$89,3,0)*0.475*44/12</f>
        <v>3.4144658550261113E-8</v>
      </c>
      <c r="IE81" s="22">
        <f t="shared" si="152"/>
        <v>21.638097207857431</v>
      </c>
      <c r="IF81" s="74">
        <f>('Scénario référence'!$F$8+'Scénario référence'!$F$9+'Scénario référence'!$B$17+'Scénario référence'!$B$9+'Scénario référence'!$B$10)*70+IF((45+25*(1-EXP(-0.0175*$A81)))&lt;70,'Scénario référence'!$B$16*(45+25*(1-EXP(-0.0175*$A81))),70*'Scénario référence'!$B$16)+IF((32+38*(1-EXP(-0.0175*$A81)))&lt;70,'Scénario référence'!$B$18*(32+38*(1-EXP(-0.0175*$A81))),70*'Scénario référence'!$B$18)</f>
        <v>70</v>
      </c>
      <c r="IG81" s="12">
        <f>IF($A81&gt;30,10,('Scénario référence'!$B$16+'Scénario référence'!$B$17+'Scénario référence'!$B$18+'Scénario référence'!$B$9+'Scénario référence'!$B$10)*$A81*10/30+('Scénario référence'!$F$8+'Scénario référence'!$F$9)*10)</f>
        <v>10</v>
      </c>
      <c r="IH81" s="12" t="e">
        <f>VLOOKUP($A81,'Données projet'!$A$330:$I$350,2,0)</f>
        <v>#N/A</v>
      </c>
      <c r="II81" s="12" t="e">
        <f>VLOOKUP($A81,'Données projet'!$A$330:$I$350,9,0)</f>
        <v>#N/A</v>
      </c>
      <c r="IJ81" s="12">
        <f t="array" ref="IJ81">INDEX(II:II,MIN(IF(ISNUMBER(II81:II277),ROW(II81:II277),"")))</f>
        <v>0</v>
      </c>
      <c r="IK81" s="12">
        <f>IF('Données projet'!$A$330&gt;35,IK80+IJ81-IS80,IF($A81&lt;'Données projet'!$A$330,$CQ$205^$A81,IF($A81='Données projet'!$A$330,'Données projet'!$B$330,IK80+IJ81-IS80)))</f>
        <v>0</v>
      </c>
      <c r="IL81" s="17">
        <f>IK81*VLOOKUP('Données projet'!$B$20,Paramètres!$A$1:$I$89,3,0)*VLOOKUP('Données projet'!$B$20,Paramètres!$A$1:$I$89,5,0)</f>
        <v>0</v>
      </c>
      <c r="IM81" s="13" t="e">
        <f t="shared" si="204"/>
        <v>#NUM!</v>
      </c>
      <c r="IN81" s="20" t="e">
        <f t="shared" si="153"/>
        <v>#NUM!</v>
      </c>
      <c r="IO81" s="59" t="e">
        <f t="shared" si="154"/>
        <v>#NUM!</v>
      </c>
      <c r="IP81" s="59">
        <f ca="1">AVERAGE(OFFSET(IO$3,0,0,'Données projet'!$E$20+1,1))-AVERAGE(OFFSET($H$3,0,0,'Données projet'!$E$20+1,1))</f>
        <v>91.60721429656013</v>
      </c>
      <c r="IQ81" s="59">
        <f t="shared" si="205"/>
        <v>258.94957804210856</v>
      </c>
      <c r="IR81" s="15">
        <f>IF(ISNA(VLOOKUP($A81,'Données projet'!$A$330:$I$350,3,0)),0,VLOOKUP($A81,'Données projet'!$A$330:$I$350,3,0))</f>
        <v>0</v>
      </c>
      <c r="IS81" s="15">
        <f>IF(ISNA(VLOOKUP($A81,'Données projet'!$A$330:$I$350,4,0)),0,VLOOKUP($A81,'Données projet'!$A$330:$I$350,4,0))</f>
        <v>0</v>
      </c>
      <c r="IT81" s="16">
        <f>IF(ISNA(VLOOKUP($A81,'Données projet'!$A$330:$I$350,5,0)),0%,VLOOKUP($A81,'Données projet'!$A$330:$I$350,5,0)*VLOOKUP('Données projet'!$B$20,Paramètres!$A$1:$I$89,7,0))</f>
        <v>0</v>
      </c>
      <c r="IU81" s="16">
        <f>IF(ISNA(VLOOKUP($A81,'Données projet'!$A$330:$I$350,6,0)),0%,VLOOKUP($A81,'Données projet'!$A$330:$I$350,6,0)*VLOOKUP('Données projet'!$B$20,Paramètres!$A$1:$I$89,7,0))</f>
        <v>0</v>
      </c>
      <c r="IV81" s="16">
        <f>IF(ISNA(VLOOKUP($A81,'Données projet'!$A$330:$I$350,7,0)),0%,VLOOKUP($A81,'Données projet'!$A$330:$I$350,7,0))</f>
        <v>0</v>
      </c>
      <c r="IW81" s="21">
        <f>EXP(-LN(2)/35)*IW80+(1-EXP(-LN(2)/35))/(LN(2)/35)*IS81*IT81*VLOOKUP('Données projet'!$B$20,Paramètres!$A$1:$I$89,3,0)*0.475*44/12</f>
        <v>19.067501526130258</v>
      </c>
      <c r="IX81" s="21">
        <f>EXP(-LN(2)/25)*IX80+(1-EXP(-LN(2)/25))/(LN(2)/25)*Calculateur!IS81*Calculateur!IU81*VLOOKUP('Données projet'!$B$20,Paramètres!$A$1:$I$89,3,0)*0.475*44/12</f>
        <v>2.570595647582516</v>
      </c>
      <c r="IY81" s="21">
        <f>EXP(-LN(2)/2)*IY80+(1-EXP(-LN(2)/2))/(LN(2)/2)*IS81*IV81*VLOOKUP('Données projet'!$B$20,Paramètres!$A$1:$I$89,3,0)*0.475*44/12</f>
        <v>3.4144658550261113E-8</v>
      </c>
      <c r="IZ81" s="22">
        <f t="shared" si="155"/>
        <v>21.638097207857431</v>
      </c>
      <c r="JA81" s="74">
        <f>('Scénario référence'!$F$8+'Scénario référence'!$F$9+'Scénario référence'!$B$17+'Scénario référence'!$B$9+'Scénario référence'!$B$10)*70+IF((45+25*(1-EXP(-0.0175*$A81)))&lt;70,'Scénario référence'!$B$16*(45+25*(1-EXP(-0.0175*$A81))),70*'Scénario référence'!$B$16)+IF((32+38*(1-EXP(-0.0175*$A81)))&lt;70,'Scénario référence'!$B$18*(32+38*(1-EXP(-0.0175*$A81))),70*'Scénario référence'!$B$18)</f>
        <v>70</v>
      </c>
      <c r="JB81" s="12">
        <f>IF($A81&gt;30,10,('Scénario référence'!$B$16+'Scénario référence'!$B$17+'Scénario référence'!$B$18+'Scénario référence'!$B$9+'Scénario référence'!$B$10)*$A81*10/30+('Scénario référence'!$F$8+'Scénario référence'!$F$9)*10)</f>
        <v>10</v>
      </c>
      <c r="JC81" s="12" t="e">
        <f>VLOOKUP($A81,'Données projet'!$A$356:$I$376,2,0)</f>
        <v>#N/A</v>
      </c>
      <c r="JD81" s="12" t="e">
        <f>VLOOKUP($A81,'Données projet'!$A$356:$I$376,9,0)</f>
        <v>#N/A</v>
      </c>
      <c r="JE81" s="12">
        <f t="array" ref="JE81">INDEX(JD:JD,MIN(IF(ISNUMBER(JD81:JD277),ROW(JD81:JD277),"")))</f>
        <v>8.8000000000000007</v>
      </c>
      <c r="JF81" s="12">
        <f>IF('Données projet'!$A$356&gt;35,JF80+JE81-JN80,IF($A81&lt;'Données projet'!$A$356,$CQ$205^$A81,IF($A81='Données projet'!$A$356,'Données projet'!$B$356,JF80+JE81-JN80)))</f>
        <v>333.39999999999992</v>
      </c>
      <c r="JG81" s="17">
        <f>JF81*VLOOKUP('Données projet'!$B$21,Paramètres!$A$1:$I$89,3,0)*VLOOKUP('Données projet'!$B$21,Paramètres!$A$1:$I$89,5,0)</f>
        <v>270.45407999999998</v>
      </c>
      <c r="JH81" s="13">
        <f t="shared" si="206"/>
        <v>64.945627097573166</v>
      </c>
      <c r="JI81" s="20">
        <f t="shared" si="156"/>
        <v>584.15448986160652</v>
      </c>
      <c r="JJ81" s="59">
        <f t="shared" si="157"/>
        <v>877.48782319493989</v>
      </c>
      <c r="JK81" s="59">
        <f ca="1">AVERAGE(OFFSET($JJ$3,0,0,'Données projet'!$E$22+1,1))-AVERAGE(OFFSET($H$3,0,0,'Données projet'!$E$22+1,1))</f>
        <v>353.35574633294613</v>
      </c>
      <c r="JL81" s="59">
        <f t="shared" si="207"/>
        <v>170.36796666474726</v>
      </c>
      <c r="JM81" s="15">
        <f>IF(ISNA(VLOOKUP($A81,'Données projet'!$A$356:$I$376,3,0)),0,VLOOKUP($A81,'Données projet'!$A$356:$I$376,3,0))</f>
        <v>0</v>
      </c>
      <c r="JN81" s="15">
        <f>IF(ISNA(VLOOKUP($A81,'Données projet'!$A$356:$I$376,4,0)),0,VLOOKUP($A81,'Données projet'!$A$356:$I$376,4,0))</f>
        <v>0</v>
      </c>
      <c r="JO81" s="16">
        <f>IF(ISNA(VLOOKUP($A81,'Données projet'!$A$356:$I$376,5,0)),0%,VLOOKUP($A81,'Données projet'!$A$356:$I$376,5,0)*VLOOKUP('Données projet'!$B$21,Paramètres!$A$1:$I$89,7,0))</f>
        <v>0</v>
      </c>
      <c r="JP81" s="16">
        <f>IF(ISNA(VLOOKUP($A81,'Données projet'!$A$356:$I$376,6,0)),0%,VLOOKUP($A81,'Données projet'!$A$356:$I$376,6,0)*VLOOKUP('Données projet'!$B$21,Paramètres!$A$1:$I$89,7,0))</f>
        <v>0</v>
      </c>
      <c r="JQ81" s="16">
        <f>IF(ISNA(VLOOKUP($A81,'Données projet'!$A$356:$I$376,7,0)),0%,VLOOKUP($A81,'Données projet'!$A$356:$I$376,7,0))</f>
        <v>0</v>
      </c>
      <c r="JR81" s="21">
        <f>EXP(-LN(2)/35)*JR80+(1-EXP(-LN(2)/35))/(LN(2)/35)*JN81*JO81*VLOOKUP('Données projet'!$B$21,Paramètres!$A$1:$I$89,3,0)*0.475*44/12</f>
        <v>1.0174169490953227</v>
      </c>
      <c r="JS81" s="21">
        <f>EXP(-LN(2)/25)*JS80+(1-EXP(-LN(2)/25))/(LN(2)/25)*Calculateur!JN81*Calculateur!JP81*VLOOKUP('Données projet'!$B$21,Paramètres!$A$1:$I$89,3,0)*0.475*44/12</f>
        <v>14.083767260194387</v>
      </c>
      <c r="JT81" s="21">
        <f>EXP(-LN(2)/2)*JT80+(1-EXP(-LN(2)/2))/(LN(2)/2)*JN81*JQ81*VLOOKUP('Données projet'!$B$21,Paramètres!$A$1:$I$89,3,0)*0.475*44/12</f>
        <v>2.761206317491252</v>
      </c>
      <c r="JU81" s="18">
        <f t="shared" si="158"/>
        <v>17.86239052678096</v>
      </c>
      <c r="JV81" s="74">
        <f>('Scénario référence'!$F$8+'Scénario référence'!$F$9+'Scénario référence'!$B$17+'Scénario référence'!$B$9+'Scénario référence'!$B$10)*70+IF((45+25*(1-EXP(-0.0175*$A81)))&lt;70,'Scénario référence'!$B$16*(45+25*(1-EXP(-0.0175*$A81))),70*'Scénario référence'!$B$16)+IF((32+38*(1-EXP(-0.0175*$A81)))&lt;70,'Scénario référence'!$B$18*(32+38*(1-EXP(-0.0175*$A81))),70*'Scénario référence'!$B$18)</f>
        <v>70</v>
      </c>
      <c r="JW81" s="12">
        <f>IF($A81&gt;30,10,('Scénario référence'!$B$16+'Scénario référence'!$B$17+'Scénario référence'!$B$18+'Scénario référence'!$B$9+'Scénario référence'!$B$10)*$A81*10/30+('Scénario référence'!$F$8+'Scénario référence'!$F$9)*10)</f>
        <v>10</v>
      </c>
      <c r="JX81" s="12" t="e">
        <f>VLOOKUP($A81,'Données projet'!$A$382:$I$402,2,0)</f>
        <v>#N/A</v>
      </c>
      <c r="JY81" s="12" t="e">
        <f>VLOOKUP($A81,'Données projet'!$A$382:$I$402,9,0)</f>
        <v>#N/A</v>
      </c>
      <c r="JZ81" s="12">
        <f t="array" ref="JZ81">INDEX(JY:JY,MIN(IF(ISNUMBER(JY81:JY277),ROW(JY81:JY277),"")))</f>
        <v>7.8425925925925934</v>
      </c>
      <c r="KA81" s="12">
        <f>IF('Données projet'!$A$382&gt;35,KA80+JZ81-KI80,IF($A81&lt;'Données projet'!$A$382,$CQ$205^$A81,IF($A81='Données projet'!$A$382,'Données projet'!$B$382,KA80+JZ81-KI80)))</f>
        <v>258.32763532763545</v>
      </c>
      <c r="KB81" s="17">
        <f>KA81*VLOOKUP('Données projet'!$B$22,Paramètres!$A$1:$I$89,3,0)*VLOOKUP('Données projet'!$B$22,Paramètres!$A$1:$I$89,5,0)</f>
        <v>173.28617777777785</v>
      </c>
      <c r="KC81" s="13">
        <f t="shared" si="208"/>
        <v>43.825195969028606</v>
      </c>
      <c r="KD81" s="20">
        <f t="shared" si="159"/>
        <v>378.13564260902126</v>
      </c>
      <c r="KE81" s="59">
        <f t="shared" si="160"/>
        <v>671.46897594235452</v>
      </c>
      <c r="KF81" s="59">
        <f ca="1">AVERAGE(OFFSET($KE$3,0,0,'Données projet'!$E$22+1,1))-AVERAGE(OFFSET($H$3,0,0,'Données projet'!$E$22+1,1))</f>
        <v>193.91714772848269</v>
      </c>
      <c r="KG81" s="59">
        <f t="shared" si="209"/>
        <v>159.20429420478047</v>
      </c>
      <c r="KH81" s="15">
        <f>IF(ISNA(VLOOKUP($A81,'Données projet'!$A$382:$I$402,3,0)),0,VLOOKUP($A81,'Données projet'!$A$382:$I$402,3,0))</f>
        <v>0</v>
      </c>
      <c r="KI81" s="15">
        <f>IF(ISNA(VLOOKUP($A81,'Données projet'!$A$382:$I$402,4,0)),0,VLOOKUP($A81,'Données projet'!$A$382:$I$402,4,0))</f>
        <v>0</v>
      </c>
      <c r="KJ81" s="16">
        <f>IF(ISNA(VLOOKUP($A81,'Données projet'!$A$382:$I$402,5,0)),0%,VLOOKUP($A81,'Données projet'!$A$382:$I$402,5,0)*VLOOKUP('Données projet'!$B$22,Paramètres!$A$1:$I$89,7,0))</f>
        <v>0</v>
      </c>
      <c r="KK81" s="16">
        <f>IF(ISNA(VLOOKUP($A81,'Données projet'!$A$382:$I$402,6,0)),0%,VLOOKUP($A81,'Données projet'!$A$382:$I$402,6,0)*VLOOKUP('Données projet'!$B$22,Paramètres!$A$1:$I$89,7,0))</f>
        <v>0</v>
      </c>
      <c r="KL81" s="16">
        <f>IF(ISNA(VLOOKUP($A81,'Données projet'!$A$382:$I$402,7,0)),0%,VLOOKUP($A81,'Données projet'!$A$382:$I$402,7,0))</f>
        <v>0</v>
      </c>
      <c r="KM81" s="21">
        <f>EXP(-LN(2)/35)*KM80+(1-EXP(-LN(2)/35))/(LN(2)/35)*KI81*KJ81*VLOOKUP('Données projet'!$B$22,Paramètres!$A$1:$I$89,3,0)*0.475*44/12</f>
        <v>18.093561910156726</v>
      </c>
      <c r="KN81" s="21">
        <f>EXP(-LN(2)/25)*KN80+(1-EXP(-LN(2)/25))/(LN(2)/25)*Calculateur!KI81*Calculateur!KK81*VLOOKUP('Données projet'!$B$22,Paramètres!$A$1:$I$89,3,0)*0.475*44/12</f>
        <v>0</v>
      </c>
      <c r="KO81" s="21">
        <f>EXP(-LN(2)/2)*KO80+(1-EXP(-LN(2)/2))/(LN(2)/2)*KI81*KL81*VLOOKUP('Données projet'!$B$22,Paramètres!$A$1:$I$89,3,0)*0.475*44/12</f>
        <v>0</v>
      </c>
      <c r="KP81" s="22">
        <f t="shared" si="161"/>
        <v>18.093561910156726</v>
      </c>
      <c r="KQ81" s="74">
        <f>('Scénario référence'!$F$8+'Scénario référence'!$F$9+'Scénario référence'!$B$17+'Scénario référence'!$B$9+'Scénario référence'!$B$10)*70+IF((45+25*(1-EXP(-0.0175*$A81)))&lt;70,'Scénario référence'!$B$16*(45+25*(1-EXP(-0.0175*$A81))),70*'Scénario référence'!$B$16)+IF((32+38*(1-EXP(-0.0175*$A81)))&lt;70,'Scénario référence'!$B$18*(32+38*(1-EXP(-0.0175*$A81))),70*'Scénario référence'!$B$18)</f>
        <v>70</v>
      </c>
      <c r="KR81" s="12">
        <f>IF($A81&gt;30,10,('Scénario référence'!$B$16+'Scénario référence'!$B$17+'Scénario référence'!$B$18+'Scénario référence'!$B$9+'Scénario référence'!$B$10)*$A81*10/30+('Scénario référence'!$F$8+'Scénario référence'!$F$9)*10)</f>
        <v>10</v>
      </c>
      <c r="KS81" s="12" t="e">
        <f>VLOOKUP($A81,'Données projet'!$A$408:$I$428,2,0)</f>
        <v>#N/A</v>
      </c>
      <c r="KT81" s="12" t="e">
        <f>VLOOKUP($A81,'Données projet'!$A$408:$I$428,9,0)</f>
        <v>#N/A</v>
      </c>
      <c r="KU81" s="12">
        <f t="array" ref="KU81">INDEX(KT:KT,MIN(IF(ISNUMBER(KT81:KT277),ROW(KT81:KT277),"")))</f>
        <v>2.8</v>
      </c>
      <c r="KV81" s="12">
        <f>IF('Données projet'!$A$408&gt;35,KV80+KU81-LD80,IF($A81&lt;'Données projet'!$A$408,$CQ$205^$A81,IF($A81='Données projet'!$A$408,'Données projet'!$B$408,KV80+KU81-LD80)))</f>
        <v>269.39999999999986</v>
      </c>
      <c r="KW81" s="17">
        <f>KV81*VLOOKUP('Données projet'!$B$23,Paramètres!$A$1:$I$89,3,0)*VLOOKUP('Données projet'!$B$23,Paramètres!$A$1:$I$89,5,0)</f>
        <v>235.34783999999993</v>
      </c>
      <c r="KX81" s="13">
        <f t="shared" si="210"/>
        <v>57.437458162232083</v>
      </c>
      <c r="KY81" s="14">
        <f t="shared" si="162"/>
        <v>509.93439429922074</v>
      </c>
      <c r="KZ81" s="59">
        <f t="shared" si="163"/>
        <v>803.26772763255406</v>
      </c>
      <c r="LA81" s="59">
        <f ca="1">AVERAGE(OFFSET($KZ$3,0,0,'Données projet'!$E$23+1,1))-AVERAGE(OFFSET($H$3,0,0,'Données projet'!$E$23+1,1))</f>
        <v>248.33596943633819</v>
      </c>
      <c r="LB81" s="59">
        <f t="shared" si="211"/>
        <v>242.34010522344573</v>
      </c>
      <c r="LC81" s="15">
        <f>IF(ISNA(VLOOKUP($A81,'Données projet'!$A$408:$I$428,3,0)),0,VLOOKUP($A81,'Données projet'!$A$408:$I$428,3,0))</f>
        <v>0</v>
      </c>
      <c r="LD81" s="15">
        <f>IF(ISNA(VLOOKUP($A81,'Données projet'!$A$408:$I$428,4,0)),0,VLOOKUP($A81,'Données projet'!$A$408:$I$428,4,0))</f>
        <v>0</v>
      </c>
      <c r="LE81" s="16">
        <f>IF(ISNA(VLOOKUP($A81,'Données projet'!$A$408:$I$428,5,0)),0%,VLOOKUP($A81,'Données projet'!$A$408:$I$428,5,0)*VLOOKUP('Données projet'!$B$23,Paramètres!$A$1:$I$89,7,0))</f>
        <v>0</v>
      </c>
      <c r="LF81" s="16">
        <f>IF(ISNA(VLOOKUP($A81,'Données projet'!$A$408:$I$428,6,0)),0%,VLOOKUP($A81,'Données projet'!$A$408:$I$428,6,0)*VLOOKUP('Données projet'!$B$23,Paramètres!$A$1:$I$89,7,0))</f>
        <v>0</v>
      </c>
      <c r="LG81" s="16">
        <f>IF(ISNA(VLOOKUP($A81,'Données projet'!$A$408:$I$428,7,0)),0%,VLOOKUP($A81,'Données projet'!$A$408:$I$428,7,0))</f>
        <v>0</v>
      </c>
      <c r="LH81" s="21">
        <f>EXP(-LN(2)/35)*LH80+(1-EXP(-LN(2)/35))/(LN(2)/35)*LD81*LE81*VLOOKUP('Données projet'!$B$23,Paramètres!$A$1:$I$89,3,0)*0.475*44/12</f>
        <v>23.643799317898345</v>
      </c>
      <c r="LI81" s="21">
        <f>EXP(-LN(2)/25)*LI80+(1-EXP(-LN(2)/25))/(LN(2)/25)*Calculateur!LD81*Calculateur!LF81*VLOOKUP('Données projet'!$B$23,Paramètres!$A$1:$I$89,3,0)*0.475*44/12</f>
        <v>7.3882818992719779</v>
      </c>
      <c r="LJ81" s="21">
        <f>EXP(-LN(2)/2)*LJ80+(1-EXP(-LN(2)/2))/(LN(2)/2)*LD81*LG81*VLOOKUP('Données projet'!$B$23,Paramètres!$A$1:$I$89,3,0)*0.475*44/12</f>
        <v>0</v>
      </c>
      <c r="LK81" s="22">
        <f t="shared" si="164"/>
        <v>31.032081217170322</v>
      </c>
      <c r="LL81" s="74">
        <f>('Scénario référence'!$F$8+'Scénario référence'!$F$9+'Scénario référence'!$B$17+'Scénario référence'!$B$9+'Scénario référence'!$B$10)*70+IF((45+25*(1-EXP(-0.0175*$A81)))&lt;70,'Scénario référence'!$B$16*(45+25*(1-EXP(-0.0175*$A81))),70*'Scénario référence'!$B$16)+IF((32+38*(1-EXP(-0.0175*$A81)))&lt;70,'Scénario référence'!$B$18*(32+38*(1-EXP(-0.0175*$A81))),70*'Scénario référence'!$B$18)</f>
        <v>70</v>
      </c>
      <c r="LM81" s="12">
        <f>IF($A81&gt;30,10,('Scénario référence'!$B$16+'Scénario référence'!$B$17+'Scénario référence'!$B$18+'Scénario référence'!$B$9+'Scénario référence'!$B$10)*$A81*10/30+('Scénario référence'!$F$8+'Scénario référence'!$F$9)*10)</f>
        <v>10</v>
      </c>
      <c r="LN81" s="12" t="e">
        <f>VLOOKUP($A81,'Données projet'!$A$434:$I$454,2,0)</f>
        <v>#N/A</v>
      </c>
      <c r="LO81" s="12" t="e">
        <f>VLOOKUP($A81,'Données projet'!$A$434:$I$454,9,0)</f>
        <v>#N/A</v>
      </c>
      <c r="LP81" s="12">
        <f t="array" ref="LP81">INDEX(LO:LO,MIN(IF(ISNUMBER(LO81:LO277),ROW(LO81:LO277),"")))</f>
        <v>5.5042735042735051</v>
      </c>
      <c r="LQ81" s="12">
        <f>IF('Données projet'!$A$434&gt;35,LQ80+LP81-LY80,IF($A81&lt;'Données projet'!$A$434,$CQ$205^$A81,IF($A81='Données projet'!$A$434,'Données projet'!$B$434,LQ80+LP81-LY80)))</f>
        <v>166.98076923076917</v>
      </c>
      <c r="LR81" s="17">
        <f>LQ81*VLOOKUP('Données projet'!$B$24,Paramètres!$A$1:$I$89,3,0)*VLOOKUP('Données projet'!$B$24,Paramètres!$A$1:$I$89,5,0)</f>
        <v>169.31849999999994</v>
      </c>
      <c r="LS81" s="13">
        <f t="shared" si="212"/>
        <v>42.93735459119118</v>
      </c>
      <c r="LT81" s="14">
        <f t="shared" si="165"/>
        <v>369.67894674632447</v>
      </c>
      <c r="LU81" s="59">
        <f t="shared" si="166"/>
        <v>663.01228007965778</v>
      </c>
      <c r="LV81" s="59">
        <f ca="1">AVERAGE(OFFSET($LU$3,0,0,'Données projet'!$E$24+1,1))-AVERAGE(OFFSET($H$3,0,0,'Données projet'!$E$24+1,1))</f>
        <v>260.52627655062872</v>
      </c>
      <c r="LW81" s="59">
        <f t="shared" si="213"/>
        <v>159.20429420478047</v>
      </c>
      <c r="LX81" s="15">
        <f>IF(ISNA(VLOOKUP($A81,'Données projet'!$A$434:$I$454,3,0)),0,VLOOKUP($A81,'Données projet'!$A$434:$I$454,3,0))</f>
        <v>0</v>
      </c>
      <c r="LY81" s="15">
        <f>IF(ISNA(VLOOKUP($A81,'Données projet'!$A$434:$I$454,4,0)),0,VLOOKUP($A81,'Données projet'!$A$434:$I$454,4,0))</f>
        <v>0</v>
      </c>
      <c r="LZ81" s="16">
        <f>IF(ISNA(VLOOKUP($A81,'Données projet'!$A$434:$I$454,5,0)),0%,VLOOKUP($A81,'Données projet'!$A$434:$I$454,5,0)*VLOOKUP('Données projet'!$B$24,Paramètres!$A$1:$I$89,7,0))</f>
        <v>0</v>
      </c>
      <c r="MA81" s="16">
        <f>IF(ISNA(VLOOKUP($A81,'Données projet'!$A$434:$I$454,6,0)),0%,VLOOKUP($A81,'Données projet'!$A$434:$I$454,6,0)*VLOOKUP('Données projet'!$B$24,Paramètres!$A$1:$I$89,7,0))</f>
        <v>0</v>
      </c>
      <c r="MB81" s="16">
        <f>IF(ISNA(VLOOKUP($A81,'Données projet'!$A$434:$I$454,7,0)),0%,VLOOKUP($A81,'Données projet'!$A$434:$I$454,7,0))</f>
        <v>0</v>
      </c>
      <c r="MC81" s="21">
        <f>EXP(-LN(2)/35)*MC80+(1-EXP(-LN(2)/35))/(LN(2)/35)*LY81*LZ81*VLOOKUP('Données projet'!$B$24,Paramètres!$A$1:$I$89,3,0)*0.475*44/12</f>
        <v>9.8297314613115763</v>
      </c>
      <c r="MD81" s="21">
        <f>EXP(-LN(2)/25)*MD80+(1-EXP(-LN(2)/25))/(LN(2)/25)*Calculateur!LY81*Calculateur!MA81*VLOOKUP('Données projet'!$B$24,Paramètres!$A$1:$I$89,3,0)*0.475*44/12</f>
        <v>0</v>
      </c>
      <c r="ME81" s="21">
        <f>EXP(-LN(2)/2)*ME80+(1-EXP(-LN(2)/2))/(LN(2)/2)*LY81*MB81*VLOOKUP('Données projet'!$B$24,Paramètres!$A$1:$I$89,3,0)*0.475*44/12</f>
        <v>0</v>
      </c>
      <c r="MF81" s="22">
        <f t="shared" si="167"/>
        <v>9.8297314613115763</v>
      </c>
      <c r="MG81" s="74">
        <f>('Scénario référence'!$F$8+'Scénario référence'!$F$9+'Scénario référence'!$B$17+'Scénario référence'!$B$9+'Scénario référence'!$B$10)*70+IF((45+25*(1-EXP(-0.0175*$A81)))&lt;70,'Scénario référence'!$B$16*(45+25*(1-EXP(-0.0175*$A81))),70*'Scénario référence'!$B$16)+IF((32+38*(1-EXP(-0.0175*$A81)))&lt;70,'Scénario référence'!$B$18*(32+38*(1-EXP(-0.0175*$A81))),70*'Scénario référence'!$B$18)</f>
        <v>70</v>
      </c>
      <c r="MH81" s="12">
        <f>IF($A81&gt;30,10,('Scénario référence'!$B$16+'Scénario référence'!$B$17+'Scénario référence'!$B$18+'Scénario référence'!$B$9+'Scénario référence'!$B$10)*$A81*10/30+('Scénario référence'!$F$8+'Scénario référence'!$F$9)*10)</f>
        <v>10</v>
      </c>
      <c r="MI81" s="12" t="e">
        <f>VLOOKUP($A81,'Données projet'!$A$460:$I$480,2,0)</f>
        <v>#N/A</v>
      </c>
      <c r="MJ81" s="12" t="e">
        <f>VLOOKUP($A81,'Données projet'!$A$460:$I$480,9,0)</f>
        <v>#N/A</v>
      </c>
      <c r="MK81" s="12">
        <f t="array" ref="MK81">INDEX(MJ:MJ,MIN(IF(ISNUMBER(MJ81:MJ277),ROW(MJ81:MJ277),"")))</f>
        <v>0</v>
      </c>
      <c r="ML81" s="12">
        <f>IF('Données projet'!$A$460&gt;35,ML80+MK81-MT80,IF($A81&lt;'Données projet'!$A$460,$CQ$205^$A81,IF($A81='Données projet'!$A$460,'Données projet'!$B$460,ML80+MK81-MT80)))</f>
        <v>0</v>
      </c>
      <c r="MM81" s="17" t="e">
        <f>ML81*VLOOKUP('Données projet'!$B$25,Paramètres!$A$1:$I$89,3,0)*VLOOKUP('Données projet'!$B$25,Paramètres!$A$1:$I$89,5,0)</f>
        <v>#N/A</v>
      </c>
      <c r="MN81" s="13" t="e">
        <f t="shared" si="214"/>
        <v>#N/A</v>
      </c>
      <c r="MO81" s="14" t="e">
        <f t="shared" si="168"/>
        <v>#N/A</v>
      </c>
      <c r="MP81" s="59" t="e">
        <f t="shared" si="169"/>
        <v>#N/A</v>
      </c>
      <c r="MQ81" s="20" t="e">
        <f ca="1">AVERAGE(OFFSET($MP$3,0,0,'Données projet'!$E$25+1,1))-AVERAGE(OFFSET($H$3,0,0,'Données projet'!$E$25+1,1))</f>
        <v>#N/A</v>
      </c>
      <c r="MR81" s="59" t="e">
        <f t="shared" si="215"/>
        <v>#N/A</v>
      </c>
      <c r="MS81" s="15">
        <f>IF(ISNA(VLOOKUP($A81,'Données projet'!$A$460:$I$480,3,0)),0,VLOOKUP($A81,'Données projet'!$A$460:$I$480,3,0))</f>
        <v>0</v>
      </c>
      <c r="MT81" s="15">
        <f>IF(ISNA(VLOOKUP($A81,'Données projet'!$A$460:$I$480,4,0)),0,VLOOKUP($A81,'Données projet'!$A$460:$I$480,4,0))</f>
        <v>0</v>
      </c>
      <c r="MU81" s="16">
        <f>IF(ISNA(VLOOKUP($A81,'Données projet'!$A$460:$I$480,5,0)),0%,VLOOKUP($A81,'Données projet'!$A$460:$I$480,5,0)*VLOOKUP('Données projet'!$B$25,Paramètres!$A$1:$I$89,7,0))</f>
        <v>0</v>
      </c>
      <c r="MV81" s="16">
        <f>IF(ISNA(VLOOKUP($A81,'Données projet'!$A$460:$I$480,6,0)),0%,VLOOKUP($A81,'Données projet'!$A$460:$I$480,6,0)*VLOOKUP('Données projet'!$B$25,Paramètres!$A$1:$I$89,7,0))</f>
        <v>0</v>
      </c>
      <c r="MW81" s="16">
        <f>IF(ISNA(VLOOKUP($A81,'Données projet'!$A$460:$I$480,7,0)),0%,VLOOKUP($A81,'Données projet'!$A$460:$I$480,7,0))</f>
        <v>0</v>
      </c>
      <c r="MX81" s="21" t="e">
        <f>EXP(-LN(2)/35)*MX80+(1-EXP(-LN(2)/35))/(LN(2)/35)*MT81*MU81*VLOOKUP('Données projet'!$B$25,Paramètres!$A$1:$I$89,3,0)*0.475*44/12</f>
        <v>#N/A</v>
      </c>
      <c r="MY81" s="21" t="e">
        <f>EXP(-LN(2)/25)*MY80+(1-EXP(-LN(2)/25))/(LN(2)/25)*Calculateur!MT81*Calculateur!MV81*VLOOKUP('Données projet'!$B$25,Paramètres!$A$1:$I$89,3,0)*0.475*44/12</f>
        <v>#N/A</v>
      </c>
      <c r="MZ81" s="21" t="e">
        <f>EXP(-LN(2)/2)*MZ80+(1-EXP(-LN(2)/2))/(LN(2)/2)*MT81*MW81*VLOOKUP('Données projet'!$B$25,Paramètres!$A$1:$I$89,3,0)*0.475*44/12</f>
        <v>#N/A</v>
      </c>
      <c r="NA81" s="22" t="e">
        <f t="shared" si="170"/>
        <v>#N/A</v>
      </c>
      <c r="NB81" s="74">
        <f>('Scénario référence'!$F$8+'Scénario référence'!$F$9+'Scénario référence'!$B$17+'Scénario référence'!$B$9+'Scénario référence'!$B$10)*70+IF((45+25*(1-EXP(-0.0175*$A81)))&lt;70,'Scénario référence'!$B$16*(45+25*(1-EXP(-0.0175*$A81))),70*'Scénario référence'!$B$16)+IF((32+38*(1-EXP(-0.0175*$A81)))&lt;70,'Scénario référence'!$B$18*(32+38*(1-EXP(-0.0175*$A81))),70*'Scénario référence'!$B$18)</f>
        <v>70</v>
      </c>
      <c r="NC81" s="12">
        <f>IF($A81&gt;30,10,('Scénario référence'!$B$16+'Scénario référence'!$B$17+'Scénario référence'!$B$18+'Scénario référence'!$B$9+'Scénario référence'!$B$10)*$A81*10/30+('Scénario référence'!$F$8+'Scénario référence'!$F$9)*10)</f>
        <v>10</v>
      </c>
      <c r="ND81" s="12" t="e">
        <f>VLOOKUP($A81,'Données projet'!$A$486:$I$506,2,0)</f>
        <v>#N/A</v>
      </c>
      <c r="NE81" s="12" t="e">
        <f>VLOOKUP($A81,'Données projet'!$A$486:$I$506,9,0)</f>
        <v>#N/A</v>
      </c>
      <c r="NF81" s="12">
        <f t="array" ref="NF81">INDEX(NE:NE,MIN(IF(ISNUMBER(NE81:NE277),ROW(NE81:NE277),"")))</f>
        <v>0</v>
      </c>
      <c r="NG81" s="12">
        <f>IF('Données projet'!$A$486&gt;35,NG80+NF81-NO80,IF($A81&lt;'Données projet'!$A$486,$CQ$205^$A81,IF($A81='Données projet'!$A$486,'Données projet'!$B$486,NG80+NF81-NO80)))</f>
        <v>0</v>
      </c>
      <c r="NH81" s="17" t="e">
        <f>NG81*VLOOKUP('Données projet'!$B$26,Paramètres!$A$1:$I$89,3,0)*VLOOKUP('Données projet'!$B$26,Paramètres!$A$1:$I$89,5,0)</f>
        <v>#N/A</v>
      </c>
      <c r="NI81" s="13" t="e">
        <f t="shared" si="216"/>
        <v>#N/A</v>
      </c>
      <c r="NJ81" s="14" t="e">
        <f t="shared" si="171"/>
        <v>#N/A</v>
      </c>
      <c r="NK81" s="59" t="e">
        <f t="shared" si="172"/>
        <v>#N/A</v>
      </c>
      <c r="NL81" s="20" t="e">
        <f ca="1">AVERAGE(OFFSET($NK$3,0,0,'Données projet'!$E$26+1,1))-AVERAGE(OFFSET($H$3,0,0,'Données projet'!$E$26+1,1))</f>
        <v>#N/A</v>
      </c>
      <c r="NM81" s="59" t="e">
        <f t="shared" si="217"/>
        <v>#N/A</v>
      </c>
      <c r="NN81" s="15">
        <f>IF(ISNA(VLOOKUP($A81,'Données projet'!$A$486:$I$506,3,0)),0,VLOOKUP($A81,'Données projet'!$A$486:$I$506,3,0))</f>
        <v>0</v>
      </c>
      <c r="NO81" s="15">
        <f>IF(ISNA(VLOOKUP($A81,'Données projet'!$A$486:$I$506,4,0)),0,VLOOKUP($A81,'Données projet'!$A$486:$I$506,4,0))</f>
        <v>0</v>
      </c>
      <c r="NP81" s="16">
        <f>IF(ISNA(VLOOKUP($A81,'Données projet'!$A$486:$I$506,5,0)),0%,VLOOKUP($A81,'Données projet'!$A$486:$I$506,5,0)*VLOOKUP('Données projet'!$B$26,Paramètres!$A$1:$I$89,7,0))</f>
        <v>0</v>
      </c>
      <c r="NQ81" s="16">
        <f>IF(ISNA(VLOOKUP($A81,'Données projet'!$A$486:$I$506,6,0)),0%,VLOOKUP($A81,'Données projet'!$A$486:$I$506,6,0)*VLOOKUP('Données projet'!$B$26,Paramètres!$A$1:$I$89,7,0))</f>
        <v>0</v>
      </c>
      <c r="NR81" s="16">
        <f>IF(ISNA(VLOOKUP($A81,'Données projet'!$A$486:$I$506,7,0)),0%,VLOOKUP($A81,'Données projet'!$A$486:$I$506,7,0))</f>
        <v>0</v>
      </c>
      <c r="NS81" s="21" t="e">
        <f>EXP(-LN(2)/35)*NS80+(1-EXP(-LN(2)/35))/(LN(2)/35)*NO81*NP81*VLOOKUP('Données projet'!$B$26,Paramètres!$A$1:$I$89,3,0)*0.475*44/12</f>
        <v>#N/A</v>
      </c>
      <c r="NT81" s="21" t="e">
        <f>EXP(-LN(2)/25)*NT80+(1-EXP(-LN(2)/25))/(LN(2)/25)*Calculateur!NO81*Calculateur!NQ81*VLOOKUP('Données projet'!$B$26,Paramètres!$A$1:$I$89,3,0)*0.475*44/12</f>
        <v>#N/A</v>
      </c>
      <c r="NU81" s="21" t="e">
        <f>EXP(-LN(2)/2)*NU80+(1-EXP(-LN(2)/2))/(LN(2)/2)*NO81*NR81*VLOOKUP('Données projet'!$B$26,Paramètres!$A$1:$I$89,3,0)*0.475*44/12</f>
        <v>#N/A</v>
      </c>
      <c r="NV81" s="22" t="e">
        <f t="shared" si="173"/>
        <v>#N/A</v>
      </c>
      <c r="NW81" s="74">
        <f>('Scénario référence'!$F$8+'Scénario référence'!$F$9+'Scénario référence'!$B$17+'Scénario référence'!$B$9+'Scénario référence'!$B$10)*70+IF((45+25*(1-EXP(-0.0175*$A81)))&lt;70,'Scénario référence'!$B$16*(45+25*(1-EXP(-0.0175*$A81))),70*'Scénario référence'!$B$16)+IF((32+38*(1-EXP(-0.0175*$A81)))&lt;70,'Scénario référence'!$B$18*(32+38*(1-EXP(-0.0175*$A81))),70*'Scénario référence'!$B$18)</f>
        <v>70</v>
      </c>
      <c r="NX81" s="12">
        <f>IF($A81&gt;30,10,('Scénario référence'!$B$16+'Scénario référence'!$B$17+'Scénario référence'!$B$18+'Scénario référence'!$B$9+'Scénario référence'!$B$10)*$A81*10/30+('Scénario référence'!$F$8+'Scénario référence'!$F$9)*10)</f>
        <v>10</v>
      </c>
      <c r="NY81" s="12" t="e">
        <f>VLOOKUP($A81,'Données projet'!$A$512:$I$532,2,0)</f>
        <v>#N/A</v>
      </c>
      <c r="NZ81" s="12" t="e">
        <f>VLOOKUP($A81,'Données projet'!$A$512:$I$532,9,0)</f>
        <v>#N/A</v>
      </c>
      <c r="OA81" s="12">
        <f t="array" ref="OA81">INDEX(NZ:NZ,MIN(IF(ISNUMBER(NZ81:NZ277),ROW(NZ81:NZ277),"")))</f>
        <v>0</v>
      </c>
      <c r="OB81" s="12">
        <f>IF('Données projet'!$A$512&gt;35,OB80+OA81-OJ80,IF($A81&lt;'Données projet'!$A$512,$CQ$205^$A81,IF($A81='Données projet'!$A$512,'Données projet'!$B$512,OB80+OA81-OJ80)))</f>
        <v>0</v>
      </c>
      <c r="OC81" s="17" t="e">
        <f>OB81*VLOOKUP('Données projet'!$B$27,Paramètres!$A$1:$I$89,3,0)*VLOOKUP('Données projet'!$B$27,Paramètres!$A$1:$I$89,5,0)</f>
        <v>#N/A</v>
      </c>
      <c r="OD81" s="13" t="e">
        <f t="shared" si="218"/>
        <v>#N/A</v>
      </c>
      <c r="OE81" s="14" t="e">
        <f t="shared" si="174"/>
        <v>#N/A</v>
      </c>
      <c r="OF81" s="59" t="e">
        <f t="shared" si="175"/>
        <v>#N/A</v>
      </c>
      <c r="OG81" s="20" t="e">
        <f ca="1">AVERAGE(OFFSET($OF$3,0,0,'Données projet'!$E$27+1,1))-AVERAGE(OFFSET($H$3,0,0,'Données projet'!$E$27+1,1))</f>
        <v>#N/A</v>
      </c>
      <c r="OH81" s="59" t="e">
        <f t="shared" si="219"/>
        <v>#N/A</v>
      </c>
      <c r="OI81" s="15">
        <f>IF(ISNA(VLOOKUP($A81,'Données projet'!$A$512:$I$532,3,0)),0,VLOOKUP($A81,'Données projet'!$A$512:$I$532,3,0))</f>
        <v>0</v>
      </c>
      <c r="OJ81" s="15">
        <f>IF(ISNA(VLOOKUP($A81,'Données projet'!$A$512:$I$532,4,0)),0,VLOOKUP($A81,'Données projet'!$A$512:$I$532,4,0))</f>
        <v>0</v>
      </c>
      <c r="OK81" s="16">
        <f>IF(ISNA(VLOOKUP($A81,'Données projet'!$A$512:$I$532,5,0)),0%,VLOOKUP($A81,'Données projet'!$A$512:$I$532,5,0)*VLOOKUP('Données projet'!$B$27,Paramètres!$A$1:$I$89,7,0))</f>
        <v>0</v>
      </c>
      <c r="OL81" s="16">
        <f>IF(ISNA(VLOOKUP($A81,'Données projet'!$A$512:$I$532,6,0)),0%,VLOOKUP($A81,'Données projet'!$A$512:$I$532,6,0)*VLOOKUP('Données projet'!$B$27,Paramètres!$A$1:$I$89,7,0))</f>
        <v>0</v>
      </c>
      <c r="OM81" s="16">
        <f>IF(ISNA(VLOOKUP($A81,'Données projet'!$A$512:$I$532,7,0)),0%,VLOOKUP($A81,'Données projet'!$A$512:$I$532,7,0))</f>
        <v>0</v>
      </c>
      <c r="ON81" s="21" t="e">
        <f>EXP(-LN(2)/35)*ON80+(1-EXP(-LN(2)/35))/(LN(2)/35)*OJ81*OK81*VLOOKUP('Données projet'!$B$27,Paramètres!$A$1:$I$89,3,0)*0.475*44/12</f>
        <v>#N/A</v>
      </c>
      <c r="OO81" s="21" t="e">
        <f>EXP(-LN(2)/25)*OO80+(1-EXP(-LN(2)/25))/(LN(2)/25)*Calculateur!OJ81*Calculateur!OL81*VLOOKUP('Données projet'!$B$27,Paramètres!$A$1:$I$89,3,0)*0.475*44/12</f>
        <v>#N/A</v>
      </c>
      <c r="OP81" s="21" t="e">
        <f>EXP(-LN(2)/2)*OP80+(1-EXP(-LN(2)/2))/(LN(2)/2)*OJ81*OM81*VLOOKUP('Données projet'!$B$27,Paramètres!$A$1:$I$89,3,0)*0.475*44/12</f>
        <v>#N/A</v>
      </c>
      <c r="OQ81" s="22" t="e">
        <f t="shared" si="176"/>
        <v>#N/A</v>
      </c>
      <c r="OR81" s="74">
        <f>('Scénario référence'!$F$8+'Scénario référence'!$F$9+'Scénario référence'!$B$17+'Scénario référence'!$B$9+'Scénario référence'!$B$10)*70+IF((45+25*(1-EXP(-0.0175*$A81)))&lt;70,'Scénario référence'!$B$16*(45+25*(1-EXP(-0.0175*$A81))),70*'Scénario référence'!$B$16)+IF((32+38*(1-EXP(-0.0175*$A81)))&lt;70,'Scénario référence'!$B$18*(32+38*(1-EXP(-0.0175*$A81))),70*'Scénario référence'!$B$18)</f>
        <v>70</v>
      </c>
      <c r="OS81" s="12">
        <f>IF($A81&gt;30,10,('Scénario référence'!$B$16+'Scénario référence'!$B$17+'Scénario référence'!$B$18+'Scénario référence'!$B$9+'Scénario référence'!$B$10)*$A81*10/30+('Scénario référence'!$F$8+'Scénario référence'!$F$9)*10)</f>
        <v>10</v>
      </c>
      <c r="OT81" s="12" t="e">
        <f>VLOOKUP($A81,'Données projet'!$A$538:$I$558,2,0)</f>
        <v>#N/A</v>
      </c>
      <c r="OU81" s="12" t="e">
        <f>VLOOKUP($A81,'Données projet'!$A$538:$I$558,9,0)</f>
        <v>#N/A</v>
      </c>
      <c r="OV81" s="12">
        <f t="array" ref="OV81">INDEX(OU:OU,MIN(IF(ISNUMBER(OU81:OU277),ROW(OU81:OU277),"")))</f>
        <v>0</v>
      </c>
      <c r="OW81" s="12">
        <f>IF('Données projet'!$A$538&gt;35,OW80+OV81-PE80,IF($A81&lt;'Données projet'!$A$538,$CQ$205^$A81,IF($A81='Données projet'!$A$538,'Données projet'!$B$538,OW80+OV81-PE80)))</f>
        <v>0</v>
      </c>
      <c r="OX81" s="17" t="e">
        <f>OW81*VLOOKUP('Données projet'!$B$28,Paramètres!$A$1:$I$89,3,0)*VLOOKUP('Données projet'!$B$28,Paramètres!$A$1:$I$89,5,0)</f>
        <v>#N/A</v>
      </c>
      <c r="OY81" s="13" t="e">
        <f t="shared" si="220"/>
        <v>#N/A</v>
      </c>
      <c r="OZ81" s="14" t="e">
        <f t="shared" si="177"/>
        <v>#N/A</v>
      </c>
      <c r="PA81" s="59" t="e">
        <f t="shared" si="178"/>
        <v>#N/A</v>
      </c>
      <c r="PB81" s="20" t="e">
        <f ca="1">AVERAGE(OFFSET($PA$3,0,0,'Données projet'!$E$28+1,1))-AVERAGE(OFFSET($H$3,0,0,'Données projet'!$E$28+1,1))</f>
        <v>#N/A</v>
      </c>
      <c r="PC81" s="59" t="e">
        <f t="shared" si="221"/>
        <v>#N/A</v>
      </c>
      <c r="PD81" s="15">
        <f>IF(ISNA(VLOOKUP($A81,'Données projet'!$A$538:$I$558,3,0)),0,VLOOKUP($A81,'Données projet'!$A$538:$I$558,3,0))</f>
        <v>0</v>
      </c>
      <c r="PE81" s="15">
        <f>IF(ISNA(VLOOKUP($A81,'Données projet'!$A$538:$I$558,4,0)),0,VLOOKUP($A81,'Données projet'!$A$538:$I$558,4,0))</f>
        <v>0</v>
      </c>
      <c r="PF81" s="16">
        <f>IF(ISNA(VLOOKUP($A81,'Données projet'!$A$538:$I$558,5,0)),0%,VLOOKUP($A81,'Données projet'!$A$538:$I$558,5,0)*VLOOKUP('Données projet'!$B$28,Paramètres!$A$1:$I$89,7,0))</f>
        <v>0</v>
      </c>
      <c r="PG81" s="16">
        <f>IF(ISNA(VLOOKUP($A81,'Données projet'!$A$538:$I$558,6,0)),0%,VLOOKUP($A81,'Données projet'!$A$538:$I$558,6,0)*VLOOKUP('Données projet'!$B$28,Paramètres!$A$1:$I$89,7,0))</f>
        <v>0</v>
      </c>
      <c r="PH81" s="16">
        <f>IF(ISNA(VLOOKUP($A81,'Données projet'!$A$538:$I$558,7,0)),0%,VLOOKUP($A81,'Données projet'!$A$538:$I$558,7,0))</f>
        <v>0</v>
      </c>
      <c r="PI81" s="21" t="e">
        <f>EXP(-LN(2)/35)*PI80+(1-EXP(-LN(2)/35))/(LN(2)/35)*PE81*PF81*VLOOKUP('Données projet'!$B$28,Paramètres!$A$1:$I$89,3,0)*0.475*44/12</f>
        <v>#N/A</v>
      </c>
      <c r="PJ81" s="21" t="e">
        <f>EXP(-LN(2)/25)*PJ80+(1-EXP(-LN(2)/25))/(LN(2)/25)*Calculateur!PE81*Calculateur!PG81*VLOOKUP('Données projet'!$B$28,Paramètres!$A$1:$I$89,3,0)*0.475*44/12</f>
        <v>#N/A</v>
      </c>
      <c r="PK81" s="21" t="e">
        <f>EXP(-LN(2)/2)*PK80+(1-EXP(-LN(2)/2))/(LN(2)/2)*PE81*PH81*VLOOKUP('Données projet'!$B$28,Paramètres!$A$1:$I$89,3,0)*0.475*44/12</f>
        <v>#N/A</v>
      </c>
      <c r="PL81" s="22" t="e">
        <f t="shared" si="179"/>
        <v>#N/A</v>
      </c>
    </row>
    <row r="82" spans="1:428" x14ac:dyDescent="0.35">
      <c r="A82" s="10">
        <f t="shared" si="180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181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121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projet'!$A$45:$I$65,2,0)</f>
        <v>#N/A</v>
      </c>
      <c r="L82" s="12" t="e">
        <f>VLOOKUP(A82,'Données projet'!$A$45:$I$65,9,0)</f>
        <v>#N/A</v>
      </c>
      <c r="M82" s="12">
        <f t="array" ref="M82">INDEX(L:L,MIN(IF(ISNUMBER(L82:L278),ROW(L82:L278),"")))</f>
        <v>0</v>
      </c>
      <c r="N82" s="13">
        <f>IF('Données projet'!$A$46&gt;35,N81+M82-V81,IF(A82&lt;'Données projet'!$A$46,$K$205^A82,IF(A82='Données projet'!$A$46,'Données projet'!$B$46,N81+M82-V81)))</f>
        <v>-1.1368683772161603E-13</v>
      </c>
      <c r="O82" s="13">
        <f>N82*VLOOKUP('Données projet'!$B$9,Paramètres!$A$1:$I$89,3,0)*VLOOKUP('Données projet'!$B$9,Paramètres!$A$1:$I$89,5,0)</f>
        <v>-6.3550942286383367E-14</v>
      </c>
      <c r="P82" s="13" t="e">
        <f t="shared" si="182"/>
        <v>#NUM!</v>
      </c>
      <c r="Q82" s="20" t="e">
        <f t="shared" si="119"/>
        <v>#NUM!</v>
      </c>
      <c r="R82" s="59" t="e">
        <f t="shared" si="120"/>
        <v>#NUM!</v>
      </c>
      <c r="S82" s="59">
        <f ca="1">AVERAGE(OFFSET($R$3,0,0,'Données projet'!$E$9+1,1))-AVERAGE(OFFSET($H$3,0,0,'Données projet'!$E$9+1,1))</f>
        <v>274.57619581652199</v>
      </c>
      <c r="T82" s="59">
        <f t="shared" si="183"/>
        <v>366.15117322598775</v>
      </c>
      <c r="U82" s="15">
        <f>IF(ISNA(VLOOKUP(A82,'Données projet'!$A$45:$I$65,3,0)),0,VLOOKUP(A82,'Données projet'!$A$45:$I$65,3,0))</f>
        <v>0</v>
      </c>
      <c r="V82" s="15">
        <f>IF(ISNA(VLOOKUP(A82,'Données projet'!$A$45:$I$65,4,0)),0,VLOOKUP(A82,'Données projet'!$A$45:$I$65,4,0))</f>
        <v>0</v>
      </c>
      <c r="W82" s="16">
        <f>IF(ISNA(VLOOKUP(A82,'Données projet'!$A$45:$I$65,5,0)),0%,VLOOKUP(A82,'Données projet'!$A$45:$I$65,5,0)*VLOOKUP('Données projet'!$B$9,Paramètres!$A$1:$I$89,7,0))</f>
        <v>0</v>
      </c>
      <c r="X82" s="16">
        <f>IF(ISNA(VLOOKUP(A82,'Données projet'!$A$45:$I$65,6,0)),0%,VLOOKUP(A82,'Données projet'!$A$45:$I$65,6,0)*VLOOKUP('Données projet'!$B$9,Paramètres!$A$1:$I$89,7,0))</f>
        <v>0</v>
      </c>
      <c r="Y82" s="16">
        <f>IF(ISNA(VLOOKUP(A82,'Données projet'!$A$45:$I$65,7,0)),0%,VLOOKUP(A82,'Données projet'!$A$45:$I$65,7,0))</f>
        <v>0</v>
      </c>
      <c r="Z82" s="21">
        <f>EXP(-LN(2)/35)*Z81+(1-EXP(-LN(2)/35))/(LN(2)/35)*V82*W82*VLOOKUP('Données projet'!$B$9,Paramètres!$A$1:$I$89,3,0)*0.475*44/12</f>
        <v>140.91224198459184</v>
      </c>
      <c r="AA82" s="21">
        <f>EXP(-LN(2)/25)*AA81+(1-EXP(-LN(2)/25))/(LN(2)/25)*Calculateur!V82*Calculateur!X82*VLOOKUP('Données projet'!$B$9,Paramètres!$A$1:$I$89,3,0)*0.475*44/12</f>
        <v>29.613626364366471</v>
      </c>
      <c r="AB82" s="21">
        <f>EXP(-LN(2)/2)*AB81+(1-EXP(-LN(2)/2))/(LN(2)/2)*V82*Y82*VLOOKUP('Données projet'!$B$9,Paramètres!$A$1:$I$89,3,0)*0.475*44/12</f>
        <v>8.3401621103790218E-3</v>
      </c>
      <c r="AC82" s="22">
        <f t="shared" si="122"/>
        <v>170.5342085110687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projet'!$A$71:$I$91,2,0)</f>
        <v>#N/A</v>
      </c>
      <c r="AG82" s="12" t="e">
        <f>VLOOKUP(A82,'Données projet'!$A$71:$I$91,9,0)</f>
        <v>#N/A</v>
      </c>
      <c r="AH82" s="12">
        <f t="array" ref="AH82">INDEX(AG:AG,MIN(IF(ISNUMBER(AG82:AG278),ROW(AG82:AG278),"")))</f>
        <v>7.8425925925925934</v>
      </c>
      <c r="AI82" s="13">
        <f>IF('Données projet'!$A$72&gt;35,AI81+AH82-AQ81,IF(A82&lt;'Données projet'!$A$72,$AF$205^A82,IF(A82='Données projet'!$A$72,'Données projet'!$B$72,AI81+AH82-AQ81)))</f>
        <v>266.17022792022811</v>
      </c>
      <c r="AJ82" s="13">
        <f>AI82*VLOOKUP('Données projet'!$B$10,Paramètres!$A$1:$I$89,3,0)*VLOOKUP('Données projet'!$B$10,Paramètres!$A$1:$I$89,5,0)</f>
        <v>240.83082222222239</v>
      </c>
      <c r="AK82" s="13">
        <f t="shared" si="184"/>
        <v>58.618249962252264</v>
      </c>
      <c r="AL82" s="20">
        <f t="shared" si="123"/>
        <v>521.54046738795989</v>
      </c>
      <c r="AM82" s="59">
        <f t="shared" si="124"/>
        <v>814.87380072129326</v>
      </c>
      <c r="AN82" s="59">
        <f ca="1">AVERAGE(OFFSET($AM$3,0,0,'Données projet'!$E$10+1,1))-AVERAGE(OFFSET($H$3,0,0,'Données projet'!$E$10+1,1))</f>
        <v>270.87836509222456</v>
      </c>
      <c r="AO82" s="59">
        <f t="shared" si="185"/>
        <v>205.24998237949734</v>
      </c>
      <c r="AP82" s="15">
        <f>IF(ISNA(VLOOKUP(A82,'Données projet'!$A$71:$I$91,3,0)),0,VLOOKUP(A82,'Données projet'!$A$71:$I$91,3,0))</f>
        <v>0</v>
      </c>
      <c r="AQ82" s="15">
        <f>IF(ISNA(VLOOKUP(A82,'Données projet'!$A$71:$I$91,4,0)),0,VLOOKUP(A82,'Données projet'!$A$71:$I$91,4,0))</f>
        <v>0</v>
      </c>
      <c r="AR82" s="16">
        <f>IF(ISNA(VLOOKUP(A82,'Données projet'!$A$71:$I$91,5,0)),0%,VLOOKUP(A82,'Données projet'!$A$71:$I$91,5,0)*VLOOKUP('Données projet'!$B$10,Paramètres!$A$1:$I$89,7,0))</f>
        <v>0</v>
      </c>
      <c r="AS82" s="16">
        <f>IF(ISNA(VLOOKUP(A82,'Données projet'!$A$71:$I$91,6,0)),0%,VLOOKUP(A82,'Données projet'!$A$71:$I$91,6,0)*VLOOKUP('Données projet'!$B$10,Paramètres!$A$1:$I$89,7,0))</f>
        <v>0</v>
      </c>
      <c r="AT82" s="16">
        <f>IF(ISNA(VLOOKUP(A82,'Données projet'!$A$71:$I$91,7,0)),0%,VLOOKUP(A82,'Données projet'!$A$71:$I$91,7,0))</f>
        <v>0</v>
      </c>
      <c r="AU82" s="21">
        <f>EXP(-LN(2)/35)*AU81+(1-EXP(-LN(2)/35))/(LN(2)/35)*AQ82*AR82*VLOOKUP('Données projet'!$B$10,Paramètres!$A$1:$I$89,3,0)*0.475*44/12</f>
        <v>19.412225951523265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125"/>
        <v>19.412225951523265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projet'!$A$97:$I$117,2,0)</f>
        <v>#N/A</v>
      </c>
      <c r="BB82" s="12" t="e">
        <f>VLOOKUP(A82,'Données projet'!$A$97:$I$117,9,0)</f>
        <v>#N/A</v>
      </c>
      <c r="BC82" s="12">
        <f t="array" ref="BC82">INDEX(BB:BB,MIN(IF(ISNUMBER(BB82:BB278),ROW(BB82:BB278),"")))</f>
        <v>0</v>
      </c>
      <c r="BD82" s="12">
        <f>IF('Données projet'!$A$98&gt;35,BD81+BC82-BL81,IF(A82&lt;'Données projet'!$A$98,$BA$205^A82,IF(A82='Données projet'!$A$98,'Données projet'!$B$98,BD81+BC82-BL81)))</f>
        <v>-1.1368683772161603E-13</v>
      </c>
      <c r="BE82" s="13">
        <f>BD82*VLOOKUP('Données projet'!$B$11,Paramètres!$A$1:$I$89,3,0)*VLOOKUP('Données projet'!$B$11,Paramètres!$A$1:$I$89,5,0)</f>
        <v>-5.0249582272954292E-14</v>
      </c>
      <c r="BF82" s="13" t="e">
        <f t="shared" si="186"/>
        <v>#NUM!</v>
      </c>
      <c r="BG82" s="20" t="e">
        <f t="shared" si="126"/>
        <v>#NUM!</v>
      </c>
      <c r="BH82" s="59" t="e">
        <f t="shared" si="127"/>
        <v>#NUM!</v>
      </c>
      <c r="BI82" s="59">
        <f ca="1">AVERAGE(OFFSET($BH$3,0,0,'Données projet'!$E$11+1,1))-AVERAGE(OFFSET($H$3,0,0,'Données projet'!$E$11+1,1))</f>
        <v>211.31057120485542</v>
      </c>
      <c r="BJ82" s="59">
        <f t="shared" si="187"/>
        <v>283.33292006714777</v>
      </c>
      <c r="BK82" s="15">
        <f>IF(ISNA(VLOOKUP(A82,'Données projet'!$A$97:$I$117,3,0)),0,VLOOKUP(A82,'Données projet'!$A$97:$I$117,3,0))</f>
        <v>0</v>
      </c>
      <c r="BL82" s="15">
        <f>IF(ISNA(VLOOKUP(A82,'Données projet'!$A$97:$I$117,4,0)),0,VLOOKUP(A82,'Données projet'!$A$97:$I$117,4,0))</f>
        <v>0</v>
      </c>
      <c r="BM82" s="16">
        <f>IF(ISNA(VLOOKUP(A82,'Données projet'!$A$97:$I$117,5,0)),0%,VLOOKUP(A82,'Données projet'!$A$97:$I$117,5,0)*VLOOKUP('Données projet'!$B$11,Paramètres!$A$1:$I$89,7,0))</f>
        <v>0</v>
      </c>
      <c r="BN82" s="16">
        <f>IF(ISNA(VLOOKUP(A82,'Données projet'!$A$97:$I$117,6,0)),0%,VLOOKUP(A82,'Données projet'!$A$97:$I$117,6,0)*VLOOKUP('Données projet'!$B$11,Paramètres!$A$1:$I$89,7,0))</f>
        <v>0</v>
      </c>
      <c r="BO82" s="16">
        <f>IF(ISNA(VLOOKUP(A82,'Données projet'!$A$97:$I$117,7,0)),0%,VLOOKUP(A82,'Données projet'!$A$97:$I$117,7,0))</f>
        <v>0</v>
      </c>
      <c r="BP82" s="21">
        <f>EXP(-LN(2)/35)*BP81+(1-EXP(-LN(2)/35))/(LN(2)/35)*BL82*BM82*VLOOKUP('Données projet'!$B$11,Paramètres!$A$1:$I$89,3,0)*0.475*44/12</f>
        <v>111.41898203432844</v>
      </c>
      <c r="BQ82" s="21">
        <f>EXP(-LN(2)/25)*BQ81+(1-EXP(-LN(2)/25))/(LN(2)/25)*Calculateur!BL82*Calculateur!BN82*VLOOKUP('Données projet'!$B$11,Paramètres!$A$1:$I$89,3,0)*0.475*44/12</f>
        <v>23.415425497406044</v>
      </c>
      <c r="BR82" s="21">
        <f>EXP(-LN(2)/2)*BR81+(1-EXP(-LN(2)/2))/(LN(2)/2)*BL82*BO82*VLOOKUP('Données projet'!$B$11,Paramètres!$A$1:$I$89,3,0)*0.475*44/12</f>
        <v>6.5945467849508532E-3</v>
      </c>
      <c r="BS82" s="22">
        <f t="shared" si="128"/>
        <v>134.84100207851944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projet'!$A$123:$I$143,2,0)</f>
        <v>#N/A</v>
      </c>
      <c r="BW82" s="12" t="e">
        <f>VLOOKUP(A82,'Données projet'!$A$123:$I$143,9,0)</f>
        <v>#N/A</v>
      </c>
      <c r="BX82" s="12">
        <f t="array" ref="BX82">INDEX(BW:BW,MIN(IF(ISNUMBER(BW82:BW278),ROW(BW82:BW278),"")))</f>
        <v>4</v>
      </c>
      <c r="BY82" s="12">
        <f>IF('Données projet'!$A$124&gt;35,BY81+BX82-CG81,IF(A82&lt;'Données projet'!$A$124,$BV$205^A82,IF(A82='Données projet'!$A$124,'Données projet'!$B$124,BY81+BX82-CG81)))</f>
        <v>241.00000000000003</v>
      </c>
      <c r="BZ82" s="13">
        <f>BY82*VLOOKUP('Données projet'!$B$12,Paramètres!$A$1:$I$89,3,0)*VLOOKUP('Données projet'!$B$12,Paramètres!$A$1:$I$89,5,0)</f>
        <v>251.89320000000006</v>
      </c>
      <c r="CA82" s="13">
        <f t="shared" si="188"/>
        <v>60.991162965075887</v>
      </c>
      <c r="CB82" s="20">
        <f t="shared" si="129"/>
        <v>544.94026549750731</v>
      </c>
      <c r="CC82" s="59">
        <f t="shared" si="130"/>
        <v>838.27359883084068</v>
      </c>
      <c r="CD82" s="59">
        <f ca="1">AVERAGE(OFFSET($CC$3,0,0,'Données projet'!$E$12+1,1))-AVERAGE(OFFSET($H$3,0,0,'Données projet'!$E$12+1,1))</f>
        <v>322.93502595881938</v>
      </c>
      <c r="CE82" s="59">
        <f t="shared" si="189"/>
        <v>302.67072119588164</v>
      </c>
      <c r="CF82" s="15">
        <f>IF(ISNA(VLOOKUP(A82,'Données projet'!$A$123:$I$143,3,0)),0,VLOOKUP(A82,'Données projet'!$A$123:$I$143,3,0))</f>
        <v>0</v>
      </c>
      <c r="CG82" s="15">
        <f>IF(ISNA(VLOOKUP(A82,'Données projet'!$A$123:$I$143,4,0)),0,VLOOKUP(A82,'Données projet'!$A$123:$I$143,4,0))</f>
        <v>0</v>
      </c>
      <c r="CH82" s="16">
        <f>IF(ISNA(VLOOKUP(A82,'Données projet'!$A$123:$I$143,5,0)),0%,VLOOKUP(A82,'Données projet'!$A$123:$I$143,5,0)*VLOOKUP('Données projet'!$B$12,Paramètres!$A$1:$I$89,7,0))</f>
        <v>0</v>
      </c>
      <c r="CI82" s="16">
        <f>IF(ISNA(VLOOKUP(A82,'Données projet'!$A$123:$I$143,6,0)),0%,VLOOKUP(A82,'Données projet'!$A$123:$I$143,6,0)*VLOOKUP('Données projet'!$B$12,Paramètres!$A$1:$I$89,7,0))</f>
        <v>0</v>
      </c>
      <c r="CJ82" s="16">
        <f>IF(ISNA(VLOOKUP(A82,'Données projet'!$A$123:$I$143,7,0)),0%,VLOOKUP(A82,'Données projet'!$A$123:$I$143,7,0))</f>
        <v>0</v>
      </c>
      <c r="CK82" s="21">
        <f>EXP(-LN(2)/35)*CK81+(1-EXP(-LN(2)/35))/(LN(2)/35)*CG82*CH82*VLOOKUP('Données projet'!$B$12,Paramètres!$A$1:$I$89,3,0)*0.475*44/12</f>
        <v>23.656801423511233</v>
      </c>
      <c r="CL82" s="21">
        <f>EXP(-LN(2)/25)*CL81+(1-EXP(-LN(2)/25))/(LN(2)/25)*Calculateur!CG82*Calculateur!CI82*VLOOKUP('Données projet'!$B$12,Paramètres!$A$1:$I$89,3,0)*0.475*44/12</f>
        <v>20.752469220037668</v>
      </c>
      <c r="CM82" s="21">
        <f>EXP(-LN(2)/2)*CM81+(1-EXP(-LN(2)/2))/(LN(2)/2)*CG82*CJ82*VLOOKUP('Données projet'!$B$12,Paramètres!$A$1:$I$89,3,0)*0.475*44/12</f>
        <v>0</v>
      </c>
      <c r="CN82" s="22">
        <f t="shared" si="131"/>
        <v>44.409270643548901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projet'!$A$149:$I$169,2,0)</f>
        <v>#N/A</v>
      </c>
      <c r="CR82" s="12" t="e">
        <f>VLOOKUP(A82,'Données projet'!$A$149:$I$169,9,0)</f>
        <v>#N/A</v>
      </c>
      <c r="CS82" s="12">
        <f t="array" ref="CS82">INDEX(CR:CR,MIN(IF(ISNUMBER(CR82:CR278),ROW(CR82:CR278),"")))</f>
        <v>5.5042735042735051</v>
      </c>
      <c r="CT82" s="12">
        <f>IF('Données projet'!$A$150&gt;35,CT81+CS82-DB81,IF(A82&lt;'Données projet'!$A$150,$CQ$205^A82,IF(A82='Données projet'!$A$150,'Données projet'!$B$150,CT81+CS82-DB81)))</f>
        <v>172.48504273504267</v>
      </c>
      <c r="CU82" s="17">
        <f>CT82*VLOOKUP('Données projet'!$B$13,Paramètres!$A$1:$I$89,3,0)*VLOOKUP('Données projet'!$B$13,Paramètres!$A$1:$I$89,5,0)</f>
        <v>174.89983333333328</v>
      </c>
      <c r="CV82" s="13">
        <f t="shared" si="190"/>
        <v>44.185601847169707</v>
      </c>
      <c r="CW82" s="20">
        <f t="shared" si="132"/>
        <v>381.57379960604271</v>
      </c>
      <c r="CX82" s="59">
        <f t="shared" si="133"/>
        <v>674.90713293937597</v>
      </c>
      <c r="CY82" s="59">
        <f ca="1">AVERAGE(OFFSET($CX$3,0,0,'Données projet'!$E$13+1,1))-AVERAGE(OFFSET($H$3,0,0,'Données projet'!$E$13+1,1))</f>
        <v>250.31277422753283</v>
      </c>
      <c r="CZ82" s="59">
        <f t="shared" si="191"/>
        <v>159.20429420478047</v>
      </c>
      <c r="DA82" s="15">
        <f>IF(ISNA(VLOOKUP(A82,'Données projet'!$A$149:$I$169,3,0)),0,VLOOKUP(A82,'Données projet'!$A$149:$I$169,3,0))</f>
        <v>0</v>
      </c>
      <c r="DB82" s="15">
        <f>IF(ISNA(VLOOKUP(A82,'Données projet'!$A$149:$I$169,4,0)),0,VLOOKUP(A82,'Données projet'!$A$149:$I$169,4,0))</f>
        <v>0</v>
      </c>
      <c r="DC82" s="16">
        <f>IF(ISNA(VLOOKUP(A82,'Données projet'!$A$149:$I$169,5,0)),0%,VLOOKUP(A82,'Données projet'!$A$149:$I$169,5,0)*VLOOKUP('Données projet'!$B$13,Paramètres!$A$1:$I$89,7,0))</f>
        <v>0</v>
      </c>
      <c r="DD82" s="16">
        <f>IF(ISNA(VLOOKUP(A82,'Données projet'!$A$149:$I$169,6,0)),0%,VLOOKUP(A82,'Données projet'!$A$149:$I$169,6,0)*VLOOKUP('Données projet'!$B$13,Paramètres!$A$1:$I$89,7,0))</f>
        <v>0</v>
      </c>
      <c r="DE82" s="16">
        <f>IF(ISNA(VLOOKUP(A82,'Données projet'!$A$149:$I$169,7,0)),0%,VLOOKUP(A82,'Données projet'!$A$149:$I$169,7,0))</f>
        <v>0</v>
      </c>
      <c r="DF82" s="21">
        <f>EXP(-LN(2)/35)*DF81+(1-EXP(-LN(2)/35))/(LN(2)/35)*DB82*DC82*VLOOKUP('Données projet'!$B$13,Paramètres!$A$1:$I$89,3,0)*0.475*44/12</f>
        <v>9.636976422899437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134"/>
        <v>9.636976422899437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projet'!$A$175:$I$195,2,0)</f>
        <v>#N/A</v>
      </c>
      <c r="DM82" s="12" t="e">
        <f>VLOOKUP(A82,'Données projet'!$A$175:$I$195,9,0)</f>
        <v>#N/A</v>
      </c>
      <c r="DN82" s="12">
        <f t="array" ref="DN82">INDEX(DM:DM,MIN(IF(ISNUMBER(DM82:DM278),ROW(DM82:DM278),"")))</f>
        <v>4</v>
      </c>
      <c r="DO82" s="12">
        <f>IF('Données projet'!$A$176&gt;35,DO81+DN82-DW81,IF(A82&lt;'Données projet'!$A$176,$DL$205^A82,IF(A82='Données projet'!$A$176,'Données projet'!$B$176,DO81+DN82-DW81)))</f>
        <v>376.99999999999972</v>
      </c>
      <c r="DP82" s="17">
        <f>DO82*VLOOKUP('Données projet'!$B$14,Paramètres!$A$1:$I$89,3,0)*VLOOKUP('Données projet'!$B$14,Paramètres!$A$1:$I$89,5,0)</f>
        <v>276.41639999999978</v>
      </c>
      <c r="DQ82" s="13">
        <f t="shared" si="192"/>
        <v>66.209124371313351</v>
      </c>
      <c r="DR82" s="20">
        <f t="shared" si="135"/>
        <v>596.73945494670363</v>
      </c>
      <c r="DS82" s="59">
        <f t="shared" si="136"/>
        <v>890.072788280037</v>
      </c>
      <c r="DT82" s="59">
        <f ca="1">AVERAGE(OFFSET($DS$3,0,0,'Données projet'!$E$14+1,1))-AVERAGE(OFFSET($H$3,0,0,'Données projet'!$E$14+1,1))</f>
        <v>296.91321813251051</v>
      </c>
      <c r="DU82" s="59">
        <f t="shared" si="193"/>
        <v>291.0718079639509</v>
      </c>
      <c r="DV82" s="15">
        <f>IF(ISNA(VLOOKUP(A82,'Données projet'!$A$175:$I$195,3,0)),0,VLOOKUP(A82,'Données projet'!$A$175:$I$195,3,0))</f>
        <v>0</v>
      </c>
      <c r="DW82" s="15">
        <f>IF(ISNA(VLOOKUP(A82,'Données projet'!$A$175:$I$195,4,0)),0,VLOOKUP(A82,'Données projet'!$A$175:$I$195,4,0))</f>
        <v>0</v>
      </c>
      <c r="DX82" s="16">
        <f>IF(ISNA(VLOOKUP(A82,'Données projet'!$A$175:$I$195,5,0)),0%,VLOOKUP(A82,'Données projet'!$A$175:$I$195,5,0)*VLOOKUP('Données projet'!$B$14,Paramètres!$A$1:$I$89,7,0))</f>
        <v>0</v>
      </c>
      <c r="DY82" s="16">
        <f>IF(ISNA(VLOOKUP(A82,'Données projet'!$A$175:$I$195,6,0)),0%,VLOOKUP(A82,'Données projet'!$A$175:$I$195,6,0)*VLOOKUP('Données projet'!$B$14,Paramètres!$A$1:$I$89,7,0))</f>
        <v>0</v>
      </c>
      <c r="DZ82" s="16">
        <f>IF(ISNA(VLOOKUP(A82,'Données projet'!$A$175:$I$195,7,0)),0%,VLOOKUP(A82,'Données projet'!$A$175:$I$195,7,0))</f>
        <v>0</v>
      </c>
      <c r="EA82" s="21">
        <f>EXP(-LN(2)/35)*EA81+(1-EXP(-LN(2)/35))/(LN(2)/35)*DW82*DX82*VLOOKUP('Données projet'!$B$14,Paramètres!$A$1:$I$89,3,0)*0.475*44/12</f>
        <v>41.482544593301427</v>
      </c>
      <c r="EB82" s="21">
        <f>EXP(-LN(2)/25)*EB81+(1-EXP(-LN(2)/25))/(LN(2)/25)*Calculateur!DW82*Calculateur!DY82*VLOOKUP('Données projet'!$B$14,Paramètres!$A$1:$I$89,3,0)*0.475*44/12</f>
        <v>5.5054195980401017</v>
      </c>
      <c r="EC82" s="21">
        <f>EXP(-LN(2)/2)*EC81+(1-EXP(-LN(2)/2))/(LN(2)/2)*DW82*DZ82*VLOOKUP('Données projet'!$B$14,Paramètres!$A$1:$I$89,3,0)*0.475*44/12</f>
        <v>0</v>
      </c>
      <c r="ED82" s="22">
        <f t="shared" si="137"/>
        <v>46.987964191341526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projet'!$A$201:$I$221,2,0)</f>
        <v>#N/A</v>
      </c>
      <c r="EH82" s="12" t="e">
        <f>VLOOKUP(A82,'Données projet'!$A$201:$I$221,9,0)</f>
        <v>#N/A</v>
      </c>
      <c r="EI82" s="12">
        <f t="array" ref="EI82">INDEX(EH:EH,MIN(IF(ISNUMBER(EH82:EH278),ROW(EH82:EH278),"")))</f>
        <v>9.001923076923072</v>
      </c>
      <c r="EJ82" s="12">
        <f>IF('Données projet'!$A$202&gt;35,EJ81+EI82-ER81,IF(A82&lt;'Données projet'!$A$202,$EG$205^A82,IF(A82='Données projet'!$A$202,'Données projet'!$B$202,EJ81+EI82-ER81)))</f>
        <v>311.12307692307729</v>
      </c>
      <c r="EK82" s="17">
        <f>EJ82*VLOOKUP('Données projet'!$B$15,Paramètres!$A$1:$I$89,3,0)*VLOOKUP('Données projet'!$B$15,Paramètres!$A$1:$I$89,5,0)</f>
        <v>145.60560000000018</v>
      </c>
      <c r="EL82" s="13">
        <f t="shared" si="194"/>
        <v>37.578220882267132</v>
      </c>
      <c r="EM82" s="20">
        <f t="shared" si="138"/>
        <v>319.04515470328221</v>
      </c>
      <c r="EN82" s="59">
        <f t="shared" si="139"/>
        <v>612.37848803661552</v>
      </c>
      <c r="EO82" s="59">
        <f ca="1">AVERAGE(OFFSET($EN$3,0,0,'Données projet'!$E$15+1,1))-AVERAGE(OFFSET($H$3,0,0,'Données projet'!$E$15+1,1))</f>
        <v>147.64256291235483</v>
      </c>
      <c r="EP82" s="59">
        <f t="shared" si="195"/>
        <v>70.859031694091868</v>
      </c>
      <c r="EQ82" s="15">
        <f>IF(ISNA(VLOOKUP(A82,'Données projet'!$A$201:$I$221,3,0)),0,VLOOKUP(A82,'Données projet'!$A$201:$I$221,3,0))</f>
        <v>0</v>
      </c>
      <c r="ER82" s="15">
        <f>IF(ISNA(VLOOKUP(A82,'Données projet'!$A$201:$I$221,4,0)),0,VLOOKUP(A82,'Données projet'!$A$201:$I$221,4,0))</f>
        <v>0</v>
      </c>
      <c r="ES82" s="16">
        <f>IF(ISNA(VLOOKUP(A82,'Données projet'!$A$201:$I$221,5,0)),0%,VLOOKUP(A82,'Données projet'!$A$201:$I$221,5,0)*VLOOKUP('Données projet'!$B$15,Paramètres!$A$1:$I$89,7,0))</f>
        <v>0</v>
      </c>
      <c r="ET82" s="16">
        <f>IF(ISNA(VLOOKUP(A82,'Données projet'!$A$201:$I$221,6,0)),0%,VLOOKUP(A82,'Données projet'!$A$201:$I$221,6,0)*VLOOKUP('Données projet'!$B$15,Paramètres!$A$1:$I$89,7,0))</f>
        <v>0</v>
      </c>
      <c r="EU82" s="16">
        <f>IF(ISNA(VLOOKUP(A82,'Données projet'!$A$201:$I$221,7,0)),0%,VLOOKUP(A82,'Données projet'!$A$201:$I$221,7,0))</f>
        <v>0</v>
      </c>
      <c r="EV82" s="21">
        <f>EXP(-LN(2)/35)*EV81+(1-EXP(-LN(2)/35))/(LN(2)/35)*ER82*ES82*VLOOKUP('Données projet'!$B$15,Paramètres!$A$1:$I$89,3,0)*0.475*44/12</f>
        <v>37.667740223087243</v>
      </c>
      <c r="EW82" s="21">
        <f>EXP(-LN(2)/25)*EW81+(1-EXP(-LN(2)/25))/(LN(2)/25)*Calculateur!ER82*Calculateur!ET82*VLOOKUP('Données projet'!$B$15,Paramètres!$A$1:$I$89,3,0)*0.475*44/12</f>
        <v>17.118652579320965</v>
      </c>
      <c r="EX82" s="21">
        <f>EXP(-LN(2)/2)*EX81+(1-EXP(-LN(2)/2))/(LN(2)/2)*ER82*EU82*VLOOKUP('Données projet'!$B$15,Paramètres!$A$1:$I$89,3,0)*0.475*44/12</f>
        <v>1.5236070411553653</v>
      </c>
      <c r="EY82" s="22">
        <f t="shared" si="140"/>
        <v>56.309999843563574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projet'!$A$227:$I$247,2,0)</f>
        <v>#N/A</v>
      </c>
      <c r="FC82" s="12" t="e">
        <f>VLOOKUP(A82,'Données projet'!$A$227:$I$247,9,0)</f>
        <v>#N/A</v>
      </c>
      <c r="FD82" s="12">
        <f t="array" ref="FD82">INDEX(FC:FC,MIN(IF(ISNUMBER(FC82:FC278),ROW(FC82:FC278),"")))</f>
        <v>3.2</v>
      </c>
      <c r="FE82" s="12">
        <f>IF('Données projet'!$A$228&gt;35,FE81+FD82-FM81,IF(A82&lt;'Données projet'!$A$228,$FB$205^A82,IF(A82='Données projet'!$A$228,'Données projet'!$B$228,FE81+FD82-FM81)))</f>
        <v>204.79999999999993</v>
      </c>
      <c r="FF82" s="17">
        <f>FE82*VLOOKUP('Données projet'!$B$16,Paramètres!$A$1:$I$89,3,0)*VLOOKUP('Données projet'!$B$16,Paramètres!$A$1:$I$89,5,0)</f>
        <v>214.05695999999992</v>
      </c>
      <c r="FG82" s="13">
        <f t="shared" si="196"/>
        <v>52.821143827018673</v>
      </c>
      <c r="FH82" s="20">
        <f t="shared" si="141"/>
        <v>464.81269749872399</v>
      </c>
      <c r="FI82" s="59">
        <f t="shared" si="142"/>
        <v>758.14603083205725</v>
      </c>
      <c r="FJ82" s="59">
        <f ca="1">AVERAGE(OFFSET($FI$3,0,0,'Données projet'!$E$16+1,1))-AVERAGE(OFFSET($H$3,0,0,'Données projet'!$E$16+1,1))</f>
        <v>259.03906550253788</v>
      </c>
      <c r="FK82" s="59">
        <f t="shared" si="197"/>
        <v>235.54542903570831</v>
      </c>
      <c r="FL82" s="15">
        <f>IF(ISNA(VLOOKUP(A82,'Données projet'!$A$227:$I$247,3,0)),0,VLOOKUP(A82,'Données projet'!$A$227:$I$247,3,0))</f>
        <v>0</v>
      </c>
      <c r="FM82" s="15">
        <f>IF(ISNA(VLOOKUP(A82,'Données projet'!$A$227:$I$247,4,0)),0,VLOOKUP(A82,'Données projet'!$A$227:$I$247,4,0))</f>
        <v>0</v>
      </c>
      <c r="FN82" s="16">
        <f>IF(ISNA(VLOOKUP(A82,'Données projet'!$A$227:$I$247,5,0)),0%,VLOOKUP(A82,'Données projet'!$A$227:$I$247,5,0)*VLOOKUP('Données projet'!$B$16,Paramètres!$A$1:$I$89,7,0))</f>
        <v>0</v>
      </c>
      <c r="FO82" s="16">
        <f>IF(ISNA(VLOOKUP(A82,'Données projet'!$A$227:$I$247,6,0)),0%,VLOOKUP(A82,'Données projet'!$A$227:$I$247,6,0)*VLOOKUP('Données projet'!$B$16,Paramètres!$A$1:$I$89,7,0))</f>
        <v>0</v>
      </c>
      <c r="FP82" s="16">
        <f>IF(ISNA(VLOOKUP(A82,'Données projet'!$A$227:$I$247,7,0)),0%,VLOOKUP(A82,'Données projet'!$A$227:$I$247,7,0))</f>
        <v>0</v>
      </c>
      <c r="FQ82" s="21">
        <f>EXP(-LN(2)/35)*FQ81+(1-EXP(-LN(2)/35))/(LN(2)/35)*FM82*FN82*VLOOKUP('Données projet'!$B$16,Paramètres!$A$1:$I$89,3,0)*0.475*44/12</f>
        <v>11.07348669424398</v>
      </c>
      <c r="FR82" s="21">
        <f>EXP(-LN(2)/25)*FR81+(1-EXP(-LN(2)/25))/(LN(2)/25)*Calculateur!FM82*Calculateur!FO82*VLOOKUP('Données projet'!$B$16,Paramètres!$A$1:$I$89,3,0)*0.475*44/12</f>
        <v>15.402791686491721</v>
      </c>
      <c r="FS82" s="21">
        <f>EXP(-LN(2)/2)*FS81+(1-EXP(-LN(2)/2))/(LN(2)/2)*FM82*FP82*VLOOKUP('Données projet'!$B$16,Paramètres!$A$1:$I$89,3,0)*0.475*44/12</f>
        <v>0</v>
      </c>
      <c r="FT82" s="22">
        <f t="shared" si="143"/>
        <v>26.4762783807357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projet'!$A$253:$I$273,2,0)</f>
        <v>#N/A</v>
      </c>
      <c r="FX82" s="12" t="e">
        <f>VLOOKUP(A82,'Données projet'!$A$253:$I$273,9,0)</f>
        <v>#N/A</v>
      </c>
      <c r="FY82" s="12">
        <f t="array" ref="FY82">INDEX(FX:FX,MIN(IF(ISNUMBER(FX82:FX278),ROW(FX82:FX278),"")))</f>
        <v>2.8</v>
      </c>
      <c r="FZ82" s="12">
        <f>IF('Données projet'!$A$254&gt;35,FZ81+FY82-GH81,IF(A82&lt;'Données projet'!$A$254,$FW$205^A82,IF(A82='Données projet'!$A$254,'Données projet'!$B$254,FZ81+FY82-GH81)))</f>
        <v>272.19999999999982</v>
      </c>
      <c r="GA82" s="17">
        <f>FZ82*VLOOKUP('Données projet'!$B$17,Paramètres!$A$1:$I$89,3,0)*VLOOKUP('Données projet'!$B$17,Paramètres!$A$1:$I$89,5,0)</f>
        <v>237.79391999999984</v>
      </c>
      <c r="GB82" s="13">
        <f t="shared" si="198"/>
        <v>57.96462682570845</v>
      </c>
      <c r="GC82" s="20">
        <f t="shared" si="144"/>
        <v>515.11280238810866</v>
      </c>
      <c r="GD82" s="59">
        <f t="shared" si="145"/>
        <v>808.44613572144203</v>
      </c>
      <c r="GE82" s="59">
        <f ca="1">AVERAGE(OFFSET($GD$3,0,0,'Données projet'!$E$17+1,1))-AVERAGE(OFFSET($H$3,0,0,'Données projet'!$E$17+1,1))</f>
        <v>245.1983232777614</v>
      </c>
      <c r="GF82" s="59">
        <f t="shared" si="199"/>
        <v>242.34010522344573</v>
      </c>
      <c r="GG82" s="15">
        <f>IF(ISNA(VLOOKUP(A82,'Données projet'!$A$253:$I$273,3,0)),0,VLOOKUP(A82,'Données projet'!$A$253:$I$273,3,0))</f>
        <v>0</v>
      </c>
      <c r="GH82" s="15">
        <f>IF(ISNA(VLOOKUP(A82,'Données projet'!$A$253:$I$273,4,0)),0,VLOOKUP(A82,'Données projet'!$A$253:$I$273,4,0))</f>
        <v>0</v>
      </c>
      <c r="GI82" s="16">
        <f>IF(ISNA(VLOOKUP(A82,'Données projet'!$A$253:$I$273,5,0)),0%,VLOOKUP(A82,'Données projet'!$A$253:$I$273,5,0)*VLOOKUP('Données projet'!$B$17,Paramètres!$A$1:$I$89,7,0))</f>
        <v>0</v>
      </c>
      <c r="GJ82" s="16">
        <f>IF(ISNA(VLOOKUP(A82,'Données projet'!$A$253:$I$273,6,0)),0%,VLOOKUP(A82,'Données projet'!$A$253:$I$273,6,0)*VLOOKUP('Données projet'!$B$17,Paramètres!$A$1:$I$89,7,0))</f>
        <v>0</v>
      </c>
      <c r="GK82" s="16">
        <f>IF(ISNA(VLOOKUP(A82,'Données projet'!$A$253:$I$273,7,0)),0%,VLOOKUP(A82,'Données projet'!$A$253:$I$273,7,0))</f>
        <v>0</v>
      </c>
      <c r="GL82" s="21">
        <f>EXP(-LN(2)/35)*GL81+(1-EXP(-LN(2)/35))/(LN(2)/35)*GH82*GI82*VLOOKUP('Données projet'!$B$17,Paramètres!$A$1:$I$89,3,0)*0.475*44/12</f>
        <v>23.180158834567958</v>
      </c>
      <c r="GM82" s="21">
        <f>EXP(-LN(2)/25)*GM81+(1-EXP(-LN(2)/25))/(LN(2)/25)*Calculateur!GH82*Calculateur!GJ82*VLOOKUP('Données projet'!$B$17,Paramètres!$A$1:$I$89,3,0)*0.475*44/12</f>
        <v>7.1862489422035267</v>
      </c>
      <c r="GN82" s="21">
        <f>EXP(-LN(2)/2)*GN81+(1-EXP(-LN(2)/2))/(LN(2)/2)*GH82*GK82*VLOOKUP('Données projet'!$B$17,Paramètres!$A$1:$I$89,3,0)*0.475*44/12</f>
        <v>0</v>
      </c>
      <c r="GO82" s="21">
        <f t="shared" si="146"/>
        <v>30.366407776771485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projet'!$A$279:$I$299,2,0)</f>
        <v>#N/A</v>
      </c>
      <c r="GS82" s="12" t="e">
        <f>VLOOKUP(A82,'Données projet'!$A$279:$I$299,9,0)</f>
        <v>#N/A</v>
      </c>
      <c r="GT82" s="12">
        <f t="array" ref="GT82">INDEX(GS:GS,MIN(IF(ISNUMBER(GS82:GS278),ROW(GS82:GS278),"")))</f>
        <v>8.8000000000000007</v>
      </c>
      <c r="GU82" s="12">
        <f>IF('Données projet'!$A$280&gt;35,GU81+GT82-HC81,IF(A82&lt;'Données projet'!$A$280,$GR$205^A82,IF(A82='Données projet'!$A$280,'Données projet'!$B$280,GU81+GT82-HC81)))</f>
        <v>831.19999999999993</v>
      </c>
      <c r="GV82" s="17">
        <f>GU82*VLOOKUP('Données projet'!$B$18,Paramètres!$A$1:$I$89,3,0)*VLOOKUP('Données projet'!$B$18,Paramètres!$A$1:$I$89,5,0)</f>
        <v>334.97359999999998</v>
      </c>
      <c r="GW82" s="13">
        <f t="shared" si="200"/>
        <v>78.460561888602854</v>
      </c>
      <c r="GX82" s="20">
        <f t="shared" si="147"/>
        <v>720.06449862264981</v>
      </c>
      <c r="GY82" s="59">
        <f t="shared" si="148"/>
        <v>1013.3978319559831</v>
      </c>
      <c r="GZ82" s="59">
        <f ca="1">AVERAGE(OFFSET($GY$3,0,0,'Données projet'!$E$18+1,1))-AVERAGE(OFFSET($H$3,0,0,'Données projet'!$E$18+1,1))</f>
        <v>324.36162935850876</v>
      </c>
      <c r="HA82" s="59">
        <f t="shared" si="201"/>
        <v>265.23571072429735</v>
      </c>
      <c r="HB82" s="15">
        <f>IF(ISNA(VLOOKUP(A82,'Données projet'!$A$279:$I$299,3,0)),0,VLOOKUP(A82,'Données projet'!$A$279:$I$299,3,0))</f>
        <v>0</v>
      </c>
      <c r="HC82" s="15">
        <f>IF(ISNA(VLOOKUP(A82,'Données projet'!$A$279:$I$299,4,0)),0,VLOOKUP(A82,'Données projet'!$A$279:$I$299,4,0))</f>
        <v>0</v>
      </c>
      <c r="HD82" s="16">
        <f>IF(ISNA(VLOOKUP(A82,'Données projet'!$A$279:$I$299,5,0)),0%,VLOOKUP(A82,'Données projet'!$A$279:$I$299,5,0)*VLOOKUP('Données projet'!$B$18,Paramètres!$A$1:$I$89,7,0))</f>
        <v>0</v>
      </c>
      <c r="HE82" s="16">
        <f>IF(ISNA(VLOOKUP(A82,'Données projet'!$A$279:$I$299,6,0)),0%,VLOOKUP(A82,'Données projet'!$A$279:$I$299,6,0)*VLOOKUP('Données projet'!$B$18,Paramètres!$A$1:$I$89,7,0))</f>
        <v>0</v>
      </c>
      <c r="HF82" s="16">
        <f>IF(ISNA(VLOOKUP($A82,'Données projet'!$A$279:$I$299,7,0)),0%,VLOOKUP($A82,'Données projet'!$A$279:$I$299,7,0))</f>
        <v>0</v>
      </c>
      <c r="HG82" s="21">
        <f>EXP(-LN(2)/35)*HG81+(1-EXP(-LN(2)/35))/(LN(2)/35)*HC82*HD82*VLOOKUP('Données projet'!$B$18,Paramètres!$A$1:$I$89,3,0)*0.475*44/12</f>
        <v>16.909438363584574</v>
      </c>
      <c r="HH82" s="21">
        <f>EXP(-LN(2)/25)*HH81+(1-EXP(-LN(2)/25))/(LN(2)/25)*Calculateur!HC82*Calculateur!HE82*VLOOKUP('Données projet'!$B$18,Paramètres!$A$1:$I$89,3,0)*0.475*44/12</f>
        <v>8.0388462202727684</v>
      </c>
      <c r="HI82" s="21">
        <f>EXP(-LN(2)/2)*HI81+(1-EXP(-LN(2)/2))/(LN(2)/2)*HC82*HF82*VLOOKUP('Données projet'!$B$18,Paramètres!$A$1:$I$89,3,0)*0.475*44/12</f>
        <v>4.2148578753768103E-2</v>
      </c>
      <c r="HJ82" s="22">
        <f t="shared" si="149"/>
        <v>24.990433162611112</v>
      </c>
      <c r="HK82" s="74">
        <f>('Scénario référence'!$F$8+'Scénario référence'!$F$9+'Scénario référence'!$B$17+'Scénario référence'!$B$9+'Scénario référence'!$B$10)*70+IF((45+25*(1-EXP(-0.0175*$A82)))&lt;70,'Scénario référence'!$B$16*(45+25*(1-EXP(-0.0175*$A82))),70*'Scénario référence'!$B$16)+IF((32+38*(1-EXP(-0.0175*$A82)))&lt;70,'Scénario référence'!$B$18*(32+38*(1-EXP(-0.0175*$A82))),70*'Scénario référence'!$B$18)</f>
        <v>70</v>
      </c>
      <c r="HL82" s="12">
        <f>IF($A82&gt;30,10,('Scénario référence'!$B$16+'Scénario référence'!$B$17+'Scénario référence'!$B$18+'Scénario référence'!$B$9+'Scénario référence'!$B$10)*$A82*10/30+('Scénario référence'!$F$8+'Scénario référence'!$F$9)*10)</f>
        <v>10</v>
      </c>
      <c r="HM82" s="12" t="e">
        <f>VLOOKUP($A82,'Données projet'!$A$304:$I$324,2,0)</f>
        <v>#N/A</v>
      </c>
      <c r="HN82" s="12" t="e">
        <f>VLOOKUP($A82,'Données projet'!$A$304:$I$324,9,0)</f>
        <v>#N/A</v>
      </c>
      <c r="HO82" s="12">
        <f t="array" ref="HO82">INDEX(HN:HN,MIN(IF(ISNUMBER(HN82:HN278),ROW(HN82:HN278),"")))</f>
        <v>0</v>
      </c>
      <c r="HP82" s="12">
        <f>IF('Données projet'!$A$304&gt;35,HP81+HO82-HX81,IF($A82&lt;'Données projet'!$A$304,$CQ$205^$A82,IF($A82='Données projet'!$A$304,'Données projet'!$B$304,HP81+HO82-HX81)))</f>
        <v>0</v>
      </c>
      <c r="HQ82" s="17">
        <f>HP82*VLOOKUP('Données projet'!$B$19,Paramètres!$A$1:$I$89,3,0)*VLOOKUP('Données projet'!$B$19,Paramètres!$A$1:$I$89,5,0)</f>
        <v>0</v>
      </c>
      <c r="HR82" s="13" t="e">
        <f t="shared" si="202"/>
        <v>#NUM!</v>
      </c>
      <c r="HS82" s="14" t="e">
        <f t="shared" si="150"/>
        <v>#NUM!</v>
      </c>
      <c r="HT82" s="59" t="e">
        <f t="shared" si="151"/>
        <v>#NUM!</v>
      </c>
      <c r="HU82" s="59">
        <f ca="1">AVERAGE(OFFSET(HT$3,0,0,'Données projet'!$E$19+1,1))-AVERAGE(OFFSET($H$3,0,0,'Données projet'!$E$19+1,1))</f>
        <v>91.60721429656013</v>
      </c>
      <c r="HV82" s="59">
        <f t="shared" si="203"/>
        <v>258.94957804210856</v>
      </c>
      <c r="HW82" s="15">
        <f>IF(ISNA(VLOOKUP($A82,'Données projet'!$A$304:$I$324,3,0)),0,VLOOKUP($A82,'Données projet'!$A$304:$I$324,3,0))</f>
        <v>0</v>
      </c>
      <c r="HX82" s="15">
        <f>IF(ISNA(VLOOKUP($A82,'Données projet'!$A$304:$I$324,4,0)),0,VLOOKUP($A82,'Données projet'!$A$304:$I$324,4,0))</f>
        <v>0</v>
      </c>
      <c r="HY82" s="16">
        <f>IF(ISNA(VLOOKUP($A82,'Données projet'!$A$304:$I$324,5,0)),0%,VLOOKUP($A82,'Données projet'!$A$304:$I$324,5,0)*VLOOKUP('Données projet'!$B$19,Paramètres!$A$1:$I$89,7,0))</f>
        <v>0</v>
      </c>
      <c r="HZ82" s="16">
        <f>IF(ISNA(VLOOKUP($A82,'Données projet'!$A$304:$I$324,6,0)),0%,VLOOKUP($A82,'Données projet'!$A$304:$I$324,6,0)*VLOOKUP('Données projet'!$B$19,Paramètres!$A$1:$I$89,7,0))</f>
        <v>0</v>
      </c>
      <c r="IA82" s="16">
        <f>IF(ISNA(VLOOKUP($A82,'Données projet'!$A$304:$I$324,7,0)),0%,VLOOKUP($A82,'Données projet'!$A$304:$I$324,7,0))</f>
        <v>0</v>
      </c>
      <c r="IB82" s="21">
        <f>EXP(-LN(2)/35)*IB81+(1-EXP(-LN(2)/35))/(LN(2)/35)*HX82*HY82*VLOOKUP('Données projet'!$B$19,Paramètres!$A$1:$I$89,3,0)*0.475*44/12</f>
        <v>18.693599451230405</v>
      </c>
      <c r="IC82" s="21">
        <f>EXP(-LN(2)/25)*IC81+(1-EXP(-LN(2)/25))/(LN(2)/25)*Calculateur!HX82*Calculateur!HZ82*VLOOKUP('Données projet'!$B$19,Paramètres!$A$1:$I$89,3,0)*0.475*44/12</f>
        <v>2.5003025744176224</v>
      </c>
      <c r="ID82" s="21">
        <f>EXP(-LN(2)/2)*ID81+(1-EXP(-LN(2)/2))/(LN(2)/2)*HX82*IA82*VLOOKUP('Données projet'!$B$19,Paramètres!$A$1:$I$89,3,0)*0.475*44/12</f>
        <v>2.4143919602188864E-8</v>
      </c>
      <c r="IE82" s="22">
        <f t="shared" si="152"/>
        <v>21.193902049791948</v>
      </c>
      <c r="IF82" s="74">
        <f>('Scénario référence'!$F$8+'Scénario référence'!$F$9+'Scénario référence'!$B$17+'Scénario référence'!$B$9+'Scénario référence'!$B$10)*70+IF((45+25*(1-EXP(-0.0175*$A82)))&lt;70,'Scénario référence'!$B$16*(45+25*(1-EXP(-0.0175*$A82))),70*'Scénario référence'!$B$16)+IF((32+38*(1-EXP(-0.0175*$A82)))&lt;70,'Scénario référence'!$B$18*(32+38*(1-EXP(-0.0175*$A82))),70*'Scénario référence'!$B$18)</f>
        <v>70</v>
      </c>
      <c r="IG82" s="12">
        <f>IF($A82&gt;30,10,('Scénario référence'!$B$16+'Scénario référence'!$B$17+'Scénario référence'!$B$18+'Scénario référence'!$B$9+'Scénario référence'!$B$10)*$A82*10/30+('Scénario référence'!$F$8+'Scénario référence'!$F$9)*10)</f>
        <v>10</v>
      </c>
      <c r="IH82" s="12" t="e">
        <f>VLOOKUP($A82,'Données projet'!$A$330:$I$350,2,0)</f>
        <v>#N/A</v>
      </c>
      <c r="II82" s="12" t="e">
        <f>VLOOKUP($A82,'Données projet'!$A$330:$I$350,9,0)</f>
        <v>#N/A</v>
      </c>
      <c r="IJ82" s="12">
        <f t="array" ref="IJ82">INDEX(II:II,MIN(IF(ISNUMBER(II82:II278),ROW(II82:II278),"")))</f>
        <v>0</v>
      </c>
      <c r="IK82" s="12">
        <f>IF('Données projet'!$A$330&gt;35,IK81+IJ82-IS81,IF($A82&lt;'Données projet'!$A$330,$CQ$205^$A82,IF($A82='Données projet'!$A$330,'Données projet'!$B$330,IK81+IJ82-IS81)))</f>
        <v>0</v>
      </c>
      <c r="IL82" s="17">
        <f>IK82*VLOOKUP('Données projet'!$B$20,Paramètres!$A$1:$I$89,3,0)*VLOOKUP('Données projet'!$B$20,Paramètres!$A$1:$I$89,5,0)</f>
        <v>0</v>
      </c>
      <c r="IM82" s="13" t="e">
        <f t="shared" si="204"/>
        <v>#NUM!</v>
      </c>
      <c r="IN82" s="20" t="e">
        <f t="shared" si="153"/>
        <v>#NUM!</v>
      </c>
      <c r="IO82" s="59" t="e">
        <f t="shared" si="154"/>
        <v>#NUM!</v>
      </c>
      <c r="IP82" s="59">
        <f ca="1">AVERAGE(OFFSET(IO$3,0,0,'Données projet'!$E$20+1,1))-AVERAGE(OFFSET($H$3,0,0,'Données projet'!$E$20+1,1))</f>
        <v>91.60721429656013</v>
      </c>
      <c r="IQ82" s="59">
        <f t="shared" si="205"/>
        <v>258.94957804210856</v>
      </c>
      <c r="IR82" s="15">
        <f>IF(ISNA(VLOOKUP($A82,'Données projet'!$A$330:$I$350,3,0)),0,VLOOKUP($A82,'Données projet'!$A$330:$I$350,3,0))</f>
        <v>0</v>
      </c>
      <c r="IS82" s="15">
        <f>IF(ISNA(VLOOKUP($A82,'Données projet'!$A$330:$I$350,4,0)),0,VLOOKUP($A82,'Données projet'!$A$330:$I$350,4,0))</f>
        <v>0</v>
      </c>
      <c r="IT82" s="16">
        <f>IF(ISNA(VLOOKUP($A82,'Données projet'!$A$330:$I$350,5,0)),0%,VLOOKUP($A82,'Données projet'!$A$330:$I$350,5,0)*VLOOKUP('Données projet'!$B$20,Paramètres!$A$1:$I$89,7,0))</f>
        <v>0</v>
      </c>
      <c r="IU82" s="16">
        <f>IF(ISNA(VLOOKUP($A82,'Données projet'!$A$330:$I$350,6,0)),0%,VLOOKUP($A82,'Données projet'!$A$330:$I$350,6,0)*VLOOKUP('Données projet'!$B$20,Paramètres!$A$1:$I$89,7,0))</f>
        <v>0</v>
      </c>
      <c r="IV82" s="16">
        <f>IF(ISNA(VLOOKUP($A82,'Données projet'!$A$330:$I$350,7,0)),0%,VLOOKUP($A82,'Données projet'!$A$330:$I$350,7,0))</f>
        <v>0</v>
      </c>
      <c r="IW82" s="21">
        <f>EXP(-LN(2)/35)*IW81+(1-EXP(-LN(2)/35))/(LN(2)/35)*IS82*IT82*VLOOKUP('Données projet'!$B$20,Paramètres!$A$1:$I$89,3,0)*0.475*44/12</f>
        <v>18.693599451230405</v>
      </c>
      <c r="IX82" s="21">
        <f>EXP(-LN(2)/25)*IX81+(1-EXP(-LN(2)/25))/(LN(2)/25)*Calculateur!IS82*Calculateur!IU82*VLOOKUP('Données projet'!$B$20,Paramètres!$A$1:$I$89,3,0)*0.475*44/12</f>
        <v>2.5003025744176224</v>
      </c>
      <c r="IY82" s="21">
        <f>EXP(-LN(2)/2)*IY81+(1-EXP(-LN(2)/2))/(LN(2)/2)*IS82*IV82*VLOOKUP('Données projet'!$B$20,Paramètres!$A$1:$I$89,3,0)*0.475*44/12</f>
        <v>2.4143919602188864E-8</v>
      </c>
      <c r="IZ82" s="22">
        <f t="shared" si="155"/>
        <v>21.193902049791948</v>
      </c>
      <c r="JA82" s="74">
        <f>('Scénario référence'!$F$8+'Scénario référence'!$F$9+'Scénario référence'!$B$17+'Scénario référence'!$B$9+'Scénario référence'!$B$10)*70+IF((45+25*(1-EXP(-0.0175*$A82)))&lt;70,'Scénario référence'!$B$16*(45+25*(1-EXP(-0.0175*$A82))),70*'Scénario référence'!$B$16)+IF((32+38*(1-EXP(-0.0175*$A82)))&lt;70,'Scénario référence'!$B$18*(32+38*(1-EXP(-0.0175*$A82))),70*'Scénario référence'!$B$18)</f>
        <v>70</v>
      </c>
      <c r="JB82" s="12">
        <f>IF($A82&gt;30,10,('Scénario référence'!$B$16+'Scénario référence'!$B$17+'Scénario référence'!$B$18+'Scénario référence'!$B$9+'Scénario référence'!$B$10)*$A82*10/30+('Scénario référence'!$F$8+'Scénario référence'!$F$9)*10)</f>
        <v>10</v>
      </c>
      <c r="JC82" s="12" t="e">
        <f>VLOOKUP($A82,'Données projet'!$A$356:$I$376,2,0)</f>
        <v>#N/A</v>
      </c>
      <c r="JD82" s="12" t="e">
        <f>VLOOKUP($A82,'Données projet'!$A$356:$I$376,9,0)</f>
        <v>#N/A</v>
      </c>
      <c r="JE82" s="12">
        <f t="array" ref="JE82">INDEX(JD:JD,MIN(IF(ISNUMBER(JD82:JD278),ROW(JD82:JD278),"")))</f>
        <v>8.8000000000000007</v>
      </c>
      <c r="JF82" s="12">
        <f>IF('Données projet'!$A$356&gt;35,JF81+JE82-JN81,IF($A82&lt;'Données projet'!$A$356,$CQ$205^$A82,IF($A82='Données projet'!$A$356,'Données projet'!$B$356,JF81+JE82-JN81)))</f>
        <v>342.19999999999993</v>
      </c>
      <c r="JG82" s="17">
        <f>JF82*VLOOKUP('Données projet'!$B$21,Paramètres!$A$1:$I$89,3,0)*VLOOKUP('Données projet'!$B$21,Paramètres!$A$1:$I$89,5,0)</f>
        <v>277.59263999999996</v>
      </c>
      <c r="JH82" s="13">
        <f t="shared" si="206"/>
        <v>66.458009122425523</v>
      </c>
      <c r="JI82" s="20">
        <f t="shared" si="156"/>
        <v>599.22154722155778</v>
      </c>
      <c r="JJ82" s="59">
        <f t="shared" si="157"/>
        <v>892.55488055489104</v>
      </c>
      <c r="JK82" s="59">
        <f ca="1">AVERAGE(OFFSET($JJ$3,0,0,'Données projet'!$E$22+1,1))-AVERAGE(OFFSET($H$3,0,0,'Données projet'!$E$22+1,1))</f>
        <v>353.35574633294613</v>
      </c>
      <c r="JL82" s="59">
        <f t="shared" si="207"/>
        <v>170.36796666474726</v>
      </c>
      <c r="JM82" s="15">
        <f>IF(ISNA(VLOOKUP($A82,'Données projet'!$A$356:$I$376,3,0)),0,VLOOKUP($A82,'Données projet'!$A$356:$I$376,3,0))</f>
        <v>0</v>
      </c>
      <c r="JN82" s="15">
        <f>IF(ISNA(VLOOKUP($A82,'Données projet'!$A$356:$I$376,4,0)),0,VLOOKUP($A82,'Données projet'!$A$356:$I$376,4,0))</f>
        <v>0</v>
      </c>
      <c r="JO82" s="16">
        <f>IF(ISNA(VLOOKUP($A82,'Données projet'!$A$356:$I$376,5,0)),0%,VLOOKUP($A82,'Données projet'!$A$356:$I$376,5,0)*VLOOKUP('Données projet'!$B$21,Paramètres!$A$1:$I$89,7,0))</f>
        <v>0</v>
      </c>
      <c r="JP82" s="16">
        <f>IF(ISNA(VLOOKUP($A82,'Données projet'!$A$356:$I$376,6,0)),0%,VLOOKUP($A82,'Données projet'!$A$356:$I$376,6,0)*VLOOKUP('Données projet'!$B$21,Paramètres!$A$1:$I$89,7,0))</f>
        <v>0</v>
      </c>
      <c r="JQ82" s="16">
        <f>IF(ISNA(VLOOKUP($A82,'Données projet'!$A$356:$I$376,7,0)),0%,VLOOKUP($A82,'Données projet'!$A$356:$I$376,7,0))</f>
        <v>0</v>
      </c>
      <c r="JR82" s="21">
        <f>EXP(-LN(2)/35)*JR81+(1-EXP(-LN(2)/35))/(LN(2)/35)*JN82*JO82*VLOOKUP('Données projet'!$B$21,Paramètres!$A$1:$I$89,3,0)*0.475*44/12</f>
        <v>0.99746602328662681</v>
      </c>
      <c r="JS82" s="21">
        <f>EXP(-LN(2)/25)*JS81+(1-EXP(-LN(2)/25))/(LN(2)/25)*Calculateur!JN82*Calculateur!JP82*VLOOKUP('Données projet'!$B$21,Paramètres!$A$1:$I$89,3,0)*0.475*44/12</f>
        <v>13.69864590383124</v>
      </c>
      <c r="JT82" s="21">
        <f>EXP(-LN(2)/2)*JT81+(1-EXP(-LN(2)/2))/(LN(2)/2)*JN82*JQ82*VLOOKUP('Données projet'!$B$21,Paramètres!$A$1:$I$89,3,0)*0.475*44/12</f>
        <v>1.9524677113531996</v>
      </c>
      <c r="JU82" s="18">
        <f t="shared" si="158"/>
        <v>16.648579638471066</v>
      </c>
      <c r="JV82" s="74">
        <f>('Scénario référence'!$F$8+'Scénario référence'!$F$9+'Scénario référence'!$B$17+'Scénario référence'!$B$9+'Scénario référence'!$B$10)*70+IF((45+25*(1-EXP(-0.0175*$A82)))&lt;70,'Scénario référence'!$B$16*(45+25*(1-EXP(-0.0175*$A82))),70*'Scénario référence'!$B$16)+IF((32+38*(1-EXP(-0.0175*$A82)))&lt;70,'Scénario référence'!$B$18*(32+38*(1-EXP(-0.0175*$A82))),70*'Scénario référence'!$B$18)</f>
        <v>70</v>
      </c>
      <c r="JW82" s="12">
        <f>IF($A82&gt;30,10,('Scénario référence'!$B$16+'Scénario référence'!$B$17+'Scénario référence'!$B$18+'Scénario référence'!$B$9+'Scénario référence'!$B$10)*$A82*10/30+('Scénario référence'!$F$8+'Scénario référence'!$F$9)*10)</f>
        <v>10</v>
      </c>
      <c r="JX82" s="12" t="e">
        <f>VLOOKUP($A82,'Données projet'!$A$382:$I$402,2,0)</f>
        <v>#N/A</v>
      </c>
      <c r="JY82" s="12" t="e">
        <f>VLOOKUP($A82,'Données projet'!$A$382:$I$402,9,0)</f>
        <v>#N/A</v>
      </c>
      <c r="JZ82" s="12">
        <f t="array" ref="JZ82">INDEX(JY:JY,MIN(IF(ISNUMBER(JY82:JY278),ROW(JY82:JY278),"")))</f>
        <v>7.8425925925925934</v>
      </c>
      <c r="KA82" s="12">
        <f>IF('Données projet'!$A$382&gt;35,KA81+JZ82-KI81,IF($A82&lt;'Données projet'!$A$382,$CQ$205^$A82,IF($A82='Données projet'!$A$382,'Données projet'!$B$382,KA81+JZ82-KI81)))</f>
        <v>266.17022792022806</v>
      </c>
      <c r="KB82" s="17">
        <f>KA82*VLOOKUP('Données projet'!$B$22,Paramètres!$A$1:$I$89,3,0)*VLOOKUP('Données projet'!$B$22,Paramètres!$A$1:$I$89,5,0)</f>
        <v>178.54698888888899</v>
      </c>
      <c r="KC82" s="13">
        <f t="shared" si="208"/>
        <v>44.998765632661168</v>
      </c>
      <c r="KD82" s="20">
        <f t="shared" si="159"/>
        <v>389.3421891250332</v>
      </c>
      <c r="KE82" s="59">
        <f t="shared" si="160"/>
        <v>682.67552245836646</v>
      </c>
      <c r="KF82" s="59">
        <f ca="1">AVERAGE(OFFSET($KE$3,0,0,'Données projet'!$E$22+1,1))-AVERAGE(OFFSET($H$3,0,0,'Données projet'!$E$22+1,1))</f>
        <v>193.91714772848269</v>
      </c>
      <c r="KG82" s="59">
        <f t="shared" si="209"/>
        <v>159.20429420478047</v>
      </c>
      <c r="KH82" s="15">
        <f>IF(ISNA(VLOOKUP($A82,'Données projet'!$A$382:$I$402,3,0)),0,VLOOKUP($A82,'Données projet'!$A$382:$I$402,3,0))</f>
        <v>0</v>
      </c>
      <c r="KI82" s="15">
        <f>IF(ISNA(VLOOKUP($A82,'Données projet'!$A$382:$I$402,4,0)),0,VLOOKUP($A82,'Données projet'!$A$382:$I$402,4,0))</f>
        <v>0</v>
      </c>
      <c r="KJ82" s="16">
        <f>IF(ISNA(VLOOKUP($A82,'Données projet'!$A$382:$I$402,5,0)),0%,VLOOKUP($A82,'Données projet'!$A$382:$I$402,5,0)*VLOOKUP('Données projet'!$B$22,Paramètres!$A$1:$I$89,7,0))</f>
        <v>0</v>
      </c>
      <c r="KK82" s="16">
        <f>IF(ISNA(VLOOKUP($A82,'Données projet'!$A$382:$I$402,6,0)),0%,VLOOKUP($A82,'Données projet'!$A$382:$I$402,6,0)*VLOOKUP('Données projet'!$B$22,Paramètres!$A$1:$I$89,7,0))</f>
        <v>0</v>
      </c>
      <c r="KL82" s="16">
        <f>IF(ISNA(VLOOKUP($A82,'Données projet'!$A$382:$I$402,7,0)),0%,VLOOKUP($A82,'Données projet'!$A$382:$I$402,7,0))</f>
        <v>0</v>
      </c>
      <c r="KM82" s="21">
        <f>EXP(-LN(2)/35)*KM81+(1-EXP(-LN(2)/35))/(LN(2)/35)*KI82*KJ82*VLOOKUP('Données projet'!$B$22,Paramètres!$A$1:$I$89,3,0)*0.475*44/12</f>
        <v>17.738758197081605</v>
      </c>
      <c r="KN82" s="21">
        <f>EXP(-LN(2)/25)*KN81+(1-EXP(-LN(2)/25))/(LN(2)/25)*Calculateur!KI82*Calculateur!KK82*VLOOKUP('Données projet'!$B$22,Paramètres!$A$1:$I$89,3,0)*0.475*44/12</f>
        <v>0</v>
      </c>
      <c r="KO82" s="21">
        <f>EXP(-LN(2)/2)*KO81+(1-EXP(-LN(2)/2))/(LN(2)/2)*KI82*KL82*VLOOKUP('Données projet'!$B$22,Paramètres!$A$1:$I$89,3,0)*0.475*44/12</f>
        <v>0</v>
      </c>
      <c r="KP82" s="22">
        <f t="shared" si="161"/>
        <v>17.738758197081605</v>
      </c>
      <c r="KQ82" s="74">
        <f>('Scénario référence'!$F$8+'Scénario référence'!$F$9+'Scénario référence'!$B$17+'Scénario référence'!$B$9+'Scénario référence'!$B$10)*70+IF((45+25*(1-EXP(-0.0175*$A82)))&lt;70,'Scénario référence'!$B$16*(45+25*(1-EXP(-0.0175*$A82))),70*'Scénario référence'!$B$16)+IF((32+38*(1-EXP(-0.0175*$A82)))&lt;70,'Scénario référence'!$B$18*(32+38*(1-EXP(-0.0175*$A82))),70*'Scénario référence'!$B$18)</f>
        <v>70</v>
      </c>
      <c r="KR82" s="12">
        <f>IF($A82&gt;30,10,('Scénario référence'!$B$16+'Scénario référence'!$B$17+'Scénario référence'!$B$18+'Scénario référence'!$B$9+'Scénario référence'!$B$10)*$A82*10/30+('Scénario référence'!$F$8+'Scénario référence'!$F$9)*10)</f>
        <v>10</v>
      </c>
      <c r="KS82" s="12" t="e">
        <f>VLOOKUP($A82,'Données projet'!$A$408:$I$428,2,0)</f>
        <v>#N/A</v>
      </c>
      <c r="KT82" s="12" t="e">
        <f>VLOOKUP($A82,'Données projet'!$A$408:$I$428,9,0)</f>
        <v>#N/A</v>
      </c>
      <c r="KU82" s="12">
        <f t="array" ref="KU82">INDEX(KT:KT,MIN(IF(ISNUMBER(KT82:KT278),ROW(KT82:KT278),"")))</f>
        <v>2.8</v>
      </c>
      <c r="KV82" s="12">
        <f>IF('Données projet'!$A$408&gt;35,KV81+KU82-LD81,IF($A82&lt;'Données projet'!$A$408,$CQ$205^$A82,IF($A82='Données projet'!$A$408,'Données projet'!$B$408,KV81+KU82-LD81)))</f>
        <v>272.19999999999987</v>
      </c>
      <c r="KW82" s="17">
        <f>KV82*VLOOKUP('Données projet'!$B$23,Paramètres!$A$1:$I$89,3,0)*VLOOKUP('Données projet'!$B$23,Paramètres!$A$1:$I$89,5,0)</f>
        <v>237.7939199999999</v>
      </c>
      <c r="KX82" s="13">
        <f t="shared" si="210"/>
        <v>57.96462682570845</v>
      </c>
      <c r="KY82" s="14">
        <f t="shared" si="162"/>
        <v>515.11280238810866</v>
      </c>
      <c r="KZ82" s="59">
        <f t="shared" si="163"/>
        <v>808.44613572144203</v>
      </c>
      <c r="LA82" s="59">
        <f ca="1">AVERAGE(OFFSET($KZ$3,0,0,'Données projet'!$E$23+1,1))-AVERAGE(OFFSET($H$3,0,0,'Données projet'!$E$23+1,1))</f>
        <v>248.33596943633819</v>
      </c>
      <c r="LB82" s="59">
        <f t="shared" si="211"/>
        <v>242.34010522344573</v>
      </c>
      <c r="LC82" s="15">
        <f>IF(ISNA(VLOOKUP($A82,'Données projet'!$A$408:$I$428,3,0)),0,VLOOKUP($A82,'Données projet'!$A$408:$I$428,3,0))</f>
        <v>0</v>
      </c>
      <c r="LD82" s="15">
        <f>IF(ISNA(VLOOKUP($A82,'Données projet'!$A$408:$I$428,4,0)),0,VLOOKUP($A82,'Données projet'!$A$408:$I$428,4,0))</f>
        <v>0</v>
      </c>
      <c r="LE82" s="16">
        <f>IF(ISNA(VLOOKUP($A82,'Données projet'!$A$408:$I$428,5,0)),0%,VLOOKUP($A82,'Données projet'!$A$408:$I$428,5,0)*VLOOKUP('Données projet'!$B$23,Paramètres!$A$1:$I$89,7,0))</f>
        <v>0</v>
      </c>
      <c r="LF82" s="16">
        <f>IF(ISNA(VLOOKUP($A82,'Données projet'!$A$408:$I$428,6,0)),0%,VLOOKUP($A82,'Données projet'!$A$408:$I$428,6,0)*VLOOKUP('Données projet'!$B$23,Paramètres!$A$1:$I$89,7,0))</f>
        <v>0</v>
      </c>
      <c r="LG82" s="16">
        <f>IF(ISNA(VLOOKUP($A82,'Données projet'!$A$408:$I$428,7,0)),0%,VLOOKUP($A82,'Données projet'!$A$408:$I$428,7,0))</f>
        <v>0</v>
      </c>
      <c r="LH82" s="21">
        <f>EXP(-LN(2)/35)*LH81+(1-EXP(-LN(2)/35))/(LN(2)/35)*LD82*LE82*VLOOKUP('Données projet'!$B$23,Paramètres!$A$1:$I$89,3,0)*0.475*44/12</f>
        <v>23.180158834567958</v>
      </c>
      <c r="LI82" s="21">
        <f>EXP(-LN(2)/25)*LI81+(1-EXP(-LN(2)/25))/(LN(2)/25)*Calculateur!LD82*Calculateur!LF82*VLOOKUP('Données projet'!$B$23,Paramètres!$A$1:$I$89,3,0)*0.475*44/12</f>
        <v>7.1862489422035267</v>
      </c>
      <c r="LJ82" s="21">
        <f>EXP(-LN(2)/2)*LJ81+(1-EXP(-LN(2)/2))/(LN(2)/2)*LD82*LG82*VLOOKUP('Données projet'!$B$23,Paramètres!$A$1:$I$89,3,0)*0.475*44/12</f>
        <v>0</v>
      </c>
      <c r="LK82" s="22">
        <f t="shared" si="164"/>
        <v>30.366407776771485</v>
      </c>
      <c r="LL82" s="74">
        <f>('Scénario référence'!$F$8+'Scénario référence'!$F$9+'Scénario référence'!$B$17+'Scénario référence'!$B$9+'Scénario référence'!$B$10)*70+IF((45+25*(1-EXP(-0.0175*$A82)))&lt;70,'Scénario référence'!$B$16*(45+25*(1-EXP(-0.0175*$A82))),70*'Scénario référence'!$B$16)+IF((32+38*(1-EXP(-0.0175*$A82)))&lt;70,'Scénario référence'!$B$18*(32+38*(1-EXP(-0.0175*$A82))),70*'Scénario référence'!$B$18)</f>
        <v>70</v>
      </c>
      <c r="LM82" s="12">
        <f>IF($A82&gt;30,10,('Scénario référence'!$B$16+'Scénario référence'!$B$17+'Scénario référence'!$B$18+'Scénario référence'!$B$9+'Scénario référence'!$B$10)*$A82*10/30+('Scénario référence'!$F$8+'Scénario référence'!$F$9)*10)</f>
        <v>10</v>
      </c>
      <c r="LN82" s="12" t="e">
        <f>VLOOKUP($A82,'Données projet'!$A$434:$I$454,2,0)</f>
        <v>#N/A</v>
      </c>
      <c r="LO82" s="12" t="e">
        <f>VLOOKUP($A82,'Données projet'!$A$434:$I$454,9,0)</f>
        <v>#N/A</v>
      </c>
      <c r="LP82" s="12">
        <f t="array" ref="LP82">INDEX(LO:LO,MIN(IF(ISNUMBER(LO82:LO278),ROW(LO82:LO278),"")))</f>
        <v>5.5042735042735051</v>
      </c>
      <c r="LQ82" s="12">
        <f>IF('Données projet'!$A$434&gt;35,LQ81+LP82-LY81,IF($A82&lt;'Données projet'!$A$434,$CQ$205^$A82,IF($A82='Données projet'!$A$434,'Données projet'!$B$434,LQ81+LP82-LY81)))</f>
        <v>172.48504273504267</v>
      </c>
      <c r="LR82" s="17">
        <f>LQ82*VLOOKUP('Données projet'!$B$24,Paramètres!$A$1:$I$89,3,0)*VLOOKUP('Données projet'!$B$24,Paramètres!$A$1:$I$89,5,0)</f>
        <v>174.89983333333328</v>
      </c>
      <c r="LS82" s="13">
        <f t="shared" si="212"/>
        <v>44.185601847169707</v>
      </c>
      <c r="LT82" s="14">
        <f t="shared" si="165"/>
        <v>381.57379960604271</v>
      </c>
      <c r="LU82" s="59">
        <f t="shared" si="166"/>
        <v>674.90713293937597</v>
      </c>
      <c r="LV82" s="59">
        <f ca="1">AVERAGE(OFFSET($LU$3,0,0,'Données projet'!$E$24+1,1))-AVERAGE(OFFSET($H$3,0,0,'Données projet'!$E$24+1,1))</f>
        <v>260.52627655062872</v>
      </c>
      <c r="LW82" s="59">
        <f t="shared" si="213"/>
        <v>159.20429420478047</v>
      </c>
      <c r="LX82" s="15">
        <f>IF(ISNA(VLOOKUP($A82,'Données projet'!$A$434:$I$454,3,0)),0,VLOOKUP($A82,'Données projet'!$A$434:$I$454,3,0))</f>
        <v>0</v>
      </c>
      <c r="LY82" s="15">
        <f>IF(ISNA(VLOOKUP($A82,'Données projet'!$A$434:$I$454,4,0)),0,VLOOKUP($A82,'Données projet'!$A$434:$I$454,4,0))</f>
        <v>0</v>
      </c>
      <c r="LZ82" s="16">
        <f>IF(ISNA(VLOOKUP($A82,'Données projet'!$A$434:$I$454,5,0)),0%,VLOOKUP($A82,'Données projet'!$A$434:$I$454,5,0)*VLOOKUP('Données projet'!$B$24,Paramètres!$A$1:$I$89,7,0))</f>
        <v>0</v>
      </c>
      <c r="MA82" s="16">
        <f>IF(ISNA(VLOOKUP($A82,'Données projet'!$A$434:$I$454,6,0)),0%,VLOOKUP($A82,'Données projet'!$A$434:$I$454,6,0)*VLOOKUP('Données projet'!$B$24,Paramètres!$A$1:$I$89,7,0))</f>
        <v>0</v>
      </c>
      <c r="MB82" s="16">
        <f>IF(ISNA(VLOOKUP($A82,'Données projet'!$A$434:$I$454,7,0)),0%,VLOOKUP($A82,'Données projet'!$A$434:$I$454,7,0))</f>
        <v>0</v>
      </c>
      <c r="MC82" s="21">
        <f>EXP(-LN(2)/35)*MC81+(1-EXP(-LN(2)/35))/(LN(2)/35)*LY82*LZ82*VLOOKUP('Données projet'!$B$24,Paramètres!$A$1:$I$89,3,0)*0.475*44/12</f>
        <v>9.636976422899437</v>
      </c>
      <c r="MD82" s="21">
        <f>EXP(-LN(2)/25)*MD81+(1-EXP(-LN(2)/25))/(LN(2)/25)*Calculateur!LY82*Calculateur!MA82*VLOOKUP('Données projet'!$B$24,Paramètres!$A$1:$I$89,3,0)*0.475*44/12</f>
        <v>0</v>
      </c>
      <c r="ME82" s="21">
        <f>EXP(-LN(2)/2)*ME81+(1-EXP(-LN(2)/2))/(LN(2)/2)*LY82*MB82*VLOOKUP('Données projet'!$B$24,Paramètres!$A$1:$I$89,3,0)*0.475*44/12</f>
        <v>0</v>
      </c>
      <c r="MF82" s="22">
        <f t="shared" si="167"/>
        <v>9.636976422899437</v>
      </c>
      <c r="MG82" s="74">
        <f>('Scénario référence'!$F$8+'Scénario référence'!$F$9+'Scénario référence'!$B$17+'Scénario référence'!$B$9+'Scénario référence'!$B$10)*70+IF((45+25*(1-EXP(-0.0175*$A82)))&lt;70,'Scénario référence'!$B$16*(45+25*(1-EXP(-0.0175*$A82))),70*'Scénario référence'!$B$16)+IF((32+38*(1-EXP(-0.0175*$A82)))&lt;70,'Scénario référence'!$B$18*(32+38*(1-EXP(-0.0175*$A82))),70*'Scénario référence'!$B$18)</f>
        <v>70</v>
      </c>
      <c r="MH82" s="12">
        <f>IF($A82&gt;30,10,('Scénario référence'!$B$16+'Scénario référence'!$B$17+'Scénario référence'!$B$18+'Scénario référence'!$B$9+'Scénario référence'!$B$10)*$A82*10/30+('Scénario référence'!$F$8+'Scénario référence'!$F$9)*10)</f>
        <v>10</v>
      </c>
      <c r="MI82" s="12" t="e">
        <f>VLOOKUP($A82,'Données projet'!$A$460:$I$480,2,0)</f>
        <v>#N/A</v>
      </c>
      <c r="MJ82" s="12" t="e">
        <f>VLOOKUP($A82,'Données projet'!$A$460:$I$480,9,0)</f>
        <v>#N/A</v>
      </c>
      <c r="MK82" s="12">
        <f t="array" ref="MK82">INDEX(MJ:MJ,MIN(IF(ISNUMBER(MJ82:MJ278),ROW(MJ82:MJ278),"")))</f>
        <v>0</v>
      </c>
      <c r="ML82" s="12">
        <f>IF('Données projet'!$A$460&gt;35,ML81+MK82-MT81,IF($A82&lt;'Données projet'!$A$460,$CQ$205^$A82,IF($A82='Données projet'!$A$460,'Données projet'!$B$460,ML81+MK82-MT81)))</f>
        <v>0</v>
      </c>
      <c r="MM82" s="17" t="e">
        <f>ML82*VLOOKUP('Données projet'!$B$25,Paramètres!$A$1:$I$89,3,0)*VLOOKUP('Données projet'!$B$25,Paramètres!$A$1:$I$89,5,0)</f>
        <v>#N/A</v>
      </c>
      <c r="MN82" s="13" t="e">
        <f t="shared" si="214"/>
        <v>#N/A</v>
      </c>
      <c r="MO82" s="14" t="e">
        <f t="shared" si="168"/>
        <v>#N/A</v>
      </c>
      <c r="MP82" s="59" t="e">
        <f t="shared" si="169"/>
        <v>#N/A</v>
      </c>
      <c r="MQ82" s="20" t="e">
        <f ca="1">AVERAGE(OFFSET($MP$3,0,0,'Données projet'!$E$25+1,1))-AVERAGE(OFFSET($H$3,0,0,'Données projet'!$E$25+1,1))</f>
        <v>#N/A</v>
      </c>
      <c r="MR82" s="59" t="e">
        <f t="shared" si="215"/>
        <v>#N/A</v>
      </c>
      <c r="MS82" s="15">
        <f>IF(ISNA(VLOOKUP($A82,'Données projet'!$A$460:$I$480,3,0)),0,VLOOKUP($A82,'Données projet'!$A$460:$I$480,3,0))</f>
        <v>0</v>
      </c>
      <c r="MT82" s="15">
        <f>IF(ISNA(VLOOKUP($A82,'Données projet'!$A$460:$I$480,4,0)),0,VLOOKUP($A82,'Données projet'!$A$460:$I$480,4,0))</f>
        <v>0</v>
      </c>
      <c r="MU82" s="16">
        <f>IF(ISNA(VLOOKUP($A82,'Données projet'!$A$460:$I$480,5,0)),0%,VLOOKUP($A82,'Données projet'!$A$460:$I$480,5,0)*VLOOKUP('Données projet'!$B$25,Paramètres!$A$1:$I$89,7,0))</f>
        <v>0</v>
      </c>
      <c r="MV82" s="16">
        <f>IF(ISNA(VLOOKUP($A82,'Données projet'!$A$460:$I$480,6,0)),0%,VLOOKUP($A82,'Données projet'!$A$460:$I$480,6,0)*VLOOKUP('Données projet'!$B$25,Paramètres!$A$1:$I$89,7,0))</f>
        <v>0</v>
      </c>
      <c r="MW82" s="16">
        <f>IF(ISNA(VLOOKUP($A82,'Données projet'!$A$460:$I$480,7,0)),0%,VLOOKUP($A82,'Données projet'!$A$460:$I$480,7,0))</f>
        <v>0</v>
      </c>
      <c r="MX82" s="21" t="e">
        <f>EXP(-LN(2)/35)*MX81+(1-EXP(-LN(2)/35))/(LN(2)/35)*MT82*MU82*VLOOKUP('Données projet'!$B$25,Paramètres!$A$1:$I$89,3,0)*0.475*44/12</f>
        <v>#N/A</v>
      </c>
      <c r="MY82" s="21" t="e">
        <f>EXP(-LN(2)/25)*MY81+(1-EXP(-LN(2)/25))/(LN(2)/25)*Calculateur!MT82*Calculateur!MV82*VLOOKUP('Données projet'!$B$25,Paramètres!$A$1:$I$89,3,0)*0.475*44/12</f>
        <v>#N/A</v>
      </c>
      <c r="MZ82" s="21" t="e">
        <f>EXP(-LN(2)/2)*MZ81+(1-EXP(-LN(2)/2))/(LN(2)/2)*MT82*MW82*VLOOKUP('Données projet'!$B$25,Paramètres!$A$1:$I$89,3,0)*0.475*44/12</f>
        <v>#N/A</v>
      </c>
      <c r="NA82" s="22" t="e">
        <f t="shared" si="170"/>
        <v>#N/A</v>
      </c>
      <c r="NB82" s="74">
        <f>('Scénario référence'!$F$8+'Scénario référence'!$F$9+'Scénario référence'!$B$17+'Scénario référence'!$B$9+'Scénario référence'!$B$10)*70+IF((45+25*(1-EXP(-0.0175*$A82)))&lt;70,'Scénario référence'!$B$16*(45+25*(1-EXP(-0.0175*$A82))),70*'Scénario référence'!$B$16)+IF((32+38*(1-EXP(-0.0175*$A82)))&lt;70,'Scénario référence'!$B$18*(32+38*(1-EXP(-0.0175*$A82))),70*'Scénario référence'!$B$18)</f>
        <v>70</v>
      </c>
      <c r="NC82" s="12">
        <f>IF($A82&gt;30,10,('Scénario référence'!$B$16+'Scénario référence'!$B$17+'Scénario référence'!$B$18+'Scénario référence'!$B$9+'Scénario référence'!$B$10)*$A82*10/30+('Scénario référence'!$F$8+'Scénario référence'!$F$9)*10)</f>
        <v>10</v>
      </c>
      <c r="ND82" s="12" t="e">
        <f>VLOOKUP($A82,'Données projet'!$A$486:$I$506,2,0)</f>
        <v>#N/A</v>
      </c>
      <c r="NE82" s="12" t="e">
        <f>VLOOKUP($A82,'Données projet'!$A$486:$I$506,9,0)</f>
        <v>#N/A</v>
      </c>
      <c r="NF82" s="12">
        <f t="array" ref="NF82">INDEX(NE:NE,MIN(IF(ISNUMBER(NE82:NE278),ROW(NE82:NE278),"")))</f>
        <v>0</v>
      </c>
      <c r="NG82" s="12">
        <f>IF('Données projet'!$A$486&gt;35,NG81+NF82-NO81,IF($A82&lt;'Données projet'!$A$486,$CQ$205^$A82,IF($A82='Données projet'!$A$486,'Données projet'!$B$486,NG81+NF82-NO81)))</f>
        <v>0</v>
      </c>
      <c r="NH82" s="17" t="e">
        <f>NG82*VLOOKUP('Données projet'!$B$26,Paramètres!$A$1:$I$89,3,0)*VLOOKUP('Données projet'!$B$26,Paramètres!$A$1:$I$89,5,0)</f>
        <v>#N/A</v>
      </c>
      <c r="NI82" s="13" t="e">
        <f t="shared" si="216"/>
        <v>#N/A</v>
      </c>
      <c r="NJ82" s="14" t="e">
        <f t="shared" si="171"/>
        <v>#N/A</v>
      </c>
      <c r="NK82" s="59" t="e">
        <f t="shared" si="172"/>
        <v>#N/A</v>
      </c>
      <c r="NL82" s="20" t="e">
        <f ca="1">AVERAGE(OFFSET($NK$3,0,0,'Données projet'!$E$26+1,1))-AVERAGE(OFFSET($H$3,0,0,'Données projet'!$E$26+1,1))</f>
        <v>#N/A</v>
      </c>
      <c r="NM82" s="59" t="e">
        <f t="shared" si="217"/>
        <v>#N/A</v>
      </c>
      <c r="NN82" s="15">
        <f>IF(ISNA(VLOOKUP($A82,'Données projet'!$A$486:$I$506,3,0)),0,VLOOKUP($A82,'Données projet'!$A$486:$I$506,3,0))</f>
        <v>0</v>
      </c>
      <c r="NO82" s="15">
        <f>IF(ISNA(VLOOKUP($A82,'Données projet'!$A$486:$I$506,4,0)),0,VLOOKUP($A82,'Données projet'!$A$486:$I$506,4,0))</f>
        <v>0</v>
      </c>
      <c r="NP82" s="16">
        <f>IF(ISNA(VLOOKUP($A82,'Données projet'!$A$486:$I$506,5,0)),0%,VLOOKUP($A82,'Données projet'!$A$486:$I$506,5,0)*VLOOKUP('Données projet'!$B$26,Paramètres!$A$1:$I$89,7,0))</f>
        <v>0</v>
      </c>
      <c r="NQ82" s="16">
        <f>IF(ISNA(VLOOKUP($A82,'Données projet'!$A$486:$I$506,6,0)),0%,VLOOKUP($A82,'Données projet'!$A$486:$I$506,6,0)*VLOOKUP('Données projet'!$B$26,Paramètres!$A$1:$I$89,7,0))</f>
        <v>0</v>
      </c>
      <c r="NR82" s="16">
        <f>IF(ISNA(VLOOKUP($A82,'Données projet'!$A$486:$I$506,7,0)),0%,VLOOKUP($A82,'Données projet'!$A$486:$I$506,7,0))</f>
        <v>0</v>
      </c>
      <c r="NS82" s="21" t="e">
        <f>EXP(-LN(2)/35)*NS81+(1-EXP(-LN(2)/35))/(LN(2)/35)*NO82*NP82*VLOOKUP('Données projet'!$B$26,Paramètres!$A$1:$I$89,3,0)*0.475*44/12</f>
        <v>#N/A</v>
      </c>
      <c r="NT82" s="21" t="e">
        <f>EXP(-LN(2)/25)*NT81+(1-EXP(-LN(2)/25))/(LN(2)/25)*Calculateur!NO82*Calculateur!NQ82*VLOOKUP('Données projet'!$B$26,Paramètres!$A$1:$I$89,3,0)*0.475*44/12</f>
        <v>#N/A</v>
      </c>
      <c r="NU82" s="21" t="e">
        <f>EXP(-LN(2)/2)*NU81+(1-EXP(-LN(2)/2))/(LN(2)/2)*NO82*NR82*VLOOKUP('Données projet'!$B$26,Paramètres!$A$1:$I$89,3,0)*0.475*44/12</f>
        <v>#N/A</v>
      </c>
      <c r="NV82" s="22" t="e">
        <f t="shared" si="173"/>
        <v>#N/A</v>
      </c>
      <c r="NW82" s="74">
        <f>('Scénario référence'!$F$8+'Scénario référence'!$F$9+'Scénario référence'!$B$17+'Scénario référence'!$B$9+'Scénario référence'!$B$10)*70+IF((45+25*(1-EXP(-0.0175*$A82)))&lt;70,'Scénario référence'!$B$16*(45+25*(1-EXP(-0.0175*$A82))),70*'Scénario référence'!$B$16)+IF((32+38*(1-EXP(-0.0175*$A82)))&lt;70,'Scénario référence'!$B$18*(32+38*(1-EXP(-0.0175*$A82))),70*'Scénario référence'!$B$18)</f>
        <v>70</v>
      </c>
      <c r="NX82" s="12">
        <f>IF($A82&gt;30,10,('Scénario référence'!$B$16+'Scénario référence'!$B$17+'Scénario référence'!$B$18+'Scénario référence'!$B$9+'Scénario référence'!$B$10)*$A82*10/30+('Scénario référence'!$F$8+'Scénario référence'!$F$9)*10)</f>
        <v>10</v>
      </c>
      <c r="NY82" s="12" t="e">
        <f>VLOOKUP($A82,'Données projet'!$A$512:$I$532,2,0)</f>
        <v>#N/A</v>
      </c>
      <c r="NZ82" s="12" t="e">
        <f>VLOOKUP($A82,'Données projet'!$A$512:$I$532,9,0)</f>
        <v>#N/A</v>
      </c>
      <c r="OA82" s="12">
        <f t="array" ref="OA82">INDEX(NZ:NZ,MIN(IF(ISNUMBER(NZ82:NZ278),ROW(NZ82:NZ278),"")))</f>
        <v>0</v>
      </c>
      <c r="OB82" s="12">
        <f>IF('Données projet'!$A$512&gt;35,OB81+OA82-OJ81,IF($A82&lt;'Données projet'!$A$512,$CQ$205^$A82,IF($A82='Données projet'!$A$512,'Données projet'!$B$512,OB81+OA82-OJ81)))</f>
        <v>0</v>
      </c>
      <c r="OC82" s="17" t="e">
        <f>OB82*VLOOKUP('Données projet'!$B$27,Paramètres!$A$1:$I$89,3,0)*VLOOKUP('Données projet'!$B$27,Paramètres!$A$1:$I$89,5,0)</f>
        <v>#N/A</v>
      </c>
      <c r="OD82" s="13" t="e">
        <f t="shared" si="218"/>
        <v>#N/A</v>
      </c>
      <c r="OE82" s="14" t="e">
        <f t="shared" si="174"/>
        <v>#N/A</v>
      </c>
      <c r="OF82" s="59" t="e">
        <f t="shared" si="175"/>
        <v>#N/A</v>
      </c>
      <c r="OG82" s="20" t="e">
        <f ca="1">AVERAGE(OFFSET($OF$3,0,0,'Données projet'!$E$27+1,1))-AVERAGE(OFFSET($H$3,0,0,'Données projet'!$E$27+1,1))</f>
        <v>#N/A</v>
      </c>
      <c r="OH82" s="59" t="e">
        <f t="shared" si="219"/>
        <v>#N/A</v>
      </c>
      <c r="OI82" s="15">
        <f>IF(ISNA(VLOOKUP($A82,'Données projet'!$A$512:$I$532,3,0)),0,VLOOKUP($A82,'Données projet'!$A$512:$I$532,3,0))</f>
        <v>0</v>
      </c>
      <c r="OJ82" s="15">
        <f>IF(ISNA(VLOOKUP($A82,'Données projet'!$A$512:$I$532,4,0)),0,VLOOKUP($A82,'Données projet'!$A$512:$I$532,4,0))</f>
        <v>0</v>
      </c>
      <c r="OK82" s="16">
        <f>IF(ISNA(VLOOKUP($A82,'Données projet'!$A$512:$I$532,5,0)),0%,VLOOKUP($A82,'Données projet'!$A$512:$I$532,5,0)*VLOOKUP('Données projet'!$B$27,Paramètres!$A$1:$I$89,7,0))</f>
        <v>0</v>
      </c>
      <c r="OL82" s="16">
        <f>IF(ISNA(VLOOKUP($A82,'Données projet'!$A$512:$I$532,6,0)),0%,VLOOKUP($A82,'Données projet'!$A$512:$I$532,6,0)*VLOOKUP('Données projet'!$B$27,Paramètres!$A$1:$I$89,7,0))</f>
        <v>0</v>
      </c>
      <c r="OM82" s="16">
        <f>IF(ISNA(VLOOKUP($A82,'Données projet'!$A$512:$I$532,7,0)),0%,VLOOKUP($A82,'Données projet'!$A$512:$I$532,7,0))</f>
        <v>0</v>
      </c>
      <c r="ON82" s="21" t="e">
        <f>EXP(-LN(2)/35)*ON81+(1-EXP(-LN(2)/35))/(LN(2)/35)*OJ82*OK82*VLOOKUP('Données projet'!$B$27,Paramètres!$A$1:$I$89,3,0)*0.475*44/12</f>
        <v>#N/A</v>
      </c>
      <c r="OO82" s="21" t="e">
        <f>EXP(-LN(2)/25)*OO81+(1-EXP(-LN(2)/25))/(LN(2)/25)*Calculateur!OJ82*Calculateur!OL82*VLOOKUP('Données projet'!$B$27,Paramètres!$A$1:$I$89,3,0)*0.475*44/12</f>
        <v>#N/A</v>
      </c>
      <c r="OP82" s="21" t="e">
        <f>EXP(-LN(2)/2)*OP81+(1-EXP(-LN(2)/2))/(LN(2)/2)*OJ82*OM82*VLOOKUP('Données projet'!$B$27,Paramètres!$A$1:$I$89,3,0)*0.475*44/12</f>
        <v>#N/A</v>
      </c>
      <c r="OQ82" s="22" t="e">
        <f t="shared" si="176"/>
        <v>#N/A</v>
      </c>
      <c r="OR82" s="74">
        <f>('Scénario référence'!$F$8+'Scénario référence'!$F$9+'Scénario référence'!$B$17+'Scénario référence'!$B$9+'Scénario référence'!$B$10)*70+IF((45+25*(1-EXP(-0.0175*$A82)))&lt;70,'Scénario référence'!$B$16*(45+25*(1-EXP(-0.0175*$A82))),70*'Scénario référence'!$B$16)+IF((32+38*(1-EXP(-0.0175*$A82)))&lt;70,'Scénario référence'!$B$18*(32+38*(1-EXP(-0.0175*$A82))),70*'Scénario référence'!$B$18)</f>
        <v>70</v>
      </c>
      <c r="OS82" s="12">
        <f>IF($A82&gt;30,10,('Scénario référence'!$B$16+'Scénario référence'!$B$17+'Scénario référence'!$B$18+'Scénario référence'!$B$9+'Scénario référence'!$B$10)*$A82*10/30+('Scénario référence'!$F$8+'Scénario référence'!$F$9)*10)</f>
        <v>10</v>
      </c>
      <c r="OT82" s="12" t="e">
        <f>VLOOKUP($A82,'Données projet'!$A$538:$I$558,2,0)</f>
        <v>#N/A</v>
      </c>
      <c r="OU82" s="12" t="e">
        <f>VLOOKUP($A82,'Données projet'!$A$538:$I$558,9,0)</f>
        <v>#N/A</v>
      </c>
      <c r="OV82" s="12">
        <f t="array" ref="OV82">INDEX(OU:OU,MIN(IF(ISNUMBER(OU82:OU278),ROW(OU82:OU278),"")))</f>
        <v>0</v>
      </c>
      <c r="OW82" s="12">
        <f>IF('Données projet'!$A$538&gt;35,OW81+OV82-PE81,IF($A82&lt;'Données projet'!$A$538,$CQ$205^$A82,IF($A82='Données projet'!$A$538,'Données projet'!$B$538,OW81+OV82-PE81)))</f>
        <v>0</v>
      </c>
      <c r="OX82" s="17" t="e">
        <f>OW82*VLOOKUP('Données projet'!$B$28,Paramètres!$A$1:$I$89,3,0)*VLOOKUP('Données projet'!$B$28,Paramètres!$A$1:$I$89,5,0)</f>
        <v>#N/A</v>
      </c>
      <c r="OY82" s="13" t="e">
        <f t="shared" si="220"/>
        <v>#N/A</v>
      </c>
      <c r="OZ82" s="14" t="e">
        <f t="shared" si="177"/>
        <v>#N/A</v>
      </c>
      <c r="PA82" s="59" t="e">
        <f t="shared" si="178"/>
        <v>#N/A</v>
      </c>
      <c r="PB82" s="20" t="e">
        <f ca="1">AVERAGE(OFFSET($PA$3,0,0,'Données projet'!$E$28+1,1))-AVERAGE(OFFSET($H$3,0,0,'Données projet'!$E$28+1,1))</f>
        <v>#N/A</v>
      </c>
      <c r="PC82" s="59" t="e">
        <f t="shared" si="221"/>
        <v>#N/A</v>
      </c>
      <c r="PD82" s="15">
        <f>IF(ISNA(VLOOKUP($A82,'Données projet'!$A$538:$I$558,3,0)),0,VLOOKUP($A82,'Données projet'!$A$538:$I$558,3,0))</f>
        <v>0</v>
      </c>
      <c r="PE82" s="15">
        <f>IF(ISNA(VLOOKUP($A82,'Données projet'!$A$538:$I$558,4,0)),0,VLOOKUP($A82,'Données projet'!$A$538:$I$558,4,0))</f>
        <v>0</v>
      </c>
      <c r="PF82" s="16">
        <f>IF(ISNA(VLOOKUP($A82,'Données projet'!$A$538:$I$558,5,0)),0%,VLOOKUP($A82,'Données projet'!$A$538:$I$558,5,0)*VLOOKUP('Données projet'!$B$28,Paramètres!$A$1:$I$89,7,0))</f>
        <v>0</v>
      </c>
      <c r="PG82" s="16">
        <f>IF(ISNA(VLOOKUP($A82,'Données projet'!$A$538:$I$558,6,0)),0%,VLOOKUP($A82,'Données projet'!$A$538:$I$558,6,0)*VLOOKUP('Données projet'!$B$28,Paramètres!$A$1:$I$89,7,0))</f>
        <v>0</v>
      </c>
      <c r="PH82" s="16">
        <f>IF(ISNA(VLOOKUP($A82,'Données projet'!$A$538:$I$558,7,0)),0%,VLOOKUP($A82,'Données projet'!$A$538:$I$558,7,0))</f>
        <v>0</v>
      </c>
      <c r="PI82" s="21" t="e">
        <f>EXP(-LN(2)/35)*PI81+(1-EXP(-LN(2)/35))/(LN(2)/35)*PE82*PF82*VLOOKUP('Données projet'!$B$28,Paramètres!$A$1:$I$89,3,0)*0.475*44/12</f>
        <v>#N/A</v>
      </c>
      <c r="PJ82" s="21" t="e">
        <f>EXP(-LN(2)/25)*PJ81+(1-EXP(-LN(2)/25))/(LN(2)/25)*Calculateur!PE82*Calculateur!PG82*VLOOKUP('Données projet'!$B$28,Paramètres!$A$1:$I$89,3,0)*0.475*44/12</f>
        <v>#N/A</v>
      </c>
      <c r="PK82" s="21" t="e">
        <f>EXP(-LN(2)/2)*PK81+(1-EXP(-LN(2)/2))/(LN(2)/2)*PE82*PH82*VLOOKUP('Données projet'!$B$28,Paramètres!$A$1:$I$89,3,0)*0.475*44/12</f>
        <v>#N/A</v>
      </c>
      <c r="PL82" s="22" t="e">
        <f t="shared" si="179"/>
        <v>#N/A</v>
      </c>
    </row>
    <row r="83" spans="1:428" x14ac:dyDescent="0.35">
      <c r="A83" s="10">
        <f t="shared" si="180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181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121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projet'!$A$45:$I$65,2,0)</f>
        <v>#N/A</v>
      </c>
      <c r="L83" s="12" t="e">
        <f>VLOOKUP(A83,'Données projet'!$A$45:$I$65,9,0)</f>
        <v>#N/A</v>
      </c>
      <c r="M83" s="12">
        <f t="array" ref="M83">INDEX(L:L,MIN(IF(ISNUMBER(L83:L279),ROW(L83:L279),"")))</f>
        <v>0</v>
      </c>
      <c r="N83" s="13">
        <f>IF('Données projet'!$A$46&gt;35,N82+M83-V82,IF(A83&lt;'Données projet'!$A$46,$K$205^A83,IF(A83='Données projet'!$A$46,'Données projet'!$B$46,N82+M83-V82)))</f>
        <v>-1.1368683772161603E-13</v>
      </c>
      <c r="O83" s="13">
        <f>N83*VLOOKUP('Données projet'!$B$9,Paramètres!$A$1:$I$89,3,0)*VLOOKUP('Données projet'!$B$9,Paramètres!$A$1:$I$89,5,0)</f>
        <v>-6.3550942286383367E-14</v>
      </c>
      <c r="P83" s="13" t="e">
        <f t="shared" si="182"/>
        <v>#NUM!</v>
      </c>
      <c r="Q83" s="20" t="e">
        <f t="shared" si="119"/>
        <v>#NUM!</v>
      </c>
      <c r="R83" s="59" t="e">
        <f t="shared" si="120"/>
        <v>#NUM!</v>
      </c>
      <c r="S83" s="59">
        <f ca="1">AVERAGE(OFFSET($R$3,0,0,'Données projet'!$E$9+1,1))-AVERAGE(OFFSET($H$3,0,0,'Données projet'!$E$9+1,1))</f>
        <v>274.57619581652199</v>
      </c>
      <c r="T83" s="59">
        <f t="shared" si="183"/>
        <v>366.15117322598775</v>
      </c>
      <c r="U83" s="15">
        <f>IF(ISNA(VLOOKUP(A83,'Données projet'!$A$45:$I$65,3,0)),0,VLOOKUP(A83,'Données projet'!$A$45:$I$65,3,0))</f>
        <v>0</v>
      </c>
      <c r="V83" s="15">
        <f>IF(ISNA(VLOOKUP(A83,'Données projet'!$A$45:$I$65,4,0)),0,VLOOKUP(A83,'Données projet'!$A$45:$I$65,4,0))</f>
        <v>0</v>
      </c>
      <c r="W83" s="16">
        <f>IF(ISNA(VLOOKUP(A83,'Données projet'!$A$45:$I$65,5,0)),0%,VLOOKUP(A83,'Données projet'!$A$45:$I$65,5,0)*VLOOKUP('Données projet'!$B$9,Paramètres!$A$1:$I$89,7,0))</f>
        <v>0</v>
      </c>
      <c r="X83" s="16">
        <f>IF(ISNA(VLOOKUP(A83,'Données projet'!$A$45:$I$65,6,0)),0%,VLOOKUP(A83,'Données projet'!$A$45:$I$65,6,0)*VLOOKUP('Données projet'!$B$9,Paramètres!$A$1:$I$89,7,0))</f>
        <v>0</v>
      </c>
      <c r="Y83" s="16">
        <f>IF(ISNA(VLOOKUP(A83,'Données projet'!$A$45:$I$65,7,0)),0%,VLOOKUP(A83,'Données projet'!$A$45:$I$65,7,0))</f>
        <v>0</v>
      </c>
      <c r="Z83" s="21">
        <f>EXP(-LN(2)/35)*Z82+(1-EXP(-LN(2)/35))/(LN(2)/35)*V83*W83*VLOOKUP('Données projet'!$B$9,Paramètres!$A$1:$I$89,3,0)*0.475*44/12</f>
        <v>138.14903886725494</v>
      </c>
      <c r="AA83" s="21">
        <f>EXP(-LN(2)/25)*AA82+(1-EXP(-LN(2)/25))/(LN(2)/25)*Calculateur!V83*Calculateur!X83*VLOOKUP('Données projet'!$B$9,Paramètres!$A$1:$I$89,3,0)*0.475*44/12</f>
        <v>28.803840194119942</v>
      </c>
      <c r="AB83" s="21">
        <f>EXP(-LN(2)/2)*AB82+(1-EXP(-LN(2)/2))/(LN(2)/2)*V83*Y83*VLOOKUP('Données projet'!$B$9,Paramètres!$A$1:$I$89,3,0)*0.475*44/12</f>
        <v>5.8973851844441134E-3</v>
      </c>
      <c r="AC83" s="22">
        <f t="shared" si="122"/>
        <v>166.95877644655934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projet'!$A$71:$I$91,2,0)</f>
        <v>274.01282051282055</v>
      </c>
      <c r="AG83" s="12">
        <f>VLOOKUP(A83,'Données projet'!$A$71:$I$91,9,0)</f>
        <v>7.8425925925925934</v>
      </c>
      <c r="AH83" s="12">
        <f t="array" ref="AH83">INDEX(AG:AG,MIN(IF(ISNUMBER(AG83:AG279),ROW(AG83:AG279),"")))</f>
        <v>7.8425925925925934</v>
      </c>
      <c r="AI83" s="13">
        <f>IF('Données projet'!$A$72&gt;35,AI82+AH83-AQ82,IF(A83&lt;'Données projet'!$A$72,$AF$205^A83,IF(A83='Données projet'!$A$72,'Données projet'!$B$72,AI82+AH83-AQ82)))</f>
        <v>274.01282051282072</v>
      </c>
      <c r="AJ83" s="13">
        <f>AI83*VLOOKUP('Données projet'!$B$10,Paramètres!$A$1:$I$89,3,0)*VLOOKUP('Données projet'!$B$10,Paramètres!$A$1:$I$89,5,0)</f>
        <v>247.92680000000016</v>
      </c>
      <c r="AK83" s="13">
        <f t="shared" si="184"/>
        <v>60.141781345371967</v>
      </c>
      <c r="AL83" s="20">
        <f t="shared" si="123"/>
        <v>536.55277917652313</v>
      </c>
      <c r="AM83" s="59">
        <f t="shared" si="124"/>
        <v>829.8861125098565</v>
      </c>
      <c r="AN83" s="59">
        <f ca="1">AVERAGE(OFFSET($AM$3,0,0,'Données projet'!$E$10+1,1))-AVERAGE(OFFSET($H$3,0,0,'Données projet'!$E$10+1,1))</f>
        <v>270.87836509222456</v>
      </c>
      <c r="AO83" s="59">
        <f t="shared" si="185"/>
        <v>205.24998237949734</v>
      </c>
      <c r="AP83" s="15">
        <f>IF(ISNA(VLOOKUP(A83,'Données projet'!$A$71:$I$91,3,0)),0,VLOOKUP(A83,'Données projet'!$A$71:$I$91,3,0))</f>
        <v>7</v>
      </c>
      <c r="AQ83" s="15">
        <f>IF(ISNA(VLOOKUP(A83,'Données projet'!$A$71:$I$91,4,0)),0,VLOOKUP(A83,'Données projet'!$A$71:$I$91,4,0))</f>
        <v>45.608974358974358</v>
      </c>
      <c r="AR83" s="16">
        <f>IF(ISNA(VLOOKUP(A83,'Données projet'!$A$71:$I$91,5,0)),0%,VLOOKUP(A83,'Données projet'!$A$71:$I$91,5,0)*VLOOKUP('Données projet'!$B$10,Paramètres!$A$1:$I$89,7,0))</f>
        <v>0.30099999999999999</v>
      </c>
      <c r="AS83" s="16">
        <f>IF(ISNA(VLOOKUP(A83,'Données projet'!$A$71:$I$91,6,0)),0%,VLOOKUP(A83,'Données projet'!$A$71:$I$91,6,0)*VLOOKUP('Données projet'!$B$10,Paramètres!$A$1:$I$89,7,0))</f>
        <v>0</v>
      </c>
      <c r="AT83" s="16">
        <f>IF(ISNA(VLOOKUP(A83,'Données projet'!$A$71:$I$91,7,0)),0%,VLOOKUP(A83,'Données projet'!$A$71:$I$91,7,0))</f>
        <v>0</v>
      </c>
      <c r="AU83" s="21">
        <f>EXP(-LN(2)/35)*AU82+(1-EXP(-LN(2)/35))/(LN(2)/35)*AQ83*AR83*VLOOKUP('Données projet'!$B$10,Paramètres!$A$1:$I$89,3,0)*0.475*44/12</f>
        <v>32.763017332710646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125"/>
        <v>32.763017332710646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projet'!$A$97:$I$117,2,0)</f>
        <v>#N/A</v>
      </c>
      <c r="BB83" s="12" t="e">
        <f>VLOOKUP(A83,'Données projet'!$A$97:$I$117,9,0)</f>
        <v>#N/A</v>
      </c>
      <c r="BC83" s="12">
        <f t="array" ref="BC83">INDEX(BB:BB,MIN(IF(ISNUMBER(BB83:BB279),ROW(BB83:BB279),"")))</f>
        <v>0</v>
      </c>
      <c r="BD83" s="12">
        <f>IF('Données projet'!$A$98&gt;35,BD82+BC83-BL82,IF(A83&lt;'Données projet'!$A$98,$BA$205^A83,IF(A83='Données projet'!$A$98,'Données projet'!$B$98,BD82+BC83-BL82)))</f>
        <v>-1.1368683772161603E-13</v>
      </c>
      <c r="BE83" s="13">
        <f>BD83*VLOOKUP('Données projet'!$B$11,Paramètres!$A$1:$I$89,3,0)*VLOOKUP('Données projet'!$B$11,Paramètres!$A$1:$I$89,5,0)</f>
        <v>-5.0249582272954292E-14</v>
      </c>
      <c r="BF83" s="13" t="e">
        <f t="shared" si="186"/>
        <v>#NUM!</v>
      </c>
      <c r="BG83" s="20" t="e">
        <f t="shared" si="126"/>
        <v>#NUM!</v>
      </c>
      <c r="BH83" s="59" t="e">
        <f t="shared" si="127"/>
        <v>#NUM!</v>
      </c>
      <c r="BI83" s="59">
        <f ca="1">AVERAGE(OFFSET($BH$3,0,0,'Données projet'!$E$11+1,1))-AVERAGE(OFFSET($H$3,0,0,'Données projet'!$E$11+1,1))</f>
        <v>211.31057120485542</v>
      </c>
      <c r="BJ83" s="59">
        <f t="shared" si="187"/>
        <v>283.33292006714777</v>
      </c>
      <c r="BK83" s="15">
        <f>IF(ISNA(VLOOKUP(A83,'Données projet'!$A$97:$I$117,3,0)),0,VLOOKUP(A83,'Données projet'!$A$97:$I$117,3,0))</f>
        <v>0</v>
      </c>
      <c r="BL83" s="21">
        <f>IF(ISNA(VLOOKUP(A83,'Données projet'!$A$97:$I$117,4,0)),0,VLOOKUP(A83,'Données projet'!$A$97:$I$117,4,0))</f>
        <v>0</v>
      </c>
      <c r="BM83" s="16">
        <f>IF(ISNA(VLOOKUP(A83,'Données projet'!$A$97:$I$117,5,0)),0%,VLOOKUP(A83,'Données projet'!$A$97:$I$117,5,0)*VLOOKUP('Données projet'!$B$11,Paramètres!$A$1:$I$89,7,0))</f>
        <v>0</v>
      </c>
      <c r="BN83" s="16">
        <f>IF(ISNA(VLOOKUP(A83,'Données projet'!$A$97:$I$117,6,0)),0%,VLOOKUP(A83,'Données projet'!$A$97:$I$117,6,0)*VLOOKUP('Données projet'!$B$11,Paramètres!$A$1:$I$89,7,0))</f>
        <v>0</v>
      </c>
      <c r="BO83" s="16">
        <f>IF(ISNA(VLOOKUP(A83,'Données projet'!$A$97:$I$117,7,0)),0%,VLOOKUP(A83,'Données projet'!$A$97:$I$117,7,0))</f>
        <v>0</v>
      </c>
      <c r="BP83" s="21">
        <f>EXP(-LN(2)/35)*BP82+(1-EXP(-LN(2)/35))/(LN(2)/35)*BL83*BM83*VLOOKUP('Données projet'!$B$11,Paramètres!$A$1:$I$89,3,0)*0.475*44/12</f>
        <v>109.23412375550392</v>
      </c>
      <c r="BQ83" s="21">
        <f>EXP(-LN(2)/25)*BQ82+(1-EXP(-LN(2)/25))/(LN(2)/25)*Calculateur!BL83*Calculateur!BN83*VLOOKUP('Données projet'!$B$11,Paramètres!$A$1:$I$89,3,0)*0.475*44/12</f>
        <v>22.775129455815765</v>
      </c>
      <c r="BR83" s="21">
        <f>EXP(-LN(2)/2)*BR82+(1-EXP(-LN(2)/2))/(LN(2)/2)*BL83*BO83*VLOOKUP('Données projet'!$B$11,Paramètres!$A$1:$I$89,3,0)*0.475*44/12</f>
        <v>4.6630487504906934E-3</v>
      </c>
      <c r="BS83" s="22">
        <f t="shared" si="128"/>
        <v>132.01391626007018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projet'!$A$123:$I$143,2,0)</f>
        <v>245</v>
      </c>
      <c r="BW83" s="12">
        <f>VLOOKUP(A83,'Données projet'!$A$123:$I$143,9,0)</f>
        <v>4</v>
      </c>
      <c r="BX83" s="12">
        <f t="array" ref="BX83">INDEX(BW:BW,MIN(IF(ISNUMBER(BW83:BW279),ROW(BW83:BW279),"")))</f>
        <v>4</v>
      </c>
      <c r="BY83" s="12">
        <f>IF('Données projet'!$A$124&gt;35,BY82+BX83-CG82,IF(A83&lt;'Données projet'!$A$124,$BV$205^A83,IF(A83='Données projet'!$A$124,'Données projet'!$B$124,BY82+BX83-CG82)))</f>
        <v>245.00000000000003</v>
      </c>
      <c r="BZ83" s="13">
        <f>BY83*VLOOKUP('Données projet'!$B$12,Paramètres!$A$1:$I$89,3,0)*VLOOKUP('Données projet'!$B$12,Paramètres!$A$1:$I$89,5,0)</f>
        <v>256.07400000000007</v>
      </c>
      <c r="CA83" s="13">
        <f t="shared" si="188"/>
        <v>61.884773790113961</v>
      </c>
      <c r="CB83" s="20">
        <f t="shared" si="129"/>
        <v>553.77819768444851</v>
      </c>
      <c r="CC83" s="59">
        <f t="shared" si="130"/>
        <v>847.11153101778177</v>
      </c>
      <c r="CD83" s="59">
        <f ca="1">AVERAGE(OFFSET($CC$3,0,0,'Données projet'!$E$12+1,1))-AVERAGE(OFFSET($H$3,0,0,'Données projet'!$E$12+1,1))</f>
        <v>322.93502595881938</v>
      </c>
      <c r="CE83" s="59">
        <f t="shared" si="189"/>
        <v>302.67072119588164</v>
      </c>
      <c r="CF83" s="15">
        <f>IF(ISNA(VLOOKUP(A83,'Données projet'!$A$123:$I$143,3,0)),0,VLOOKUP(A83,'Données projet'!$A$123:$I$143,3,0))</f>
        <v>13</v>
      </c>
      <c r="CG83" s="15" t="str">
        <f>IF(ISNA(VLOOKUP(A83,'Données projet'!$A$123:$I$143,4,0)),0,VLOOKUP(A83,'Données projet'!$A$123:$I$143,4,0))</f>
        <v>15</v>
      </c>
      <c r="CH83" s="16">
        <f>IF(ISNA(VLOOKUP(A83,'Données projet'!$A$123:$I$143,5,0)),0%,VLOOKUP(A83,'Données projet'!$A$123:$I$143,5,0)*VLOOKUP('Données projet'!$B$12,Paramètres!$A$1:$I$89,7,0))</f>
        <v>0.25800000000000001</v>
      </c>
      <c r="CI83" s="16">
        <f>IF(ISNA(VLOOKUP(A83,'Données projet'!$A$123:$I$143,6,0)),0%,VLOOKUP(A83,'Données projet'!$A$123:$I$143,6,0)*VLOOKUP('Données projet'!$B$12,Paramètres!$A$1:$I$89,7,0))</f>
        <v>0.129</v>
      </c>
      <c r="CJ83" s="16">
        <f>IF(ISNA(VLOOKUP(A83,'Données projet'!$A$123:$I$143,7,0)),0%,VLOOKUP(A83,'Données projet'!$A$123:$I$143,7,0))</f>
        <v>0</v>
      </c>
      <c r="CK83" s="21">
        <f>EXP(-LN(2)/35)*CK82+(1-EXP(-LN(2)/35))/(LN(2)/35)*CG83*CH83*VLOOKUP('Données projet'!$B$12,Paramètres!$A$1:$I$89,3,0)*0.475*44/12</f>
        <v>27.664449646282215</v>
      </c>
      <c r="CL83" s="21">
        <f>EXP(-LN(2)/25)*CL82+(1-EXP(-LN(2)/25))/(LN(2)/25)*Calculateur!CG83*Calculateur!CI83*VLOOKUP('Données projet'!$B$12,Paramètres!$A$1:$I$89,3,0)*0.475*44/12</f>
        <v>22.411960607012588</v>
      </c>
      <c r="CM83" s="21">
        <f>EXP(-LN(2)/2)*CM82+(1-EXP(-LN(2)/2))/(LN(2)/2)*CG83*CJ83*VLOOKUP('Données projet'!$B$12,Paramètres!$A$1:$I$89,3,0)*0.475*44/12</f>
        <v>0</v>
      </c>
      <c r="CN83" s="22">
        <f t="shared" si="131"/>
        <v>50.076410253294803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projet'!$A$149:$I$169,2,0)</f>
        <v>#N/A</v>
      </c>
      <c r="CR83" s="12" t="e">
        <f>VLOOKUP(A83,'Données projet'!$A$149:$I$169,9,0)</f>
        <v>#N/A</v>
      </c>
      <c r="CS83" s="12">
        <f t="array" ref="CS83">INDEX(CR:CR,MIN(IF(ISNUMBER(CR83:CR279),ROW(CR83:CR279),"")))</f>
        <v>5.5042735042735051</v>
      </c>
      <c r="CT83" s="12">
        <f>IF('Données projet'!$A$150&gt;35,CT82+CS83-DB82,IF(A83&lt;'Données projet'!$A$150,$CQ$205^A83,IF(A83='Données projet'!$A$150,'Données projet'!$B$150,CT82+CS83-DB82)))</f>
        <v>177.98931623931617</v>
      </c>
      <c r="CU83" s="17">
        <f>CT83*VLOOKUP('Données projet'!$B$13,Paramètres!$A$1:$I$89,3,0)*VLOOKUP('Données projet'!$B$13,Paramètres!$A$1:$I$89,5,0)</f>
        <v>180.48116666666661</v>
      </c>
      <c r="CV83" s="13">
        <f t="shared" si="190"/>
        <v>45.429220246818225</v>
      </c>
      <c r="CW83" s="20">
        <f t="shared" si="132"/>
        <v>393.46059054098606</v>
      </c>
      <c r="CX83" s="59">
        <f t="shared" si="133"/>
        <v>686.79392387431938</v>
      </c>
      <c r="CY83" s="59">
        <f ca="1">AVERAGE(OFFSET($CX$3,0,0,'Données projet'!$E$13+1,1))-AVERAGE(OFFSET($H$3,0,0,'Données projet'!$E$13+1,1))</f>
        <v>250.31277422753283</v>
      </c>
      <c r="CZ83" s="59">
        <f t="shared" si="191"/>
        <v>159.20429420478047</v>
      </c>
      <c r="DA83" s="15">
        <f>IF(ISNA(VLOOKUP(A83,'Données projet'!$A$149:$I$169,3,0)),0,VLOOKUP(A83,'Données projet'!$A$149:$I$169,3,0))</f>
        <v>0</v>
      </c>
      <c r="DB83" s="15">
        <f>IF(ISNA(VLOOKUP(A83,'Données projet'!$A$149:$I$169,4,0)),0,VLOOKUP(A83,'Données projet'!$A$149:$I$169,4,0))</f>
        <v>0</v>
      </c>
      <c r="DC83" s="16">
        <f>IF(ISNA(VLOOKUP(A83,'Données projet'!$A$149:$I$169,5,0)),0%,VLOOKUP(A83,'Données projet'!$A$149:$I$169,5,0)*VLOOKUP('Données projet'!$B$13,Paramètres!$A$1:$I$89,7,0))</f>
        <v>0</v>
      </c>
      <c r="DD83" s="16">
        <f>IF(ISNA(VLOOKUP(A83,'Données projet'!$A$149:$I$169,6,0)),0%,VLOOKUP(A83,'Données projet'!$A$149:$I$169,6,0)*VLOOKUP('Données projet'!$B$13,Paramètres!$A$1:$I$89,7,0))</f>
        <v>0</v>
      </c>
      <c r="DE83" s="16">
        <f>IF(ISNA(VLOOKUP(A83,'Données projet'!$A$149:$I$169,7,0)),0%,VLOOKUP(A83,'Données projet'!$A$149:$I$169,7,0))</f>
        <v>0</v>
      </c>
      <c r="DF83" s="21">
        <f>EXP(-LN(2)/35)*DF82+(1-EXP(-LN(2)/35))/(LN(2)/35)*DB83*DC83*VLOOKUP('Données projet'!$B$13,Paramètres!$A$1:$I$89,3,0)*0.475*44/12</f>
        <v>9.4480011932215948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134"/>
        <v>9.4480011932215948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projet'!$A$175:$I$195,2,0)</f>
        <v>381</v>
      </c>
      <c r="DM83" s="12">
        <f>VLOOKUP(A83,'Données projet'!$A$175:$I$195,9,0)</f>
        <v>4</v>
      </c>
      <c r="DN83" s="12">
        <f t="array" ref="DN83">INDEX(DM:DM,MIN(IF(ISNUMBER(DM83:DM279),ROW(DM83:DM279),"")))</f>
        <v>4</v>
      </c>
      <c r="DO83" s="12">
        <f>IF('Données projet'!$A$176&gt;35,DO82+DN83-DW82,IF(A83&lt;'Données projet'!$A$176,$DL$205^A83,IF(A83='Données projet'!$A$176,'Données projet'!$B$176,DO82+DN83-DW82)))</f>
        <v>380.99999999999972</v>
      </c>
      <c r="DP83" s="17">
        <f>DO83*VLOOKUP('Données projet'!$B$14,Paramètres!$A$1:$I$89,3,0)*VLOOKUP('Données projet'!$B$14,Paramètres!$A$1:$I$89,5,0)</f>
        <v>279.34919999999977</v>
      </c>
      <c r="DQ83" s="13">
        <f t="shared" si="192"/>
        <v>66.829457512184078</v>
      </c>
      <c r="DR83" s="20">
        <f t="shared" si="135"/>
        <v>602.92782850038679</v>
      </c>
      <c r="DS83" s="59">
        <f t="shared" si="136"/>
        <v>896.26116183372005</v>
      </c>
      <c r="DT83" s="59">
        <f ca="1">AVERAGE(OFFSET($DS$3,0,0,'Données projet'!$E$14+1,1))-AVERAGE(OFFSET($H$3,0,0,'Données projet'!$E$14+1,1))</f>
        <v>296.91321813251051</v>
      </c>
      <c r="DU83" s="59">
        <f t="shared" si="193"/>
        <v>291.0718079639509</v>
      </c>
      <c r="DV83" s="15">
        <f>IF(ISNA(VLOOKUP(A83,'Données projet'!$A$175:$I$195,3,0)),0,VLOOKUP(A83,'Données projet'!$A$175:$I$195,3,0))</f>
        <v>15</v>
      </c>
      <c r="DW83" s="15">
        <f>IF(ISNA(VLOOKUP(A83,'Données projet'!$A$175:$I$195,4,0)),0,VLOOKUP(A83,'Données projet'!$A$175:$I$195,4,0))</f>
        <v>381</v>
      </c>
      <c r="DX83" s="16">
        <f>IF(ISNA(VLOOKUP(A83,'Données projet'!$A$175:$I$195,5,0)),0%,VLOOKUP(A83,'Données projet'!$A$175:$I$195,5,0)*VLOOKUP('Données projet'!$B$14,Paramètres!$A$1:$I$89,7,0))</f>
        <v>0.43</v>
      </c>
      <c r="DY83" s="16">
        <f>IF(ISNA(VLOOKUP(A83,'Données projet'!$A$175:$I$195,6,0)),0%,VLOOKUP(A83,'Données projet'!$A$175:$I$195,6,0)*VLOOKUP('Données projet'!$B$14,Paramètres!$A$1:$I$89,7,0))</f>
        <v>0</v>
      </c>
      <c r="DZ83" s="16">
        <f>IF(ISNA(VLOOKUP(A83,'Données projet'!$A$175:$I$195,7,0)),0%,VLOOKUP(A83,'Données projet'!$A$175:$I$195,7,0))</f>
        <v>0</v>
      </c>
      <c r="EA83" s="21">
        <f>EXP(-LN(2)/35)*EA82+(1-EXP(-LN(2)/35))/(LN(2)/35)*DW83*DX83*VLOOKUP('Données projet'!$B$14,Paramètres!$A$1:$I$89,3,0)*0.475*44/12</f>
        <v>173.45837163855782</v>
      </c>
      <c r="EB83" s="21">
        <f>EXP(-LN(2)/25)*EB82+(1-EXP(-LN(2)/25))/(LN(2)/25)*Calculateur!DW83*Calculateur!DY83*VLOOKUP('Données projet'!$B$14,Paramètres!$A$1:$I$89,3,0)*0.475*44/12</f>
        <v>5.3548736096142617</v>
      </c>
      <c r="EC83" s="21">
        <f>EXP(-LN(2)/2)*EC82+(1-EXP(-LN(2)/2))/(LN(2)/2)*DW83*DZ83*VLOOKUP('Données projet'!$B$14,Paramètres!$A$1:$I$89,3,0)*0.475*44/12</f>
        <v>0</v>
      </c>
      <c r="ED83" s="22">
        <f t="shared" si="137"/>
        <v>178.81324524817208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projet'!$A$201:$I$221,2,0)</f>
        <v>#N/A</v>
      </c>
      <c r="EH83" s="12" t="e">
        <f>VLOOKUP(A83,'Données projet'!$A$201:$I$221,9,0)</f>
        <v>#N/A</v>
      </c>
      <c r="EI83" s="12">
        <f t="array" ref="EI83">INDEX(EH:EH,MIN(IF(ISNUMBER(EH83:EH279),ROW(EH83:EH279),"")))</f>
        <v>9.001923076923072</v>
      </c>
      <c r="EJ83" s="12">
        <f>IF('Données projet'!$A$202&gt;35,EJ82+EI83-ER82,IF(A83&lt;'Données projet'!$A$202,$EG$205^A83,IF(A83='Données projet'!$A$202,'Données projet'!$B$202,EJ82+EI83-ER82)))</f>
        <v>320.12500000000034</v>
      </c>
      <c r="EK83" s="17">
        <f>EJ83*VLOOKUP('Données projet'!$B$15,Paramètres!$A$1:$I$89,3,0)*VLOOKUP('Données projet'!$B$15,Paramètres!$A$1:$I$89,5,0)</f>
        <v>149.81850000000017</v>
      </c>
      <c r="EL83" s="13">
        <f t="shared" si="194"/>
        <v>38.537336188594026</v>
      </c>
      <c r="EM83" s="20">
        <f t="shared" si="138"/>
        <v>328.0530813618015</v>
      </c>
      <c r="EN83" s="59">
        <f t="shared" si="139"/>
        <v>621.38641469513482</v>
      </c>
      <c r="EO83" s="59">
        <f ca="1">AVERAGE(OFFSET($EN$3,0,0,'Données projet'!$E$15+1,1))-AVERAGE(OFFSET($H$3,0,0,'Données projet'!$E$15+1,1))</f>
        <v>147.64256291235483</v>
      </c>
      <c r="EP83" s="59">
        <f t="shared" si="195"/>
        <v>70.859031694091868</v>
      </c>
      <c r="EQ83" s="15">
        <f>IF(ISNA(VLOOKUP(A83,'Données projet'!$A$201:$I$221,3,0)),0,VLOOKUP(A83,'Données projet'!$A$201:$I$221,3,0))</f>
        <v>0</v>
      </c>
      <c r="ER83" s="15">
        <f>IF(ISNA(VLOOKUP(A83,'Données projet'!$A$201:$I$221,4,0)),0,VLOOKUP(A83,'Données projet'!$A$201:$I$221,4,0))</f>
        <v>0</v>
      </c>
      <c r="ES83" s="16">
        <f>IF(ISNA(VLOOKUP(A83,'Données projet'!$A$201:$I$221,5,0)),0%,VLOOKUP(A83,'Données projet'!$A$201:$I$221,5,0)*VLOOKUP('Données projet'!$B$15,Paramètres!$A$1:$I$89,7,0))</f>
        <v>0</v>
      </c>
      <c r="ET83" s="16">
        <f>IF(ISNA(VLOOKUP(A83,'Données projet'!$A$201:$I$221,6,0)),0%,VLOOKUP(A83,'Données projet'!$A$201:$I$221,6,0)*VLOOKUP('Données projet'!$B$15,Paramètres!$A$1:$I$89,7,0))</f>
        <v>0</v>
      </c>
      <c r="EU83" s="16">
        <f>IF(ISNA(VLOOKUP(A83,'Données projet'!$A$201:$I$221,7,0)),0%,VLOOKUP(A83,'Données projet'!$A$201:$I$221,7,0))</f>
        <v>0</v>
      </c>
      <c r="EV83" s="21">
        <f>EXP(-LN(2)/35)*EV82+(1-EXP(-LN(2)/35))/(LN(2)/35)*ER83*ES83*VLOOKUP('Données projet'!$B$15,Paramètres!$A$1:$I$89,3,0)*0.475*44/12</f>
        <v>36.929098812365439</v>
      </c>
      <c r="EW83" s="21">
        <f>EXP(-LN(2)/25)*EW82+(1-EXP(-LN(2)/25))/(LN(2)/25)*Calculateur!ER83*Calculateur!ET83*VLOOKUP('Données projet'!$B$15,Paramètres!$A$1:$I$89,3,0)*0.475*44/12</f>
        <v>16.650542124308618</v>
      </c>
      <c r="EX83" s="21">
        <f>EXP(-LN(2)/2)*EX82+(1-EXP(-LN(2)/2))/(LN(2)/2)*ER83*EU83*VLOOKUP('Données projet'!$B$15,Paramètres!$A$1:$I$89,3,0)*0.475*44/12</f>
        <v>1.0773528706645301</v>
      </c>
      <c r="EY83" s="22">
        <f t="shared" si="140"/>
        <v>54.65699380733858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projet'!$A$227:$I$247,2,0)</f>
        <v>208</v>
      </c>
      <c r="FC83" s="12">
        <f>VLOOKUP(A83,'Données projet'!$A$227:$I$247,9,0)</f>
        <v>3.2</v>
      </c>
      <c r="FD83" s="12">
        <f t="array" ref="FD83">INDEX(FC:FC,MIN(IF(ISNUMBER(FC83:FC279),ROW(FC83:FC279),"")))</f>
        <v>3.2</v>
      </c>
      <c r="FE83" s="12">
        <f>IF('Données projet'!$A$228&gt;35,FE82+FD83-FM82,IF(A83&lt;'Données projet'!$A$228,$FB$205^A83,IF(A83='Données projet'!$A$228,'Données projet'!$B$228,FE82+FD83-FM82)))</f>
        <v>207.99999999999991</v>
      </c>
      <c r="FF83" s="17">
        <f>FE83*VLOOKUP('Données projet'!$B$16,Paramètres!$A$1:$I$89,3,0)*VLOOKUP('Données projet'!$B$16,Paramètres!$A$1:$I$89,5,0)</f>
        <v>217.40159999999995</v>
      </c>
      <c r="FG83" s="13">
        <f t="shared" si="196"/>
        <v>53.549746395925119</v>
      </c>
      <c r="FH83" s="20">
        <f t="shared" si="141"/>
        <v>471.90692830623613</v>
      </c>
      <c r="FI83" s="59">
        <f t="shared" si="142"/>
        <v>765.24026163956944</v>
      </c>
      <c r="FJ83" s="59">
        <f ca="1">AVERAGE(OFFSET($FI$3,0,0,'Données projet'!$E$16+1,1))-AVERAGE(OFFSET($H$3,0,0,'Données projet'!$E$16+1,1))</f>
        <v>259.03906550253788</v>
      </c>
      <c r="FK83" s="59">
        <f t="shared" si="197"/>
        <v>235.54542903570831</v>
      </c>
      <c r="FL83" s="15">
        <f>IF(ISNA(VLOOKUP(A83,'Données projet'!$A$227:$I$247,3,0)),0,VLOOKUP(A83,'Données projet'!$A$227:$I$247,3,0))</f>
        <v>13</v>
      </c>
      <c r="FM83" s="15" t="str">
        <f>IF(ISNA(VLOOKUP(A83,'Données projet'!$A$227:$I$247,4,0)),0,VLOOKUP(A83,'Données projet'!$A$227:$I$247,4,0))</f>
        <v>11</v>
      </c>
      <c r="FN83" s="16">
        <f>IF(ISNA(VLOOKUP(A83,'Données projet'!$A$227:$I$247,5,0)),0%,VLOOKUP(A83,'Données projet'!$A$227:$I$247,5,0)*VLOOKUP('Données projet'!$B$16,Paramètres!$A$1:$I$89,7,0))</f>
        <v>0.17200000000000001</v>
      </c>
      <c r="FO83" s="16">
        <f>IF(ISNA(VLOOKUP(A83,'Données projet'!$A$227:$I$247,6,0)),0%,VLOOKUP(A83,'Données projet'!$A$227:$I$247,6,0)*VLOOKUP('Données projet'!$B$16,Paramètres!$A$1:$I$89,7,0))</f>
        <v>0.17200000000000001</v>
      </c>
      <c r="FP83" s="16">
        <f>IF(ISNA(VLOOKUP(A83,'Données projet'!$A$227:$I$247,7,0)),0%,VLOOKUP(A83,'Données projet'!$A$227:$I$247,7,0))</f>
        <v>0</v>
      </c>
      <c r="FQ83" s="21">
        <f>EXP(-LN(2)/35)*FQ82+(1-EXP(-LN(2)/35))/(LN(2)/35)*FM83*FN83*VLOOKUP('Données projet'!$B$16,Paramètres!$A$1:$I$89,3,0)*0.475*44/12</f>
        <v>13.042430390511214</v>
      </c>
      <c r="FR83" s="21">
        <f>EXP(-LN(2)/25)*FR82+(1-EXP(-LN(2)/25))/(LN(2)/25)*Calculateur!FM83*Calculateur!FO83*VLOOKUP('Données projet'!$B$16,Paramètres!$A$1:$I$89,3,0)*0.475*44/12</f>
        <v>17.159082092523843</v>
      </c>
      <c r="FS83" s="21">
        <f>EXP(-LN(2)/2)*FS82+(1-EXP(-LN(2)/2))/(LN(2)/2)*FM83*FP83*VLOOKUP('Données projet'!$B$16,Paramètres!$A$1:$I$89,3,0)*0.475*44/12</f>
        <v>0</v>
      </c>
      <c r="FT83" s="22">
        <f t="shared" si="143"/>
        <v>30.201512483035057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>
        <f>VLOOKUP(A83,'Données projet'!$A$253:$I$273,2,0)</f>
        <v>275</v>
      </c>
      <c r="FX83" s="12">
        <f>VLOOKUP(A83,'Données projet'!$A$253:$I$273,9,0)</f>
        <v>2.8</v>
      </c>
      <c r="FY83" s="12">
        <f t="array" ref="FY83">INDEX(FX:FX,MIN(IF(ISNUMBER(FX83:FX279),ROW(FX83:FX279),"")))</f>
        <v>2.8</v>
      </c>
      <c r="FZ83" s="12">
        <f>IF('Données projet'!$A$254&gt;35,FZ82+FY83-GH82,IF(A83&lt;'Données projet'!$A$254,$FW$205^A83,IF(A83='Données projet'!$A$254,'Données projet'!$B$254,FZ82+FY83-GH82)))</f>
        <v>274.99999999999983</v>
      </c>
      <c r="GA83" s="17">
        <f>FZ83*VLOOKUP('Données projet'!$B$17,Paramètres!$A$1:$I$89,3,0)*VLOOKUP('Données projet'!$B$17,Paramètres!$A$1:$I$89,5,0)</f>
        <v>240.23999999999987</v>
      </c>
      <c r="GB83" s="13">
        <f t="shared" si="198"/>
        <v>58.491164647183084</v>
      </c>
      <c r="GC83" s="20">
        <f t="shared" si="144"/>
        <v>520.29011176051029</v>
      </c>
      <c r="GD83" s="59">
        <f t="shared" si="145"/>
        <v>813.62344509384366</v>
      </c>
      <c r="GE83" s="59">
        <f ca="1">AVERAGE(OFFSET($GD$3,0,0,'Données projet'!$E$17+1,1))-AVERAGE(OFFSET($H$3,0,0,'Données projet'!$E$17+1,1))</f>
        <v>245.1983232777614</v>
      </c>
      <c r="GF83" s="59">
        <f t="shared" si="199"/>
        <v>242.34010522344573</v>
      </c>
      <c r="GG83" s="15">
        <f>IF(ISNA(VLOOKUP(A83,'Données projet'!$A$253:$I$273,3,0)),0,VLOOKUP(A83,'Données projet'!$A$253:$I$273,3,0))</f>
        <v>14</v>
      </c>
      <c r="GH83" s="15">
        <f>IF(ISNA(VLOOKUP(A83,'Données projet'!$A$253:$I$273,4,0)),0,VLOOKUP(A83,'Données projet'!$A$253:$I$273,4,0))</f>
        <v>275</v>
      </c>
      <c r="GI83" s="16">
        <f>IF(ISNA(VLOOKUP(A83,'Données projet'!$A$253:$I$273,5,0)),0%,VLOOKUP(A83,'Données projet'!$A$253:$I$273,5,0)*VLOOKUP('Données projet'!$B$17,Paramètres!$A$1:$I$89,7,0))</f>
        <v>0.37840000000000001</v>
      </c>
      <c r="GJ83" s="16">
        <f>IF(ISNA(VLOOKUP(A83,'Données projet'!$A$253:$I$273,6,0)),0%,VLOOKUP(A83,'Données projet'!$A$253:$I$273,6,0)*VLOOKUP('Données projet'!$B$17,Paramètres!$A$1:$I$89,7,0))</f>
        <v>5.5899999999999998E-2</v>
      </c>
      <c r="GK83" s="16">
        <f>IF(ISNA(VLOOKUP(A83,'Données projet'!$A$253:$I$273,7,0)),0%,VLOOKUP(A83,'Données projet'!$A$253:$I$273,7,0))</f>
        <v>0</v>
      </c>
      <c r="GL83" s="21">
        <f>EXP(-LN(2)/35)*GL82+(1-EXP(-LN(2)/35))/(LN(2)/35)*GH83*GI83*VLOOKUP('Données projet'!$B$17,Paramètres!$A$1:$I$89,3,0)*0.475*44/12</f>
        <v>123.22040244397499</v>
      </c>
      <c r="GM83" s="21">
        <f>EXP(-LN(2)/25)*GM82+(1-EXP(-LN(2)/25))/(LN(2)/25)*Calculateur!GH83*Calculateur!GJ83*VLOOKUP('Données projet'!$B$17,Paramètres!$A$1:$I$89,3,0)*0.475*44/12</f>
        <v>21.777108533046174</v>
      </c>
      <c r="GN83" s="21">
        <f>EXP(-LN(2)/2)*GN82+(1-EXP(-LN(2)/2))/(LN(2)/2)*GH83*GK83*VLOOKUP('Données projet'!$B$17,Paramètres!$A$1:$I$89,3,0)*0.475*44/12</f>
        <v>0</v>
      </c>
      <c r="GO83" s="21">
        <f t="shared" si="146"/>
        <v>144.99751097702116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>
        <f>VLOOKUP(A83,'Données projet'!$A$279:$I$299,2,0)</f>
        <v>840</v>
      </c>
      <c r="GS83" s="12">
        <f>VLOOKUP(A83,'Données projet'!$A$279:$I$299,9,0)</f>
        <v>8.8000000000000007</v>
      </c>
      <c r="GT83" s="12">
        <f t="array" ref="GT83">INDEX(GS:GS,MIN(IF(ISNUMBER(GS83:GS279),ROW(GS83:GS279),"")))</f>
        <v>8.8000000000000007</v>
      </c>
      <c r="GU83" s="12">
        <f>IF('Données projet'!$A$280&gt;35,GU82+GT83-HC82,IF(A83&lt;'Données projet'!$A$280,$GR$205^A83,IF(A83='Données projet'!$A$280,'Données projet'!$B$280,GU82+GT83-HC82)))</f>
        <v>839.99999999999989</v>
      </c>
      <c r="GV83" s="17">
        <f>GU83*VLOOKUP('Données projet'!$B$18,Paramètres!$A$1:$I$89,3,0)*VLOOKUP('Données projet'!$B$18,Paramètres!$A$1:$I$89,5,0)</f>
        <v>338.52</v>
      </c>
      <c r="GW83" s="13">
        <f t="shared" si="200"/>
        <v>79.194091459626705</v>
      </c>
      <c r="GX83" s="20">
        <f t="shared" si="147"/>
        <v>727.51870929218319</v>
      </c>
      <c r="GY83" s="59">
        <f t="shared" si="148"/>
        <v>1020.8520426255166</v>
      </c>
      <c r="GZ83" s="59">
        <f ca="1">AVERAGE(OFFSET($GY$3,0,0,'Données projet'!$E$18+1,1))-AVERAGE(OFFSET($H$3,0,0,'Données projet'!$E$18+1,1))</f>
        <v>324.36162935850876</v>
      </c>
      <c r="HA83" s="59">
        <f t="shared" si="201"/>
        <v>265.23571072429735</v>
      </c>
      <c r="HB83" s="15">
        <f>IF(ISNA(VLOOKUP(A83,'Données projet'!$A$279:$I$299,3,0)),0,VLOOKUP(A83,'Données projet'!$A$279:$I$299,3,0))</f>
        <v>13</v>
      </c>
      <c r="HC83" s="15">
        <f>IF(ISNA(VLOOKUP(A83,'Données projet'!$A$279:$I$299,4,0)),0,VLOOKUP(A83,'Données projet'!$A$279:$I$299,4,0))</f>
        <v>840</v>
      </c>
      <c r="HD83" s="16">
        <f>IF(ISNA(VLOOKUP(A83,'Données projet'!$A$279:$I$299,5,0)),0%,VLOOKUP(A83,'Données projet'!$A$279:$I$299,5,0)*VLOOKUP('Données projet'!$B$18,Paramètres!$A$1:$I$89,7,0))</f>
        <v>0.48888888888888893</v>
      </c>
      <c r="HE83" s="16">
        <f>IF(ISNA(VLOOKUP(A83,'Données projet'!$A$279:$I$299,6,0)),0%,VLOOKUP(A83,'Données projet'!$A$279:$I$299,6,0)*VLOOKUP('Données projet'!$B$18,Paramètres!$A$1:$I$89,7,0))</f>
        <v>3.6666666666666667E-2</v>
      </c>
      <c r="HF83" s="16">
        <f>IF(ISNA(VLOOKUP($A83,'Données projet'!$A$279:$I$299,7,0)),0%,VLOOKUP($A83,'Données projet'!$A$279:$I$299,7,0))</f>
        <v>2.2222222222222223E-2</v>
      </c>
      <c r="HG83" s="21">
        <f>EXP(-LN(2)/35)*HG82+(1-EXP(-LN(2)/35))/(LN(2)/35)*HC83*HD83*VLOOKUP('Données projet'!$B$18,Paramètres!$A$1:$I$89,3,0)*0.475*44/12</f>
        <v>236.12250321365036</v>
      </c>
      <c r="HH83" s="21">
        <f>EXP(-LN(2)/25)*HH82+(1-EXP(-LN(2)/25))/(LN(2)/25)*Calculateur!HC83*Calculateur!HE83*VLOOKUP('Données projet'!$B$18,Paramètres!$A$1:$I$89,3,0)*0.475*44/12</f>
        <v>24.220039874230352</v>
      </c>
      <c r="HI83" s="21">
        <f>EXP(-LN(2)/2)*HI82+(1-EXP(-LN(2)/2))/(LN(2)/2)*HC83*HF83*VLOOKUP('Données projet'!$B$18,Paramètres!$A$1:$I$89,3,0)*0.475*44/12</f>
        <v>8.5472097093799242</v>
      </c>
      <c r="HJ83" s="22">
        <f t="shared" si="149"/>
        <v>268.8897527972606</v>
      </c>
      <c r="HK83" s="74">
        <f>('Scénario référence'!$F$8+'Scénario référence'!$F$9+'Scénario référence'!$B$17+'Scénario référence'!$B$9+'Scénario référence'!$B$10)*70+IF((45+25*(1-EXP(-0.0175*$A83)))&lt;70,'Scénario référence'!$B$16*(45+25*(1-EXP(-0.0175*$A83))),70*'Scénario référence'!$B$16)+IF((32+38*(1-EXP(-0.0175*$A83)))&lt;70,'Scénario référence'!$B$18*(32+38*(1-EXP(-0.0175*$A83))),70*'Scénario référence'!$B$18)</f>
        <v>70</v>
      </c>
      <c r="HL83" s="12">
        <f>IF($A83&gt;30,10,('Scénario référence'!$B$16+'Scénario référence'!$B$17+'Scénario référence'!$B$18+'Scénario référence'!$B$9+'Scénario référence'!$B$10)*$A83*10/30+('Scénario référence'!$F$8+'Scénario référence'!$F$9)*10)</f>
        <v>10</v>
      </c>
      <c r="HM83" s="12" t="e">
        <f>VLOOKUP($A83,'Données projet'!$A$304:$I$324,2,0)</f>
        <v>#N/A</v>
      </c>
      <c r="HN83" s="12" t="e">
        <f>VLOOKUP($A83,'Données projet'!$A$304:$I$324,9,0)</f>
        <v>#N/A</v>
      </c>
      <c r="HO83" s="12">
        <f t="array" ref="HO83">INDEX(HN:HN,MIN(IF(ISNUMBER(HN83:HN279),ROW(HN83:HN279),"")))</f>
        <v>0</v>
      </c>
      <c r="HP83" s="12">
        <f>IF('Données projet'!$A$304&gt;35,HP82+HO83-HX82,IF($A83&lt;'Données projet'!$A$304,$CQ$205^$A83,IF($A83='Données projet'!$A$304,'Données projet'!$B$304,HP82+HO83-HX82)))</f>
        <v>0</v>
      </c>
      <c r="HQ83" s="17">
        <f>HP83*VLOOKUP('Données projet'!$B$19,Paramètres!$A$1:$I$89,3,0)*VLOOKUP('Données projet'!$B$19,Paramètres!$A$1:$I$89,5,0)</f>
        <v>0</v>
      </c>
      <c r="HR83" s="13" t="e">
        <f t="shared" si="202"/>
        <v>#NUM!</v>
      </c>
      <c r="HS83" s="14" t="e">
        <f t="shared" si="150"/>
        <v>#NUM!</v>
      </c>
      <c r="HT83" s="59" t="e">
        <f t="shared" si="151"/>
        <v>#NUM!</v>
      </c>
      <c r="HU83" s="59">
        <f ca="1">AVERAGE(OFFSET(HT$3,0,0,'Données projet'!$E$19+1,1))-AVERAGE(OFFSET($H$3,0,0,'Données projet'!$E$19+1,1))</f>
        <v>91.60721429656013</v>
      </c>
      <c r="HV83" s="59">
        <f t="shared" si="203"/>
        <v>258.94957804210856</v>
      </c>
      <c r="HW83" s="15">
        <f>IF(ISNA(VLOOKUP($A83,'Données projet'!$A$304:$I$324,3,0)),0,VLOOKUP($A83,'Données projet'!$A$304:$I$324,3,0))</f>
        <v>0</v>
      </c>
      <c r="HX83" s="15">
        <f>IF(ISNA(VLOOKUP($A83,'Données projet'!$A$304:$I$324,4,0)),0,VLOOKUP($A83,'Données projet'!$A$304:$I$324,4,0))</f>
        <v>0</v>
      </c>
      <c r="HY83" s="16">
        <f>IF(ISNA(VLOOKUP($A83,'Données projet'!$A$304:$I$324,5,0)),0%,VLOOKUP($A83,'Données projet'!$A$304:$I$324,5,0)*VLOOKUP('Données projet'!$B$19,Paramètres!$A$1:$I$89,7,0))</f>
        <v>0</v>
      </c>
      <c r="HZ83" s="16">
        <f>IF(ISNA(VLOOKUP($A83,'Données projet'!$A$304:$I$324,6,0)),0%,VLOOKUP($A83,'Données projet'!$A$304:$I$324,6,0)*VLOOKUP('Données projet'!$B$19,Paramètres!$A$1:$I$89,7,0))</f>
        <v>0</v>
      </c>
      <c r="IA83" s="16">
        <f>IF(ISNA(VLOOKUP($A83,'Données projet'!$A$304:$I$324,7,0)),0%,VLOOKUP($A83,'Données projet'!$A$304:$I$324,7,0))</f>
        <v>0</v>
      </c>
      <c r="IB83" s="21">
        <f>EXP(-LN(2)/35)*IB82+(1-EXP(-LN(2)/35))/(LN(2)/35)*HX83*HY83*VLOOKUP('Données projet'!$B$19,Paramètres!$A$1:$I$89,3,0)*0.475*44/12</f>
        <v>18.32702936796159</v>
      </c>
      <c r="IC83" s="21">
        <f>EXP(-LN(2)/25)*IC82+(1-EXP(-LN(2)/25))/(LN(2)/25)*Calculateur!HX83*Calculateur!HZ83*VLOOKUP('Données projet'!$B$19,Paramètres!$A$1:$I$89,3,0)*0.475*44/12</f>
        <v>2.4319316690349746</v>
      </c>
      <c r="ID83" s="21">
        <f>EXP(-LN(2)/2)*ID82+(1-EXP(-LN(2)/2))/(LN(2)/2)*HX83*IA83*VLOOKUP('Données projet'!$B$19,Paramètres!$A$1:$I$89,3,0)*0.475*44/12</f>
        <v>1.7072329275130556E-8</v>
      </c>
      <c r="IE83" s="22">
        <f t="shared" si="152"/>
        <v>20.758961054068891</v>
      </c>
      <c r="IF83" s="74">
        <f>('Scénario référence'!$F$8+'Scénario référence'!$F$9+'Scénario référence'!$B$17+'Scénario référence'!$B$9+'Scénario référence'!$B$10)*70+IF((45+25*(1-EXP(-0.0175*$A83)))&lt;70,'Scénario référence'!$B$16*(45+25*(1-EXP(-0.0175*$A83))),70*'Scénario référence'!$B$16)+IF((32+38*(1-EXP(-0.0175*$A83)))&lt;70,'Scénario référence'!$B$18*(32+38*(1-EXP(-0.0175*$A83))),70*'Scénario référence'!$B$18)</f>
        <v>70</v>
      </c>
      <c r="IG83" s="12">
        <f>IF($A83&gt;30,10,('Scénario référence'!$B$16+'Scénario référence'!$B$17+'Scénario référence'!$B$18+'Scénario référence'!$B$9+'Scénario référence'!$B$10)*$A83*10/30+('Scénario référence'!$F$8+'Scénario référence'!$F$9)*10)</f>
        <v>10</v>
      </c>
      <c r="IH83" s="12" t="e">
        <f>VLOOKUP($A83,'Données projet'!$A$330:$I$350,2,0)</f>
        <v>#N/A</v>
      </c>
      <c r="II83" s="12" t="e">
        <f>VLOOKUP($A83,'Données projet'!$A$330:$I$350,9,0)</f>
        <v>#N/A</v>
      </c>
      <c r="IJ83" s="12">
        <f t="array" ref="IJ83">INDEX(II:II,MIN(IF(ISNUMBER(II83:II279),ROW(II83:II279),"")))</f>
        <v>0</v>
      </c>
      <c r="IK83" s="12">
        <f>IF('Données projet'!$A$330&gt;35,IK82+IJ83-IS82,IF($A83&lt;'Données projet'!$A$330,$CQ$205^$A83,IF($A83='Données projet'!$A$330,'Données projet'!$B$330,IK82+IJ83-IS82)))</f>
        <v>0</v>
      </c>
      <c r="IL83" s="17">
        <f>IK83*VLOOKUP('Données projet'!$B$20,Paramètres!$A$1:$I$89,3,0)*VLOOKUP('Données projet'!$B$20,Paramètres!$A$1:$I$89,5,0)</f>
        <v>0</v>
      </c>
      <c r="IM83" s="13" t="e">
        <f t="shared" si="204"/>
        <v>#NUM!</v>
      </c>
      <c r="IN83" s="20" t="e">
        <f t="shared" si="153"/>
        <v>#NUM!</v>
      </c>
      <c r="IO83" s="59" t="e">
        <f t="shared" si="154"/>
        <v>#NUM!</v>
      </c>
      <c r="IP83" s="59">
        <f ca="1">AVERAGE(OFFSET(IO$3,0,0,'Données projet'!$E$20+1,1))-AVERAGE(OFFSET($H$3,0,0,'Données projet'!$E$20+1,1))</f>
        <v>91.60721429656013</v>
      </c>
      <c r="IQ83" s="59">
        <f t="shared" si="205"/>
        <v>258.94957804210856</v>
      </c>
      <c r="IR83" s="15">
        <f>IF(ISNA(VLOOKUP($A83,'Données projet'!$A$330:$I$350,3,0)),0,VLOOKUP($A83,'Données projet'!$A$330:$I$350,3,0))</f>
        <v>0</v>
      </c>
      <c r="IS83" s="15">
        <f>IF(ISNA(VLOOKUP($A83,'Données projet'!$A$330:$I$350,4,0)),0,VLOOKUP($A83,'Données projet'!$A$330:$I$350,4,0))</f>
        <v>0</v>
      </c>
      <c r="IT83" s="16">
        <f>IF(ISNA(VLOOKUP($A83,'Données projet'!$A$330:$I$350,5,0)),0%,VLOOKUP($A83,'Données projet'!$A$330:$I$350,5,0)*VLOOKUP('Données projet'!$B$20,Paramètres!$A$1:$I$89,7,0))</f>
        <v>0</v>
      </c>
      <c r="IU83" s="16">
        <f>IF(ISNA(VLOOKUP($A83,'Données projet'!$A$330:$I$350,6,0)),0%,VLOOKUP($A83,'Données projet'!$A$330:$I$350,6,0)*VLOOKUP('Données projet'!$B$20,Paramètres!$A$1:$I$89,7,0))</f>
        <v>0</v>
      </c>
      <c r="IV83" s="16">
        <f>IF(ISNA(VLOOKUP($A83,'Données projet'!$A$330:$I$350,7,0)),0%,VLOOKUP($A83,'Données projet'!$A$330:$I$350,7,0))</f>
        <v>0</v>
      </c>
      <c r="IW83" s="21">
        <f>EXP(-LN(2)/35)*IW82+(1-EXP(-LN(2)/35))/(LN(2)/35)*IS83*IT83*VLOOKUP('Données projet'!$B$20,Paramètres!$A$1:$I$89,3,0)*0.475*44/12</f>
        <v>18.32702936796159</v>
      </c>
      <c r="IX83" s="21">
        <f>EXP(-LN(2)/25)*IX82+(1-EXP(-LN(2)/25))/(LN(2)/25)*Calculateur!IS83*Calculateur!IU83*VLOOKUP('Données projet'!$B$20,Paramètres!$A$1:$I$89,3,0)*0.475*44/12</f>
        <v>2.4319316690349746</v>
      </c>
      <c r="IY83" s="21">
        <f>EXP(-LN(2)/2)*IY82+(1-EXP(-LN(2)/2))/(LN(2)/2)*IS83*IV83*VLOOKUP('Données projet'!$B$20,Paramètres!$A$1:$I$89,3,0)*0.475*44/12</f>
        <v>1.7072329275130556E-8</v>
      </c>
      <c r="IZ83" s="22">
        <f t="shared" si="155"/>
        <v>20.758961054068891</v>
      </c>
      <c r="JA83" s="74">
        <f>('Scénario référence'!$F$8+'Scénario référence'!$F$9+'Scénario référence'!$B$17+'Scénario référence'!$B$9+'Scénario référence'!$B$10)*70+IF((45+25*(1-EXP(-0.0175*$A83)))&lt;70,'Scénario référence'!$B$16*(45+25*(1-EXP(-0.0175*$A83))),70*'Scénario référence'!$B$16)+IF((32+38*(1-EXP(-0.0175*$A83)))&lt;70,'Scénario référence'!$B$18*(32+38*(1-EXP(-0.0175*$A83))),70*'Scénario référence'!$B$18)</f>
        <v>70</v>
      </c>
      <c r="JB83" s="12">
        <f>IF($A83&gt;30,10,('Scénario référence'!$B$16+'Scénario référence'!$B$17+'Scénario référence'!$B$18+'Scénario référence'!$B$9+'Scénario référence'!$B$10)*$A83*10/30+('Scénario référence'!$F$8+'Scénario référence'!$F$9)*10)</f>
        <v>10</v>
      </c>
      <c r="JC83" s="12">
        <f>VLOOKUP($A83,'Données projet'!$A$356:$I$376,2,0)</f>
        <v>351</v>
      </c>
      <c r="JD83" s="12">
        <f>VLOOKUP($A83,'Données projet'!$A$356:$I$376,9,0)</f>
        <v>8.8000000000000007</v>
      </c>
      <c r="JE83" s="12">
        <f t="array" ref="JE83">INDEX(JD:JD,MIN(IF(ISNUMBER(JD83:JD279),ROW(JD83:JD279),"")))</f>
        <v>8.8000000000000007</v>
      </c>
      <c r="JF83" s="12">
        <f>IF('Données projet'!$A$356&gt;35,JF82+JE83-JN82,IF($A83&lt;'Données projet'!$A$356,$CQ$205^$A83,IF($A83='Données projet'!$A$356,'Données projet'!$B$356,JF82+JE83-JN82)))</f>
        <v>350.99999999999994</v>
      </c>
      <c r="JG83" s="17">
        <f>JF83*VLOOKUP('Données projet'!$B$21,Paramètres!$A$1:$I$89,3,0)*VLOOKUP('Données projet'!$B$21,Paramètres!$A$1:$I$89,5,0)</f>
        <v>284.7312</v>
      </c>
      <c r="JH83" s="13">
        <f t="shared" si="206"/>
        <v>67.96587032005101</v>
      </c>
      <c r="JI83" s="20">
        <f t="shared" si="156"/>
        <v>614.28073080742217</v>
      </c>
      <c r="JJ83" s="59">
        <f t="shared" si="157"/>
        <v>907.61406414075554</v>
      </c>
      <c r="JK83" s="59">
        <f ca="1">AVERAGE(OFFSET($JJ$3,0,0,'Données projet'!$E$22+1,1))-AVERAGE(OFFSET($H$3,0,0,'Données projet'!$E$22+1,1))</f>
        <v>353.35574633294613</v>
      </c>
      <c r="JL83" s="59">
        <f t="shared" si="207"/>
        <v>170.36796666474726</v>
      </c>
      <c r="JM83" s="15">
        <f>IF(ISNA(VLOOKUP($A83,'Données projet'!$A$356:$I$376,3,0)),0,VLOOKUP($A83,'Données projet'!$A$356:$I$376,3,0))</f>
        <v>12</v>
      </c>
      <c r="JN83" s="15">
        <f>IF(ISNA(VLOOKUP($A83,'Données projet'!$A$356:$I$376,4,0)),0,VLOOKUP($A83,'Données projet'!$A$356:$I$376,4,0))</f>
        <v>28</v>
      </c>
      <c r="JO83" s="16">
        <f>IF(ISNA(VLOOKUP($A83,'Données projet'!$A$356:$I$376,5,0)),0%,VLOOKUP($A83,'Données projet'!$A$356:$I$376,5,0)*VLOOKUP('Données projet'!$B$21,Paramètres!$A$1:$I$89,7,0))</f>
        <v>4.3000000000000003E-2</v>
      </c>
      <c r="JP83" s="16">
        <f>IF(ISNA(VLOOKUP($A83,'Données projet'!$A$356:$I$376,6,0)),0%,VLOOKUP($A83,'Données projet'!$A$356:$I$376,6,0)*VLOOKUP('Données projet'!$B$21,Paramètres!$A$1:$I$89,7,0))</f>
        <v>0.17200000000000001</v>
      </c>
      <c r="JQ83" s="16">
        <f>IF(ISNA(VLOOKUP($A83,'Données projet'!$A$356:$I$376,7,0)),0%,VLOOKUP($A83,'Données projet'!$A$356:$I$376,7,0))</f>
        <v>0.3</v>
      </c>
      <c r="JR83" s="21">
        <f>EXP(-LN(2)/35)*JR82+(1-EXP(-LN(2)/35))/(LN(2)/35)*JN83*JO83*VLOOKUP('Données projet'!$B$21,Paramètres!$A$1:$I$89,3,0)*0.475*44/12</f>
        <v>2.0576024395042403</v>
      </c>
      <c r="JS83" s="21">
        <f>EXP(-LN(2)/25)*JS82+(1-EXP(-LN(2)/25))/(LN(2)/25)*Calculateur!JN83*Calculateur!JP83*VLOOKUP('Données projet'!$B$21,Paramètres!$A$1:$I$89,3,0)*0.475*44/12</f>
        <v>17.625835477341585</v>
      </c>
      <c r="JT83" s="21">
        <f>EXP(-LN(2)/2)*JT82+(1-EXP(-LN(2)/2))/(LN(2)/2)*JN83*JQ83*VLOOKUP('Données projet'!$B$21,Paramètres!$A$1:$I$89,3,0)*0.475*44/12</f>
        <v>7.80987103701991</v>
      </c>
      <c r="JU83" s="18">
        <f t="shared" si="158"/>
        <v>27.493308953865736</v>
      </c>
      <c r="JV83" s="74">
        <f>('Scénario référence'!$F$8+'Scénario référence'!$F$9+'Scénario référence'!$B$17+'Scénario référence'!$B$9+'Scénario référence'!$B$10)*70+IF((45+25*(1-EXP(-0.0175*$A83)))&lt;70,'Scénario référence'!$B$16*(45+25*(1-EXP(-0.0175*$A83))),70*'Scénario référence'!$B$16)+IF((32+38*(1-EXP(-0.0175*$A83)))&lt;70,'Scénario référence'!$B$18*(32+38*(1-EXP(-0.0175*$A83))),70*'Scénario référence'!$B$18)</f>
        <v>70</v>
      </c>
      <c r="JW83" s="12">
        <f>IF($A83&gt;30,10,('Scénario référence'!$B$16+'Scénario référence'!$B$17+'Scénario référence'!$B$18+'Scénario référence'!$B$9+'Scénario référence'!$B$10)*$A83*10/30+('Scénario référence'!$F$8+'Scénario référence'!$F$9)*10)</f>
        <v>10</v>
      </c>
      <c r="JX83" s="12">
        <f>VLOOKUP($A83,'Données projet'!$A$382:$I$402,2,0)</f>
        <v>274.01282051282055</v>
      </c>
      <c r="JY83" s="12">
        <f>VLOOKUP($A83,'Données projet'!$A$382:$I$402,9,0)</f>
        <v>7.8425925925925934</v>
      </c>
      <c r="JZ83" s="12">
        <f t="array" ref="JZ83">INDEX(JY:JY,MIN(IF(ISNUMBER(JY83:JY279),ROW(JY83:JY279),"")))</f>
        <v>7.8425925925925934</v>
      </c>
      <c r="KA83" s="12">
        <f>IF('Données projet'!$A$382&gt;35,KA82+JZ83-KI82,IF($A83&lt;'Données projet'!$A$382,$CQ$205^$A83,IF($A83='Données projet'!$A$382,'Données projet'!$B$382,KA82+JZ83-KI82)))</f>
        <v>274.01282051282067</v>
      </c>
      <c r="KB83" s="17">
        <f>KA83*VLOOKUP('Données projet'!$B$22,Paramètres!$A$1:$I$89,3,0)*VLOOKUP('Données projet'!$B$22,Paramètres!$A$1:$I$89,5,0)</f>
        <v>183.8078000000001</v>
      </c>
      <c r="KC83" s="13">
        <f t="shared" si="208"/>
        <v>46.168316611872598</v>
      </c>
      <c r="KD83" s="20">
        <f t="shared" si="159"/>
        <v>400.54173643234486</v>
      </c>
      <c r="KE83" s="59">
        <f t="shared" si="160"/>
        <v>693.87506976567818</v>
      </c>
      <c r="KF83" s="59">
        <f ca="1">AVERAGE(OFFSET($KE$3,0,0,'Données projet'!$E$22+1,1))-AVERAGE(OFFSET($H$3,0,0,'Données projet'!$E$22+1,1))</f>
        <v>193.91714772848269</v>
      </c>
      <c r="KG83" s="59">
        <f t="shared" si="209"/>
        <v>159.20429420478047</v>
      </c>
      <c r="KH83" s="15">
        <f>IF(ISNA(VLOOKUP($A83,'Données projet'!$A$382:$I$402,3,0)),0,VLOOKUP($A83,'Données projet'!$A$382:$I$402,3,0))</f>
        <v>7</v>
      </c>
      <c r="KI83" s="15">
        <f>IF(ISNA(VLOOKUP($A83,'Données projet'!$A$382:$I$402,4,0)),0,VLOOKUP($A83,'Données projet'!$A$382:$I$402,4,0))</f>
        <v>45.608974358974358</v>
      </c>
      <c r="KJ83" s="16">
        <f>IF(ISNA(VLOOKUP($A83,'Données projet'!$A$382:$I$402,5,0)),0%,VLOOKUP($A83,'Données projet'!$A$382:$I$402,5,0)*VLOOKUP('Données projet'!$B$22,Paramètres!$A$1:$I$89,7,0))</f>
        <v>0.371</v>
      </c>
      <c r="KK83" s="16">
        <f>IF(ISNA(VLOOKUP($A83,'Données projet'!$A$382:$I$402,6,0)),0%,VLOOKUP($A83,'Données projet'!$A$382:$I$402,6,0)*VLOOKUP('Données projet'!$B$22,Paramètres!$A$1:$I$89,7,0))</f>
        <v>0</v>
      </c>
      <c r="KL83" s="16">
        <f>IF(ISNA(VLOOKUP($A83,'Données projet'!$A$382:$I$402,7,0)),0%,VLOOKUP($A83,'Données projet'!$A$382:$I$402,7,0))</f>
        <v>0</v>
      </c>
      <c r="KM83" s="21">
        <f>EXP(-LN(2)/35)*KM82+(1-EXP(-LN(2)/35))/(LN(2)/35)*KI83*KJ83*VLOOKUP('Données projet'!$B$22,Paramètres!$A$1:$I$89,3,0)*0.475*44/12</f>
        <v>29.938619286787322</v>
      </c>
      <c r="KN83" s="21">
        <f>EXP(-LN(2)/25)*KN82+(1-EXP(-LN(2)/25))/(LN(2)/25)*Calculateur!KI83*Calculateur!KK83*VLOOKUP('Données projet'!$B$22,Paramètres!$A$1:$I$89,3,0)*0.475*44/12</f>
        <v>0</v>
      </c>
      <c r="KO83" s="21">
        <f>EXP(-LN(2)/2)*KO82+(1-EXP(-LN(2)/2))/(LN(2)/2)*KI83*KL83*VLOOKUP('Données projet'!$B$22,Paramètres!$A$1:$I$89,3,0)*0.475*44/12</f>
        <v>0</v>
      </c>
      <c r="KP83" s="22">
        <f t="shared" si="161"/>
        <v>29.938619286787322</v>
      </c>
      <c r="KQ83" s="74">
        <f>('Scénario référence'!$F$8+'Scénario référence'!$F$9+'Scénario référence'!$B$17+'Scénario référence'!$B$9+'Scénario référence'!$B$10)*70+IF((45+25*(1-EXP(-0.0175*$A83)))&lt;70,'Scénario référence'!$B$16*(45+25*(1-EXP(-0.0175*$A83))),70*'Scénario référence'!$B$16)+IF((32+38*(1-EXP(-0.0175*$A83)))&lt;70,'Scénario référence'!$B$18*(32+38*(1-EXP(-0.0175*$A83))),70*'Scénario référence'!$B$18)</f>
        <v>70</v>
      </c>
      <c r="KR83" s="12">
        <f>IF($A83&gt;30,10,('Scénario référence'!$B$16+'Scénario référence'!$B$17+'Scénario référence'!$B$18+'Scénario référence'!$B$9+'Scénario référence'!$B$10)*$A83*10/30+('Scénario référence'!$F$8+'Scénario référence'!$F$9)*10)</f>
        <v>10</v>
      </c>
      <c r="KS83" s="12">
        <f>VLOOKUP($A83,'Données projet'!$A$408:$I$428,2,0)</f>
        <v>275</v>
      </c>
      <c r="KT83" s="12">
        <f>VLOOKUP($A83,'Données projet'!$A$408:$I$428,9,0)</f>
        <v>2.8</v>
      </c>
      <c r="KU83" s="12">
        <f t="array" ref="KU83">INDEX(KT:KT,MIN(IF(ISNUMBER(KT83:KT279),ROW(KT83:KT279),"")))</f>
        <v>2.8</v>
      </c>
      <c r="KV83" s="12">
        <f>IF('Données projet'!$A$408&gt;35,KV82+KU83-LD82,IF($A83&lt;'Données projet'!$A$408,$CQ$205^$A83,IF($A83='Données projet'!$A$408,'Données projet'!$B$408,KV82+KU83-LD82)))</f>
        <v>274.99999999999989</v>
      </c>
      <c r="KW83" s="17">
        <f>KV83*VLOOKUP('Données projet'!$B$23,Paramètres!$A$1:$I$89,3,0)*VLOOKUP('Données projet'!$B$23,Paramètres!$A$1:$I$89,5,0)</f>
        <v>240.23999999999992</v>
      </c>
      <c r="KX83" s="13">
        <f t="shared" si="210"/>
        <v>58.491164647183133</v>
      </c>
      <c r="KY83" s="14">
        <f t="shared" si="162"/>
        <v>520.29011176051051</v>
      </c>
      <c r="KZ83" s="59">
        <f t="shared" si="163"/>
        <v>813.62344509384388</v>
      </c>
      <c r="LA83" s="59">
        <f ca="1">AVERAGE(OFFSET($KZ$3,0,0,'Données projet'!$E$23+1,1))-AVERAGE(OFFSET($H$3,0,0,'Données projet'!$E$23+1,1))</f>
        <v>248.33596943633819</v>
      </c>
      <c r="LB83" s="59">
        <f t="shared" si="211"/>
        <v>242.34010522344573</v>
      </c>
      <c r="LC83" s="15">
        <f>IF(ISNA(VLOOKUP($A83,'Données projet'!$A$408:$I$428,3,0)),0,VLOOKUP($A83,'Données projet'!$A$408:$I$428,3,0))</f>
        <v>14</v>
      </c>
      <c r="LD83" s="15">
        <f>IF(ISNA(VLOOKUP($A83,'Données projet'!$A$408:$I$428,4,0)),0,VLOOKUP($A83,'Données projet'!$A$408:$I$428,4,0))</f>
        <v>275</v>
      </c>
      <c r="LE83" s="16">
        <f>IF(ISNA(VLOOKUP($A83,'Données projet'!$A$408:$I$428,5,0)),0%,VLOOKUP($A83,'Données projet'!$A$408:$I$428,5,0)*VLOOKUP('Données projet'!$B$23,Paramètres!$A$1:$I$89,7,0))</f>
        <v>0.37840000000000001</v>
      </c>
      <c r="LF83" s="16">
        <f>IF(ISNA(VLOOKUP($A83,'Données projet'!$A$408:$I$428,6,0)),0%,VLOOKUP($A83,'Données projet'!$A$408:$I$428,6,0)*VLOOKUP('Données projet'!$B$23,Paramètres!$A$1:$I$89,7,0))</f>
        <v>5.5899999999999998E-2</v>
      </c>
      <c r="LG83" s="16">
        <f>IF(ISNA(VLOOKUP($A83,'Données projet'!$A$408:$I$428,7,0)),0%,VLOOKUP($A83,'Données projet'!$A$408:$I$428,7,0))</f>
        <v>0</v>
      </c>
      <c r="LH83" s="21">
        <f>EXP(-LN(2)/35)*LH82+(1-EXP(-LN(2)/35))/(LN(2)/35)*LD83*LE83*VLOOKUP('Données projet'!$B$23,Paramètres!$A$1:$I$89,3,0)*0.475*44/12</f>
        <v>123.22040244397499</v>
      </c>
      <c r="LI83" s="21">
        <f>EXP(-LN(2)/25)*LI82+(1-EXP(-LN(2)/25))/(LN(2)/25)*Calculateur!LD83*Calculateur!LF83*VLOOKUP('Données projet'!$B$23,Paramètres!$A$1:$I$89,3,0)*0.475*44/12</f>
        <v>21.777108533046174</v>
      </c>
      <c r="LJ83" s="21">
        <f>EXP(-LN(2)/2)*LJ82+(1-EXP(-LN(2)/2))/(LN(2)/2)*LD83*LG83*VLOOKUP('Données projet'!$B$23,Paramètres!$A$1:$I$89,3,0)*0.475*44/12</f>
        <v>0</v>
      </c>
      <c r="LK83" s="22">
        <f t="shared" si="164"/>
        <v>144.99751097702116</v>
      </c>
      <c r="LL83" s="74">
        <f>('Scénario référence'!$F$8+'Scénario référence'!$F$9+'Scénario référence'!$B$17+'Scénario référence'!$B$9+'Scénario référence'!$B$10)*70+IF((45+25*(1-EXP(-0.0175*$A83)))&lt;70,'Scénario référence'!$B$16*(45+25*(1-EXP(-0.0175*$A83))),70*'Scénario référence'!$B$16)+IF((32+38*(1-EXP(-0.0175*$A83)))&lt;70,'Scénario référence'!$B$18*(32+38*(1-EXP(-0.0175*$A83))),70*'Scénario référence'!$B$18)</f>
        <v>70</v>
      </c>
      <c r="LM83" s="12">
        <f>IF($A83&gt;30,10,('Scénario référence'!$B$16+'Scénario référence'!$B$17+'Scénario référence'!$B$18+'Scénario référence'!$B$9+'Scénario référence'!$B$10)*$A83*10/30+('Scénario référence'!$F$8+'Scénario référence'!$F$9)*10)</f>
        <v>10</v>
      </c>
      <c r="LN83" s="12" t="e">
        <f>VLOOKUP($A83,'Données projet'!$A$434:$I$454,2,0)</f>
        <v>#N/A</v>
      </c>
      <c r="LO83" s="12" t="e">
        <f>VLOOKUP($A83,'Données projet'!$A$434:$I$454,9,0)</f>
        <v>#N/A</v>
      </c>
      <c r="LP83" s="12">
        <f t="array" ref="LP83">INDEX(LO:LO,MIN(IF(ISNUMBER(LO83:LO279),ROW(LO83:LO279),"")))</f>
        <v>5.5042735042735051</v>
      </c>
      <c r="LQ83" s="12">
        <f>IF('Données projet'!$A$434&gt;35,LQ82+LP83-LY82,IF($A83&lt;'Données projet'!$A$434,$CQ$205^$A83,IF($A83='Données projet'!$A$434,'Données projet'!$B$434,LQ82+LP83-LY82)))</f>
        <v>177.98931623931617</v>
      </c>
      <c r="LR83" s="17">
        <f>LQ83*VLOOKUP('Données projet'!$B$24,Paramètres!$A$1:$I$89,3,0)*VLOOKUP('Données projet'!$B$24,Paramètres!$A$1:$I$89,5,0)</f>
        <v>180.48116666666661</v>
      </c>
      <c r="LS83" s="13">
        <f t="shared" si="212"/>
        <v>45.429220246818225</v>
      </c>
      <c r="LT83" s="14">
        <f t="shared" si="165"/>
        <v>393.46059054098606</v>
      </c>
      <c r="LU83" s="59">
        <f t="shared" si="166"/>
        <v>686.79392387431938</v>
      </c>
      <c r="LV83" s="59">
        <f ca="1">AVERAGE(OFFSET($LU$3,0,0,'Données projet'!$E$24+1,1))-AVERAGE(OFFSET($H$3,0,0,'Données projet'!$E$24+1,1))</f>
        <v>260.52627655062872</v>
      </c>
      <c r="LW83" s="59">
        <f t="shared" si="213"/>
        <v>159.20429420478047</v>
      </c>
      <c r="LX83" s="15">
        <f>IF(ISNA(VLOOKUP($A83,'Données projet'!$A$434:$I$454,3,0)),0,VLOOKUP($A83,'Données projet'!$A$434:$I$454,3,0))</f>
        <v>0</v>
      </c>
      <c r="LY83" s="15">
        <f>IF(ISNA(VLOOKUP($A83,'Données projet'!$A$434:$I$454,4,0)),0,VLOOKUP($A83,'Données projet'!$A$434:$I$454,4,0))</f>
        <v>0</v>
      </c>
      <c r="LZ83" s="16">
        <f>IF(ISNA(VLOOKUP($A83,'Données projet'!$A$434:$I$454,5,0)),0%,VLOOKUP($A83,'Données projet'!$A$434:$I$454,5,0)*VLOOKUP('Données projet'!$B$24,Paramètres!$A$1:$I$89,7,0))</f>
        <v>0</v>
      </c>
      <c r="MA83" s="16">
        <f>IF(ISNA(VLOOKUP($A83,'Données projet'!$A$434:$I$454,6,0)),0%,VLOOKUP($A83,'Données projet'!$A$434:$I$454,6,0)*VLOOKUP('Données projet'!$B$24,Paramètres!$A$1:$I$89,7,0))</f>
        <v>0</v>
      </c>
      <c r="MB83" s="16">
        <f>IF(ISNA(VLOOKUP($A83,'Données projet'!$A$434:$I$454,7,0)),0%,VLOOKUP($A83,'Données projet'!$A$434:$I$454,7,0))</f>
        <v>0</v>
      </c>
      <c r="MC83" s="21">
        <f>EXP(-LN(2)/35)*MC82+(1-EXP(-LN(2)/35))/(LN(2)/35)*LY83*LZ83*VLOOKUP('Données projet'!$B$24,Paramètres!$A$1:$I$89,3,0)*0.475*44/12</f>
        <v>9.4480011932215948</v>
      </c>
      <c r="MD83" s="21">
        <f>EXP(-LN(2)/25)*MD82+(1-EXP(-LN(2)/25))/(LN(2)/25)*Calculateur!LY83*Calculateur!MA83*VLOOKUP('Données projet'!$B$24,Paramètres!$A$1:$I$89,3,0)*0.475*44/12</f>
        <v>0</v>
      </c>
      <c r="ME83" s="21">
        <f>EXP(-LN(2)/2)*ME82+(1-EXP(-LN(2)/2))/(LN(2)/2)*LY83*MB83*VLOOKUP('Données projet'!$B$24,Paramètres!$A$1:$I$89,3,0)*0.475*44/12</f>
        <v>0</v>
      </c>
      <c r="MF83" s="22">
        <f t="shared" si="167"/>
        <v>9.4480011932215948</v>
      </c>
      <c r="MG83" s="74">
        <f>('Scénario référence'!$F$8+'Scénario référence'!$F$9+'Scénario référence'!$B$17+'Scénario référence'!$B$9+'Scénario référence'!$B$10)*70+IF((45+25*(1-EXP(-0.0175*$A83)))&lt;70,'Scénario référence'!$B$16*(45+25*(1-EXP(-0.0175*$A83))),70*'Scénario référence'!$B$16)+IF((32+38*(1-EXP(-0.0175*$A83)))&lt;70,'Scénario référence'!$B$18*(32+38*(1-EXP(-0.0175*$A83))),70*'Scénario référence'!$B$18)</f>
        <v>70</v>
      </c>
      <c r="MH83" s="12">
        <f>IF($A83&gt;30,10,('Scénario référence'!$B$16+'Scénario référence'!$B$17+'Scénario référence'!$B$18+'Scénario référence'!$B$9+'Scénario référence'!$B$10)*$A83*10/30+('Scénario référence'!$F$8+'Scénario référence'!$F$9)*10)</f>
        <v>10</v>
      </c>
      <c r="MI83" s="12" t="e">
        <f>VLOOKUP($A83,'Données projet'!$A$460:$I$480,2,0)</f>
        <v>#N/A</v>
      </c>
      <c r="MJ83" s="12" t="e">
        <f>VLOOKUP($A83,'Données projet'!$A$460:$I$480,9,0)</f>
        <v>#N/A</v>
      </c>
      <c r="MK83" s="12">
        <f t="array" ref="MK83">INDEX(MJ:MJ,MIN(IF(ISNUMBER(MJ83:MJ279),ROW(MJ83:MJ279),"")))</f>
        <v>0</v>
      </c>
      <c r="ML83" s="12">
        <f>IF('Données projet'!$A$460&gt;35,ML82+MK83-MT82,IF($A83&lt;'Données projet'!$A$460,$CQ$205^$A83,IF($A83='Données projet'!$A$460,'Données projet'!$B$460,ML82+MK83-MT82)))</f>
        <v>0</v>
      </c>
      <c r="MM83" s="17" t="e">
        <f>ML83*VLOOKUP('Données projet'!$B$25,Paramètres!$A$1:$I$89,3,0)*VLOOKUP('Données projet'!$B$25,Paramètres!$A$1:$I$89,5,0)</f>
        <v>#N/A</v>
      </c>
      <c r="MN83" s="13" t="e">
        <f t="shared" si="214"/>
        <v>#N/A</v>
      </c>
      <c r="MO83" s="14" t="e">
        <f t="shared" si="168"/>
        <v>#N/A</v>
      </c>
      <c r="MP83" s="59" t="e">
        <f t="shared" si="169"/>
        <v>#N/A</v>
      </c>
      <c r="MQ83" s="20" t="e">
        <f ca="1">AVERAGE(OFFSET($MP$3,0,0,'Données projet'!$E$25+1,1))-AVERAGE(OFFSET($H$3,0,0,'Données projet'!$E$25+1,1))</f>
        <v>#N/A</v>
      </c>
      <c r="MR83" s="59" t="e">
        <f t="shared" si="215"/>
        <v>#N/A</v>
      </c>
      <c r="MS83" s="15">
        <f>IF(ISNA(VLOOKUP($A83,'Données projet'!$A$460:$I$480,3,0)),0,VLOOKUP($A83,'Données projet'!$A$460:$I$480,3,0))</f>
        <v>0</v>
      </c>
      <c r="MT83" s="15">
        <f>IF(ISNA(VLOOKUP($A83,'Données projet'!$A$460:$I$480,4,0)),0,VLOOKUP($A83,'Données projet'!$A$460:$I$480,4,0))</f>
        <v>0</v>
      </c>
      <c r="MU83" s="16">
        <f>IF(ISNA(VLOOKUP($A83,'Données projet'!$A$460:$I$480,5,0)),0%,VLOOKUP($A83,'Données projet'!$A$460:$I$480,5,0)*VLOOKUP('Données projet'!$B$25,Paramètres!$A$1:$I$89,7,0))</f>
        <v>0</v>
      </c>
      <c r="MV83" s="16">
        <f>IF(ISNA(VLOOKUP($A83,'Données projet'!$A$460:$I$480,6,0)),0%,VLOOKUP($A83,'Données projet'!$A$460:$I$480,6,0)*VLOOKUP('Données projet'!$B$25,Paramètres!$A$1:$I$89,7,0))</f>
        <v>0</v>
      </c>
      <c r="MW83" s="16">
        <f>IF(ISNA(VLOOKUP($A83,'Données projet'!$A$460:$I$480,7,0)),0%,VLOOKUP($A83,'Données projet'!$A$460:$I$480,7,0))</f>
        <v>0</v>
      </c>
      <c r="MX83" s="21" t="e">
        <f>EXP(-LN(2)/35)*MX82+(1-EXP(-LN(2)/35))/(LN(2)/35)*MT83*MU83*VLOOKUP('Données projet'!$B$25,Paramètres!$A$1:$I$89,3,0)*0.475*44/12</f>
        <v>#N/A</v>
      </c>
      <c r="MY83" s="21" t="e">
        <f>EXP(-LN(2)/25)*MY82+(1-EXP(-LN(2)/25))/(LN(2)/25)*Calculateur!MT83*Calculateur!MV83*VLOOKUP('Données projet'!$B$25,Paramètres!$A$1:$I$89,3,0)*0.475*44/12</f>
        <v>#N/A</v>
      </c>
      <c r="MZ83" s="21" t="e">
        <f>EXP(-LN(2)/2)*MZ82+(1-EXP(-LN(2)/2))/(LN(2)/2)*MT83*MW83*VLOOKUP('Données projet'!$B$25,Paramètres!$A$1:$I$89,3,0)*0.475*44/12</f>
        <v>#N/A</v>
      </c>
      <c r="NA83" s="22" t="e">
        <f t="shared" si="170"/>
        <v>#N/A</v>
      </c>
      <c r="NB83" s="74">
        <f>('Scénario référence'!$F$8+'Scénario référence'!$F$9+'Scénario référence'!$B$17+'Scénario référence'!$B$9+'Scénario référence'!$B$10)*70+IF((45+25*(1-EXP(-0.0175*$A83)))&lt;70,'Scénario référence'!$B$16*(45+25*(1-EXP(-0.0175*$A83))),70*'Scénario référence'!$B$16)+IF((32+38*(1-EXP(-0.0175*$A83)))&lt;70,'Scénario référence'!$B$18*(32+38*(1-EXP(-0.0175*$A83))),70*'Scénario référence'!$B$18)</f>
        <v>70</v>
      </c>
      <c r="NC83" s="12">
        <f>IF($A83&gt;30,10,('Scénario référence'!$B$16+'Scénario référence'!$B$17+'Scénario référence'!$B$18+'Scénario référence'!$B$9+'Scénario référence'!$B$10)*$A83*10/30+('Scénario référence'!$F$8+'Scénario référence'!$F$9)*10)</f>
        <v>10</v>
      </c>
      <c r="ND83" s="12" t="e">
        <f>VLOOKUP($A83,'Données projet'!$A$486:$I$506,2,0)</f>
        <v>#N/A</v>
      </c>
      <c r="NE83" s="12" t="e">
        <f>VLOOKUP($A83,'Données projet'!$A$486:$I$506,9,0)</f>
        <v>#N/A</v>
      </c>
      <c r="NF83" s="12">
        <f t="array" ref="NF83">INDEX(NE:NE,MIN(IF(ISNUMBER(NE83:NE279),ROW(NE83:NE279),"")))</f>
        <v>0</v>
      </c>
      <c r="NG83" s="12">
        <f>IF('Données projet'!$A$486&gt;35,NG82+NF83-NO82,IF($A83&lt;'Données projet'!$A$486,$CQ$205^$A83,IF($A83='Données projet'!$A$486,'Données projet'!$B$486,NG82+NF83-NO82)))</f>
        <v>0</v>
      </c>
      <c r="NH83" s="17" t="e">
        <f>NG83*VLOOKUP('Données projet'!$B$26,Paramètres!$A$1:$I$89,3,0)*VLOOKUP('Données projet'!$B$26,Paramètres!$A$1:$I$89,5,0)</f>
        <v>#N/A</v>
      </c>
      <c r="NI83" s="13" t="e">
        <f t="shared" si="216"/>
        <v>#N/A</v>
      </c>
      <c r="NJ83" s="14" t="e">
        <f t="shared" si="171"/>
        <v>#N/A</v>
      </c>
      <c r="NK83" s="59" t="e">
        <f t="shared" si="172"/>
        <v>#N/A</v>
      </c>
      <c r="NL83" s="20" t="e">
        <f ca="1">AVERAGE(OFFSET($NK$3,0,0,'Données projet'!$E$26+1,1))-AVERAGE(OFFSET($H$3,0,0,'Données projet'!$E$26+1,1))</f>
        <v>#N/A</v>
      </c>
      <c r="NM83" s="59" t="e">
        <f t="shared" si="217"/>
        <v>#N/A</v>
      </c>
      <c r="NN83" s="15">
        <f>IF(ISNA(VLOOKUP($A83,'Données projet'!$A$486:$I$506,3,0)),0,VLOOKUP($A83,'Données projet'!$A$486:$I$506,3,0))</f>
        <v>0</v>
      </c>
      <c r="NO83" s="15">
        <f>IF(ISNA(VLOOKUP($A83,'Données projet'!$A$486:$I$506,4,0)),0,VLOOKUP($A83,'Données projet'!$A$486:$I$506,4,0))</f>
        <v>0</v>
      </c>
      <c r="NP83" s="16">
        <f>IF(ISNA(VLOOKUP($A83,'Données projet'!$A$486:$I$506,5,0)),0%,VLOOKUP($A83,'Données projet'!$A$486:$I$506,5,0)*VLOOKUP('Données projet'!$B$26,Paramètres!$A$1:$I$89,7,0))</f>
        <v>0</v>
      </c>
      <c r="NQ83" s="16">
        <f>IF(ISNA(VLOOKUP($A83,'Données projet'!$A$486:$I$506,6,0)),0%,VLOOKUP($A83,'Données projet'!$A$486:$I$506,6,0)*VLOOKUP('Données projet'!$B$26,Paramètres!$A$1:$I$89,7,0))</f>
        <v>0</v>
      </c>
      <c r="NR83" s="16">
        <f>IF(ISNA(VLOOKUP($A83,'Données projet'!$A$486:$I$506,7,0)),0%,VLOOKUP($A83,'Données projet'!$A$486:$I$506,7,0))</f>
        <v>0</v>
      </c>
      <c r="NS83" s="21" t="e">
        <f>EXP(-LN(2)/35)*NS82+(1-EXP(-LN(2)/35))/(LN(2)/35)*NO83*NP83*VLOOKUP('Données projet'!$B$26,Paramètres!$A$1:$I$89,3,0)*0.475*44/12</f>
        <v>#N/A</v>
      </c>
      <c r="NT83" s="21" t="e">
        <f>EXP(-LN(2)/25)*NT82+(1-EXP(-LN(2)/25))/(LN(2)/25)*Calculateur!NO83*Calculateur!NQ83*VLOOKUP('Données projet'!$B$26,Paramètres!$A$1:$I$89,3,0)*0.475*44/12</f>
        <v>#N/A</v>
      </c>
      <c r="NU83" s="21" t="e">
        <f>EXP(-LN(2)/2)*NU82+(1-EXP(-LN(2)/2))/(LN(2)/2)*NO83*NR83*VLOOKUP('Données projet'!$B$26,Paramètres!$A$1:$I$89,3,0)*0.475*44/12</f>
        <v>#N/A</v>
      </c>
      <c r="NV83" s="22" t="e">
        <f t="shared" si="173"/>
        <v>#N/A</v>
      </c>
      <c r="NW83" s="74">
        <f>('Scénario référence'!$F$8+'Scénario référence'!$F$9+'Scénario référence'!$B$17+'Scénario référence'!$B$9+'Scénario référence'!$B$10)*70+IF((45+25*(1-EXP(-0.0175*$A83)))&lt;70,'Scénario référence'!$B$16*(45+25*(1-EXP(-0.0175*$A83))),70*'Scénario référence'!$B$16)+IF((32+38*(1-EXP(-0.0175*$A83)))&lt;70,'Scénario référence'!$B$18*(32+38*(1-EXP(-0.0175*$A83))),70*'Scénario référence'!$B$18)</f>
        <v>70</v>
      </c>
      <c r="NX83" s="12">
        <f>IF($A83&gt;30,10,('Scénario référence'!$B$16+'Scénario référence'!$B$17+'Scénario référence'!$B$18+'Scénario référence'!$B$9+'Scénario référence'!$B$10)*$A83*10/30+('Scénario référence'!$F$8+'Scénario référence'!$F$9)*10)</f>
        <v>10</v>
      </c>
      <c r="NY83" s="12" t="e">
        <f>VLOOKUP($A83,'Données projet'!$A$512:$I$532,2,0)</f>
        <v>#N/A</v>
      </c>
      <c r="NZ83" s="12" t="e">
        <f>VLOOKUP($A83,'Données projet'!$A$512:$I$532,9,0)</f>
        <v>#N/A</v>
      </c>
      <c r="OA83" s="12">
        <f t="array" ref="OA83">INDEX(NZ:NZ,MIN(IF(ISNUMBER(NZ83:NZ279),ROW(NZ83:NZ279),"")))</f>
        <v>0</v>
      </c>
      <c r="OB83" s="12">
        <f>IF('Données projet'!$A$512&gt;35,OB82+OA83-OJ82,IF($A83&lt;'Données projet'!$A$512,$CQ$205^$A83,IF($A83='Données projet'!$A$512,'Données projet'!$B$512,OB82+OA83-OJ82)))</f>
        <v>0</v>
      </c>
      <c r="OC83" s="17" t="e">
        <f>OB83*VLOOKUP('Données projet'!$B$27,Paramètres!$A$1:$I$89,3,0)*VLOOKUP('Données projet'!$B$27,Paramètres!$A$1:$I$89,5,0)</f>
        <v>#N/A</v>
      </c>
      <c r="OD83" s="13" t="e">
        <f t="shared" si="218"/>
        <v>#N/A</v>
      </c>
      <c r="OE83" s="14" t="e">
        <f t="shared" si="174"/>
        <v>#N/A</v>
      </c>
      <c r="OF83" s="59" t="e">
        <f t="shared" si="175"/>
        <v>#N/A</v>
      </c>
      <c r="OG83" s="20" t="e">
        <f ca="1">AVERAGE(OFFSET($OF$3,0,0,'Données projet'!$E$27+1,1))-AVERAGE(OFFSET($H$3,0,0,'Données projet'!$E$27+1,1))</f>
        <v>#N/A</v>
      </c>
      <c r="OH83" s="59" t="e">
        <f t="shared" si="219"/>
        <v>#N/A</v>
      </c>
      <c r="OI83" s="15">
        <f>IF(ISNA(VLOOKUP($A83,'Données projet'!$A$512:$I$532,3,0)),0,VLOOKUP($A83,'Données projet'!$A$512:$I$532,3,0))</f>
        <v>0</v>
      </c>
      <c r="OJ83" s="15">
        <f>IF(ISNA(VLOOKUP($A83,'Données projet'!$A$512:$I$532,4,0)),0,VLOOKUP($A83,'Données projet'!$A$512:$I$532,4,0))</f>
        <v>0</v>
      </c>
      <c r="OK83" s="16">
        <f>IF(ISNA(VLOOKUP($A83,'Données projet'!$A$512:$I$532,5,0)),0%,VLOOKUP($A83,'Données projet'!$A$512:$I$532,5,0)*VLOOKUP('Données projet'!$B$27,Paramètres!$A$1:$I$89,7,0))</f>
        <v>0</v>
      </c>
      <c r="OL83" s="16">
        <f>IF(ISNA(VLOOKUP($A83,'Données projet'!$A$512:$I$532,6,0)),0%,VLOOKUP($A83,'Données projet'!$A$512:$I$532,6,0)*VLOOKUP('Données projet'!$B$27,Paramètres!$A$1:$I$89,7,0))</f>
        <v>0</v>
      </c>
      <c r="OM83" s="16">
        <f>IF(ISNA(VLOOKUP($A83,'Données projet'!$A$512:$I$532,7,0)),0%,VLOOKUP($A83,'Données projet'!$A$512:$I$532,7,0))</f>
        <v>0</v>
      </c>
      <c r="ON83" s="21" t="e">
        <f>EXP(-LN(2)/35)*ON82+(1-EXP(-LN(2)/35))/(LN(2)/35)*OJ83*OK83*VLOOKUP('Données projet'!$B$27,Paramètres!$A$1:$I$89,3,0)*0.475*44/12</f>
        <v>#N/A</v>
      </c>
      <c r="OO83" s="21" t="e">
        <f>EXP(-LN(2)/25)*OO82+(1-EXP(-LN(2)/25))/(LN(2)/25)*Calculateur!OJ83*Calculateur!OL83*VLOOKUP('Données projet'!$B$27,Paramètres!$A$1:$I$89,3,0)*0.475*44/12</f>
        <v>#N/A</v>
      </c>
      <c r="OP83" s="21" t="e">
        <f>EXP(-LN(2)/2)*OP82+(1-EXP(-LN(2)/2))/(LN(2)/2)*OJ83*OM83*VLOOKUP('Données projet'!$B$27,Paramètres!$A$1:$I$89,3,0)*0.475*44/12</f>
        <v>#N/A</v>
      </c>
      <c r="OQ83" s="22" t="e">
        <f t="shared" si="176"/>
        <v>#N/A</v>
      </c>
      <c r="OR83" s="74">
        <f>('Scénario référence'!$F$8+'Scénario référence'!$F$9+'Scénario référence'!$B$17+'Scénario référence'!$B$9+'Scénario référence'!$B$10)*70+IF((45+25*(1-EXP(-0.0175*$A83)))&lt;70,'Scénario référence'!$B$16*(45+25*(1-EXP(-0.0175*$A83))),70*'Scénario référence'!$B$16)+IF((32+38*(1-EXP(-0.0175*$A83)))&lt;70,'Scénario référence'!$B$18*(32+38*(1-EXP(-0.0175*$A83))),70*'Scénario référence'!$B$18)</f>
        <v>70</v>
      </c>
      <c r="OS83" s="12">
        <f>IF($A83&gt;30,10,('Scénario référence'!$B$16+'Scénario référence'!$B$17+'Scénario référence'!$B$18+'Scénario référence'!$B$9+'Scénario référence'!$B$10)*$A83*10/30+('Scénario référence'!$F$8+'Scénario référence'!$F$9)*10)</f>
        <v>10</v>
      </c>
      <c r="OT83" s="12" t="e">
        <f>VLOOKUP($A83,'Données projet'!$A$538:$I$558,2,0)</f>
        <v>#N/A</v>
      </c>
      <c r="OU83" s="12" t="e">
        <f>VLOOKUP($A83,'Données projet'!$A$538:$I$558,9,0)</f>
        <v>#N/A</v>
      </c>
      <c r="OV83" s="12">
        <f t="array" ref="OV83">INDEX(OU:OU,MIN(IF(ISNUMBER(OU83:OU279),ROW(OU83:OU279),"")))</f>
        <v>0</v>
      </c>
      <c r="OW83" s="12">
        <f>IF('Données projet'!$A$538&gt;35,OW82+OV83-PE82,IF($A83&lt;'Données projet'!$A$538,$CQ$205^$A83,IF($A83='Données projet'!$A$538,'Données projet'!$B$538,OW82+OV83-PE82)))</f>
        <v>0</v>
      </c>
      <c r="OX83" s="17" t="e">
        <f>OW83*VLOOKUP('Données projet'!$B$28,Paramètres!$A$1:$I$89,3,0)*VLOOKUP('Données projet'!$B$28,Paramètres!$A$1:$I$89,5,0)</f>
        <v>#N/A</v>
      </c>
      <c r="OY83" s="13" t="e">
        <f t="shared" si="220"/>
        <v>#N/A</v>
      </c>
      <c r="OZ83" s="14" t="e">
        <f t="shared" si="177"/>
        <v>#N/A</v>
      </c>
      <c r="PA83" s="59" t="e">
        <f t="shared" si="178"/>
        <v>#N/A</v>
      </c>
      <c r="PB83" s="20" t="e">
        <f ca="1">AVERAGE(OFFSET($PA$3,0,0,'Données projet'!$E$28+1,1))-AVERAGE(OFFSET($H$3,0,0,'Données projet'!$E$28+1,1))</f>
        <v>#N/A</v>
      </c>
      <c r="PC83" s="59" t="e">
        <f t="shared" si="221"/>
        <v>#N/A</v>
      </c>
      <c r="PD83" s="15">
        <f>IF(ISNA(VLOOKUP($A83,'Données projet'!$A$538:$I$558,3,0)),0,VLOOKUP($A83,'Données projet'!$A$538:$I$558,3,0))</f>
        <v>0</v>
      </c>
      <c r="PE83" s="15">
        <f>IF(ISNA(VLOOKUP($A83,'Données projet'!$A$538:$I$558,4,0)),0,VLOOKUP($A83,'Données projet'!$A$538:$I$558,4,0))</f>
        <v>0</v>
      </c>
      <c r="PF83" s="16">
        <f>IF(ISNA(VLOOKUP($A83,'Données projet'!$A$538:$I$558,5,0)),0%,VLOOKUP($A83,'Données projet'!$A$538:$I$558,5,0)*VLOOKUP('Données projet'!$B$28,Paramètres!$A$1:$I$89,7,0))</f>
        <v>0</v>
      </c>
      <c r="PG83" s="16">
        <f>IF(ISNA(VLOOKUP($A83,'Données projet'!$A$538:$I$558,6,0)),0%,VLOOKUP($A83,'Données projet'!$A$538:$I$558,6,0)*VLOOKUP('Données projet'!$B$28,Paramètres!$A$1:$I$89,7,0))</f>
        <v>0</v>
      </c>
      <c r="PH83" s="16">
        <f>IF(ISNA(VLOOKUP($A83,'Données projet'!$A$538:$I$558,7,0)),0%,VLOOKUP($A83,'Données projet'!$A$538:$I$558,7,0))</f>
        <v>0</v>
      </c>
      <c r="PI83" s="21" t="e">
        <f>EXP(-LN(2)/35)*PI82+(1-EXP(-LN(2)/35))/(LN(2)/35)*PE83*PF83*VLOOKUP('Données projet'!$B$28,Paramètres!$A$1:$I$89,3,0)*0.475*44/12</f>
        <v>#N/A</v>
      </c>
      <c r="PJ83" s="21" t="e">
        <f>EXP(-LN(2)/25)*PJ82+(1-EXP(-LN(2)/25))/(LN(2)/25)*Calculateur!PE83*Calculateur!PG83*VLOOKUP('Données projet'!$B$28,Paramètres!$A$1:$I$89,3,0)*0.475*44/12</f>
        <v>#N/A</v>
      </c>
      <c r="PK83" s="21" t="e">
        <f>EXP(-LN(2)/2)*PK82+(1-EXP(-LN(2)/2))/(LN(2)/2)*PE83*PH83*VLOOKUP('Données projet'!$B$28,Paramètres!$A$1:$I$89,3,0)*0.475*44/12</f>
        <v>#N/A</v>
      </c>
      <c r="PL83" s="22" t="e">
        <f t="shared" si="179"/>
        <v>#N/A</v>
      </c>
    </row>
    <row r="84" spans="1:428" x14ac:dyDescent="0.35">
      <c r="A84" s="10">
        <f t="shared" si="180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181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121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projet'!$A$45:$I$65,2,0)</f>
        <v>#N/A</v>
      </c>
      <c r="L84" s="12" t="e">
        <f>VLOOKUP(A84,'Données projet'!$A$45:$I$65,9,0)</f>
        <v>#N/A</v>
      </c>
      <c r="M84" s="12">
        <f t="array" ref="M84">INDEX(L:L,MIN(IF(ISNUMBER(L84:L280),ROW(L84:L280),"")))</f>
        <v>0</v>
      </c>
      <c r="N84" s="13">
        <f>IF('Données projet'!$A$46&gt;35,N83+M84-V83,IF(A84&lt;'Données projet'!$A$46,$K$205^A84,IF(A84='Données projet'!$A$46,'Données projet'!$B$46,N83+M84-V83)))</f>
        <v>-1.1368683772161603E-13</v>
      </c>
      <c r="O84" s="13">
        <f>N84*VLOOKUP('Données projet'!$B$9,Paramètres!$A$1:$I$89,3,0)*VLOOKUP('Données projet'!$B$9,Paramètres!$A$1:$I$89,5,0)</f>
        <v>-6.3550942286383367E-14</v>
      </c>
      <c r="P84" s="13" t="e">
        <f t="shared" si="182"/>
        <v>#NUM!</v>
      </c>
      <c r="Q84" s="20" t="e">
        <f t="shared" si="119"/>
        <v>#NUM!</v>
      </c>
      <c r="R84" s="59" t="e">
        <f t="shared" si="120"/>
        <v>#NUM!</v>
      </c>
      <c r="S84" s="59">
        <f ca="1">AVERAGE(OFFSET($R$3,0,0,'Données projet'!$E$9+1,1))-AVERAGE(OFFSET($H$3,0,0,'Données projet'!$E$9+1,1))</f>
        <v>274.57619581652199</v>
      </c>
      <c r="T84" s="59">
        <f t="shared" si="183"/>
        <v>366.15117322598775</v>
      </c>
      <c r="U84" s="15">
        <f>IF(ISNA(VLOOKUP(A84,'Données projet'!$A$45:$I$65,3,0)),0,VLOOKUP(A84,'Données projet'!$A$45:$I$65,3,0))</f>
        <v>0</v>
      </c>
      <c r="V84" s="15">
        <f>IF(ISNA(VLOOKUP(A84,'Données projet'!$A$45:$I$65,4,0)),0,VLOOKUP(A84,'Données projet'!$A$45:$I$65,4,0))</f>
        <v>0</v>
      </c>
      <c r="W84" s="16">
        <f>IF(ISNA(VLOOKUP(A84,'Données projet'!$A$45:$I$65,5,0)),0%,VLOOKUP(A84,'Données projet'!$A$45:$I$65,5,0)*VLOOKUP('Données projet'!$B$9,Paramètres!$A$1:$I$89,7,0))</f>
        <v>0</v>
      </c>
      <c r="X84" s="16">
        <f>IF(ISNA(VLOOKUP(A84,'Données projet'!$A$45:$I$65,6,0)),0%,VLOOKUP(A84,'Données projet'!$A$45:$I$65,6,0)*VLOOKUP('Données projet'!$B$9,Paramètres!$A$1:$I$89,7,0))</f>
        <v>0</v>
      </c>
      <c r="Y84" s="16">
        <f>IF(ISNA(VLOOKUP(A84,'Données projet'!$A$45:$I$65,7,0)),0%,VLOOKUP(A84,'Données projet'!$A$45:$I$65,7,0))</f>
        <v>0</v>
      </c>
      <c r="Z84" s="21">
        <f>EXP(-LN(2)/35)*Z83+(1-EXP(-LN(2)/35))/(LN(2)/35)*V84*W84*VLOOKUP('Données projet'!$B$9,Paramètres!$A$1:$I$89,3,0)*0.475*44/12</f>
        <v>135.44002047766153</v>
      </c>
      <c r="AA84" s="21">
        <f>EXP(-LN(2)/25)*AA83+(1-EXP(-LN(2)/25))/(LN(2)/25)*Calculateur!V84*Calculateur!X84*VLOOKUP('Données projet'!$B$9,Paramètres!$A$1:$I$89,3,0)*0.475*44/12</f>
        <v>28.01619766928361</v>
      </c>
      <c r="AB84" s="21">
        <f>EXP(-LN(2)/2)*AB83+(1-EXP(-LN(2)/2))/(LN(2)/2)*V84*Y84*VLOOKUP('Données projet'!$B$9,Paramètres!$A$1:$I$89,3,0)*0.475*44/12</f>
        <v>4.1700810551895109E-3</v>
      </c>
      <c r="AC84" s="22">
        <f t="shared" si="122"/>
        <v>163.46038822800031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projet'!$A$71:$I$91,2,0)</f>
        <v>#N/A</v>
      </c>
      <c r="AG84" s="12" t="e">
        <f>VLOOKUP(A84,'Données projet'!$A$71:$I$91,9,0)</f>
        <v>#N/A</v>
      </c>
      <c r="AH84" s="12">
        <f t="array" ref="AH84">INDEX(AG:AG,MIN(IF(ISNUMBER(AG84:AG280),ROW(AG84:AG280),"")))</f>
        <v>7.4950142450142421</v>
      </c>
      <c r="AI84" s="13">
        <f>IF('Données projet'!$A$72&gt;35,AI83+AH84-AQ83,IF(A84&lt;'Données projet'!$A$72,$AF$205^A84,IF(A84='Données projet'!$A$72,'Données projet'!$B$72,AI83+AH84-AQ83)))</f>
        <v>235.89886039886062</v>
      </c>
      <c r="AJ84" s="13">
        <f>AI84*VLOOKUP('Données projet'!$B$10,Paramètres!$A$1:$I$89,3,0)*VLOOKUP('Données projet'!$B$10,Paramètres!$A$1:$I$89,5,0)</f>
        <v>213.44128888888909</v>
      </c>
      <c r="AK84" s="13">
        <f t="shared" si="184"/>
        <v>52.686881026481977</v>
      </c>
      <c r="AL84" s="20">
        <f t="shared" si="123"/>
        <v>463.50656260260456</v>
      </c>
      <c r="AM84" s="59">
        <f t="shared" si="124"/>
        <v>756.83989593593788</v>
      </c>
      <c r="AN84" s="59">
        <f ca="1">AVERAGE(OFFSET($AM$3,0,0,'Données projet'!$E$10+1,1))-AVERAGE(OFFSET($H$3,0,0,'Données projet'!$E$10+1,1))</f>
        <v>270.87836509222456</v>
      </c>
      <c r="AO84" s="59">
        <f t="shared" si="185"/>
        <v>205.24998237949734</v>
      </c>
      <c r="AP84" s="15">
        <f>IF(ISNA(VLOOKUP(A84,'Données projet'!$A$71:$I$91,3,0)),0,VLOOKUP(A84,'Données projet'!$A$71:$I$91,3,0))</f>
        <v>0</v>
      </c>
      <c r="AQ84" s="15">
        <f>IF(ISNA(VLOOKUP(A84,'Données projet'!$A$71:$I$91,4,0)),0,VLOOKUP(A84,'Données projet'!$A$71:$I$91,4,0))</f>
        <v>0</v>
      </c>
      <c r="AR84" s="16">
        <f>IF(ISNA(VLOOKUP(A84,'Données projet'!$A$71:$I$91,5,0)),0%,VLOOKUP(A84,'Données projet'!$A$71:$I$91,5,0)*VLOOKUP('Données projet'!$B$10,Paramètres!$A$1:$I$89,7,0))</f>
        <v>0</v>
      </c>
      <c r="AS84" s="16">
        <f>IF(ISNA(VLOOKUP(A84,'Données projet'!$A$71:$I$91,6,0)),0%,VLOOKUP(A84,'Données projet'!$A$71:$I$91,6,0)*VLOOKUP('Données projet'!$B$10,Paramètres!$A$1:$I$89,7,0))</f>
        <v>0</v>
      </c>
      <c r="AT84" s="16">
        <f>IF(ISNA(VLOOKUP(A84,'Données projet'!$A$71:$I$91,7,0)),0%,VLOOKUP(A84,'Données projet'!$A$71:$I$91,7,0))</f>
        <v>0</v>
      </c>
      <c r="AU84" s="21">
        <f>EXP(-LN(2)/35)*AU83+(1-EXP(-LN(2)/35))/(LN(2)/35)*AQ84*AR84*VLOOKUP('Données projet'!$B$10,Paramètres!$A$1:$I$89,3,0)*0.475*44/12</f>
        <v>32.120554546283557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125"/>
        <v>32.120554546283557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projet'!$A$97:$I$117,2,0)</f>
        <v>#N/A</v>
      </c>
      <c r="BB84" s="12" t="e">
        <f>VLOOKUP(A84,'Données projet'!$A$97:$I$117,9,0)</f>
        <v>#N/A</v>
      </c>
      <c r="BC84" s="12">
        <f t="array" ref="BC84">INDEX(BB:BB,MIN(IF(ISNUMBER(BB84:BB280),ROW(BB84:BB280),"")))</f>
        <v>0</v>
      </c>
      <c r="BD84" s="12">
        <f>IF('Données projet'!$A$98&gt;35,BD83+BC84-BL83,IF(A84&lt;'Données projet'!$A$98,$BA$205^A84,IF(A84='Données projet'!$A$98,'Données projet'!$B$98,BD83+BC84-BL83)))</f>
        <v>-1.1368683772161603E-13</v>
      </c>
      <c r="BE84" s="13">
        <f>BD84*VLOOKUP('Données projet'!$B$11,Paramètres!$A$1:$I$89,3,0)*VLOOKUP('Données projet'!$B$11,Paramètres!$A$1:$I$89,5,0)</f>
        <v>-5.0249582272954292E-14</v>
      </c>
      <c r="BF84" s="13" t="e">
        <f t="shared" si="186"/>
        <v>#NUM!</v>
      </c>
      <c r="BG84" s="20" t="e">
        <f t="shared" si="126"/>
        <v>#NUM!</v>
      </c>
      <c r="BH84" s="59" t="e">
        <f t="shared" si="127"/>
        <v>#NUM!</v>
      </c>
      <c r="BI84" s="59">
        <f ca="1">AVERAGE(OFFSET($BH$3,0,0,'Données projet'!$E$11+1,1))-AVERAGE(OFFSET($H$3,0,0,'Données projet'!$E$11+1,1))</f>
        <v>211.31057120485542</v>
      </c>
      <c r="BJ84" s="59">
        <f t="shared" si="187"/>
        <v>283.33292006714777</v>
      </c>
      <c r="BK84" s="15">
        <f>IF(ISNA(VLOOKUP(A84,'Données projet'!$A$97:$I$117,3,0)),0,VLOOKUP(A84,'Données projet'!$A$97:$I$117,3,0))</f>
        <v>0</v>
      </c>
      <c r="BL84" s="15">
        <f>IF(ISNA(VLOOKUP(A84,'Données projet'!$A$97:$I$117,4,0)),0,VLOOKUP(A84,'Données projet'!$A$97:$I$117,4,0))</f>
        <v>0</v>
      </c>
      <c r="BM84" s="16">
        <f>IF(ISNA(VLOOKUP(A84,'Données projet'!$A$97:$I$117,5,0)),0%,VLOOKUP(A84,'Données projet'!$A$97:$I$117,5,0)*VLOOKUP('Données projet'!$B$11,Paramètres!$A$1:$I$89,7,0))</f>
        <v>0</v>
      </c>
      <c r="BN84" s="16">
        <f>IF(ISNA(VLOOKUP(A84,'Données projet'!$A$97:$I$117,6,0)),0%,VLOOKUP(A84,'Données projet'!$A$97:$I$117,6,0)*VLOOKUP('Données projet'!$B$11,Paramètres!$A$1:$I$89,7,0))</f>
        <v>0</v>
      </c>
      <c r="BO84" s="16">
        <f>IF(ISNA(VLOOKUP(A84,'Données projet'!$A$97:$I$117,7,0)),0%,VLOOKUP(A84,'Données projet'!$A$97:$I$117,7,0))</f>
        <v>0</v>
      </c>
      <c r="BP84" s="21">
        <f>EXP(-LN(2)/35)*BP83+(1-EXP(-LN(2)/35))/(LN(2)/35)*BL84*BM84*VLOOKUP('Données projet'!$B$11,Paramètres!$A$1:$I$89,3,0)*0.475*44/12</f>
        <v>107.09210921489517</v>
      </c>
      <c r="BQ84" s="21">
        <f>EXP(-LN(2)/25)*BQ83+(1-EXP(-LN(2)/25))/(LN(2)/25)*Calculateur!BL84*Calculateur!BN84*VLOOKUP('Données projet'!$B$11,Paramètres!$A$1:$I$89,3,0)*0.475*44/12</f>
        <v>22.15234234315448</v>
      </c>
      <c r="BR84" s="21">
        <f>EXP(-LN(2)/2)*BR83+(1-EXP(-LN(2)/2))/(LN(2)/2)*BL84*BO84*VLOOKUP('Données projet'!$B$11,Paramètres!$A$1:$I$89,3,0)*0.475*44/12</f>
        <v>3.2972733924754266E-3</v>
      </c>
      <c r="BS84" s="22">
        <f t="shared" si="128"/>
        <v>129.24774883144212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projet'!$A$123:$I$143,2,0)</f>
        <v>#N/A</v>
      </c>
      <c r="BW84" s="12" t="e">
        <f>VLOOKUP(A84,'Données projet'!$A$123:$I$143,9,0)</f>
        <v>#N/A</v>
      </c>
      <c r="BX84" s="12">
        <f t="array" ref="BX84">INDEX(BW:BW,MIN(IF(ISNUMBER(BW84:BW280),ROW(BW84:BW280),"")))</f>
        <v>3.6</v>
      </c>
      <c r="BY84" s="12">
        <f>IF('Données projet'!$A$124&gt;35,BY83+BX84-CG83,IF(A84&lt;'Données projet'!$A$124,$BV$205^A84,IF(A84='Données projet'!$A$124,'Données projet'!$B$124,BY83+BX84-CG83)))</f>
        <v>233.60000000000002</v>
      </c>
      <c r="BZ84" s="13">
        <f>BY84*VLOOKUP('Données projet'!$B$12,Paramètres!$A$1:$I$89,3,0)*VLOOKUP('Données projet'!$B$12,Paramètres!$A$1:$I$89,5,0)</f>
        <v>244.15872000000005</v>
      </c>
      <c r="CA84" s="13">
        <f t="shared" si="188"/>
        <v>59.333402749839792</v>
      </c>
      <c r="CB84" s="20">
        <f t="shared" si="129"/>
        <v>528.58211378930434</v>
      </c>
      <c r="CC84" s="59">
        <f t="shared" si="130"/>
        <v>821.91544712263772</v>
      </c>
      <c r="CD84" s="59">
        <f ca="1">AVERAGE(OFFSET($CC$3,0,0,'Données projet'!$E$12+1,1))-AVERAGE(OFFSET($H$3,0,0,'Données projet'!$E$12+1,1))</f>
        <v>322.93502595881938</v>
      </c>
      <c r="CE84" s="59">
        <f t="shared" si="189"/>
        <v>302.67072119588164</v>
      </c>
      <c r="CF84" s="15">
        <f>IF(ISNA(VLOOKUP(A84,'Données projet'!$A$123:$I$143,3,0)),0,VLOOKUP(A84,'Données projet'!$A$123:$I$143,3,0))</f>
        <v>0</v>
      </c>
      <c r="CG84" s="15">
        <f>IF(ISNA(VLOOKUP(A84,'Données projet'!$A$123:$I$143,4,0)),0,VLOOKUP(A84,'Données projet'!$A$123:$I$143,4,0))</f>
        <v>0</v>
      </c>
      <c r="CH84" s="16">
        <f>IF(ISNA(VLOOKUP(A84,'Données projet'!$A$123:$I$143,5,0)),0%,VLOOKUP(A84,'Données projet'!$A$123:$I$143,5,0)*VLOOKUP('Données projet'!$B$12,Paramètres!$A$1:$I$89,7,0))</f>
        <v>0</v>
      </c>
      <c r="CI84" s="16">
        <f>IF(ISNA(VLOOKUP(A84,'Données projet'!$A$123:$I$143,6,0)),0%,VLOOKUP(A84,'Données projet'!$A$123:$I$143,6,0)*VLOOKUP('Données projet'!$B$12,Paramètres!$A$1:$I$89,7,0))</f>
        <v>0</v>
      </c>
      <c r="CJ84" s="16">
        <f>IF(ISNA(VLOOKUP(A84,'Données projet'!$A$123:$I$143,7,0)),0%,VLOOKUP(A84,'Données projet'!$A$123:$I$143,7,0))</f>
        <v>0</v>
      </c>
      <c r="CK84" s="21">
        <f>EXP(-LN(2)/35)*CK83+(1-EXP(-LN(2)/35))/(LN(2)/35)*CG84*CH84*VLOOKUP('Données projet'!$B$12,Paramètres!$A$1:$I$89,3,0)*0.475*44/12</f>
        <v>27.12196666236677</v>
      </c>
      <c r="CL84" s="21">
        <f>EXP(-LN(2)/25)*CL83+(1-EXP(-LN(2)/25))/(LN(2)/25)*Calculateur!CG84*Calculateur!CI84*VLOOKUP('Données projet'!$B$12,Paramètres!$A$1:$I$89,3,0)*0.475*44/12</f>
        <v>21.799104365620043</v>
      </c>
      <c r="CM84" s="21">
        <f>EXP(-LN(2)/2)*CM83+(1-EXP(-LN(2)/2))/(LN(2)/2)*CG84*CJ84*VLOOKUP('Données projet'!$B$12,Paramètres!$A$1:$I$89,3,0)*0.475*44/12</f>
        <v>0</v>
      </c>
      <c r="CN84" s="22">
        <f t="shared" si="131"/>
        <v>48.921071027986812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projet'!$A$149:$I$169,2,0)</f>
        <v>#N/A</v>
      </c>
      <c r="CR84" s="12" t="e">
        <f>VLOOKUP(A84,'Données projet'!$A$149:$I$169,9,0)</f>
        <v>#N/A</v>
      </c>
      <c r="CS84" s="12">
        <f t="array" ref="CS84">INDEX(CR:CR,MIN(IF(ISNUMBER(CR84:CR280),ROW(CR84:CR280),"")))</f>
        <v>5.5042735042735051</v>
      </c>
      <c r="CT84" s="12">
        <f>IF('Données projet'!$A$150&gt;35,CT83+CS84-DB83,IF(A84&lt;'Données projet'!$A$150,$CQ$205^A84,IF(A84='Données projet'!$A$150,'Données projet'!$B$150,CT83+CS84-DB83)))</f>
        <v>183.49358974358967</v>
      </c>
      <c r="CU84" s="17">
        <f>CT84*VLOOKUP('Données projet'!$B$13,Paramètres!$A$1:$I$89,3,0)*VLOOKUP('Données projet'!$B$13,Paramètres!$A$1:$I$89,5,0)</f>
        <v>186.06249999999994</v>
      </c>
      <c r="CV84" s="13">
        <f t="shared" si="190"/>
        <v>46.668369362854641</v>
      </c>
      <c r="CW84" s="20">
        <f t="shared" si="132"/>
        <v>405.33959747363838</v>
      </c>
      <c r="CX84" s="59">
        <f t="shared" si="133"/>
        <v>698.67293080697164</v>
      </c>
      <c r="CY84" s="59">
        <f ca="1">AVERAGE(OFFSET($CX$3,0,0,'Données projet'!$E$13+1,1))-AVERAGE(OFFSET($H$3,0,0,'Données projet'!$E$13+1,1))</f>
        <v>250.31277422753283</v>
      </c>
      <c r="CZ84" s="59">
        <f t="shared" si="191"/>
        <v>159.20429420478047</v>
      </c>
      <c r="DA84" s="15">
        <f>IF(ISNA(VLOOKUP(A84,'Données projet'!$A$149:$I$169,3,0)),0,VLOOKUP(A84,'Données projet'!$A$149:$I$169,3,0))</f>
        <v>0</v>
      </c>
      <c r="DB84" s="15">
        <f>IF(ISNA(VLOOKUP(A84,'Données projet'!$A$149:$I$169,4,0)),0,VLOOKUP(A84,'Données projet'!$A$149:$I$169,4,0))</f>
        <v>0</v>
      </c>
      <c r="DC84" s="16">
        <f>IF(ISNA(VLOOKUP(A84,'Données projet'!$A$149:$I$169,5,0)),0%,VLOOKUP(A84,'Données projet'!$A$149:$I$169,5,0)*VLOOKUP('Données projet'!$B$13,Paramètres!$A$1:$I$89,7,0))</f>
        <v>0</v>
      </c>
      <c r="DD84" s="16">
        <f>IF(ISNA(VLOOKUP(A84,'Données projet'!$A$149:$I$169,6,0)),0%,VLOOKUP(A84,'Données projet'!$A$149:$I$169,6,0)*VLOOKUP('Données projet'!$B$13,Paramètres!$A$1:$I$89,7,0))</f>
        <v>0</v>
      </c>
      <c r="DE84" s="16">
        <f>IF(ISNA(VLOOKUP(A84,'Données projet'!$A$149:$I$169,7,0)),0%,VLOOKUP(A84,'Données projet'!$A$149:$I$169,7,0))</f>
        <v>0</v>
      </c>
      <c r="DF84" s="21">
        <f>EXP(-LN(2)/35)*DF83+(1-EXP(-LN(2)/35))/(LN(2)/35)*DB84*DC84*VLOOKUP('Données projet'!$B$13,Paramètres!$A$1:$I$89,3,0)*0.475*44/12</f>
        <v>9.2627316525342263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134"/>
        <v>9.2627316525342263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projet'!$A$175:$I$195,2,0)</f>
        <v>#N/A</v>
      </c>
      <c r="DM84" s="12" t="e">
        <f>VLOOKUP(A84,'Données projet'!$A$175:$I$195,9,0)</f>
        <v>#N/A</v>
      </c>
      <c r="DN84" s="12">
        <f t="array" ref="DN84">INDEX(DM:DM,MIN(IF(ISNUMBER(DM84:DM280),ROW(DM84:DM280),"")))</f>
        <v>0</v>
      </c>
      <c r="DO84" s="12">
        <f>IF('Données projet'!$A$176&gt;35,DO83+DN84-DW83,IF(A84&lt;'Données projet'!$A$176,$DL$205^A84,IF(A84='Données projet'!$A$176,'Données projet'!$B$176,DO83+DN84-DW83)))</f>
        <v>-2.8421709430404007E-13</v>
      </c>
      <c r="DP84" s="17">
        <f>DO84*VLOOKUP('Données projet'!$B$14,Paramètres!$A$1:$I$89,3,0)*VLOOKUP('Données projet'!$B$14,Paramètres!$A$1:$I$89,5,0)</f>
        <v>-2.0838797354372215E-13</v>
      </c>
      <c r="DQ84" s="13" t="e">
        <f t="shared" si="192"/>
        <v>#NUM!</v>
      </c>
      <c r="DR84" s="20" t="e">
        <f t="shared" si="135"/>
        <v>#NUM!</v>
      </c>
      <c r="DS84" s="59" t="e">
        <f t="shared" si="136"/>
        <v>#NUM!</v>
      </c>
      <c r="DT84" s="59">
        <f ca="1">AVERAGE(OFFSET($DS$3,0,0,'Données projet'!$E$14+1,1))-AVERAGE(OFFSET($H$3,0,0,'Données projet'!$E$14+1,1))</f>
        <v>296.91321813251051</v>
      </c>
      <c r="DU84" s="59">
        <f t="shared" si="193"/>
        <v>291.0718079639509</v>
      </c>
      <c r="DV84" s="15">
        <f>IF(ISNA(VLOOKUP(A84,'Données projet'!$A$175:$I$195,3,0)),0,VLOOKUP(A84,'Données projet'!$A$175:$I$195,3,0))</f>
        <v>0</v>
      </c>
      <c r="DW84" s="15">
        <f>IF(ISNA(VLOOKUP(A84,'Données projet'!$A$175:$I$195,4,0)),0,VLOOKUP(A84,'Données projet'!$A$175:$I$195,4,0))</f>
        <v>0</v>
      </c>
      <c r="DX84" s="16">
        <f>IF(ISNA(VLOOKUP(A84,'Données projet'!$A$175:$I$195,5,0)),0%,VLOOKUP(A84,'Données projet'!$A$175:$I$195,5,0)*VLOOKUP('Données projet'!$B$14,Paramètres!$A$1:$I$89,7,0))</f>
        <v>0</v>
      </c>
      <c r="DY84" s="16">
        <f>IF(ISNA(VLOOKUP(A84,'Données projet'!$A$175:$I$195,6,0)),0%,VLOOKUP(A84,'Données projet'!$A$175:$I$195,6,0)*VLOOKUP('Données projet'!$B$14,Paramètres!$A$1:$I$89,7,0))</f>
        <v>0</v>
      </c>
      <c r="DZ84" s="16">
        <f>IF(ISNA(VLOOKUP(A84,'Données projet'!$A$175:$I$195,7,0)),0%,VLOOKUP(A84,'Données projet'!$A$175:$I$195,7,0))</f>
        <v>0</v>
      </c>
      <c r="EA84" s="21">
        <f>EXP(-LN(2)/35)*EA83+(1-EXP(-LN(2)/35))/(LN(2)/35)*DW84*DX84*VLOOKUP('Données projet'!$B$14,Paramètres!$A$1:$I$89,3,0)*0.475*44/12</f>
        <v>170.0569587698856</v>
      </c>
      <c r="EB84" s="21">
        <f>EXP(-LN(2)/25)*EB83+(1-EXP(-LN(2)/25))/(LN(2)/25)*Calculateur!DW84*Calculateur!DY84*VLOOKUP('Données projet'!$B$14,Paramètres!$A$1:$I$89,3,0)*0.475*44/12</f>
        <v>5.2084443091587955</v>
      </c>
      <c r="EC84" s="21">
        <f>EXP(-LN(2)/2)*EC83+(1-EXP(-LN(2)/2))/(LN(2)/2)*DW84*DZ84*VLOOKUP('Données projet'!$B$14,Paramètres!$A$1:$I$89,3,0)*0.475*44/12</f>
        <v>0</v>
      </c>
      <c r="ED84" s="22">
        <f t="shared" si="137"/>
        <v>175.2654030790444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projet'!$A$201:$I$221,2,0)</f>
        <v>#N/A</v>
      </c>
      <c r="EH84" s="12" t="e">
        <f>VLOOKUP(A84,'Données projet'!$A$201:$I$221,9,0)</f>
        <v>#N/A</v>
      </c>
      <c r="EI84" s="12">
        <f t="array" ref="EI84">INDEX(EH:EH,MIN(IF(ISNUMBER(EH84:EH280),ROW(EH84:EH280),"")))</f>
        <v>9.001923076923072</v>
      </c>
      <c r="EJ84" s="12">
        <f>IF('Données projet'!$A$202&gt;35,EJ83+EI84-ER83,IF(A84&lt;'Données projet'!$A$202,$EG$205^A84,IF(A84='Données projet'!$A$202,'Données projet'!$B$202,EJ83+EI84-ER83)))</f>
        <v>329.12692307692339</v>
      </c>
      <c r="EK84" s="17">
        <f>EJ84*VLOOKUP('Données projet'!$B$15,Paramètres!$A$1:$I$89,3,0)*VLOOKUP('Données projet'!$B$15,Paramètres!$A$1:$I$89,5,0)</f>
        <v>154.03140000000016</v>
      </c>
      <c r="EL84" s="13">
        <f t="shared" si="194"/>
        <v>39.493316842260541</v>
      </c>
      <c r="EM84" s="20">
        <f t="shared" si="138"/>
        <v>337.05554850027073</v>
      </c>
      <c r="EN84" s="59">
        <f t="shared" si="139"/>
        <v>630.38888183360405</v>
      </c>
      <c r="EO84" s="59">
        <f ca="1">AVERAGE(OFFSET($EN$3,0,0,'Données projet'!$E$15+1,1))-AVERAGE(OFFSET($H$3,0,0,'Données projet'!$E$15+1,1))</f>
        <v>147.64256291235483</v>
      </c>
      <c r="EP84" s="59">
        <f t="shared" si="195"/>
        <v>70.859031694091868</v>
      </c>
      <c r="EQ84" s="15">
        <f>IF(ISNA(VLOOKUP(A84,'Données projet'!$A$201:$I$221,3,0)),0,VLOOKUP(A84,'Données projet'!$A$201:$I$221,3,0))</f>
        <v>0</v>
      </c>
      <c r="ER84" s="15">
        <f>IF(ISNA(VLOOKUP(A84,'Données projet'!$A$201:$I$221,4,0)),0,VLOOKUP(A84,'Données projet'!$A$201:$I$221,4,0))</f>
        <v>0</v>
      </c>
      <c r="ES84" s="16">
        <f>IF(ISNA(VLOOKUP(A84,'Données projet'!$A$201:$I$221,5,0)),0%,VLOOKUP(A84,'Données projet'!$A$201:$I$221,5,0)*VLOOKUP('Données projet'!$B$15,Paramètres!$A$1:$I$89,7,0))</f>
        <v>0</v>
      </c>
      <c r="ET84" s="16">
        <f>IF(ISNA(VLOOKUP(A84,'Données projet'!$A$201:$I$221,6,0)),0%,VLOOKUP(A84,'Données projet'!$A$201:$I$221,6,0)*VLOOKUP('Données projet'!$B$15,Paramètres!$A$1:$I$89,7,0))</f>
        <v>0</v>
      </c>
      <c r="EU84" s="16">
        <f>IF(ISNA(VLOOKUP(A84,'Données projet'!$A$201:$I$221,7,0)),0%,VLOOKUP(A84,'Données projet'!$A$201:$I$221,7,0))</f>
        <v>0</v>
      </c>
      <c r="EV84" s="21">
        <f>EXP(-LN(2)/35)*EV83+(1-EXP(-LN(2)/35))/(LN(2)/35)*ER84*ES84*VLOOKUP('Données projet'!$B$15,Paramètres!$A$1:$I$89,3,0)*0.475*44/12</f>
        <v>36.204941709181114</v>
      </c>
      <c r="EW84" s="21">
        <f>EXP(-LN(2)/25)*EW83+(1-EXP(-LN(2)/25))/(LN(2)/25)*Calculateur!ER84*Calculateur!ET84*VLOOKUP('Données projet'!$B$15,Paramètres!$A$1:$I$89,3,0)*0.475*44/12</f>
        <v>16.195232174305445</v>
      </c>
      <c r="EX84" s="21">
        <f>EXP(-LN(2)/2)*EX83+(1-EXP(-LN(2)/2))/(LN(2)/2)*ER84*EU84*VLOOKUP('Données projet'!$B$15,Paramètres!$A$1:$I$89,3,0)*0.475*44/12</f>
        <v>0.76180352057768275</v>
      </c>
      <c r="EY84" s="22">
        <f t="shared" si="140"/>
        <v>53.161977404064245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projet'!$A$227:$I$247,2,0)</f>
        <v>#N/A</v>
      </c>
      <c r="FC84" s="12" t="e">
        <f>VLOOKUP(A84,'Données projet'!$A$227:$I$247,9,0)</f>
        <v>#N/A</v>
      </c>
      <c r="FD84" s="12">
        <f t="array" ref="FD84">INDEX(FC:FC,MIN(IF(ISNUMBER(FC84:FC280),ROW(FC84:FC280),"")))</f>
        <v>2.8</v>
      </c>
      <c r="FE84" s="12">
        <f>IF('Données projet'!$A$228&gt;35,FE83+FD84-FM83,IF(A84&lt;'Données projet'!$A$228,$FB$205^A84,IF(A84='Données projet'!$A$228,'Données projet'!$B$228,FE83+FD84-FM83)))</f>
        <v>199.79999999999993</v>
      </c>
      <c r="FF84" s="17">
        <f>FE84*VLOOKUP('Données projet'!$B$16,Paramètres!$A$1:$I$89,3,0)*VLOOKUP('Données projet'!$B$16,Paramètres!$A$1:$I$89,5,0)</f>
        <v>208.83095999999995</v>
      </c>
      <c r="FG84" s="13">
        <f t="shared" si="196"/>
        <v>51.680038105442279</v>
      </c>
      <c r="FH84" s="20">
        <f t="shared" si="141"/>
        <v>453.72332170031183</v>
      </c>
      <c r="FI84" s="59">
        <f t="shared" si="142"/>
        <v>747.05665503364514</v>
      </c>
      <c r="FJ84" s="59">
        <f ca="1">AVERAGE(OFFSET($FI$3,0,0,'Données projet'!$E$16+1,1))-AVERAGE(OFFSET($H$3,0,0,'Données projet'!$E$16+1,1))</f>
        <v>259.03906550253788</v>
      </c>
      <c r="FK84" s="59">
        <f t="shared" si="197"/>
        <v>235.54542903570831</v>
      </c>
      <c r="FL84" s="15">
        <f>IF(ISNA(VLOOKUP(A84,'Données projet'!$A$227:$I$247,3,0)),0,VLOOKUP(A84,'Données projet'!$A$227:$I$247,3,0))</f>
        <v>0</v>
      </c>
      <c r="FM84" s="15">
        <f>IF(ISNA(VLOOKUP(A84,'Données projet'!$A$227:$I$247,4,0)),0,VLOOKUP(A84,'Données projet'!$A$227:$I$247,4,0))</f>
        <v>0</v>
      </c>
      <c r="FN84" s="16">
        <f>IF(ISNA(VLOOKUP(A84,'Données projet'!$A$227:$I$247,5,0)),0%,VLOOKUP(A84,'Données projet'!$A$227:$I$247,5,0)*VLOOKUP('Données projet'!$B$16,Paramètres!$A$1:$I$89,7,0))</f>
        <v>0</v>
      </c>
      <c r="FO84" s="16">
        <f>IF(ISNA(VLOOKUP(A84,'Données projet'!$A$227:$I$247,6,0)),0%,VLOOKUP(A84,'Données projet'!$A$227:$I$247,6,0)*VLOOKUP('Données projet'!$B$16,Paramètres!$A$1:$I$89,7,0))</f>
        <v>0</v>
      </c>
      <c r="FP84" s="16">
        <f>IF(ISNA(VLOOKUP(A84,'Données projet'!$A$227:$I$247,7,0)),0%,VLOOKUP(A84,'Données projet'!$A$227:$I$247,7,0))</f>
        <v>0</v>
      </c>
      <c r="FQ84" s="21">
        <f>EXP(-LN(2)/35)*FQ83+(1-EXP(-LN(2)/35))/(LN(2)/35)*FM84*FN84*VLOOKUP('Données projet'!$B$16,Paramètres!$A$1:$I$89,3,0)*0.475*44/12</f>
        <v>12.786676285650326</v>
      </c>
      <c r="FR84" s="21">
        <f>EXP(-LN(2)/25)*FR83+(1-EXP(-LN(2)/25))/(LN(2)/25)*Calculateur!FM84*Calculateur!FO84*VLOOKUP('Données projet'!$B$16,Paramètres!$A$1:$I$89,3,0)*0.475*44/12</f>
        <v>16.689866090346868</v>
      </c>
      <c r="FS84" s="21">
        <f>EXP(-LN(2)/2)*FS83+(1-EXP(-LN(2)/2))/(LN(2)/2)*FM84*FP84*VLOOKUP('Données projet'!$B$16,Paramètres!$A$1:$I$89,3,0)*0.475*44/12</f>
        <v>0</v>
      </c>
      <c r="FT84" s="22">
        <f t="shared" si="143"/>
        <v>29.476542375997195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projet'!$A$253:$I$273,2,0)</f>
        <v>#N/A</v>
      </c>
      <c r="FX84" s="12" t="e">
        <f>VLOOKUP(A84,'Données projet'!$A$253:$I$273,9,0)</f>
        <v>#N/A</v>
      </c>
      <c r="FY84" s="12">
        <f t="array" ref="FY84">INDEX(FX:FX,MIN(IF(ISNUMBER(FX84:FX280),ROW(FX84:FX280),"")))</f>
        <v>0</v>
      </c>
      <c r="FZ84" s="12">
        <f>IF('Données projet'!$A$254&gt;35,FZ83+FY84-GH83,IF(A84&lt;'Données projet'!$A$254,$FW$205^A84,IF(A84='Données projet'!$A$254,'Données projet'!$B$254,FZ83+FY84-GH83)))</f>
        <v>-1.7053025658242404E-13</v>
      </c>
      <c r="GA84" s="17">
        <f>FZ84*VLOOKUP('Données projet'!$B$17,Paramètres!$A$1:$I$89,3,0)*VLOOKUP('Données projet'!$B$17,Paramètres!$A$1:$I$89,5,0)</f>
        <v>-1.4897523215040567E-13</v>
      </c>
      <c r="GB84" s="13" t="e">
        <f t="shared" si="198"/>
        <v>#NUM!</v>
      </c>
      <c r="GC84" s="20" t="e">
        <f t="shared" si="144"/>
        <v>#NUM!</v>
      </c>
      <c r="GD84" s="59" t="e">
        <f t="shared" si="145"/>
        <v>#NUM!</v>
      </c>
      <c r="GE84" s="59">
        <f ca="1">AVERAGE(OFFSET($GD$3,0,0,'Données projet'!$E$17+1,1))-AVERAGE(OFFSET($H$3,0,0,'Données projet'!$E$17+1,1))</f>
        <v>245.1983232777614</v>
      </c>
      <c r="GF84" s="59">
        <f t="shared" si="199"/>
        <v>242.34010522344573</v>
      </c>
      <c r="GG84" s="15">
        <f>IF(ISNA(VLOOKUP(A84,'Données projet'!$A$253:$I$273,3,0)),0,VLOOKUP(A84,'Données projet'!$A$253:$I$273,3,0))</f>
        <v>0</v>
      </c>
      <c r="GH84" s="15">
        <f>IF(ISNA(VLOOKUP(A84,'Données projet'!$A$253:$I$273,4,0)),0,VLOOKUP(A84,'Données projet'!$A$253:$I$273,4,0))</f>
        <v>0</v>
      </c>
      <c r="GI84" s="16">
        <f>IF(ISNA(VLOOKUP(A84,'Données projet'!$A$253:$I$273,5,0)),0%,VLOOKUP(A84,'Données projet'!$A$253:$I$273,5,0)*VLOOKUP('Données projet'!$B$17,Paramètres!$A$1:$I$89,7,0))</f>
        <v>0</v>
      </c>
      <c r="GJ84" s="16">
        <f>IF(ISNA(VLOOKUP(A84,'Données projet'!$A$253:$I$273,6,0)),0%,VLOOKUP(A84,'Données projet'!$A$253:$I$273,6,0)*VLOOKUP('Données projet'!$B$17,Paramètres!$A$1:$I$89,7,0))</f>
        <v>0</v>
      </c>
      <c r="GK84" s="16">
        <f>IF(ISNA(VLOOKUP(A84,'Données projet'!$A$253:$I$273,7,0)),0%,VLOOKUP(A84,'Données projet'!$A$253:$I$273,7,0))</f>
        <v>0</v>
      </c>
      <c r="GL84" s="21">
        <f>EXP(-LN(2)/35)*GL83+(1-EXP(-LN(2)/35))/(LN(2)/35)*GH84*GI84*VLOOKUP('Données projet'!$B$17,Paramètres!$A$1:$I$89,3,0)*0.475*44/12</f>
        <v>120.80412550907299</v>
      </c>
      <c r="GM84" s="21">
        <f>EXP(-LN(2)/25)*GM83+(1-EXP(-LN(2)/25))/(LN(2)/25)*Calculateur!GH84*Calculateur!GJ84*VLOOKUP('Données projet'!$B$17,Paramètres!$A$1:$I$89,3,0)*0.475*44/12</f>
        <v>21.181612355001661</v>
      </c>
      <c r="GN84" s="21">
        <f>EXP(-LN(2)/2)*GN83+(1-EXP(-LN(2)/2))/(LN(2)/2)*GH84*GK84*VLOOKUP('Données projet'!$B$17,Paramètres!$A$1:$I$89,3,0)*0.475*44/12</f>
        <v>0</v>
      </c>
      <c r="GO84" s="21">
        <f t="shared" si="146"/>
        <v>141.98573786407465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projet'!$A$279:$I$299,2,0)</f>
        <v>#N/A</v>
      </c>
      <c r="GS84" s="12" t="e">
        <f>VLOOKUP(A84,'Données projet'!$A$279:$I$299,9,0)</f>
        <v>#N/A</v>
      </c>
      <c r="GT84" s="12">
        <f t="array" ref="GT84">INDEX(GS:GS,MIN(IF(ISNUMBER(GS84:GS280),ROW(GS84:GS280),"")))</f>
        <v>0</v>
      </c>
      <c r="GU84" s="12">
        <f>IF('Données projet'!$A$280&gt;35,GU83+GT84-HC83,IF(A84&lt;'Données projet'!$A$280,$GR$205^A84,IF(A84='Données projet'!$A$280,'Données projet'!$B$280,GU83+GT84-HC83)))</f>
        <v>-1.1368683772161603E-13</v>
      </c>
      <c r="GV84" s="17">
        <f>GU84*VLOOKUP('Données projet'!$B$18,Paramètres!$A$1:$I$89,3,0)*VLOOKUP('Données projet'!$B$18,Paramètres!$A$1:$I$89,5,0)</f>
        <v>-4.5815795601811263E-14</v>
      </c>
      <c r="GW84" s="13" t="e">
        <f t="shared" si="200"/>
        <v>#NUM!</v>
      </c>
      <c r="GX84" s="20" t="e">
        <f t="shared" si="147"/>
        <v>#NUM!</v>
      </c>
      <c r="GY84" s="59" t="e">
        <f t="shared" si="148"/>
        <v>#NUM!</v>
      </c>
      <c r="GZ84" s="59">
        <f ca="1">AVERAGE(OFFSET($GY$3,0,0,'Données projet'!$E$18+1,1))-AVERAGE(OFFSET($H$3,0,0,'Données projet'!$E$18+1,1))</f>
        <v>324.36162935850876</v>
      </c>
      <c r="HA84" s="59">
        <f t="shared" si="201"/>
        <v>265.23571072429735</v>
      </c>
      <c r="HB84" s="15">
        <f>IF(ISNA(VLOOKUP(A84,'Données projet'!$A$279:$I$299,3,0)),0,VLOOKUP(A84,'Données projet'!$A$279:$I$299,3,0))</f>
        <v>0</v>
      </c>
      <c r="HC84" s="15">
        <f>IF(ISNA(VLOOKUP(A84,'Données projet'!$A$279:$I$299,4,0)),0,VLOOKUP(A84,'Données projet'!$A$279:$I$299,4,0))</f>
        <v>0</v>
      </c>
      <c r="HD84" s="16">
        <f>IF(ISNA(VLOOKUP(A84,'Données projet'!$A$279:$I$299,5,0)),0%,VLOOKUP(A84,'Données projet'!$A$279:$I$299,5,0)*VLOOKUP('Données projet'!$B$18,Paramètres!$A$1:$I$89,7,0))</f>
        <v>0</v>
      </c>
      <c r="HE84" s="16">
        <f>IF(ISNA(VLOOKUP(A84,'Données projet'!$A$279:$I$299,6,0)),0%,VLOOKUP(A84,'Données projet'!$A$279:$I$299,6,0)*VLOOKUP('Données projet'!$B$18,Paramètres!$A$1:$I$89,7,0))</f>
        <v>0</v>
      </c>
      <c r="HF84" s="16">
        <f>IF(ISNA(VLOOKUP($A84,'Données projet'!$A$279:$I$299,7,0)),0%,VLOOKUP($A84,'Données projet'!$A$279:$I$299,7,0))</f>
        <v>0</v>
      </c>
      <c r="HG84" s="21">
        <f>EXP(-LN(2)/35)*HG83+(1-EXP(-LN(2)/35))/(LN(2)/35)*HC84*HD84*VLOOKUP('Données projet'!$B$18,Paramètres!$A$1:$I$89,3,0)*0.475*44/12</f>
        <v>231.49228494613681</v>
      </c>
      <c r="HH84" s="21">
        <f>EXP(-LN(2)/25)*HH83+(1-EXP(-LN(2)/25))/(LN(2)/25)*Calculateur!HC84*Calculateur!HE84*VLOOKUP('Données projet'!$B$18,Paramètres!$A$1:$I$89,3,0)*0.475*44/12</f>
        <v>23.557741610192981</v>
      </c>
      <c r="HI84" s="21">
        <f>EXP(-LN(2)/2)*HI83+(1-EXP(-LN(2)/2))/(LN(2)/2)*HC84*HF84*VLOOKUP('Données projet'!$B$18,Paramètres!$A$1:$I$89,3,0)*0.475*44/12</f>
        <v>6.0437899457260453</v>
      </c>
      <c r="HJ84" s="22">
        <f t="shared" si="149"/>
        <v>261.0938165020558</v>
      </c>
      <c r="HK84" s="74">
        <f>('Scénario référence'!$F$8+'Scénario référence'!$F$9+'Scénario référence'!$B$17+'Scénario référence'!$B$9+'Scénario référence'!$B$10)*70+IF((45+25*(1-EXP(-0.0175*$A84)))&lt;70,'Scénario référence'!$B$16*(45+25*(1-EXP(-0.0175*$A84))),70*'Scénario référence'!$B$16)+IF((32+38*(1-EXP(-0.0175*$A84)))&lt;70,'Scénario référence'!$B$18*(32+38*(1-EXP(-0.0175*$A84))),70*'Scénario référence'!$B$18)</f>
        <v>70</v>
      </c>
      <c r="HL84" s="12">
        <f>IF($A84&gt;30,10,('Scénario référence'!$B$16+'Scénario référence'!$B$17+'Scénario référence'!$B$18+'Scénario référence'!$B$9+'Scénario référence'!$B$10)*$A84*10/30+('Scénario référence'!$F$8+'Scénario référence'!$F$9)*10)</f>
        <v>10</v>
      </c>
      <c r="HM84" s="12" t="e">
        <f>VLOOKUP($A84,'Données projet'!$A$304:$I$324,2,0)</f>
        <v>#N/A</v>
      </c>
      <c r="HN84" s="12" t="e">
        <f>VLOOKUP($A84,'Données projet'!$A$304:$I$324,9,0)</f>
        <v>#N/A</v>
      </c>
      <c r="HO84" s="12">
        <f t="array" ref="HO84">INDEX(HN:HN,MIN(IF(ISNUMBER(HN84:HN280),ROW(HN84:HN280),"")))</f>
        <v>0</v>
      </c>
      <c r="HP84" s="12">
        <f>IF('Données projet'!$A$304&gt;35,HP83+HO84-HX83,IF($A84&lt;'Données projet'!$A$304,$CQ$205^$A84,IF($A84='Données projet'!$A$304,'Données projet'!$B$304,HP83+HO84-HX83)))</f>
        <v>0</v>
      </c>
      <c r="HQ84" s="17">
        <f>HP84*VLOOKUP('Données projet'!$B$19,Paramètres!$A$1:$I$89,3,0)*VLOOKUP('Données projet'!$B$19,Paramètres!$A$1:$I$89,5,0)</f>
        <v>0</v>
      </c>
      <c r="HR84" s="13" t="e">
        <f t="shared" si="202"/>
        <v>#NUM!</v>
      </c>
      <c r="HS84" s="14" t="e">
        <f t="shared" si="150"/>
        <v>#NUM!</v>
      </c>
      <c r="HT84" s="59" t="e">
        <f t="shared" si="151"/>
        <v>#NUM!</v>
      </c>
      <c r="HU84" s="59">
        <f ca="1">AVERAGE(OFFSET(HT$3,0,0,'Données projet'!$E$19+1,1))-AVERAGE(OFFSET($H$3,0,0,'Données projet'!$E$19+1,1))</f>
        <v>91.60721429656013</v>
      </c>
      <c r="HV84" s="59">
        <f t="shared" si="203"/>
        <v>258.94957804210856</v>
      </c>
      <c r="HW84" s="15">
        <f>IF(ISNA(VLOOKUP($A84,'Données projet'!$A$304:$I$324,3,0)),0,VLOOKUP($A84,'Données projet'!$A$304:$I$324,3,0))</f>
        <v>0</v>
      </c>
      <c r="HX84" s="15">
        <f>IF(ISNA(VLOOKUP($A84,'Données projet'!$A$304:$I$324,4,0)),0,VLOOKUP($A84,'Données projet'!$A$304:$I$324,4,0))</f>
        <v>0</v>
      </c>
      <c r="HY84" s="16">
        <f>IF(ISNA(VLOOKUP($A84,'Données projet'!$A$304:$I$324,5,0)),0%,VLOOKUP($A84,'Données projet'!$A$304:$I$324,5,0)*VLOOKUP('Données projet'!$B$19,Paramètres!$A$1:$I$89,7,0))</f>
        <v>0</v>
      </c>
      <c r="HZ84" s="16">
        <f>IF(ISNA(VLOOKUP($A84,'Données projet'!$A$304:$I$324,6,0)),0%,VLOOKUP($A84,'Données projet'!$A$304:$I$324,6,0)*VLOOKUP('Données projet'!$B$19,Paramètres!$A$1:$I$89,7,0))</f>
        <v>0</v>
      </c>
      <c r="IA84" s="16">
        <f>IF(ISNA(VLOOKUP($A84,'Données projet'!$A$304:$I$324,7,0)),0%,VLOOKUP($A84,'Données projet'!$A$304:$I$324,7,0))</f>
        <v>0</v>
      </c>
      <c r="IB84" s="21">
        <f>EXP(-LN(2)/35)*IB83+(1-EXP(-LN(2)/35))/(LN(2)/35)*HX84*HY84*VLOOKUP('Données projet'!$B$19,Paramètres!$A$1:$I$89,3,0)*0.475*44/12</f>
        <v>17.967647500440005</v>
      </c>
      <c r="IC84" s="21">
        <f>EXP(-LN(2)/25)*IC83+(1-EXP(-LN(2)/25))/(LN(2)/25)*Calculateur!HX84*Calculateur!HZ84*VLOOKUP('Données projet'!$B$19,Paramètres!$A$1:$I$89,3,0)*0.475*44/12</f>
        <v>2.3654303696554848</v>
      </c>
      <c r="ID84" s="21">
        <f>EXP(-LN(2)/2)*ID83+(1-EXP(-LN(2)/2))/(LN(2)/2)*HX84*IA84*VLOOKUP('Données projet'!$B$19,Paramètres!$A$1:$I$89,3,0)*0.475*44/12</f>
        <v>1.2071959801094432E-8</v>
      </c>
      <c r="IE84" s="22">
        <f t="shared" si="152"/>
        <v>20.333077882167451</v>
      </c>
      <c r="IF84" s="74">
        <f>('Scénario référence'!$F$8+'Scénario référence'!$F$9+'Scénario référence'!$B$17+'Scénario référence'!$B$9+'Scénario référence'!$B$10)*70+IF((45+25*(1-EXP(-0.0175*$A84)))&lt;70,'Scénario référence'!$B$16*(45+25*(1-EXP(-0.0175*$A84))),70*'Scénario référence'!$B$16)+IF((32+38*(1-EXP(-0.0175*$A84)))&lt;70,'Scénario référence'!$B$18*(32+38*(1-EXP(-0.0175*$A84))),70*'Scénario référence'!$B$18)</f>
        <v>70</v>
      </c>
      <c r="IG84" s="12">
        <f>IF($A84&gt;30,10,('Scénario référence'!$B$16+'Scénario référence'!$B$17+'Scénario référence'!$B$18+'Scénario référence'!$B$9+'Scénario référence'!$B$10)*$A84*10/30+('Scénario référence'!$F$8+'Scénario référence'!$F$9)*10)</f>
        <v>10</v>
      </c>
      <c r="IH84" s="12" t="e">
        <f>VLOOKUP($A84,'Données projet'!$A$330:$I$350,2,0)</f>
        <v>#N/A</v>
      </c>
      <c r="II84" s="12" t="e">
        <f>VLOOKUP($A84,'Données projet'!$A$330:$I$350,9,0)</f>
        <v>#N/A</v>
      </c>
      <c r="IJ84" s="12">
        <f t="array" ref="IJ84">INDEX(II:II,MIN(IF(ISNUMBER(II84:II280),ROW(II84:II280),"")))</f>
        <v>0</v>
      </c>
      <c r="IK84" s="12">
        <f>IF('Données projet'!$A$330&gt;35,IK83+IJ84-IS83,IF($A84&lt;'Données projet'!$A$330,$CQ$205^$A84,IF($A84='Données projet'!$A$330,'Données projet'!$B$330,IK83+IJ84-IS83)))</f>
        <v>0</v>
      </c>
      <c r="IL84" s="17">
        <f>IK84*VLOOKUP('Données projet'!$B$20,Paramètres!$A$1:$I$89,3,0)*VLOOKUP('Données projet'!$B$20,Paramètres!$A$1:$I$89,5,0)</f>
        <v>0</v>
      </c>
      <c r="IM84" s="13" t="e">
        <f t="shared" si="204"/>
        <v>#NUM!</v>
      </c>
      <c r="IN84" s="20" t="e">
        <f t="shared" si="153"/>
        <v>#NUM!</v>
      </c>
      <c r="IO84" s="59" t="e">
        <f t="shared" si="154"/>
        <v>#NUM!</v>
      </c>
      <c r="IP84" s="59">
        <f ca="1">AVERAGE(OFFSET(IO$3,0,0,'Données projet'!$E$20+1,1))-AVERAGE(OFFSET($H$3,0,0,'Données projet'!$E$20+1,1))</f>
        <v>91.60721429656013</v>
      </c>
      <c r="IQ84" s="59">
        <f t="shared" si="205"/>
        <v>258.94957804210856</v>
      </c>
      <c r="IR84" s="15">
        <f>IF(ISNA(VLOOKUP($A84,'Données projet'!$A$330:$I$350,3,0)),0,VLOOKUP($A84,'Données projet'!$A$330:$I$350,3,0))</f>
        <v>0</v>
      </c>
      <c r="IS84" s="15">
        <f>IF(ISNA(VLOOKUP($A84,'Données projet'!$A$330:$I$350,4,0)),0,VLOOKUP($A84,'Données projet'!$A$330:$I$350,4,0))</f>
        <v>0</v>
      </c>
      <c r="IT84" s="16">
        <f>IF(ISNA(VLOOKUP($A84,'Données projet'!$A$330:$I$350,5,0)),0%,VLOOKUP($A84,'Données projet'!$A$330:$I$350,5,0)*VLOOKUP('Données projet'!$B$20,Paramètres!$A$1:$I$89,7,0))</f>
        <v>0</v>
      </c>
      <c r="IU84" s="16">
        <f>IF(ISNA(VLOOKUP($A84,'Données projet'!$A$330:$I$350,6,0)),0%,VLOOKUP($A84,'Données projet'!$A$330:$I$350,6,0)*VLOOKUP('Données projet'!$B$20,Paramètres!$A$1:$I$89,7,0))</f>
        <v>0</v>
      </c>
      <c r="IV84" s="16">
        <f>IF(ISNA(VLOOKUP($A84,'Données projet'!$A$330:$I$350,7,0)),0%,VLOOKUP($A84,'Données projet'!$A$330:$I$350,7,0))</f>
        <v>0</v>
      </c>
      <c r="IW84" s="21">
        <f>EXP(-LN(2)/35)*IW83+(1-EXP(-LN(2)/35))/(LN(2)/35)*IS84*IT84*VLOOKUP('Données projet'!$B$20,Paramètres!$A$1:$I$89,3,0)*0.475*44/12</f>
        <v>17.967647500440005</v>
      </c>
      <c r="IX84" s="21">
        <f>EXP(-LN(2)/25)*IX83+(1-EXP(-LN(2)/25))/(LN(2)/25)*Calculateur!IS84*Calculateur!IU84*VLOOKUP('Données projet'!$B$20,Paramètres!$A$1:$I$89,3,0)*0.475*44/12</f>
        <v>2.3654303696554848</v>
      </c>
      <c r="IY84" s="21">
        <f>EXP(-LN(2)/2)*IY83+(1-EXP(-LN(2)/2))/(LN(2)/2)*IS84*IV84*VLOOKUP('Données projet'!$B$20,Paramètres!$A$1:$I$89,3,0)*0.475*44/12</f>
        <v>1.2071959801094432E-8</v>
      </c>
      <c r="IZ84" s="22">
        <f t="shared" si="155"/>
        <v>20.333077882167451</v>
      </c>
      <c r="JA84" s="74">
        <f>('Scénario référence'!$F$8+'Scénario référence'!$F$9+'Scénario référence'!$B$17+'Scénario référence'!$B$9+'Scénario référence'!$B$10)*70+IF((45+25*(1-EXP(-0.0175*$A84)))&lt;70,'Scénario référence'!$B$16*(45+25*(1-EXP(-0.0175*$A84))),70*'Scénario référence'!$B$16)+IF((32+38*(1-EXP(-0.0175*$A84)))&lt;70,'Scénario référence'!$B$18*(32+38*(1-EXP(-0.0175*$A84))),70*'Scénario référence'!$B$18)</f>
        <v>70</v>
      </c>
      <c r="JB84" s="12">
        <f>IF($A84&gt;30,10,('Scénario référence'!$B$16+'Scénario référence'!$B$17+'Scénario référence'!$B$18+'Scénario référence'!$B$9+'Scénario référence'!$B$10)*$A84*10/30+('Scénario référence'!$F$8+'Scénario référence'!$F$9)*10)</f>
        <v>10</v>
      </c>
      <c r="JC84" s="12" t="e">
        <f>VLOOKUP($A84,'Données projet'!$A$356:$I$376,2,0)</f>
        <v>#N/A</v>
      </c>
      <c r="JD84" s="12" t="e">
        <f>VLOOKUP($A84,'Données projet'!$A$356:$I$376,9,0)</f>
        <v>#N/A</v>
      </c>
      <c r="JE84" s="12">
        <f t="array" ref="JE84">INDEX(JD:JD,MIN(IF(ISNUMBER(JD84:JD280),ROW(JD84:JD280),"")))</f>
        <v>5.4</v>
      </c>
      <c r="JF84" s="12">
        <f>IF('Données projet'!$A$356&gt;35,JF83+JE84-JN83,IF($A84&lt;'Données projet'!$A$356,$CQ$205^$A84,IF($A84='Données projet'!$A$356,'Données projet'!$B$356,JF83+JE84-JN83)))</f>
        <v>328.39999999999992</v>
      </c>
      <c r="JG84" s="17">
        <f>JF84*VLOOKUP('Données projet'!$B$21,Paramètres!$A$1:$I$89,3,0)*VLOOKUP('Données projet'!$B$21,Paramètres!$A$1:$I$89,5,0)</f>
        <v>266.39807999999999</v>
      </c>
      <c r="JH84" s="13">
        <f t="shared" si="206"/>
        <v>64.084254485104395</v>
      </c>
      <c r="JI84" s="20">
        <f t="shared" si="156"/>
        <v>575.59006589489013</v>
      </c>
      <c r="JJ84" s="59">
        <f t="shared" si="157"/>
        <v>868.92339922822339</v>
      </c>
      <c r="JK84" s="59">
        <f ca="1">AVERAGE(OFFSET($JJ$3,0,0,'Données projet'!$E$22+1,1))-AVERAGE(OFFSET($H$3,0,0,'Données projet'!$E$22+1,1))</f>
        <v>353.35574633294613</v>
      </c>
      <c r="JL84" s="59">
        <f t="shared" si="207"/>
        <v>170.36796666474726</v>
      </c>
      <c r="JM84" s="15">
        <f>IF(ISNA(VLOOKUP($A84,'Données projet'!$A$356:$I$376,3,0)),0,VLOOKUP($A84,'Données projet'!$A$356:$I$376,3,0))</f>
        <v>0</v>
      </c>
      <c r="JN84" s="15">
        <f>IF(ISNA(VLOOKUP($A84,'Données projet'!$A$356:$I$376,4,0)),0,VLOOKUP($A84,'Données projet'!$A$356:$I$376,4,0))</f>
        <v>0</v>
      </c>
      <c r="JO84" s="16">
        <f>IF(ISNA(VLOOKUP($A84,'Données projet'!$A$356:$I$376,5,0)),0%,VLOOKUP($A84,'Données projet'!$A$356:$I$376,5,0)*VLOOKUP('Données projet'!$B$21,Paramètres!$A$1:$I$89,7,0))</f>
        <v>0</v>
      </c>
      <c r="JP84" s="16">
        <f>IF(ISNA(VLOOKUP($A84,'Données projet'!$A$356:$I$376,6,0)),0%,VLOOKUP($A84,'Données projet'!$A$356:$I$376,6,0)*VLOOKUP('Données projet'!$B$21,Paramètres!$A$1:$I$89,7,0))</f>
        <v>0</v>
      </c>
      <c r="JQ84" s="16">
        <f>IF(ISNA(VLOOKUP($A84,'Données projet'!$A$356:$I$376,7,0)),0%,VLOOKUP($A84,'Données projet'!$A$356:$I$376,7,0))</f>
        <v>0</v>
      </c>
      <c r="JR84" s="21">
        <f>EXP(-LN(2)/35)*JR83+(1-EXP(-LN(2)/35))/(LN(2)/35)*JN84*JO84*VLOOKUP('Données projet'!$B$21,Paramètres!$A$1:$I$89,3,0)*0.475*44/12</f>
        <v>2.017254110679128</v>
      </c>
      <c r="JS84" s="21">
        <f>EXP(-LN(2)/25)*JS83+(1-EXP(-LN(2)/25))/(LN(2)/25)*Calculateur!JN84*Calculateur!JP84*VLOOKUP('Données projet'!$B$21,Paramètres!$A$1:$I$89,3,0)*0.475*44/12</f>
        <v>17.143856079311277</v>
      </c>
      <c r="JT84" s="21">
        <f>EXP(-LN(2)/2)*JT83+(1-EXP(-LN(2)/2))/(LN(2)/2)*JN84*JQ84*VLOOKUP('Données projet'!$B$21,Paramètres!$A$1:$I$89,3,0)*0.475*44/12</f>
        <v>5.5224127704691925</v>
      </c>
      <c r="JU84" s="18">
        <f t="shared" si="158"/>
        <v>24.683522960459598</v>
      </c>
      <c r="JV84" s="74">
        <f>('Scénario référence'!$F$8+'Scénario référence'!$F$9+'Scénario référence'!$B$17+'Scénario référence'!$B$9+'Scénario référence'!$B$10)*70+IF((45+25*(1-EXP(-0.0175*$A84)))&lt;70,'Scénario référence'!$B$16*(45+25*(1-EXP(-0.0175*$A84))),70*'Scénario référence'!$B$16)+IF((32+38*(1-EXP(-0.0175*$A84)))&lt;70,'Scénario référence'!$B$18*(32+38*(1-EXP(-0.0175*$A84))),70*'Scénario référence'!$B$18)</f>
        <v>70</v>
      </c>
      <c r="JW84" s="12">
        <f>IF($A84&gt;30,10,('Scénario référence'!$B$16+'Scénario référence'!$B$17+'Scénario référence'!$B$18+'Scénario référence'!$B$9+'Scénario référence'!$B$10)*$A84*10/30+('Scénario référence'!$F$8+'Scénario référence'!$F$9)*10)</f>
        <v>10</v>
      </c>
      <c r="JX84" s="12" t="e">
        <f>VLOOKUP($A84,'Données projet'!$A$382:$I$402,2,0)</f>
        <v>#N/A</v>
      </c>
      <c r="JY84" s="12" t="e">
        <f>VLOOKUP($A84,'Données projet'!$A$382:$I$402,9,0)</f>
        <v>#N/A</v>
      </c>
      <c r="JZ84" s="12">
        <f t="array" ref="JZ84">INDEX(JY:JY,MIN(IF(ISNUMBER(JY84:JY280),ROW(JY84:JY280),"")))</f>
        <v>7.4950142450142421</v>
      </c>
      <c r="KA84" s="12">
        <f>IF('Données projet'!$A$382&gt;35,KA83+JZ84-KI83,IF($A84&lt;'Données projet'!$A$382,$CQ$205^$A84,IF($A84='Données projet'!$A$382,'Données projet'!$B$382,KA83+JZ84-KI83)))</f>
        <v>235.89886039886056</v>
      </c>
      <c r="KB84" s="17">
        <f>KA84*VLOOKUP('Données projet'!$B$22,Paramètres!$A$1:$I$89,3,0)*VLOOKUP('Données projet'!$B$22,Paramètres!$A$1:$I$89,5,0)</f>
        <v>158.24095555555567</v>
      </c>
      <c r="KC84" s="13">
        <f t="shared" si="208"/>
        <v>40.445503111288566</v>
      </c>
      <c r="KD84" s="20">
        <f t="shared" si="159"/>
        <v>346.04558217808699</v>
      </c>
      <c r="KE84" s="59">
        <f t="shared" si="160"/>
        <v>639.37891551142025</v>
      </c>
      <c r="KF84" s="59">
        <f ca="1">AVERAGE(OFFSET($KE$3,0,0,'Données projet'!$E$22+1,1))-AVERAGE(OFFSET($H$3,0,0,'Données projet'!$E$22+1,1))</f>
        <v>193.91714772848269</v>
      </c>
      <c r="KG84" s="59">
        <f t="shared" si="209"/>
        <v>159.20429420478047</v>
      </c>
      <c r="KH84" s="15">
        <f>IF(ISNA(VLOOKUP($A84,'Données projet'!$A$382:$I$402,3,0)),0,VLOOKUP($A84,'Données projet'!$A$382:$I$402,3,0))</f>
        <v>0</v>
      </c>
      <c r="KI84" s="15">
        <f>IF(ISNA(VLOOKUP($A84,'Données projet'!$A$382:$I$402,4,0)),0,VLOOKUP($A84,'Données projet'!$A$382:$I$402,4,0))</f>
        <v>0</v>
      </c>
      <c r="KJ84" s="16">
        <f>IF(ISNA(VLOOKUP($A84,'Données projet'!$A$382:$I$402,5,0)),0%,VLOOKUP($A84,'Données projet'!$A$382:$I$402,5,0)*VLOOKUP('Données projet'!$B$22,Paramètres!$A$1:$I$89,7,0))</f>
        <v>0</v>
      </c>
      <c r="KK84" s="16">
        <f>IF(ISNA(VLOOKUP($A84,'Données projet'!$A$382:$I$402,6,0)),0%,VLOOKUP($A84,'Données projet'!$A$382:$I$402,6,0)*VLOOKUP('Données projet'!$B$22,Paramètres!$A$1:$I$89,7,0))</f>
        <v>0</v>
      </c>
      <c r="KL84" s="16">
        <f>IF(ISNA(VLOOKUP($A84,'Données projet'!$A$382:$I$402,7,0)),0%,VLOOKUP($A84,'Données projet'!$A$382:$I$402,7,0))</f>
        <v>0</v>
      </c>
      <c r="KM84" s="21">
        <f>EXP(-LN(2)/35)*KM83+(1-EXP(-LN(2)/35))/(LN(2)/35)*KI84*KJ84*VLOOKUP('Données projet'!$B$22,Paramètres!$A$1:$I$89,3,0)*0.475*44/12</f>
        <v>29.351541223328088</v>
      </c>
      <c r="KN84" s="21">
        <f>EXP(-LN(2)/25)*KN83+(1-EXP(-LN(2)/25))/(LN(2)/25)*Calculateur!KI84*Calculateur!KK84*VLOOKUP('Données projet'!$B$22,Paramètres!$A$1:$I$89,3,0)*0.475*44/12</f>
        <v>0</v>
      </c>
      <c r="KO84" s="21">
        <f>EXP(-LN(2)/2)*KO83+(1-EXP(-LN(2)/2))/(LN(2)/2)*KI84*KL84*VLOOKUP('Données projet'!$B$22,Paramètres!$A$1:$I$89,3,0)*0.475*44/12</f>
        <v>0</v>
      </c>
      <c r="KP84" s="22">
        <f t="shared" si="161"/>
        <v>29.351541223328088</v>
      </c>
      <c r="KQ84" s="74">
        <f>('Scénario référence'!$F$8+'Scénario référence'!$F$9+'Scénario référence'!$B$17+'Scénario référence'!$B$9+'Scénario référence'!$B$10)*70+IF((45+25*(1-EXP(-0.0175*$A84)))&lt;70,'Scénario référence'!$B$16*(45+25*(1-EXP(-0.0175*$A84))),70*'Scénario référence'!$B$16)+IF((32+38*(1-EXP(-0.0175*$A84)))&lt;70,'Scénario référence'!$B$18*(32+38*(1-EXP(-0.0175*$A84))),70*'Scénario référence'!$B$18)</f>
        <v>70</v>
      </c>
      <c r="KR84" s="12">
        <f>IF($A84&gt;30,10,('Scénario référence'!$B$16+'Scénario référence'!$B$17+'Scénario référence'!$B$18+'Scénario référence'!$B$9+'Scénario référence'!$B$10)*$A84*10/30+('Scénario référence'!$F$8+'Scénario référence'!$F$9)*10)</f>
        <v>10</v>
      </c>
      <c r="KS84" s="12" t="e">
        <f>VLOOKUP($A84,'Données projet'!$A$408:$I$428,2,0)</f>
        <v>#N/A</v>
      </c>
      <c r="KT84" s="12" t="e">
        <f>VLOOKUP($A84,'Données projet'!$A$408:$I$428,9,0)</f>
        <v>#N/A</v>
      </c>
      <c r="KU84" s="12">
        <f t="array" ref="KU84">INDEX(KT:KT,MIN(IF(ISNUMBER(KT84:KT280),ROW(KT84:KT280),"")))</f>
        <v>0</v>
      </c>
      <c r="KV84" s="12">
        <f>IF('Données projet'!$A$408&gt;35,KV83+KU84-LD83,IF($A84&lt;'Données projet'!$A$408,$CQ$205^$A84,IF($A84='Données projet'!$A$408,'Données projet'!$B$408,KV83+KU84-LD83)))</f>
        <v>-1.1368683772161603E-13</v>
      </c>
      <c r="KW84" s="17">
        <f>KV84*VLOOKUP('Données projet'!$B$23,Paramètres!$A$1:$I$89,3,0)*VLOOKUP('Données projet'!$B$23,Paramètres!$A$1:$I$89,5,0)</f>
        <v>-9.9316821433603781E-14</v>
      </c>
      <c r="KX84" s="13" t="e">
        <f t="shared" si="210"/>
        <v>#NUM!</v>
      </c>
      <c r="KY84" s="14" t="e">
        <f t="shared" si="162"/>
        <v>#NUM!</v>
      </c>
      <c r="KZ84" s="59" t="e">
        <f t="shared" si="163"/>
        <v>#NUM!</v>
      </c>
      <c r="LA84" s="59">
        <f ca="1">AVERAGE(OFFSET($KZ$3,0,0,'Données projet'!$E$23+1,1))-AVERAGE(OFFSET($H$3,0,0,'Données projet'!$E$23+1,1))</f>
        <v>248.33596943633819</v>
      </c>
      <c r="LB84" s="59">
        <f t="shared" si="211"/>
        <v>242.34010522344573</v>
      </c>
      <c r="LC84" s="15">
        <f>IF(ISNA(VLOOKUP($A84,'Données projet'!$A$408:$I$428,3,0)),0,VLOOKUP($A84,'Données projet'!$A$408:$I$428,3,0))</f>
        <v>0</v>
      </c>
      <c r="LD84" s="15">
        <f>IF(ISNA(VLOOKUP($A84,'Données projet'!$A$408:$I$428,4,0)),0,VLOOKUP($A84,'Données projet'!$A$408:$I$428,4,0))</f>
        <v>0</v>
      </c>
      <c r="LE84" s="16">
        <f>IF(ISNA(VLOOKUP($A84,'Données projet'!$A$408:$I$428,5,0)),0%,VLOOKUP($A84,'Données projet'!$A$408:$I$428,5,0)*VLOOKUP('Données projet'!$B$23,Paramètres!$A$1:$I$89,7,0))</f>
        <v>0</v>
      </c>
      <c r="LF84" s="16">
        <f>IF(ISNA(VLOOKUP($A84,'Données projet'!$A$408:$I$428,6,0)),0%,VLOOKUP($A84,'Données projet'!$A$408:$I$428,6,0)*VLOOKUP('Données projet'!$B$23,Paramètres!$A$1:$I$89,7,0))</f>
        <v>0</v>
      </c>
      <c r="LG84" s="16">
        <f>IF(ISNA(VLOOKUP($A84,'Données projet'!$A$408:$I$428,7,0)),0%,VLOOKUP($A84,'Données projet'!$A$408:$I$428,7,0))</f>
        <v>0</v>
      </c>
      <c r="LH84" s="21">
        <f>EXP(-LN(2)/35)*LH83+(1-EXP(-LN(2)/35))/(LN(2)/35)*LD84*LE84*VLOOKUP('Données projet'!$B$23,Paramètres!$A$1:$I$89,3,0)*0.475*44/12</f>
        <v>120.80412550907299</v>
      </c>
      <c r="LI84" s="21">
        <f>EXP(-LN(2)/25)*LI83+(1-EXP(-LN(2)/25))/(LN(2)/25)*Calculateur!LD84*Calculateur!LF84*VLOOKUP('Données projet'!$B$23,Paramètres!$A$1:$I$89,3,0)*0.475*44/12</f>
        <v>21.181612355001661</v>
      </c>
      <c r="LJ84" s="21">
        <f>EXP(-LN(2)/2)*LJ83+(1-EXP(-LN(2)/2))/(LN(2)/2)*LD84*LG84*VLOOKUP('Données projet'!$B$23,Paramètres!$A$1:$I$89,3,0)*0.475*44/12</f>
        <v>0</v>
      </c>
      <c r="LK84" s="22">
        <f t="shared" si="164"/>
        <v>141.98573786407465</v>
      </c>
      <c r="LL84" s="74">
        <f>('Scénario référence'!$F$8+'Scénario référence'!$F$9+'Scénario référence'!$B$17+'Scénario référence'!$B$9+'Scénario référence'!$B$10)*70+IF((45+25*(1-EXP(-0.0175*$A84)))&lt;70,'Scénario référence'!$B$16*(45+25*(1-EXP(-0.0175*$A84))),70*'Scénario référence'!$B$16)+IF((32+38*(1-EXP(-0.0175*$A84)))&lt;70,'Scénario référence'!$B$18*(32+38*(1-EXP(-0.0175*$A84))),70*'Scénario référence'!$B$18)</f>
        <v>70</v>
      </c>
      <c r="LM84" s="12">
        <f>IF($A84&gt;30,10,('Scénario référence'!$B$16+'Scénario référence'!$B$17+'Scénario référence'!$B$18+'Scénario référence'!$B$9+'Scénario référence'!$B$10)*$A84*10/30+('Scénario référence'!$F$8+'Scénario référence'!$F$9)*10)</f>
        <v>10</v>
      </c>
      <c r="LN84" s="12" t="e">
        <f>VLOOKUP($A84,'Données projet'!$A$434:$I$454,2,0)</f>
        <v>#N/A</v>
      </c>
      <c r="LO84" s="12" t="e">
        <f>VLOOKUP($A84,'Données projet'!$A$434:$I$454,9,0)</f>
        <v>#N/A</v>
      </c>
      <c r="LP84" s="12">
        <f t="array" ref="LP84">INDEX(LO:LO,MIN(IF(ISNUMBER(LO84:LO280),ROW(LO84:LO280),"")))</f>
        <v>5.5042735042735051</v>
      </c>
      <c r="LQ84" s="12">
        <f>IF('Données projet'!$A$434&gt;35,LQ83+LP84-LY83,IF($A84&lt;'Données projet'!$A$434,$CQ$205^$A84,IF($A84='Données projet'!$A$434,'Données projet'!$B$434,LQ83+LP84-LY83)))</f>
        <v>183.49358974358967</v>
      </c>
      <c r="LR84" s="17">
        <f>LQ84*VLOOKUP('Données projet'!$B$24,Paramètres!$A$1:$I$89,3,0)*VLOOKUP('Données projet'!$B$24,Paramètres!$A$1:$I$89,5,0)</f>
        <v>186.06249999999994</v>
      </c>
      <c r="LS84" s="13">
        <f t="shared" si="212"/>
        <v>46.668369362854641</v>
      </c>
      <c r="LT84" s="14">
        <f t="shared" si="165"/>
        <v>405.33959747363838</v>
      </c>
      <c r="LU84" s="59">
        <f t="shared" si="166"/>
        <v>698.67293080697164</v>
      </c>
      <c r="LV84" s="59">
        <f ca="1">AVERAGE(OFFSET($LU$3,0,0,'Données projet'!$E$24+1,1))-AVERAGE(OFFSET($H$3,0,0,'Données projet'!$E$24+1,1))</f>
        <v>260.52627655062872</v>
      </c>
      <c r="LW84" s="59">
        <f t="shared" si="213"/>
        <v>159.20429420478047</v>
      </c>
      <c r="LX84" s="15">
        <f>IF(ISNA(VLOOKUP($A84,'Données projet'!$A$434:$I$454,3,0)),0,VLOOKUP($A84,'Données projet'!$A$434:$I$454,3,0))</f>
        <v>0</v>
      </c>
      <c r="LY84" s="15">
        <f>IF(ISNA(VLOOKUP($A84,'Données projet'!$A$434:$I$454,4,0)),0,VLOOKUP($A84,'Données projet'!$A$434:$I$454,4,0))</f>
        <v>0</v>
      </c>
      <c r="LZ84" s="16">
        <f>IF(ISNA(VLOOKUP($A84,'Données projet'!$A$434:$I$454,5,0)),0%,VLOOKUP($A84,'Données projet'!$A$434:$I$454,5,0)*VLOOKUP('Données projet'!$B$24,Paramètres!$A$1:$I$89,7,0))</f>
        <v>0</v>
      </c>
      <c r="MA84" s="16">
        <f>IF(ISNA(VLOOKUP($A84,'Données projet'!$A$434:$I$454,6,0)),0%,VLOOKUP($A84,'Données projet'!$A$434:$I$454,6,0)*VLOOKUP('Données projet'!$B$24,Paramètres!$A$1:$I$89,7,0))</f>
        <v>0</v>
      </c>
      <c r="MB84" s="16">
        <f>IF(ISNA(VLOOKUP($A84,'Données projet'!$A$434:$I$454,7,0)),0%,VLOOKUP($A84,'Données projet'!$A$434:$I$454,7,0))</f>
        <v>0</v>
      </c>
      <c r="MC84" s="21">
        <f>EXP(-LN(2)/35)*MC83+(1-EXP(-LN(2)/35))/(LN(2)/35)*LY84*LZ84*VLOOKUP('Données projet'!$B$24,Paramètres!$A$1:$I$89,3,0)*0.475*44/12</f>
        <v>9.2627316525342263</v>
      </c>
      <c r="MD84" s="21">
        <f>EXP(-LN(2)/25)*MD83+(1-EXP(-LN(2)/25))/(LN(2)/25)*Calculateur!LY84*Calculateur!MA84*VLOOKUP('Données projet'!$B$24,Paramètres!$A$1:$I$89,3,0)*0.475*44/12</f>
        <v>0</v>
      </c>
      <c r="ME84" s="21">
        <f>EXP(-LN(2)/2)*ME83+(1-EXP(-LN(2)/2))/(LN(2)/2)*LY84*MB84*VLOOKUP('Données projet'!$B$24,Paramètres!$A$1:$I$89,3,0)*0.475*44/12</f>
        <v>0</v>
      </c>
      <c r="MF84" s="22">
        <f t="shared" si="167"/>
        <v>9.2627316525342263</v>
      </c>
      <c r="MG84" s="74">
        <f>('Scénario référence'!$F$8+'Scénario référence'!$F$9+'Scénario référence'!$B$17+'Scénario référence'!$B$9+'Scénario référence'!$B$10)*70+IF((45+25*(1-EXP(-0.0175*$A84)))&lt;70,'Scénario référence'!$B$16*(45+25*(1-EXP(-0.0175*$A84))),70*'Scénario référence'!$B$16)+IF((32+38*(1-EXP(-0.0175*$A84)))&lt;70,'Scénario référence'!$B$18*(32+38*(1-EXP(-0.0175*$A84))),70*'Scénario référence'!$B$18)</f>
        <v>70</v>
      </c>
      <c r="MH84" s="12">
        <f>IF($A84&gt;30,10,('Scénario référence'!$B$16+'Scénario référence'!$B$17+'Scénario référence'!$B$18+'Scénario référence'!$B$9+'Scénario référence'!$B$10)*$A84*10/30+('Scénario référence'!$F$8+'Scénario référence'!$F$9)*10)</f>
        <v>10</v>
      </c>
      <c r="MI84" s="12" t="e">
        <f>VLOOKUP($A84,'Données projet'!$A$460:$I$480,2,0)</f>
        <v>#N/A</v>
      </c>
      <c r="MJ84" s="12" t="e">
        <f>VLOOKUP($A84,'Données projet'!$A$460:$I$480,9,0)</f>
        <v>#N/A</v>
      </c>
      <c r="MK84" s="12">
        <f t="array" ref="MK84">INDEX(MJ:MJ,MIN(IF(ISNUMBER(MJ84:MJ280),ROW(MJ84:MJ280),"")))</f>
        <v>0</v>
      </c>
      <c r="ML84" s="12">
        <f>IF('Données projet'!$A$460&gt;35,ML83+MK84-MT83,IF($A84&lt;'Données projet'!$A$460,$CQ$205^$A84,IF($A84='Données projet'!$A$460,'Données projet'!$B$460,ML83+MK84-MT83)))</f>
        <v>0</v>
      </c>
      <c r="MM84" s="17" t="e">
        <f>ML84*VLOOKUP('Données projet'!$B$25,Paramètres!$A$1:$I$89,3,0)*VLOOKUP('Données projet'!$B$25,Paramètres!$A$1:$I$89,5,0)</f>
        <v>#N/A</v>
      </c>
      <c r="MN84" s="13" t="e">
        <f t="shared" si="214"/>
        <v>#N/A</v>
      </c>
      <c r="MO84" s="14" t="e">
        <f t="shared" si="168"/>
        <v>#N/A</v>
      </c>
      <c r="MP84" s="59" t="e">
        <f t="shared" si="169"/>
        <v>#N/A</v>
      </c>
      <c r="MQ84" s="20" t="e">
        <f ca="1">AVERAGE(OFFSET($MP$3,0,0,'Données projet'!$E$25+1,1))-AVERAGE(OFFSET($H$3,0,0,'Données projet'!$E$25+1,1))</f>
        <v>#N/A</v>
      </c>
      <c r="MR84" s="59" t="e">
        <f t="shared" si="215"/>
        <v>#N/A</v>
      </c>
      <c r="MS84" s="15">
        <f>IF(ISNA(VLOOKUP($A84,'Données projet'!$A$460:$I$480,3,0)),0,VLOOKUP($A84,'Données projet'!$A$460:$I$480,3,0))</f>
        <v>0</v>
      </c>
      <c r="MT84" s="15">
        <f>IF(ISNA(VLOOKUP($A84,'Données projet'!$A$460:$I$480,4,0)),0,VLOOKUP($A84,'Données projet'!$A$460:$I$480,4,0))</f>
        <v>0</v>
      </c>
      <c r="MU84" s="16">
        <f>IF(ISNA(VLOOKUP($A84,'Données projet'!$A$460:$I$480,5,0)),0%,VLOOKUP($A84,'Données projet'!$A$460:$I$480,5,0)*VLOOKUP('Données projet'!$B$25,Paramètres!$A$1:$I$89,7,0))</f>
        <v>0</v>
      </c>
      <c r="MV84" s="16">
        <f>IF(ISNA(VLOOKUP($A84,'Données projet'!$A$460:$I$480,6,0)),0%,VLOOKUP($A84,'Données projet'!$A$460:$I$480,6,0)*VLOOKUP('Données projet'!$B$25,Paramètres!$A$1:$I$89,7,0))</f>
        <v>0</v>
      </c>
      <c r="MW84" s="16">
        <f>IF(ISNA(VLOOKUP($A84,'Données projet'!$A$460:$I$480,7,0)),0%,VLOOKUP($A84,'Données projet'!$A$460:$I$480,7,0))</f>
        <v>0</v>
      </c>
      <c r="MX84" s="21" t="e">
        <f>EXP(-LN(2)/35)*MX83+(1-EXP(-LN(2)/35))/(LN(2)/35)*MT84*MU84*VLOOKUP('Données projet'!$B$25,Paramètres!$A$1:$I$89,3,0)*0.475*44/12</f>
        <v>#N/A</v>
      </c>
      <c r="MY84" s="21" t="e">
        <f>EXP(-LN(2)/25)*MY83+(1-EXP(-LN(2)/25))/(LN(2)/25)*Calculateur!MT84*Calculateur!MV84*VLOOKUP('Données projet'!$B$25,Paramètres!$A$1:$I$89,3,0)*0.475*44/12</f>
        <v>#N/A</v>
      </c>
      <c r="MZ84" s="21" t="e">
        <f>EXP(-LN(2)/2)*MZ83+(1-EXP(-LN(2)/2))/(LN(2)/2)*MT84*MW84*VLOOKUP('Données projet'!$B$25,Paramètres!$A$1:$I$89,3,0)*0.475*44/12</f>
        <v>#N/A</v>
      </c>
      <c r="NA84" s="22" t="e">
        <f t="shared" si="170"/>
        <v>#N/A</v>
      </c>
      <c r="NB84" s="74">
        <f>('Scénario référence'!$F$8+'Scénario référence'!$F$9+'Scénario référence'!$B$17+'Scénario référence'!$B$9+'Scénario référence'!$B$10)*70+IF((45+25*(1-EXP(-0.0175*$A84)))&lt;70,'Scénario référence'!$B$16*(45+25*(1-EXP(-0.0175*$A84))),70*'Scénario référence'!$B$16)+IF((32+38*(1-EXP(-0.0175*$A84)))&lt;70,'Scénario référence'!$B$18*(32+38*(1-EXP(-0.0175*$A84))),70*'Scénario référence'!$B$18)</f>
        <v>70</v>
      </c>
      <c r="NC84" s="12">
        <f>IF($A84&gt;30,10,('Scénario référence'!$B$16+'Scénario référence'!$B$17+'Scénario référence'!$B$18+'Scénario référence'!$B$9+'Scénario référence'!$B$10)*$A84*10/30+('Scénario référence'!$F$8+'Scénario référence'!$F$9)*10)</f>
        <v>10</v>
      </c>
      <c r="ND84" s="12" t="e">
        <f>VLOOKUP($A84,'Données projet'!$A$486:$I$506,2,0)</f>
        <v>#N/A</v>
      </c>
      <c r="NE84" s="12" t="e">
        <f>VLOOKUP($A84,'Données projet'!$A$486:$I$506,9,0)</f>
        <v>#N/A</v>
      </c>
      <c r="NF84" s="12">
        <f t="array" ref="NF84">INDEX(NE:NE,MIN(IF(ISNUMBER(NE84:NE280),ROW(NE84:NE280),"")))</f>
        <v>0</v>
      </c>
      <c r="NG84" s="12">
        <f>IF('Données projet'!$A$486&gt;35,NG83+NF84-NO83,IF($A84&lt;'Données projet'!$A$486,$CQ$205^$A84,IF($A84='Données projet'!$A$486,'Données projet'!$B$486,NG83+NF84-NO83)))</f>
        <v>0</v>
      </c>
      <c r="NH84" s="17" t="e">
        <f>NG84*VLOOKUP('Données projet'!$B$26,Paramètres!$A$1:$I$89,3,0)*VLOOKUP('Données projet'!$B$26,Paramètres!$A$1:$I$89,5,0)</f>
        <v>#N/A</v>
      </c>
      <c r="NI84" s="13" t="e">
        <f t="shared" si="216"/>
        <v>#N/A</v>
      </c>
      <c r="NJ84" s="14" t="e">
        <f t="shared" si="171"/>
        <v>#N/A</v>
      </c>
      <c r="NK84" s="59" t="e">
        <f t="shared" si="172"/>
        <v>#N/A</v>
      </c>
      <c r="NL84" s="20" t="e">
        <f ca="1">AVERAGE(OFFSET($NK$3,0,0,'Données projet'!$E$26+1,1))-AVERAGE(OFFSET($H$3,0,0,'Données projet'!$E$26+1,1))</f>
        <v>#N/A</v>
      </c>
      <c r="NM84" s="59" t="e">
        <f t="shared" si="217"/>
        <v>#N/A</v>
      </c>
      <c r="NN84" s="15">
        <f>IF(ISNA(VLOOKUP($A84,'Données projet'!$A$486:$I$506,3,0)),0,VLOOKUP($A84,'Données projet'!$A$486:$I$506,3,0))</f>
        <v>0</v>
      </c>
      <c r="NO84" s="15">
        <f>IF(ISNA(VLOOKUP($A84,'Données projet'!$A$486:$I$506,4,0)),0,VLOOKUP($A84,'Données projet'!$A$486:$I$506,4,0))</f>
        <v>0</v>
      </c>
      <c r="NP84" s="16">
        <f>IF(ISNA(VLOOKUP($A84,'Données projet'!$A$486:$I$506,5,0)),0%,VLOOKUP($A84,'Données projet'!$A$486:$I$506,5,0)*VLOOKUP('Données projet'!$B$26,Paramètres!$A$1:$I$89,7,0))</f>
        <v>0</v>
      </c>
      <c r="NQ84" s="16">
        <f>IF(ISNA(VLOOKUP($A84,'Données projet'!$A$486:$I$506,6,0)),0%,VLOOKUP($A84,'Données projet'!$A$486:$I$506,6,0)*VLOOKUP('Données projet'!$B$26,Paramètres!$A$1:$I$89,7,0))</f>
        <v>0</v>
      </c>
      <c r="NR84" s="16">
        <f>IF(ISNA(VLOOKUP($A84,'Données projet'!$A$486:$I$506,7,0)),0%,VLOOKUP($A84,'Données projet'!$A$486:$I$506,7,0))</f>
        <v>0</v>
      </c>
      <c r="NS84" s="21" t="e">
        <f>EXP(-LN(2)/35)*NS83+(1-EXP(-LN(2)/35))/(LN(2)/35)*NO84*NP84*VLOOKUP('Données projet'!$B$26,Paramètres!$A$1:$I$89,3,0)*0.475*44/12</f>
        <v>#N/A</v>
      </c>
      <c r="NT84" s="21" t="e">
        <f>EXP(-LN(2)/25)*NT83+(1-EXP(-LN(2)/25))/(LN(2)/25)*Calculateur!NO84*Calculateur!NQ84*VLOOKUP('Données projet'!$B$26,Paramètres!$A$1:$I$89,3,0)*0.475*44/12</f>
        <v>#N/A</v>
      </c>
      <c r="NU84" s="21" t="e">
        <f>EXP(-LN(2)/2)*NU83+(1-EXP(-LN(2)/2))/(LN(2)/2)*NO84*NR84*VLOOKUP('Données projet'!$B$26,Paramètres!$A$1:$I$89,3,0)*0.475*44/12</f>
        <v>#N/A</v>
      </c>
      <c r="NV84" s="22" t="e">
        <f t="shared" si="173"/>
        <v>#N/A</v>
      </c>
      <c r="NW84" s="74">
        <f>('Scénario référence'!$F$8+'Scénario référence'!$F$9+'Scénario référence'!$B$17+'Scénario référence'!$B$9+'Scénario référence'!$B$10)*70+IF((45+25*(1-EXP(-0.0175*$A84)))&lt;70,'Scénario référence'!$B$16*(45+25*(1-EXP(-0.0175*$A84))),70*'Scénario référence'!$B$16)+IF((32+38*(1-EXP(-0.0175*$A84)))&lt;70,'Scénario référence'!$B$18*(32+38*(1-EXP(-0.0175*$A84))),70*'Scénario référence'!$B$18)</f>
        <v>70</v>
      </c>
      <c r="NX84" s="12">
        <f>IF($A84&gt;30,10,('Scénario référence'!$B$16+'Scénario référence'!$B$17+'Scénario référence'!$B$18+'Scénario référence'!$B$9+'Scénario référence'!$B$10)*$A84*10/30+('Scénario référence'!$F$8+'Scénario référence'!$F$9)*10)</f>
        <v>10</v>
      </c>
      <c r="NY84" s="12" t="e">
        <f>VLOOKUP($A84,'Données projet'!$A$512:$I$532,2,0)</f>
        <v>#N/A</v>
      </c>
      <c r="NZ84" s="12" t="e">
        <f>VLOOKUP($A84,'Données projet'!$A$512:$I$532,9,0)</f>
        <v>#N/A</v>
      </c>
      <c r="OA84" s="12">
        <f t="array" ref="OA84">INDEX(NZ:NZ,MIN(IF(ISNUMBER(NZ84:NZ280),ROW(NZ84:NZ280),"")))</f>
        <v>0</v>
      </c>
      <c r="OB84" s="12">
        <f>IF('Données projet'!$A$512&gt;35,OB83+OA84-OJ83,IF($A84&lt;'Données projet'!$A$512,$CQ$205^$A84,IF($A84='Données projet'!$A$512,'Données projet'!$B$512,OB83+OA84-OJ83)))</f>
        <v>0</v>
      </c>
      <c r="OC84" s="17" t="e">
        <f>OB84*VLOOKUP('Données projet'!$B$27,Paramètres!$A$1:$I$89,3,0)*VLOOKUP('Données projet'!$B$27,Paramètres!$A$1:$I$89,5,0)</f>
        <v>#N/A</v>
      </c>
      <c r="OD84" s="13" t="e">
        <f t="shared" si="218"/>
        <v>#N/A</v>
      </c>
      <c r="OE84" s="14" t="e">
        <f t="shared" si="174"/>
        <v>#N/A</v>
      </c>
      <c r="OF84" s="59" t="e">
        <f t="shared" si="175"/>
        <v>#N/A</v>
      </c>
      <c r="OG84" s="20" t="e">
        <f ca="1">AVERAGE(OFFSET($OF$3,0,0,'Données projet'!$E$27+1,1))-AVERAGE(OFFSET($H$3,0,0,'Données projet'!$E$27+1,1))</f>
        <v>#N/A</v>
      </c>
      <c r="OH84" s="59" t="e">
        <f t="shared" si="219"/>
        <v>#N/A</v>
      </c>
      <c r="OI84" s="15">
        <f>IF(ISNA(VLOOKUP($A84,'Données projet'!$A$512:$I$532,3,0)),0,VLOOKUP($A84,'Données projet'!$A$512:$I$532,3,0))</f>
        <v>0</v>
      </c>
      <c r="OJ84" s="15">
        <f>IF(ISNA(VLOOKUP($A84,'Données projet'!$A$512:$I$532,4,0)),0,VLOOKUP($A84,'Données projet'!$A$512:$I$532,4,0))</f>
        <v>0</v>
      </c>
      <c r="OK84" s="16">
        <f>IF(ISNA(VLOOKUP($A84,'Données projet'!$A$512:$I$532,5,0)),0%,VLOOKUP($A84,'Données projet'!$A$512:$I$532,5,0)*VLOOKUP('Données projet'!$B$27,Paramètres!$A$1:$I$89,7,0))</f>
        <v>0</v>
      </c>
      <c r="OL84" s="16">
        <f>IF(ISNA(VLOOKUP($A84,'Données projet'!$A$512:$I$532,6,0)),0%,VLOOKUP($A84,'Données projet'!$A$512:$I$532,6,0)*VLOOKUP('Données projet'!$B$27,Paramètres!$A$1:$I$89,7,0))</f>
        <v>0</v>
      </c>
      <c r="OM84" s="16">
        <f>IF(ISNA(VLOOKUP($A84,'Données projet'!$A$512:$I$532,7,0)),0%,VLOOKUP($A84,'Données projet'!$A$512:$I$532,7,0))</f>
        <v>0</v>
      </c>
      <c r="ON84" s="21" t="e">
        <f>EXP(-LN(2)/35)*ON83+(1-EXP(-LN(2)/35))/(LN(2)/35)*OJ84*OK84*VLOOKUP('Données projet'!$B$27,Paramètres!$A$1:$I$89,3,0)*0.475*44/12</f>
        <v>#N/A</v>
      </c>
      <c r="OO84" s="21" t="e">
        <f>EXP(-LN(2)/25)*OO83+(1-EXP(-LN(2)/25))/(LN(2)/25)*Calculateur!OJ84*Calculateur!OL84*VLOOKUP('Données projet'!$B$27,Paramètres!$A$1:$I$89,3,0)*0.475*44/12</f>
        <v>#N/A</v>
      </c>
      <c r="OP84" s="21" t="e">
        <f>EXP(-LN(2)/2)*OP83+(1-EXP(-LN(2)/2))/(LN(2)/2)*OJ84*OM84*VLOOKUP('Données projet'!$B$27,Paramètres!$A$1:$I$89,3,0)*0.475*44/12</f>
        <v>#N/A</v>
      </c>
      <c r="OQ84" s="22" t="e">
        <f t="shared" si="176"/>
        <v>#N/A</v>
      </c>
      <c r="OR84" s="74">
        <f>('Scénario référence'!$F$8+'Scénario référence'!$F$9+'Scénario référence'!$B$17+'Scénario référence'!$B$9+'Scénario référence'!$B$10)*70+IF((45+25*(1-EXP(-0.0175*$A84)))&lt;70,'Scénario référence'!$B$16*(45+25*(1-EXP(-0.0175*$A84))),70*'Scénario référence'!$B$16)+IF((32+38*(1-EXP(-0.0175*$A84)))&lt;70,'Scénario référence'!$B$18*(32+38*(1-EXP(-0.0175*$A84))),70*'Scénario référence'!$B$18)</f>
        <v>70</v>
      </c>
      <c r="OS84" s="12">
        <f>IF($A84&gt;30,10,('Scénario référence'!$B$16+'Scénario référence'!$B$17+'Scénario référence'!$B$18+'Scénario référence'!$B$9+'Scénario référence'!$B$10)*$A84*10/30+('Scénario référence'!$F$8+'Scénario référence'!$F$9)*10)</f>
        <v>10</v>
      </c>
      <c r="OT84" s="12" t="e">
        <f>VLOOKUP($A84,'Données projet'!$A$538:$I$558,2,0)</f>
        <v>#N/A</v>
      </c>
      <c r="OU84" s="12" t="e">
        <f>VLOOKUP($A84,'Données projet'!$A$538:$I$558,9,0)</f>
        <v>#N/A</v>
      </c>
      <c r="OV84" s="12">
        <f t="array" ref="OV84">INDEX(OU:OU,MIN(IF(ISNUMBER(OU84:OU280),ROW(OU84:OU280),"")))</f>
        <v>0</v>
      </c>
      <c r="OW84" s="12">
        <f>IF('Données projet'!$A$538&gt;35,OW83+OV84-PE83,IF($A84&lt;'Données projet'!$A$538,$CQ$205^$A84,IF($A84='Données projet'!$A$538,'Données projet'!$B$538,OW83+OV84-PE83)))</f>
        <v>0</v>
      </c>
      <c r="OX84" s="17" t="e">
        <f>OW84*VLOOKUP('Données projet'!$B$28,Paramètres!$A$1:$I$89,3,0)*VLOOKUP('Données projet'!$B$28,Paramètres!$A$1:$I$89,5,0)</f>
        <v>#N/A</v>
      </c>
      <c r="OY84" s="13" t="e">
        <f t="shared" si="220"/>
        <v>#N/A</v>
      </c>
      <c r="OZ84" s="14" t="e">
        <f t="shared" si="177"/>
        <v>#N/A</v>
      </c>
      <c r="PA84" s="59" t="e">
        <f t="shared" si="178"/>
        <v>#N/A</v>
      </c>
      <c r="PB84" s="20" t="e">
        <f ca="1">AVERAGE(OFFSET($PA$3,0,0,'Données projet'!$E$28+1,1))-AVERAGE(OFFSET($H$3,0,0,'Données projet'!$E$28+1,1))</f>
        <v>#N/A</v>
      </c>
      <c r="PC84" s="59" t="e">
        <f t="shared" si="221"/>
        <v>#N/A</v>
      </c>
      <c r="PD84" s="15">
        <f>IF(ISNA(VLOOKUP($A84,'Données projet'!$A$538:$I$558,3,0)),0,VLOOKUP($A84,'Données projet'!$A$538:$I$558,3,0))</f>
        <v>0</v>
      </c>
      <c r="PE84" s="15">
        <f>IF(ISNA(VLOOKUP($A84,'Données projet'!$A$538:$I$558,4,0)),0,VLOOKUP($A84,'Données projet'!$A$538:$I$558,4,0))</f>
        <v>0</v>
      </c>
      <c r="PF84" s="16">
        <f>IF(ISNA(VLOOKUP($A84,'Données projet'!$A$538:$I$558,5,0)),0%,VLOOKUP($A84,'Données projet'!$A$538:$I$558,5,0)*VLOOKUP('Données projet'!$B$28,Paramètres!$A$1:$I$89,7,0))</f>
        <v>0</v>
      </c>
      <c r="PG84" s="16">
        <f>IF(ISNA(VLOOKUP($A84,'Données projet'!$A$538:$I$558,6,0)),0%,VLOOKUP($A84,'Données projet'!$A$538:$I$558,6,0)*VLOOKUP('Données projet'!$B$28,Paramètres!$A$1:$I$89,7,0))</f>
        <v>0</v>
      </c>
      <c r="PH84" s="16">
        <f>IF(ISNA(VLOOKUP($A84,'Données projet'!$A$538:$I$558,7,0)),0%,VLOOKUP($A84,'Données projet'!$A$538:$I$558,7,0))</f>
        <v>0</v>
      </c>
      <c r="PI84" s="21" t="e">
        <f>EXP(-LN(2)/35)*PI83+(1-EXP(-LN(2)/35))/(LN(2)/35)*PE84*PF84*VLOOKUP('Données projet'!$B$28,Paramètres!$A$1:$I$89,3,0)*0.475*44/12</f>
        <v>#N/A</v>
      </c>
      <c r="PJ84" s="21" t="e">
        <f>EXP(-LN(2)/25)*PJ83+(1-EXP(-LN(2)/25))/(LN(2)/25)*Calculateur!PE84*Calculateur!PG84*VLOOKUP('Données projet'!$B$28,Paramètres!$A$1:$I$89,3,0)*0.475*44/12</f>
        <v>#N/A</v>
      </c>
      <c r="PK84" s="21" t="e">
        <f>EXP(-LN(2)/2)*PK83+(1-EXP(-LN(2)/2))/(LN(2)/2)*PE84*PH84*VLOOKUP('Données projet'!$B$28,Paramètres!$A$1:$I$89,3,0)*0.475*44/12</f>
        <v>#N/A</v>
      </c>
      <c r="PL84" s="22" t="e">
        <f t="shared" si="179"/>
        <v>#N/A</v>
      </c>
    </row>
    <row r="85" spans="1:428" x14ac:dyDescent="0.35">
      <c r="A85" s="10">
        <f t="shared" si="180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181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121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projet'!$A$45:$I$65,2,0)</f>
        <v>#N/A</v>
      </c>
      <c r="L85" s="12" t="e">
        <f>VLOOKUP(A85,'Données projet'!$A$45:$I$65,9,0)</f>
        <v>#N/A</v>
      </c>
      <c r="M85" s="12">
        <f t="array" ref="M85">INDEX(L:L,MIN(IF(ISNUMBER(L85:L281),ROW(L85:L281),"")))</f>
        <v>0</v>
      </c>
      <c r="N85" s="13">
        <f>IF('Données projet'!$A$46&gt;35,N84+M85-V84,IF(A85&lt;'Données projet'!$A$46,$K$205^A85,IF(A85='Données projet'!$A$46,'Données projet'!$B$46,N84+M85-V84)))</f>
        <v>-1.1368683772161603E-13</v>
      </c>
      <c r="O85" s="13">
        <f>N85*VLOOKUP('Données projet'!$B$9,Paramètres!$A$1:$I$89,3,0)*VLOOKUP('Données projet'!$B$9,Paramètres!$A$1:$I$89,5,0)</f>
        <v>-6.3550942286383367E-14</v>
      </c>
      <c r="P85" s="13" t="e">
        <f t="shared" si="182"/>
        <v>#NUM!</v>
      </c>
      <c r="Q85" s="20" t="e">
        <f t="shared" si="119"/>
        <v>#NUM!</v>
      </c>
      <c r="R85" s="59" t="e">
        <f t="shared" si="120"/>
        <v>#NUM!</v>
      </c>
      <c r="S85" s="59">
        <f ca="1">AVERAGE(OFFSET($R$3,0,0,'Données projet'!$E$9+1,1))-AVERAGE(OFFSET($H$3,0,0,'Données projet'!$E$9+1,1))</f>
        <v>274.57619581652199</v>
      </c>
      <c r="T85" s="59">
        <f t="shared" si="183"/>
        <v>366.15117322598775</v>
      </c>
      <c r="U85" s="15">
        <f>IF(ISNA(VLOOKUP(A85,'Données projet'!$A$45:$I$65,3,0)),0,VLOOKUP(A85,'Données projet'!$A$45:$I$65,3,0))</f>
        <v>0</v>
      </c>
      <c r="V85" s="15">
        <f>IF(ISNA(VLOOKUP(A85,'Données projet'!$A$45:$I$65,4,0)),0,VLOOKUP(A85,'Données projet'!$A$45:$I$65,4,0))</f>
        <v>0</v>
      </c>
      <c r="W85" s="16">
        <f>IF(ISNA(VLOOKUP(A85,'Données projet'!$A$45:$I$65,5,0)),0%,VLOOKUP(A85,'Données projet'!$A$45:$I$65,5,0)*VLOOKUP('Données projet'!$B$9,Paramètres!$A$1:$I$89,7,0))</f>
        <v>0</v>
      </c>
      <c r="X85" s="16">
        <f>IF(ISNA(VLOOKUP(A85,'Données projet'!$A$45:$I$65,6,0)),0%,VLOOKUP(A85,'Données projet'!$A$45:$I$65,6,0)*VLOOKUP('Données projet'!$B$9,Paramètres!$A$1:$I$89,7,0))</f>
        <v>0</v>
      </c>
      <c r="Y85" s="16">
        <f>IF(ISNA(VLOOKUP(A85,'Données projet'!$A$45:$I$65,7,0)),0%,VLOOKUP(A85,'Données projet'!$A$45:$I$65,7,0))</f>
        <v>0</v>
      </c>
      <c r="Z85" s="21">
        <f>EXP(-LN(2)/35)*Z84+(1-EXP(-LN(2)/35))/(LN(2)/35)*V85*W85*VLOOKUP('Données projet'!$B$9,Paramètres!$A$1:$I$89,3,0)*0.475*44/12</f>
        <v>132.78412428634999</v>
      </c>
      <c r="AA85" s="21">
        <f>EXP(-LN(2)/25)*AA84+(1-EXP(-LN(2)/25))/(LN(2)/25)*Calculateur!V85*Calculateur!X85*VLOOKUP('Données projet'!$B$9,Paramètres!$A$1:$I$89,3,0)*0.475*44/12</f>
        <v>27.250093270709247</v>
      </c>
      <c r="AB85" s="21">
        <f>EXP(-LN(2)/2)*AB84+(1-EXP(-LN(2)/2))/(LN(2)/2)*V85*Y85*VLOOKUP('Données projet'!$B$9,Paramètres!$A$1:$I$89,3,0)*0.475*44/12</f>
        <v>2.9486925922220567E-3</v>
      </c>
      <c r="AC85" s="22">
        <f t="shared" si="122"/>
        <v>160.03716624965145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projet'!$A$71:$I$91,2,0)</f>
        <v>#N/A</v>
      </c>
      <c r="AG85" s="12" t="e">
        <f>VLOOKUP(A85,'Données projet'!$A$71:$I$91,9,0)</f>
        <v>#N/A</v>
      </c>
      <c r="AH85" s="12">
        <f t="array" ref="AH85">INDEX(AG:AG,MIN(IF(ISNUMBER(AG85:AG281),ROW(AG85:AG281),"")))</f>
        <v>7.4950142450142421</v>
      </c>
      <c r="AI85" s="13">
        <f>IF('Données projet'!$A$72&gt;35,AI84+AH85-AQ84,IF(A85&lt;'Données projet'!$A$72,$AF$205^A85,IF(A85='Données projet'!$A$72,'Données projet'!$B$72,AI84+AH85-AQ84)))</f>
        <v>243.39387464387485</v>
      </c>
      <c r="AJ85" s="13">
        <f>AI85*VLOOKUP('Données projet'!$B$10,Paramètres!$A$1:$I$89,3,0)*VLOOKUP('Données projet'!$B$10,Paramètres!$A$1:$I$89,5,0)</f>
        <v>220.22277777777796</v>
      </c>
      <c r="AK85" s="13">
        <f t="shared" si="184"/>
        <v>54.163302517364365</v>
      </c>
      <c r="AL85" s="20">
        <f t="shared" si="123"/>
        <v>477.88908984737282</v>
      </c>
      <c r="AM85" s="59">
        <f t="shared" si="124"/>
        <v>771.22242318070607</v>
      </c>
      <c r="AN85" s="59">
        <f ca="1">AVERAGE(OFFSET($AM$3,0,0,'Données projet'!$E$10+1,1))-AVERAGE(OFFSET($H$3,0,0,'Données projet'!$E$10+1,1))</f>
        <v>270.87836509222456</v>
      </c>
      <c r="AO85" s="59">
        <f t="shared" si="185"/>
        <v>205.24998237949734</v>
      </c>
      <c r="AP85" s="15">
        <f>IF(ISNA(VLOOKUP(A85,'Données projet'!$A$71:$I$91,3,0)),0,VLOOKUP(A85,'Données projet'!$A$71:$I$91,3,0))</f>
        <v>0</v>
      </c>
      <c r="AQ85" s="15">
        <f>IF(ISNA(VLOOKUP(A85,'Données projet'!$A$71:$I$91,4,0)),0,VLOOKUP(A85,'Données projet'!$A$71:$I$91,4,0))</f>
        <v>0</v>
      </c>
      <c r="AR85" s="16">
        <f>IF(ISNA(VLOOKUP(A85,'Données projet'!$A$71:$I$91,5,0)),0%,VLOOKUP(A85,'Données projet'!$A$71:$I$91,5,0)*VLOOKUP('Données projet'!$B$10,Paramètres!$A$1:$I$89,7,0))</f>
        <v>0</v>
      </c>
      <c r="AS85" s="16">
        <f>IF(ISNA(VLOOKUP(A85,'Données projet'!$A$71:$I$91,6,0)),0%,VLOOKUP(A85,'Données projet'!$A$71:$I$91,6,0)*VLOOKUP('Données projet'!$B$10,Paramètres!$A$1:$I$89,7,0))</f>
        <v>0</v>
      </c>
      <c r="AT85" s="16">
        <f>IF(ISNA(VLOOKUP(A85,'Données projet'!$A$71:$I$91,7,0)),0%,VLOOKUP(A85,'Données projet'!$A$71:$I$91,7,0))</f>
        <v>0</v>
      </c>
      <c r="AU85" s="21">
        <f>EXP(-LN(2)/35)*AU84+(1-EXP(-LN(2)/35))/(LN(2)/35)*AQ85*AR85*VLOOKUP('Données projet'!$B$10,Paramètres!$A$1:$I$89,3,0)*0.475*44/12</f>
        <v>31.490690063234698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125"/>
        <v>31.490690063234698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projet'!$A$97:$I$117,2,0)</f>
        <v>#N/A</v>
      </c>
      <c r="BB85" s="12" t="e">
        <f>VLOOKUP(A85,'Données projet'!$A$97:$I$117,9,0)</f>
        <v>#N/A</v>
      </c>
      <c r="BC85" s="12">
        <f t="array" ref="BC85">INDEX(BB:BB,MIN(IF(ISNUMBER(BB85:BB281),ROW(BB85:BB281),"")))</f>
        <v>0</v>
      </c>
      <c r="BD85" s="12">
        <f>IF('Données projet'!$A$98&gt;35,BD84+BC85-BL84,IF(A85&lt;'Données projet'!$A$98,$BA$205^A85,IF(A85='Données projet'!$A$98,'Données projet'!$B$98,BD84+BC85-BL84)))</f>
        <v>-1.1368683772161603E-13</v>
      </c>
      <c r="BE85" s="13">
        <f>BD85*VLOOKUP('Données projet'!$B$11,Paramètres!$A$1:$I$89,3,0)*VLOOKUP('Données projet'!$B$11,Paramètres!$A$1:$I$89,5,0)</f>
        <v>-5.0249582272954292E-14</v>
      </c>
      <c r="BF85" s="13" t="e">
        <f t="shared" si="186"/>
        <v>#NUM!</v>
      </c>
      <c r="BG85" s="20" t="e">
        <f t="shared" si="126"/>
        <v>#NUM!</v>
      </c>
      <c r="BH85" s="59" t="e">
        <f t="shared" si="127"/>
        <v>#NUM!</v>
      </c>
      <c r="BI85" s="59">
        <f ca="1">AVERAGE(OFFSET($BH$3,0,0,'Données projet'!$E$11+1,1))-AVERAGE(OFFSET($H$3,0,0,'Données projet'!$E$11+1,1))</f>
        <v>211.31057120485542</v>
      </c>
      <c r="BJ85" s="59">
        <f t="shared" si="187"/>
        <v>283.33292006714777</v>
      </c>
      <c r="BK85" s="15">
        <f>IF(ISNA(VLOOKUP(A85,'Données projet'!$A$97:$I$117,3,0)),0,VLOOKUP(A85,'Données projet'!$A$97:$I$117,3,0))</f>
        <v>0</v>
      </c>
      <c r="BL85" s="15">
        <f>IF(ISNA(VLOOKUP(A85,'Données projet'!$A$97:$I$117,4,0)),0,VLOOKUP(A85,'Données projet'!$A$97:$I$117,4,0))</f>
        <v>0</v>
      </c>
      <c r="BM85" s="16">
        <f>IF(ISNA(VLOOKUP(A85,'Données projet'!$A$97:$I$117,5,0)),0%,VLOOKUP(A85,'Données projet'!$A$97:$I$117,5,0)*VLOOKUP('Données projet'!$B$11,Paramètres!$A$1:$I$89,7,0))</f>
        <v>0</v>
      </c>
      <c r="BN85" s="16">
        <f>IF(ISNA(VLOOKUP(A85,'Données projet'!$A$97:$I$117,6,0)),0%,VLOOKUP(A85,'Données projet'!$A$97:$I$117,6,0)*VLOOKUP('Données projet'!$B$11,Paramètres!$A$1:$I$89,7,0))</f>
        <v>0</v>
      </c>
      <c r="BO85" s="16">
        <f>IF(ISNA(VLOOKUP(A85,'Données projet'!$A$97:$I$117,7,0)),0%,VLOOKUP(A85,'Données projet'!$A$97:$I$117,7,0))</f>
        <v>0</v>
      </c>
      <c r="BP85" s="21">
        <f>EXP(-LN(2)/35)*BP84+(1-EXP(-LN(2)/35))/(LN(2)/35)*BL85*BM85*VLOOKUP('Données projet'!$B$11,Paramètres!$A$1:$I$89,3,0)*0.475*44/12</f>
        <v>104.99209827292792</v>
      </c>
      <c r="BQ85" s="21">
        <f>EXP(-LN(2)/25)*BQ84+(1-EXP(-LN(2)/25))/(LN(2)/25)*Calculateur!BL85*Calculateur!BN85*VLOOKUP('Données projet'!$B$11,Paramètres!$A$1:$I$89,3,0)*0.475*44/12</f>
        <v>21.546585376839868</v>
      </c>
      <c r="BR85" s="21">
        <f>EXP(-LN(2)/2)*BR84+(1-EXP(-LN(2)/2))/(LN(2)/2)*BL85*BO85*VLOOKUP('Données projet'!$B$11,Paramètres!$A$1:$I$89,3,0)*0.475*44/12</f>
        <v>2.3315243752453467E-3</v>
      </c>
      <c r="BS85" s="22">
        <f t="shared" si="128"/>
        <v>126.54101517414304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projet'!$A$123:$I$143,2,0)</f>
        <v>#N/A</v>
      </c>
      <c r="BW85" s="12" t="e">
        <f>VLOOKUP(A85,'Données projet'!$A$123:$I$143,9,0)</f>
        <v>#N/A</v>
      </c>
      <c r="BX85" s="12">
        <f t="array" ref="BX85">INDEX(BW:BW,MIN(IF(ISNUMBER(BW85:BW281),ROW(BW85:BW281),"")))</f>
        <v>3.6</v>
      </c>
      <c r="BY85" s="12">
        <f>IF('Données projet'!$A$124&gt;35,BY84+BX85-CG84,IF(A85&lt;'Données projet'!$A$124,$BV$205^A85,IF(A85='Données projet'!$A$124,'Données projet'!$B$124,BY84+BX85-CG84)))</f>
        <v>237.20000000000002</v>
      </c>
      <c r="BZ85" s="13">
        <f>BY85*VLOOKUP('Données projet'!$B$12,Paramètres!$A$1:$I$89,3,0)*VLOOKUP('Données projet'!$B$12,Paramètres!$A$1:$I$89,5,0)</f>
        <v>247.92144000000008</v>
      </c>
      <c r="CA85" s="13">
        <f t="shared" si="188"/>
        <v>60.140632467523915</v>
      </c>
      <c r="CB85" s="20">
        <f t="shared" si="129"/>
        <v>536.54144288093755</v>
      </c>
      <c r="CC85" s="59">
        <f t="shared" si="130"/>
        <v>829.87477621427092</v>
      </c>
      <c r="CD85" s="59">
        <f ca="1">AVERAGE(OFFSET($CC$3,0,0,'Données projet'!$E$12+1,1))-AVERAGE(OFFSET($H$3,0,0,'Données projet'!$E$12+1,1))</f>
        <v>322.93502595881938</v>
      </c>
      <c r="CE85" s="59">
        <f t="shared" si="189"/>
        <v>302.67072119588164</v>
      </c>
      <c r="CF85" s="15">
        <f>IF(ISNA(VLOOKUP(A85,'Données projet'!$A$123:$I$143,3,0)),0,VLOOKUP(A85,'Données projet'!$A$123:$I$143,3,0))</f>
        <v>0</v>
      </c>
      <c r="CG85" s="15">
        <f>IF(ISNA(VLOOKUP(A85,'Données projet'!$A$123:$I$143,4,0)),0,VLOOKUP(A85,'Données projet'!$A$123:$I$143,4,0))</f>
        <v>0</v>
      </c>
      <c r="CH85" s="16">
        <f>IF(ISNA(VLOOKUP(A85,'Données projet'!$A$123:$I$143,5,0)),0%,VLOOKUP(A85,'Données projet'!$A$123:$I$143,5,0)*VLOOKUP('Données projet'!$B$12,Paramètres!$A$1:$I$89,7,0))</f>
        <v>0</v>
      </c>
      <c r="CI85" s="16">
        <f>IF(ISNA(VLOOKUP(A85,'Données projet'!$A$123:$I$143,6,0)),0%,VLOOKUP(A85,'Données projet'!$A$123:$I$143,6,0)*VLOOKUP('Données projet'!$B$12,Paramètres!$A$1:$I$89,7,0))</f>
        <v>0</v>
      </c>
      <c r="CJ85" s="16">
        <f>IF(ISNA(VLOOKUP(A85,'Données projet'!$A$123:$I$143,7,0)),0%,VLOOKUP(A85,'Données projet'!$A$123:$I$143,7,0))</f>
        <v>0</v>
      </c>
      <c r="CK85" s="21">
        <f>EXP(-LN(2)/35)*CK84+(1-EXP(-LN(2)/35))/(LN(2)/35)*CG85*CH85*VLOOKUP('Données projet'!$B$12,Paramètres!$A$1:$I$89,3,0)*0.475*44/12</f>
        <v>26.590121438883958</v>
      </c>
      <c r="CL85" s="21">
        <f>EXP(-LN(2)/25)*CL84+(1-EXP(-LN(2)/25))/(LN(2)/25)*Calculateur!CG85*Calculateur!CI85*VLOOKUP('Données projet'!$B$12,Paramètres!$A$1:$I$89,3,0)*0.475*44/12</f>
        <v>21.203006710377085</v>
      </c>
      <c r="CM85" s="21">
        <f>EXP(-LN(2)/2)*CM84+(1-EXP(-LN(2)/2))/(LN(2)/2)*CG85*CJ85*VLOOKUP('Données projet'!$B$12,Paramètres!$A$1:$I$89,3,0)*0.475*44/12</f>
        <v>0</v>
      </c>
      <c r="CN85" s="22">
        <f t="shared" si="131"/>
        <v>47.793128149261044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projet'!$A$149:$I$169,2,0)</f>
        <v>#N/A</v>
      </c>
      <c r="CR85" s="12" t="e">
        <f>VLOOKUP(A85,'Données projet'!$A$149:$I$169,9,0)</f>
        <v>#N/A</v>
      </c>
      <c r="CS85" s="12">
        <f t="array" ref="CS85">INDEX(CR:CR,MIN(IF(ISNUMBER(CR85:CR281),ROW(CR85:CR281),"")))</f>
        <v>5.5042735042735051</v>
      </c>
      <c r="CT85" s="12">
        <f>IF('Données projet'!$A$150&gt;35,CT84+CS85-DB84,IF(A85&lt;'Données projet'!$A$150,$CQ$205^A85,IF(A85='Données projet'!$A$150,'Données projet'!$B$150,CT84+CS85-DB84)))</f>
        <v>188.99786324786317</v>
      </c>
      <c r="CU85" s="17">
        <f>CT85*VLOOKUP('Données projet'!$B$13,Paramètres!$A$1:$I$89,3,0)*VLOOKUP('Données projet'!$B$13,Paramètres!$A$1:$I$89,5,0)</f>
        <v>191.64383333333325</v>
      </c>
      <c r="CV85" s="13">
        <f t="shared" si="190"/>
        <v>47.903198650456822</v>
      </c>
      <c r="CW85" s="20">
        <f t="shared" si="132"/>
        <v>417.21108070510104</v>
      </c>
      <c r="CX85" s="59">
        <f t="shared" si="133"/>
        <v>710.5444140384343</v>
      </c>
      <c r="CY85" s="59">
        <f ca="1">AVERAGE(OFFSET($CX$3,0,0,'Données projet'!$E$13+1,1))-AVERAGE(OFFSET($H$3,0,0,'Données projet'!$E$13+1,1))</f>
        <v>250.31277422753283</v>
      </c>
      <c r="CZ85" s="59">
        <f t="shared" si="191"/>
        <v>159.20429420478047</v>
      </c>
      <c r="DA85" s="15">
        <f>IF(ISNA(VLOOKUP(A85,'Données projet'!$A$149:$I$169,3,0)),0,VLOOKUP(A85,'Données projet'!$A$149:$I$169,3,0))</f>
        <v>0</v>
      </c>
      <c r="DB85" s="15">
        <f>IF(ISNA(VLOOKUP(A85,'Données projet'!$A$149:$I$169,4,0)),0,VLOOKUP(A85,'Données projet'!$A$149:$I$169,4,0))</f>
        <v>0</v>
      </c>
      <c r="DC85" s="16">
        <f>IF(ISNA(VLOOKUP(A85,'Données projet'!$A$149:$I$169,5,0)),0%,VLOOKUP(A85,'Données projet'!$A$149:$I$169,5,0)*VLOOKUP('Données projet'!$B$13,Paramètres!$A$1:$I$89,7,0))</f>
        <v>0</v>
      </c>
      <c r="DD85" s="16">
        <f>IF(ISNA(VLOOKUP(A85,'Données projet'!$A$149:$I$169,6,0)),0%,VLOOKUP(A85,'Données projet'!$A$149:$I$169,6,0)*VLOOKUP('Données projet'!$B$13,Paramètres!$A$1:$I$89,7,0))</f>
        <v>0</v>
      </c>
      <c r="DE85" s="16">
        <f>IF(ISNA(VLOOKUP(A85,'Données projet'!$A$149:$I$169,7,0)),0%,VLOOKUP(A85,'Données projet'!$A$149:$I$169,7,0))</f>
        <v>0</v>
      </c>
      <c r="DF85" s="21">
        <f>EXP(-LN(2)/35)*DF84+(1-EXP(-LN(2)/35))/(LN(2)/35)*DB85*DC85*VLOOKUP('Données projet'!$B$13,Paramètres!$A$1:$I$89,3,0)*0.475*44/12</f>
        <v>9.0810951345364757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134"/>
        <v>9.0810951345364757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projet'!$A$175:$I$195,2,0)</f>
        <v>#N/A</v>
      </c>
      <c r="DM85" s="12" t="e">
        <f>VLOOKUP(A85,'Données projet'!$A$175:$I$195,9,0)</f>
        <v>#N/A</v>
      </c>
      <c r="DN85" s="12">
        <f t="array" ref="DN85">INDEX(DM:DM,MIN(IF(ISNUMBER(DM85:DM281),ROW(DM85:DM281),"")))</f>
        <v>0</v>
      </c>
      <c r="DO85" s="12">
        <f>IF('Données projet'!$A$176&gt;35,DO84+DN85-DW84,IF(A85&lt;'Données projet'!$A$176,$DL$205^A85,IF(A85='Données projet'!$A$176,'Données projet'!$B$176,DO84+DN85-DW84)))</f>
        <v>-2.8421709430404007E-13</v>
      </c>
      <c r="DP85" s="17">
        <f>DO85*VLOOKUP('Données projet'!$B$14,Paramètres!$A$1:$I$89,3,0)*VLOOKUP('Données projet'!$B$14,Paramètres!$A$1:$I$89,5,0)</f>
        <v>-2.0838797354372215E-13</v>
      </c>
      <c r="DQ85" s="13" t="e">
        <f t="shared" si="192"/>
        <v>#NUM!</v>
      </c>
      <c r="DR85" s="20" t="e">
        <f t="shared" si="135"/>
        <v>#NUM!</v>
      </c>
      <c r="DS85" s="59" t="e">
        <f t="shared" si="136"/>
        <v>#NUM!</v>
      </c>
      <c r="DT85" s="59">
        <f ca="1">AVERAGE(OFFSET($DS$3,0,0,'Données projet'!$E$14+1,1))-AVERAGE(OFFSET($H$3,0,0,'Données projet'!$E$14+1,1))</f>
        <v>296.91321813251051</v>
      </c>
      <c r="DU85" s="59">
        <f t="shared" si="193"/>
        <v>291.0718079639509</v>
      </c>
      <c r="DV85" s="15">
        <f>IF(ISNA(VLOOKUP(A85,'Données projet'!$A$175:$I$195,3,0)),0,VLOOKUP(A85,'Données projet'!$A$175:$I$195,3,0))</f>
        <v>0</v>
      </c>
      <c r="DW85" s="15">
        <f>IF(ISNA(VLOOKUP(A85,'Données projet'!$A$175:$I$195,4,0)),0,VLOOKUP(A85,'Données projet'!$A$175:$I$195,4,0))</f>
        <v>0</v>
      </c>
      <c r="DX85" s="16">
        <f>IF(ISNA(VLOOKUP(A85,'Données projet'!$A$175:$I$195,5,0)),0%,VLOOKUP(A85,'Données projet'!$A$175:$I$195,5,0)*VLOOKUP('Données projet'!$B$14,Paramètres!$A$1:$I$89,7,0))</f>
        <v>0</v>
      </c>
      <c r="DY85" s="16">
        <f>IF(ISNA(VLOOKUP(A85,'Données projet'!$A$175:$I$195,6,0)),0%,VLOOKUP(A85,'Données projet'!$A$175:$I$195,6,0)*VLOOKUP('Données projet'!$B$14,Paramètres!$A$1:$I$89,7,0))</f>
        <v>0</v>
      </c>
      <c r="DZ85" s="16">
        <f>IF(ISNA(VLOOKUP(A85,'Données projet'!$A$175:$I$195,7,0)),0%,VLOOKUP(A85,'Données projet'!$A$175:$I$195,7,0))</f>
        <v>0</v>
      </c>
      <c r="EA85" s="21">
        <f>EXP(-LN(2)/35)*EA84+(1-EXP(-LN(2)/35))/(LN(2)/35)*DW85*DX85*VLOOKUP('Données projet'!$B$14,Paramètres!$A$1:$I$89,3,0)*0.475*44/12</f>
        <v>166.72224553291105</v>
      </c>
      <c r="EB85" s="21">
        <f>EXP(-LN(2)/25)*EB84+(1-EXP(-LN(2)/25))/(LN(2)/25)*Calculateur!DW85*Calculateur!DY85*VLOOKUP('Données projet'!$B$14,Paramètres!$A$1:$I$89,3,0)*0.475*44/12</f>
        <v>5.0660191256246661</v>
      </c>
      <c r="EC85" s="21">
        <f>EXP(-LN(2)/2)*EC84+(1-EXP(-LN(2)/2))/(LN(2)/2)*DW85*DZ85*VLOOKUP('Données projet'!$B$14,Paramètres!$A$1:$I$89,3,0)*0.475*44/12</f>
        <v>0</v>
      </c>
      <c r="ED85" s="22">
        <f t="shared" si="137"/>
        <v>171.78826465853572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projet'!$A$201:$I$221,2,0)</f>
        <v>#N/A</v>
      </c>
      <c r="EH85" s="12" t="e">
        <f>VLOOKUP(A85,'Données projet'!$A$201:$I$221,9,0)</f>
        <v>#N/A</v>
      </c>
      <c r="EI85" s="12">
        <f t="array" ref="EI85">INDEX(EH:EH,MIN(IF(ISNUMBER(EH85:EH281),ROW(EH85:EH281),"")))</f>
        <v>9.001923076923072</v>
      </c>
      <c r="EJ85" s="12">
        <f>IF('Données projet'!$A$202&gt;35,EJ84+EI85-ER84,IF(A85&lt;'Données projet'!$A$202,$EG$205^A85,IF(A85='Données projet'!$A$202,'Données projet'!$B$202,EJ84+EI85-ER84)))</f>
        <v>338.12884615384644</v>
      </c>
      <c r="EK85" s="17">
        <f>EJ85*VLOOKUP('Données projet'!$B$15,Paramètres!$A$1:$I$89,3,0)*VLOOKUP('Données projet'!$B$15,Paramètres!$A$1:$I$89,5,0)</f>
        <v>158.24430000000012</v>
      </c>
      <c r="EL85" s="13">
        <f t="shared" si="194"/>
        <v>40.446258430453724</v>
      </c>
      <c r="EM85" s="20">
        <f t="shared" si="138"/>
        <v>346.05272259970707</v>
      </c>
      <c r="EN85" s="59">
        <f t="shared" si="139"/>
        <v>639.38605593304032</v>
      </c>
      <c r="EO85" s="59">
        <f ca="1">AVERAGE(OFFSET($EN$3,0,0,'Données projet'!$E$15+1,1))-AVERAGE(OFFSET($H$3,0,0,'Données projet'!$E$15+1,1))</f>
        <v>147.64256291235483</v>
      </c>
      <c r="EP85" s="59">
        <f t="shared" si="195"/>
        <v>70.859031694091868</v>
      </c>
      <c r="EQ85" s="15">
        <f>IF(ISNA(VLOOKUP(A85,'Données projet'!$A$201:$I$221,3,0)),0,VLOOKUP(A85,'Données projet'!$A$201:$I$221,3,0))</f>
        <v>0</v>
      </c>
      <c r="ER85" s="15">
        <f>IF(ISNA(VLOOKUP(A85,'Données projet'!$A$201:$I$221,4,0)),0,VLOOKUP(A85,'Données projet'!$A$201:$I$221,4,0))</f>
        <v>0</v>
      </c>
      <c r="ES85" s="16">
        <f>IF(ISNA(VLOOKUP(A85,'Données projet'!$A$201:$I$221,5,0)),0%,VLOOKUP(A85,'Données projet'!$A$201:$I$221,5,0)*VLOOKUP('Données projet'!$B$15,Paramètres!$A$1:$I$89,7,0))</f>
        <v>0</v>
      </c>
      <c r="ET85" s="16">
        <f>IF(ISNA(VLOOKUP(A85,'Données projet'!$A$201:$I$221,6,0)),0%,VLOOKUP(A85,'Données projet'!$A$201:$I$221,6,0)*VLOOKUP('Données projet'!$B$15,Paramètres!$A$1:$I$89,7,0))</f>
        <v>0</v>
      </c>
      <c r="EU85" s="16">
        <f>IF(ISNA(VLOOKUP(A85,'Données projet'!$A$201:$I$221,7,0)),0%,VLOOKUP(A85,'Données projet'!$A$201:$I$221,7,0))</f>
        <v>0</v>
      </c>
      <c r="EV85" s="21">
        <f>EXP(-LN(2)/35)*EV84+(1-EXP(-LN(2)/35))/(LN(2)/35)*ER85*ES85*VLOOKUP('Données projet'!$B$15,Paramètres!$A$1:$I$89,3,0)*0.475*44/12</f>
        <v>35.494984885098013</v>
      </c>
      <c r="EW85" s="21">
        <f>EXP(-LN(2)/25)*EW84+(1-EXP(-LN(2)/25))/(LN(2)/25)*Calculateur!ER85*Calculateur!ET85*VLOOKUP('Données projet'!$B$15,Paramètres!$A$1:$I$89,3,0)*0.475*44/12</f>
        <v>15.752372698828818</v>
      </c>
      <c r="EX85" s="21">
        <f>EXP(-LN(2)/2)*EX84+(1-EXP(-LN(2)/2))/(LN(2)/2)*ER85*EU85*VLOOKUP('Données projet'!$B$15,Paramètres!$A$1:$I$89,3,0)*0.475*44/12</f>
        <v>0.53867643533226506</v>
      </c>
      <c r="EY85" s="22">
        <f t="shared" si="140"/>
        <v>51.786034019259091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projet'!$A$227:$I$247,2,0)</f>
        <v>#N/A</v>
      </c>
      <c r="FC85" s="12" t="e">
        <f>VLOOKUP(A85,'Données projet'!$A$227:$I$247,9,0)</f>
        <v>#N/A</v>
      </c>
      <c r="FD85" s="12">
        <f t="array" ref="FD85">INDEX(FC:FC,MIN(IF(ISNUMBER(FC85:FC281),ROW(FC85:FC281),"")))</f>
        <v>2.8</v>
      </c>
      <c r="FE85" s="12">
        <f>IF('Données projet'!$A$228&gt;35,FE84+FD85-FM84,IF(A85&lt;'Données projet'!$A$228,$FB$205^A85,IF(A85='Données projet'!$A$228,'Données projet'!$B$228,FE84+FD85-FM84)))</f>
        <v>202.59999999999994</v>
      </c>
      <c r="FF85" s="17">
        <f>FE85*VLOOKUP('Données projet'!$B$16,Paramètres!$A$1:$I$89,3,0)*VLOOKUP('Données projet'!$B$16,Paramètres!$A$1:$I$89,5,0)</f>
        <v>211.75751999999994</v>
      </c>
      <c r="FG85" s="13">
        <f t="shared" si="196"/>
        <v>52.319461546249123</v>
      </c>
      <c r="FH85" s="20">
        <f t="shared" si="141"/>
        <v>459.93407619305043</v>
      </c>
      <c r="FI85" s="59">
        <f t="shared" si="142"/>
        <v>753.26740952638374</v>
      </c>
      <c r="FJ85" s="59">
        <f ca="1">AVERAGE(OFFSET($FI$3,0,0,'Données projet'!$E$16+1,1))-AVERAGE(OFFSET($H$3,0,0,'Données projet'!$E$16+1,1))</f>
        <v>259.03906550253788</v>
      </c>
      <c r="FK85" s="59">
        <f t="shared" si="197"/>
        <v>235.54542903570831</v>
      </c>
      <c r="FL85" s="15">
        <f>IF(ISNA(VLOOKUP(A85,'Données projet'!$A$227:$I$247,3,0)),0,VLOOKUP(A85,'Données projet'!$A$227:$I$247,3,0))</f>
        <v>0</v>
      </c>
      <c r="FM85" s="15">
        <f>IF(ISNA(VLOOKUP(A85,'Données projet'!$A$227:$I$247,4,0)),0,VLOOKUP(A85,'Données projet'!$A$227:$I$247,4,0))</f>
        <v>0</v>
      </c>
      <c r="FN85" s="16">
        <f>IF(ISNA(VLOOKUP(A85,'Données projet'!$A$227:$I$247,5,0)),0%,VLOOKUP(A85,'Données projet'!$A$227:$I$247,5,0)*VLOOKUP('Données projet'!$B$16,Paramètres!$A$1:$I$89,7,0))</f>
        <v>0</v>
      </c>
      <c r="FO85" s="16">
        <f>IF(ISNA(VLOOKUP(A85,'Données projet'!$A$227:$I$247,6,0)),0%,VLOOKUP(A85,'Données projet'!$A$227:$I$247,6,0)*VLOOKUP('Données projet'!$B$16,Paramètres!$A$1:$I$89,7,0))</f>
        <v>0</v>
      </c>
      <c r="FP85" s="16">
        <f>IF(ISNA(VLOOKUP(A85,'Données projet'!$A$227:$I$247,7,0)),0%,VLOOKUP(A85,'Données projet'!$A$227:$I$247,7,0))</f>
        <v>0</v>
      </c>
      <c r="FQ85" s="21">
        <f>EXP(-LN(2)/35)*FQ84+(1-EXP(-LN(2)/35))/(LN(2)/35)*FM85*FN85*VLOOKUP('Données projet'!$B$16,Paramètres!$A$1:$I$89,3,0)*0.475*44/12</f>
        <v>12.535937362791161</v>
      </c>
      <c r="FR85" s="21">
        <f>EXP(-LN(2)/25)*FR84+(1-EXP(-LN(2)/25))/(LN(2)/25)*Calculateur!FM85*Calculateur!FO85*VLOOKUP('Données projet'!$B$16,Paramètres!$A$1:$I$89,3,0)*0.475*44/12</f>
        <v>16.233480824424422</v>
      </c>
      <c r="FS85" s="21">
        <f>EXP(-LN(2)/2)*FS84+(1-EXP(-LN(2)/2))/(LN(2)/2)*FM85*FP85*VLOOKUP('Données projet'!$B$16,Paramètres!$A$1:$I$89,3,0)*0.475*44/12</f>
        <v>0</v>
      </c>
      <c r="FT85" s="22">
        <f t="shared" si="143"/>
        <v>28.769418187215585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projet'!$A$253:$I$273,2,0)</f>
        <v>#N/A</v>
      </c>
      <c r="FX85" s="12" t="e">
        <f>VLOOKUP(A85,'Données projet'!$A$253:$I$273,9,0)</f>
        <v>#N/A</v>
      </c>
      <c r="FY85" s="12">
        <f t="array" ref="FY85">INDEX(FX:FX,MIN(IF(ISNUMBER(FX85:FX281),ROW(FX85:FX281),"")))</f>
        <v>0</v>
      </c>
      <c r="FZ85" s="12">
        <f>IF('Données projet'!$A$254&gt;35,FZ84+FY85-GH84,IF(A85&lt;'Données projet'!$A$254,$FW$205^A85,IF(A85='Données projet'!$A$254,'Données projet'!$B$254,FZ84+FY85-GH84)))</f>
        <v>-1.7053025658242404E-13</v>
      </c>
      <c r="GA85" s="17">
        <f>FZ85*VLOOKUP('Données projet'!$B$17,Paramètres!$A$1:$I$89,3,0)*VLOOKUP('Données projet'!$B$17,Paramètres!$A$1:$I$89,5,0)</f>
        <v>-1.4897523215040567E-13</v>
      </c>
      <c r="GB85" s="13" t="e">
        <f t="shared" si="198"/>
        <v>#NUM!</v>
      </c>
      <c r="GC85" s="20" t="e">
        <f t="shared" si="144"/>
        <v>#NUM!</v>
      </c>
      <c r="GD85" s="59" t="e">
        <f t="shared" si="145"/>
        <v>#NUM!</v>
      </c>
      <c r="GE85" s="59">
        <f ca="1">AVERAGE(OFFSET($GD$3,0,0,'Données projet'!$E$17+1,1))-AVERAGE(OFFSET($H$3,0,0,'Données projet'!$E$17+1,1))</f>
        <v>245.1983232777614</v>
      </c>
      <c r="GF85" s="59">
        <f t="shared" si="199"/>
        <v>242.34010522344573</v>
      </c>
      <c r="GG85" s="15">
        <f>IF(ISNA(VLOOKUP(A85,'Données projet'!$A$253:$I$273,3,0)),0,VLOOKUP(A85,'Données projet'!$A$253:$I$273,3,0))</f>
        <v>0</v>
      </c>
      <c r="GH85" s="15">
        <f>IF(ISNA(VLOOKUP(A85,'Données projet'!$A$253:$I$273,4,0)),0,VLOOKUP(A85,'Données projet'!$A$253:$I$273,4,0))</f>
        <v>0</v>
      </c>
      <c r="GI85" s="16">
        <f>IF(ISNA(VLOOKUP(A85,'Données projet'!$A$253:$I$273,5,0)),0%,VLOOKUP(A85,'Données projet'!$A$253:$I$273,5,0)*VLOOKUP('Données projet'!$B$17,Paramètres!$A$1:$I$89,7,0))</f>
        <v>0</v>
      </c>
      <c r="GJ85" s="16">
        <f>IF(ISNA(VLOOKUP(A85,'Données projet'!$A$253:$I$273,6,0)),0%,VLOOKUP(A85,'Données projet'!$A$253:$I$273,6,0)*VLOOKUP('Données projet'!$B$17,Paramètres!$A$1:$I$89,7,0))</f>
        <v>0</v>
      </c>
      <c r="GK85" s="16">
        <f>IF(ISNA(VLOOKUP(A85,'Données projet'!$A$253:$I$273,7,0)),0%,VLOOKUP(A85,'Données projet'!$A$253:$I$273,7,0))</f>
        <v>0</v>
      </c>
      <c r="GL85" s="21">
        <f>EXP(-LN(2)/35)*GL84+(1-EXP(-LN(2)/35))/(LN(2)/35)*GH85*GI85*VLOOKUP('Données projet'!$B$17,Paramètres!$A$1:$I$89,3,0)*0.475*44/12</f>
        <v>118.43523029108101</v>
      </c>
      <c r="GM85" s="21">
        <f>EXP(-LN(2)/25)*GM84+(1-EXP(-LN(2)/25))/(LN(2)/25)*Calculateur!GH85*Calculateur!GJ85*VLOOKUP('Données projet'!$B$17,Paramètres!$A$1:$I$89,3,0)*0.475*44/12</f>
        <v>20.602400051261558</v>
      </c>
      <c r="GN85" s="21">
        <f>EXP(-LN(2)/2)*GN84+(1-EXP(-LN(2)/2))/(LN(2)/2)*GH85*GK85*VLOOKUP('Données projet'!$B$17,Paramètres!$A$1:$I$89,3,0)*0.475*44/12</f>
        <v>0</v>
      </c>
      <c r="GO85" s="21">
        <f t="shared" si="146"/>
        <v>139.03763034234257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projet'!$A$279:$I$299,2,0)</f>
        <v>#N/A</v>
      </c>
      <c r="GS85" s="12" t="e">
        <f>VLOOKUP(A85,'Données projet'!$A$279:$I$299,9,0)</f>
        <v>#N/A</v>
      </c>
      <c r="GT85" s="12">
        <f t="array" ref="GT85">INDEX(GS:GS,MIN(IF(ISNUMBER(GS85:GS281),ROW(GS85:GS281),"")))</f>
        <v>0</v>
      </c>
      <c r="GU85" s="12">
        <f>IF('Données projet'!$A$280&gt;35,GU84+GT85-HC84,IF(A85&lt;'Données projet'!$A$280,$GR$205^A85,IF(A85='Données projet'!$A$280,'Données projet'!$B$280,GU84+GT85-HC84)))</f>
        <v>-1.1368683772161603E-13</v>
      </c>
      <c r="GV85" s="17">
        <f>GU85*VLOOKUP('Données projet'!$B$18,Paramètres!$A$1:$I$89,3,0)*VLOOKUP('Données projet'!$B$18,Paramètres!$A$1:$I$89,5,0)</f>
        <v>-4.5815795601811263E-14</v>
      </c>
      <c r="GW85" s="13" t="e">
        <f t="shared" si="200"/>
        <v>#NUM!</v>
      </c>
      <c r="GX85" s="20" t="e">
        <f t="shared" si="147"/>
        <v>#NUM!</v>
      </c>
      <c r="GY85" s="59" t="e">
        <f t="shared" si="148"/>
        <v>#NUM!</v>
      </c>
      <c r="GZ85" s="59">
        <f ca="1">AVERAGE(OFFSET($GY$3,0,0,'Données projet'!$E$18+1,1))-AVERAGE(OFFSET($H$3,0,0,'Données projet'!$E$18+1,1))</f>
        <v>324.36162935850876</v>
      </c>
      <c r="HA85" s="59">
        <f t="shared" si="201"/>
        <v>265.23571072429735</v>
      </c>
      <c r="HB85" s="15">
        <f>IF(ISNA(VLOOKUP(A85,'Données projet'!$A$279:$I$299,3,0)),0,VLOOKUP(A85,'Données projet'!$A$279:$I$299,3,0))</f>
        <v>0</v>
      </c>
      <c r="HC85" s="15">
        <f>IF(ISNA(VLOOKUP(A85,'Données projet'!$A$279:$I$299,4,0)),0,VLOOKUP(A85,'Données projet'!$A$279:$I$299,4,0))</f>
        <v>0</v>
      </c>
      <c r="HD85" s="16">
        <f>IF(ISNA(VLOOKUP(A85,'Données projet'!$A$279:$I$299,5,0)),0%,VLOOKUP(A85,'Données projet'!$A$279:$I$299,5,0)*VLOOKUP('Données projet'!$B$18,Paramètres!$A$1:$I$89,7,0))</f>
        <v>0</v>
      </c>
      <c r="HE85" s="16">
        <f>IF(ISNA(VLOOKUP(A85,'Données projet'!$A$279:$I$299,6,0)),0%,VLOOKUP(A85,'Données projet'!$A$279:$I$299,6,0)*VLOOKUP('Données projet'!$B$18,Paramètres!$A$1:$I$89,7,0))</f>
        <v>0</v>
      </c>
      <c r="HF85" s="16">
        <f>IF(ISNA(VLOOKUP($A85,'Données projet'!$A$279:$I$299,7,0)),0%,VLOOKUP($A85,'Données projet'!$A$279:$I$299,7,0))</f>
        <v>0</v>
      </c>
      <c r="HG85" s="21">
        <f>EXP(-LN(2)/35)*HG84+(1-EXP(-LN(2)/35))/(LN(2)/35)*HC85*HD85*VLOOKUP('Données projet'!$B$18,Paramètres!$A$1:$I$89,3,0)*0.475*44/12</f>
        <v>226.95286243469491</v>
      </c>
      <c r="HH85" s="21">
        <f>EXP(-LN(2)/25)*HH84+(1-EXP(-LN(2)/25))/(LN(2)/25)*Calculateur!HC85*Calculateur!HE85*VLOOKUP('Données projet'!$B$18,Paramètres!$A$1:$I$89,3,0)*0.475*44/12</f>
        <v>22.913553927014465</v>
      </c>
      <c r="HI85" s="21">
        <f>EXP(-LN(2)/2)*HI84+(1-EXP(-LN(2)/2))/(LN(2)/2)*HC85*HF85*VLOOKUP('Données projet'!$B$18,Paramètres!$A$1:$I$89,3,0)*0.475*44/12</f>
        <v>4.273604854689963</v>
      </c>
      <c r="HJ85" s="22">
        <f t="shared" si="149"/>
        <v>254.14002121639933</v>
      </c>
      <c r="HK85" s="74">
        <f>('Scénario référence'!$F$8+'Scénario référence'!$F$9+'Scénario référence'!$B$17+'Scénario référence'!$B$9+'Scénario référence'!$B$10)*70+IF((45+25*(1-EXP(-0.0175*$A85)))&lt;70,'Scénario référence'!$B$16*(45+25*(1-EXP(-0.0175*$A85))),70*'Scénario référence'!$B$16)+IF((32+38*(1-EXP(-0.0175*$A85)))&lt;70,'Scénario référence'!$B$18*(32+38*(1-EXP(-0.0175*$A85))),70*'Scénario référence'!$B$18)</f>
        <v>70</v>
      </c>
      <c r="HL85" s="12">
        <f>IF($A85&gt;30,10,('Scénario référence'!$B$16+'Scénario référence'!$B$17+'Scénario référence'!$B$18+'Scénario référence'!$B$9+'Scénario référence'!$B$10)*$A85*10/30+('Scénario référence'!$F$8+'Scénario référence'!$F$9)*10)</f>
        <v>10</v>
      </c>
      <c r="HM85" s="12" t="e">
        <f>VLOOKUP($A85,'Données projet'!$A$304:$I$324,2,0)</f>
        <v>#N/A</v>
      </c>
      <c r="HN85" s="12" t="e">
        <f>VLOOKUP($A85,'Données projet'!$A$304:$I$324,9,0)</f>
        <v>#N/A</v>
      </c>
      <c r="HO85" s="12">
        <f t="array" ref="HO85">INDEX(HN:HN,MIN(IF(ISNUMBER(HN85:HN281),ROW(HN85:HN281),"")))</f>
        <v>0</v>
      </c>
      <c r="HP85" s="12">
        <f>IF('Données projet'!$A$304&gt;35,HP84+HO85-HX84,IF($A85&lt;'Données projet'!$A$304,$CQ$205^$A85,IF($A85='Données projet'!$A$304,'Données projet'!$B$304,HP84+HO85-HX84)))</f>
        <v>0</v>
      </c>
      <c r="HQ85" s="17">
        <f>HP85*VLOOKUP('Données projet'!$B$19,Paramètres!$A$1:$I$89,3,0)*VLOOKUP('Données projet'!$B$19,Paramètres!$A$1:$I$89,5,0)</f>
        <v>0</v>
      </c>
      <c r="HR85" s="13" t="e">
        <f t="shared" si="202"/>
        <v>#NUM!</v>
      </c>
      <c r="HS85" s="14" t="e">
        <f t="shared" si="150"/>
        <v>#NUM!</v>
      </c>
      <c r="HT85" s="59" t="e">
        <f t="shared" si="151"/>
        <v>#NUM!</v>
      </c>
      <c r="HU85" s="59">
        <f ca="1">AVERAGE(OFFSET(HT$3,0,0,'Données projet'!$E$19+1,1))-AVERAGE(OFFSET($H$3,0,0,'Données projet'!$E$19+1,1))</f>
        <v>91.60721429656013</v>
      </c>
      <c r="HV85" s="59">
        <f t="shared" si="203"/>
        <v>258.94957804210856</v>
      </c>
      <c r="HW85" s="15">
        <f>IF(ISNA(VLOOKUP($A85,'Données projet'!$A$304:$I$324,3,0)),0,VLOOKUP($A85,'Données projet'!$A$304:$I$324,3,0))</f>
        <v>0</v>
      </c>
      <c r="HX85" s="15">
        <f>IF(ISNA(VLOOKUP($A85,'Données projet'!$A$304:$I$324,4,0)),0,VLOOKUP($A85,'Données projet'!$A$304:$I$324,4,0))</f>
        <v>0</v>
      </c>
      <c r="HY85" s="16">
        <f>IF(ISNA(VLOOKUP($A85,'Données projet'!$A$304:$I$324,5,0)),0%,VLOOKUP($A85,'Données projet'!$A$304:$I$324,5,0)*VLOOKUP('Données projet'!$B$19,Paramètres!$A$1:$I$89,7,0))</f>
        <v>0</v>
      </c>
      <c r="HZ85" s="16">
        <f>IF(ISNA(VLOOKUP($A85,'Données projet'!$A$304:$I$324,6,0)),0%,VLOOKUP($A85,'Données projet'!$A$304:$I$324,6,0)*VLOOKUP('Données projet'!$B$19,Paramètres!$A$1:$I$89,7,0))</f>
        <v>0</v>
      </c>
      <c r="IA85" s="16">
        <f>IF(ISNA(VLOOKUP($A85,'Données projet'!$A$304:$I$324,7,0)),0%,VLOOKUP($A85,'Données projet'!$A$304:$I$324,7,0))</f>
        <v>0</v>
      </c>
      <c r="IB85" s="21">
        <f>EXP(-LN(2)/35)*IB84+(1-EXP(-LN(2)/35))/(LN(2)/35)*HX85*HY85*VLOOKUP('Données projet'!$B$19,Paramètres!$A$1:$I$89,3,0)*0.475*44/12</f>
        <v>17.615312892139222</v>
      </c>
      <c r="IC85" s="21">
        <f>EXP(-LN(2)/25)*IC84+(1-EXP(-LN(2)/25))/(LN(2)/25)*Calculateur!HX85*Calculateur!HZ85*VLOOKUP('Données projet'!$B$19,Paramètres!$A$1:$I$89,3,0)*0.475*44/12</f>
        <v>2.3007475518046787</v>
      </c>
      <c r="ID85" s="21">
        <f>EXP(-LN(2)/2)*ID84+(1-EXP(-LN(2)/2))/(LN(2)/2)*HX85*IA85*VLOOKUP('Données projet'!$B$19,Paramètres!$A$1:$I$89,3,0)*0.475*44/12</f>
        <v>8.5361646375652782E-9</v>
      </c>
      <c r="IE85" s="22">
        <f t="shared" si="152"/>
        <v>19.916060452480068</v>
      </c>
      <c r="IF85" s="74">
        <f>('Scénario référence'!$F$8+'Scénario référence'!$F$9+'Scénario référence'!$B$17+'Scénario référence'!$B$9+'Scénario référence'!$B$10)*70+IF((45+25*(1-EXP(-0.0175*$A85)))&lt;70,'Scénario référence'!$B$16*(45+25*(1-EXP(-0.0175*$A85))),70*'Scénario référence'!$B$16)+IF((32+38*(1-EXP(-0.0175*$A85)))&lt;70,'Scénario référence'!$B$18*(32+38*(1-EXP(-0.0175*$A85))),70*'Scénario référence'!$B$18)</f>
        <v>70</v>
      </c>
      <c r="IG85" s="12">
        <f>IF($A85&gt;30,10,('Scénario référence'!$B$16+'Scénario référence'!$B$17+'Scénario référence'!$B$18+'Scénario référence'!$B$9+'Scénario référence'!$B$10)*$A85*10/30+('Scénario référence'!$F$8+'Scénario référence'!$F$9)*10)</f>
        <v>10</v>
      </c>
      <c r="IH85" s="12" t="e">
        <f>VLOOKUP($A85,'Données projet'!$A$330:$I$350,2,0)</f>
        <v>#N/A</v>
      </c>
      <c r="II85" s="12" t="e">
        <f>VLOOKUP($A85,'Données projet'!$A$330:$I$350,9,0)</f>
        <v>#N/A</v>
      </c>
      <c r="IJ85" s="12">
        <f t="array" ref="IJ85">INDEX(II:II,MIN(IF(ISNUMBER(II85:II281),ROW(II85:II281),"")))</f>
        <v>0</v>
      </c>
      <c r="IK85" s="12">
        <f>IF('Données projet'!$A$330&gt;35,IK84+IJ85-IS84,IF($A85&lt;'Données projet'!$A$330,$CQ$205^$A85,IF($A85='Données projet'!$A$330,'Données projet'!$B$330,IK84+IJ85-IS84)))</f>
        <v>0</v>
      </c>
      <c r="IL85" s="17">
        <f>IK85*VLOOKUP('Données projet'!$B$20,Paramètres!$A$1:$I$89,3,0)*VLOOKUP('Données projet'!$B$20,Paramètres!$A$1:$I$89,5,0)</f>
        <v>0</v>
      </c>
      <c r="IM85" s="13" t="e">
        <f t="shared" si="204"/>
        <v>#NUM!</v>
      </c>
      <c r="IN85" s="20" t="e">
        <f t="shared" si="153"/>
        <v>#NUM!</v>
      </c>
      <c r="IO85" s="59" t="e">
        <f t="shared" si="154"/>
        <v>#NUM!</v>
      </c>
      <c r="IP85" s="59">
        <f ca="1">AVERAGE(OFFSET(IO$3,0,0,'Données projet'!$E$20+1,1))-AVERAGE(OFFSET($H$3,0,0,'Données projet'!$E$20+1,1))</f>
        <v>91.60721429656013</v>
      </c>
      <c r="IQ85" s="59">
        <f t="shared" si="205"/>
        <v>258.94957804210856</v>
      </c>
      <c r="IR85" s="15">
        <f>IF(ISNA(VLOOKUP($A85,'Données projet'!$A$330:$I$350,3,0)),0,VLOOKUP($A85,'Données projet'!$A$330:$I$350,3,0))</f>
        <v>0</v>
      </c>
      <c r="IS85" s="15">
        <f>IF(ISNA(VLOOKUP($A85,'Données projet'!$A$330:$I$350,4,0)),0,VLOOKUP($A85,'Données projet'!$A$330:$I$350,4,0))</f>
        <v>0</v>
      </c>
      <c r="IT85" s="16">
        <f>IF(ISNA(VLOOKUP($A85,'Données projet'!$A$330:$I$350,5,0)),0%,VLOOKUP($A85,'Données projet'!$A$330:$I$350,5,0)*VLOOKUP('Données projet'!$B$20,Paramètres!$A$1:$I$89,7,0))</f>
        <v>0</v>
      </c>
      <c r="IU85" s="16">
        <f>IF(ISNA(VLOOKUP($A85,'Données projet'!$A$330:$I$350,6,0)),0%,VLOOKUP($A85,'Données projet'!$A$330:$I$350,6,0)*VLOOKUP('Données projet'!$B$20,Paramètres!$A$1:$I$89,7,0))</f>
        <v>0</v>
      </c>
      <c r="IV85" s="16">
        <f>IF(ISNA(VLOOKUP($A85,'Données projet'!$A$330:$I$350,7,0)),0%,VLOOKUP($A85,'Données projet'!$A$330:$I$350,7,0))</f>
        <v>0</v>
      </c>
      <c r="IW85" s="21">
        <f>EXP(-LN(2)/35)*IW84+(1-EXP(-LN(2)/35))/(LN(2)/35)*IS85*IT85*VLOOKUP('Données projet'!$B$20,Paramètres!$A$1:$I$89,3,0)*0.475*44/12</f>
        <v>17.615312892139222</v>
      </c>
      <c r="IX85" s="21">
        <f>EXP(-LN(2)/25)*IX84+(1-EXP(-LN(2)/25))/(LN(2)/25)*Calculateur!IS85*Calculateur!IU85*VLOOKUP('Données projet'!$B$20,Paramètres!$A$1:$I$89,3,0)*0.475*44/12</f>
        <v>2.3007475518046787</v>
      </c>
      <c r="IY85" s="21">
        <f>EXP(-LN(2)/2)*IY84+(1-EXP(-LN(2)/2))/(LN(2)/2)*IS85*IV85*VLOOKUP('Données projet'!$B$20,Paramètres!$A$1:$I$89,3,0)*0.475*44/12</f>
        <v>8.5361646375652782E-9</v>
      </c>
      <c r="IZ85" s="22">
        <f t="shared" si="155"/>
        <v>19.916060452480068</v>
      </c>
      <c r="JA85" s="74">
        <f>('Scénario référence'!$F$8+'Scénario référence'!$F$9+'Scénario référence'!$B$17+'Scénario référence'!$B$9+'Scénario référence'!$B$10)*70+IF((45+25*(1-EXP(-0.0175*$A85)))&lt;70,'Scénario référence'!$B$16*(45+25*(1-EXP(-0.0175*$A85))),70*'Scénario référence'!$B$16)+IF((32+38*(1-EXP(-0.0175*$A85)))&lt;70,'Scénario référence'!$B$18*(32+38*(1-EXP(-0.0175*$A85))),70*'Scénario référence'!$B$18)</f>
        <v>70</v>
      </c>
      <c r="JB85" s="12">
        <f>IF($A85&gt;30,10,('Scénario référence'!$B$16+'Scénario référence'!$B$17+'Scénario référence'!$B$18+'Scénario référence'!$B$9+'Scénario référence'!$B$10)*$A85*10/30+('Scénario référence'!$F$8+'Scénario référence'!$F$9)*10)</f>
        <v>10</v>
      </c>
      <c r="JC85" s="12" t="e">
        <f>VLOOKUP($A85,'Données projet'!$A$356:$I$376,2,0)</f>
        <v>#N/A</v>
      </c>
      <c r="JD85" s="12" t="e">
        <f>VLOOKUP($A85,'Données projet'!$A$356:$I$376,9,0)</f>
        <v>#N/A</v>
      </c>
      <c r="JE85" s="12">
        <f t="array" ref="JE85">INDEX(JD:JD,MIN(IF(ISNUMBER(JD85:JD281),ROW(JD85:JD281),"")))</f>
        <v>5.4</v>
      </c>
      <c r="JF85" s="12">
        <f>IF('Données projet'!$A$356&gt;35,JF84+JE85-JN84,IF($A85&lt;'Données projet'!$A$356,$CQ$205^$A85,IF($A85='Données projet'!$A$356,'Données projet'!$B$356,JF84+JE85-JN84)))</f>
        <v>333.7999999999999</v>
      </c>
      <c r="JG85" s="17">
        <f>JF85*VLOOKUP('Données projet'!$B$21,Paramètres!$A$1:$I$89,3,0)*VLOOKUP('Données projet'!$B$21,Paramètres!$A$1:$I$89,5,0)</f>
        <v>270.77855999999997</v>
      </c>
      <c r="JH85" s="13">
        <f t="shared" si="206"/>
        <v>65.014471669687794</v>
      </c>
      <c r="JI85" s="20">
        <f t="shared" si="156"/>
        <v>584.83953015803957</v>
      </c>
      <c r="JJ85" s="59">
        <f t="shared" si="157"/>
        <v>878.17286349137294</v>
      </c>
      <c r="JK85" s="59">
        <f ca="1">AVERAGE(OFFSET($JJ$3,0,0,'Données projet'!$E$22+1,1))-AVERAGE(OFFSET($H$3,0,0,'Données projet'!$E$22+1,1))</f>
        <v>353.35574633294613</v>
      </c>
      <c r="JL85" s="59">
        <f t="shared" si="207"/>
        <v>170.36796666474726</v>
      </c>
      <c r="JM85" s="15">
        <f>IF(ISNA(VLOOKUP($A85,'Données projet'!$A$356:$I$376,3,0)),0,VLOOKUP($A85,'Données projet'!$A$356:$I$376,3,0))</f>
        <v>0</v>
      </c>
      <c r="JN85" s="15">
        <f>IF(ISNA(VLOOKUP($A85,'Données projet'!$A$356:$I$376,4,0)),0,VLOOKUP($A85,'Données projet'!$A$356:$I$376,4,0))</f>
        <v>0</v>
      </c>
      <c r="JO85" s="16">
        <f>IF(ISNA(VLOOKUP($A85,'Données projet'!$A$356:$I$376,5,0)),0%,VLOOKUP($A85,'Données projet'!$A$356:$I$376,5,0)*VLOOKUP('Données projet'!$B$21,Paramètres!$A$1:$I$89,7,0))</f>
        <v>0</v>
      </c>
      <c r="JP85" s="16">
        <f>IF(ISNA(VLOOKUP($A85,'Données projet'!$A$356:$I$376,6,0)),0%,VLOOKUP($A85,'Données projet'!$A$356:$I$376,6,0)*VLOOKUP('Données projet'!$B$21,Paramètres!$A$1:$I$89,7,0))</f>
        <v>0</v>
      </c>
      <c r="JQ85" s="16">
        <f>IF(ISNA(VLOOKUP($A85,'Données projet'!$A$356:$I$376,7,0)),0%,VLOOKUP($A85,'Données projet'!$A$356:$I$376,7,0))</f>
        <v>0</v>
      </c>
      <c r="JR85" s="21">
        <f>EXP(-LN(2)/35)*JR84+(1-EXP(-LN(2)/35))/(LN(2)/35)*JN85*JO85*VLOOKUP('Données projet'!$B$21,Paramètres!$A$1:$I$89,3,0)*0.475*44/12</f>
        <v>1.9776969879722255</v>
      </c>
      <c r="JS85" s="21">
        <f>EXP(-LN(2)/25)*JS84+(1-EXP(-LN(2)/25))/(LN(2)/25)*Calculateur!JN85*Calculateur!JP85*VLOOKUP('Données projet'!$B$21,Paramètres!$A$1:$I$89,3,0)*0.475*44/12</f>
        <v>16.675056433266302</v>
      </c>
      <c r="JT85" s="21">
        <f>EXP(-LN(2)/2)*JT84+(1-EXP(-LN(2)/2))/(LN(2)/2)*JN85*JQ85*VLOOKUP('Données projet'!$B$21,Paramètres!$A$1:$I$89,3,0)*0.475*44/12</f>
        <v>3.9049355185099555</v>
      </c>
      <c r="JU85" s="18">
        <f t="shared" si="158"/>
        <v>22.557688939748484</v>
      </c>
      <c r="JV85" s="74">
        <f>('Scénario référence'!$F$8+'Scénario référence'!$F$9+'Scénario référence'!$B$17+'Scénario référence'!$B$9+'Scénario référence'!$B$10)*70+IF((45+25*(1-EXP(-0.0175*$A85)))&lt;70,'Scénario référence'!$B$16*(45+25*(1-EXP(-0.0175*$A85))),70*'Scénario référence'!$B$16)+IF((32+38*(1-EXP(-0.0175*$A85)))&lt;70,'Scénario référence'!$B$18*(32+38*(1-EXP(-0.0175*$A85))),70*'Scénario référence'!$B$18)</f>
        <v>70</v>
      </c>
      <c r="JW85" s="12">
        <f>IF($A85&gt;30,10,('Scénario référence'!$B$16+'Scénario référence'!$B$17+'Scénario référence'!$B$18+'Scénario référence'!$B$9+'Scénario référence'!$B$10)*$A85*10/30+('Scénario référence'!$F$8+'Scénario référence'!$F$9)*10)</f>
        <v>10</v>
      </c>
      <c r="JX85" s="12" t="e">
        <f>VLOOKUP($A85,'Données projet'!$A$382:$I$402,2,0)</f>
        <v>#N/A</v>
      </c>
      <c r="JY85" s="12" t="e">
        <f>VLOOKUP($A85,'Données projet'!$A$382:$I$402,9,0)</f>
        <v>#N/A</v>
      </c>
      <c r="JZ85" s="12">
        <f t="array" ref="JZ85">INDEX(JY:JY,MIN(IF(ISNUMBER(JY85:JY281),ROW(JY85:JY281),"")))</f>
        <v>7.4950142450142421</v>
      </c>
      <c r="KA85" s="12">
        <f>IF('Données projet'!$A$382&gt;35,KA84+JZ85-KI84,IF($A85&lt;'Données projet'!$A$382,$CQ$205^$A85,IF($A85='Données projet'!$A$382,'Données projet'!$B$382,KA84+JZ85-KI84)))</f>
        <v>243.3938746438748</v>
      </c>
      <c r="KB85" s="17">
        <f>KA85*VLOOKUP('Données projet'!$B$22,Paramètres!$A$1:$I$89,3,0)*VLOOKUP('Données projet'!$B$22,Paramètres!$A$1:$I$89,5,0)</f>
        <v>163.26861111111123</v>
      </c>
      <c r="KC85" s="13">
        <f t="shared" si="208"/>
        <v>41.578889807172928</v>
      </c>
      <c r="KD85" s="20">
        <f t="shared" si="159"/>
        <v>356.77606409934486</v>
      </c>
      <c r="KE85" s="59">
        <f t="shared" si="160"/>
        <v>650.10939743267818</v>
      </c>
      <c r="KF85" s="59">
        <f ca="1">AVERAGE(OFFSET($KE$3,0,0,'Données projet'!$E$22+1,1))-AVERAGE(OFFSET($H$3,0,0,'Données projet'!$E$22+1,1))</f>
        <v>193.91714772848269</v>
      </c>
      <c r="KG85" s="59">
        <f t="shared" si="209"/>
        <v>159.20429420478047</v>
      </c>
      <c r="KH85" s="15">
        <f>IF(ISNA(VLOOKUP($A85,'Données projet'!$A$382:$I$402,3,0)),0,VLOOKUP($A85,'Données projet'!$A$382:$I$402,3,0))</f>
        <v>0</v>
      </c>
      <c r="KI85" s="15">
        <f>IF(ISNA(VLOOKUP($A85,'Données projet'!$A$382:$I$402,4,0)),0,VLOOKUP($A85,'Données projet'!$A$382:$I$402,4,0))</f>
        <v>0</v>
      </c>
      <c r="KJ85" s="16">
        <f>IF(ISNA(VLOOKUP($A85,'Données projet'!$A$382:$I$402,5,0)),0%,VLOOKUP($A85,'Données projet'!$A$382:$I$402,5,0)*VLOOKUP('Données projet'!$B$22,Paramètres!$A$1:$I$89,7,0))</f>
        <v>0</v>
      </c>
      <c r="KK85" s="16">
        <f>IF(ISNA(VLOOKUP($A85,'Données projet'!$A$382:$I$402,6,0)),0%,VLOOKUP($A85,'Données projet'!$A$382:$I$402,6,0)*VLOOKUP('Données projet'!$B$22,Paramètres!$A$1:$I$89,7,0))</f>
        <v>0</v>
      </c>
      <c r="KL85" s="16">
        <f>IF(ISNA(VLOOKUP($A85,'Données projet'!$A$382:$I$402,7,0)),0%,VLOOKUP($A85,'Données projet'!$A$382:$I$402,7,0))</f>
        <v>0</v>
      </c>
      <c r="KM85" s="21">
        <f>EXP(-LN(2)/35)*KM84+(1-EXP(-LN(2)/35))/(LN(2)/35)*KI85*KJ85*VLOOKUP('Données projet'!$B$22,Paramètres!$A$1:$I$89,3,0)*0.475*44/12</f>
        <v>28.775975402611028</v>
      </c>
      <c r="KN85" s="21">
        <f>EXP(-LN(2)/25)*KN84+(1-EXP(-LN(2)/25))/(LN(2)/25)*Calculateur!KI85*Calculateur!KK85*VLOOKUP('Données projet'!$B$22,Paramètres!$A$1:$I$89,3,0)*0.475*44/12</f>
        <v>0</v>
      </c>
      <c r="KO85" s="21">
        <f>EXP(-LN(2)/2)*KO84+(1-EXP(-LN(2)/2))/(LN(2)/2)*KI85*KL85*VLOOKUP('Données projet'!$B$22,Paramètres!$A$1:$I$89,3,0)*0.475*44/12</f>
        <v>0</v>
      </c>
      <c r="KP85" s="22">
        <f t="shared" si="161"/>
        <v>28.775975402611028</v>
      </c>
      <c r="KQ85" s="74">
        <f>('Scénario référence'!$F$8+'Scénario référence'!$F$9+'Scénario référence'!$B$17+'Scénario référence'!$B$9+'Scénario référence'!$B$10)*70+IF((45+25*(1-EXP(-0.0175*$A85)))&lt;70,'Scénario référence'!$B$16*(45+25*(1-EXP(-0.0175*$A85))),70*'Scénario référence'!$B$16)+IF((32+38*(1-EXP(-0.0175*$A85)))&lt;70,'Scénario référence'!$B$18*(32+38*(1-EXP(-0.0175*$A85))),70*'Scénario référence'!$B$18)</f>
        <v>70</v>
      </c>
      <c r="KR85" s="12">
        <f>IF($A85&gt;30,10,('Scénario référence'!$B$16+'Scénario référence'!$B$17+'Scénario référence'!$B$18+'Scénario référence'!$B$9+'Scénario référence'!$B$10)*$A85*10/30+('Scénario référence'!$F$8+'Scénario référence'!$F$9)*10)</f>
        <v>10</v>
      </c>
      <c r="KS85" s="12" t="e">
        <f>VLOOKUP($A85,'Données projet'!$A$408:$I$428,2,0)</f>
        <v>#N/A</v>
      </c>
      <c r="KT85" s="12" t="e">
        <f>VLOOKUP($A85,'Données projet'!$A$408:$I$428,9,0)</f>
        <v>#N/A</v>
      </c>
      <c r="KU85" s="12">
        <f t="array" ref="KU85">INDEX(KT:KT,MIN(IF(ISNUMBER(KT85:KT281),ROW(KT85:KT281),"")))</f>
        <v>0</v>
      </c>
      <c r="KV85" s="12">
        <f>IF('Données projet'!$A$408&gt;35,KV84+KU85-LD84,IF($A85&lt;'Données projet'!$A$408,$CQ$205^$A85,IF($A85='Données projet'!$A$408,'Données projet'!$B$408,KV84+KU85-LD84)))</f>
        <v>-1.1368683772161603E-13</v>
      </c>
      <c r="KW85" s="17">
        <f>KV85*VLOOKUP('Données projet'!$B$23,Paramètres!$A$1:$I$89,3,0)*VLOOKUP('Données projet'!$B$23,Paramètres!$A$1:$I$89,5,0)</f>
        <v>-9.9316821433603781E-14</v>
      </c>
      <c r="KX85" s="13" t="e">
        <f t="shared" si="210"/>
        <v>#NUM!</v>
      </c>
      <c r="KY85" s="14" t="e">
        <f t="shared" si="162"/>
        <v>#NUM!</v>
      </c>
      <c r="KZ85" s="59" t="e">
        <f t="shared" si="163"/>
        <v>#NUM!</v>
      </c>
      <c r="LA85" s="59">
        <f ca="1">AVERAGE(OFFSET($KZ$3,0,0,'Données projet'!$E$23+1,1))-AVERAGE(OFFSET($H$3,0,0,'Données projet'!$E$23+1,1))</f>
        <v>248.33596943633819</v>
      </c>
      <c r="LB85" s="59">
        <f t="shared" si="211"/>
        <v>242.34010522344573</v>
      </c>
      <c r="LC85" s="15">
        <f>IF(ISNA(VLOOKUP($A85,'Données projet'!$A$408:$I$428,3,0)),0,VLOOKUP($A85,'Données projet'!$A$408:$I$428,3,0))</f>
        <v>0</v>
      </c>
      <c r="LD85" s="15">
        <f>IF(ISNA(VLOOKUP($A85,'Données projet'!$A$408:$I$428,4,0)),0,VLOOKUP($A85,'Données projet'!$A$408:$I$428,4,0))</f>
        <v>0</v>
      </c>
      <c r="LE85" s="16">
        <f>IF(ISNA(VLOOKUP($A85,'Données projet'!$A$408:$I$428,5,0)),0%,VLOOKUP($A85,'Données projet'!$A$408:$I$428,5,0)*VLOOKUP('Données projet'!$B$23,Paramètres!$A$1:$I$89,7,0))</f>
        <v>0</v>
      </c>
      <c r="LF85" s="16">
        <f>IF(ISNA(VLOOKUP($A85,'Données projet'!$A$408:$I$428,6,0)),0%,VLOOKUP($A85,'Données projet'!$A$408:$I$428,6,0)*VLOOKUP('Données projet'!$B$23,Paramètres!$A$1:$I$89,7,0))</f>
        <v>0</v>
      </c>
      <c r="LG85" s="16">
        <f>IF(ISNA(VLOOKUP($A85,'Données projet'!$A$408:$I$428,7,0)),0%,VLOOKUP($A85,'Données projet'!$A$408:$I$428,7,0))</f>
        <v>0</v>
      </c>
      <c r="LH85" s="21">
        <f>EXP(-LN(2)/35)*LH84+(1-EXP(-LN(2)/35))/(LN(2)/35)*LD85*LE85*VLOOKUP('Données projet'!$B$23,Paramètres!$A$1:$I$89,3,0)*0.475*44/12</f>
        <v>118.43523029108101</v>
      </c>
      <c r="LI85" s="21">
        <f>EXP(-LN(2)/25)*LI84+(1-EXP(-LN(2)/25))/(LN(2)/25)*Calculateur!LD85*Calculateur!LF85*VLOOKUP('Données projet'!$B$23,Paramètres!$A$1:$I$89,3,0)*0.475*44/12</f>
        <v>20.602400051261558</v>
      </c>
      <c r="LJ85" s="21">
        <f>EXP(-LN(2)/2)*LJ84+(1-EXP(-LN(2)/2))/(LN(2)/2)*LD85*LG85*VLOOKUP('Données projet'!$B$23,Paramètres!$A$1:$I$89,3,0)*0.475*44/12</f>
        <v>0</v>
      </c>
      <c r="LK85" s="22">
        <f t="shared" si="164"/>
        <v>139.03763034234257</v>
      </c>
      <c r="LL85" s="74">
        <f>('Scénario référence'!$F$8+'Scénario référence'!$F$9+'Scénario référence'!$B$17+'Scénario référence'!$B$9+'Scénario référence'!$B$10)*70+IF((45+25*(1-EXP(-0.0175*$A85)))&lt;70,'Scénario référence'!$B$16*(45+25*(1-EXP(-0.0175*$A85))),70*'Scénario référence'!$B$16)+IF((32+38*(1-EXP(-0.0175*$A85)))&lt;70,'Scénario référence'!$B$18*(32+38*(1-EXP(-0.0175*$A85))),70*'Scénario référence'!$B$18)</f>
        <v>70</v>
      </c>
      <c r="LM85" s="12">
        <f>IF($A85&gt;30,10,('Scénario référence'!$B$16+'Scénario référence'!$B$17+'Scénario référence'!$B$18+'Scénario référence'!$B$9+'Scénario référence'!$B$10)*$A85*10/30+('Scénario référence'!$F$8+'Scénario référence'!$F$9)*10)</f>
        <v>10</v>
      </c>
      <c r="LN85" s="12" t="e">
        <f>VLOOKUP($A85,'Données projet'!$A$434:$I$454,2,0)</f>
        <v>#N/A</v>
      </c>
      <c r="LO85" s="12" t="e">
        <f>VLOOKUP($A85,'Données projet'!$A$434:$I$454,9,0)</f>
        <v>#N/A</v>
      </c>
      <c r="LP85" s="12">
        <f t="array" ref="LP85">INDEX(LO:LO,MIN(IF(ISNUMBER(LO85:LO281),ROW(LO85:LO281),"")))</f>
        <v>5.5042735042735051</v>
      </c>
      <c r="LQ85" s="12">
        <f>IF('Données projet'!$A$434&gt;35,LQ84+LP85-LY84,IF($A85&lt;'Données projet'!$A$434,$CQ$205^$A85,IF($A85='Données projet'!$A$434,'Données projet'!$B$434,LQ84+LP85-LY84)))</f>
        <v>188.99786324786317</v>
      </c>
      <c r="LR85" s="17">
        <f>LQ85*VLOOKUP('Données projet'!$B$24,Paramètres!$A$1:$I$89,3,0)*VLOOKUP('Données projet'!$B$24,Paramètres!$A$1:$I$89,5,0)</f>
        <v>191.64383333333325</v>
      </c>
      <c r="LS85" s="13">
        <f t="shared" si="212"/>
        <v>47.903198650456822</v>
      </c>
      <c r="LT85" s="14">
        <f t="shared" si="165"/>
        <v>417.21108070510104</v>
      </c>
      <c r="LU85" s="59">
        <f t="shared" si="166"/>
        <v>710.5444140384343</v>
      </c>
      <c r="LV85" s="59">
        <f ca="1">AVERAGE(OFFSET($LU$3,0,0,'Données projet'!$E$24+1,1))-AVERAGE(OFFSET($H$3,0,0,'Données projet'!$E$24+1,1))</f>
        <v>260.52627655062872</v>
      </c>
      <c r="LW85" s="59">
        <f t="shared" si="213"/>
        <v>159.20429420478047</v>
      </c>
      <c r="LX85" s="15">
        <f>IF(ISNA(VLOOKUP($A85,'Données projet'!$A$434:$I$454,3,0)),0,VLOOKUP($A85,'Données projet'!$A$434:$I$454,3,0))</f>
        <v>0</v>
      </c>
      <c r="LY85" s="15">
        <f>IF(ISNA(VLOOKUP($A85,'Données projet'!$A$434:$I$454,4,0)),0,VLOOKUP($A85,'Données projet'!$A$434:$I$454,4,0))</f>
        <v>0</v>
      </c>
      <c r="LZ85" s="16">
        <f>IF(ISNA(VLOOKUP($A85,'Données projet'!$A$434:$I$454,5,0)),0%,VLOOKUP($A85,'Données projet'!$A$434:$I$454,5,0)*VLOOKUP('Données projet'!$B$24,Paramètres!$A$1:$I$89,7,0))</f>
        <v>0</v>
      </c>
      <c r="MA85" s="16">
        <f>IF(ISNA(VLOOKUP($A85,'Données projet'!$A$434:$I$454,6,0)),0%,VLOOKUP($A85,'Données projet'!$A$434:$I$454,6,0)*VLOOKUP('Données projet'!$B$24,Paramètres!$A$1:$I$89,7,0))</f>
        <v>0</v>
      </c>
      <c r="MB85" s="16">
        <f>IF(ISNA(VLOOKUP($A85,'Données projet'!$A$434:$I$454,7,0)),0%,VLOOKUP($A85,'Données projet'!$A$434:$I$454,7,0))</f>
        <v>0</v>
      </c>
      <c r="MC85" s="21">
        <f>EXP(-LN(2)/35)*MC84+(1-EXP(-LN(2)/35))/(LN(2)/35)*LY85*LZ85*VLOOKUP('Données projet'!$B$24,Paramètres!$A$1:$I$89,3,0)*0.475*44/12</f>
        <v>9.0810951345364757</v>
      </c>
      <c r="MD85" s="21">
        <f>EXP(-LN(2)/25)*MD84+(1-EXP(-LN(2)/25))/(LN(2)/25)*Calculateur!LY85*Calculateur!MA85*VLOOKUP('Données projet'!$B$24,Paramètres!$A$1:$I$89,3,0)*0.475*44/12</f>
        <v>0</v>
      </c>
      <c r="ME85" s="21">
        <f>EXP(-LN(2)/2)*ME84+(1-EXP(-LN(2)/2))/(LN(2)/2)*LY85*MB85*VLOOKUP('Données projet'!$B$24,Paramètres!$A$1:$I$89,3,0)*0.475*44/12</f>
        <v>0</v>
      </c>
      <c r="MF85" s="22">
        <f t="shared" si="167"/>
        <v>9.0810951345364757</v>
      </c>
      <c r="MG85" s="74">
        <f>('Scénario référence'!$F$8+'Scénario référence'!$F$9+'Scénario référence'!$B$17+'Scénario référence'!$B$9+'Scénario référence'!$B$10)*70+IF((45+25*(1-EXP(-0.0175*$A85)))&lt;70,'Scénario référence'!$B$16*(45+25*(1-EXP(-0.0175*$A85))),70*'Scénario référence'!$B$16)+IF((32+38*(1-EXP(-0.0175*$A85)))&lt;70,'Scénario référence'!$B$18*(32+38*(1-EXP(-0.0175*$A85))),70*'Scénario référence'!$B$18)</f>
        <v>70</v>
      </c>
      <c r="MH85" s="12">
        <f>IF($A85&gt;30,10,('Scénario référence'!$B$16+'Scénario référence'!$B$17+'Scénario référence'!$B$18+'Scénario référence'!$B$9+'Scénario référence'!$B$10)*$A85*10/30+('Scénario référence'!$F$8+'Scénario référence'!$F$9)*10)</f>
        <v>10</v>
      </c>
      <c r="MI85" s="12" t="e">
        <f>VLOOKUP($A85,'Données projet'!$A$460:$I$480,2,0)</f>
        <v>#N/A</v>
      </c>
      <c r="MJ85" s="12" t="e">
        <f>VLOOKUP($A85,'Données projet'!$A$460:$I$480,9,0)</f>
        <v>#N/A</v>
      </c>
      <c r="MK85" s="12">
        <f t="array" ref="MK85">INDEX(MJ:MJ,MIN(IF(ISNUMBER(MJ85:MJ281),ROW(MJ85:MJ281),"")))</f>
        <v>0</v>
      </c>
      <c r="ML85" s="12">
        <f>IF('Données projet'!$A$460&gt;35,ML84+MK85-MT84,IF($A85&lt;'Données projet'!$A$460,$CQ$205^$A85,IF($A85='Données projet'!$A$460,'Données projet'!$B$460,ML84+MK85-MT84)))</f>
        <v>0</v>
      </c>
      <c r="MM85" s="17" t="e">
        <f>ML85*VLOOKUP('Données projet'!$B$25,Paramètres!$A$1:$I$89,3,0)*VLOOKUP('Données projet'!$B$25,Paramètres!$A$1:$I$89,5,0)</f>
        <v>#N/A</v>
      </c>
      <c r="MN85" s="13" t="e">
        <f t="shared" si="214"/>
        <v>#N/A</v>
      </c>
      <c r="MO85" s="14" t="e">
        <f t="shared" si="168"/>
        <v>#N/A</v>
      </c>
      <c r="MP85" s="59" t="e">
        <f t="shared" si="169"/>
        <v>#N/A</v>
      </c>
      <c r="MQ85" s="20" t="e">
        <f ca="1">AVERAGE(OFFSET($MP$3,0,0,'Données projet'!$E$25+1,1))-AVERAGE(OFFSET($H$3,0,0,'Données projet'!$E$25+1,1))</f>
        <v>#N/A</v>
      </c>
      <c r="MR85" s="59" t="e">
        <f t="shared" si="215"/>
        <v>#N/A</v>
      </c>
      <c r="MS85" s="15">
        <f>IF(ISNA(VLOOKUP($A85,'Données projet'!$A$460:$I$480,3,0)),0,VLOOKUP($A85,'Données projet'!$A$460:$I$480,3,0))</f>
        <v>0</v>
      </c>
      <c r="MT85" s="15">
        <f>IF(ISNA(VLOOKUP($A85,'Données projet'!$A$460:$I$480,4,0)),0,VLOOKUP($A85,'Données projet'!$A$460:$I$480,4,0))</f>
        <v>0</v>
      </c>
      <c r="MU85" s="16">
        <f>IF(ISNA(VLOOKUP($A85,'Données projet'!$A$460:$I$480,5,0)),0%,VLOOKUP($A85,'Données projet'!$A$460:$I$480,5,0)*VLOOKUP('Données projet'!$B$25,Paramètres!$A$1:$I$89,7,0))</f>
        <v>0</v>
      </c>
      <c r="MV85" s="16">
        <f>IF(ISNA(VLOOKUP($A85,'Données projet'!$A$460:$I$480,6,0)),0%,VLOOKUP($A85,'Données projet'!$A$460:$I$480,6,0)*VLOOKUP('Données projet'!$B$25,Paramètres!$A$1:$I$89,7,0))</f>
        <v>0</v>
      </c>
      <c r="MW85" s="16">
        <f>IF(ISNA(VLOOKUP($A85,'Données projet'!$A$460:$I$480,7,0)),0%,VLOOKUP($A85,'Données projet'!$A$460:$I$480,7,0))</f>
        <v>0</v>
      </c>
      <c r="MX85" s="21" t="e">
        <f>EXP(-LN(2)/35)*MX84+(1-EXP(-LN(2)/35))/(LN(2)/35)*MT85*MU85*VLOOKUP('Données projet'!$B$25,Paramètres!$A$1:$I$89,3,0)*0.475*44/12</f>
        <v>#N/A</v>
      </c>
      <c r="MY85" s="21" t="e">
        <f>EXP(-LN(2)/25)*MY84+(1-EXP(-LN(2)/25))/(LN(2)/25)*Calculateur!MT85*Calculateur!MV85*VLOOKUP('Données projet'!$B$25,Paramètres!$A$1:$I$89,3,0)*0.475*44/12</f>
        <v>#N/A</v>
      </c>
      <c r="MZ85" s="21" t="e">
        <f>EXP(-LN(2)/2)*MZ84+(1-EXP(-LN(2)/2))/(LN(2)/2)*MT85*MW85*VLOOKUP('Données projet'!$B$25,Paramètres!$A$1:$I$89,3,0)*0.475*44/12</f>
        <v>#N/A</v>
      </c>
      <c r="NA85" s="22" t="e">
        <f t="shared" si="170"/>
        <v>#N/A</v>
      </c>
      <c r="NB85" s="74">
        <f>('Scénario référence'!$F$8+'Scénario référence'!$F$9+'Scénario référence'!$B$17+'Scénario référence'!$B$9+'Scénario référence'!$B$10)*70+IF((45+25*(1-EXP(-0.0175*$A85)))&lt;70,'Scénario référence'!$B$16*(45+25*(1-EXP(-0.0175*$A85))),70*'Scénario référence'!$B$16)+IF((32+38*(1-EXP(-0.0175*$A85)))&lt;70,'Scénario référence'!$B$18*(32+38*(1-EXP(-0.0175*$A85))),70*'Scénario référence'!$B$18)</f>
        <v>70</v>
      </c>
      <c r="NC85" s="12">
        <f>IF($A85&gt;30,10,('Scénario référence'!$B$16+'Scénario référence'!$B$17+'Scénario référence'!$B$18+'Scénario référence'!$B$9+'Scénario référence'!$B$10)*$A85*10/30+('Scénario référence'!$F$8+'Scénario référence'!$F$9)*10)</f>
        <v>10</v>
      </c>
      <c r="ND85" s="12" t="e">
        <f>VLOOKUP($A85,'Données projet'!$A$486:$I$506,2,0)</f>
        <v>#N/A</v>
      </c>
      <c r="NE85" s="12" t="e">
        <f>VLOOKUP($A85,'Données projet'!$A$486:$I$506,9,0)</f>
        <v>#N/A</v>
      </c>
      <c r="NF85" s="12">
        <f t="array" ref="NF85">INDEX(NE:NE,MIN(IF(ISNUMBER(NE85:NE281),ROW(NE85:NE281),"")))</f>
        <v>0</v>
      </c>
      <c r="NG85" s="12">
        <f>IF('Données projet'!$A$486&gt;35,NG84+NF85-NO84,IF($A85&lt;'Données projet'!$A$486,$CQ$205^$A85,IF($A85='Données projet'!$A$486,'Données projet'!$B$486,NG84+NF85-NO84)))</f>
        <v>0</v>
      </c>
      <c r="NH85" s="17" t="e">
        <f>NG85*VLOOKUP('Données projet'!$B$26,Paramètres!$A$1:$I$89,3,0)*VLOOKUP('Données projet'!$B$26,Paramètres!$A$1:$I$89,5,0)</f>
        <v>#N/A</v>
      </c>
      <c r="NI85" s="13" t="e">
        <f t="shared" si="216"/>
        <v>#N/A</v>
      </c>
      <c r="NJ85" s="14" t="e">
        <f t="shared" si="171"/>
        <v>#N/A</v>
      </c>
      <c r="NK85" s="59" t="e">
        <f t="shared" si="172"/>
        <v>#N/A</v>
      </c>
      <c r="NL85" s="20" t="e">
        <f ca="1">AVERAGE(OFFSET($NK$3,0,0,'Données projet'!$E$26+1,1))-AVERAGE(OFFSET($H$3,0,0,'Données projet'!$E$26+1,1))</f>
        <v>#N/A</v>
      </c>
      <c r="NM85" s="59" t="e">
        <f t="shared" si="217"/>
        <v>#N/A</v>
      </c>
      <c r="NN85" s="15">
        <f>IF(ISNA(VLOOKUP($A85,'Données projet'!$A$486:$I$506,3,0)),0,VLOOKUP($A85,'Données projet'!$A$486:$I$506,3,0))</f>
        <v>0</v>
      </c>
      <c r="NO85" s="15">
        <f>IF(ISNA(VLOOKUP($A85,'Données projet'!$A$486:$I$506,4,0)),0,VLOOKUP($A85,'Données projet'!$A$486:$I$506,4,0))</f>
        <v>0</v>
      </c>
      <c r="NP85" s="16">
        <f>IF(ISNA(VLOOKUP($A85,'Données projet'!$A$486:$I$506,5,0)),0%,VLOOKUP($A85,'Données projet'!$A$486:$I$506,5,0)*VLOOKUP('Données projet'!$B$26,Paramètres!$A$1:$I$89,7,0))</f>
        <v>0</v>
      </c>
      <c r="NQ85" s="16">
        <f>IF(ISNA(VLOOKUP($A85,'Données projet'!$A$486:$I$506,6,0)),0%,VLOOKUP($A85,'Données projet'!$A$486:$I$506,6,0)*VLOOKUP('Données projet'!$B$26,Paramètres!$A$1:$I$89,7,0))</f>
        <v>0</v>
      </c>
      <c r="NR85" s="16">
        <f>IF(ISNA(VLOOKUP($A85,'Données projet'!$A$486:$I$506,7,0)),0%,VLOOKUP($A85,'Données projet'!$A$486:$I$506,7,0))</f>
        <v>0</v>
      </c>
      <c r="NS85" s="21" t="e">
        <f>EXP(-LN(2)/35)*NS84+(1-EXP(-LN(2)/35))/(LN(2)/35)*NO85*NP85*VLOOKUP('Données projet'!$B$26,Paramètres!$A$1:$I$89,3,0)*0.475*44/12</f>
        <v>#N/A</v>
      </c>
      <c r="NT85" s="21" t="e">
        <f>EXP(-LN(2)/25)*NT84+(1-EXP(-LN(2)/25))/(LN(2)/25)*Calculateur!NO85*Calculateur!NQ85*VLOOKUP('Données projet'!$B$26,Paramètres!$A$1:$I$89,3,0)*0.475*44/12</f>
        <v>#N/A</v>
      </c>
      <c r="NU85" s="21" t="e">
        <f>EXP(-LN(2)/2)*NU84+(1-EXP(-LN(2)/2))/(LN(2)/2)*NO85*NR85*VLOOKUP('Données projet'!$B$26,Paramètres!$A$1:$I$89,3,0)*0.475*44/12</f>
        <v>#N/A</v>
      </c>
      <c r="NV85" s="22" t="e">
        <f t="shared" si="173"/>
        <v>#N/A</v>
      </c>
      <c r="NW85" s="74">
        <f>('Scénario référence'!$F$8+'Scénario référence'!$F$9+'Scénario référence'!$B$17+'Scénario référence'!$B$9+'Scénario référence'!$B$10)*70+IF((45+25*(1-EXP(-0.0175*$A85)))&lt;70,'Scénario référence'!$B$16*(45+25*(1-EXP(-0.0175*$A85))),70*'Scénario référence'!$B$16)+IF((32+38*(1-EXP(-0.0175*$A85)))&lt;70,'Scénario référence'!$B$18*(32+38*(1-EXP(-0.0175*$A85))),70*'Scénario référence'!$B$18)</f>
        <v>70</v>
      </c>
      <c r="NX85" s="12">
        <f>IF($A85&gt;30,10,('Scénario référence'!$B$16+'Scénario référence'!$B$17+'Scénario référence'!$B$18+'Scénario référence'!$B$9+'Scénario référence'!$B$10)*$A85*10/30+('Scénario référence'!$F$8+'Scénario référence'!$F$9)*10)</f>
        <v>10</v>
      </c>
      <c r="NY85" s="12" t="e">
        <f>VLOOKUP($A85,'Données projet'!$A$512:$I$532,2,0)</f>
        <v>#N/A</v>
      </c>
      <c r="NZ85" s="12" t="e">
        <f>VLOOKUP($A85,'Données projet'!$A$512:$I$532,9,0)</f>
        <v>#N/A</v>
      </c>
      <c r="OA85" s="12">
        <f t="array" ref="OA85">INDEX(NZ:NZ,MIN(IF(ISNUMBER(NZ85:NZ281),ROW(NZ85:NZ281),"")))</f>
        <v>0</v>
      </c>
      <c r="OB85" s="12">
        <f>IF('Données projet'!$A$512&gt;35,OB84+OA85-OJ84,IF($A85&lt;'Données projet'!$A$512,$CQ$205^$A85,IF($A85='Données projet'!$A$512,'Données projet'!$B$512,OB84+OA85-OJ84)))</f>
        <v>0</v>
      </c>
      <c r="OC85" s="17" t="e">
        <f>OB85*VLOOKUP('Données projet'!$B$27,Paramètres!$A$1:$I$89,3,0)*VLOOKUP('Données projet'!$B$27,Paramètres!$A$1:$I$89,5,0)</f>
        <v>#N/A</v>
      </c>
      <c r="OD85" s="13" t="e">
        <f t="shared" si="218"/>
        <v>#N/A</v>
      </c>
      <c r="OE85" s="14" t="e">
        <f t="shared" si="174"/>
        <v>#N/A</v>
      </c>
      <c r="OF85" s="59" t="e">
        <f t="shared" si="175"/>
        <v>#N/A</v>
      </c>
      <c r="OG85" s="20" t="e">
        <f ca="1">AVERAGE(OFFSET($OF$3,0,0,'Données projet'!$E$27+1,1))-AVERAGE(OFFSET($H$3,0,0,'Données projet'!$E$27+1,1))</f>
        <v>#N/A</v>
      </c>
      <c r="OH85" s="59" t="e">
        <f t="shared" si="219"/>
        <v>#N/A</v>
      </c>
      <c r="OI85" s="15">
        <f>IF(ISNA(VLOOKUP($A85,'Données projet'!$A$512:$I$532,3,0)),0,VLOOKUP($A85,'Données projet'!$A$512:$I$532,3,0))</f>
        <v>0</v>
      </c>
      <c r="OJ85" s="15">
        <f>IF(ISNA(VLOOKUP($A85,'Données projet'!$A$512:$I$532,4,0)),0,VLOOKUP($A85,'Données projet'!$A$512:$I$532,4,0))</f>
        <v>0</v>
      </c>
      <c r="OK85" s="16">
        <f>IF(ISNA(VLOOKUP($A85,'Données projet'!$A$512:$I$532,5,0)),0%,VLOOKUP($A85,'Données projet'!$A$512:$I$532,5,0)*VLOOKUP('Données projet'!$B$27,Paramètres!$A$1:$I$89,7,0))</f>
        <v>0</v>
      </c>
      <c r="OL85" s="16">
        <f>IF(ISNA(VLOOKUP($A85,'Données projet'!$A$512:$I$532,6,0)),0%,VLOOKUP($A85,'Données projet'!$A$512:$I$532,6,0)*VLOOKUP('Données projet'!$B$27,Paramètres!$A$1:$I$89,7,0))</f>
        <v>0</v>
      </c>
      <c r="OM85" s="16">
        <f>IF(ISNA(VLOOKUP($A85,'Données projet'!$A$512:$I$532,7,0)),0%,VLOOKUP($A85,'Données projet'!$A$512:$I$532,7,0))</f>
        <v>0</v>
      </c>
      <c r="ON85" s="21" t="e">
        <f>EXP(-LN(2)/35)*ON84+(1-EXP(-LN(2)/35))/(LN(2)/35)*OJ85*OK85*VLOOKUP('Données projet'!$B$27,Paramètres!$A$1:$I$89,3,0)*0.475*44/12</f>
        <v>#N/A</v>
      </c>
      <c r="OO85" s="21" t="e">
        <f>EXP(-LN(2)/25)*OO84+(1-EXP(-LN(2)/25))/(LN(2)/25)*Calculateur!OJ85*Calculateur!OL85*VLOOKUP('Données projet'!$B$27,Paramètres!$A$1:$I$89,3,0)*0.475*44/12</f>
        <v>#N/A</v>
      </c>
      <c r="OP85" s="21" t="e">
        <f>EXP(-LN(2)/2)*OP84+(1-EXP(-LN(2)/2))/(LN(2)/2)*OJ85*OM85*VLOOKUP('Données projet'!$B$27,Paramètres!$A$1:$I$89,3,0)*0.475*44/12</f>
        <v>#N/A</v>
      </c>
      <c r="OQ85" s="22" t="e">
        <f t="shared" si="176"/>
        <v>#N/A</v>
      </c>
      <c r="OR85" s="74">
        <f>('Scénario référence'!$F$8+'Scénario référence'!$F$9+'Scénario référence'!$B$17+'Scénario référence'!$B$9+'Scénario référence'!$B$10)*70+IF((45+25*(1-EXP(-0.0175*$A85)))&lt;70,'Scénario référence'!$B$16*(45+25*(1-EXP(-0.0175*$A85))),70*'Scénario référence'!$B$16)+IF((32+38*(1-EXP(-0.0175*$A85)))&lt;70,'Scénario référence'!$B$18*(32+38*(1-EXP(-0.0175*$A85))),70*'Scénario référence'!$B$18)</f>
        <v>70</v>
      </c>
      <c r="OS85" s="12">
        <f>IF($A85&gt;30,10,('Scénario référence'!$B$16+'Scénario référence'!$B$17+'Scénario référence'!$B$18+'Scénario référence'!$B$9+'Scénario référence'!$B$10)*$A85*10/30+('Scénario référence'!$F$8+'Scénario référence'!$F$9)*10)</f>
        <v>10</v>
      </c>
      <c r="OT85" s="12" t="e">
        <f>VLOOKUP($A85,'Données projet'!$A$538:$I$558,2,0)</f>
        <v>#N/A</v>
      </c>
      <c r="OU85" s="12" t="e">
        <f>VLOOKUP($A85,'Données projet'!$A$538:$I$558,9,0)</f>
        <v>#N/A</v>
      </c>
      <c r="OV85" s="12">
        <f t="array" ref="OV85">INDEX(OU:OU,MIN(IF(ISNUMBER(OU85:OU281),ROW(OU85:OU281),"")))</f>
        <v>0</v>
      </c>
      <c r="OW85" s="12">
        <f>IF('Données projet'!$A$538&gt;35,OW84+OV85-PE84,IF($A85&lt;'Données projet'!$A$538,$CQ$205^$A85,IF($A85='Données projet'!$A$538,'Données projet'!$B$538,OW84+OV85-PE84)))</f>
        <v>0</v>
      </c>
      <c r="OX85" s="17" t="e">
        <f>OW85*VLOOKUP('Données projet'!$B$28,Paramètres!$A$1:$I$89,3,0)*VLOOKUP('Données projet'!$B$28,Paramètres!$A$1:$I$89,5,0)</f>
        <v>#N/A</v>
      </c>
      <c r="OY85" s="13" t="e">
        <f t="shared" si="220"/>
        <v>#N/A</v>
      </c>
      <c r="OZ85" s="14" t="e">
        <f t="shared" si="177"/>
        <v>#N/A</v>
      </c>
      <c r="PA85" s="59" t="e">
        <f t="shared" si="178"/>
        <v>#N/A</v>
      </c>
      <c r="PB85" s="20" t="e">
        <f ca="1">AVERAGE(OFFSET($PA$3,0,0,'Données projet'!$E$28+1,1))-AVERAGE(OFFSET($H$3,0,0,'Données projet'!$E$28+1,1))</f>
        <v>#N/A</v>
      </c>
      <c r="PC85" s="59" t="e">
        <f t="shared" si="221"/>
        <v>#N/A</v>
      </c>
      <c r="PD85" s="15">
        <f>IF(ISNA(VLOOKUP($A85,'Données projet'!$A$538:$I$558,3,0)),0,VLOOKUP($A85,'Données projet'!$A$538:$I$558,3,0))</f>
        <v>0</v>
      </c>
      <c r="PE85" s="15">
        <f>IF(ISNA(VLOOKUP($A85,'Données projet'!$A$538:$I$558,4,0)),0,VLOOKUP($A85,'Données projet'!$A$538:$I$558,4,0))</f>
        <v>0</v>
      </c>
      <c r="PF85" s="16">
        <f>IF(ISNA(VLOOKUP($A85,'Données projet'!$A$538:$I$558,5,0)),0%,VLOOKUP($A85,'Données projet'!$A$538:$I$558,5,0)*VLOOKUP('Données projet'!$B$28,Paramètres!$A$1:$I$89,7,0))</f>
        <v>0</v>
      </c>
      <c r="PG85" s="16">
        <f>IF(ISNA(VLOOKUP($A85,'Données projet'!$A$538:$I$558,6,0)),0%,VLOOKUP($A85,'Données projet'!$A$538:$I$558,6,0)*VLOOKUP('Données projet'!$B$28,Paramètres!$A$1:$I$89,7,0))</f>
        <v>0</v>
      </c>
      <c r="PH85" s="16">
        <f>IF(ISNA(VLOOKUP($A85,'Données projet'!$A$538:$I$558,7,0)),0%,VLOOKUP($A85,'Données projet'!$A$538:$I$558,7,0))</f>
        <v>0</v>
      </c>
      <c r="PI85" s="21" t="e">
        <f>EXP(-LN(2)/35)*PI84+(1-EXP(-LN(2)/35))/(LN(2)/35)*PE85*PF85*VLOOKUP('Données projet'!$B$28,Paramètres!$A$1:$I$89,3,0)*0.475*44/12</f>
        <v>#N/A</v>
      </c>
      <c r="PJ85" s="21" t="e">
        <f>EXP(-LN(2)/25)*PJ84+(1-EXP(-LN(2)/25))/(LN(2)/25)*Calculateur!PE85*Calculateur!PG85*VLOOKUP('Données projet'!$B$28,Paramètres!$A$1:$I$89,3,0)*0.475*44/12</f>
        <v>#N/A</v>
      </c>
      <c r="PK85" s="21" t="e">
        <f>EXP(-LN(2)/2)*PK84+(1-EXP(-LN(2)/2))/(LN(2)/2)*PE85*PH85*VLOOKUP('Données projet'!$B$28,Paramètres!$A$1:$I$89,3,0)*0.475*44/12</f>
        <v>#N/A</v>
      </c>
      <c r="PL85" s="22" t="e">
        <f t="shared" si="179"/>
        <v>#N/A</v>
      </c>
    </row>
    <row r="86" spans="1:428" x14ac:dyDescent="0.35">
      <c r="A86" s="10">
        <f t="shared" si="180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181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121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projet'!$A$45:$I$65,2,0)</f>
        <v>#N/A</v>
      </c>
      <c r="L86" s="12" t="e">
        <f>VLOOKUP(A86,'Données projet'!$A$45:$I$65,9,0)</f>
        <v>#N/A</v>
      </c>
      <c r="M86" s="12">
        <f t="array" ref="M86">INDEX(L:L,MIN(IF(ISNUMBER(L86:L282),ROW(L86:L282),"")))</f>
        <v>0</v>
      </c>
      <c r="N86" s="13">
        <f>IF('Données projet'!$A$46&gt;35,N85+M86-V85,IF(A86&lt;'Données projet'!$A$46,$K$205^A86,IF(A86='Données projet'!$A$46,'Données projet'!$B$46,N85+M86-V85)))</f>
        <v>-1.1368683772161603E-13</v>
      </c>
      <c r="O86" s="13">
        <f>N86*VLOOKUP('Données projet'!$B$9,Paramètres!$A$1:$I$89,3,0)*VLOOKUP('Données projet'!$B$9,Paramètres!$A$1:$I$89,5,0)</f>
        <v>-6.3550942286383367E-14</v>
      </c>
      <c r="P86" s="13" t="e">
        <f t="shared" si="182"/>
        <v>#NUM!</v>
      </c>
      <c r="Q86" s="20" t="e">
        <f t="shared" si="119"/>
        <v>#NUM!</v>
      </c>
      <c r="R86" s="59" t="e">
        <f t="shared" si="120"/>
        <v>#NUM!</v>
      </c>
      <c r="S86" s="59">
        <f ca="1">AVERAGE(OFFSET($R$3,0,0,'Données projet'!$E$9+1,1))-AVERAGE(OFFSET($H$3,0,0,'Données projet'!$E$9+1,1))</f>
        <v>274.57619581652199</v>
      </c>
      <c r="T86" s="59">
        <f t="shared" si="183"/>
        <v>366.15117322598775</v>
      </c>
      <c r="U86" s="15">
        <f>IF(ISNA(VLOOKUP(A86,'Données projet'!$A$45:$I$65,3,0)),0,VLOOKUP(A86,'Données projet'!$A$45:$I$65,3,0))</f>
        <v>0</v>
      </c>
      <c r="V86" s="15">
        <f>IF(ISNA(VLOOKUP(A86,'Données projet'!$A$45:$I$65,4,0)),0,VLOOKUP(A86,'Données projet'!$A$45:$I$65,4,0))</f>
        <v>0</v>
      </c>
      <c r="W86" s="16">
        <f>IF(ISNA(VLOOKUP(A86,'Données projet'!$A$45:$I$65,5,0)),0%,VLOOKUP(A86,'Données projet'!$A$45:$I$65,5,0)*VLOOKUP('Données projet'!$B$9,Paramètres!$A$1:$I$89,7,0))</f>
        <v>0</v>
      </c>
      <c r="X86" s="16">
        <f>IF(ISNA(VLOOKUP(A86,'Données projet'!$A$45:$I$65,6,0)),0%,VLOOKUP(A86,'Données projet'!$A$45:$I$65,6,0)*VLOOKUP('Données projet'!$B$9,Paramètres!$A$1:$I$89,7,0))</f>
        <v>0</v>
      </c>
      <c r="Y86" s="16">
        <f>IF(ISNA(VLOOKUP(A86,'Données projet'!$A$45:$I$65,7,0)),0%,VLOOKUP(A86,'Données projet'!$A$45:$I$65,7,0))</f>
        <v>0</v>
      </c>
      <c r="Z86" s="21">
        <f>EXP(-LN(2)/35)*Z85+(1-EXP(-LN(2)/35))/(LN(2)/35)*V86*W86*VLOOKUP('Données projet'!$B$9,Paramètres!$A$1:$I$89,3,0)*0.475*44/12</f>
        <v>130.18030859941337</v>
      </c>
      <c r="AA86" s="21">
        <f>EXP(-LN(2)/25)*AA85+(1-EXP(-LN(2)/25))/(LN(2)/25)*Calculateur!V86*Calculateur!X86*VLOOKUP('Données projet'!$B$9,Paramètres!$A$1:$I$89,3,0)*0.475*44/12</f>
        <v>26.50493803720158</v>
      </c>
      <c r="AB86" s="21">
        <f>EXP(-LN(2)/2)*AB85+(1-EXP(-LN(2)/2))/(LN(2)/2)*V86*Y86*VLOOKUP('Données projet'!$B$9,Paramètres!$A$1:$I$89,3,0)*0.475*44/12</f>
        <v>2.0850405275947555E-3</v>
      </c>
      <c r="AC86" s="22">
        <f t="shared" si="122"/>
        <v>156.68733167714254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projet'!$A$71:$I$91,2,0)</f>
        <v>#N/A</v>
      </c>
      <c r="AG86" s="12" t="e">
        <f>VLOOKUP(A86,'Données projet'!$A$71:$I$91,9,0)</f>
        <v>#N/A</v>
      </c>
      <c r="AH86" s="12">
        <f t="array" ref="AH86">INDEX(AG:AG,MIN(IF(ISNUMBER(AG86:AG282),ROW(AG86:AG282),"")))</f>
        <v>7.4950142450142421</v>
      </c>
      <c r="AI86" s="13">
        <f>IF('Données projet'!$A$72&gt;35,AI85+AH86-AQ85,IF(A86&lt;'Données projet'!$A$72,$AF$205^A86,IF(A86='Données projet'!$A$72,'Données projet'!$B$72,AI85+AH86-AQ85)))</f>
        <v>250.88888888888908</v>
      </c>
      <c r="AJ86" s="13">
        <f>AI86*VLOOKUP('Données projet'!$B$10,Paramètres!$A$1:$I$89,3,0)*VLOOKUP('Données projet'!$B$10,Paramètres!$A$1:$I$89,5,0)</f>
        <v>227.00426666666684</v>
      </c>
      <c r="AK86" s="13">
        <f t="shared" si="184"/>
        <v>55.634440522110118</v>
      </c>
      <c r="AL86" s="20">
        <f t="shared" si="123"/>
        <v>492.26241502045315</v>
      </c>
      <c r="AM86" s="59">
        <f t="shared" si="124"/>
        <v>785.59574835378646</v>
      </c>
      <c r="AN86" s="59">
        <f ca="1">AVERAGE(OFFSET($AM$3,0,0,'Données projet'!$E$10+1,1))-AVERAGE(OFFSET($H$3,0,0,'Données projet'!$E$10+1,1))</f>
        <v>270.87836509222456</v>
      </c>
      <c r="AO86" s="59">
        <f t="shared" si="185"/>
        <v>205.24998237949734</v>
      </c>
      <c r="AP86" s="15">
        <f>IF(ISNA(VLOOKUP(A86,'Données projet'!$A$71:$I$91,3,0)),0,VLOOKUP(A86,'Données projet'!$A$71:$I$91,3,0))</f>
        <v>0</v>
      </c>
      <c r="AQ86" s="15">
        <f>IF(ISNA(VLOOKUP(A86,'Données projet'!$A$71:$I$91,4,0)),0,VLOOKUP(A86,'Données projet'!$A$71:$I$91,4,0))</f>
        <v>0</v>
      </c>
      <c r="AR86" s="16">
        <f>IF(ISNA(VLOOKUP(A86,'Données projet'!$A$71:$I$91,5,0)),0%,VLOOKUP(A86,'Données projet'!$A$71:$I$91,5,0)*VLOOKUP('Données projet'!$B$10,Paramètres!$A$1:$I$89,7,0))</f>
        <v>0</v>
      </c>
      <c r="AS86" s="16">
        <f>IF(ISNA(VLOOKUP(A86,'Données projet'!$A$71:$I$91,6,0)),0%,VLOOKUP(A86,'Données projet'!$A$71:$I$91,6,0)*VLOOKUP('Données projet'!$B$10,Paramètres!$A$1:$I$89,7,0))</f>
        <v>0</v>
      </c>
      <c r="AT86" s="16">
        <f>IF(ISNA(VLOOKUP(A86,'Données projet'!$A$71:$I$91,7,0)),0%,VLOOKUP(A86,'Données projet'!$A$71:$I$91,7,0))</f>
        <v>0</v>
      </c>
      <c r="AU86" s="21">
        <f>EXP(-LN(2)/35)*AU85+(1-EXP(-LN(2)/35))/(LN(2)/35)*AQ86*AR86*VLOOKUP('Données projet'!$B$10,Paramètres!$A$1:$I$89,3,0)*0.475*44/12</f>
        <v>30.873176838519029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125"/>
        <v>30.873176838519029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projet'!$A$97:$I$117,2,0)</f>
        <v>#N/A</v>
      </c>
      <c r="BB86" s="12" t="e">
        <f>VLOOKUP(A86,'Données projet'!$A$97:$I$117,9,0)</f>
        <v>#N/A</v>
      </c>
      <c r="BC86" s="12">
        <f t="array" ref="BC86">INDEX(BB:BB,MIN(IF(ISNUMBER(BB86:BB282),ROW(BB86:BB282),"")))</f>
        <v>0</v>
      </c>
      <c r="BD86" s="12">
        <f>IF('Données projet'!$A$98&gt;35,BD85+BC86-BL85,IF(A86&lt;'Données projet'!$A$98,$BA$205^A86,IF(A86='Données projet'!$A$98,'Données projet'!$B$98,BD85+BC86-BL85)))</f>
        <v>-1.1368683772161603E-13</v>
      </c>
      <c r="BE86" s="13">
        <f>BD86*VLOOKUP('Données projet'!$B$11,Paramètres!$A$1:$I$89,3,0)*VLOOKUP('Données projet'!$B$11,Paramètres!$A$1:$I$89,5,0)</f>
        <v>-5.0249582272954292E-14</v>
      </c>
      <c r="BF86" s="13" t="e">
        <f t="shared" si="186"/>
        <v>#NUM!</v>
      </c>
      <c r="BG86" s="20" t="e">
        <f t="shared" si="126"/>
        <v>#NUM!</v>
      </c>
      <c r="BH86" s="59" t="e">
        <f t="shared" si="127"/>
        <v>#NUM!</v>
      </c>
      <c r="BI86" s="59">
        <f ca="1">AVERAGE(OFFSET($BH$3,0,0,'Données projet'!$E$11+1,1))-AVERAGE(OFFSET($H$3,0,0,'Données projet'!$E$11+1,1))</f>
        <v>211.31057120485542</v>
      </c>
      <c r="BJ86" s="59">
        <f t="shared" si="187"/>
        <v>283.33292006714777</v>
      </c>
      <c r="BK86" s="15">
        <f>IF(ISNA(VLOOKUP(A86,'Données projet'!$A$97:$I$117,3,0)),0,VLOOKUP(A86,'Données projet'!$A$97:$I$117,3,0))</f>
        <v>0</v>
      </c>
      <c r="BL86" s="15">
        <f>IF(ISNA(VLOOKUP(A86,'Données projet'!$A$97:$I$117,4,0)),0,VLOOKUP(A86,'Données projet'!$A$97:$I$117,4,0))</f>
        <v>0</v>
      </c>
      <c r="BM86" s="16">
        <f>IF(ISNA(VLOOKUP(A86,'Données projet'!$A$97:$I$117,5,0)),0%,VLOOKUP(A86,'Données projet'!$A$97:$I$117,5,0)*VLOOKUP('Données projet'!$B$11,Paramètres!$A$1:$I$89,7,0))</f>
        <v>0</v>
      </c>
      <c r="BN86" s="16">
        <f>IF(ISNA(VLOOKUP(A86,'Données projet'!$A$97:$I$117,6,0)),0%,VLOOKUP(A86,'Données projet'!$A$97:$I$117,6,0)*VLOOKUP('Données projet'!$B$11,Paramètres!$A$1:$I$89,7,0))</f>
        <v>0</v>
      </c>
      <c r="BO86" s="16">
        <f>IF(ISNA(VLOOKUP(A86,'Données projet'!$A$97:$I$117,7,0)),0%,VLOOKUP(A86,'Données projet'!$A$97:$I$117,7,0))</f>
        <v>0</v>
      </c>
      <c r="BP86" s="21">
        <f>EXP(-LN(2)/35)*BP85+(1-EXP(-LN(2)/35))/(LN(2)/35)*BL86*BM86*VLOOKUP('Données projet'!$B$11,Paramètres!$A$1:$I$89,3,0)*0.475*44/12</f>
        <v>102.93326726465244</v>
      </c>
      <c r="BQ86" s="21">
        <f>EXP(-LN(2)/25)*BQ85+(1-EXP(-LN(2)/25))/(LN(2)/25)*Calculateur!BL86*Calculateur!BN86*VLOOKUP('Données projet'!$B$11,Paramètres!$A$1:$I$89,3,0)*0.475*44/12</f>
        <v>20.957392866624502</v>
      </c>
      <c r="BR86" s="21">
        <f>EXP(-LN(2)/2)*BR85+(1-EXP(-LN(2)/2))/(LN(2)/2)*BL86*BO86*VLOOKUP('Données projet'!$B$11,Paramètres!$A$1:$I$89,3,0)*0.475*44/12</f>
        <v>1.6486366962377133E-3</v>
      </c>
      <c r="BS86" s="22">
        <f t="shared" si="128"/>
        <v>123.89230876797318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projet'!$A$123:$I$143,2,0)</f>
        <v>#N/A</v>
      </c>
      <c r="BW86" s="12" t="e">
        <f>VLOOKUP(A86,'Données projet'!$A$123:$I$143,9,0)</f>
        <v>#N/A</v>
      </c>
      <c r="BX86" s="12">
        <f t="array" ref="BX86">INDEX(BW:BW,MIN(IF(ISNUMBER(BW86:BW282),ROW(BW86:BW282),"")))</f>
        <v>3.6</v>
      </c>
      <c r="BY86" s="12">
        <f>IF('Données projet'!$A$124&gt;35,BY85+BX86-CG85,IF(A86&lt;'Données projet'!$A$124,$BV$205^A86,IF(A86='Données projet'!$A$124,'Données projet'!$B$124,BY85+BX86-CG85)))</f>
        <v>240.8</v>
      </c>
      <c r="BZ86" s="13">
        <f>BY86*VLOOKUP('Données projet'!$B$12,Paramètres!$A$1:$I$89,3,0)*VLOOKUP('Données projet'!$B$12,Paramètres!$A$1:$I$89,5,0)</f>
        <v>251.68416000000002</v>
      </c>
      <c r="CA86" s="13">
        <f t="shared" si="188"/>
        <v>60.946437325817293</v>
      </c>
      <c r="CB86" s="20">
        <f t="shared" si="129"/>
        <v>544.49829034246511</v>
      </c>
      <c r="CC86" s="59">
        <f t="shared" si="130"/>
        <v>837.83162367579848</v>
      </c>
      <c r="CD86" s="59">
        <f ca="1">AVERAGE(OFFSET($CC$3,0,0,'Données projet'!$E$12+1,1))-AVERAGE(OFFSET($H$3,0,0,'Données projet'!$E$12+1,1))</f>
        <v>322.93502595881938</v>
      </c>
      <c r="CE86" s="59">
        <f t="shared" si="189"/>
        <v>302.67072119588164</v>
      </c>
      <c r="CF86" s="15">
        <f>IF(ISNA(VLOOKUP(A86,'Données projet'!$A$123:$I$143,3,0)),0,VLOOKUP(A86,'Données projet'!$A$123:$I$143,3,0))</f>
        <v>0</v>
      </c>
      <c r="CG86" s="15">
        <f>IF(ISNA(VLOOKUP(A86,'Données projet'!$A$123:$I$143,4,0)),0,VLOOKUP(A86,'Données projet'!$A$123:$I$143,4,0))</f>
        <v>0</v>
      </c>
      <c r="CH86" s="16">
        <f>IF(ISNA(VLOOKUP(A86,'Données projet'!$A$123:$I$143,5,0)),0%,VLOOKUP(A86,'Données projet'!$A$123:$I$143,5,0)*VLOOKUP('Données projet'!$B$12,Paramètres!$A$1:$I$89,7,0))</f>
        <v>0</v>
      </c>
      <c r="CI86" s="16">
        <f>IF(ISNA(VLOOKUP(A86,'Données projet'!$A$123:$I$143,6,0)),0%,VLOOKUP(A86,'Données projet'!$A$123:$I$143,6,0)*VLOOKUP('Données projet'!$B$12,Paramètres!$A$1:$I$89,7,0))</f>
        <v>0</v>
      </c>
      <c r="CJ86" s="16">
        <f>IF(ISNA(VLOOKUP(A86,'Données projet'!$A$123:$I$143,7,0)),0%,VLOOKUP(A86,'Données projet'!$A$123:$I$143,7,0))</f>
        <v>0</v>
      </c>
      <c r="CK86" s="21">
        <f>EXP(-LN(2)/35)*CK85+(1-EXP(-LN(2)/35))/(LN(2)/35)*CG86*CH86*VLOOKUP('Données projet'!$B$12,Paramètres!$A$1:$I$89,3,0)*0.475*44/12</f>
        <v>26.068705375840089</v>
      </c>
      <c r="CL86" s="21">
        <f>EXP(-LN(2)/25)*CL85+(1-EXP(-LN(2)/25))/(LN(2)/25)*Calculateur!CG86*Calculateur!CI86*VLOOKUP('Données projet'!$B$12,Paramètres!$A$1:$I$89,3,0)*0.475*44/12</f>
        <v>20.62320937686416</v>
      </c>
      <c r="CM86" s="21">
        <f>EXP(-LN(2)/2)*CM85+(1-EXP(-LN(2)/2))/(LN(2)/2)*CG86*CJ86*VLOOKUP('Données projet'!$B$12,Paramètres!$A$1:$I$89,3,0)*0.475*44/12</f>
        <v>0</v>
      </c>
      <c r="CN86" s="22">
        <f t="shared" si="131"/>
        <v>46.69191475270425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projet'!$A$149:$I$169,2,0)</f>
        <v>#N/A</v>
      </c>
      <c r="CR86" s="12" t="e">
        <f>VLOOKUP(A86,'Données projet'!$A$149:$I$169,9,0)</f>
        <v>#N/A</v>
      </c>
      <c r="CS86" s="12">
        <f t="array" ref="CS86">INDEX(CR:CR,MIN(IF(ISNUMBER(CR86:CR282),ROW(CR86:CR282),"")))</f>
        <v>5.5042735042735051</v>
      </c>
      <c r="CT86" s="12">
        <f>IF('Données projet'!$A$150&gt;35,CT85+CS86-DB85,IF(A86&lt;'Données projet'!$A$150,$CQ$205^A86,IF(A86='Données projet'!$A$150,'Données projet'!$B$150,CT85+CS86-DB85)))</f>
        <v>194.50213675213666</v>
      </c>
      <c r="CU86" s="17">
        <f>CT86*VLOOKUP('Données projet'!$B$13,Paramètres!$A$1:$I$89,3,0)*VLOOKUP('Données projet'!$B$13,Paramètres!$A$1:$I$89,5,0)</f>
        <v>197.22516666666658</v>
      </c>
      <c r="CV86" s="13">
        <f t="shared" si="190"/>
        <v>49.133848364506264</v>
      </c>
      <c r="CW86" s="20">
        <f t="shared" si="132"/>
        <v>429.07528451262601</v>
      </c>
      <c r="CX86" s="59">
        <f t="shared" si="133"/>
        <v>722.40861784595927</v>
      </c>
      <c r="CY86" s="59">
        <f ca="1">AVERAGE(OFFSET($CX$3,0,0,'Données projet'!$E$13+1,1))-AVERAGE(OFFSET($H$3,0,0,'Données projet'!$E$13+1,1))</f>
        <v>250.31277422753283</v>
      </c>
      <c r="CZ86" s="59">
        <f t="shared" si="191"/>
        <v>159.20429420478047</v>
      </c>
      <c r="DA86" s="15">
        <f>IF(ISNA(VLOOKUP(A86,'Données projet'!$A$149:$I$169,3,0)),0,VLOOKUP(A86,'Données projet'!$A$149:$I$169,3,0))</f>
        <v>0</v>
      </c>
      <c r="DB86" s="15">
        <f>IF(ISNA(VLOOKUP(A86,'Données projet'!$A$149:$I$169,4,0)),0,VLOOKUP(A86,'Données projet'!$A$149:$I$169,4,0))</f>
        <v>0</v>
      </c>
      <c r="DC86" s="16">
        <f>IF(ISNA(VLOOKUP(A86,'Données projet'!$A$149:$I$169,5,0)),0%,VLOOKUP(A86,'Données projet'!$A$149:$I$169,5,0)*VLOOKUP('Données projet'!$B$13,Paramètres!$A$1:$I$89,7,0))</f>
        <v>0</v>
      </c>
      <c r="DD86" s="16">
        <f>IF(ISNA(VLOOKUP(A86,'Données projet'!$A$149:$I$169,6,0)),0%,VLOOKUP(A86,'Données projet'!$A$149:$I$169,6,0)*VLOOKUP('Données projet'!$B$13,Paramètres!$A$1:$I$89,7,0))</f>
        <v>0</v>
      </c>
      <c r="DE86" s="16">
        <f>IF(ISNA(VLOOKUP(A86,'Données projet'!$A$149:$I$169,7,0)),0%,VLOOKUP(A86,'Données projet'!$A$149:$I$169,7,0))</f>
        <v>0</v>
      </c>
      <c r="DF86" s="21">
        <f>EXP(-LN(2)/35)*DF85+(1-EXP(-LN(2)/35))/(LN(2)/35)*DB86*DC86*VLOOKUP('Données projet'!$B$13,Paramètres!$A$1:$I$89,3,0)*0.475*44/12</f>
        <v>8.9030203978693248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134"/>
        <v>8.9030203978693248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projet'!$A$175:$I$195,2,0)</f>
        <v>#N/A</v>
      </c>
      <c r="DM86" s="12" t="e">
        <f>VLOOKUP(A86,'Données projet'!$A$175:$I$195,9,0)</f>
        <v>#N/A</v>
      </c>
      <c r="DN86" s="12">
        <f t="array" ref="DN86">INDEX(DM:DM,MIN(IF(ISNUMBER(DM86:DM282),ROW(DM86:DM282),"")))</f>
        <v>0</v>
      </c>
      <c r="DO86" s="12">
        <f>IF('Données projet'!$A$176&gt;35,DO85+DN86-DW85,IF(A86&lt;'Données projet'!$A$176,$DL$205^A86,IF(A86='Données projet'!$A$176,'Données projet'!$B$176,DO85+DN86-DW85)))</f>
        <v>-2.8421709430404007E-13</v>
      </c>
      <c r="DP86" s="17">
        <f>DO86*VLOOKUP('Données projet'!$B$14,Paramètres!$A$1:$I$89,3,0)*VLOOKUP('Données projet'!$B$14,Paramètres!$A$1:$I$89,5,0)</f>
        <v>-2.0838797354372215E-13</v>
      </c>
      <c r="DQ86" s="13" t="e">
        <f t="shared" si="192"/>
        <v>#NUM!</v>
      </c>
      <c r="DR86" s="20" t="e">
        <f t="shared" si="135"/>
        <v>#NUM!</v>
      </c>
      <c r="DS86" s="59" t="e">
        <f t="shared" si="136"/>
        <v>#NUM!</v>
      </c>
      <c r="DT86" s="59">
        <f ca="1">AVERAGE(OFFSET($DS$3,0,0,'Données projet'!$E$14+1,1))-AVERAGE(OFFSET($H$3,0,0,'Données projet'!$E$14+1,1))</f>
        <v>296.91321813251051</v>
      </c>
      <c r="DU86" s="59">
        <f t="shared" si="193"/>
        <v>291.0718079639509</v>
      </c>
      <c r="DV86" s="15">
        <f>IF(ISNA(VLOOKUP(A86,'Données projet'!$A$175:$I$195,3,0)),0,VLOOKUP(A86,'Données projet'!$A$175:$I$195,3,0))</f>
        <v>0</v>
      </c>
      <c r="DW86" s="15">
        <f>IF(ISNA(VLOOKUP(A86,'Données projet'!$A$175:$I$195,4,0)),0,VLOOKUP(A86,'Données projet'!$A$175:$I$195,4,0))</f>
        <v>0</v>
      </c>
      <c r="DX86" s="16">
        <f>IF(ISNA(VLOOKUP(A86,'Données projet'!$A$175:$I$195,5,0)),0%,VLOOKUP(A86,'Données projet'!$A$175:$I$195,5,0)*VLOOKUP('Données projet'!$B$14,Paramètres!$A$1:$I$89,7,0))</f>
        <v>0</v>
      </c>
      <c r="DY86" s="16">
        <f>IF(ISNA(VLOOKUP(A86,'Données projet'!$A$175:$I$195,6,0)),0%,VLOOKUP(A86,'Données projet'!$A$175:$I$195,6,0)*VLOOKUP('Données projet'!$B$14,Paramètres!$A$1:$I$89,7,0))</f>
        <v>0</v>
      </c>
      <c r="DZ86" s="16">
        <f>IF(ISNA(VLOOKUP(A86,'Données projet'!$A$175:$I$195,7,0)),0%,VLOOKUP(A86,'Données projet'!$A$175:$I$195,7,0))</f>
        <v>0</v>
      </c>
      <c r="EA86" s="21">
        <f>EXP(-LN(2)/35)*EA85+(1-EXP(-LN(2)/35))/(LN(2)/35)*DW86*DX86*VLOOKUP('Données projet'!$B$14,Paramètres!$A$1:$I$89,3,0)*0.475*44/12</f>
        <v>163.45292398853934</v>
      </c>
      <c r="EB86" s="21">
        <f>EXP(-LN(2)/25)*EB85+(1-EXP(-LN(2)/25))/(LN(2)/25)*Calculateur!DW86*Calculateur!DY86*VLOOKUP('Données projet'!$B$14,Paramètres!$A$1:$I$89,3,0)*0.475*44/12</f>
        <v>4.9274885662240919</v>
      </c>
      <c r="EC86" s="21">
        <f>EXP(-LN(2)/2)*EC85+(1-EXP(-LN(2)/2))/(LN(2)/2)*DW86*DZ86*VLOOKUP('Données projet'!$B$14,Paramètres!$A$1:$I$89,3,0)*0.475*44/12</f>
        <v>0</v>
      </c>
      <c r="ED86" s="22">
        <f t="shared" si="137"/>
        <v>168.38041255476344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projet'!$A$201:$I$221,2,0)</f>
        <v>#N/A</v>
      </c>
      <c r="EH86" s="12" t="e">
        <f>VLOOKUP(A86,'Données projet'!$A$201:$I$221,9,0)</f>
        <v>#N/A</v>
      </c>
      <c r="EI86" s="12">
        <f t="array" ref="EI86">INDEX(EH:EH,MIN(IF(ISNUMBER(EH86:EH282),ROW(EH86:EH282),"")))</f>
        <v>9.001923076923072</v>
      </c>
      <c r="EJ86" s="12">
        <f>IF('Données projet'!$A$202&gt;35,EJ85+EI86-ER85,IF(A86&lt;'Données projet'!$A$202,$EG$205^A86,IF(A86='Données projet'!$A$202,'Données projet'!$B$202,EJ85+EI86-ER85)))</f>
        <v>347.13076923076949</v>
      </c>
      <c r="EK86" s="17">
        <f>EJ86*VLOOKUP('Données projet'!$B$15,Paramètres!$A$1:$I$89,3,0)*VLOOKUP('Données projet'!$B$15,Paramètres!$A$1:$I$89,5,0)</f>
        <v>162.45720000000011</v>
      </c>
      <c r="EL86" s="13">
        <f t="shared" si="194"/>
        <v>41.396251160974799</v>
      </c>
      <c r="EM86" s="20">
        <f t="shared" si="138"/>
        <v>355.04476077203134</v>
      </c>
      <c r="EN86" s="59">
        <f t="shared" si="139"/>
        <v>648.37809410536465</v>
      </c>
      <c r="EO86" s="59">
        <f ca="1">AVERAGE(OFFSET($EN$3,0,0,'Données projet'!$E$15+1,1))-AVERAGE(OFFSET($H$3,0,0,'Données projet'!$E$15+1,1))</f>
        <v>147.64256291235483</v>
      </c>
      <c r="EP86" s="59">
        <f t="shared" si="195"/>
        <v>70.859031694091868</v>
      </c>
      <c r="EQ86" s="15">
        <f>IF(ISNA(VLOOKUP(A86,'Données projet'!$A$201:$I$221,3,0)),0,VLOOKUP(A86,'Données projet'!$A$201:$I$221,3,0))</f>
        <v>0</v>
      </c>
      <c r="ER86" s="15">
        <f>IF(ISNA(VLOOKUP(A86,'Données projet'!$A$201:$I$221,4,0)),0,VLOOKUP(A86,'Données projet'!$A$201:$I$221,4,0))</f>
        <v>0</v>
      </c>
      <c r="ES86" s="16">
        <f>IF(ISNA(VLOOKUP(A86,'Données projet'!$A$201:$I$221,5,0)),0%,VLOOKUP(A86,'Données projet'!$A$201:$I$221,5,0)*VLOOKUP('Données projet'!$B$15,Paramètres!$A$1:$I$89,7,0))</f>
        <v>0</v>
      </c>
      <c r="ET86" s="16">
        <f>IF(ISNA(VLOOKUP(A86,'Données projet'!$A$201:$I$221,6,0)),0%,VLOOKUP(A86,'Données projet'!$A$201:$I$221,6,0)*VLOOKUP('Données projet'!$B$15,Paramètres!$A$1:$I$89,7,0))</f>
        <v>0</v>
      </c>
      <c r="EU86" s="16">
        <f>IF(ISNA(VLOOKUP(A86,'Données projet'!$A$201:$I$221,7,0)),0%,VLOOKUP(A86,'Données projet'!$A$201:$I$221,7,0))</f>
        <v>0</v>
      </c>
      <c r="EV86" s="21">
        <f>EXP(-LN(2)/35)*EV85+(1-EXP(-LN(2)/35))/(LN(2)/35)*ER86*ES86*VLOOKUP('Données projet'!$B$15,Paramètres!$A$1:$I$89,3,0)*0.475*44/12</f>
        <v>34.798949881304281</v>
      </c>
      <c r="EW86" s="21">
        <f>EXP(-LN(2)/25)*EW85+(1-EXP(-LN(2)/25))/(LN(2)/25)*Calculateur!ER86*Calculateur!ET86*VLOOKUP('Données projet'!$B$15,Paramètres!$A$1:$I$89,3,0)*0.475*44/12</f>
        <v>15.321623238998066</v>
      </c>
      <c r="EX86" s="21">
        <f>EXP(-LN(2)/2)*EX85+(1-EXP(-LN(2)/2))/(LN(2)/2)*ER86*EU86*VLOOKUP('Données projet'!$B$15,Paramètres!$A$1:$I$89,3,0)*0.475*44/12</f>
        <v>0.38090176028884137</v>
      </c>
      <c r="EY86" s="22">
        <f t="shared" si="140"/>
        <v>50.501474880591189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projet'!$A$227:$I$247,2,0)</f>
        <v>#N/A</v>
      </c>
      <c r="FC86" s="12" t="e">
        <f>VLOOKUP(A86,'Données projet'!$A$227:$I$247,9,0)</f>
        <v>#N/A</v>
      </c>
      <c r="FD86" s="12">
        <f t="array" ref="FD86">INDEX(FC:FC,MIN(IF(ISNUMBER(FC86:FC282),ROW(FC86:FC282),"")))</f>
        <v>2.8</v>
      </c>
      <c r="FE86" s="12">
        <f>IF('Données projet'!$A$228&gt;35,FE85+FD86-FM85,IF(A86&lt;'Données projet'!$A$228,$FB$205^A86,IF(A86='Données projet'!$A$228,'Données projet'!$B$228,FE85+FD86-FM85)))</f>
        <v>205.39999999999995</v>
      </c>
      <c r="FF86" s="17">
        <f>FE86*VLOOKUP('Données projet'!$B$16,Paramètres!$A$1:$I$89,3,0)*VLOOKUP('Données projet'!$B$16,Paramètres!$A$1:$I$89,5,0)</f>
        <v>214.68407999999997</v>
      </c>
      <c r="FG86" s="13">
        <f t="shared" si="196"/>
        <v>52.957857147167992</v>
      </c>
      <c r="FH86" s="20">
        <f t="shared" si="141"/>
        <v>466.14304053131747</v>
      </c>
      <c r="FI86" s="59">
        <f t="shared" si="142"/>
        <v>759.47637386465078</v>
      </c>
      <c r="FJ86" s="59">
        <f ca="1">AVERAGE(OFFSET($FI$3,0,0,'Données projet'!$E$16+1,1))-AVERAGE(OFFSET($H$3,0,0,'Données projet'!$E$16+1,1))</f>
        <v>259.03906550253788</v>
      </c>
      <c r="FK86" s="59">
        <f t="shared" si="197"/>
        <v>235.54542903570831</v>
      </c>
      <c r="FL86" s="15">
        <f>IF(ISNA(VLOOKUP(A86,'Données projet'!$A$227:$I$247,3,0)),0,VLOOKUP(A86,'Données projet'!$A$227:$I$247,3,0))</f>
        <v>0</v>
      </c>
      <c r="FM86" s="15">
        <f>IF(ISNA(VLOOKUP(A86,'Données projet'!$A$227:$I$247,4,0)),0,VLOOKUP(A86,'Données projet'!$A$227:$I$247,4,0))</f>
        <v>0</v>
      </c>
      <c r="FN86" s="16">
        <f>IF(ISNA(VLOOKUP(A86,'Données projet'!$A$227:$I$247,5,0)),0%,VLOOKUP(A86,'Données projet'!$A$227:$I$247,5,0)*VLOOKUP('Données projet'!$B$16,Paramètres!$A$1:$I$89,7,0))</f>
        <v>0</v>
      </c>
      <c r="FO86" s="16">
        <f>IF(ISNA(VLOOKUP(A86,'Données projet'!$A$227:$I$247,6,0)),0%,VLOOKUP(A86,'Données projet'!$A$227:$I$247,6,0)*VLOOKUP('Données projet'!$B$16,Paramètres!$A$1:$I$89,7,0))</f>
        <v>0</v>
      </c>
      <c r="FP86" s="16">
        <f>IF(ISNA(VLOOKUP(A86,'Données projet'!$A$227:$I$247,7,0)),0%,VLOOKUP(A86,'Données projet'!$A$227:$I$247,7,0))</f>
        <v>0</v>
      </c>
      <c r="FQ86" s="21">
        <f>EXP(-LN(2)/35)*FQ85+(1-EXP(-LN(2)/35))/(LN(2)/35)*FM86*FN86*VLOOKUP('Données projet'!$B$16,Paramètres!$A$1:$I$89,3,0)*0.475*44/12</f>
        <v>12.290115277273621</v>
      </c>
      <c r="FR86" s="21">
        <f>EXP(-LN(2)/25)*FR85+(1-EXP(-LN(2)/25))/(LN(2)/25)*Calculateur!FM86*Calculateur!FO86*VLOOKUP('Données projet'!$B$16,Paramètres!$A$1:$I$89,3,0)*0.475*44/12</f>
        <v>15.789575437598883</v>
      </c>
      <c r="FS86" s="21">
        <f>EXP(-LN(2)/2)*FS85+(1-EXP(-LN(2)/2))/(LN(2)/2)*FM86*FP86*VLOOKUP('Données projet'!$B$16,Paramètres!$A$1:$I$89,3,0)*0.475*44/12</f>
        <v>0</v>
      </c>
      <c r="FT86" s="22">
        <f t="shared" si="143"/>
        <v>28.079690714872505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projet'!$A$253:$I$273,2,0)</f>
        <v>#N/A</v>
      </c>
      <c r="FX86" s="12" t="e">
        <f>VLOOKUP(A86,'Données projet'!$A$253:$I$273,9,0)</f>
        <v>#N/A</v>
      </c>
      <c r="FY86" s="12">
        <f t="array" ref="FY86">INDEX(FX:FX,MIN(IF(ISNUMBER(FX86:FX282),ROW(FX86:FX282),"")))</f>
        <v>0</v>
      </c>
      <c r="FZ86" s="12">
        <f>IF('Données projet'!$A$254&gt;35,FZ85+FY86-GH85,IF(A86&lt;'Données projet'!$A$254,$FW$205^A86,IF(A86='Données projet'!$A$254,'Données projet'!$B$254,FZ85+FY86-GH85)))</f>
        <v>-1.7053025658242404E-13</v>
      </c>
      <c r="GA86" s="17">
        <f>FZ86*VLOOKUP('Données projet'!$B$17,Paramètres!$A$1:$I$89,3,0)*VLOOKUP('Données projet'!$B$17,Paramètres!$A$1:$I$89,5,0)</f>
        <v>-1.4897523215040567E-13</v>
      </c>
      <c r="GB86" s="13" t="e">
        <f t="shared" si="198"/>
        <v>#NUM!</v>
      </c>
      <c r="GC86" s="20" t="e">
        <f t="shared" si="144"/>
        <v>#NUM!</v>
      </c>
      <c r="GD86" s="59" t="e">
        <f t="shared" si="145"/>
        <v>#NUM!</v>
      </c>
      <c r="GE86" s="59">
        <f ca="1">AVERAGE(OFFSET($GD$3,0,0,'Données projet'!$E$17+1,1))-AVERAGE(OFFSET($H$3,0,0,'Données projet'!$E$17+1,1))</f>
        <v>245.1983232777614</v>
      </c>
      <c r="GF86" s="59">
        <f t="shared" si="199"/>
        <v>242.34010522344573</v>
      </c>
      <c r="GG86" s="15">
        <f>IF(ISNA(VLOOKUP(A86,'Données projet'!$A$253:$I$273,3,0)),0,VLOOKUP(A86,'Données projet'!$A$253:$I$273,3,0))</f>
        <v>0</v>
      </c>
      <c r="GH86" s="15">
        <f>IF(ISNA(VLOOKUP(A86,'Données projet'!$A$253:$I$273,4,0)),0,VLOOKUP(A86,'Données projet'!$A$253:$I$273,4,0))</f>
        <v>0</v>
      </c>
      <c r="GI86" s="16">
        <f>IF(ISNA(VLOOKUP(A86,'Données projet'!$A$253:$I$273,5,0)),0%,VLOOKUP(A86,'Données projet'!$A$253:$I$273,5,0)*VLOOKUP('Données projet'!$B$17,Paramètres!$A$1:$I$89,7,0))</f>
        <v>0</v>
      </c>
      <c r="GJ86" s="16">
        <f>IF(ISNA(VLOOKUP(A86,'Données projet'!$A$253:$I$273,6,0)),0%,VLOOKUP(A86,'Données projet'!$A$253:$I$273,6,0)*VLOOKUP('Données projet'!$B$17,Paramètres!$A$1:$I$89,7,0))</f>
        <v>0</v>
      </c>
      <c r="GK86" s="16">
        <f>IF(ISNA(VLOOKUP(A86,'Données projet'!$A$253:$I$273,7,0)),0%,VLOOKUP(A86,'Données projet'!$A$253:$I$273,7,0))</f>
        <v>0</v>
      </c>
      <c r="GL86" s="21">
        <f>EXP(-LN(2)/35)*GL85+(1-EXP(-LN(2)/35))/(LN(2)/35)*GH86*GI86*VLOOKUP('Données projet'!$B$17,Paramètres!$A$1:$I$89,3,0)*0.475*44/12</f>
        <v>116.11278766343045</v>
      </c>
      <c r="GM86" s="21">
        <f>EXP(-LN(2)/25)*GM85+(1-EXP(-LN(2)/25))/(LN(2)/25)*Calculateur!GH86*Calculateur!GJ86*VLOOKUP('Données projet'!$B$17,Paramètres!$A$1:$I$89,3,0)*0.475*44/12</f>
        <v>20.03902633842668</v>
      </c>
      <c r="GN86" s="21">
        <f>EXP(-LN(2)/2)*GN85+(1-EXP(-LN(2)/2))/(LN(2)/2)*GH86*GK86*VLOOKUP('Données projet'!$B$17,Paramètres!$A$1:$I$89,3,0)*0.475*44/12</f>
        <v>0</v>
      </c>
      <c r="GO86" s="21">
        <f t="shared" si="146"/>
        <v>136.15181400185713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projet'!$A$279:$I$299,2,0)</f>
        <v>#N/A</v>
      </c>
      <c r="GS86" s="12" t="e">
        <f>VLOOKUP(A86,'Données projet'!$A$279:$I$299,9,0)</f>
        <v>#N/A</v>
      </c>
      <c r="GT86" s="12">
        <f t="array" ref="GT86">INDEX(GS:GS,MIN(IF(ISNUMBER(GS86:GS282),ROW(GS86:GS282),"")))</f>
        <v>0</v>
      </c>
      <c r="GU86" s="12">
        <f>IF('Données projet'!$A$280&gt;35,GU85+GT86-HC85,IF(A86&lt;'Données projet'!$A$280,$GR$205^A86,IF(A86='Données projet'!$A$280,'Données projet'!$B$280,GU85+GT86-HC85)))</f>
        <v>-1.1368683772161603E-13</v>
      </c>
      <c r="GV86" s="17">
        <f>GU86*VLOOKUP('Données projet'!$B$18,Paramètres!$A$1:$I$89,3,0)*VLOOKUP('Données projet'!$B$18,Paramètres!$A$1:$I$89,5,0)</f>
        <v>-4.5815795601811263E-14</v>
      </c>
      <c r="GW86" s="13" t="e">
        <f t="shared" si="200"/>
        <v>#NUM!</v>
      </c>
      <c r="GX86" s="20" t="e">
        <f t="shared" si="147"/>
        <v>#NUM!</v>
      </c>
      <c r="GY86" s="59" t="e">
        <f t="shared" si="148"/>
        <v>#NUM!</v>
      </c>
      <c r="GZ86" s="59">
        <f ca="1">AVERAGE(OFFSET($GY$3,0,0,'Données projet'!$E$18+1,1))-AVERAGE(OFFSET($H$3,0,0,'Données projet'!$E$18+1,1))</f>
        <v>324.36162935850876</v>
      </c>
      <c r="HA86" s="59">
        <f t="shared" si="201"/>
        <v>265.23571072429735</v>
      </c>
      <c r="HB86" s="15">
        <f>IF(ISNA(VLOOKUP(A86,'Données projet'!$A$279:$I$299,3,0)),0,VLOOKUP(A86,'Données projet'!$A$279:$I$299,3,0))</f>
        <v>0</v>
      </c>
      <c r="HC86" s="15">
        <f>IF(ISNA(VLOOKUP(A86,'Données projet'!$A$279:$I$299,4,0)),0,VLOOKUP(A86,'Données projet'!$A$279:$I$299,4,0))</f>
        <v>0</v>
      </c>
      <c r="HD86" s="16">
        <f>IF(ISNA(VLOOKUP(A86,'Données projet'!$A$279:$I$299,5,0)),0%,VLOOKUP(A86,'Données projet'!$A$279:$I$299,5,0)*VLOOKUP('Données projet'!$B$18,Paramètres!$A$1:$I$89,7,0))</f>
        <v>0</v>
      </c>
      <c r="HE86" s="16">
        <f>IF(ISNA(VLOOKUP(A86,'Données projet'!$A$279:$I$299,6,0)),0%,VLOOKUP(A86,'Données projet'!$A$279:$I$299,6,0)*VLOOKUP('Données projet'!$B$18,Paramètres!$A$1:$I$89,7,0))</f>
        <v>0</v>
      </c>
      <c r="HF86" s="16">
        <f>IF(ISNA(VLOOKUP($A86,'Données projet'!$A$279:$I$299,7,0)),0%,VLOOKUP($A86,'Données projet'!$A$279:$I$299,7,0))</f>
        <v>0</v>
      </c>
      <c r="HG86" s="21">
        <f>EXP(-LN(2)/35)*HG85+(1-EXP(-LN(2)/35))/(LN(2)/35)*HC86*HD86*VLOOKUP('Données projet'!$B$18,Paramètres!$A$1:$I$89,3,0)*0.475*44/12</f>
        <v>222.50245522992805</v>
      </c>
      <c r="HH86" s="21">
        <f>EXP(-LN(2)/25)*HH85+(1-EXP(-LN(2)/25))/(LN(2)/25)*Calculateur!HC86*Calculateur!HE86*VLOOKUP('Données projet'!$B$18,Paramètres!$A$1:$I$89,3,0)*0.475*44/12</f>
        <v>22.286981589908823</v>
      </c>
      <c r="HI86" s="21">
        <f>EXP(-LN(2)/2)*HI85+(1-EXP(-LN(2)/2))/(LN(2)/2)*HC86*HF86*VLOOKUP('Données projet'!$B$18,Paramètres!$A$1:$I$89,3,0)*0.475*44/12</f>
        <v>3.0218949728630231</v>
      </c>
      <c r="HJ86" s="22">
        <f t="shared" si="149"/>
        <v>247.81133179269989</v>
      </c>
      <c r="HK86" s="74">
        <f>('Scénario référence'!$F$8+'Scénario référence'!$F$9+'Scénario référence'!$B$17+'Scénario référence'!$B$9+'Scénario référence'!$B$10)*70+IF((45+25*(1-EXP(-0.0175*$A86)))&lt;70,'Scénario référence'!$B$16*(45+25*(1-EXP(-0.0175*$A86))),70*'Scénario référence'!$B$16)+IF((32+38*(1-EXP(-0.0175*$A86)))&lt;70,'Scénario référence'!$B$18*(32+38*(1-EXP(-0.0175*$A86))),70*'Scénario référence'!$B$18)</f>
        <v>70</v>
      </c>
      <c r="HL86" s="12">
        <f>IF($A86&gt;30,10,('Scénario référence'!$B$16+'Scénario référence'!$B$17+'Scénario référence'!$B$18+'Scénario référence'!$B$9+'Scénario référence'!$B$10)*$A86*10/30+('Scénario référence'!$F$8+'Scénario référence'!$F$9)*10)</f>
        <v>10</v>
      </c>
      <c r="HM86" s="12" t="e">
        <f>VLOOKUP($A86,'Données projet'!$A$304:$I$324,2,0)</f>
        <v>#N/A</v>
      </c>
      <c r="HN86" s="12" t="e">
        <f>VLOOKUP($A86,'Données projet'!$A$304:$I$324,9,0)</f>
        <v>#N/A</v>
      </c>
      <c r="HO86" s="12">
        <f t="array" ref="HO86">INDEX(HN:HN,MIN(IF(ISNUMBER(HN86:HN282),ROW(HN86:HN282),"")))</f>
        <v>0</v>
      </c>
      <c r="HP86" s="12">
        <f>IF('Données projet'!$A$304&gt;35,HP85+HO86-HX85,IF($A86&lt;'Données projet'!$A$304,$CQ$205^$A86,IF($A86='Données projet'!$A$304,'Données projet'!$B$304,HP85+HO86-HX85)))</f>
        <v>0</v>
      </c>
      <c r="HQ86" s="17">
        <f>HP86*VLOOKUP('Données projet'!$B$19,Paramètres!$A$1:$I$89,3,0)*VLOOKUP('Données projet'!$B$19,Paramètres!$A$1:$I$89,5,0)</f>
        <v>0</v>
      </c>
      <c r="HR86" s="13" t="e">
        <f t="shared" si="202"/>
        <v>#NUM!</v>
      </c>
      <c r="HS86" s="14" t="e">
        <f t="shared" si="150"/>
        <v>#NUM!</v>
      </c>
      <c r="HT86" s="59" t="e">
        <f t="shared" si="151"/>
        <v>#NUM!</v>
      </c>
      <c r="HU86" s="59">
        <f ca="1">AVERAGE(OFFSET(HT$3,0,0,'Données projet'!$E$19+1,1))-AVERAGE(OFFSET($H$3,0,0,'Données projet'!$E$19+1,1))</f>
        <v>91.60721429656013</v>
      </c>
      <c r="HV86" s="59">
        <f t="shared" si="203"/>
        <v>258.94957804210856</v>
      </c>
      <c r="HW86" s="15">
        <f>IF(ISNA(VLOOKUP($A86,'Données projet'!$A$304:$I$324,3,0)),0,VLOOKUP($A86,'Données projet'!$A$304:$I$324,3,0))</f>
        <v>0</v>
      </c>
      <c r="HX86" s="15">
        <f>IF(ISNA(VLOOKUP($A86,'Données projet'!$A$304:$I$324,4,0)),0,VLOOKUP($A86,'Données projet'!$A$304:$I$324,4,0))</f>
        <v>0</v>
      </c>
      <c r="HY86" s="16">
        <f>IF(ISNA(VLOOKUP($A86,'Données projet'!$A$304:$I$324,5,0)),0%,VLOOKUP($A86,'Données projet'!$A$304:$I$324,5,0)*VLOOKUP('Données projet'!$B$19,Paramètres!$A$1:$I$89,7,0))</f>
        <v>0</v>
      </c>
      <c r="HZ86" s="16">
        <f>IF(ISNA(VLOOKUP($A86,'Données projet'!$A$304:$I$324,6,0)),0%,VLOOKUP($A86,'Données projet'!$A$304:$I$324,6,0)*VLOOKUP('Données projet'!$B$19,Paramètres!$A$1:$I$89,7,0))</f>
        <v>0</v>
      </c>
      <c r="IA86" s="16">
        <f>IF(ISNA(VLOOKUP($A86,'Données projet'!$A$304:$I$324,7,0)),0%,VLOOKUP($A86,'Données projet'!$A$304:$I$324,7,0))</f>
        <v>0</v>
      </c>
      <c r="IB86" s="21">
        <f>EXP(-LN(2)/35)*IB85+(1-EXP(-LN(2)/35))/(LN(2)/35)*HX86*HY86*VLOOKUP('Données projet'!$B$19,Paramètres!$A$1:$I$89,3,0)*0.475*44/12</f>
        <v>17.269887350604328</v>
      </c>
      <c r="IC86" s="21">
        <f>EXP(-LN(2)/25)*IC85+(1-EXP(-LN(2)/25))/(LN(2)/25)*Calculateur!HX86*Calculateur!HZ86*VLOOKUP('Données projet'!$B$19,Paramètres!$A$1:$I$89,3,0)*0.475*44/12</f>
        <v>2.2378334890095246</v>
      </c>
      <c r="ID86" s="21">
        <f>EXP(-LN(2)/2)*ID85+(1-EXP(-LN(2)/2))/(LN(2)/2)*HX86*IA86*VLOOKUP('Données projet'!$B$19,Paramètres!$A$1:$I$89,3,0)*0.475*44/12</f>
        <v>6.035979900547216E-9</v>
      </c>
      <c r="IE86" s="22">
        <f t="shared" si="152"/>
        <v>19.507720845649832</v>
      </c>
      <c r="IF86" s="74">
        <f>('Scénario référence'!$F$8+'Scénario référence'!$F$9+'Scénario référence'!$B$17+'Scénario référence'!$B$9+'Scénario référence'!$B$10)*70+IF((45+25*(1-EXP(-0.0175*$A86)))&lt;70,'Scénario référence'!$B$16*(45+25*(1-EXP(-0.0175*$A86))),70*'Scénario référence'!$B$16)+IF((32+38*(1-EXP(-0.0175*$A86)))&lt;70,'Scénario référence'!$B$18*(32+38*(1-EXP(-0.0175*$A86))),70*'Scénario référence'!$B$18)</f>
        <v>70</v>
      </c>
      <c r="IG86" s="12">
        <f>IF($A86&gt;30,10,('Scénario référence'!$B$16+'Scénario référence'!$B$17+'Scénario référence'!$B$18+'Scénario référence'!$B$9+'Scénario référence'!$B$10)*$A86*10/30+('Scénario référence'!$F$8+'Scénario référence'!$F$9)*10)</f>
        <v>10</v>
      </c>
      <c r="IH86" s="12" t="e">
        <f>VLOOKUP($A86,'Données projet'!$A$330:$I$350,2,0)</f>
        <v>#N/A</v>
      </c>
      <c r="II86" s="12" t="e">
        <f>VLOOKUP($A86,'Données projet'!$A$330:$I$350,9,0)</f>
        <v>#N/A</v>
      </c>
      <c r="IJ86" s="12">
        <f t="array" ref="IJ86">INDEX(II:II,MIN(IF(ISNUMBER(II86:II282),ROW(II86:II282),"")))</f>
        <v>0</v>
      </c>
      <c r="IK86" s="12">
        <f>IF('Données projet'!$A$330&gt;35,IK85+IJ86-IS85,IF($A86&lt;'Données projet'!$A$330,$CQ$205^$A86,IF($A86='Données projet'!$A$330,'Données projet'!$B$330,IK85+IJ86-IS85)))</f>
        <v>0</v>
      </c>
      <c r="IL86" s="17">
        <f>IK86*VLOOKUP('Données projet'!$B$20,Paramètres!$A$1:$I$89,3,0)*VLOOKUP('Données projet'!$B$20,Paramètres!$A$1:$I$89,5,0)</f>
        <v>0</v>
      </c>
      <c r="IM86" s="13" t="e">
        <f t="shared" si="204"/>
        <v>#NUM!</v>
      </c>
      <c r="IN86" s="20" t="e">
        <f t="shared" si="153"/>
        <v>#NUM!</v>
      </c>
      <c r="IO86" s="59" t="e">
        <f t="shared" si="154"/>
        <v>#NUM!</v>
      </c>
      <c r="IP86" s="59">
        <f ca="1">AVERAGE(OFFSET(IO$3,0,0,'Données projet'!$E$20+1,1))-AVERAGE(OFFSET($H$3,0,0,'Données projet'!$E$20+1,1))</f>
        <v>91.60721429656013</v>
      </c>
      <c r="IQ86" s="59">
        <f t="shared" si="205"/>
        <v>258.94957804210856</v>
      </c>
      <c r="IR86" s="15">
        <f>IF(ISNA(VLOOKUP($A86,'Données projet'!$A$330:$I$350,3,0)),0,VLOOKUP($A86,'Données projet'!$A$330:$I$350,3,0))</f>
        <v>0</v>
      </c>
      <c r="IS86" s="15">
        <f>IF(ISNA(VLOOKUP($A86,'Données projet'!$A$330:$I$350,4,0)),0,VLOOKUP($A86,'Données projet'!$A$330:$I$350,4,0))</f>
        <v>0</v>
      </c>
      <c r="IT86" s="16">
        <f>IF(ISNA(VLOOKUP($A86,'Données projet'!$A$330:$I$350,5,0)),0%,VLOOKUP($A86,'Données projet'!$A$330:$I$350,5,0)*VLOOKUP('Données projet'!$B$20,Paramètres!$A$1:$I$89,7,0))</f>
        <v>0</v>
      </c>
      <c r="IU86" s="16">
        <f>IF(ISNA(VLOOKUP($A86,'Données projet'!$A$330:$I$350,6,0)),0%,VLOOKUP($A86,'Données projet'!$A$330:$I$350,6,0)*VLOOKUP('Données projet'!$B$20,Paramètres!$A$1:$I$89,7,0))</f>
        <v>0</v>
      </c>
      <c r="IV86" s="16">
        <f>IF(ISNA(VLOOKUP($A86,'Données projet'!$A$330:$I$350,7,0)),0%,VLOOKUP($A86,'Données projet'!$A$330:$I$350,7,0))</f>
        <v>0</v>
      </c>
      <c r="IW86" s="21">
        <f>EXP(-LN(2)/35)*IW85+(1-EXP(-LN(2)/35))/(LN(2)/35)*IS86*IT86*VLOOKUP('Données projet'!$B$20,Paramètres!$A$1:$I$89,3,0)*0.475*44/12</f>
        <v>17.269887350604328</v>
      </c>
      <c r="IX86" s="21">
        <f>EXP(-LN(2)/25)*IX85+(1-EXP(-LN(2)/25))/(LN(2)/25)*Calculateur!IS86*Calculateur!IU86*VLOOKUP('Données projet'!$B$20,Paramètres!$A$1:$I$89,3,0)*0.475*44/12</f>
        <v>2.2378334890095246</v>
      </c>
      <c r="IY86" s="21">
        <f>EXP(-LN(2)/2)*IY85+(1-EXP(-LN(2)/2))/(LN(2)/2)*IS86*IV86*VLOOKUP('Données projet'!$B$20,Paramètres!$A$1:$I$89,3,0)*0.475*44/12</f>
        <v>6.035979900547216E-9</v>
      </c>
      <c r="IZ86" s="22">
        <f t="shared" si="155"/>
        <v>19.507720845649832</v>
      </c>
      <c r="JA86" s="74">
        <f>('Scénario référence'!$F$8+'Scénario référence'!$F$9+'Scénario référence'!$B$17+'Scénario référence'!$B$9+'Scénario référence'!$B$10)*70+IF((45+25*(1-EXP(-0.0175*$A86)))&lt;70,'Scénario référence'!$B$16*(45+25*(1-EXP(-0.0175*$A86))),70*'Scénario référence'!$B$16)+IF((32+38*(1-EXP(-0.0175*$A86)))&lt;70,'Scénario référence'!$B$18*(32+38*(1-EXP(-0.0175*$A86))),70*'Scénario référence'!$B$18)</f>
        <v>70</v>
      </c>
      <c r="JB86" s="12">
        <f>IF($A86&gt;30,10,('Scénario référence'!$B$16+'Scénario référence'!$B$17+'Scénario référence'!$B$18+'Scénario référence'!$B$9+'Scénario référence'!$B$10)*$A86*10/30+('Scénario référence'!$F$8+'Scénario référence'!$F$9)*10)</f>
        <v>10</v>
      </c>
      <c r="JC86" s="12" t="e">
        <f>VLOOKUP($A86,'Données projet'!$A$356:$I$376,2,0)</f>
        <v>#N/A</v>
      </c>
      <c r="JD86" s="12" t="e">
        <f>VLOOKUP($A86,'Données projet'!$A$356:$I$376,9,0)</f>
        <v>#N/A</v>
      </c>
      <c r="JE86" s="12">
        <f t="array" ref="JE86">INDEX(JD:JD,MIN(IF(ISNUMBER(JD86:JD282),ROW(JD86:JD282),"")))</f>
        <v>5.4</v>
      </c>
      <c r="JF86" s="12">
        <f>IF('Données projet'!$A$356&gt;35,JF85+JE86-JN85,IF($A86&lt;'Données projet'!$A$356,$CQ$205^$A86,IF($A86='Données projet'!$A$356,'Données projet'!$B$356,JF85+JE86-JN85)))</f>
        <v>339.19999999999987</v>
      </c>
      <c r="JG86" s="17">
        <f>JF86*VLOOKUP('Données projet'!$B$21,Paramètres!$A$1:$I$89,3,0)*VLOOKUP('Données projet'!$B$21,Paramètres!$A$1:$I$89,5,0)</f>
        <v>275.15903999999989</v>
      </c>
      <c r="JH86" s="13">
        <f t="shared" si="206"/>
        <v>65.942938782092355</v>
      </c>
      <c r="JI86" s="20">
        <f t="shared" si="156"/>
        <v>594.0859463788106</v>
      </c>
      <c r="JJ86" s="59">
        <f t="shared" si="157"/>
        <v>887.41927971214386</v>
      </c>
      <c r="JK86" s="59">
        <f ca="1">AVERAGE(OFFSET($JJ$3,0,0,'Données projet'!$E$22+1,1))-AVERAGE(OFFSET($H$3,0,0,'Données projet'!$E$22+1,1))</f>
        <v>353.35574633294613</v>
      </c>
      <c r="JL86" s="59">
        <f t="shared" si="207"/>
        <v>170.36796666474726</v>
      </c>
      <c r="JM86" s="15">
        <f>IF(ISNA(VLOOKUP($A86,'Données projet'!$A$356:$I$376,3,0)),0,VLOOKUP($A86,'Données projet'!$A$356:$I$376,3,0))</f>
        <v>0</v>
      </c>
      <c r="JN86" s="15">
        <f>IF(ISNA(VLOOKUP($A86,'Données projet'!$A$356:$I$376,4,0)),0,VLOOKUP($A86,'Données projet'!$A$356:$I$376,4,0))</f>
        <v>0</v>
      </c>
      <c r="JO86" s="16">
        <f>IF(ISNA(VLOOKUP($A86,'Données projet'!$A$356:$I$376,5,0)),0%,VLOOKUP($A86,'Données projet'!$A$356:$I$376,5,0)*VLOOKUP('Données projet'!$B$21,Paramètres!$A$1:$I$89,7,0))</f>
        <v>0</v>
      </c>
      <c r="JP86" s="16">
        <f>IF(ISNA(VLOOKUP($A86,'Données projet'!$A$356:$I$376,6,0)),0%,VLOOKUP($A86,'Données projet'!$A$356:$I$376,6,0)*VLOOKUP('Données projet'!$B$21,Paramètres!$A$1:$I$89,7,0))</f>
        <v>0</v>
      </c>
      <c r="JQ86" s="16">
        <f>IF(ISNA(VLOOKUP($A86,'Données projet'!$A$356:$I$376,7,0)),0%,VLOOKUP($A86,'Données projet'!$A$356:$I$376,7,0))</f>
        <v>0</v>
      </c>
      <c r="JR86" s="21">
        <f>EXP(-LN(2)/35)*JR85+(1-EXP(-LN(2)/35))/(LN(2)/35)*JN86*JO86*VLOOKUP('Données projet'!$B$21,Paramètres!$A$1:$I$89,3,0)*0.475*44/12</f>
        <v>1.9389155563141429</v>
      </c>
      <c r="JS86" s="21">
        <f>EXP(-LN(2)/25)*JS85+(1-EXP(-LN(2)/25))/(LN(2)/25)*Calculateur!JN86*Calculateur!JP86*VLOOKUP('Données projet'!$B$21,Paramètres!$A$1:$I$89,3,0)*0.475*44/12</f>
        <v>16.219076138195529</v>
      </c>
      <c r="JT86" s="21">
        <f>EXP(-LN(2)/2)*JT85+(1-EXP(-LN(2)/2))/(LN(2)/2)*JN86*JQ86*VLOOKUP('Données projet'!$B$21,Paramètres!$A$1:$I$89,3,0)*0.475*44/12</f>
        <v>2.7612063852345967</v>
      </c>
      <c r="JU86" s="18">
        <f t="shared" si="158"/>
        <v>20.91919807974427</v>
      </c>
      <c r="JV86" s="74">
        <f>('Scénario référence'!$F$8+'Scénario référence'!$F$9+'Scénario référence'!$B$17+'Scénario référence'!$B$9+'Scénario référence'!$B$10)*70+IF((45+25*(1-EXP(-0.0175*$A86)))&lt;70,'Scénario référence'!$B$16*(45+25*(1-EXP(-0.0175*$A86))),70*'Scénario référence'!$B$16)+IF((32+38*(1-EXP(-0.0175*$A86)))&lt;70,'Scénario référence'!$B$18*(32+38*(1-EXP(-0.0175*$A86))),70*'Scénario référence'!$B$18)</f>
        <v>70</v>
      </c>
      <c r="JW86" s="12">
        <f>IF($A86&gt;30,10,('Scénario référence'!$B$16+'Scénario référence'!$B$17+'Scénario référence'!$B$18+'Scénario référence'!$B$9+'Scénario référence'!$B$10)*$A86*10/30+('Scénario référence'!$F$8+'Scénario référence'!$F$9)*10)</f>
        <v>10</v>
      </c>
      <c r="JX86" s="12" t="e">
        <f>VLOOKUP($A86,'Données projet'!$A$382:$I$402,2,0)</f>
        <v>#N/A</v>
      </c>
      <c r="JY86" s="12" t="e">
        <f>VLOOKUP($A86,'Données projet'!$A$382:$I$402,9,0)</f>
        <v>#N/A</v>
      </c>
      <c r="JZ86" s="12">
        <f t="array" ref="JZ86">INDEX(JY:JY,MIN(IF(ISNUMBER(JY86:JY282),ROW(JY86:JY282),"")))</f>
        <v>7.4950142450142421</v>
      </c>
      <c r="KA86" s="12">
        <f>IF('Données projet'!$A$382&gt;35,KA85+JZ86-KI85,IF($A86&lt;'Données projet'!$A$382,$CQ$205^$A86,IF($A86='Données projet'!$A$382,'Données projet'!$B$382,KA85+JZ86-KI85)))</f>
        <v>250.88888888888903</v>
      </c>
      <c r="KB86" s="17">
        <f>KA86*VLOOKUP('Données projet'!$B$22,Paramètres!$A$1:$I$89,3,0)*VLOOKUP('Données projet'!$B$22,Paramètres!$A$1:$I$89,5,0)</f>
        <v>168.29626666666675</v>
      </c>
      <c r="KC86" s="13">
        <f t="shared" si="208"/>
        <v>42.708220592917719</v>
      </c>
      <c r="KD86" s="20">
        <f t="shared" si="159"/>
        <v>367.49948197710955</v>
      </c>
      <c r="KE86" s="59">
        <f t="shared" si="160"/>
        <v>660.83281531044281</v>
      </c>
      <c r="KF86" s="59">
        <f ca="1">AVERAGE(OFFSET($KE$3,0,0,'Données projet'!$E$22+1,1))-AVERAGE(OFFSET($H$3,0,0,'Données projet'!$E$22+1,1))</f>
        <v>193.91714772848269</v>
      </c>
      <c r="KG86" s="59">
        <f t="shared" si="209"/>
        <v>159.20429420478047</v>
      </c>
      <c r="KH86" s="15">
        <f>IF(ISNA(VLOOKUP($A86,'Données projet'!$A$382:$I$402,3,0)),0,VLOOKUP($A86,'Données projet'!$A$382:$I$402,3,0))</f>
        <v>0</v>
      </c>
      <c r="KI86" s="15">
        <f>IF(ISNA(VLOOKUP($A86,'Données projet'!$A$382:$I$402,4,0)),0,VLOOKUP($A86,'Données projet'!$A$382:$I$402,4,0))</f>
        <v>0</v>
      </c>
      <c r="KJ86" s="16">
        <f>IF(ISNA(VLOOKUP($A86,'Données projet'!$A$382:$I$402,5,0)),0%,VLOOKUP($A86,'Données projet'!$A$382:$I$402,5,0)*VLOOKUP('Données projet'!$B$22,Paramètres!$A$1:$I$89,7,0))</f>
        <v>0</v>
      </c>
      <c r="KK86" s="16">
        <f>IF(ISNA(VLOOKUP($A86,'Données projet'!$A$382:$I$402,6,0)),0%,VLOOKUP($A86,'Données projet'!$A$382:$I$402,6,0)*VLOOKUP('Données projet'!$B$22,Paramètres!$A$1:$I$89,7,0))</f>
        <v>0</v>
      </c>
      <c r="KL86" s="16">
        <f>IF(ISNA(VLOOKUP($A86,'Données projet'!$A$382:$I$402,7,0)),0%,VLOOKUP($A86,'Données projet'!$A$382:$I$402,7,0))</f>
        <v>0</v>
      </c>
      <c r="KM86" s="21">
        <f>EXP(-LN(2)/35)*KM85+(1-EXP(-LN(2)/35))/(LN(2)/35)*KI86*KJ86*VLOOKUP('Données projet'!$B$22,Paramètres!$A$1:$I$89,3,0)*0.475*44/12</f>
        <v>28.211696076577745</v>
      </c>
      <c r="KN86" s="21">
        <f>EXP(-LN(2)/25)*KN85+(1-EXP(-LN(2)/25))/(LN(2)/25)*Calculateur!KI86*Calculateur!KK86*VLOOKUP('Données projet'!$B$22,Paramètres!$A$1:$I$89,3,0)*0.475*44/12</f>
        <v>0</v>
      </c>
      <c r="KO86" s="21">
        <f>EXP(-LN(2)/2)*KO85+(1-EXP(-LN(2)/2))/(LN(2)/2)*KI86*KL86*VLOOKUP('Données projet'!$B$22,Paramètres!$A$1:$I$89,3,0)*0.475*44/12</f>
        <v>0</v>
      </c>
      <c r="KP86" s="22">
        <f t="shared" si="161"/>
        <v>28.211696076577745</v>
      </c>
      <c r="KQ86" s="74">
        <f>('Scénario référence'!$F$8+'Scénario référence'!$F$9+'Scénario référence'!$B$17+'Scénario référence'!$B$9+'Scénario référence'!$B$10)*70+IF((45+25*(1-EXP(-0.0175*$A86)))&lt;70,'Scénario référence'!$B$16*(45+25*(1-EXP(-0.0175*$A86))),70*'Scénario référence'!$B$16)+IF((32+38*(1-EXP(-0.0175*$A86)))&lt;70,'Scénario référence'!$B$18*(32+38*(1-EXP(-0.0175*$A86))),70*'Scénario référence'!$B$18)</f>
        <v>70</v>
      </c>
      <c r="KR86" s="12">
        <f>IF($A86&gt;30,10,('Scénario référence'!$B$16+'Scénario référence'!$B$17+'Scénario référence'!$B$18+'Scénario référence'!$B$9+'Scénario référence'!$B$10)*$A86*10/30+('Scénario référence'!$F$8+'Scénario référence'!$F$9)*10)</f>
        <v>10</v>
      </c>
      <c r="KS86" s="12" t="e">
        <f>VLOOKUP($A86,'Données projet'!$A$408:$I$428,2,0)</f>
        <v>#N/A</v>
      </c>
      <c r="KT86" s="12" t="e">
        <f>VLOOKUP($A86,'Données projet'!$A$408:$I$428,9,0)</f>
        <v>#N/A</v>
      </c>
      <c r="KU86" s="12">
        <f t="array" ref="KU86">INDEX(KT:KT,MIN(IF(ISNUMBER(KT86:KT282),ROW(KT86:KT282),"")))</f>
        <v>0</v>
      </c>
      <c r="KV86" s="12">
        <f>IF('Données projet'!$A$408&gt;35,KV85+KU86-LD85,IF($A86&lt;'Données projet'!$A$408,$CQ$205^$A86,IF($A86='Données projet'!$A$408,'Données projet'!$B$408,KV85+KU86-LD85)))</f>
        <v>-1.1368683772161603E-13</v>
      </c>
      <c r="KW86" s="17">
        <f>KV86*VLOOKUP('Données projet'!$B$23,Paramètres!$A$1:$I$89,3,0)*VLOOKUP('Données projet'!$B$23,Paramètres!$A$1:$I$89,5,0)</f>
        <v>-9.9316821433603781E-14</v>
      </c>
      <c r="KX86" s="13" t="e">
        <f t="shared" si="210"/>
        <v>#NUM!</v>
      </c>
      <c r="KY86" s="14" t="e">
        <f t="shared" si="162"/>
        <v>#NUM!</v>
      </c>
      <c r="KZ86" s="59" t="e">
        <f t="shared" si="163"/>
        <v>#NUM!</v>
      </c>
      <c r="LA86" s="59">
        <f ca="1">AVERAGE(OFFSET($KZ$3,0,0,'Données projet'!$E$23+1,1))-AVERAGE(OFFSET($H$3,0,0,'Données projet'!$E$23+1,1))</f>
        <v>248.33596943633819</v>
      </c>
      <c r="LB86" s="59">
        <f t="shared" si="211"/>
        <v>242.34010522344573</v>
      </c>
      <c r="LC86" s="15">
        <f>IF(ISNA(VLOOKUP($A86,'Données projet'!$A$408:$I$428,3,0)),0,VLOOKUP($A86,'Données projet'!$A$408:$I$428,3,0))</f>
        <v>0</v>
      </c>
      <c r="LD86" s="15">
        <f>IF(ISNA(VLOOKUP($A86,'Données projet'!$A$408:$I$428,4,0)),0,VLOOKUP($A86,'Données projet'!$A$408:$I$428,4,0))</f>
        <v>0</v>
      </c>
      <c r="LE86" s="16">
        <f>IF(ISNA(VLOOKUP($A86,'Données projet'!$A$408:$I$428,5,0)),0%,VLOOKUP($A86,'Données projet'!$A$408:$I$428,5,0)*VLOOKUP('Données projet'!$B$23,Paramètres!$A$1:$I$89,7,0))</f>
        <v>0</v>
      </c>
      <c r="LF86" s="16">
        <f>IF(ISNA(VLOOKUP($A86,'Données projet'!$A$408:$I$428,6,0)),0%,VLOOKUP($A86,'Données projet'!$A$408:$I$428,6,0)*VLOOKUP('Données projet'!$B$23,Paramètres!$A$1:$I$89,7,0))</f>
        <v>0</v>
      </c>
      <c r="LG86" s="16">
        <f>IF(ISNA(VLOOKUP($A86,'Données projet'!$A$408:$I$428,7,0)),0%,VLOOKUP($A86,'Données projet'!$A$408:$I$428,7,0))</f>
        <v>0</v>
      </c>
      <c r="LH86" s="21">
        <f>EXP(-LN(2)/35)*LH85+(1-EXP(-LN(2)/35))/(LN(2)/35)*LD86*LE86*VLOOKUP('Données projet'!$B$23,Paramètres!$A$1:$I$89,3,0)*0.475*44/12</f>
        <v>116.11278766343045</v>
      </c>
      <c r="LI86" s="21">
        <f>EXP(-LN(2)/25)*LI85+(1-EXP(-LN(2)/25))/(LN(2)/25)*Calculateur!LD86*Calculateur!LF86*VLOOKUP('Données projet'!$B$23,Paramètres!$A$1:$I$89,3,0)*0.475*44/12</f>
        <v>20.03902633842668</v>
      </c>
      <c r="LJ86" s="21">
        <f>EXP(-LN(2)/2)*LJ85+(1-EXP(-LN(2)/2))/(LN(2)/2)*LD86*LG86*VLOOKUP('Données projet'!$B$23,Paramètres!$A$1:$I$89,3,0)*0.475*44/12</f>
        <v>0</v>
      </c>
      <c r="LK86" s="22">
        <f t="shared" si="164"/>
        <v>136.15181400185713</v>
      </c>
      <c r="LL86" s="74">
        <f>('Scénario référence'!$F$8+'Scénario référence'!$F$9+'Scénario référence'!$B$17+'Scénario référence'!$B$9+'Scénario référence'!$B$10)*70+IF((45+25*(1-EXP(-0.0175*$A86)))&lt;70,'Scénario référence'!$B$16*(45+25*(1-EXP(-0.0175*$A86))),70*'Scénario référence'!$B$16)+IF((32+38*(1-EXP(-0.0175*$A86)))&lt;70,'Scénario référence'!$B$18*(32+38*(1-EXP(-0.0175*$A86))),70*'Scénario référence'!$B$18)</f>
        <v>70</v>
      </c>
      <c r="LM86" s="12">
        <f>IF($A86&gt;30,10,('Scénario référence'!$B$16+'Scénario référence'!$B$17+'Scénario référence'!$B$18+'Scénario référence'!$B$9+'Scénario référence'!$B$10)*$A86*10/30+('Scénario référence'!$F$8+'Scénario référence'!$F$9)*10)</f>
        <v>10</v>
      </c>
      <c r="LN86" s="12" t="e">
        <f>VLOOKUP($A86,'Données projet'!$A$434:$I$454,2,0)</f>
        <v>#N/A</v>
      </c>
      <c r="LO86" s="12" t="e">
        <f>VLOOKUP($A86,'Données projet'!$A$434:$I$454,9,0)</f>
        <v>#N/A</v>
      </c>
      <c r="LP86" s="12">
        <f t="array" ref="LP86">INDEX(LO:LO,MIN(IF(ISNUMBER(LO86:LO282),ROW(LO86:LO282),"")))</f>
        <v>5.5042735042735051</v>
      </c>
      <c r="LQ86" s="12">
        <f>IF('Données projet'!$A$434&gt;35,LQ85+LP86-LY85,IF($A86&lt;'Données projet'!$A$434,$CQ$205^$A86,IF($A86='Données projet'!$A$434,'Données projet'!$B$434,LQ85+LP86-LY85)))</f>
        <v>194.50213675213666</v>
      </c>
      <c r="LR86" s="17">
        <f>LQ86*VLOOKUP('Données projet'!$B$24,Paramètres!$A$1:$I$89,3,0)*VLOOKUP('Données projet'!$B$24,Paramètres!$A$1:$I$89,5,0)</f>
        <v>197.22516666666658</v>
      </c>
      <c r="LS86" s="13">
        <f t="shared" si="212"/>
        <v>49.133848364506264</v>
      </c>
      <c r="LT86" s="14">
        <f t="shared" si="165"/>
        <v>429.07528451262601</v>
      </c>
      <c r="LU86" s="59">
        <f t="shared" si="166"/>
        <v>722.40861784595927</v>
      </c>
      <c r="LV86" s="59">
        <f ca="1">AVERAGE(OFFSET($LU$3,0,0,'Données projet'!$E$24+1,1))-AVERAGE(OFFSET($H$3,0,0,'Données projet'!$E$24+1,1))</f>
        <v>260.52627655062872</v>
      </c>
      <c r="LW86" s="59">
        <f t="shared" si="213"/>
        <v>159.20429420478047</v>
      </c>
      <c r="LX86" s="15">
        <f>IF(ISNA(VLOOKUP($A86,'Données projet'!$A$434:$I$454,3,0)),0,VLOOKUP($A86,'Données projet'!$A$434:$I$454,3,0))</f>
        <v>0</v>
      </c>
      <c r="LY86" s="15">
        <f>IF(ISNA(VLOOKUP($A86,'Données projet'!$A$434:$I$454,4,0)),0,VLOOKUP($A86,'Données projet'!$A$434:$I$454,4,0))</f>
        <v>0</v>
      </c>
      <c r="LZ86" s="16">
        <f>IF(ISNA(VLOOKUP($A86,'Données projet'!$A$434:$I$454,5,0)),0%,VLOOKUP($A86,'Données projet'!$A$434:$I$454,5,0)*VLOOKUP('Données projet'!$B$24,Paramètres!$A$1:$I$89,7,0))</f>
        <v>0</v>
      </c>
      <c r="MA86" s="16">
        <f>IF(ISNA(VLOOKUP($A86,'Données projet'!$A$434:$I$454,6,0)),0%,VLOOKUP($A86,'Données projet'!$A$434:$I$454,6,0)*VLOOKUP('Données projet'!$B$24,Paramètres!$A$1:$I$89,7,0))</f>
        <v>0</v>
      </c>
      <c r="MB86" s="16">
        <f>IF(ISNA(VLOOKUP($A86,'Données projet'!$A$434:$I$454,7,0)),0%,VLOOKUP($A86,'Données projet'!$A$434:$I$454,7,0))</f>
        <v>0</v>
      </c>
      <c r="MC86" s="21">
        <f>EXP(-LN(2)/35)*MC85+(1-EXP(-LN(2)/35))/(LN(2)/35)*LY86*LZ86*VLOOKUP('Données projet'!$B$24,Paramètres!$A$1:$I$89,3,0)*0.475*44/12</f>
        <v>8.9030203978693248</v>
      </c>
      <c r="MD86" s="21">
        <f>EXP(-LN(2)/25)*MD85+(1-EXP(-LN(2)/25))/(LN(2)/25)*Calculateur!LY86*Calculateur!MA86*VLOOKUP('Données projet'!$B$24,Paramètres!$A$1:$I$89,3,0)*0.475*44/12</f>
        <v>0</v>
      </c>
      <c r="ME86" s="21">
        <f>EXP(-LN(2)/2)*ME85+(1-EXP(-LN(2)/2))/(LN(2)/2)*LY86*MB86*VLOOKUP('Données projet'!$B$24,Paramètres!$A$1:$I$89,3,0)*0.475*44/12</f>
        <v>0</v>
      </c>
      <c r="MF86" s="22">
        <f t="shared" si="167"/>
        <v>8.9030203978693248</v>
      </c>
      <c r="MG86" s="74">
        <f>('Scénario référence'!$F$8+'Scénario référence'!$F$9+'Scénario référence'!$B$17+'Scénario référence'!$B$9+'Scénario référence'!$B$10)*70+IF((45+25*(1-EXP(-0.0175*$A86)))&lt;70,'Scénario référence'!$B$16*(45+25*(1-EXP(-0.0175*$A86))),70*'Scénario référence'!$B$16)+IF((32+38*(1-EXP(-0.0175*$A86)))&lt;70,'Scénario référence'!$B$18*(32+38*(1-EXP(-0.0175*$A86))),70*'Scénario référence'!$B$18)</f>
        <v>70</v>
      </c>
      <c r="MH86" s="12">
        <f>IF($A86&gt;30,10,('Scénario référence'!$B$16+'Scénario référence'!$B$17+'Scénario référence'!$B$18+'Scénario référence'!$B$9+'Scénario référence'!$B$10)*$A86*10/30+('Scénario référence'!$F$8+'Scénario référence'!$F$9)*10)</f>
        <v>10</v>
      </c>
      <c r="MI86" s="12" t="e">
        <f>VLOOKUP($A86,'Données projet'!$A$460:$I$480,2,0)</f>
        <v>#N/A</v>
      </c>
      <c r="MJ86" s="12" t="e">
        <f>VLOOKUP($A86,'Données projet'!$A$460:$I$480,9,0)</f>
        <v>#N/A</v>
      </c>
      <c r="MK86" s="12">
        <f t="array" ref="MK86">INDEX(MJ:MJ,MIN(IF(ISNUMBER(MJ86:MJ282),ROW(MJ86:MJ282),"")))</f>
        <v>0</v>
      </c>
      <c r="ML86" s="12">
        <f>IF('Données projet'!$A$460&gt;35,ML85+MK86-MT85,IF($A86&lt;'Données projet'!$A$460,$CQ$205^$A86,IF($A86='Données projet'!$A$460,'Données projet'!$B$460,ML85+MK86-MT85)))</f>
        <v>0</v>
      </c>
      <c r="MM86" s="17" t="e">
        <f>ML86*VLOOKUP('Données projet'!$B$25,Paramètres!$A$1:$I$89,3,0)*VLOOKUP('Données projet'!$B$25,Paramètres!$A$1:$I$89,5,0)</f>
        <v>#N/A</v>
      </c>
      <c r="MN86" s="13" t="e">
        <f t="shared" si="214"/>
        <v>#N/A</v>
      </c>
      <c r="MO86" s="14" t="e">
        <f t="shared" si="168"/>
        <v>#N/A</v>
      </c>
      <c r="MP86" s="59" t="e">
        <f t="shared" si="169"/>
        <v>#N/A</v>
      </c>
      <c r="MQ86" s="20" t="e">
        <f ca="1">AVERAGE(OFFSET($MP$3,0,0,'Données projet'!$E$25+1,1))-AVERAGE(OFFSET($H$3,0,0,'Données projet'!$E$25+1,1))</f>
        <v>#N/A</v>
      </c>
      <c r="MR86" s="59" t="e">
        <f t="shared" si="215"/>
        <v>#N/A</v>
      </c>
      <c r="MS86" s="15">
        <f>IF(ISNA(VLOOKUP($A86,'Données projet'!$A$460:$I$480,3,0)),0,VLOOKUP($A86,'Données projet'!$A$460:$I$480,3,0))</f>
        <v>0</v>
      </c>
      <c r="MT86" s="15">
        <f>IF(ISNA(VLOOKUP($A86,'Données projet'!$A$460:$I$480,4,0)),0,VLOOKUP($A86,'Données projet'!$A$460:$I$480,4,0))</f>
        <v>0</v>
      </c>
      <c r="MU86" s="16">
        <f>IF(ISNA(VLOOKUP($A86,'Données projet'!$A$460:$I$480,5,0)),0%,VLOOKUP($A86,'Données projet'!$A$460:$I$480,5,0)*VLOOKUP('Données projet'!$B$25,Paramètres!$A$1:$I$89,7,0))</f>
        <v>0</v>
      </c>
      <c r="MV86" s="16">
        <f>IF(ISNA(VLOOKUP($A86,'Données projet'!$A$460:$I$480,6,0)),0%,VLOOKUP($A86,'Données projet'!$A$460:$I$480,6,0)*VLOOKUP('Données projet'!$B$25,Paramètres!$A$1:$I$89,7,0))</f>
        <v>0</v>
      </c>
      <c r="MW86" s="16">
        <f>IF(ISNA(VLOOKUP($A86,'Données projet'!$A$460:$I$480,7,0)),0%,VLOOKUP($A86,'Données projet'!$A$460:$I$480,7,0))</f>
        <v>0</v>
      </c>
      <c r="MX86" s="21" t="e">
        <f>EXP(-LN(2)/35)*MX85+(1-EXP(-LN(2)/35))/(LN(2)/35)*MT86*MU86*VLOOKUP('Données projet'!$B$25,Paramètres!$A$1:$I$89,3,0)*0.475*44/12</f>
        <v>#N/A</v>
      </c>
      <c r="MY86" s="21" t="e">
        <f>EXP(-LN(2)/25)*MY85+(1-EXP(-LN(2)/25))/(LN(2)/25)*Calculateur!MT86*Calculateur!MV86*VLOOKUP('Données projet'!$B$25,Paramètres!$A$1:$I$89,3,0)*0.475*44/12</f>
        <v>#N/A</v>
      </c>
      <c r="MZ86" s="21" t="e">
        <f>EXP(-LN(2)/2)*MZ85+(1-EXP(-LN(2)/2))/(LN(2)/2)*MT86*MW86*VLOOKUP('Données projet'!$B$25,Paramètres!$A$1:$I$89,3,0)*0.475*44/12</f>
        <v>#N/A</v>
      </c>
      <c r="NA86" s="22" t="e">
        <f t="shared" si="170"/>
        <v>#N/A</v>
      </c>
      <c r="NB86" s="74">
        <f>('Scénario référence'!$F$8+'Scénario référence'!$F$9+'Scénario référence'!$B$17+'Scénario référence'!$B$9+'Scénario référence'!$B$10)*70+IF((45+25*(1-EXP(-0.0175*$A86)))&lt;70,'Scénario référence'!$B$16*(45+25*(1-EXP(-0.0175*$A86))),70*'Scénario référence'!$B$16)+IF((32+38*(1-EXP(-0.0175*$A86)))&lt;70,'Scénario référence'!$B$18*(32+38*(1-EXP(-0.0175*$A86))),70*'Scénario référence'!$B$18)</f>
        <v>70</v>
      </c>
      <c r="NC86" s="12">
        <f>IF($A86&gt;30,10,('Scénario référence'!$B$16+'Scénario référence'!$B$17+'Scénario référence'!$B$18+'Scénario référence'!$B$9+'Scénario référence'!$B$10)*$A86*10/30+('Scénario référence'!$F$8+'Scénario référence'!$F$9)*10)</f>
        <v>10</v>
      </c>
      <c r="ND86" s="12" t="e">
        <f>VLOOKUP($A86,'Données projet'!$A$486:$I$506,2,0)</f>
        <v>#N/A</v>
      </c>
      <c r="NE86" s="12" t="e">
        <f>VLOOKUP($A86,'Données projet'!$A$486:$I$506,9,0)</f>
        <v>#N/A</v>
      </c>
      <c r="NF86" s="12">
        <f t="array" ref="NF86">INDEX(NE:NE,MIN(IF(ISNUMBER(NE86:NE282),ROW(NE86:NE282),"")))</f>
        <v>0</v>
      </c>
      <c r="NG86" s="12">
        <f>IF('Données projet'!$A$486&gt;35,NG85+NF86-NO85,IF($A86&lt;'Données projet'!$A$486,$CQ$205^$A86,IF($A86='Données projet'!$A$486,'Données projet'!$B$486,NG85+NF86-NO85)))</f>
        <v>0</v>
      </c>
      <c r="NH86" s="17" t="e">
        <f>NG86*VLOOKUP('Données projet'!$B$26,Paramètres!$A$1:$I$89,3,0)*VLOOKUP('Données projet'!$B$26,Paramètres!$A$1:$I$89,5,0)</f>
        <v>#N/A</v>
      </c>
      <c r="NI86" s="13" t="e">
        <f t="shared" si="216"/>
        <v>#N/A</v>
      </c>
      <c r="NJ86" s="14" t="e">
        <f t="shared" si="171"/>
        <v>#N/A</v>
      </c>
      <c r="NK86" s="59" t="e">
        <f t="shared" si="172"/>
        <v>#N/A</v>
      </c>
      <c r="NL86" s="20" t="e">
        <f ca="1">AVERAGE(OFFSET($NK$3,0,0,'Données projet'!$E$26+1,1))-AVERAGE(OFFSET($H$3,0,0,'Données projet'!$E$26+1,1))</f>
        <v>#N/A</v>
      </c>
      <c r="NM86" s="59" t="e">
        <f t="shared" si="217"/>
        <v>#N/A</v>
      </c>
      <c r="NN86" s="15">
        <f>IF(ISNA(VLOOKUP($A86,'Données projet'!$A$486:$I$506,3,0)),0,VLOOKUP($A86,'Données projet'!$A$486:$I$506,3,0))</f>
        <v>0</v>
      </c>
      <c r="NO86" s="15">
        <f>IF(ISNA(VLOOKUP($A86,'Données projet'!$A$486:$I$506,4,0)),0,VLOOKUP($A86,'Données projet'!$A$486:$I$506,4,0))</f>
        <v>0</v>
      </c>
      <c r="NP86" s="16">
        <f>IF(ISNA(VLOOKUP($A86,'Données projet'!$A$486:$I$506,5,0)),0%,VLOOKUP($A86,'Données projet'!$A$486:$I$506,5,0)*VLOOKUP('Données projet'!$B$26,Paramètres!$A$1:$I$89,7,0))</f>
        <v>0</v>
      </c>
      <c r="NQ86" s="16">
        <f>IF(ISNA(VLOOKUP($A86,'Données projet'!$A$486:$I$506,6,0)),0%,VLOOKUP($A86,'Données projet'!$A$486:$I$506,6,0)*VLOOKUP('Données projet'!$B$26,Paramètres!$A$1:$I$89,7,0))</f>
        <v>0</v>
      </c>
      <c r="NR86" s="16">
        <f>IF(ISNA(VLOOKUP($A86,'Données projet'!$A$486:$I$506,7,0)),0%,VLOOKUP($A86,'Données projet'!$A$486:$I$506,7,0))</f>
        <v>0</v>
      </c>
      <c r="NS86" s="21" t="e">
        <f>EXP(-LN(2)/35)*NS85+(1-EXP(-LN(2)/35))/(LN(2)/35)*NO86*NP86*VLOOKUP('Données projet'!$B$26,Paramètres!$A$1:$I$89,3,0)*0.475*44/12</f>
        <v>#N/A</v>
      </c>
      <c r="NT86" s="21" t="e">
        <f>EXP(-LN(2)/25)*NT85+(1-EXP(-LN(2)/25))/(LN(2)/25)*Calculateur!NO86*Calculateur!NQ86*VLOOKUP('Données projet'!$B$26,Paramètres!$A$1:$I$89,3,0)*0.475*44/12</f>
        <v>#N/A</v>
      </c>
      <c r="NU86" s="21" t="e">
        <f>EXP(-LN(2)/2)*NU85+(1-EXP(-LN(2)/2))/(LN(2)/2)*NO86*NR86*VLOOKUP('Données projet'!$B$26,Paramètres!$A$1:$I$89,3,0)*0.475*44/12</f>
        <v>#N/A</v>
      </c>
      <c r="NV86" s="22" t="e">
        <f t="shared" si="173"/>
        <v>#N/A</v>
      </c>
      <c r="NW86" s="74">
        <f>('Scénario référence'!$F$8+'Scénario référence'!$F$9+'Scénario référence'!$B$17+'Scénario référence'!$B$9+'Scénario référence'!$B$10)*70+IF((45+25*(1-EXP(-0.0175*$A86)))&lt;70,'Scénario référence'!$B$16*(45+25*(1-EXP(-0.0175*$A86))),70*'Scénario référence'!$B$16)+IF((32+38*(1-EXP(-0.0175*$A86)))&lt;70,'Scénario référence'!$B$18*(32+38*(1-EXP(-0.0175*$A86))),70*'Scénario référence'!$B$18)</f>
        <v>70</v>
      </c>
      <c r="NX86" s="12">
        <f>IF($A86&gt;30,10,('Scénario référence'!$B$16+'Scénario référence'!$B$17+'Scénario référence'!$B$18+'Scénario référence'!$B$9+'Scénario référence'!$B$10)*$A86*10/30+('Scénario référence'!$F$8+'Scénario référence'!$F$9)*10)</f>
        <v>10</v>
      </c>
      <c r="NY86" s="12" t="e">
        <f>VLOOKUP($A86,'Données projet'!$A$512:$I$532,2,0)</f>
        <v>#N/A</v>
      </c>
      <c r="NZ86" s="12" t="e">
        <f>VLOOKUP($A86,'Données projet'!$A$512:$I$532,9,0)</f>
        <v>#N/A</v>
      </c>
      <c r="OA86" s="12">
        <f t="array" ref="OA86">INDEX(NZ:NZ,MIN(IF(ISNUMBER(NZ86:NZ282),ROW(NZ86:NZ282),"")))</f>
        <v>0</v>
      </c>
      <c r="OB86" s="12">
        <f>IF('Données projet'!$A$512&gt;35,OB85+OA86-OJ85,IF($A86&lt;'Données projet'!$A$512,$CQ$205^$A86,IF($A86='Données projet'!$A$512,'Données projet'!$B$512,OB85+OA86-OJ85)))</f>
        <v>0</v>
      </c>
      <c r="OC86" s="17" t="e">
        <f>OB86*VLOOKUP('Données projet'!$B$27,Paramètres!$A$1:$I$89,3,0)*VLOOKUP('Données projet'!$B$27,Paramètres!$A$1:$I$89,5,0)</f>
        <v>#N/A</v>
      </c>
      <c r="OD86" s="13" t="e">
        <f t="shared" si="218"/>
        <v>#N/A</v>
      </c>
      <c r="OE86" s="14" t="e">
        <f t="shared" si="174"/>
        <v>#N/A</v>
      </c>
      <c r="OF86" s="59" t="e">
        <f t="shared" si="175"/>
        <v>#N/A</v>
      </c>
      <c r="OG86" s="20" t="e">
        <f ca="1">AVERAGE(OFFSET($OF$3,0,0,'Données projet'!$E$27+1,1))-AVERAGE(OFFSET($H$3,0,0,'Données projet'!$E$27+1,1))</f>
        <v>#N/A</v>
      </c>
      <c r="OH86" s="59" t="e">
        <f t="shared" si="219"/>
        <v>#N/A</v>
      </c>
      <c r="OI86" s="15">
        <f>IF(ISNA(VLOOKUP($A86,'Données projet'!$A$512:$I$532,3,0)),0,VLOOKUP($A86,'Données projet'!$A$512:$I$532,3,0))</f>
        <v>0</v>
      </c>
      <c r="OJ86" s="15">
        <f>IF(ISNA(VLOOKUP($A86,'Données projet'!$A$512:$I$532,4,0)),0,VLOOKUP($A86,'Données projet'!$A$512:$I$532,4,0))</f>
        <v>0</v>
      </c>
      <c r="OK86" s="16">
        <f>IF(ISNA(VLOOKUP($A86,'Données projet'!$A$512:$I$532,5,0)),0%,VLOOKUP($A86,'Données projet'!$A$512:$I$532,5,0)*VLOOKUP('Données projet'!$B$27,Paramètres!$A$1:$I$89,7,0))</f>
        <v>0</v>
      </c>
      <c r="OL86" s="16">
        <f>IF(ISNA(VLOOKUP($A86,'Données projet'!$A$512:$I$532,6,0)),0%,VLOOKUP($A86,'Données projet'!$A$512:$I$532,6,0)*VLOOKUP('Données projet'!$B$27,Paramètres!$A$1:$I$89,7,0))</f>
        <v>0</v>
      </c>
      <c r="OM86" s="16">
        <f>IF(ISNA(VLOOKUP($A86,'Données projet'!$A$512:$I$532,7,0)),0%,VLOOKUP($A86,'Données projet'!$A$512:$I$532,7,0))</f>
        <v>0</v>
      </c>
      <c r="ON86" s="21" t="e">
        <f>EXP(-LN(2)/35)*ON85+(1-EXP(-LN(2)/35))/(LN(2)/35)*OJ86*OK86*VLOOKUP('Données projet'!$B$27,Paramètres!$A$1:$I$89,3,0)*0.475*44/12</f>
        <v>#N/A</v>
      </c>
      <c r="OO86" s="21" t="e">
        <f>EXP(-LN(2)/25)*OO85+(1-EXP(-LN(2)/25))/(LN(2)/25)*Calculateur!OJ86*Calculateur!OL86*VLOOKUP('Données projet'!$B$27,Paramètres!$A$1:$I$89,3,0)*0.475*44/12</f>
        <v>#N/A</v>
      </c>
      <c r="OP86" s="21" t="e">
        <f>EXP(-LN(2)/2)*OP85+(1-EXP(-LN(2)/2))/(LN(2)/2)*OJ86*OM86*VLOOKUP('Données projet'!$B$27,Paramètres!$A$1:$I$89,3,0)*0.475*44/12</f>
        <v>#N/A</v>
      </c>
      <c r="OQ86" s="22" t="e">
        <f t="shared" si="176"/>
        <v>#N/A</v>
      </c>
      <c r="OR86" s="74">
        <f>('Scénario référence'!$F$8+'Scénario référence'!$F$9+'Scénario référence'!$B$17+'Scénario référence'!$B$9+'Scénario référence'!$B$10)*70+IF((45+25*(1-EXP(-0.0175*$A86)))&lt;70,'Scénario référence'!$B$16*(45+25*(1-EXP(-0.0175*$A86))),70*'Scénario référence'!$B$16)+IF((32+38*(1-EXP(-0.0175*$A86)))&lt;70,'Scénario référence'!$B$18*(32+38*(1-EXP(-0.0175*$A86))),70*'Scénario référence'!$B$18)</f>
        <v>70</v>
      </c>
      <c r="OS86" s="12">
        <f>IF($A86&gt;30,10,('Scénario référence'!$B$16+'Scénario référence'!$B$17+'Scénario référence'!$B$18+'Scénario référence'!$B$9+'Scénario référence'!$B$10)*$A86*10/30+('Scénario référence'!$F$8+'Scénario référence'!$F$9)*10)</f>
        <v>10</v>
      </c>
      <c r="OT86" s="12" t="e">
        <f>VLOOKUP($A86,'Données projet'!$A$538:$I$558,2,0)</f>
        <v>#N/A</v>
      </c>
      <c r="OU86" s="12" t="e">
        <f>VLOOKUP($A86,'Données projet'!$A$538:$I$558,9,0)</f>
        <v>#N/A</v>
      </c>
      <c r="OV86" s="12">
        <f t="array" ref="OV86">INDEX(OU:OU,MIN(IF(ISNUMBER(OU86:OU282),ROW(OU86:OU282),"")))</f>
        <v>0</v>
      </c>
      <c r="OW86" s="12">
        <f>IF('Données projet'!$A$538&gt;35,OW85+OV86-PE85,IF($A86&lt;'Données projet'!$A$538,$CQ$205^$A86,IF($A86='Données projet'!$A$538,'Données projet'!$B$538,OW85+OV86-PE85)))</f>
        <v>0</v>
      </c>
      <c r="OX86" s="17" t="e">
        <f>OW86*VLOOKUP('Données projet'!$B$28,Paramètres!$A$1:$I$89,3,0)*VLOOKUP('Données projet'!$B$28,Paramètres!$A$1:$I$89,5,0)</f>
        <v>#N/A</v>
      </c>
      <c r="OY86" s="13" t="e">
        <f t="shared" si="220"/>
        <v>#N/A</v>
      </c>
      <c r="OZ86" s="14" t="e">
        <f t="shared" si="177"/>
        <v>#N/A</v>
      </c>
      <c r="PA86" s="59" t="e">
        <f t="shared" si="178"/>
        <v>#N/A</v>
      </c>
      <c r="PB86" s="20" t="e">
        <f ca="1">AVERAGE(OFFSET($PA$3,0,0,'Données projet'!$E$28+1,1))-AVERAGE(OFFSET($H$3,0,0,'Données projet'!$E$28+1,1))</f>
        <v>#N/A</v>
      </c>
      <c r="PC86" s="59" t="e">
        <f t="shared" si="221"/>
        <v>#N/A</v>
      </c>
      <c r="PD86" s="15">
        <f>IF(ISNA(VLOOKUP($A86,'Données projet'!$A$538:$I$558,3,0)),0,VLOOKUP($A86,'Données projet'!$A$538:$I$558,3,0))</f>
        <v>0</v>
      </c>
      <c r="PE86" s="15">
        <f>IF(ISNA(VLOOKUP($A86,'Données projet'!$A$538:$I$558,4,0)),0,VLOOKUP($A86,'Données projet'!$A$538:$I$558,4,0))</f>
        <v>0</v>
      </c>
      <c r="PF86" s="16">
        <f>IF(ISNA(VLOOKUP($A86,'Données projet'!$A$538:$I$558,5,0)),0%,VLOOKUP($A86,'Données projet'!$A$538:$I$558,5,0)*VLOOKUP('Données projet'!$B$28,Paramètres!$A$1:$I$89,7,0))</f>
        <v>0</v>
      </c>
      <c r="PG86" s="16">
        <f>IF(ISNA(VLOOKUP($A86,'Données projet'!$A$538:$I$558,6,0)),0%,VLOOKUP($A86,'Données projet'!$A$538:$I$558,6,0)*VLOOKUP('Données projet'!$B$28,Paramètres!$A$1:$I$89,7,0))</f>
        <v>0</v>
      </c>
      <c r="PH86" s="16">
        <f>IF(ISNA(VLOOKUP($A86,'Données projet'!$A$538:$I$558,7,0)),0%,VLOOKUP($A86,'Données projet'!$A$538:$I$558,7,0))</f>
        <v>0</v>
      </c>
      <c r="PI86" s="21" t="e">
        <f>EXP(-LN(2)/35)*PI85+(1-EXP(-LN(2)/35))/(LN(2)/35)*PE86*PF86*VLOOKUP('Données projet'!$B$28,Paramètres!$A$1:$I$89,3,0)*0.475*44/12</f>
        <v>#N/A</v>
      </c>
      <c r="PJ86" s="21" t="e">
        <f>EXP(-LN(2)/25)*PJ85+(1-EXP(-LN(2)/25))/(LN(2)/25)*Calculateur!PE86*Calculateur!PG86*VLOOKUP('Données projet'!$B$28,Paramètres!$A$1:$I$89,3,0)*0.475*44/12</f>
        <v>#N/A</v>
      </c>
      <c r="PK86" s="21" t="e">
        <f>EXP(-LN(2)/2)*PK85+(1-EXP(-LN(2)/2))/(LN(2)/2)*PE86*PH86*VLOOKUP('Données projet'!$B$28,Paramètres!$A$1:$I$89,3,0)*0.475*44/12</f>
        <v>#N/A</v>
      </c>
      <c r="PL86" s="22" t="e">
        <f t="shared" si="179"/>
        <v>#N/A</v>
      </c>
    </row>
    <row r="87" spans="1:428" x14ac:dyDescent="0.35">
      <c r="A87" s="10">
        <f t="shared" si="180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181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121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projet'!$A$45:$I$65,2,0)</f>
        <v>#N/A</v>
      </c>
      <c r="L87" s="12" t="e">
        <f>VLOOKUP(A87,'Données projet'!$A$45:$I$65,9,0)</f>
        <v>#N/A</v>
      </c>
      <c r="M87" s="12">
        <f t="array" ref="M87">INDEX(L:L,MIN(IF(ISNUMBER(L87:L283),ROW(L87:L283),"")))</f>
        <v>0</v>
      </c>
      <c r="N87" s="13">
        <f>IF('Données projet'!$A$46&gt;35,N86+M87-V86,IF(A87&lt;'Données projet'!$A$46,$K$205^A87,IF(A87='Données projet'!$A$46,'Données projet'!$B$46,N86+M87-V86)))</f>
        <v>-1.1368683772161603E-13</v>
      </c>
      <c r="O87" s="13">
        <f>N87*VLOOKUP('Données projet'!$B$9,Paramètres!$A$1:$I$89,3,0)*VLOOKUP('Données projet'!$B$9,Paramètres!$A$1:$I$89,5,0)</f>
        <v>-6.3550942286383367E-14</v>
      </c>
      <c r="P87" s="13" t="e">
        <f t="shared" si="182"/>
        <v>#NUM!</v>
      </c>
      <c r="Q87" s="20" t="e">
        <f t="shared" si="119"/>
        <v>#NUM!</v>
      </c>
      <c r="R87" s="59" t="e">
        <f t="shared" si="120"/>
        <v>#NUM!</v>
      </c>
      <c r="S87" s="59">
        <f ca="1">AVERAGE(OFFSET($R$3,0,0,'Données projet'!$E$9+1,1))-AVERAGE(OFFSET($H$3,0,0,'Données projet'!$E$9+1,1))</f>
        <v>274.57619581652199</v>
      </c>
      <c r="T87" s="59">
        <f t="shared" si="183"/>
        <v>366.15117322598775</v>
      </c>
      <c r="U87" s="15">
        <f>IF(ISNA(VLOOKUP(A87,'Données projet'!$A$45:$I$65,3,0)),0,VLOOKUP(A87,'Données projet'!$A$45:$I$65,3,0))</f>
        <v>0</v>
      </c>
      <c r="V87" s="15">
        <f>IF(ISNA(VLOOKUP(A87,'Données projet'!$A$45:$I$65,4,0)),0,VLOOKUP(A87,'Données projet'!$A$45:$I$65,4,0))</f>
        <v>0</v>
      </c>
      <c r="W87" s="16">
        <f>IF(ISNA(VLOOKUP(A87,'Données projet'!$A$45:$I$65,5,0)),0%,VLOOKUP(A87,'Données projet'!$A$45:$I$65,5,0)*VLOOKUP('Données projet'!$B$9,Paramètres!$A$1:$I$89,7,0))</f>
        <v>0</v>
      </c>
      <c r="X87" s="16">
        <f>IF(ISNA(VLOOKUP(A87,'Données projet'!$A$45:$I$65,6,0)),0%,VLOOKUP(A87,'Données projet'!$A$45:$I$65,6,0)*VLOOKUP('Données projet'!$B$9,Paramètres!$A$1:$I$89,7,0))</f>
        <v>0</v>
      </c>
      <c r="Y87" s="16">
        <f>IF(ISNA(VLOOKUP(A87,'Données projet'!$A$45:$I$65,7,0)),0%,VLOOKUP(A87,'Données projet'!$A$45:$I$65,7,0))</f>
        <v>0</v>
      </c>
      <c r="Z87" s="21">
        <f>EXP(-LN(2)/35)*Z86+(1-EXP(-LN(2)/35))/(LN(2)/35)*V87*W87*VLOOKUP('Données projet'!$B$9,Paramètres!$A$1:$I$89,3,0)*0.475*44/12</f>
        <v>127.6275521499268</v>
      </c>
      <c r="AA87" s="21">
        <f>EXP(-LN(2)/25)*AA86+(1-EXP(-LN(2)/25))/(LN(2)/25)*Calculateur!V87*Calculateur!X87*VLOOKUP('Données projet'!$B$9,Paramètres!$A$1:$I$89,3,0)*0.475*44/12</f>
        <v>25.78015911274019</v>
      </c>
      <c r="AB87" s="21">
        <f>EXP(-LN(2)/2)*AB86+(1-EXP(-LN(2)/2))/(LN(2)/2)*V87*Y87*VLOOKUP('Données projet'!$B$9,Paramètres!$A$1:$I$89,3,0)*0.475*44/12</f>
        <v>1.4743462961110284E-3</v>
      </c>
      <c r="AC87" s="22">
        <f t="shared" si="122"/>
        <v>153.4091856089631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projet'!$A$71:$I$91,2,0)</f>
        <v>#N/A</v>
      </c>
      <c r="AG87" s="12" t="e">
        <f>VLOOKUP(A87,'Données projet'!$A$71:$I$91,9,0)</f>
        <v>#N/A</v>
      </c>
      <c r="AH87" s="12">
        <f t="array" ref="AH87">INDEX(AG:AG,MIN(IF(ISNUMBER(AG87:AG283),ROW(AG87:AG283),"")))</f>
        <v>7.4950142450142421</v>
      </c>
      <c r="AI87" s="13">
        <f>IF('Données projet'!$A$72&gt;35,AI86+AH87-AQ86,IF(A87&lt;'Données projet'!$A$72,$AF$205^A87,IF(A87='Données projet'!$A$72,'Données projet'!$B$72,AI86+AH87-AQ86)))</f>
        <v>258.38390313390335</v>
      </c>
      <c r="AJ87" s="13">
        <f>AI87*VLOOKUP('Données projet'!$B$10,Paramètres!$A$1:$I$89,3,0)*VLOOKUP('Données projet'!$B$10,Paramètres!$A$1:$I$89,5,0)</f>
        <v>233.78575555555574</v>
      </c>
      <c r="AK87" s="13">
        <f t="shared" si="184"/>
        <v>57.10047099813341</v>
      </c>
      <c r="AL87" s="20">
        <f t="shared" si="123"/>
        <v>506.62684458100858</v>
      </c>
      <c r="AM87" s="59">
        <f t="shared" si="124"/>
        <v>799.9601779143419</v>
      </c>
      <c r="AN87" s="59">
        <f ca="1">AVERAGE(OFFSET($AM$3,0,0,'Données projet'!$E$10+1,1))-AVERAGE(OFFSET($H$3,0,0,'Données projet'!$E$10+1,1))</f>
        <v>270.87836509222456</v>
      </c>
      <c r="AO87" s="59">
        <f t="shared" si="185"/>
        <v>205.24998237949734</v>
      </c>
      <c r="AP87" s="15">
        <f>IF(ISNA(VLOOKUP(A87,'Données projet'!$A$71:$I$91,3,0)),0,VLOOKUP(A87,'Données projet'!$A$71:$I$91,3,0))</f>
        <v>0</v>
      </c>
      <c r="AQ87" s="15">
        <f>IF(ISNA(VLOOKUP(A87,'Données projet'!$A$71:$I$91,4,0)),0,VLOOKUP(A87,'Données projet'!$A$71:$I$91,4,0))</f>
        <v>0</v>
      </c>
      <c r="AR87" s="16">
        <f>IF(ISNA(VLOOKUP(A87,'Données projet'!$A$71:$I$91,5,0)),0%,VLOOKUP(A87,'Données projet'!$A$71:$I$91,5,0)*VLOOKUP('Données projet'!$B$10,Paramètres!$A$1:$I$89,7,0))</f>
        <v>0</v>
      </c>
      <c r="AS87" s="16">
        <f>IF(ISNA(VLOOKUP(A87,'Données projet'!$A$71:$I$91,6,0)),0%,VLOOKUP(A87,'Données projet'!$A$71:$I$91,6,0)*VLOOKUP('Données projet'!$B$10,Paramètres!$A$1:$I$89,7,0))</f>
        <v>0</v>
      </c>
      <c r="AT87" s="16">
        <f>IF(ISNA(VLOOKUP(A87,'Données projet'!$A$71:$I$91,7,0)),0%,VLOOKUP(A87,'Données projet'!$A$71:$I$91,7,0))</f>
        <v>0</v>
      </c>
      <c r="AU87" s="21">
        <f>EXP(-LN(2)/35)*AU86+(1-EXP(-LN(2)/35))/(LN(2)/35)*AQ87*AR87*VLOOKUP('Données projet'!$B$10,Paramètres!$A$1:$I$89,3,0)*0.475*44/12</f>
        <v>30.267772671494157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125"/>
        <v>30.267772671494157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projet'!$A$97:$I$117,2,0)</f>
        <v>#N/A</v>
      </c>
      <c r="BB87" s="12" t="e">
        <f>VLOOKUP(A87,'Données projet'!$A$97:$I$117,9,0)</f>
        <v>#N/A</v>
      </c>
      <c r="BC87" s="12">
        <f t="array" ref="BC87">INDEX(BB:BB,MIN(IF(ISNUMBER(BB87:BB283),ROW(BB87:BB283),"")))</f>
        <v>0</v>
      </c>
      <c r="BD87" s="12">
        <f>IF('Données projet'!$A$98&gt;35,BD86+BC87-BL86,IF(A87&lt;'Données projet'!$A$98,$BA$205^A87,IF(A87='Données projet'!$A$98,'Données projet'!$B$98,BD86+BC87-BL86)))</f>
        <v>-1.1368683772161603E-13</v>
      </c>
      <c r="BE87" s="13">
        <f>BD87*VLOOKUP('Données projet'!$B$11,Paramètres!$A$1:$I$89,3,0)*VLOOKUP('Données projet'!$B$11,Paramètres!$A$1:$I$89,5,0)</f>
        <v>-5.0249582272954292E-14</v>
      </c>
      <c r="BF87" s="13" t="e">
        <f t="shared" si="186"/>
        <v>#NUM!</v>
      </c>
      <c r="BG87" s="20" t="e">
        <f t="shared" si="126"/>
        <v>#NUM!</v>
      </c>
      <c r="BH87" s="59" t="e">
        <f t="shared" si="127"/>
        <v>#NUM!</v>
      </c>
      <c r="BI87" s="59">
        <f ca="1">AVERAGE(OFFSET($BH$3,0,0,'Données projet'!$E$11+1,1))-AVERAGE(OFFSET($H$3,0,0,'Données projet'!$E$11+1,1))</f>
        <v>211.31057120485542</v>
      </c>
      <c r="BJ87" s="59">
        <f t="shared" si="187"/>
        <v>283.33292006714777</v>
      </c>
      <c r="BK87" s="15">
        <f>IF(ISNA(VLOOKUP(A87,'Données projet'!$A$97:$I$117,3,0)),0,VLOOKUP(A87,'Données projet'!$A$97:$I$117,3,0))</f>
        <v>0</v>
      </c>
      <c r="BL87" s="15">
        <f>IF(ISNA(VLOOKUP(A87,'Données projet'!$A$97:$I$117,4,0)),0,VLOOKUP(A87,'Données projet'!$A$97:$I$117,4,0))</f>
        <v>0</v>
      </c>
      <c r="BM87" s="16">
        <f>IF(ISNA(VLOOKUP(A87,'Données projet'!$A$97:$I$117,5,0)),0%,VLOOKUP(A87,'Données projet'!$A$97:$I$117,5,0)*VLOOKUP('Données projet'!$B$11,Paramètres!$A$1:$I$89,7,0))</f>
        <v>0</v>
      </c>
      <c r="BN87" s="16">
        <f>IF(ISNA(VLOOKUP(A87,'Données projet'!$A$97:$I$117,6,0)),0%,VLOOKUP(A87,'Données projet'!$A$97:$I$117,6,0)*VLOOKUP('Données projet'!$B$11,Paramètres!$A$1:$I$89,7,0))</f>
        <v>0</v>
      </c>
      <c r="BO87" s="16">
        <f>IF(ISNA(VLOOKUP(A87,'Données projet'!$A$97:$I$117,7,0)),0%,VLOOKUP(A87,'Données projet'!$A$97:$I$117,7,0))</f>
        <v>0</v>
      </c>
      <c r="BP87" s="21">
        <f>EXP(-LN(2)/35)*BP86+(1-EXP(-LN(2)/35))/(LN(2)/35)*BL87*BM87*VLOOKUP('Données projet'!$B$11,Paramètres!$A$1:$I$89,3,0)*0.475*44/12</f>
        <v>100.91480867668632</v>
      </c>
      <c r="BQ87" s="21">
        <f>EXP(-LN(2)/25)*BQ86+(1-EXP(-LN(2)/25))/(LN(2)/25)*Calculateur!BL87*Calculateur!BN87*VLOOKUP('Données projet'!$B$11,Paramètres!$A$1:$I$89,3,0)*0.475*44/12</f>
        <v>20.384311856585263</v>
      </c>
      <c r="BR87" s="21">
        <f>EXP(-LN(2)/2)*BR86+(1-EXP(-LN(2)/2))/(LN(2)/2)*BL87*BO87*VLOOKUP('Données projet'!$B$11,Paramètres!$A$1:$I$89,3,0)*0.475*44/12</f>
        <v>1.1657621876226733E-3</v>
      </c>
      <c r="BS87" s="22">
        <f t="shared" si="128"/>
        <v>121.3002862954592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projet'!$A$123:$I$143,2,0)</f>
        <v>#N/A</v>
      </c>
      <c r="BW87" s="12" t="e">
        <f>VLOOKUP(A87,'Données projet'!$A$123:$I$143,9,0)</f>
        <v>#N/A</v>
      </c>
      <c r="BX87" s="12">
        <f t="array" ref="BX87">INDEX(BW:BW,MIN(IF(ISNUMBER(BW87:BW283),ROW(BW87:BW283),"")))</f>
        <v>3.6</v>
      </c>
      <c r="BY87" s="12">
        <f>IF('Données projet'!$A$124&gt;35,BY86+BX87-CG86,IF(A87&lt;'Données projet'!$A$124,$BV$205^A87,IF(A87='Données projet'!$A$124,'Données projet'!$B$124,BY86+BX87-CG86)))</f>
        <v>244.4</v>
      </c>
      <c r="BZ87" s="13">
        <f>BY87*VLOOKUP('Données projet'!$B$12,Paramètres!$A$1:$I$89,3,0)*VLOOKUP('Données projet'!$B$12,Paramètres!$A$1:$I$89,5,0)</f>
        <v>255.44688000000005</v>
      </c>
      <c r="CA87" s="13">
        <f t="shared" si="188"/>
        <v>61.750841087245945</v>
      </c>
      <c r="CB87" s="20">
        <f t="shared" si="129"/>
        <v>552.45269756028677</v>
      </c>
      <c r="CC87" s="59">
        <f t="shared" si="130"/>
        <v>845.78603089362014</v>
      </c>
      <c r="CD87" s="59">
        <f ca="1">AVERAGE(OFFSET($CC$3,0,0,'Données projet'!$E$12+1,1))-AVERAGE(OFFSET($H$3,0,0,'Données projet'!$E$12+1,1))</f>
        <v>322.93502595881938</v>
      </c>
      <c r="CE87" s="59">
        <f t="shared" si="189"/>
        <v>302.67072119588164</v>
      </c>
      <c r="CF87" s="15">
        <f>IF(ISNA(VLOOKUP(A87,'Données projet'!$A$123:$I$143,3,0)),0,VLOOKUP(A87,'Données projet'!$A$123:$I$143,3,0))</f>
        <v>0</v>
      </c>
      <c r="CG87" s="15">
        <f>IF(ISNA(VLOOKUP(A87,'Données projet'!$A$123:$I$143,4,0)),0,VLOOKUP(A87,'Données projet'!$A$123:$I$143,4,0))</f>
        <v>0</v>
      </c>
      <c r="CH87" s="16">
        <f>IF(ISNA(VLOOKUP(A87,'Données projet'!$A$123:$I$143,5,0)),0%,VLOOKUP(A87,'Données projet'!$A$123:$I$143,5,0)*VLOOKUP('Données projet'!$B$12,Paramètres!$A$1:$I$89,7,0))</f>
        <v>0</v>
      </c>
      <c r="CI87" s="16">
        <f>IF(ISNA(VLOOKUP(A87,'Données projet'!$A$123:$I$143,6,0)),0%,VLOOKUP(A87,'Données projet'!$A$123:$I$143,6,0)*VLOOKUP('Données projet'!$B$12,Paramètres!$A$1:$I$89,7,0))</f>
        <v>0</v>
      </c>
      <c r="CJ87" s="16">
        <f>IF(ISNA(VLOOKUP(A87,'Données projet'!$A$123:$I$143,7,0)),0%,VLOOKUP(A87,'Données projet'!$A$123:$I$143,7,0))</f>
        <v>0</v>
      </c>
      <c r="CK87" s="21">
        <f>EXP(-LN(2)/35)*CK86+(1-EXP(-LN(2)/35))/(LN(2)/35)*CG87*CH87*VLOOKUP('Données projet'!$B$12,Paramètres!$A$1:$I$89,3,0)*0.475*44/12</f>
        <v>25.557513963760115</v>
      </c>
      <c r="CL87" s="21">
        <f>EXP(-LN(2)/25)*CL86+(1-EXP(-LN(2)/25))/(LN(2)/25)*Calculateur!CG87*Calculateur!CI87*VLOOKUP('Données projet'!$B$12,Paramètres!$A$1:$I$89,3,0)*0.475*44/12</f>
        <v>20.059266631926363</v>
      </c>
      <c r="CM87" s="21">
        <f>EXP(-LN(2)/2)*CM86+(1-EXP(-LN(2)/2))/(LN(2)/2)*CG87*CJ87*VLOOKUP('Données projet'!$B$12,Paramètres!$A$1:$I$89,3,0)*0.475*44/12</f>
        <v>0</v>
      </c>
      <c r="CN87" s="22">
        <f t="shared" si="131"/>
        <v>45.616780595686478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>
        <f>VLOOKUP(A87,'Données projet'!$A$149:$I$169,2,0)</f>
        <v>200.00641025641025</v>
      </c>
      <c r="CR87" s="12">
        <f>VLOOKUP(A87,'Données projet'!$A$149:$I$169,9,0)</f>
        <v>5.5042735042735051</v>
      </c>
      <c r="CS87" s="12">
        <f t="array" ref="CS87">INDEX(CR:CR,MIN(IF(ISNUMBER(CR87:CR283),ROW(CR87:CR283),"")))</f>
        <v>5.5042735042735051</v>
      </c>
      <c r="CT87" s="12">
        <f>IF('Données projet'!$A$150&gt;35,CT86+CS87-DB86,IF(A87&lt;'Données projet'!$A$150,$CQ$205^A87,IF(A87='Données projet'!$A$150,'Données projet'!$B$150,CT86+CS87-DB86)))</f>
        <v>200.00641025641016</v>
      </c>
      <c r="CU87" s="17">
        <f>CT87*VLOOKUP('Données projet'!$B$13,Paramètres!$A$1:$I$89,3,0)*VLOOKUP('Données projet'!$B$13,Paramètres!$A$1:$I$89,5,0)</f>
        <v>202.80649999999991</v>
      </c>
      <c r="CV87" s="13">
        <f t="shared" si="190"/>
        <v>50.360450370083477</v>
      </c>
      <c r="CW87" s="20">
        <f t="shared" si="132"/>
        <v>440.93243856122854</v>
      </c>
      <c r="CX87" s="59">
        <f t="shared" si="133"/>
        <v>734.26577189456179</v>
      </c>
      <c r="CY87" s="59">
        <f ca="1">AVERAGE(OFFSET($CX$3,0,0,'Données projet'!$E$13+1,1))-AVERAGE(OFFSET($H$3,0,0,'Données projet'!$E$13+1,1))</f>
        <v>250.31277422753283</v>
      </c>
      <c r="CZ87" s="59">
        <f t="shared" si="191"/>
        <v>159.20429420478047</v>
      </c>
      <c r="DA87" s="15">
        <f>IF(ISNA(VLOOKUP(A87,'Données projet'!$A$149:$I$169,3,0)),0,VLOOKUP(A87,'Données projet'!$A$149:$I$169,3,0))</f>
        <v>6</v>
      </c>
      <c r="DB87" s="15">
        <f>IF(ISNA(VLOOKUP(A87,'Données projet'!$A$149:$I$169,4,0)),0,VLOOKUP(A87,'Données projet'!$A$149:$I$169,4,0))</f>
        <v>35.083333333333329</v>
      </c>
      <c r="DC87" s="16">
        <f>IF(ISNA(VLOOKUP(A87,'Données projet'!$A$149:$I$169,5,0)),0%,VLOOKUP(A87,'Données projet'!$A$149:$I$169,5,0)*VLOOKUP('Données projet'!$B$13,Paramètres!$A$1:$I$89,7,0))</f>
        <v>0.30099999999999999</v>
      </c>
      <c r="DD87" s="16">
        <f>IF(ISNA(VLOOKUP(A87,'Données projet'!$A$149:$I$169,6,0)),0%,VLOOKUP(A87,'Données projet'!$A$149:$I$169,6,0)*VLOOKUP('Données projet'!$B$13,Paramètres!$A$1:$I$89,7,0))</f>
        <v>0</v>
      </c>
      <c r="DE87" s="16">
        <f>IF(ISNA(VLOOKUP(A87,'Données projet'!$A$149:$I$169,7,0)),0%,VLOOKUP(A87,'Données projet'!$A$149:$I$169,7,0))</f>
        <v>0</v>
      </c>
      <c r="DF87" s="21">
        <f>EXP(-LN(2)/35)*DF86+(1-EXP(-LN(2)/35))/(LN(2)/35)*DB87*DC87*VLOOKUP('Données projet'!$B$13,Paramètres!$A$1:$I$89,3,0)*0.475*44/12</f>
        <v>20.565730959198525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134"/>
        <v>20.565730959198525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projet'!$A$175:$I$195,2,0)</f>
        <v>#N/A</v>
      </c>
      <c r="DM87" s="12" t="e">
        <f>VLOOKUP(A87,'Données projet'!$A$175:$I$195,9,0)</f>
        <v>#N/A</v>
      </c>
      <c r="DN87" s="12">
        <f t="array" ref="DN87">INDEX(DM:DM,MIN(IF(ISNUMBER(DM87:DM283),ROW(DM87:DM283),"")))</f>
        <v>0</v>
      </c>
      <c r="DO87" s="12">
        <f>IF('Données projet'!$A$176&gt;35,DO86+DN87-DW86,IF(A87&lt;'Données projet'!$A$176,$DL$205^A87,IF(A87='Données projet'!$A$176,'Données projet'!$B$176,DO86+DN87-DW86)))</f>
        <v>-2.8421709430404007E-13</v>
      </c>
      <c r="DP87" s="17">
        <f>DO87*VLOOKUP('Données projet'!$B$14,Paramètres!$A$1:$I$89,3,0)*VLOOKUP('Données projet'!$B$14,Paramètres!$A$1:$I$89,5,0)</f>
        <v>-2.0838797354372215E-13</v>
      </c>
      <c r="DQ87" s="13" t="e">
        <f t="shared" si="192"/>
        <v>#NUM!</v>
      </c>
      <c r="DR87" s="20" t="e">
        <f t="shared" si="135"/>
        <v>#NUM!</v>
      </c>
      <c r="DS87" s="59" t="e">
        <f t="shared" si="136"/>
        <v>#NUM!</v>
      </c>
      <c r="DT87" s="59">
        <f ca="1">AVERAGE(OFFSET($DS$3,0,0,'Données projet'!$E$14+1,1))-AVERAGE(OFFSET($H$3,0,0,'Données projet'!$E$14+1,1))</f>
        <v>296.91321813251051</v>
      </c>
      <c r="DU87" s="59">
        <f t="shared" si="193"/>
        <v>291.0718079639509</v>
      </c>
      <c r="DV87" s="15">
        <f>IF(ISNA(VLOOKUP(A87,'Données projet'!$A$175:$I$195,3,0)),0,VLOOKUP(A87,'Données projet'!$A$175:$I$195,3,0))</f>
        <v>0</v>
      </c>
      <c r="DW87" s="15">
        <f>IF(ISNA(VLOOKUP(A87,'Données projet'!$A$175:$I$195,4,0)),0,VLOOKUP(A87,'Données projet'!$A$175:$I$195,4,0))</f>
        <v>0</v>
      </c>
      <c r="DX87" s="16">
        <f>IF(ISNA(VLOOKUP(A87,'Données projet'!$A$175:$I$195,5,0)),0%,VLOOKUP(A87,'Données projet'!$A$175:$I$195,5,0)*VLOOKUP('Données projet'!$B$14,Paramètres!$A$1:$I$89,7,0))</f>
        <v>0</v>
      </c>
      <c r="DY87" s="16">
        <f>IF(ISNA(VLOOKUP(A87,'Données projet'!$A$175:$I$195,6,0)),0%,VLOOKUP(A87,'Données projet'!$A$175:$I$195,6,0)*VLOOKUP('Données projet'!$B$14,Paramètres!$A$1:$I$89,7,0))</f>
        <v>0</v>
      </c>
      <c r="DZ87" s="16">
        <f>IF(ISNA(VLOOKUP(A87,'Données projet'!$A$175:$I$195,7,0)),0%,VLOOKUP(A87,'Données projet'!$A$175:$I$195,7,0))</f>
        <v>0</v>
      </c>
      <c r="EA87" s="21">
        <f>EXP(-LN(2)/35)*EA86+(1-EXP(-LN(2)/35))/(LN(2)/35)*DW87*DX87*VLOOKUP('Données projet'!$B$14,Paramètres!$A$1:$I$89,3,0)*0.475*44/12</f>
        <v>160.24771184556351</v>
      </c>
      <c r="EB87" s="21">
        <f>EXP(-LN(2)/25)*EB86+(1-EXP(-LN(2)/25))/(LN(2)/25)*Calculateur!DW87*Calculateur!DY87*VLOOKUP('Données projet'!$B$14,Paramètres!$A$1:$I$89,3,0)*0.475*44/12</f>
        <v>4.7927461322553322</v>
      </c>
      <c r="EC87" s="21">
        <f>EXP(-LN(2)/2)*EC86+(1-EXP(-LN(2)/2))/(LN(2)/2)*DW87*DZ87*VLOOKUP('Données projet'!$B$14,Paramètres!$A$1:$I$89,3,0)*0.475*44/12</f>
        <v>0</v>
      </c>
      <c r="ED87" s="22">
        <f t="shared" si="137"/>
        <v>165.04045797781885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projet'!$A$201:$I$221,2,0)</f>
        <v>#N/A</v>
      </c>
      <c r="EH87" s="12" t="e">
        <f>VLOOKUP(A87,'Données projet'!$A$201:$I$221,9,0)</f>
        <v>#N/A</v>
      </c>
      <c r="EI87" s="12">
        <f t="array" ref="EI87">INDEX(EH:EH,MIN(IF(ISNUMBER(EH87:EH283),ROW(EH87:EH283),"")))</f>
        <v>9.001923076923072</v>
      </c>
      <c r="EJ87" s="12">
        <f>IF('Données projet'!$A$202&gt;35,EJ86+EI87-ER86,IF(A87&lt;'Données projet'!$A$202,$EG$205^A87,IF(A87='Données projet'!$A$202,'Données projet'!$B$202,EJ86+EI87-ER86)))</f>
        <v>356.13269230769254</v>
      </c>
      <c r="EK87" s="17">
        <f>EJ87*VLOOKUP('Données projet'!$B$15,Paramètres!$A$1:$I$89,3,0)*VLOOKUP('Données projet'!$B$15,Paramètres!$A$1:$I$89,5,0)</f>
        <v>166.6701000000001</v>
      </c>
      <c r="EL87" s="13">
        <f t="shared" si="194"/>
        <v>42.34338029651839</v>
      </c>
      <c r="EM87" s="20">
        <f t="shared" si="138"/>
        <v>364.03181151643639</v>
      </c>
      <c r="EN87" s="59">
        <f t="shared" si="139"/>
        <v>657.36514484976965</v>
      </c>
      <c r="EO87" s="59">
        <f ca="1">AVERAGE(OFFSET($EN$3,0,0,'Données projet'!$E$15+1,1))-AVERAGE(OFFSET($H$3,0,0,'Données projet'!$E$15+1,1))</f>
        <v>147.64256291235483</v>
      </c>
      <c r="EP87" s="59">
        <f t="shared" si="195"/>
        <v>70.859031694091868</v>
      </c>
      <c r="EQ87" s="15">
        <f>IF(ISNA(VLOOKUP(A87,'Données projet'!$A$201:$I$221,3,0)),0,VLOOKUP(A87,'Données projet'!$A$201:$I$221,3,0))</f>
        <v>0</v>
      </c>
      <c r="ER87" s="15">
        <f>IF(ISNA(VLOOKUP(A87,'Données projet'!$A$201:$I$221,4,0)),0,VLOOKUP(A87,'Données projet'!$A$201:$I$221,4,0))</f>
        <v>0</v>
      </c>
      <c r="ES87" s="16">
        <f>IF(ISNA(VLOOKUP(A87,'Données projet'!$A$201:$I$221,5,0)),0%,VLOOKUP(A87,'Données projet'!$A$201:$I$221,5,0)*VLOOKUP('Données projet'!$B$15,Paramètres!$A$1:$I$89,7,0))</f>
        <v>0</v>
      </c>
      <c r="ET87" s="16">
        <f>IF(ISNA(VLOOKUP(A87,'Données projet'!$A$201:$I$221,6,0)),0%,VLOOKUP(A87,'Données projet'!$A$201:$I$221,6,0)*VLOOKUP('Données projet'!$B$15,Paramètres!$A$1:$I$89,7,0))</f>
        <v>0</v>
      </c>
      <c r="EU87" s="16">
        <f>IF(ISNA(VLOOKUP(A87,'Données projet'!$A$201:$I$221,7,0)),0%,VLOOKUP(A87,'Données projet'!$A$201:$I$221,7,0))</f>
        <v>0</v>
      </c>
      <c r="EV87" s="21">
        <f>EXP(-LN(2)/35)*EV86+(1-EXP(-LN(2)/35))/(LN(2)/35)*ER87*ES87*VLOOKUP('Données projet'!$B$15,Paramètres!$A$1:$I$89,3,0)*0.475*44/12</f>
        <v>34.116563699395513</v>
      </c>
      <c r="EW87" s="21">
        <f>EXP(-LN(2)/25)*EW86+(1-EXP(-LN(2)/25))/(LN(2)/25)*Calculateur!ER87*Calculateur!ET87*VLOOKUP('Données projet'!$B$15,Paramètres!$A$1:$I$89,3,0)*0.475*44/12</f>
        <v>14.902652645798517</v>
      </c>
      <c r="EX87" s="21">
        <f>EXP(-LN(2)/2)*EX86+(1-EXP(-LN(2)/2))/(LN(2)/2)*ER87*EU87*VLOOKUP('Données projet'!$B$15,Paramètres!$A$1:$I$89,3,0)*0.475*44/12</f>
        <v>0.26933821766613253</v>
      </c>
      <c r="EY87" s="22">
        <f t="shared" si="140"/>
        <v>49.288554562860163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projet'!$A$227:$I$247,2,0)</f>
        <v>#N/A</v>
      </c>
      <c r="FC87" s="12" t="e">
        <f>VLOOKUP(A87,'Données projet'!$A$227:$I$247,9,0)</f>
        <v>#N/A</v>
      </c>
      <c r="FD87" s="12">
        <f t="array" ref="FD87">INDEX(FC:FC,MIN(IF(ISNUMBER(FC87:FC283),ROW(FC87:FC283),"")))</f>
        <v>2.8</v>
      </c>
      <c r="FE87" s="12">
        <f>IF('Données projet'!$A$228&gt;35,FE86+FD87-FM86,IF(A87&lt;'Données projet'!$A$228,$FB$205^A87,IF(A87='Données projet'!$A$228,'Données projet'!$B$228,FE86+FD87-FM86)))</f>
        <v>208.19999999999996</v>
      </c>
      <c r="FF87" s="17">
        <f>FE87*VLOOKUP('Données projet'!$B$16,Paramètres!$A$1:$I$89,3,0)*VLOOKUP('Données projet'!$B$16,Paramètres!$A$1:$I$89,5,0)</f>
        <v>217.61063999999996</v>
      </c>
      <c r="FG87" s="13">
        <f t="shared" si="196"/>
        <v>53.595240539151249</v>
      </c>
      <c r="FH87" s="20">
        <f t="shared" si="141"/>
        <v>472.35024193902171</v>
      </c>
      <c r="FI87" s="59">
        <f t="shared" si="142"/>
        <v>765.68357527235503</v>
      </c>
      <c r="FJ87" s="59">
        <f ca="1">AVERAGE(OFFSET($FI$3,0,0,'Données projet'!$E$16+1,1))-AVERAGE(OFFSET($H$3,0,0,'Données projet'!$E$16+1,1))</f>
        <v>259.03906550253788</v>
      </c>
      <c r="FK87" s="59">
        <f t="shared" si="197"/>
        <v>235.54542903570831</v>
      </c>
      <c r="FL87" s="15">
        <f>IF(ISNA(VLOOKUP(A87,'Données projet'!$A$227:$I$247,3,0)),0,VLOOKUP(A87,'Données projet'!$A$227:$I$247,3,0))</f>
        <v>0</v>
      </c>
      <c r="FM87" s="15">
        <f>IF(ISNA(VLOOKUP(A87,'Données projet'!$A$227:$I$247,4,0)),0,VLOOKUP(A87,'Données projet'!$A$227:$I$247,4,0))</f>
        <v>0</v>
      </c>
      <c r="FN87" s="16">
        <f>IF(ISNA(VLOOKUP(A87,'Données projet'!$A$227:$I$247,5,0)),0%,VLOOKUP(A87,'Données projet'!$A$227:$I$247,5,0)*VLOOKUP('Données projet'!$B$16,Paramètres!$A$1:$I$89,7,0))</f>
        <v>0</v>
      </c>
      <c r="FO87" s="16">
        <f>IF(ISNA(VLOOKUP(A87,'Données projet'!$A$227:$I$247,6,0)),0%,VLOOKUP(A87,'Données projet'!$A$227:$I$247,6,0)*VLOOKUP('Données projet'!$B$16,Paramètres!$A$1:$I$89,7,0))</f>
        <v>0</v>
      </c>
      <c r="FP87" s="16">
        <f>IF(ISNA(VLOOKUP(A87,'Données projet'!$A$227:$I$247,7,0)),0%,VLOOKUP(A87,'Données projet'!$A$227:$I$247,7,0))</f>
        <v>0</v>
      </c>
      <c r="FQ87" s="21">
        <f>EXP(-LN(2)/35)*FQ86+(1-EXP(-LN(2)/35))/(LN(2)/35)*FM87*FN87*VLOOKUP('Données projet'!$B$16,Paramètres!$A$1:$I$89,3,0)*0.475*44/12</f>
        <v>12.049113612916413</v>
      </c>
      <c r="FR87" s="21">
        <f>EXP(-LN(2)/25)*FR86+(1-EXP(-LN(2)/25))/(LN(2)/25)*Calculateur!FM87*Calculateur!FO87*VLOOKUP('Données projet'!$B$16,Paramètres!$A$1:$I$89,3,0)*0.475*44/12</f>
        <v>15.357808666920057</v>
      </c>
      <c r="FS87" s="21">
        <f>EXP(-LN(2)/2)*FS86+(1-EXP(-LN(2)/2))/(LN(2)/2)*FM87*FP87*VLOOKUP('Données projet'!$B$16,Paramètres!$A$1:$I$89,3,0)*0.475*44/12</f>
        <v>0</v>
      </c>
      <c r="FT87" s="22">
        <f t="shared" si="143"/>
        <v>27.406922279836472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projet'!$A$253:$I$273,2,0)</f>
        <v>#N/A</v>
      </c>
      <c r="FX87" s="12" t="e">
        <f>VLOOKUP(A87,'Données projet'!$A$253:$I$273,9,0)</f>
        <v>#N/A</v>
      </c>
      <c r="FY87" s="12">
        <f t="array" ref="FY87">INDEX(FX:FX,MIN(IF(ISNUMBER(FX87:FX283),ROW(FX87:FX283),"")))</f>
        <v>0</v>
      </c>
      <c r="FZ87" s="12">
        <f>IF('Données projet'!$A$254&gt;35,FZ86+FY87-GH86,IF(A87&lt;'Données projet'!$A$254,$FW$205^A87,IF(A87='Données projet'!$A$254,'Données projet'!$B$254,FZ86+FY87-GH86)))</f>
        <v>-1.7053025658242404E-13</v>
      </c>
      <c r="GA87" s="17">
        <f>FZ87*VLOOKUP('Données projet'!$B$17,Paramètres!$A$1:$I$89,3,0)*VLOOKUP('Données projet'!$B$17,Paramètres!$A$1:$I$89,5,0)</f>
        <v>-1.4897523215040567E-13</v>
      </c>
      <c r="GB87" s="13" t="e">
        <f t="shared" si="198"/>
        <v>#NUM!</v>
      </c>
      <c r="GC87" s="20" t="e">
        <f t="shared" si="144"/>
        <v>#NUM!</v>
      </c>
      <c r="GD87" s="59" t="e">
        <f t="shared" si="145"/>
        <v>#NUM!</v>
      </c>
      <c r="GE87" s="59">
        <f ca="1">AVERAGE(OFFSET($GD$3,0,0,'Données projet'!$E$17+1,1))-AVERAGE(OFFSET($H$3,0,0,'Données projet'!$E$17+1,1))</f>
        <v>245.1983232777614</v>
      </c>
      <c r="GF87" s="59">
        <f t="shared" si="199"/>
        <v>242.34010522344573</v>
      </c>
      <c r="GG87" s="15">
        <f>IF(ISNA(VLOOKUP(A87,'Données projet'!$A$253:$I$273,3,0)),0,VLOOKUP(A87,'Données projet'!$A$253:$I$273,3,0))</f>
        <v>0</v>
      </c>
      <c r="GH87" s="15">
        <f>IF(ISNA(VLOOKUP(A87,'Données projet'!$A$253:$I$273,4,0)),0,VLOOKUP(A87,'Données projet'!$A$253:$I$273,4,0))</f>
        <v>0</v>
      </c>
      <c r="GI87" s="16">
        <f>IF(ISNA(VLOOKUP(A87,'Données projet'!$A$253:$I$273,5,0)),0%,VLOOKUP(A87,'Données projet'!$A$253:$I$273,5,0)*VLOOKUP('Données projet'!$B$17,Paramètres!$A$1:$I$89,7,0))</f>
        <v>0</v>
      </c>
      <c r="GJ87" s="16">
        <f>IF(ISNA(VLOOKUP(A87,'Données projet'!$A$253:$I$273,6,0)),0%,VLOOKUP(A87,'Données projet'!$A$253:$I$273,6,0)*VLOOKUP('Données projet'!$B$17,Paramètres!$A$1:$I$89,7,0))</f>
        <v>0</v>
      </c>
      <c r="GK87" s="16">
        <f>IF(ISNA(VLOOKUP(A87,'Données projet'!$A$253:$I$273,7,0)),0%,VLOOKUP(A87,'Données projet'!$A$253:$I$273,7,0))</f>
        <v>0</v>
      </c>
      <c r="GL87" s="21">
        <f>EXP(-LN(2)/35)*GL86+(1-EXP(-LN(2)/35))/(LN(2)/35)*GH87*GI87*VLOOKUP('Données projet'!$B$17,Paramètres!$A$1:$I$89,3,0)*0.475*44/12</f>
        <v>113.83588671915798</v>
      </c>
      <c r="GM87" s="21">
        <f>EXP(-LN(2)/25)*GM86+(1-EXP(-LN(2)/25))/(LN(2)/25)*Calculateur!GH87*Calculateur!GJ87*VLOOKUP('Données projet'!$B$17,Paramètres!$A$1:$I$89,3,0)*0.475*44/12</f>
        <v>19.491058109395809</v>
      </c>
      <c r="GN87" s="21">
        <f>EXP(-LN(2)/2)*GN86+(1-EXP(-LN(2)/2))/(LN(2)/2)*GH87*GK87*VLOOKUP('Données projet'!$B$17,Paramètres!$A$1:$I$89,3,0)*0.475*44/12</f>
        <v>0</v>
      </c>
      <c r="GO87" s="21">
        <f t="shared" si="146"/>
        <v>133.32694482855379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projet'!$A$279:$I$299,2,0)</f>
        <v>#N/A</v>
      </c>
      <c r="GS87" s="12" t="e">
        <f>VLOOKUP(A87,'Données projet'!$A$279:$I$299,9,0)</f>
        <v>#N/A</v>
      </c>
      <c r="GT87" s="12">
        <f t="array" ref="GT87">INDEX(GS:GS,MIN(IF(ISNUMBER(GS87:GS283),ROW(GS87:GS283),"")))</f>
        <v>0</v>
      </c>
      <c r="GU87" s="12">
        <f>IF('Données projet'!$A$280&gt;35,GU86+GT87-HC86,IF(A87&lt;'Données projet'!$A$280,$GR$205^A87,IF(A87='Données projet'!$A$280,'Données projet'!$B$280,GU86+GT87-HC86)))</f>
        <v>-1.1368683772161603E-13</v>
      </c>
      <c r="GV87" s="17">
        <f>GU87*VLOOKUP('Données projet'!$B$18,Paramètres!$A$1:$I$89,3,0)*VLOOKUP('Données projet'!$B$18,Paramètres!$A$1:$I$89,5,0)</f>
        <v>-4.5815795601811263E-14</v>
      </c>
      <c r="GW87" s="13" t="e">
        <f t="shared" si="200"/>
        <v>#NUM!</v>
      </c>
      <c r="GX87" s="20" t="e">
        <f t="shared" si="147"/>
        <v>#NUM!</v>
      </c>
      <c r="GY87" s="59" t="e">
        <f t="shared" si="148"/>
        <v>#NUM!</v>
      </c>
      <c r="GZ87" s="59">
        <f ca="1">AVERAGE(OFFSET($GY$3,0,0,'Données projet'!$E$18+1,1))-AVERAGE(OFFSET($H$3,0,0,'Données projet'!$E$18+1,1))</f>
        <v>324.36162935850876</v>
      </c>
      <c r="HA87" s="59">
        <f t="shared" si="201"/>
        <v>265.23571072429735</v>
      </c>
      <c r="HB87" s="15">
        <f>IF(ISNA(VLOOKUP(A87,'Données projet'!$A$279:$I$299,3,0)),0,VLOOKUP(A87,'Données projet'!$A$279:$I$299,3,0))</f>
        <v>0</v>
      </c>
      <c r="HC87" s="15">
        <f>IF(ISNA(VLOOKUP(A87,'Données projet'!$A$279:$I$299,4,0)),0,VLOOKUP(A87,'Données projet'!$A$279:$I$299,4,0))</f>
        <v>0</v>
      </c>
      <c r="HD87" s="16">
        <f>IF(ISNA(VLOOKUP(A87,'Données projet'!$A$279:$I$299,5,0)),0%,VLOOKUP(A87,'Données projet'!$A$279:$I$299,5,0)*VLOOKUP('Données projet'!$B$18,Paramètres!$A$1:$I$89,7,0))</f>
        <v>0</v>
      </c>
      <c r="HE87" s="16">
        <f>IF(ISNA(VLOOKUP(A87,'Données projet'!$A$279:$I$299,6,0)),0%,VLOOKUP(A87,'Données projet'!$A$279:$I$299,6,0)*VLOOKUP('Données projet'!$B$18,Paramètres!$A$1:$I$89,7,0))</f>
        <v>0</v>
      </c>
      <c r="HF87" s="16">
        <f>IF(ISNA(VLOOKUP($A87,'Données projet'!$A$279:$I$299,7,0)),0%,VLOOKUP($A87,'Données projet'!$A$279:$I$299,7,0))</f>
        <v>0</v>
      </c>
      <c r="HG87" s="21">
        <f>EXP(-LN(2)/35)*HG86+(1-EXP(-LN(2)/35))/(LN(2)/35)*HC87*HD87*VLOOKUP('Données projet'!$B$18,Paramètres!$A$1:$I$89,3,0)*0.475*44/12</f>
        <v>218.13931779596629</v>
      </c>
      <c r="HH87" s="21">
        <f>EXP(-LN(2)/25)*HH86+(1-EXP(-LN(2)/25))/(LN(2)/25)*Calculateur!HC87*Calculateur!HE87*VLOOKUP('Données projet'!$B$18,Paramètres!$A$1:$I$89,3,0)*0.475*44/12</f>
        <v>21.677542906311341</v>
      </c>
      <c r="HI87" s="21">
        <f>EXP(-LN(2)/2)*HI86+(1-EXP(-LN(2)/2))/(LN(2)/2)*HC87*HF87*VLOOKUP('Données projet'!$B$18,Paramètres!$A$1:$I$89,3,0)*0.475*44/12</f>
        <v>2.1368024273449819</v>
      </c>
      <c r="HJ87" s="22">
        <f t="shared" si="149"/>
        <v>241.95366312962261</v>
      </c>
      <c r="HK87" s="74">
        <f>('Scénario référence'!$F$8+'Scénario référence'!$F$9+'Scénario référence'!$B$17+'Scénario référence'!$B$9+'Scénario référence'!$B$10)*70+IF((45+25*(1-EXP(-0.0175*$A87)))&lt;70,'Scénario référence'!$B$16*(45+25*(1-EXP(-0.0175*$A87))),70*'Scénario référence'!$B$16)+IF((32+38*(1-EXP(-0.0175*$A87)))&lt;70,'Scénario référence'!$B$18*(32+38*(1-EXP(-0.0175*$A87))),70*'Scénario référence'!$B$18)</f>
        <v>70</v>
      </c>
      <c r="HL87" s="12">
        <f>IF($A87&gt;30,10,('Scénario référence'!$B$16+'Scénario référence'!$B$17+'Scénario référence'!$B$18+'Scénario référence'!$B$9+'Scénario référence'!$B$10)*$A87*10/30+('Scénario référence'!$F$8+'Scénario référence'!$F$9)*10)</f>
        <v>10</v>
      </c>
      <c r="HM87" s="12" t="e">
        <f>VLOOKUP($A87,'Données projet'!$A$304:$I$324,2,0)</f>
        <v>#N/A</v>
      </c>
      <c r="HN87" s="12" t="e">
        <f>VLOOKUP($A87,'Données projet'!$A$304:$I$324,9,0)</f>
        <v>#N/A</v>
      </c>
      <c r="HO87" s="12">
        <f t="array" ref="HO87">INDEX(HN:HN,MIN(IF(ISNUMBER(HN87:HN283),ROW(HN87:HN283),"")))</f>
        <v>0</v>
      </c>
      <c r="HP87" s="12">
        <f>IF('Données projet'!$A$304&gt;35,HP86+HO87-HX86,IF($A87&lt;'Données projet'!$A$304,$CQ$205^$A87,IF($A87='Données projet'!$A$304,'Données projet'!$B$304,HP86+HO87-HX86)))</f>
        <v>0</v>
      </c>
      <c r="HQ87" s="17">
        <f>HP87*VLOOKUP('Données projet'!$B$19,Paramètres!$A$1:$I$89,3,0)*VLOOKUP('Données projet'!$B$19,Paramètres!$A$1:$I$89,5,0)</f>
        <v>0</v>
      </c>
      <c r="HR87" s="13" t="e">
        <f t="shared" si="202"/>
        <v>#NUM!</v>
      </c>
      <c r="HS87" s="14" t="e">
        <f t="shared" si="150"/>
        <v>#NUM!</v>
      </c>
      <c r="HT87" s="59" t="e">
        <f t="shared" si="151"/>
        <v>#NUM!</v>
      </c>
      <c r="HU87" s="59">
        <f ca="1">AVERAGE(OFFSET(HT$3,0,0,'Données projet'!$E$19+1,1))-AVERAGE(OFFSET($H$3,0,0,'Données projet'!$E$19+1,1))</f>
        <v>91.60721429656013</v>
      </c>
      <c r="HV87" s="59">
        <f t="shared" si="203"/>
        <v>258.94957804210856</v>
      </c>
      <c r="HW87" s="15">
        <f>IF(ISNA(VLOOKUP($A87,'Données projet'!$A$304:$I$324,3,0)),0,VLOOKUP($A87,'Données projet'!$A$304:$I$324,3,0))</f>
        <v>0</v>
      </c>
      <c r="HX87" s="15">
        <f>IF(ISNA(VLOOKUP($A87,'Données projet'!$A$304:$I$324,4,0)),0,VLOOKUP($A87,'Données projet'!$A$304:$I$324,4,0))</f>
        <v>0</v>
      </c>
      <c r="HY87" s="16">
        <f>IF(ISNA(VLOOKUP($A87,'Données projet'!$A$304:$I$324,5,0)),0%,VLOOKUP($A87,'Données projet'!$A$304:$I$324,5,0)*VLOOKUP('Données projet'!$B$19,Paramètres!$A$1:$I$89,7,0))</f>
        <v>0</v>
      </c>
      <c r="HZ87" s="16">
        <f>IF(ISNA(VLOOKUP($A87,'Données projet'!$A$304:$I$324,6,0)),0%,VLOOKUP($A87,'Données projet'!$A$304:$I$324,6,0)*VLOOKUP('Données projet'!$B$19,Paramètres!$A$1:$I$89,7,0))</f>
        <v>0</v>
      </c>
      <c r="IA87" s="16">
        <f>IF(ISNA(VLOOKUP($A87,'Données projet'!$A$304:$I$324,7,0)),0%,VLOOKUP($A87,'Données projet'!$A$304:$I$324,7,0))</f>
        <v>0</v>
      </c>
      <c r="IB87" s="21">
        <f>EXP(-LN(2)/35)*IB86+(1-EXP(-LN(2)/35))/(LN(2)/35)*HX87*HY87*VLOOKUP('Données projet'!$B$19,Paramètres!$A$1:$I$89,3,0)*0.475*44/12</f>
        <v>16.931235393250155</v>
      </c>
      <c r="IC87" s="21">
        <f>EXP(-LN(2)/25)*IC86+(1-EXP(-LN(2)/25))/(LN(2)/25)*Calculateur!HX87*Calculateur!HZ87*VLOOKUP('Données projet'!$B$19,Paramètres!$A$1:$I$89,3,0)*0.475*44/12</f>
        <v>2.1766398145700108</v>
      </c>
      <c r="ID87" s="21">
        <f>EXP(-LN(2)/2)*ID86+(1-EXP(-LN(2)/2))/(LN(2)/2)*HX87*IA87*VLOOKUP('Données projet'!$B$19,Paramètres!$A$1:$I$89,3,0)*0.475*44/12</f>
        <v>4.2680823187826391E-9</v>
      </c>
      <c r="IE87" s="22">
        <f t="shared" si="152"/>
        <v>19.107875212088246</v>
      </c>
      <c r="IF87" s="74">
        <f>('Scénario référence'!$F$8+'Scénario référence'!$F$9+'Scénario référence'!$B$17+'Scénario référence'!$B$9+'Scénario référence'!$B$10)*70+IF((45+25*(1-EXP(-0.0175*$A87)))&lt;70,'Scénario référence'!$B$16*(45+25*(1-EXP(-0.0175*$A87))),70*'Scénario référence'!$B$16)+IF((32+38*(1-EXP(-0.0175*$A87)))&lt;70,'Scénario référence'!$B$18*(32+38*(1-EXP(-0.0175*$A87))),70*'Scénario référence'!$B$18)</f>
        <v>70</v>
      </c>
      <c r="IG87" s="12">
        <f>IF($A87&gt;30,10,('Scénario référence'!$B$16+'Scénario référence'!$B$17+'Scénario référence'!$B$18+'Scénario référence'!$B$9+'Scénario référence'!$B$10)*$A87*10/30+('Scénario référence'!$F$8+'Scénario référence'!$F$9)*10)</f>
        <v>10</v>
      </c>
      <c r="IH87" s="12" t="e">
        <f>VLOOKUP($A87,'Données projet'!$A$330:$I$350,2,0)</f>
        <v>#N/A</v>
      </c>
      <c r="II87" s="12" t="e">
        <f>VLOOKUP($A87,'Données projet'!$A$330:$I$350,9,0)</f>
        <v>#N/A</v>
      </c>
      <c r="IJ87" s="12">
        <f t="array" ref="IJ87">INDEX(II:II,MIN(IF(ISNUMBER(II87:II283),ROW(II87:II283),"")))</f>
        <v>0</v>
      </c>
      <c r="IK87" s="12">
        <f>IF('Données projet'!$A$330&gt;35,IK86+IJ87-IS86,IF($A87&lt;'Données projet'!$A$330,$CQ$205^$A87,IF($A87='Données projet'!$A$330,'Données projet'!$B$330,IK86+IJ87-IS86)))</f>
        <v>0</v>
      </c>
      <c r="IL87" s="17">
        <f>IK87*VLOOKUP('Données projet'!$B$20,Paramètres!$A$1:$I$89,3,0)*VLOOKUP('Données projet'!$B$20,Paramètres!$A$1:$I$89,5,0)</f>
        <v>0</v>
      </c>
      <c r="IM87" s="13" t="e">
        <f t="shared" si="204"/>
        <v>#NUM!</v>
      </c>
      <c r="IN87" s="20" t="e">
        <f t="shared" si="153"/>
        <v>#NUM!</v>
      </c>
      <c r="IO87" s="59" t="e">
        <f t="shared" si="154"/>
        <v>#NUM!</v>
      </c>
      <c r="IP87" s="59">
        <f ca="1">AVERAGE(OFFSET(IO$3,0,0,'Données projet'!$E$20+1,1))-AVERAGE(OFFSET($H$3,0,0,'Données projet'!$E$20+1,1))</f>
        <v>91.60721429656013</v>
      </c>
      <c r="IQ87" s="59">
        <f t="shared" si="205"/>
        <v>258.94957804210856</v>
      </c>
      <c r="IR87" s="15">
        <f>IF(ISNA(VLOOKUP($A87,'Données projet'!$A$330:$I$350,3,0)),0,VLOOKUP($A87,'Données projet'!$A$330:$I$350,3,0))</f>
        <v>0</v>
      </c>
      <c r="IS87" s="15">
        <f>IF(ISNA(VLOOKUP($A87,'Données projet'!$A$330:$I$350,4,0)),0,VLOOKUP($A87,'Données projet'!$A$330:$I$350,4,0))</f>
        <v>0</v>
      </c>
      <c r="IT87" s="16">
        <f>IF(ISNA(VLOOKUP($A87,'Données projet'!$A$330:$I$350,5,0)),0%,VLOOKUP($A87,'Données projet'!$A$330:$I$350,5,0)*VLOOKUP('Données projet'!$B$20,Paramètres!$A$1:$I$89,7,0))</f>
        <v>0</v>
      </c>
      <c r="IU87" s="16">
        <f>IF(ISNA(VLOOKUP($A87,'Données projet'!$A$330:$I$350,6,0)),0%,VLOOKUP($A87,'Données projet'!$A$330:$I$350,6,0)*VLOOKUP('Données projet'!$B$20,Paramètres!$A$1:$I$89,7,0))</f>
        <v>0</v>
      </c>
      <c r="IV87" s="16">
        <f>IF(ISNA(VLOOKUP($A87,'Données projet'!$A$330:$I$350,7,0)),0%,VLOOKUP($A87,'Données projet'!$A$330:$I$350,7,0))</f>
        <v>0</v>
      </c>
      <c r="IW87" s="21">
        <f>EXP(-LN(2)/35)*IW86+(1-EXP(-LN(2)/35))/(LN(2)/35)*IS87*IT87*VLOOKUP('Données projet'!$B$20,Paramètres!$A$1:$I$89,3,0)*0.475*44/12</f>
        <v>16.931235393250155</v>
      </c>
      <c r="IX87" s="21">
        <f>EXP(-LN(2)/25)*IX86+(1-EXP(-LN(2)/25))/(LN(2)/25)*Calculateur!IS87*Calculateur!IU87*VLOOKUP('Données projet'!$B$20,Paramètres!$A$1:$I$89,3,0)*0.475*44/12</f>
        <v>2.1766398145700108</v>
      </c>
      <c r="IY87" s="21">
        <f>EXP(-LN(2)/2)*IY86+(1-EXP(-LN(2)/2))/(LN(2)/2)*IS87*IV87*VLOOKUP('Données projet'!$B$20,Paramètres!$A$1:$I$89,3,0)*0.475*44/12</f>
        <v>4.2680823187826391E-9</v>
      </c>
      <c r="IZ87" s="22">
        <f t="shared" si="155"/>
        <v>19.107875212088246</v>
      </c>
      <c r="JA87" s="74">
        <f>('Scénario référence'!$F$8+'Scénario référence'!$F$9+'Scénario référence'!$B$17+'Scénario référence'!$B$9+'Scénario référence'!$B$10)*70+IF((45+25*(1-EXP(-0.0175*$A87)))&lt;70,'Scénario référence'!$B$16*(45+25*(1-EXP(-0.0175*$A87))),70*'Scénario référence'!$B$16)+IF((32+38*(1-EXP(-0.0175*$A87)))&lt;70,'Scénario référence'!$B$18*(32+38*(1-EXP(-0.0175*$A87))),70*'Scénario référence'!$B$18)</f>
        <v>70</v>
      </c>
      <c r="JB87" s="12">
        <f>IF($A87&gt;30,10,('Scénario référence'!$B$16+'Scénario référence'!$B$17+'Scénario référence'!$B$18+'Scénario référence'!$B$9+'Scénario référence'!$B$10)*$A87*10/30+('Scénario référence'!$F$8+'Scénario référence'!$F$9)*10)</f>
        <v>10</v>
      </c>
      <c r="JC87" s="12" t="e">
        <f>VLOOKUP($A87,'Données projet'!$A$356:$I$376,2,0)</f>
        <v>#N/A</v>
      </c>
      <c r="JD87" s="12" t="e">
        <f>VLOOKUP($A87,'Données projet'!$A$356:$I$376,9,0)</f>
        <v>#N/A</v>
      </c>
      <c r="JE87" s="12">
        <f t="array" ref="JE87">INDEX(JD:JD,MIN(IF(ISNUMBER(JD87:JD283),ROW(JD87:JD283),"")))</f>
        <v>5.4</v>
      </c>
      <c r="JF87" s="12">
        <f>IF('Données projet'!$A$356&gt;35,JF86+JE87-JN86,IF($A87&lt;'Données projet'!$A$356,$CQ$205^$A87,IF($A87='Données projet'!$A$356,'Données projet'!$B$356,JF86+JE87-JN86)))</f>
        <v>344.59999999999985</v>
      </c>
      <c r="JG87" s="17">
        <f>JF87*VLOOKUP('Données projet'!$B$21,Paramètres!$A$1:$I$89,3,0)*VLOOKUP('Données projet'!$B$21,Paramètres!$A$1:$I$89,5,0)</f>
        <v>279.53951999999987</v>
      </c>
      <c r="JH87" s="13">
        <f t="shared" si="206"/>
        <v>66.869686899979826</v>
      </c>
      <c r="JI87" s="20">
        <f t="shared" si="156"/>
        <v>603.32936868413128</v>
      </c>
      <c r="JJ87" s="59">
        <f t="shared" si="157"/>
        <v>896.66270201746465</v>
      </c>
      <c r="JK87" s="59">
        <f ca="1">AVERAGE(OFFSET($JJ$3,0,0,'Données projet'!$E$22+1,1))-AVERAGE(OFFSET($H$3,0,0,'Données projet'!$E$22+1,1))</f>
        <v>353.35574633294613</v>
      </c>
      <c r="JL87" s="59">
        <f t="shared" si="207"/>
        <v>170.36796666474726</v>
      </c>
      <c r="JM87" s="15">
        <f>IF(ISNA(VLOOKUP($A87,'Données projet'!$A$356:$I$376,3,0)),0,VLOOKUP($A87,'Données projet'!$A$356:$I$376,3,0))</f>
        <v>0</v>
      </c>
      <c r="JN87" s="15">
        <f>IF(ISNA(VLOOKUP($A87,'Données projet'!$A$356:$I$376,4,0)),0,VLOOKUP($A87,'Données projet'!$A$356:$I$376,4,0))</f>
        <v>0</v>
      </c>
      <c r="JO87" s="16">
        <f>IF(ISNA(VLOOKUP($A87,'Données projet'!$A$356:$I$376,5,0)),0%,VLOOKUP($A87,'Données projet'!$A$356:$I$376,5,0)*VLOOKUP('Données projet'!$B$21,Paramètres!$A$1:$I$89,7,0))</f>
        <v>0</v>
      </c>
      <c r="JP87" s="16">
        <f>IF(ISNA(VLOOKUP($A87,'Données projet'!$A$356:$I$376,6,0)),0%,VLOOKUP($A87,'Données projet'!$A$356:$I$376,6,0)*VLOOKUP('Données projet'!$B$21,Paramètres!$A$1:$I$89,7,0))</f>
        <v>0</v>
      </c>
      <c r="JQ87" s="16">
        <f>IF(ISNA(VLOOKUP($A87,'Données projet'!$A$356:$I$376,7,0)),0%,VLOOKUP($A87,'Données projet'!$A$356:$I$376,7,0))</f>
        <v>0</v>
      </c>
      <c r="JR87" s="21">
        <f>EXP(-LN(2)/35)*JR86+(1-EXP(-LN(2)/35))/(LN(2)/35)*JN87*JO87*VLOOKUP('Données projet'!$B$21,Paramètres!$A$1:$I$89,3,0)*0.475*44/12</f>
        <v>1.9008946048765378</v>
      </c>
      <c r="JS87" s="21">
        <f>EXP(-LN(2)/25)*JS86+(1-EXP(-LN(2)/25))/(LN(2)/25)*Calculateur!JN87*Calculateur!JP87*VLOOKUP('Données projet'!$B$21,Paramètres!$A$1:$I$89,3,0)*0.475*44/12</f>
        <v>15.775564648272427</v>
      </c>
      <c r="JT87" s="21">
        <f>EXP(-LN(2)/2)*JT86+(1-EXP(-LN(2)/2))/(LN(2)/2)*JN87*JQ87*VLOOKUP('Données projet'!$B$21,Paramètres!$A$1:$I$89,3,0)*0.475*44/12</f>
        <v>1.952467759254978</v>
      </c>
      <c r="JU87" s="18">
        <f t="shared" si="158"/>
        <v>19.628927012403945</v>
      </c>
      <c r="JV87" s="74">
        <f>('Scénario référence'!$F$8+'Scénario référence'!$F$9+'Scénario référence'!$B$17+'Scénario référence'!$B$9+'Scénario référence'!$B$10)*70+IF((45+25*(1-EXP(-0.0175*$A87)))&lt;70,'Scénario référence'!$B$16*(45+25*(1-EXP(-0.0175*$A87))),70*'Scénario référence'!$B$16)+IF((32+38*(1-EXP(-0.0175*$A87)))&lt;70,'Scénario référence'!$B$18*(32+38*(1-EXP(-0.0175*$A87))),70*'Scénario référence'!$B$18)</f>
        <v>70</v>
      </c>
      <c r="JW87" s="12">
        <f>IF($A87&gt;30,10,('Scénario référence'!$B$16+'Scénario référence'!$B$17+'Scénario référence'!$B$18+'Scénario référence'!$B$9+'Scénario référence'!$B$10)*$A87*10/30+('Scénario référence'!$F$8+'Scénario référence'!$F$9)*10)</f>
        <v>10</v>
      </c>
      <c r="JX87" s="12" t="e">
        <f>VLOOKUP($A87,'Données projet'!$A$382:$I$402,2,0)</f>
        <v>#N/A</v>
      </c>
      <c r="JY87" s="12" t="e">
        <f>VLOOKUP($A87,'Données projet'!$A$382:$I$402,9,0)</f>
        <v>#N/A</v>
      </c>
      <c r="JZ87" s="12">
        <f t="array" ref="JZ87">INDEX(JY:JY,MIN(IF(ISNUMBER(JY87:JY283),ROW(JY87:JY283),"")))</f>
        <v>7.4950142450142421</v>
      </c>
      <c r="KA87" s="12">
        <f>IF('Données projet'!$A$382&gt;35,KA86+JZ87-KI86,IF($A87&lt;'Données projet'!$A$382,$CQ$205^$A87,IF($A87='Données projet'!$A$382,'Données projet'!$B$382,KA86+JZ87-KI86)))</f>
        <v>258.38390313390329</v>
      </c>
      <c r="KB87" s="17">
        <f>KA87*VLOOKUP('Données projet'!$B$22,Paramètres!$A$1:$I$89,3,0)*VLOOKUP('Données projet'!$B$22,Paramètres!$A$1:$I$89,5,0)</f>
        <v>173.32392222222234</v>
      </c>
      <c r="KC87" s="13">
        <f t="shared" si="208"/>
        <v>43.833630543630896</v>
      </c>
      <c r="KD87" s="20">
        <f t="shared" si="159"/>
        <v>378.21607106719438</v>
      </c>
      <c r="KE87" s="59">
        <f t="shared" si="160"/>
        <v>671.54940440052769</v>
      </c>
      <c r="KF87" s="59">
        <f ca="1">AVERAGE(OFFSET($KE$3,0,0,'Données projet'!$E$22+1,1))-AVERAGE(OFFSET($H$3,0,0,'Données projet'!$E$22+1,1))</f>
        <v>193.91714772848269</v>
      </c>
      <c r="KG87" s="59">
        <f t="shared" si="209"/>
        <v>159.20429420478047</v>
      </c>
      <c r="KH87" s="15">
        <f>IF(ISNA(VLOOKUP($A87,'Données projet'!$A$382:$I$402,3,0)),0,VLOOKUP($A87,'Données projet'!$A$382:$I$402,3,0))</f>
        <v>0</v>
      </c>
      <c r="KI87" s="15">
        <f>IF(ISNA(VLOOKUP($A87,'Données projet'!$A$382:$I$402,4,0)),0,VLOOKUP($A87,'Données projet'!$A$382:$I$402,4,0))</f>
        <v>0</v>
      </c>
      <c r="KJ87" s="16">
        <f>IF(ISNA(VLOOKUP($A87,'Données projet'!$A$382:$I$402,5,0)),0%,VLOOKUP($A87,'Données projet'!$A$382:$I$402,5,0)*VLOOKUP('Données projet'!$B$22,Paramètres!$A$1:$I$89,7,0))</f>
        <v>0</v>
      </c>
      <c r="KK87" s="16">
        <f>IF(ISNA(VLOOKUP($A87,'Données projet'!$A$382:$I$402,6,0)),0%,VLOOKUP($A87,'Données projet'!$A$382:$I$402,6,0)*VLOOKUP('Données projet'!$B$22,Paramètres!$A$1:$I$89,7,0))</f>
        <v>0</v>
      </c>
      <c r="KL87" s="16">
        <f>IF(ISNA(VLOOKUP($A87,'Données projet'!$A$382:$I$402,7,0)),0%,VLOOKUP($A87,'Données projet'!$A$382:$I$402,7,0))</f>
        <v>0</v>
      </c>
      <c r="KM87" s="21">
        <f>EXP(-LN(2)/35)*KM86+(1-EXP(-LN(2)/35))/(LN(2)/35)*KI87*KJ87*VLOOKUP('Données projet'!$B$22,Paramètres!$A$1:$I$89,3,0)*0.475*44/12</f>
        <v>27.65848192395157</v>
      </c>
      <c r="KN87" s="21">
        <f>EXP(-LN(2)/25)*KN86+(1-EXP(-LN(2)/25))/(LN(2)/25)*Calculateur!KI87*Calculateur!KK87*VLOOKUP('Données projet'!$B$22,Paramètres!$A$1:$I$89,3,0)*0.475*44/12</f>
        <v>0</v>
      </c>
      <c r="KO87" s="21">
        <f>EXP(-LN(2)/2)*KO86+(1-EXP(-LN(2)/2))/(LN(2)/2)*KI87*KL87*VLOOKUP('Données projet'!$B$22,Paramètres!$A$1:$I$89,3,0)*0.475*44/12</f>
        <v>0</v>
      </c>
      <c r="KP87" s="22">
        <f t="shared" si="161"/>
        <v>27.65848192395157</v>
      </c>
      <c r="KQ87" s="74">
        <f>('Scénario référence'!$F$8+'Scénario référence'!$F$9+'Scénario référence'!$B$17+'Scénario référence'!$B$9+'Scénario référence'!$B$10)*70+IF((45+25*(1-EXP(-0.0175*$A87)))&lt;70,'Scénario référence'!$B$16*(45+25*(1-EXP(-0.0175*$A87))),70*'Scénario référence'!$B$16)+IF((32+38*(1-EXP(-0.0175*$A87)))&lt;70,'Scénario référence'!$B$18*(32+38*(1-EXP(-0.0175*$A87))),70*'Scénario référence'!$B$18)</f>
        <v>70</v>
      </c>
      <c r="KR87" s="12">
        <f>IF($A87&gt;30,10,('Scénario référence'!$B$16+'Scénario référence'!$B$17+'Scénario référence'!$B$18+'Scénario référence'!$B$9+'Scénario référence'!$B$10)*$A87*10/30+('Scénario référence'!$F$8+'Scénario référence'!$F$9)*10)</f>
        <v>10</v>
      </c>
      <c r="KS87" s="12" t="e">
        <f>VLOOKUP($A87,'Données projet'!$A$408:$I$428,2,0)</f>
        <v>#N/A</v>
      </c>
      <c r="KT87" s="12" t="e">
        <f>VLOOKUP($A87,'Données projet'!$A$408:$I$428,9,0)</f>
        <v>#N/A</v>
      </c>
      <c r="KU87" s="12">
        <f t="array" ref="KU87">INDEX(KT:KT,MIN(IF(ISNUMBER(KT87:KT283),ROW(KT87:KT283),"")))</f>
        <v>0</v>
      </c>
      <c r="KV87" s="12">
        <f>IF('Données projet'!$A$408&gt;35,KV86+KU87-LD86,IF($A87&lt;'Données projet'!$A$408,$CQ$205^$A87,IF($A87='Données projet'!$A$408,'Données projet'!$B$408,KV86+KU87-LD86)))</f>
        <v>-1.1368683772161603E-13</v>
      </c>
      <c r="KW87" s="17">
        <f>KV87*VLOOKUP('Données projet'!$B$23,Paramètres!$A$1:$I$89,3,0)*VLOOKUP('Données projet'!$B$23,Paramètres!$A$1:$I$89,5,0)</f>
        <v>-9.9316821433603781E-14</v>
      </c>
      <c r="KX87" s="13" t="e">
        <f t="shared" si="210"/>
        <v>#NUM!</v>
      </c>
      <c r="KY87" s="14" t="e">
        <f t="shared" si="162"/>
        <v>#NUM!</v>
      </c>
      <c r="KZ87" s="59" t="e">
        <f t="shared" si="163"/>
        <v>#NUM!</v>
      </c>
      <c r="LA87" s="59">
        <f ca="1">AVERAGE(OFFSET($KZ$3,0,0,'Données projet'!$E$23+1,1))-AVERAGE(OFFSET($H$3,0,0,'Données projet'!$E$23+1,1))</f>
        <v>248.33596943633819</v>
      </c>
      <c r="LB87" s="59">
        <f t="shared" si="211"/>
        <v>242.34010522344573</v>
      </c>
      <c r="LC87" s="15">
        <f>IF(ISNA(VLOOKUP($A87,'Données projet'!$A$408:$I$428,3,0)),0,VLOOKUP($A87,'Données projet'!$A$408:$I$428,3,0))</f>
        <v>0</v>
      </c>
      <c r="LD87" s="15">
        <f>IF(ISNA(VLOOKUP($A87,'Données projet'!$A$408:$I$428,4,0)),0,VLOOKUP($A87,'Données projet'!$A$408:$I$428,4,0))</f>
        <v>0</v>
      </c>
      <c r="LE87" s="16">
        <f>IF(ISNA(VLOOKUP($A87,'Données projet'!$A$408:$I$428,5,0)),0%,VLOOKUP($A87,'Données projet'!$A$408:$I$428,5,0)*VLOOKUP('Données projet'!$B$23,Paramètres!$A$1:$I$89,7,0))</f>
        <v>0</v>
      </c>
      <c r="LF87" s="16">
        <f>IF(ISNA(VLOOKUP($A87,'Données projet'!$A$408:$I$428,6,0)),0%,VLOOKUP($A87,'Données projet'!$A$408:$I$428,6,0)*VLOOKUP('Données projet'!$B$23,Paramètres!$A$1:$I$89,7,0))</f>
        <v>0</v>
      </c>
      <c r="LG87" s="16">
        <f>IF(ISNA(VLOOKUP($A87,'Données projet'!$A$408:$I$428,7,0)),0%,VLOOKUP($A87,'Données projet'!$A$408:$I$428,7,0))</f>
        <v>0</v>
      </c>
      <c r="LH87" s="21">
        <f>EXP(-LN(2)/35)*LH86+(1-EXP(-LN(2)/35))/(LN(2)/35)*LD87*LE87*VLOOKUP('Données projet'!$B$23,Paramètres!$A$1:$I$89,3,0)*0.475*44/12</f>
        <v>113.83588671915798</v>
      </c>
      <c r="LI87" s="21">
        <f>EXP(-LN(2)/25)*LI86+(1-EXP(-LN(2)/25))/(LN(2)/25)*Calculateur!LD87*Calculateur!LF87*VLOOKUP('Données projet'!$B$23,Paramètres!$A$1:$I$89,3,0)*0.475*44/12</f>
        <v>19.491058109395809</v>
      </c>
      <c r="LJ87" s="21">
        <f>EXP(-LN(2)/2)*LJ86+(1-EXP(-LN(2)/2))/(LN(2)/2)*LD87*LG87*VLOOKUP('Données projet'!$B$23,Paramètres!$A$1:$I$89,3,0)*0.475*44/12</f>
        <v>0</v>
      </c>
      <c r="LK87" s="22">
        <f t="shared" si="164"/>
        <v>133.32694482855379</v>
      </c>
      <c r="LL87" s="74">
        <f>('Scénario référence'!$F$8+'Scénario référence'!$F$9+'Scénario référence'!$B$17+'Scénario référence'!$B$9+'Scénario référence'!$B$10)*70+IF((45+25*(1-EXP(-0.0175*$A87)))&lt;70,'Scénario référence'!$B$16*(45+25*(1-EXP(-0.0175*$A87))),70*'Scénario référence'!$B$16)+IF((32+38*(1-EXP(-0.0175*$A87)))&lt;70,'Scénario référence'!$B$18*(32+38*(1-EXP(-0.0175*$A87))),70*'Scénario référence'!$B$18)</f>
        <v>70</v>
      </c>
      <c r="LM87" s="12">
        <f>IF($A87&gt;30,10,('Scénario référence'!$B$16+'Scénario référence'!$B$17+'Scénario référence'!$B$18+'Scénario référence'!$B$9+'Scénario référence'!$B$10)*$A87*10/30+('Scénario référence'!$F$8+'Scénario référence'!$F$9)*10)</f>
        <v>10</v>
      </c>
      <c r="LN87" s="12">
        <f>VLOOKUP($A87,'Données projet'!$A$434:$I$454,2,0)</f>
        <v>200.00641025641025</v>
      </c>
      <c r="LO87" s="12">
        <f>VLOOKUP($A87,'Données projet'!$A$434:$I$454,9,0)</f>
        <v>5.5042735042735051</v>
      </c>
      <c r="LP87" s="12">
        <f t="array" ref="LP87">INDEX(LO:LO,MIN(IF(ISNUMBER(LO87:LO283),ROW(LO87:LO283),"")))</f>
        <v>5.5042735042735051</v>
      </c>
      <c r="LQ87" s="12">
        <f>IF('Données projet'!$A$434&gt;35,LQ86+LP87-LY86,IF($A87&lt;'Données projet'!$A$434,$CQ$205^$A87,IF($A87='Données projet'!$A$434,'Données projet'!$B$434,LQ86+LP87-LY86)))</f>
        <v>200.00641025641016</v>
      </c>
      <c r="LR87" s="17">
        <f>LQ87*VLOOKUP('Données projet'!$B$24,Paramètres!$A$1:$I$89,3,0)*VLOOKUP('Données projet'!$B$24,Paramètres!$A$1:$I$89,5,0)</f>
        <v>202.80649999999991</v>
      </c>
      <c r="LS87" s="13">
        <f t="shared" si="212"/>
        <v>50.360450370083477</v>
      </c>
      <c r="LT87" s="14">
        <f t="shared" si="165"/>
        <v>440.93243856122854</v>
      </c>
      <c r="LU87" s="59">
        <f t="shared" si="166"/>
        <v>734.26577189456179</v>
      </c>
      <c r="LV87" s="59">
        <f ca="1">AVERAGE(OFFSET($LU$3,0,0,'Données projet'!$E$24+1,1))-AVERAGE(OFFSET($H$3,0,0,'Données projet'!$E$24+1,1))</f>
        <v>260.52627655062872</v>
      </c>
      <c r="LW87" s="59">
        <f t="shared" si="213"/>
        <v>159.20429420478047</v>
      </c>
      <c r="LX87" s="15">
        <f>IF(ISNA(VLOOKUP($A87,'Données projet'!$A$434:$I$454,3,0)),0,VLOOKUP($A87,'Données projet'!$A$434:$I$454,3,0))</f>
        <v>6</v>
      </c>
      <c r="LY87" s="15">
        <f>IF(ISNA(VLOOKUP($A87,'Données projet'!$A$434:$I$454,4,0)),0,VLOOKUP($A87,'Données projet'!$A$434:$I$454,4,0))</f>
        <v>35.083333333333329</v>
      </c>
      <c r="LZ87" s="16">
        <f>IF(ISNA(VLOOKUP($A87,'Données projet'!$A$434:$I$454,5,0)),0%,VLOOKUP($A87,'Données projet'!$A$434:$I$454,5,0)*VLOOKUP('Données projet'!$B$24,Paramètres!$A$1:$I$89,7,0))</f>
        <v>0.30099999999999999</v>
      </c>
      <c r="MA87" s="16">
        <f>IF(ISNA(VLOOKUP($A87,'Données projet'!$A$434:$I$454,6,0)),0%,VLOOKUP($A87,'Données projet'!$A$434:$I$454,6,0)*VLOOKUP('Données projet'!$B$24,Paramètres!$A$1:$I$89,7,0))</f>
        <v>0</v>
      </c>
      <c r="MB87" s="16">
        <f>IF(ISNA(VLOOKUP($A87,'Données projet'!$A$434:$I$454,7,0)),0%,VLOOKUP($A87,'Données projet'!$A$434:$I$454,7,0))</f>
        <v>0</v>
      </c>
      <c r="MC87" s="21">
        <f>EXP(-LN(2)/35)*MC86+(1-EXP(-LN(2)/35))/(LN(2)/35)*LY87*LZ87*VLOOKUP('Données projet'!$B$24,Paramètres!$A$1:$I$89,3,0)*0.475*44/12</f>
        <v>20.565730959198525</v>
      </c>
      <c r="MD87" s="21">
        <f>EXP(-LN(2)/25)*MD86+(1-EXP(-LN(2)/25))/(LN(2)/25)*Calculateur!LY87*Calculateur!MA87*VLOOKUP('Données projet'!$B$24,Paramètres!$A$1:$I$89,3,0)*0.475*44/12</f>
        <v>0</v>
      </c>
      <c r="ME87" s="21">
        <f>EXP(-LN(2)/2)*ME86+(1-EXP(-LN(2)/2))/(LN(2)/2)*LY87*MB87*VLOOKUP('Données projet'!$B$24,Paramètres!$A$1:$I$89,3,0)*0.475*44/12</f>
        <v>0</v>
      </c>
      <c r="MF87" s="22">
        <f t="shared" si="167"/>
        <v>20.565730959198525</v>
      </c>
      <c r="MG87" s="74">
        <f>('Scénario référence'!$F$8+'Scénario référence'!$F$9+'Scénario référence'!$B$17+'Scénario référence'!$B$9+'Scénario référence'!$B$10)*70+IF((45+25*(1-EXP(-0.0175*$A87)))&lt;70,'Scénario référence'!$B$16*(45+25*(1-EXP(-0.0175*$A87))),70*'Scénario référence'!$B$16)+IF((32+38*(1-EXP(-0.0175*$A87)))&lt;70,'Scénario référence'!$B$18*(32+38*(1-EXP(-0.0175*$A87))),70*'Scénario référence'!$B$18)</f>
        <v>70</v>
      </c>
      <c r="MH87" s="12">
        <f>IF($A87&gt;30,10,('Scénario référence'!$B$16+'Scénario référence'!$B$17+'Scénario référence'!$B$18+'Scénario référence'!$B$9+'Scénario référence'!$B$10)*$A87*10/30+('Scénario référence'!$F$8+'Scénario référence'!$F$9)*10)</f>
        <v>10</v>
      </c>
      <c r="MI87" s="12" t="e">
        <f>VLOOKUP($A87,'Données projet'!$A$460:$I$480,2,0)</f>
        <v>#N/A</v>
      </c>
      <c r="MJ87" s="12" t="e">
        <f>VLOOKUP($A87,'Données projet'!$A$460:$I$480,9,0)</f>
        <v>#N/A</v>
      </c>
      <c r="MK87" s="12">
        <f t="array" ref="MK87">INDEX(MJ:MJ,MIN(IF(ISNUMBER(MJ87:MJ283),ROW(MJ87:MJ283),"")))</f>
        <v>0</v>
      </c>
      <c r="ML87" s="12">
        <f>IF('Données projet'!$A$460&gt;35,ML86+MK87-MT86,IF($A87&lt;'Données projet'!$A$460,$CQ$205^$A87,IF($A87='Données projet'!$A$460,'Données projet'!$B$460,ML86+MK87-MT86)))</f>
        <v>0</v>
      </c>
      <c r="MM87" s="17" t="e">
        <f>ML87*VLOOKUP('Données projet'!$B$25,Paramètres!$A$1:$I$89,3,0)*VLOOKUP('Données projet'!$B$25,Paramètres!$A$1:$I$89,5,0)</f>
        <v>#N/A</v>
      </c>
      <c r="MN87" s="13" t="e">
        <f t="shared" si="214"/>
        <v>#N/A</v>
      </c>
      <c r="MO87" s="14" t="e">
        <f t="shared" si="168"/>
        <v>#N/A</v>
      </c>
      <c r="MP87" s="59" t="e">
        <f t="shared" si="169"/>
        <v>#N/A</v>
      </c>
      <c r="MQ87" s="20" t="e">
        <f ca="1">AVERAGE(OFFSET($MP$3,0,0,'Données projet'!$E$25+1,1))-AVERAGE(OFFSET($H$3,0,0,'Données projet'!$E$25+1,1))</f>
        <v>#N/A</v>
      </c>
      <c r="MR87" s="59" t="e">
        <f t="shared" si="215"/>
        <v>#N/A</v>
      </c>
      <c r="MS87" s="15">
        <f>IF(ISNA(VLOOKUP($A87,'Données projet'!$A$460:$I$480,3,0)),0,VLOOKUP($A87,'Données projet'!$A$460:$I$480,3,0))</f>
        <v>0</v>
      </c>
      <c r="MT87" s="15">
        <f>IF(ISNA(VLOOKUP($A87,'Données projet'!$A$460:$I$480,4,0)),0,VLOOKUP($A87,'Données projet'!$A$460:$I$480,4,0))</f>
        <v>0</v>
      </c>
      <c r="MU87" s="16">
        <f>IF(ISNA(VLOOKUP($A87,'Données projet'!$A$460:$I$480,5,0)),0%,VLOOKUP($A87,'Données projet'!$A$460:$I$480,5,0)*VLOOKUP('Données projet'!$B$25,Paramètres!$A$1:$I$89,7,0))</f>
        <v>0</v>
      </c>
      <c r="MV87" s="16">
        <f>IF(ISNA(VLOOKUP($A87,'Données projet'!$A$460:$I$480,6,0)),0%,VLOOKUP($A87,'Données projet'!$A$460:$I$480,6,0)*VLOOKUP('Données projet'!$B$25,Paramètres!$A$1:$I$89,7,0))</f>
        <v>0</v>
      </c>
      <c r="MW87" s="16">
        <f>IF(ISNA(VLOOKUP($A87,'Données projet'!$A$460:$I$480,7,0)),0%,VLOOKUP($A87,'Données projet'!$A$460:$I$480,7,0))</f>
        <v>0</v>
      </c>
      <c r="MX87" s="21" t="e">
        <f>EXP(-LN(2)/35)*MX86+(1-EXP(-LN(2)/35))/(LN(2)/35)*MT87*MU87*VLOOKUP('Données projet'!$B$25,Paramètres!$A$1:$I$89,3,0)*0.475*44/12</f>
        <v>#N/A</v>
      </c>
      <c r="MY87" s="21" t="e">
        <f>EXP(-LN(2)/25)*MY86+(1-EXP(-LN(2)/25))/(LN(2)/25)*Calculateur!MT87*Calculateur!MV87*VLOOKUP('Données projet'!$B$25,Paramètres!$A$1:$I$89,3,0)*0.475*44/12</f>
        <v>#N/A</v>
      </c>
      <c r="MZ87" s="21" t="e">
        <f>EXP(-LN(2)/2)*MZ86+(1-EXP(-LN(2)/2))/(LN(2)/2)*MT87*MW87*VLOOKUP('Données projet'!$B$25,Paramètres!$A$1:$I$89,3,0)*0.475*44/12</f>
        <v>#N/A</v>
      </c>
      <c r="NA87" s="22" t="e">
        <f t="shared" si="170"/>
        <v>#N/A</v>
      </c>
      <c r="NB87" s="74">
        <f>('Scénario référence'!$F$8+'Scénario référence'!$F$9+'Scénario référence'!$B$17+'Scénario référence'!$B$9+'Scénario référence'!$B$10)*70+IF((45+25*(1-EXP(-0.0175*$A87)))&lt;70,'Scénario référence'!$B$16*(45+25*(1-EXP(-0.0175*$A87))),70*'Scénario référence'!$B$16)+IF((32+38*(1-EXP(-0.0175*$A87)))&lt;70,'Scénario référence'!$B$18*(32+38*(1-EXP(-0.0175*$A87))),70*'Scénario référence'!$B$18)</f>
        <v>70</v>
      </c>
      <c r="NC87" s="12">
        <f>IF($A87&gt;30,10,('Scénario référence'!$B$16+'Scénario référence'!$B$17+'Scénario référence'!$B$18+'Scénario référence'!$B$9+'Scénario référence'!$B$10)*$A87*10/30+('Scénario référence'!$F$8+'Scénario référence'!$F$9)*10)</f>
        <v>10</v>
      </c>
      <c r="ND87" s="12" t="e">
        <f>VLOOKUP($A87,'Données projet'!$A$486:$I$506,2,0)</f>
        <v>#N/A</v>
      </c>
      <c r="NE87" s="12" t="e">
        <f>VLOOKUP($A87,'Données projet'!$A$486:$I$506,9,0)</f>
        <v>#N/A</v>
      </c>
      <c r="NF87" s="12">
        <f t="array" ref="NF87">INDEX(NE:NE,MIN(IF(ISNUMBER(NE87:NE283),ROW(NE87:NE283),"")))</f>
        <v>0</v>
      </c>
      <c r="NG87" s="12">
        <f>IF('Données projet'!$A$486&gt;35,NG86+NF87-NO86,IF($A87&lt;'Données projet'!$A$486,$CQ$205^$A87,IF($A87='Données projet'!$A$486,'Données projet'!$B$486,NG86+NF87-NO86)))</f>
        <v>0</v>
      </c>
      <c r="NH87" s="17" t="e">
        <f>NG87*VLOOKUP('Données projet'!$B$26,Paramètres!$A$1:$I$89,3,0)*VLOOKUP('Données projet'!$B$26,Paramètres!$A$1:$I$89,5,0)</f>
        <v>#N/A</v>
      </c>
      <c r="NI87" s="13" t="e">
        <f t="shared" si="216"/>
        <v>#N/A</v>
      </c>
      <c r="NJ87" s="14" t="e">
        <f t="shared" si="171"/>
        <v>#N/A</v>
      </c>
      <c r="NK87" s="59" t="e">
        <f t="shared" si="172"/>
        <v>#N/A</v>
      </c>
      <c r="NL87" s="20" t="e">
        <f ca="1">AVERAGE(OFFSET($NK$3,0,0,'Données projet'!$E$26+1,1))-AVERAGE(OFFSET($H$3,0,0,'Données projet'!$E$26+1,1))</f>
        <v>#N/A</v>
      </c>
      <c r="NM87" s="59" t="e">
        <f t="shared" si="217"/>
        <v>#N/A</v>
      </c>
      <c r="NN87" s="15">
        <f>IF(ISNA(VLOOKUP($A87,'Données projet'!$A$486:$I$506,3,0)),0,VLOOKUP($A87,'Données projet'!$A$486:$I$506,3,0))</f>
        <v>0</v>
      </c>
      <c r="NO87" s="15">
        <f>IF(ISNA(VLOOKUP($A87,'Données projet'!$A$486:$I$506,4,0)),0,VLOOKUP($A87,'Données projet'!$A$486:$I$506,4,0))</f>
        <v>0</v>
      </c>
      <c r="NP87" s="16">
        <f>IF(ISNA(VLOOKUP($A87,'Données projet'!$A$486:$I$506,5,0)),0%,VLOOKUP($A87,'Données projet'!$A$486:$I$506,5,0)*VLOOKUP('Données projet'!$B$26,Paramètres!$A$1:$I$89,7,0))</f>
        <v>0</v>
      </c>
      <c r="NQ87" s="16">
        <f>IF(ISNA(VLOOKUP($A87,'Données projet'!$A$486:$I$506,6,0)),0%,VLOOKUP($A87,'Données projet'!$A$486:$I$506,6,0)*VLOOKUP('Données projet'!$B$26,Paramètres!$A$1:$I$89,7,0))</f>
        <v>0</v>
      </c>
      <c r="NR87" s="16">
        <f>IF(ISNA(VLOOKUP($A87,'Données projet'!$A$486:$I$506,7,0)),0%,VLOOKUP($A87,'Données projet'!$A$486:$I$506,7,0))</f>
        <v>0</v>
      </c>
      <c r="NS87" s="21" t="e">
        <f>EXP(-LN(2)/35)*NS86+(1-EXP(-LN(2)/35))/(LN(2)/35)*NO87*NP87*VLOOKUP('Données projet'!$B$26,Paramètres!$A$1:$I$89,3,0)*0.475*44/12</f>
        <v>#N/A</v>
      </c>
      <c r="NT87" s="21" t="e">
        <f>EXP(-LN(2)/25)*NT86+(1-EXP(-LN(2)/25))/(LN(2)/25)*Calculateur!NO87*Calculateur!NQ87*VLOOKUP('Données projet'!$B$26,Paramètres!$A$1:$I$89,3,0)*0.475*44/12</f>
        <v>#N/A</v>
      </c>
      <c r="NU87" s="21" t="e">
        <f>EXP(-LN(2)/2)*NU86+(1-EXP(-LN(2)/2))/(LN(2)/2)*NO87*NR87*VLOOKUP('Données projet'!$B$26,Paramètres!$A$1:$I$89,3,0)*0.475*44/12</f>
        <v>#N/A</v>
      </c>
      <c r="NV87" s="22" t="e">
        <f t="shared" si="173"/>
        <v>#N/A</v>
      </c>
      <c r="NW87" s="74">
        <f>('Scénario référence'!$F$8+'Scénario référence'!$F$9+'Scénario référence'!$B$17+'Scénario référence'!$B$9+'Scénario référence'!$B$10)*70+IF((45+25*(1-EXP(-0.0175*$A87)))&lt;70,'Scénario référence'!$B$16*(45+25*(1-EXP(-0.0175*$A87))),70*'Scénario référence'!$B$16)+IF((32+38*(1-EXP(-0.0175*$A87)))&lt;70,'Scénario référence'!$B$18*(32+38*(1-EXP(-0.0175*$A87))),70*'Scénario référence'!$B$18)</f>
        <v>70</v>
      </c>
      <c r="NX87" s="12">
        <f>IF($A87&gt;30,10,('Scénario référence'!$B$16+'Scénario référence'!$B$17+'Scénario référence'!$B$18+'Scénario référence'!$B$9+'Scénario référence'!$B$10)*$A87*10/30+('Scénario référence'!$F$8+'Scénario référence'!$F$9)*10)</f>
        <v>10</v>
      </c>
      <c r="NY87" s="12" t="e">
        <f>VLOOKUP($A87,'Données projet'!$A$512:$I$532,2,0)</f>
        <v>#N/A</v>
      </c>
      <c r="NZ87" s="12" t="e">
        <f>VLOOKUP($A87,'Données projet'!$A$512:$I$532,9,0)</f>
        <v>#N/A</v>
      </c>
      <c r="OA87" s="12">
        <f t="array" ref="OA87">INDEX(NZ:NZ,MIN(IF(ISNUMBER(NZ87:NZ283),ROW(NZ87:NZ283),"")))</f>
        <v>0</v>
      </c>
      <c r="OB87" s="12">
        <f>IF('Données projet'!$A$512&gt;35,OB86+OA87-OJ86,IF($A87&lt;'Données projet'!$A$512,$CQ$205^$A87,IF($A87='Données projet'!$A$512,'Données projet'!$B$512,OB86+OA87-OJ86)))</f>
        <v>0</v>
      </c>
      <c r="OC87" s="17" t="e">
        <f>OB87*VLOOKUP('Données projet'!$B$27,Paramètres!$A$1:$I$89,3,0)*VLOOKUP('Données projet'!$B$27,Paramètres!$A$1:$I$89,5,0)</f>
        <v>#N/A</v>
      </c>
      <c r="OD87" s="13" t="e">
        <f t="shared" si="218"/>
        <v>#N/A</v>
      </c>
      <c r="OE87" s="14" t="e">
        <f t="shared" si="174"/>
        <v>#N/A</v>
      </c>
      <c r="OF87" s="59" t="e">
        <f t="shared" si="175"/>
        <v>#N/A</v>
      </c>
      <c r="OG87" s="20" t="e">
        <f ca="1">AVERAGE(OFFSET($OF$3,0,0,'Données projet'!$E$27+1,1))-AVERAGE(OFFSET($H$3,0,0,'Données projet'!$E$27+1,1))</f>
        <v>#N/A</v>
      </c>
      <c r="OH87" s="59" t="e">
        <f t="shared" si="219"/>
        <v>#N/A</v>
      </c>
      <c r="OI87" s="15">
        <f>IF(ISNA(VLOOKUP($A87,'Données projet'!$A$512:$I$532,3,0)),0,VLOOKUP($A87,'Données projet'!$A$512:$I$532,3,0))</f>
        <v>0</v>
      </c>
      <c r="OJ87" s="15">
        <f>IF(ISNA(VLOOKUP($A87,'Données projet'!$A$512:$I$532,4,0)),0,VLOOKUP($A87,'Données projet'!$A$512:$I$532,4,0))</f>
        <v>0</v>
      </c>
      <c r="OK87" s="16">
        <f>IF(ISNA(VLOOKUP($A87,'Données projet'!$A$512:$I$532,5,0)),0%,VLOOKUP($A87,'Données projet'!$A$512:$I$532,5,0)*VLOOKUP('Données projet'!$B$27,Paramètres!$A$1:$I$89,7,0))</f>
        <v>0</v>
      </c>
      <c r="OL87" s="16">
        <f>IF(ISNA(VLOOKUP($A87,'Données projet'!$A$512:$I$532,6,0)),0%,VLOOKUP($A87,'Données projet'!$A$512:$I$532,6,0)*VLOOKUP('Données projet'!$B$27,Paramètres!$A$1:$I$89,7,0))</f>
        <v>0</v>
      </c>
      <c r="OM87" s="16">
        <f>IF(ISNA(VLOOKUP($A87,'Données projet'!$A$512:$I$532,7,0)),0%,VLOOKUP($A87,'Données projet'!$A$512:$I$532,7,0))</f>
        <v>0</v>
      </c>
      <c r="ON87" s="21" t="e">
        <f>EXP(-LN(2)/35)*ON86+(1-EXP(-LN(2)/35))/(LN(2)/35)*OJ87*OK87*VLOOKUP('Données projet'!$B$27,Paramètres!$A$1:$I$89,3,0)*0.475*44/12</f>
        <v>#N/A</v>
      </c>
      <c r="OO87" s="21" t="e">
        <f>EXP(-LN(2)/25)*OO86+(1-EXP(-LN(2)/25))/(LN(2)/25)*Calculateur!OJ87*Calculateur!OL87*VLOOKUP('Données projet'!$B$27,Paramètres!$A$1:$I$89,3,0)*0.475*44/12</f>
        <v>#N/A</v>
      </c>
      <c r="OP87" s="21" t="e">
        <f>EXP(-LN(2)/2)*OP86+(1-EXP(-LN(2)/2))/(LN(2)/2)*OJ87*OM87*VLOOKUP('Données projet'!$B$27,Paramètres!$A$1:$I$89,3,0)*0.475*44/12</f>
        <v>#N/A</v>
      </c>
      <c r="OQ87" s="22" t="e">
        <f t="shared" si="176"/>
        <v>#N/A</v>
      </c>
      <c r="OR87" s="74">
        <f>('Scénario référence'!$F$8+'Scénario référence'!$F$9+'Scénario référence'!$B$17+'Scénario référence'!$B$9+'Scénario référence'!$B$10)*70+IF((45+25*(1-EXP(-0.0175*$A87)))&lt;70,'Scénario référence'!$B$16*(45+25*(1-EXP(-0.0175*$A87))),70*'Scénario référence'!$B$16)+IF((32+38*(1-EXP(-0.0175*$A87)))&lt;70,'Scénario référence'!$B$18*(32+38*(1-EXP(-0.0175*$A87))),70*'Scénario référence'!$B$18)</f>
        <v>70</v>
      </c>
      <c r="OS87" s="12">
        <f>IF($A87&gt;30,10,('Scénario référence'!$B$16+'Scénario référence'!$B$17+'Scénario référence'!$B$18+'Scénario référence'!$B$9+'Scénario référence'!$B$10)*$A87*10/30+('Scénario référence'!$F$8+'Scénario référence'!$F$9)*10)</f>
        <v>10</v>
      </c>
      <c r="OT87" s="12" t="e">
        <f>VLOOKUP($A87,'Données projet'!$A$538:$I$558,2,0)</f>
        <v>#N/A</v>
      </c>
      <c r="OU87" s="12" t="e">
        <f>VLOOKUP($A87,'Données projet'!$A$538:$I$558,9,0)</f>
        <v>#N/A</v>
      </c>
      <c r="OV87" s="12">
        <f t="array" ref="OV87">INDEX(OU:OU,MIN(IF(ISNUMBER(OU87:OU283),ROW(OU87:OU283),"")))</f>
        <v>0</v>
      </c>
      <c r="OW87" s="12">
        <f>IF('Données projet'!$A$538&gt;35,OW86+OV87-PE86,IF($A87&lt;'Données projet'!$A$538,$CQ$205^$A87,IF($A87='Données projet'!$A$538,'Données projet'!$B$538,OW86+OV87-PE86)))</f>
        <v>0</v>
      </c>
      <c r="OX87" s="17" t="e">
        <f>OW87*VLOOKUP('Données projet'!$B$28,Paramètres!$A$1:$I$89,3,0)*VLOOKUP('Données projet'!$B$28,Paramètres!$A$1:$I$89,5,0)</f>
        <v>#N/A</v>
      </c>
      <c r="OY87" s="13" t="e">
        <f t="shared" si="220"/>
        <v>#N/A</v>
      </c>
      <c r="OZ87" s="14" t="e">
        <f t="shared" si="177"/>
        <v>#N/A</v>
      </c>
      <c r="PA87" s="59" t="e">
        <f t="shared" si="178"/>
        <v>#N/A</v>
      </c>
      <c r="PB87" s="20" t="e">
        <f ca="1">AVERAGE(OFFSET($PA$3,0,0,'Données projet'!$E$28+1,1))-AVERAGE(OFFSET($H$3,0,0,'Données projet'!$E$28+1,1))</f>
        <v>#N/A</v>
      </c>
      <c r="PC87" s="59" t="e">
        <f t="shared" si="221"/>
        <v>#N/A</v>
      </c>
      <c r="PD87" s="15">
        <f>IF(ISNA(VLOOKUP($A87,'Données projet'!$A$538:$I$558,3,0)),0,VLOOKUP($A87,'Données projet'!$A$538:$I$558,3,0))</f>
        <v>0</v>
      </c>
      <c r="PE87" s="15">
        <f>IF(ISNA(VLOOKUP($A87,'Données projet'!$A$538:$I$558,4,0)),0,VLOOKUP($A87,'Données projet'!$A$538:$I$558,4,0))</f>
        <v>0</v>
      </c>
      <c r="PF87" s="16">
        <f>IF(ISNA(VLOOKUP($A87,'Données projet'!$A$538:$I$558,5,0)),0%,VLOOKUP($A87,'Données projet'!$A$538:$I$558,5,0)*VLOOKUP('Données projet'!$B$28,Paramètres!$A$1:$I$89,7,0))</f>
        <v>0</v>
      </c>
      <c r="PG87" s="16">
        <f>IF(ISNA(VLOOKUP($A87,'Données projet'!$A$538:$I$558,6,0)),0%,VLOOKUP($A87,'Données projet'!$A$538:$I$558,6,0)*VLOOKUP('Données projet'!$B$28,Paramètres!$A$1:$I$89,7,0))</f>
        <v>0</v>
      </c>
      <c r="PH87" s="16">
        <f>IF(ISNA(VLOOKUP($A87,'Données projet'!$A$538:$I$558,7,0)),0%,VLOOKUP($A87,'Données projet'!$A$538:$I$558,7,0))</f>
        <v>0</v>
      </c>
      <c r="PI87" s="21" t="e">
        <f>EXP(-LN(2)/35)*PI86+(1-EXP(-LN(2)/35))/(LN(2)/35)*PE87*PF87*VLOOKUP('Données projet'!$B$28,Paramètres!$A$1:$I$89,3,0)*0.475*44/12</f>
        <v>#N/A</v>
      </c>
      <c r="PJ87" s="21" t="e">
        <f>EXP(-LN(2)/25)*PJ86+(1-EXP(-LN(2)/25))/(LN(2)/25)*Calculateur!PE87*Calculateur!PG87*VLOOKUP('Données projet'!$B$28,Paramètres!$A$1:$I$89,3,0)*0.475*44/12</f>
        <v>#N/A</v>
      </c>
      <c r="PK87" s="21" t="e">
        <f>EXP(-LN(2)/2)*PK86+(1-EXP(-LN(2)/2))/(LN(2)/2)*PE87*PH87*VLOOKUP('Données projet'!$B$28,Paramètres!$A$1:$I$89,3,0)*0.475*44/12</f>
        <v>#N/A</v>
      </c>
      <c r="PL87" s="22" t="e">
        <f t="shared" si="179"/>
        <v>#N/A</v>
      </c>
    </row>
    <row r="88" spans="1:428" x14ac:dyDescent="0.35">
      <c r="A88" s="10">
        <f t="shared" si="180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181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121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projet'!$A$45:$I$65,2,0)</f>
        <v>#N/A</v>
      </c>
      <c r="L88" s="12" t="e">
        <f>VLOOKUP(A88,'Données projet'!$A$45:$I$65,9,0)</f>
        <v>#N/A</v>
      </c>
      <c r="M88" s="12">
        <f t="array" ref="M88">INDEX(L:L,MIN(IF(ISNUMBER(L88:L284),ROW(L88:L284),"")))</f>
        <v>0</v>
      </c>
      <c r="N88" s="13">
        <f>IF('Données projet'!$A$46&gt;35,N87+M88-V87,IF(A88&lt;'Données projet'!$A$46,$K$205^A88,IF(A88='Données projet'!$A$46,'Données projet'!$B$46,N87+M88-V87)))</f>
        <v>-1.1368683772161603E-13</v>
      </c>
      <c r="O88" s="13">
        <f>N88*VLOOKUP('Données projet'!$B$9,Paramètres!$A$1:$I$89,3,0)*VLOOKUP('Données projet'!$B$9,Paramètres!$A$1:$I$89,5,0)</f>
        <v>-6.3550942286383367E-14</v>
      </c>
      <c r="P88" s="13" t="e">
        <f t="shared" si="182"/>
        <v>#NUM!</v>
      </c>
      <c r="Q88" s="20" t="e">
        <f t="shared" si="119"/>
        <v>#NUM!</v>
      </c>
      <c r="R88" s="59" t="e">
        <f t="shared" si="120"/>
        <v>#NUM!</v>
      </c>
      <c r="S88" s="59">
        <f ca="1">AVERAGE(OFFSET($R$3,0,0,'Données projet'!$E$9+1,1))-AVERAGE(OFFSET($H$3,0,0,'Données projet'!$E$9+1,1))</f>
        <v>274.57619581652199</v>
      </c>
      <c r="T88" s="59">
        <f t="shared" si="183"/>
        <v>366.15117322598775</v>
      </c>
      <c r="U88" s="15">
        <f>IF(ISNA(VLOOKUP(A88,'Données projet'!$A$45:$I$65,3,0)),0,VLOOKUP(A88,'Données projet'!$A$45:$I$65,3,0))</f>
        <v>0</v>
      </c>
      <c r="V88" s="15">
        <f>IF(ISNA(VLOOKUP(A88,'Données projet'!$A$45:$I$65,4,0)),0,VLOOKUP(A88,'Données projet'!$A$45:$I$65,4,0))</f>
        <v>0</v>
      </c>
      <c r="W88" s="16">
        <f>IF(ISNA(VLOOKUP(A88,'Données projet'!$A$45:$I$65,5,0)),0%,VLOOKUP(A88,'Données projet'!$A$45:$I$65,5,0)*VLOOKUP('Données projet'!$B$9,Paramètres!$A$1:$I$89,7,0))</f>
        <v>0</v>
      </c>
      <c r="X88" s="16">
        <f>IF(ISNA(VLOOKUP(A88,'Données projet'!$A$45:$I$65,6,0)),0%,VLOOKUP(A88,'Données projet'!$A$45:$I$65,6,0)*VLOOKUP('Données projet'!$B$9,Paramètres!$A$1:$I$89,7,0))</f>
        <v>0</v>
      </c>
      <c r="Y88" s="16">
        <f>IF(ISNA(VLOOKUP(A88,'Données projet'!$A$45:$I$65,7,0)),0%,VLOOKUP(A88,'Données projet'!$A$45:$I$65,7,0))</f>
        <v>0</v>
      </c>
      <c r="Z88" s="21">
        <f>EXP(-LN(2)/35)*Z87+(1-EXP(-LN(2)/35))/(LN(2)/35)*V88*W88*VLOOKUP('Données projet'!$B$9,Paramètres!$A$1:$I$89,3,0)*0.475*44/12</f>
        <v>125.12485369738698</v>
      </c>
      <c r="AA88" s="21">
        <f>EXP(-LN(2)/25)*AA87+(1-EXP(-LN(2)/25))/(LN(2)/25)*Calculateur!V88*Calculateur!X88*VLOOKUP('Données projet'!$B$9,Paramètres!$A$1:$I$89,3,0)*0.475*44/12</f>
        <v>25.075199306082663</v>
      </c>
      <c r="AB88" s="21">
        <f>EXP(-LN(2)/2)*AB87+(1-EXP(-LN(2)/2))/(LN(2)/2)*V88*Y88*VLOOKUP('Données projet'!$B$9,Paramètres!$A$1:$I$89,3,0)*0.475*44/12</f>
        <v>1.0425202637973777E-3</v>
      </c>
      <c r="AC88" s="22">
        <f t="shared" si="122"/>
        <v>150.20109552373344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projet'!$A$71:$I$91,2,0)</f>
        <v>#N/A</v>
      </c>
      <c r="AG88" s="12" t="e">
        <f>VLOOKUP(A88,'Données projet'!$A$71:$I$91,9,0)</f>
        <v>#N/A</v>
      </c>
      <c r="AH88" s="12">
        <f t="array" ref="AH88">INDEX(AG:AG,MIN(IF(ISNUMBER(AG88:AG284),ROW(AG88:AG284),"")))</f>
        <v>7.4950142450142421</v>
      </c>
      <c r="AI88" s="13">
        <f>IF('Données projet'!$A$72&gt;35,AI87+AH88-AQ87,IF(A88&lt;'Données projet'!$A$72,$AF$205^A88,IF(A88='Données projet'!$A$72,'Données projet'!$B$72,AI87+AH88-AQ87)))</f>
        <v>265.87891737891761</v>
      </c>
      <c r="AJ88" s="13">
        <f>AI88*VLOOKUP('Données projet'!$B$10,Paramètres!$A$1:$I$89,3,0)*VLOOKUP('Données projet'!$B$10,Paramètres!$A$1:$I$89,5,0)</f>
        <v>240.56724444444464</v>
      </c>
      <c r="AK88" s="13">
        <f t="shared" si="184"/>
        <v>58.5615591142816</v>
      </c>
      <c r="AL88" s="20">
        <f t="shared" si="123"/>
        <v>520.98266619811488</v>
      </c>
      <c r="AM88" s="59">
        <f t="shared" si="124"/>
        <v>814.31599953144814</v>
      </c>
      <c r="AN88" s="59">
        <f ca="1">AVERAGE(OFFSET($AM$3,0,0,'Données projet'!$E$10+1,1))-AVERAGE(OFFSET($H$3,0,0,'Données projet'!$E$10+1,1))</f>
        <v>270.87836509222456</v>
      </c>
      <c r="AO88" s="59">
        <f t="shared" si="185"/>
        <v>205.24998237949734</v>
      </c>
      <c r="AP88" s="15">
        <f>IF(ISNA(VLOOKUP(A88,'Données projet'!$A$71:$I$91,3,0)),0,VLOOKUP(A88,'Données projet'!$A$71:$I$91,3,0))</f>
        <v>0</v>
      </c>
      <c r="AQ88" s="15">
        <f>IF(ISNA(VLOOKUP(A88,'Données projet'!$A$71:$I$91,4,0)),0,VLOOKUP(A88,'Données projet'!$A$71:$I$91,4,0))</f>
        <v>0</v>
      </c>
      <c r="AR88" s="16">
        <f>IF(ISNA(VLOOKUP(A88,'Données projet'!$A$71:$I$91,5,0)),0%,VLOOKUP(A88,'Données projet'!$A$71:$I$91,5,0)*VLOOKUP('Données projet'!$B$10,Paramètres!$A$1:$I$89,7,0))</f>
        <v>0</v>
      </c>
      <c r="AS88" s="16">
        <f>IF(ISNA(VLOOKUP(A88,'Données projet'!$A$71:$I$91,6,0)),0%,VLOOKUP(A88,'Données projet'!$A$71:$I$91,6,0)*VLOOKUP('Données projet'!$B$10,Paramètres!$A$1:$I$89,7,0))</f>
        <v>0</v>
      </c>
      <c r="AT88" s="16">
        <f>IF(ISNA(VLOOKUP(A88,'Données projet'!$A$71:$I$91,7,0)),0%,VLOOKUP(A88,'Données projet'!$A$71:$I$91,7,0))</f>
        <v>0</v>
      </c>
      <c r="AU88" s="21">
        <f>EXP(-LN(2)/35)*AU87+(1-EXP(-LN(2)/35))/(LN(2)/35)*AQ88*AR88*VLOOKUP('Données projet'!$B$10,Paramètres!$A$1:$I$89,3,0)*0.475*44/12</f>
        <v>29.674240110924561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125"/>
        <v>29.674240110924561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projet'!$A$97:$I$117,2,0)</f>
        <v>#N/A</v>
      </c>
      <c r="BB88" s="12" t="e">
        <f>VLOOKUP(A88,'Données projet'!$A$97:$I$117,9,0)</f>
        <v>#N/A</v>
      </c>
      <c r="BC88" s="12">
        <f t="array" ref="BC88">INDEX(BB:BB,MIN(IF(ISNUMBER(BB88:BB284),ROW(BB88:BB284),"")))</f>
        <v>0</v>
      </c>
      <c r="BD88" s="12">
        <f>IF('Données projet'!$A$98&gt;35,BD87+BC88-BL87,IF(A88&lt;'Données projet'!$A$98,$BA$205^A88,IF(A88='Données projet'!$A$98,'Données projet'!$B$98,BD87+BC88-BL87)))</f>
        <v>-1.1368683772161603E-13</v>
      </c>
      <c r="BE88" s="13">
        <f>BD88*VLOOKUP('Données projet'!$B$11,Paramètres!$A$1:$I$89,3,0)*VLOOKUP('Données projet'!$B$11,Paramètres!$A$1:$I$89,5,0)</f>
        <v>-5.0249582272954292E-14</v>
      </c>
      <c r="BF88" s="13" t="e">
        <f t="shared" si="186"/>
        <v>#NUM!</v>
      </c>
      <c r="BG88" s="20" t="e">
        <f t="shared" si="126"/>
        <v>#NUM!</v>
      </c>
      <c r="BH88" s="59" t="e">
        <f t="shared" si="127"/>
        <v>#NUM!</v>
      </c>
      <c r="BI88" s="59">
        <f ca="1">AVERAGE(OFFSET($BH$3,0,0,'Données projet'!$E$11+1,1))-AVERAGE(OFFSET($H$3,0,0,'Données projet'!$E$11+1,1))</f>
        <v>211.31057120485542</v>
      </c>
      <c r="BJ88" s="59">
        <f t="shared" si="187"/>
        <v>283.33292006714777</v>
      </c>
      <c r="BK88" s="15">
        <f>IF(ISNA(VLOOKUP(A88,'Données projet'!$A$97:$I$117,3,0)),0,VLOOKUP(A88,'Données projet'!$A$97:$I$117,3,0))</f>
        <v>0</v>
      </c>
      <c r="BL88" s="15">
        <f>IF(ISNA(VLOOKUP(A88,'Données projet'!$A$97:$I$117,4,0)),0,VLOOKUP(A88,'Données projet'!$A$97:$I$117,4,0))</f>
        <v>0</v>
      </c>
      <c r="BM88" s="16">
        <f>IF(ISNA(VLOOKUP(A88,'Données projet'!$A$97:$I$117,5,0)),0%,VLOOKUP(A88,'Données projet'!$A$97:$I$117,5,0)*VLOOKUP('Données projet'!$B$11,Paramètres!$A$1:$I$89,7,0))</f>
        <v>0</v>
      </c>
      <c r="BN88" s="16">
        <f>IF(ISNA(VLOOKUP(A88,'Données projet'!$A$97:$I$117,6,0)),0%,VLOOKUP(A88,'Données projet'!$A$97:$I$117,6,0)*VLOOKUP('Données projet'!$B$11,Paramètres!$A$1:$I$89,7,0))</f>
        <v>0</v>
      </c>
      <c r="BO88" s="16">
        <f>IF(ISNA(VLOOKUP(A88,'Données projet'!$A$97:$I$117,7,0)),0%,VLOOKUP(A88,'Données projet'!$A$97:$I$117,7,0))</f>
        <v>0</v>
      </c>
      <c r="BP88" s="21">
        <f>EXP(-LN(2)/35)*BP87+(1-EXP(-LN(2)/35))/(LN(2)/35)*BL88*BM88*VLOOKUP('Données projet'!$B$11,Paramètres!$A$1:$I$89,3,0)*0.475*44/12</f>
        <v>98.93593083049204</v>
      </c>
      <c r="BQ88" s="21">
        <f>EXP(-LN(2)/25)*BQ87+(1-EXP(-LN(2)/25))/(LN(2)/25)*Calculateur!BL88*Calculateur!BN88*VLOOKUP('Données projet'!$B$11,Paramètres!$A$1:$I$89,3,0)*0.475*44/12</f>
        <v>19.826901776902567</v>
      </c>
      <c r="BR88" s="21">
        <f>EXP(-LN(2)/2)*BR87+(1-EXP(-LN(2)/2))/(LN(2)/2)*BL88*BO88*VLOOKUP('Données projet'!$B$11,Paramètres!$A$1:$I$89,3,0)*0.475*44/12</f>
        <v>8.2431834811885665E-4</v>
      </c>
      <c r="BS88" s="22">
        <f t="shared" si="128"/>
        <v>118.76365692574274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projet'!$A$123:$I$143,2,0)</f>
        <v>248</v>
      </c>
      <c r="BW88" s="12">
        <f>VLOOKUP(A88,'Données projet'!$A$123:$I$143,9,0)</f>
        <v>3.6</v>
      </c>
      <c r="BX88" s="12">
        <f t="array" ref="BX88">INDEX(BW:BW,MIN(IF(ISNUMBER(BW88:BW284),ROW(BW88:BW284),"")))</f>
        <v>3.6</v>
      </c>
      <c r="BY88" s="12">
        <f>IF('Données projet'!$A$124&gt;35,BY87+BX88-CG87,IF(A88&lt;'Données projet'!$A$124,$BV$205^A88,IF(A88='Données projet'!$A$124,'Données projet'!$B$124,BY87+BX88-CG87)))</f>
        <v>248</v>
      </c>
      <c r="BZ88" s="13">
        <f>BY88*VLOOKUP('Données projet'!$B$12,Paramètres!$A$1:$I$89,3,0)*VLOOKUP('Données projet'!$B$12,Paramètres!$A$1:$I$89,5,0)</f>
        <v>259.20960000000002</v>
      </c>
      <c r="CA88" s="13">
        <f t="shared" si="188"/>
        <v>62.553866774106702</v>
      </c>
      <c r="CB88" s="20">
        <f t="shared" si="129"/>
        <v>560.40470463156919</v>
      </c>
      <c r="CC88" s="59">
        <f t="shared" si="130"/>
        <v>853.73803796490256</v>
      </c>
      <c r="CD88" s="59">
        <f ca="1">AVERAGE(OFFSET($CC$3,0,0,'Données projet'!$E$12+1,1))-AVERAGE(OFFSET($H$3,0,0,'Données projet'!$E$12+1,1))</f>
        <v>322.93502595881938</v>
      </c>
      <c r="CE88" s="59">
        <f t="shared" si="189"/>
        <v>302.67072119588164</v>
      </c>
      <c r="CF88" s="15">
        <f>IF(ISNA(VLOOKUP(A88,'Données projet'!$A$123:$I$143,3,0)),0,VLOOKUP(A88,'Données projet'!$A$123:$I$143,3,0))</f>
        <v>14</v>
      </c>
      <c r="CG88" s="15" t="str">
        <f>IF(ISNA(VLOOKUP(A88,'Données projet'!$A$123:$I$143,4,0)),0,VLOOKUP(A88,'Données projet'!$A$123:$I$143,4,0))</f>
        <v>14</v>
      </c>
      <c r="CH88" s="16">
        <f>IF(ISNA(VLOOKUP(A88,'Données projet'!$A$123:$I$143,5,0)),0%,VLOOKUP(A88,'Données projet'!$A$123:$I$143,5,0)*VLOOKUP('Données projet'!$B$12,Paramètres!$A$1:$I$89,7,0))</f>
        <v>0.25800000000000001</v>
      </c>
      <c r="CI88" s="16">
        <f>IF(ISNA(VLOOKUP(A88,'Données projet'!$A$123:$I$143,6,0)),0%,VLOOKUP(A88,'Données projet'!$A$123:$I$143,6,0)*VLOOKUP('Données projet'!$B$12,Paramètres!$A$1:$I$89,7,0))</f>
        <v>0.129</v>
      </c>
      <c r="CJ88" s="16">
        <f>IF(ISNA(VLOOKUP(A88,'Données projet'!$A$123:$I$143,7,0)),0%,VLOOKUP(A88,'Données projet'!$A$123:$I$143,7,0))</f>
        <v>0</v>
      </c>
      <c r="CK88" s="21">
        <f>EXP(-LN(2)/35)*CK87+(1-EXP(-LN(2)/35))/(LN(2)/35)*CG88*CH88*VLOOKUP('Données projet'!$B$12,Paramètres!$A$1:$I$89,3,0)*0.475*44/12</f>
        <v>29.229787461639532</v>
      </c>
      <c r="CL88" s="21">
        <f>EXP(-LN(2)/25)*CL87+(1-EXP(-LN(2)/25))/(LN(2)/25)*Calculateur!CG88*Calculateur!CI88*VLOOKUP('Données projet'!$B$12,Paramètres!$A$1:$I$89,3,0)*0.475*44/12</f>
        <v>21.589249096852345</v>
      </c>
      <c r="CM88" s="21">
        <f>EXP(-LN(2)/2)*CM87+(1-EXP(-LN(2)/2))/(LN(2)/2)*CG88*CJ88*VLOOKUP('Données projet'!$B$12,Paramètres!$A$1:$I$89,3,0)*0.475*44/12</f>
        <v>0</v>
      </c>
      <c r="CN88" s="22">
        <f t="shared" si="131"/>
        <v>50.819036558491874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projet'!$A$149:$I$169,2,0)</f>
        <v>#N/A</v>
      </c>
      <c r="CR88" s="12" t="e">
        <f>VLOOKUP(A88,'Données projet'!$A$149:$I$169,9,0)</f>
        <v>#N/A</v>
      </c>
      <c r="CS88" s="12">
        <f t="array" ref="CS88">INDEX(CR:CR,MIN(IF(ISNUMBER(CR88:CR284),ROW(CR88:CR284),"")))</f>
        <v>5.2606837606837598</v>
      </c>
      <c r="CT88" s="12">
        <f>IF('Données projet'!$A$150&gt;35,CT87+CS88-DB87,IF(A88&lt;'Données projet'!$A$150,$CQ$205^A88,IF(A88='Données projet'!$A$150,'Données projet'!$B$150,CT87+CS88-DB87)))</f>
        <v>170.18376068376057</v>
      </c>
      <c r="CU88" s="17">
        <f>CT88*VLOOKUP('Données projet'!$B$13,Paramètres!$A$1:$I$89,3,0)*VLOOKUP('Données projet'!$B$13,Paramètres!$A$1:$I$89,5,0)</f>
        <v>172.56633333333323</v>
      </c>
      <c r="CV88" s="13">
        <f t="shared" si="190"/>
        <v>43.664294704622499</v>
      </c>
      <c r="CW88" s="20">
        <f t="shared" si="132"/>
        <v>376.60167716610619</v>
      </c>
      <c r="CX88" s="59">
        <f t="shared" si="133"/>
        <v>669.9350104994395</v>
      </c>
      <c r="CY88" s="59">
        <f ca="1">AVERAGE(OFFSET($CX$3,0,0,'Données projet'!$E$13+1,1))-AVERAGE(OFFSET($H$3,0,0,'Données projet'!$E$13+1,1))</f>
        <v>250.31277422753283</v>
      </c>
      <c r="CZ88" s="59">
        <f t="shared" si="191"/>
        <v>159.20429420478047</v>
      </c>
      <c r="DA88" s="15">
        <f>IF(ISNA(VLOOKUP(A88,'Données projet'!$A$149:$I$169,3,0)),0,VLOOKUP(A88,'Données projet'!$A$149:$I$169,3,0))</f>
        <v>0</v>
      </c>
      <c r="DB88" s="15">
        <f>IF(ISNA(VLOOKUP(A88,'Données projet'!$A$149:$I$169,4,0)),0,VLOOKUP(A88,'Données projet'!$A$149:$I$169,4,0))</f>
        <v>0</v>
      </c>
      <c r="DC88" s="16">
        <f>IF(ISNA(VLOOKUP(A88,'Données projet'!$A$149:$I$169,5,0)),0%,VLOOKUP(A88,'Données projet'!$A$149:$I$169,5,0)*VLOOKUP('Données projet'!$B$13,Paramètres!$A$1:$I$89,7,0))</f>
        <v>0</v>
      </c>
      <c r="DD88" s="16">
        <f>IF(ISNA(VLOOKUP(A88,'Données projet'!$A$149:$I$169,6,0)),0%,VLOOKUP(A88,'Données projet'!$A$149:$I$169,6,0)*VLOOKUP('Données projet'!$B$13,Paramètres!$A$1:$I$89,7,0))</f>
        <v>0</v>
      </c>
      <c r="DE88" s="16">
        <f>IF(ISNA(VLOOKUP(A88,'Données projet'!$A$149:$I$169,7,0)),0%,VLOOKUP(A88,'Données projet'!$A$149:$I$169,7,0))</f>
        <v>0</v>
      </c>
      <c r="DF88" s="21">
        <f>EXP(-LN(2)/35)*DF87+(1-EXP(-LN(2)/35))/(LN(2)/35)*DB88*DC88*VLOOKUP('Données projet'!$B$13,Paramètres!$A$1:$I$89,3,0)*0.475*44/12</f>
        <v>20.162449518945923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134"/>
        <v>20.162449518945923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projet'!$A$175:$I$195,2,0)</f>
        <v>#N/A</v>
      </c>
      <c r="DM88" s="12" t="e">
        <f>VLOOKUP(A88,'Données projet'!$A$175:$I$195,9,0)</f>
        <v>#N/A</v>
      </c>
      <c r="DN88" s="12">
        <f t="array" ref="DN88">INDEX(DM:DM,MIN(IF(ISNUMBER(DM88:DM284),ROW(DM88:DM284),"")))</f>
        <v>0</v>
      </c>
      <c r="DO88" s="12">
        <f>IF('Données projet'!$A$176&gt;35,DO87+DN88-DW87,IF(A88&lt;'Données projet'!$A$176,$DL$205^A88,IF(A88='Données projet'!$A$176,'Données projet'!$B$176,DO87+DN88-DW87)))</f>
        <v>-2.8421709430404007E-13</v>
      </c>
      <c r="DP88" s="17">
        <f>DO88*VLOOKUP('Données projet'!$B$14,Paramètres!$A$1:$I$89,3,0)*VLOOKUP('Données projet'!$B$14,Paramètres!$A$1:$I$89,5,0)</f>
        <v>-2.0838797354372215E-13</v>
      </c>
      <c r="DQ88" s="13" t="e">
        <f t="shared" si="192"/>
        <v>#NUM!</v>
      </c>
      <c r="DR88" s="20" t="e">
        <f t="shared" si="135"/>
        <v>#NUM!</v>
      </c>
      <c r="DS88" s="59" t="e">
        <f t="shared" si="136"/>
        <v>#NUM!</v>
      </c>
      <c r="DT88" s="59">
        <f ca="1">AVERAGE(OFFSET($DS$3,0,0,'Données projet'!$E$14+1,1))-AVERAGE(OFFSET($H$3,0,0,'Données projet'!$E$14+1,1))</f>
        <v>296.91321813251051</v>
      </c>
      <c r="DU88" s="59">
        <f t="shared" si="193"/>
        <v>291.0718079639509</v>
      </c>
      <c r="DV88" s="15">
        <f>IF(ISNA(VLOOKUP(A88,'Données projet'!$A$175:$I$195,3,0)),0,VLOOKUP(A88,'Données projet'!$A$175:$I$195,3,0))</f>
        <v>0</v>
      </c>
      <c r="DW88" s="15">
        <f>IF(ISNA(VLOOKUP(A88,'Données projet'!$A$175:$I$195,4,0)),0,VLOOKUP(A88,'Données projet'!$A$175:$I$195,4,0))</f>
        <v>0</v>
      </c>
      <c r="DX88" s="16">
        <f>IF(ISNA(VLOOKUP(A88,'Données projet'!$A$175:$I$195,5,0)),0%,VLOOKUP(A88,'Données projet'!$A$175:$I$195,5,0)*VLOOKUP('Données projet'!$B$14,Paramètres!$A$1:$I$89,7,0))</f>
        <v>0</v>
      </c>
      <c r="DY88" s="16">
        <f>IF(ISNA(VLOOKUP(A88,'Données projet'!$A$175:$I$195,6,0)),0%,VLOOKUP(A88,'Données projet'!$A$175:$I$195,6,0)*VLOOKUP('Données projet'!$B$14,Paramètres!$A$1:$I$89,7,0))</f>
        <v>0</v>
      </c>
      <c r="DZ88" s="16">
        <f>IF(ISNA(VLOOKUP(A88,'Données projet'!$A$175:$I$195,7,0)),0%,VLOOKUP(A88,'Données projet'!$A$175:$I$195,7,0))</f>
        <v>0</v>
      </c>
      <c r="EA88" s="21">
        <f>EXP(-LN(2)/35)*EA87+(1-EXP(-LN(2)/35))/(LN(2)/35)*DW88*DX88*VLOOKUP('Données projet'!$B$14,Paramètres!$A$1:$I$89,3,0)*0.475*44/12</f>
        <v>157.10535195772508</v>
      </c>
      <c r="EB88" s="21">
        <f>EXP(-LN(2)/25)*EB87+(1-EXP(-LN(2)/25))/(LN(2)/25)*Calculateur!DW88*Calculateur!DY88*VLOOKUP('Données projet'!$B$14,Paramètres!$A$1:$I$89,3,0)*0.475*44/12</f>
        <v>4.661688237229245</v>
      </c>
      <c r="EC88" s="21">
        <f>EXP(-LN(2)/2)*EC87+(1-EXP(-LN(2)/2))/(LN(2)/2)*DW88*DZ88*VLOOKUP('Données projet'!$B$14,Paramètres!$A$1:$I$89,3,0)*0.475*44/12</f>
        <v>0</v>
      </c>
      <c r="ED88" s="22">
        <f t="shared" si="137"/>
        <v>161.76704019495432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projet'!$A$201:$I$221,2,0)</f>
        <v>#N/A</v>
      </c>
      <c r="EH88" s="12" t="e">
        <f>VLOOKUP(A88,'Données projet'!$A$201:$I$221,9,0)</f>
        <v>#N/A</v>
      </c>
      <c r="EI88" s="12">
        <f t="array" ref="EI88">INDEX(EH:EH,MIN(IF(ISNUMBER(EH88:EH284),ROW(EH88:EH284),"")))</f>
        <v>9.001923076923072</v>
      </c>
      <c r="EJ88" s="12">
        <f>IF('Données projet'!$A$202&gt;35,EJ87+EI88-ER87,IF(A88&lt;'Données projet'!$A$202,$EG$205^A88,IF(A88='Données projet'!$A$202,'Données projet'!$B$202,EJ87+EI88-ER87)))</f>
        <v>365.13461538461559</v>
      </c>
      <c r="EK88" s="17">
        <f>EJ88*VLOOKUP('Données projet'!$B$15,Paramètres!$A$1:$I$89,3,0)*VLOOKUP('Données projet'!$B$15,Paramètres!$A$1:$I$89,5,0)</f>
        <v>170.8830000000001</v>
      </c>
      <c r="EL88" s="13">
        <f t="shared" si="194"/>
        <v>43.287726543807658</v>
      </c>
      <c r="EM88" s="20">
        <f t="shared" si="138"/>
        <v>373.0140153971318</v>
      </c>
      <c r="EN88" s="59">
        <f t="shared" si="139"/>
        <v>666.34734873046511</v>
      </c>
      <c r="EO88" s="59">
        <f ca="1">AVERAGE(OFFSET($EN$3,0,0,'Données projet'!$E$15+1,1))-AVERAGE(OFFSET($H$3,0,0,'Données projet'!$E$15+1,1))</f>
        <v>147.64256291235483</v>
      </c>
      <c r="EP88" s="59">
        <f t="shared" si="195"/>
        <v>70.859031694091868</v>
      </c>
      <c r="EQ88" s="15">
        <f>IF(ISNA(VLOOKUP(A88,'Données projet'!$A$201:$I$221,3,0)),0,VLOOKUP(A88,'Données projet'!$A$201:$I$221,3,0))</f>
        <v>0</v>
      </c>
      <c r="ER88" s="15">
        <f>IF(ISNA(VLOOKUP(A88,'Données projet'!$A$201:$I$221,4,0)),0,VLOOKUP(A88,'Données projet'!$A$201:$I$221,4,0))</f>
        <v>0</v>
      </c>
      <c r="ES88" s="16">
        <f>IF(ISNA(VLOOKUP(A88,'Données projet'!$A$201:$I$221,5,0)),0%,VLOOKUP(A88,'Données projet'!$A$201:$I$221,5,0)*VLOOKUP('Données projet'!$B$15,Paramètres!$A$1:$I$89,7,0))</f>
        <v>0</v>
      </c>
      <c r="ET88" s="16">
        <f>IF(ISNA(VLOOKUP(A88,'Données projet'!$A$201:$I$221,6,0)),0%,VLOOKUP(A88,'Données projet'!$A$201:$I$221,6,0)*VLOOKUP('Données projet'!$B$15,Paramètres!$A$1:$I$89,7,0))</f>
        <v>0</v>
      </c>
      <c r="EU88" s="16">
        <f>IF(ISNA(VLOOKUP(A88,'Données projet'!$A$201:$I$221,7,0)),0%,VLOOKUP(A88,'Données projet'!$A$201:$I$221,7,0))</f>
        <v>0</v>
      </c>
      <c r="EV88" s="21">
        <f>EXP(-LN(2)/35)*EV87+(1-EXP(-LN(2)/35))/(LN(2)/35)*ER88*ES88*VLOOKUP('Données projet'!$B$15,Paramètres!$A$1:$I$89,3,0)*0.475*44/12</f>
        <v>33.447558694299502</v>
      </c>
      <c r="EW88" s="21">
        <f>EXP(-LN(2)/25)*EW87+(1-EXP(-LN(2)/25))/(LN(2)/25)*Calculateur!ER88*Calculateur!ET88*VLOOKUP('Données projet'!$B$15,Paramètres!$A$1:$I$89,3,0)*0.475*44/12</f>
        <v>14.495138825502714</v>
      </c>
      <c r="EX88" s="21">
        <f>EXP(-LN(2)/2)*EX87+(1-EXP(-LN(2)/2))/(LN(2)/2)*ER88*EU88*VLOOKUP('Données projet'!$B$15,Paramètres!$A$1:$I$89,3,0)*0.475*44/12</f>
        <v>0.19045088014442069</v>
      </c>
      <c r="EY88" s="22">
        <f t="shared" si="140"/>
        <v>48.133148399946634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>
        <f>VLOOKUP(A88,'Données projet'!$A$227:$I$247,2,0)</f>
        <v>211</v>
      </c>
      <c r="FC88" s="12">
        <f>VLOOKUP(A88,'Données projet'!$A$227:$I$247,9,0)</f>
        <v>2.8</v>
      </c>
      <c r="FD88" s="12">
        <f t="array" ref="FD88">INDEX(FC:FC,MIN(IF(ISNUMBER(FC88:FC284),ROW(FC88:FC284),"")))</f>
        <v>2.8</v>
      </c>
      <c r="FE88" s="12">
        <f>IF('Données projet'!$A$228&gt;35,FE87+FD88-FM87,IF(A88&lt;'Données projet'!$A$228,$FB$205^A88,IF(A88='Données projet'!$A$228,'Données projet'!$B$228,FE87+FD88-FM87)))</f>
        <v>210.99999999999997</v>
      </c>
      <c r="FF88" s="17">
        <f>FE88*VLOOKUP('Données projet'!$B$16,Paramètres!$A$1:$I$89,3,0)*VLOOKUP('Données projet'!$B$16,Paramètres!$A$1:$I$89,5,0)</f>
        <v>220.53719999999998</v>
      </c>
      <c r="FG88" s="13">
        <f t="shared" si="196"/>
        <v>54.23162690856141</v>
      </c>
      <c r="FH88" s="20">
        <f t="shared" si="141"/>
        <v>478.5557068657443</v>
      </c>
      <c r="FI88" s="59">
        <f t="shared" si="142"/>
        <v>771.88904019907761</v>
      </c>
      <c r="FJ88" s="59">
        <f ca="1">AVERAGE(OFFSET($FI$3,0,0,'Données projet'!$E$16+1,1))-AVERAGE(OFFSET($H$3,0,0,'Données projet'!$E$16+1,1))</f>
        <v>259.03906550253788</v>
      </c>
      <c r="FK88" s="59">
        <f t="shared" si="197"/>
        <v>235.54542903570831</v>
      </c>
      <c r="FL88" s="15">
        <f>IF(ISNA(VLOOKUP(A88,'Données projet'!$A$227:$I$247,3,0)),0,VLOOKUP(A88,'Données projet'!$A$227:$I$247,3,0))</f>
        <v>14</v>
      </c>
      <c r="FM88" s="15" t="str">
        <f>IF(ISNA(VLOOKUP(A88,'Données projet'!$A$227:$I$247,4,0)),0,VLOOKUP(A88,'Données projet'!$A$227:$I$247,4,0))</f>
        <v>10</v>
      </c>
      <c r="FN88" s="16">
        <f>IF(ISNA(VLOOKUP(A88,'Données projet'!$A$227:$I$247,5,0)),0%,VLOOKUP(A88,'Données projet'!$A$227:$I$247,5,0)*VLOOKUP('Données projet'!$B$16,Paramètres!$A$1:$I$89,7,0))</f>
        <v>0.215</v>
      </c>
      <c r="FO88" s="16">
        <f>IF(ISNA(VLOOKUP(A88,'Données projet'!$A$227:$I$247,6,0)),0%,VLOOKUP(A88,'Données projet'!$A$227:$I$247,6,0)*VLOOKUP('Données projet'!$B$16,Paramètres!$A$1:$I$89,7,0))</f>
        <v>0.17200000000000001</v>
      </c>
      <c r="FP88" s="16">
        <f>IF(ISNA(VLOOKUP(A88,'Données projet'!$A$227:$I$247,7,0)),0%,VLOOKUP(A88,'Données projet'!$A$227:$I$247,7,0))</f>
        <v>0</v>
      </c>
      <c r="FQ88" s="21">
        <f>EXP(-LN(2)/35)*FQ87+(1-EXP(-LN(2)/35))/(LN(2)/35)*FM88*FN88*VLOOKUP('Données projet'!$B$16,Paramètres!$A$1:$I$89,3,0)*0.475*44/12</f>
        <v>14.297028771679605</v>
      </c>
      <c r="FR88" s="21">
        <f>EXP(-LN(2)/25)*FR87+(1-EXP(-LN(2)/25))/(LN(2)/25)*Calculateur!FM88*Calculateur!FO88*VLOOKUP('Données projet'!$B$16,Paramètres!$A$1:$I$89,3,0)*0.475*44/12</f>
        <v>16.917376358288205</v>
      </c>
      <c r="FS88" s="21">
        <f>EXP(-LN(2)/2)*FS87+(1-EXP(-LN(2)/2))/(LN(2)/2)*FM88*FP88*VLOOKUP('Données projet'!$B$16,Paramètres!$A$1:$I$89,3,0)*0.475*44/12</f>
        <v>0</v>
      </c>
      <c r="FT88" s="22">
        <f t="shared" si="143"/>
        <v>31.214405129967808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projet'!$A$253:$I$273,2,0)</f>
        <v>#N/A</v>
      </c>
      <c r="FX88" s="12" t="e">
        <f>VLOOKUP(A88,'Données projet'!$A$253:$I$273,9,0)</f>
        <v>#N/A</v>
      </c>
      <c r="FY88" s="12">
        <f t="array" ref="FY88">INDEX(FX:FX,MIN(IF(ISNUMBER(FX88:FX284),ROW(FX88:FX284),"")))</f>
        <v>0</v>
      </c>
      <c r="FZ88" s="12">
        <f>IF('Données projet'!$A$254&gt;35,FZ87+FY88-GH87,IF(A88&lt;'Données projet'!$A$254,$FW$205^A88,IF(A88='Données projet'!$A$254,'Données projet'!$B$254,FZ87+FY88-GH87)))</f>
        <v>-1.7053025658242404E-13</v>
      </c>
      <c r="GA88" s="17">
        <f>FZ88*VLOOKUP('Données projet'!$B$17,Paramètres!$A$1:$I$89,3,0)*VLOOKUP('Données projet'!$B$17,Paramètres!$A$1:$I$89,5,0)</f>
        <v>-1.4897523215040567E-13</v>
      </c>
      <c r="GB88" s="13" t="e">
        <f t="shared" si="198"/>
        <v>#NUM!</v>
      </c>
      <c r="GC88" s="20" t="e">
        <f t="shared" si="144"/>
        <v>#NUM!</v>
      </c>
      <c r="GD88" s="59" t="e">
        <f t="shared" si="145"/>
        <v>#NUM!</v>
      </c>
      <c r="GE88" s="59">
        <f ca="1">AVERAGE(OFFSET($GD$3,0,0,'Données projet'!$E$17+1,1))-AVERAGE(OFFSET($H$3,0,0,'Données projet'!$E$17+1,1))</f>
        <v>245.1983232777614</v>
      </c>
      <c r="GF88" s="59">
        <f t="shared" si="199"/>
        <v>242.34010522344573</v>
      </c>
      <c r="GG88" s="15">
        <f>IF(ISNA(VLOOKUP(A88,'Données projet'!$A$253:$I$273,3,0)),0,VLOOKUP(A88,'Données projet'!$A$253:$I$273,3,0))</f>
        <v>0</v>
      </c>
      <c r="GH88" s="15">
        <f>IF(ISNA(VLOOKUP(A88,'Données projet'!$A$253:$I$273,4,0)),0,VLOOKUP(A88,'Données projet'!$A$253:$I$273,4,0))</f>
        <v>0</v>
      </c>
      <c r="GI88" s="16">
        <f>IF(ISNA(VLOOKUP(A88,'Données projet'!$A$253:$I$273,5,0)),0%,VLOOKUP(A88,'Données projet'!$A$253:$I$273,5,0)*VLOOKUP('Données projet'!$B$17,Paramètres!$A$1:$I$89,7,0))</f>
        <v>0</v>
      </c>
      <c r="GJ88" s="16">
        <f>IF(ISNA(VLOOKUP(A88,'Données projet'!$A$253:$I$273,6,0)),0%,VLOOKUP(A88,'Données projet'!$A$253:$I$273,6,0)*VLOOKUP('Données projet'!$B$17,Paramètres!$A$1:$I$89,7,0))</f>
        <v>0</v>
      </c>
      <c r="GK88" s="16">
        <f>IF(ISNA(VLOOKUP(A88,'Données projet'!$A$253:$I$273,7,0)),0%,VLOOKUP(A88,'Données projet'!$A$253:$I$273,7,0))</f>
        <v>0</v>
      </c>
      <c r="GL88" s="21">
        <f>EXP(-LN(2)/35)*GL87+(1-EXP(-LN(2)/35))/(LN(2)/35)*GH88*GI88*VLOOKUP('Données projet'!$B$17,Paramètres!$A$1:$I$89,3,0)*0.475*44/12</f>
        <v>111.60363441363025</v>
      </c>
      <c r="GM88" s="21">
        <f>EXP(-LN(2)/25)*GM87+(1-EXP(-LN(2)/25))/(LN(2)/25)*Calculateur!GH88*Calculateur!GJ88*VLOOKUP('Données projet'!$B$17,Paramètres!$A$1:$I$89,3,0)*0.475*44/12</f>
        <v>18.958074100404183</v>
      </c>
      <c r="GN88" s="21">
        <f>EXP(-LN(2)/2)*GN87+(1-EXP(-LN(2)/2))/(LN(2)/2)*GH88*GK88*VLOOKUP('Données projet'!$B$17,Paramètres!$A$1:$I$89,3,0)*0.475*44/12</f>
        <v>0</v>
      </c>
      <c r="GO88" s="21">
        <f t="shared" si="146"/>
        <v>130.56170851403442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projet'!$A$279:$I$299,2,0)</f>
        <v>#N/A</v>
      </c>
      <c r="GS88" s="12" t="e">
        <f>VLOOKUP(A88,'Données projet'!$A$279:$I$299,9,0)</f>
        <v>#N/A</v>
      </c>
      <c r="GT88" s="12">
        <f t="array" ref="GT88">INDEX(GS:GS,MIN(IF(ISNUMBER(GS88:GS284),ROW(GS88:GS284),"")))</f>
        <v>0</v>
      </c>
      <c r="GU88" s="12">
        <f>IF('Données projet'!$A$280&gt;35,GU87+GT88-HC87,IF(A88&lt;'Données projet'!$A$280,$GR$205^A88,IF(A88='Données projet'!$A$280,'Données projet'!$B$280,GU87+GT88-HC87)))</f>
        <v>-1.1368683772161603E-13</v>
      </c>
      <c r="GV88" s="17">
        <f>GU88*VLOOKUP('Données projet'!$B$18,Paramètres!$A$1:$I$89,3,0)*VLOOKUP('Données projet'!$B$18,Paramètres!$A$1:$I$89,5,0)</f>
        <v>-4.5815795601811263E-14</v>
      </c>
      <c r="GW88" s="13" t="e">
        <f t="shared" si="200"/>
        <v>#NUM!</v>
      </c>
      <c r="GX88" s="20" t="e">
        <f t="shared" si="147"/>
        <v>#NUM!</v>
      </c>
      <c r="GY88" s="59" t="e">
        <f t="shared" si="148"/>
        <v>#NUM!</v>
      </c>
      <c r="GZ88" s="59">
        <f ca="1">AVERAGE(OFFSET($GY$3,0,0,'Données projet'!$E$18+1,1))-AVERAGE(OFFSET($H$3,0,0,'Données projet'!$E$18+1,1))</f>
        <v>324.36162935850876</v>
      </c>
      <c r="HA88" s="59">
        <f t="shared" si="201"/>
        <v>265.23571072429735</v>
      </c>
      <c r="HB88" s="15">
        <f>IF(ISNA(VLOOKUP(A88,'Données projet'!$A$279:$I$299,3,0)),0,VLOOKUP(A88,'Données projet'!$A$279:$I$299,3,0))</f>
        <v>0</v>
      </c>
      <c r="HC88" s="15">
        <f>IF(ISNA(VLOOKUP(A88,'Données projet'!$A$279:$I$299,4,0)),0,VLOOKUP(A88,'Données projet'!$A$279:$I$299,4,0))</f>
        <v>0</v>
      </c>
      <c r="HD88" s="16">
        <f>IF(ISNA(VLOOKUP(A88,'Données projet'!$A$279:$I$299,5,0)),0%,VLOOKUP(A88,'Données projet'!$A$279:$I$299,5,0)*VLOOKUP('Données projet'!$B$18,Paramètres!$A$1:$I$89,7,0))</f>
        <v>0</v>
      </c>
      <c r="HE88" s="16">
        <f>IF(ISNA(VLOOKUP(A88,'Données projet'!$A$279:$I$299,6,0)),0%,VLOOKUP(A88,'Données projet'!$A$279:$I$299,6,0)*VLOOKUP('Données projet'!$B$18,Paramètres!$A$1:$I$89,7,0))</f>
        <v>0</v>
      </c>
      <c r="HF88" s="16">
        <f>IF(ISNA(VLOOKUP($A88,'Données projet'!$A$279:$I$299,7,0)),0%,VLOOKUP($A88,'Données projet'!$A$279:$I$299,7,0))</f>
        <v>0</v>
      </c>
      <c r="HG88" s="21">
        <f>EXP(-LN(2)/35)*HG87+(1-EXP(-LN(2)/35))/(LN(2)/35)*HC88*HD88*VLOOKUP('Données projet'!$B$18,Paramètres!$A$1:$I$89,3,0)*0.475*44/12</f>
        <v>213.86173882583347</v>
      </c>
      <c r="HH88" s="21">
        <f>EXP(-LN(2)/25)*HH87+(1-EXP(-LN(2)/25))/(LN(2)/25)*Calculateur!HC88*Calculateur!HE88*VLOOKUP('Données projet'!$B$18,Paramètres!$A$1:$I$89,3,0)*0.475*44/12</f>
        <v>21.084769355565822</v>
      </c>
      <c r="HI88" s="21">
        <f>EXP(-LN(2)/2)*HI87+(1-EXP(-LN(2)/2))/(LN(2)/2)*HC88*HF88*VLOOKUP('Données projet'!$B$18,Paramètres!$A$1:$I$89,3,0)*0.475*44/12</f>
        <v>1.5109474864315118</v>
      </c>
      <c r="HJ88" s="22">
        <f t="shared" si="149"/>
        <v>236.4574556678308</v>
      </c>
      <c r="HK88" s="74">
        <f>('Scénario référence'!$F$8+'Scénario référence'!$F$9+'Scénario référence'!$B$17+'Scénario référence'!$B$9+'Scénario référence'!$B$10)*70+IF((45+25*(1-EXP(-0.0175*$A88)))&lt;70,'Scénario référence'!$B$16*(45+25*(1-EXP(-0.0175*$A88))),70*'Scénario référence'!$B$16)+IF((32+38*(1-EXP(-0.0175*$A88)))&lt;70,'Scénario référence'!$B$18*(32+38*(1-EXP(-0.0175*$A88))),70*'Scénario référence'!$B$18)</f>
        <v>70</v>
      </c>
      <c r="HL88" s="12">
        <f>IF($A88&gt;30,10,('Scénario référence'!$B$16+'Scénario référence'!$B$17+'Scénario référence'!$B$18+'Scénario référence'!$B$9+'Scénario référence'!$B$10)*$A88*10/30+('Scénario référence'!$F$8+'Scénario référence'!$F$9)*10)</f>
        <v>10</v>
      </c>
      <c r="HM88" s="12" t="e">
        <f>VLOOKUP($A88,'Données projet'!$A$304:$I$324,2,0)</f>
        <v>#N/A</v>
      </c>
      <c r="HN88" s="12" t="e">
        <f>VLOOKUP($A88,'Données projet'!$A$304:$I$324,9,0)</f>
        <v>#N/A</v>
      </c>
      <c r="HO88" s="12">
        <f t="array" ref="HO88">INDEX(HN:HN,MIN(IF(ISNUMBER(HN88:HN284),ROW(HN88:HN284),"")))</f>
        <v>0</v>
      </c>
      <c r="HP88" s="12">
        <f>IF('Données projet'!$A$304&gt;35,HP87+HO88-HX87,IF($A88&lt;'Données projet'!$A$304,$CQ$205^$A88,IF($A88='Données projet'!$A$304,'Données projet'!$B$304,HP87+HO88-HX87)))</f>
        <v>0</v>
      </c>
      <c r="HQ88" s="17">
        <f>HP88*VLOOKUP('Données projet'!$B$19,Paramètres!$A$1:$I$89,3,0)*VLOOKUP('Données projet'!$B$19,Paramètres!$A$1:$I$89,5,0)</f>
        <v>0</v>
      </c>
      <c r="HR88" s="13" t="e">
        <f t="shared" si="202"/>
        <v>#NUM!</v>
      </c>
      <c r="HS88" s="14" t="e">
        <f t="shared" si="150"/>
        <v>#NUM!</v>
      </c>
      <c r="HT88" s="59" t="e">
        <f t="shared" si="151"/>
        <v>#NUM!</v>
      </c>
      <c r="HU88" s="59">
        <f ca="1">AVERAGE(OFFSET(HT$3,0,0,'Données projet'!$E$19+1,1))-AVERAGE(OFFSET($H$3,0,0,'Données projet'!$E$19+1,1))</f>
        <v>91.60721429656013</v>
      </c>
      <c r="HV88" s="59">
        <f t="shared" si="203"/>
        <v>258.94957804210856</v>
      </c>
      <c r="HW88" s="15">
        <f>IF(ISNA(VLOOKUP($A88,'Données projet'!$A$304:$I$324,3,0)),0,VLOOKUP($A88,'Données projet'!$A$304:$I$324,3,0))</f>
        <v>0</v>
      </c>
      <c r="HX88" s="15">
        <f>IF(ISNA(VLOOKUP($A88,'Données projet'!$A$304:$I$324,4,0)),0,VLOOKUP($A88,'Données projet'!$A$304:$I$324,4,0))</f>
        <v>0</v>
      </c>
      <c r="HY88" s="16">
        <f>IF(ISNA(VLOOKUP($A88,'Données projet'!$A$304:$I$324,5,0)),0%,VLOOKUP($A88,'Données projet'!$A$304:$I$324,5,0)*VLOOKUP('Données projet'!$B$19,Paramètres!$A$1:$I$89,7,0))</f>
        <v>0</v>
      </c>
      <c r="HZ88" s="16">
        <f>IF(ISNA(VLOOKUP($A88,'Données projet'!$A$304:$I$324,6,0)),0%,VLOOKUP($A88,'Données projet'!$A$304:$I$324,6,0)*VLOOKUP('Données projet'!$B$19,Paramètres!$A$1:$I$89,7,0))</f>
        <v>0</v>
      </c>
      <c r="IA88" s="16">
        <f>IF(ISNA(VLOOKUP($A88,'Données projet'!$A$304:$I$324,7,0)),0%,VLOOKUP($A88,'Données projet'!$A$304:$I$324,7,0))</f>
        <v>0</v>
      </c>
      <c r="IB88" s="21">
        <f>EXP(-LN(2)/35)*IB87+(1-EXP(-LN(2)/35))/(LN(2)/35)*HX88*HY88*VLOOKUP('Données projet'!$B$19,Paramètres!$A$1:$I$89,3,0)*0.475*44/12</f>
        <v>16.599224194222401</v>
      </c>
      <c r="IC88" s="21">
        <f>EXP(-LN(2)/25)*IC87+(1-EXP(-LN(2)/25))/(LN(2)/25)*Calculateur!HX88*Calculateur!HZ88*VLOOKUP('Données projet'!$B$19,Paramètres!$A$1:$I$89,3,0)*0.475*44/12</f>
        <v>2.1171194843760808</v>
      </c>
      <c r="ID88" s="21">
        <f>EXP(-LN(2)/2)*ID87+(1-EXP(-LN(2)/2))/(LN(2)/2)*HX88*IA88*VLOOKUP('Données projet'!$B$19,Paramètres!$A$1:$I$89,3,0)*0.475*44/12</f>
        <v>3.017989950273608E-9</v>
      </c>
      <c r="IE88" s="22">
        <f t="shared" si="152"/>
        <v>18.716343681616472</v>
      </c>
      <c r="IF88" s="74">
        <f>('Scénario référence'!$F$8+'Scénario référence'!$F$9+'Scénario référence'!$B$17+'Scénario référence'!$B$9+'Scénario référence'!$B$10)*70+IF((45+25*(1-EXP(-0.0175*$A88)))&lt;70,'Scénario référence'!$B$16*(45+25*(1-EXP(-0.0175*$A88))),70*'Scénario référence'!$B$16)+IF((32+38*(1-EXP(-0.0175*$A88)))&lt;70,'Scénario référence'!$B$18*(32+38*(1-EXP(-0.0175*$A88))),70*'Scénario référence'!$B$18)</f>
        <v>70</v>
      </c>
      <c r="IG88" s="12">
        <f>IF($A88&gt;30,10,('Scénario référence'!$B$16+'Scénario référence'!$B$17+'Scénario référence'!$B$18+'Scénario référence'!$B$9+'Scénario référence'!$B$10)*$A88*10/30+('Scénario référence'!$F$8+'Scénario référence'!$F$9)*10)</f>
        <v>10</v>
      </c>
      <c r="IH88" s="12" t="e">
        <f>VLOOKUP($A88,'Données projet'!$A$330:$I$350,2,0)</f>
        <v>#N/A</v>
      </c>
      <c r="II88" s="12" t="e">
        <f>VLOOKUP($A88,'Données projet'!$A$330:$I$350,9,0)</f>
        <v>#N/A</v>
      </c>
      <c r="IJ88" s="12">
        <f t="array" ref="IJ88">INDEX(II:II,MIN(IF(ISNUMBER(II88:II284),ROW(II88:II284),"")))</f>
        <v>0</v>
      </c>
      <c r="IK88" s="12">
        <f>IF('Données projet'!$A$330&gt;35,IK87+IJ88-IS87,IF($A88&lt;'Données projet'!$A$330,$CQ$205^$A88,IF($A88='Données projet'!$A$330,'Données projet'!$B$330,IK87+IJ88-IS87)))</f>
        <v>0</v>
      </c>
      <c r="IL88" s="17">
        <f>IK88*VLOOKUP('Données projet'!$B$20,Paramètres!$A$1:$I$89,3,0)*VLOOKUP('Données projet'!$B$20,Paramètres!$A$1:$I$89,5,0)</f>
        <v>0</v>
      </c>
      <c r="IM88" s="13" t="e">
        <f t="shared" si="204"/>
        <v>#NUM!</v>
      </c>
      <c r="IN88" s="20" t="e">
        <f t="shared" si="153"/>
        <v>#NUM!</v>
      </c>
      <c r="IO88" s="59" t="e">
        <f t="shared" si="154"/>
        <v>#NUM!</v>
      </c>
      <c r="IP88" s="59">
        <f ca="1">AVERAGE(OFFSET(IO$3,0,0,'Données projet'!$E$20+1,1))-AVERAGE(OFFSET($H$3,0,0,'Données projet'!$E$20+1,1))</f>
        <v>91.60721429656013</v>
      </c>
      <c r="IQ88" s="59">
        <f t="shared" si="205"/>
        <v>258.94957804210856</v>
      </c>
      <c r="IR88" s="15">
        <f>IF(ISNA(VLOOKUP($A88,'Données projet'!$A$330:$I$350,3,0)),0,VLOOKUP($A88,'Données projet'!$A$330:$I$350,3,0))</f>
        <v>0</v>
      </c>
      <c r="IS88" s="15">
        <f>IF(ISNA(VLOOKUP($A88,'Données projet'!$A$330:$I$350,4,0)),0,VLOOKUP($A88,'Données projet'!$A$330:$I$350,4,0))</f>
        <v>0</v>
      </c>
      <c r="IT88" s="16">
        <f>IF(ISNA(VLOOKUP($A88,'Données projet'!$A$330:$I$350,5,0)),0%,VLOOKUP($A88,'Données projet'!$A$330:$I$350,5,0)*VLOOKUP('Données projet'!$B$20,Paramètres!$A$1:$I$89,7,0))</f>
        <v>0</v>
      </c>
      <c r="IU88" s="16">
        <f>IF(ISNA(VLOOKUP($A88,'Données projet'!$A$330:$I$350,6,0)),0%,VLOOKUP($A88,'Données projet'!$A$330:$I$350,6,0)*VLOOKUP('Données projet'!$B$20,Paramètres!$A$1:$I$89,7,0))</f>
        <v>0</v>
      </c>
      <c r="IV88" s="16">
        <f>IF(ISNA(VLOOKUP($A88,'Données projet'!$A$330:$I$350,7,0)),0%,VLOOKUP($A88,'Données projet'!$A$330:$I$350,7,0))</f>
        <v>0</v>
      </c>
      <c r="IW88" s="21">
        <f>EXP(-LN(2)/35)*IW87+(1-EXP(-LN(2)/35))/(LN(2)/35)*IS88*IT88*VLOOKUP('Données projet'!$B$20,Paramètres!$A$1:$I$89,3,0)*0.475*44/12</f>
        <v>16.599224194222401</v>
      </c>
      <c r="IX88" s="21">
        <f>EXP(-LN(2)/25)*IX87+(1-EXP(-LN(2)/25))/(LN(2)/25)*Calculateur!IS88*Calculateur!IU88*VLOOKUP('Données projet'!$B$20,Paramètres!$A$1:$I$89,3,0)*0.475*44/12</f>
        <v>2.1171194843760808</v>
      </c>
      <c r="IY88" s="21">
        <f>EXP(-LN(2)/2)*IY87+(1-EXP(-LN(2)/2))/(LN(2)/2)*IS88*IV88*VLOOKUP('Données projet'!$B$20,Paramètres!$A$1:$I$89,3,0)*0.475*44/12</f>
        <v>3.017989950273608E-9</v>
      </c>
      <c r="IZ88" s="22">
        <f t="shared" si="155"/>
        <v>18.716343681616472</v>
      </c>
      <c r="JA88" s="74">
        <f>('Scénario référence'!$F$8+'Scénario référence'!$F$9+'Scénario référence'!$B$17+'Scénario référence'!$B$9+'Scénario référence'!$B$10)*70+IF((45+25*(1-EXP(-0.0175*$A88)))&lt;70,'Scénario référence'!$B$16*(45+25*(1-EXP(-0.0175*$A88))),70*'Scénario référence'!$B$16)+IF((32+38*(1-EXP(-0.0175*$A88)))&lt;70,'Scénario référence'!$B$18*(32+38*(1-EXP(-0.0175*$A88))),70*'Scénario référence'!$B$18)</f>
        <v>70</v>
      </c>
      <c r="JB88" s="12">
        <f>IF($A88&gt;30,10,('Scénario référence'!$B$16+'Scénario référence'!$B$17+'Scénario référence'!$B$18+'Scénario référence'!$B$9+'Scénario référence'!$B$10)*$A88*10/30+('Scénario référence'!$F$8+'Scénario référence'!$F$9)*10)</f>
        <v>10</v>
      </c>
      <c r="JC88" s="12" t="e">
        <f>VLOOKUP($A88,'Données projet'!$A$356:$I$376,2,0)</f>
        <v>#N/A</v>
      </c>
      <c r="JD88" s="12" t="e">
        <f>VLOOKUP($A88,'Données projet'!$A$356:$I$376,9,0)</f>
        <v>#N/A</v>
      </c>
      <c r="JE88" s="12">
        <f t="array" ref="JE88">INDEX(JD:JD,MIN(IF(ISNUMBER(JD88:JD284),ROW(JD88:JD284),"")))</f>
        <v>5.4</v>
      </c>
      <c r="JF88" s="12">
        <f>IF('Données projet'!$A$356&gt;35,JF87+JE88-JN87,IF($A88&lt;'Données projet'!$A$356,$CQ$205^$A88,IF($A88='Données projet'!$A$356,'Données projet'!$B$356,JF87+JE88-JN87)))</f>
        <v>349.99999999999983</v>
      </c>
      <c r="JG88" s="17">
        <f>JF88*VLOOKUP('Données projet'!$B$21,Paramètres!$A$1:$I$89,3,0)*VLOOKUP('Données projet'!$B$21,Paramètres!$A$1:$I$89,5,0)</f>
        <v>283.9199999999999</v>
      </c>
      <c r="JH88" s="13">
        <f t="shared" si="206"/>
        <v>67.794746071143578</v>
      </c>
      <c r="JI88" s="20">
        <f t="shared" si="156"/>
        <v>612.56984940724158</v>
      </c>
      <c r="JJ88" s="59">
        <f t="shared" si="157"/>
        <v>905.90318274057495</v>
      </c>
      <c r="JK88" s="59">
        <f ca="1">AVERAGE(OFFSET($JJ$3,0,0,'Données projet'!$E$22+1,1))-AVERAGE(OFFSET($H$3,0,0,'Données projet'!$E$22+1,1))</f>
        <v>353.35574633294613</v>
      </c>
      <c r="JL88" s="59">
        <f t="shared" si="207"/>
        <v>170.36796666474726</v>
      </c>
      <c r="JM88" s="15">
        <f>IF(ISNA(VLOOKUP($A88,'Données projet'!$A$356:$I$376,3,0)),0,VLOOKUP($A88,'Données projet'!$A$356:$I$376,3,0))</f>
        <v>0</v>
      </c>
      <c r="JN88" s="15">
        <f>IF(ISNA(VLOOKUP($A88,'Données projet'!$A$356:$I$376,4,0)),0,VLOOKUP($A88,'Données projet'!$A$356:$I$376,4,0))</f>
        <v>0</v>
      </c>
      <c r="JO88" s="16">
        <f>IF(ISNA(VLOOKUP($A88,'Données projet'!$A$356:$I$376,5,0)),0%,VLOOKUP($A88,'Données projet'!$A$356:$I$376,5,0)*VLOOKUP('Données projet'!$B$21,Paramètres!$A$1:$I$89,7,0))</f>
        <v>0</v>
      </c>
      <c r="JP88" s="16">
        <f>IF(ISNA(VLOOKUP($A88,'Données projet'!$A$356:$I$376,6,0)),0%,VLOOKUP($A88,'Données projet'!$A$356:$I$376,6,0)*VLOOKUP('Données projet'!$B$21,Paramètres!$A$1:$I$89,7,0))</f>
        <v>0</v>
      </c>
      <c r="JQ88" s="16">
        <f>IF(ISNA(VLOOKUP($A88,'Données projet'!$A$356:$I$376,7,0)),0%,VLOOKUP($A88,'Données projet'!$A$356:$I$376,7,0))</f>
        <v>0</v>
      </c>
      <c r="JR88" s="21">
        <f>EXP(-LN(2)/35)*JR87+(1-EXP(-LN(2)/35))/(LN(2)/35)*JN88*JO88*VLOOKUP('Données projet'!$B$21,Paramètres!$A$1:$I$89,3,0)*0.475*44/12</f>
        <v>1.8636192211061335</v>
      </c>
      <c r="JS88" s="21">
        <f>EXP(-LN(2)/25)*JS87+(1-EXP(-LN(2)/25))/(LN(2)/25)*Calculateur!JN88*Calculateur!JP88*VLOOKUP('Données projet'!$B$21,Paramètres!$A$1:$I$89,3,0)*0.475*44/12</f>
        <v>15.344181003364529</v>
      </c>
      <c r="JT88" s="21">
        <f>EXP(-LN(2)/2)*JT87+(1-EXP(-LN(2)/2))/(LN(2)/2)*JN88*JQ88*VLOOKUP('Données projet'!$B$21,Paramètres!$A$1:$I$89,3,0)*0.475*44/12</f>
        <v>1.3806031926172986</v>
      </c>
      <c r="JU88" s="18">
        <f t="shared" si="158"/>
        <v>18.58840341708796</v>
      </c>
      <c r="JV88" s="74">
        <f>('Scénario référence'!$F$8+'Scénario référence'!$F$9+'Scénario référence'!$B$17+'Scénario référence'!$B$9+'Scénario référence'!$B$10)*70+IF((45+25*(1-EXP(-0.0175*$A88)))&lt;70,'Scénario référence'!$B$16*(45+25*(1-EXP(-0.0175*$A88))),70*'Scénario référence'!$B$16)+IF((32+38*(1-EXP(-0.0175*$A88)))&lt;70,'Scénario référence'!$B$18*(32+38*(1-EXP(-0.0175*$A88))),70*'Scénario référence'!$B$18)</f>
        <v>70</v>
      </c>
      <c r="JW88" s="12">
        <f>IF($A88&gt;30,10,('Scénario référence'!$B$16+'Scénario référence'!$B$17+'Scénario référence'!$B$18+'Scénario référence'!$B$9+'Scénario référence'!$B$10)*$A88*10/30+('Scénario référence'!$F$8+'Scénario référence'!$F$9)*10)</f>
        <v>10</v>
      </c>
      <c r="JX88" s="12" t="e">
        <f>VLOOKUP($A88,'Données projet'!$A$382:$I$402,2,0)</f>
        <v>#N/A</v>
      </c>
      <c r="JY88" s="12" t="e">
        <f>VLOOKUP($A88,'Données projet'!$A$382:$I$402,9,0)</f>
        <v>#N/A</v>
      </c>
      <c r="JZ88" s="12">
        <f t="array" ref="JZ88">INDEX(JY:JY,MIN(IF(ISNUMBER(JY88:JY284),ROW(JY88:JY284),"")))</f>
        <v>7.4950142450142421</v>
      </c>
      <c r="KA88" s="12">
        <f>IF('Données projet'!$A$382&gt;35,KA87+JZ88-KI87,IF($A88&lt;'Données projet'!$A$382,$CQ$205^$A88,IF($A88='Données projet'!$A$382,'Données projet'!$B$382,KA87+JZ88-KI87)))</f>
        <v>265.87891737891755</v>
      </c>
      <c r="KB88" s="17">
        <f>KA88*VLOOKUP('Données projet'!$B$22,Paramètres!$A$1:$I$89,3,0)*VLOOKUP('Données projet'!$B$22,Paramètres!$A$1:$I$89,5,0)</f>
        <v>178.35157777777789</v>
      </c>
      <c r="KC88" s="13">
        <f t="shared" si="208"/>
        <v>44.955246452491352</v>
      </c>
      <c r="KD88" s="20">
        <f t="shared" si="159"/>
        <v>388.92605220105224</v>
      </c>
      <c r="KE88" s="59">
        <f t="shared" si="160"/>
        <v>682.2593855343855</v>
      </c>
      <c r="KF88" s="59">
        <f ca="1">AVERAGE(OFFSET($KE$3,0,0,'Données projet'!$E$22+1,1))-AVERAGE(OFFSET($H$3,0,0,'Données projet'!$E$22+1,1))</f>
        <v>193.91714772848269</v>
      </c>
      <c r="KG88" s="59">
        <f t="shared" si="209"/>
        <v>159.20429420478047</v>
      </c>
      <c r="KH88" s="15">
        <f>IF(ISNA(VLOOKUP($A88,'Données projet'!$A$382:$I$402,3,0)),0,VLOOKUP($A88,'Données projet'!$A$382:$I$402,3,0))</f>
        <v>0</v>
      </c>
      <c r="KI88" s="15">
        <f>IF(ISNA(VLOOKUP($A88,'Données projet'!$A$382:$I$402,4,0)),0,VLOOKUP($A88,'Données projet'!$A$382:$I$402,4,0))</f>
        <v>0</v>
      </c>
      <c r="KJ88" s="16">
        <f>IF(ISNA(VLOOKUP($A88,'Données projet'!$A$382:$I$402,5,0)),0%,VLOOKUP($A88,'Données projet'!$A$382:$I$402,5,0)*VLOOKUP('Données projet'!$B$22,Paramètres!$A$1:$I$89,7,0))</f>
        <v>0</v>
      </c>
      <c r="KK88" s="16">
        <f>IF(ISNA(VLOOKUP($A88,'Données projet'!$A$382:$I$402,6,0)),0%,VLOOKUP($A88,'Données projet'!$A$382:$I$402,6,0)*VLOOKUP('Données projet'!$B$22,Paramètres!$A$1:$I$89,7,0))</f>
        <v>0</v>
      </c>
      <c r="KL88" s="16">
        <f>IF(ISNA(VLOOKUP($A88,'Données projet'!$A$382:$I$402,7,0)),0%,VLOOKUP($A88,'Données projet'!$A$382:$I$402,7,0))</f>
        <v>0</v>
      </c>
      <c r="KM88" s="21">
        <f>EXP(-LN(2)/35)*KM87+(1-EXP(-LN(2)/35))/(LN(2)/35)*KI88*KJ88*VLOOKUP('Données projet'!$B$22,Paramètres!$A$1:$I$89,3,0)*0.475*44/12</f>
        <v>27.116115963431078</v>
      </c>
      <c r="KN88" s="21">
        <f>EXP(-LN(2)/25)*KN87+(1-EXP(-LN(2)/25))/(LN(2)/25)*Calculateur!KI88*Calculateur!KK88*VLOOKUP('Données projet'!$B$22,Paramètres!$A$1:$I$89,3,0)*0.475*44/12</f>
        <v>0</v>
      </c>
      <c r="KO88" s="21">
        <f>EXP(-LN(2)/2)*KO87+(1-EXP(-LN(2)/2))/(LN(2)/2)*KI88*KL88*VLOOKUP('Données projet'!$B$22,Paramètres!$A$1:$I$89,3,0)*0.475*44/12</f>
        <v>0</v>
      </c>
      <c r="KP88" s="22">
        <f t="shared" si="161"/>
        <v>27.116115963431078</v>
      </c>
      <c r="KQ88" s="74">
        <f>('Scénario référence'!$F$8+'Scénario référence'!$F$9+'Scénario référence'!$B$17+'Scénario référence'!$B$9+'Scénario référence'!$B$10)*70+IF((45+25*(1-EXP(-0.0175*$A88)))&lt;70,'Scénario référence'!$B$16*(45+25*(1-EXP(-0.0175*$A88))),70*'Scénario référence'!$B$16)+IF((32+38*(1-EXP(-0.0175*$A88)))&lt;70,'Scénario référence'!$B$18*(32+38*(1-EXP(-0.0175*$A88))),70*'Scénario référence'!$B$18)</f>
        <v>70</v>
      </c>
      <c r="KR88" s="12">
        <f>IF($A88&gt;30,10,('Scénario référence'!$B$16+'Scénario référence'!$B$17+'Scénario référence'!$B$18+'Scénario référence'!$B$9+'Scénario référence'!$B$10)*$A88*10/30+('Scénario référence'!$F$8+'Scénario référence'!$F$9)*10)</f>
        <v>10</v>
      </c>
      <c r="KS88" s="12" t="e">
        <f>VLOOKUP($A88,'Données projet'!$A$408:$I$428,2,0)</f>
        <v>#N/A</v>
      </c>
      <c r="KT88" s="12" t="e">
        <f>VLOOKUP($A88,'Données projet'!$A$408:$I$428,9,0)</f>
        <v>#N/A</v>
      </c>
      <c r="KU88" s="12">
        <f t="array" ref="KU88">INDEX(KT:KT,MIN(IF(ISNUMBER(KT88:KT284),ROW(KT88:KT284),"")))</f>
        <v>0</v>
      </c>
      <c r="KV88" s="12">
        <f>IF('Données projet'!$A$408&gt;35,KV87+KU88-LD87,IF($A88&lt;'Données projet'!$A$408,$CQ$205^$A88,IF($A88='Données projet'!$A$408,'Données projet'!$B$408,KV87+KU88-LD87)))</f>
        <v>-1.1368683772161603E-13</v>
      </c>
      <c r="KW88" s="17">
        <f>KV88*VLOOKUP('Données projet'!$B$23,Paramètres!$A$1:$I$89,3,0)*VLOOKUP('Données projet'!$B$23,Paramètres!$A$1:$I$89,5,0)</f>
        <v>-9.9316821433603781E-14</v>
      </c>
      <c r="KX88" s="13" t="e">
        <f t="shared" si="210"/>
        <v>#NUM!</v>
      </c>
      <c r="KY88" s="14" t="e">
        <f t="shared" si="162"/>
        <v>#NUM!</v>
      </c>
      <c r="KZ88" s="59" t="e">
        <f t="shared" si="163"/>
        <v>#NUM!</v>
      </c>
      <c r="LA88" s="59">
        <f ca="1">AVERAGE(OFFSET($KZ$3,0,0,'Données projet'!$E$23+1,1))-AVERAGE(OFFSET($H$3,0,0,'Données projet'!$E$23+1,1))</f>
        <v>248.33596943633819</v>
      </c>
      <c r="LB88" s="59">
        <f t="shared" si="211"/>
        <v>242.34010522344573</v>
      </c>
      <c r="LC88" s="15">
        <f>IF(ISNA(VLOOKUP($A88,'Données projet'!$A$408:$I$428,3,0)),0,VLOOKUP($A88,'Données projet'!$A$408:$I$428,3,0))</f>
        <v>0</v>
      </c>
      <c r="LD88" s="15">
        <f>IF(ISNA(VLOOKUP($A88,'Données projet'!$A$408:$I$428,4,0)),0,VLOOKUP($A88,'Données projet'!$A$408:$I$428,4,0))</f>
        <v>0</v>
      </c>
      <c r="LE88" s="16">
        <f>IF(ISNA(VLOOKUP($A88,'Données projet'!$A$408:$I$428,5,0)),0%,VLOOKUP($A88,'Données projet'!$A$408:$I$428,5,0)*VLOOKUP('Données projet'!$B$23,Paramètres!$A$1:$I$89,7,0))</f>
        <v>0</v>
      </c>
      <c r="LF88" s="16">
        <f>IF(ISNA(VLOOKUP($A88,'Données projet'!$A$408:$I$428,6,0)),0%,VLOOKUP($A88,'Données projet'!$A$408:$I$428,6,0)*VLOOKUP('Données projet'!$B$23,Paramètres!$A$1:$I$89,7,0))</f>
        <v>0</v>
      </c>
      <c r="LG88" s="16">
        <f>IF(ISNA(VLOOKUP($A88,'Données projet'!$A$408:$I$428,7,0)),0%,VLOOKUP($A88,'Données projet'!$A$408:$I$428,7,0))</f>
        <v>0</v>
      </c>
      <c r="LH88" s="21">
        <f>EXP(-LN(2)/35)*LH87+(1-EXP(-LN(2)/35))/(LN(2)/35)*LD88*LE88*VLOOKUP('Données projet'!$B$23,Paramètres!$A$1:$I$89,3,0)*0.475*44/12</f>
        <v>111.60363441363025</v>
      </c>
      <c r="LI88" s="21">
        <f>EXP(-LN(2)/25)*LI87+(1-EXP(-LN(2)/25))/(LN(2)/25)*Calculateur!LD88*Calculateur!LF88*VLOOKUP('Données projet'!$B$23,Paramètres!$A$1:$I$89,3,0)*0.475*44/12</f>
        <v>18.958074100404183</v>
      </c>
      <c r="LJ88" s="21">
        <f>EXP(-LN(2)/2)*LJ87+(1-EXP(-LN(2)/2))/(LN(2)/2)*LD88*LG88*VLOOKUP('Données projet'!$B$23,Paramètres!$A$1:$I$89,3,0)*0.475*44/12</f>
        <v>0</v>
      </c>
      <c r="LK88" s="22">
        <f t="shared" si="164"/>
        <v>130.56170851403442</v>
      </c>
      <c r="LL88" s="74">
        <f>('Scénario référence'!$F$8+'Scénario référence'!$F$9+'Scénario référence'!$B$17+'Scénario référence'!$B$9+'Scénario référence'!$B$10)*70+IF((45+25*(1-EXP(-0.0175*$A88)))&lt;70,'Scénario référence'!$B$16*(45+25*(1-EXP(-0.0175*$A88))),70*'Scénario référence'!$B$16)+IF((32+38*(1-EXP(-0.0175*$A88)))&lt;70,'Scénario référence'!$B$18*(32+38*(1-EXP(-0.0175*$A88))),70*'Scénario référence'!$B$18)</f>
        <v>70</v>
      </c>
      <c r="LM88" s="12">
        <f>IF($A88&gt;30,10,('Scénario référence'!$B$16+'Scénario référence'!$B$17+'Scénario référence'!$B$18+'Scénario référence'!$B$9+'Scénario référence'!$B$10)*$A88*10/30+('Scénario référence'!$F$8+'Scénario référence'!$F$9)*10)</f>
        <v>10</v>
      </c>
      <c r="LN88" s="12" t="e">
        <f>VLOOKUP($A88,'Données projet'!$A$434:$I$454,2,0)</f>
        <v>#N/A</v>
      </c>
      <c r="LO88" s="12" t="e">
        <f>VLOOKUP($A88,'Données projet'!$A$434:$I$454,9,0)</f>
        <v>#N/A</v>
      </c>
      <c r="LP88" s="12">
        <f t="array" ref="LP88">INDEX(LO:LO,MIN(IF(ISNUMBER(LO88:LO284),ROW(LO88:LO284),"")))</f>
        <v>5.2606837606837598</v>
      </c>
      <c r="LQ88" s="12">
        <f>IF('Données projet'!$A$434&gt;35,LQ87+LP88-LY87,IF($A88&lt;'Données projet'!$A$434,$CQ$205^$A88,IF($A88='Données projet'!$A$434,'Données projet'!$B$434,LQ87+LP88-LY87)))</f>
        <v>170.18376068376057</v>
      </c>
      <c r="LR88" s="17">
        <f>LQ88*VLOOKUP('Données projet'!$B$24,Paramètres!$A$1:$I$89,3,0)*VLOOKUP('Données projet'!$B$24,Paramètres!$A$1:$I$89,5,0)</f>
        <v>172.56633333333323</v>
      </c>
      <c r="LS88" s="13">
        <f t="shared" si="212"/>
        <v>43.664294704622499</v>
      </c>
      <c r="LT88" s="14">
        <f t="shared" si="165"/>
        <v>376.60167716610619</v>
      </c>
      <c r="LU88" s="59">
        <f t="shared" si="166"/>
        <v>669.9350104994395</v>
      </c>
      <c r="LV88" s="59">
        <f ca="1">AVERAGE(OFFSET($LU$3,0,0,'Données projet'!$E$24+1,1))-AVERAGE(OFFSET($H$3,0,0,'Données projet'!$E$24+1,1))</f>
        <v>260.52627655062872</v>
      </c>
      <c r="LW88" s="59">
        <f t="shared" si="213"/>
        <v>159.20429420478047</v>
      </c>
      <c r="LX88" s="15">
        <f>IF(ISNA(VLOOKUP($A88,'Données projet'!$A$434:$I$454,3,0)),0,VLOOKUP($A88,'Données projet'!$A$434:$I$454,3,0))</f>
        <v>0</v>
      </c>
      <c r="LY88" s="15">
        <f>IF(ISNA(VLOOKUP($A88,'Données projet'!$A$434:$I$454,4,0)),0,VLOOKUP($A88,'Données projet'!$A$434:$I$454,4,0))</f>
        <v>0</v>
      </c>
      <c r="LZ88" s="16">
        <f>IF(ISNA(VLOOKUP($A88,'Données projet'!$A$434:$I$454,5,0)),0%,VLOOKUP($A88,'Données projet'!$A$434:$I$454,5,0)*VLOOKUP('Données projet'!$B$24,Paramètres!$A$1:$I$89,7,0))</f>
        <v>0</v>
      </c>
      <c r="MA88" s="16">
        <f>IF(ISNA(VLOOKUP($A88,'Données projet'!$A$434:$I$454,6,0)),0%,VLOOKUP($A88,'Données projet'!$A$434:$I$454,6,0)*VLOOKUP('Données projet'!$B$24,Paramètres!$A$1:$I$89,7,0))</f>
        <v>0</v>
      </c>
      <c r="MB88" s="16">
        <f>IF(ISNA(VLOOKUP($A88,'Données projet'!$A$434:$I$454,7,0)),0%,VLOOKUP($A88,'Données projet'!$A$434:$I$454,7,0))</f>
        <v>0</v>
      </c>
      <c r="MC88" s="21">
        <f>EXP(-LN(2)/35)*MC87+(1-EXP(-LN(2)/35))/(LN(2)/35)*LY88*LZ88*VLOOKUP('Données projet'!$B$24,Paramètres!$A$1:$I$89,3,0)*0.475*44/12</f>
        <v>20.162449518945923</v>
      </c>
      <c r="MD88" s="21">
        <f>EXP(-LN(2)/25)*MD87+(1-EXP(-LN(2)/25))/(LN(2)/25)*Calculateur!LY88*Calculateur!MA88*VLOOKUP('Données projet'!$B$24,Paramètres!$A$1:$I$89,3,0)*0.475*44/12</f>
        <v>0</v>
      </c>
      <c r="ME88" s="21">
        <f>EXP(-LN(2)/2)*ME87+(1-EXP(-LN(2)/2))/(LN(2)/2)*LY88*MB88*VLOOKUP('Données projet'!$B$24,Paramètres!$A$1:$I$89,3,0)*0.475*44/12</f>
        <v>0</v>
      </c>
      <c r="MF88" s="22">
        <f t="shared" si="167"/>
        <v>20.162449518945923</v>
      </c>
      <c r="MG88" s="74">
        <f>('Scénario référence'!$F$8+'Scénario référence'!$F$9+'Scénario référence'!$B$17+'Scénario référence'!$B$9+'Scénario référence'!$B$10)*70+IF((45+25*(1-EXP(-0.0175*$A88)))&lt;70,'Scénario référence'!$B$16*(45+25*(1-EXP(-0.0175*$A88))),70*'Scénario référence'!$B$16)+IF((32+38*(1-EXP(-0.0175*$A88)))&lt;70,'Scénario référence'!$B$18*(32+38*(1-EXP(-0.0175*$A88))),70*'Scénario référence'!$B$18)</f>
        <v>70</v>
      </c>
      <c r="MH88" s="12">
        <f>IF($A88&gt;30,10,('Scénario référence'!$B$16+'Scénario référence'!$B$17+'Scénario référence'!$B$18+'Scénario référence'!$B$9+'Scénario référence'!$B$10)*$A88*10/30+('Scénario référence'!$F$8+'Scénario référence'!$F$9)*10)</f>
        <v>10</v>
      </c>
      <c r="MI88" s="12" t="e">
        <f>VLOOKUP($A88,'Données projet'!$A$460:$I$480,2,0)</f>
        <v>#N/A</v>
      </c>
      <c r="MJ88" s="12" t="e">
        <f>VLOOKUP($A88,'Données projet'!$A$460:$I$480,9,0)</f>
        <v>#N/A</v>
      </c>
      <c r="MK88" s="12">
        <f t="array" ref="MK88">INDEX(MJ:MJ,MIN(IF(ISNUMBER(MJ88:MJ284),ROW(MJ88:MJ284),"")))</f>
        <v>0</v>
      </c>
      <c r="ML88" s="12">
        <f>IF('Données projet'!$A$460&gt;35,ML87+MK88-MT87,IF($A88&lt;'Données projet'!$A$460,$CQ$205^$A88,IF($A88='Données projet'!$A$460,'Données projet'!$B$460,ML87+MK88-MT87)))</f>
        <v>0</v>
      </c>
      <c r="MM88" s="17" t="e">
        <f>ML88*VLOOKUP('Données projet'!$B$25,Paramètres!$A$1:$I$89,3,0)*VLOOKUP('Données projet'!$B$25,Paramètres!$A$1:$I$89,5,0)</f>
        <v>#N/A</v>
      </c>
      <c r="MN88" s="13" t="e">
        <f t="shared" si="214"/>
        <v>#N/A</v>
      </c>
      <c r="MO88" s="14" t="e">
        <f t="shared" si="168"/>
        <v>#N/A</v>
      </c>
      <c r="MP88" s="59" t="e">
        <f t="shared" si="169"/>
        <v>#N/A</v>
      </c>
      <c r="MQ88" s="20" t="e">
        <f ca="1">AVERAGE(OFFSET($MP$3,0,0,'Données projet'!$E$25+1,1))-AVERAGE(OFFSET($H$3,0,0,'Données projet'!$E$25+1,1))</f>
        <v>#N/A</v>
      </c>
      <c r="MR88" s="59" t="e">
        <f t="shared" si="215"/>
        <v>#N/A</v>
      </c>
      <c r="MS88" s="15">
        <f>IF(ISNA(VLOOKUP($A88,'Données projet'!$A$460:$I$480,3,0)),0,VLOOKUP($A88,'Données projet'!$A$460:$I$480,3,0))</f>
        <v>0</v>
      </c>
      <c r="MT88" s="15">
        <f>IF(ISNA(VLOOKUP($A88,'Données projet'!$A$460:$I$480,4,0)),0,VLOOKUP($A88,'Données projet'!$A$460:$I$480,4,0))</f>
        <v>0</v>
      </c>
      <c r="MU88" s="16">
        <f>IF(ISNA(VLOOKUP($A88,'Données projet'!$A$460:$I$480,5,0)),0%,VLOOKUP($A88,'Données projet'!$A$460:$I$480,5,0)*VLOOKUP('Données projet'!$B$25,Paramètres!$A$1:$I$89,7,0))</f>
        <v>0</v>
      </c>
      <c r="MV88" s="16">
        <f>IF(ISNA(VLOOKUP($A88,'Données projet'!$A$460:$I$480,6,0)),0%,VLOOKUP($A88,'Données projet'!$A$460:$I$480,6,0)*VLOOKUP('Données projet'!$B$25,Paramètres!$A$1:$I$89,7,0))</f>
        <v>0</v>
      </c>
      <c r="MW88" s="16">
        <f>IF(ISNA(VLOOKUP($A88,'Données projet'!$A$460:$I$480,7,0)),0%,VLOOKUP($A88,'Données projet'!$A$460:$I$480,7,0))</f>
        <v>0</v>
      </c>
      <c r="MX88" s="21" t="e">
        <f>EXP(-LN(2)/35)*MX87+(1-EXP(-LN(2)/35))/(LN(2)/35)*MT88*MU88*VLOOKUP('Données projet'!$B$25,Paramètres!$A$1:$I$89,3,0)*0.475*44/12</f>
        <v>#N/A</v>
      </c>
      <c r="MY88" s="21" t="e">
        <f>EXP(-LN(2)/25)*MY87+(1-EXP(-LN(2)/25))/(LN(2)/25)*Calculateur!MT88*Calculateur!MV88*VLOOKUP('Données projet'!$B$25,Paramètres!$A$1:$I$89,3,0)*0.475*44/12</f>
        <v>#N/A</v>
      </c>
      <c r="MZ88" s="21" t="e">
        <f>EXP(-LN(2)/2)*MZ87+(1-EXP(-LN(2)/2))/(LN(2)/2)*MT88*MW88*VLOOKUP('Données projet'!$B$25,Paramètres!$A$1:$I$89,3,0)*0.475*44/12</f>
        <v>#N/A</v>
      </c>
      <c r="NA88" s="22" t="e">
        <f t="shared" si="170"/>
        <v>#N/A</v>
      </c>
      <c r="NB88" s="74">
        <f>('Scénario référence'!$F$8+'Scénario référence'!$F$9+'Scénario référence'!$B$17+'Scénario référence'!$B$9+'Scénario référence'!$B$10)*70+IF((45+25*(1-EXP(-0.0175*$A88)))&lt;70,'Scénario référence'!$B$16*(45+25*(1-EXP(-0.0175*$A88))),70*'Scénario référence'!$B$16)+IF((32+38*(1-EXP(-0.0175*$A88)))&lt;70,'Scénario référence'!$B$18*(32+38*(1-EXP(-0.0175*$A88))),70*'Scénario référence'!$B$18)</f>
        <v>70</v>
      </c>
      <c r="NC88" s="12">
        <f>IF($A88&gt;30,10,('Scénario référence'!$B$16+'Scénario référence'!$B$17+'Scénario référence'!$B$18+'Scénario référence'!$B$9+'Scénario référence'!$B$10)*$A88*10/30+('Scénario référence'!$F$8+'Scénario référence'!$F$9)*10)</f>
        <v>10</v>
      </c>
      <c r="ND88" s="12" t="e">
        <f>VLOOKUP($A88,'Données projet'!$A$486:$I$506,2,0)</f>
        <v>#N/A</v>
      </c>
      <c r="NE88" s="12" t="e">
        <f>VLOOKUP($A88,'Données projet'!$A$486:$I$506,9,0)</f>
        <v>#N/A</v>
      </c>
      <c r="NF88" s="12">
        <f t="array" ref="NF88">INDEX(NE:NE,MIN(IF(ISNUMBER(NE88:NE284),ROW(NE88:NE284),"")))</f>
        <v>0</v>
      </c>
      <c r="NG88" s="12">
        <f>IF('Données projet'!$A$486&gt;35,NG87+NF88-NO87,IF($A88&lt;'Données projet'!$A$486,$CQ$205^$A88,IF($A88='Données projet'!$A$486,'Données projet'!$B$486,NG87+NF88-NO87)))</f>
        <v>0</v>
      </c>
      <c r="NH88" s="17" t="e">
        <f>NG88*VLOOKUP('Données projet'!$B$26,Paramètres!$A$1:$I$89,3,0)*VLOOKUP('Données projet'!$B$26,Paramètres!$A$1:$I$89,5,0)</f>
        <v>#N/A</v>
      </c>
      <c r="NI88" s="13" t="e">
        <f t="shared" si="216"/>
        <v>#N/A</v>
      </c>
      <c r="NJ88" s="14" t="e">
        <f t="shared" si="171"/>
        <v>#N/A</v>
      </c>
      <c r="NK88" s="59" t="e">
        <f t="shared" si="172"/>
        <v>#N/A</v>
      </c>
      <c r="NL88" s="20" t="e">
        <f ca="1">AVERAGE(OFFSET($NK$3,0,0,'Données projet'!$E$26+1,1))-AVERAGE(OFFSET($H$3,0,0,'Données projet'!$E$26+1,1))</f>
        <v>#N/A</v>
      </c>
      <c r="NM88" s="59" t="e">
        <f t="shared" si="217"/>
        <v>#N/A</v>
      </c>
      <c r="NN88" s="15">
        <f>IF(ISNA(VLOOKUP($A88,'Données projet'!$A$486:$I$506,3,0)),0,VLOOKUP($A88,'Données projet'!$A$486:$I$506,3,0))</f>
        <v>0</v>
      </c>
      <c r="NO88" s="15">
        <f>IF(ISNA(VLOOKUP($A88,'Données projet'!$A$486:$I$506,4,0)),0,VLOOKUP($A88,'Données projet'!$A$486:$I$506,4,0))</f>
        <v>0</v>
      </c>
      <c r="NP88" s="16">
        <f>IF(ISNA(VLOOKUP($A88,'Données projet'!$A$486:$I$506,5,0)),0%,VLOOKUP($A88,'Données projet'!$A$486:$I$506,5,0)*VLOOKUP('Données projet'!$B$26,Paramètres!$A$1:$I$89,7,0))</f>
        <v>0</v>
      </c>
      <c r="NQ88" s="16">
        <f>IF(ISNA(VLOOKUP($A88,'Données projet'!$A$486:$I$506,6,0)),0%,VLOOKUP($A88,'Données projet'!$A$486:$I$506,6,0)*VLOOKUP('Données projet'!$B$26,Paramètres!$A$1:$I$89,7,0))</f>
        <v>0</v>
      </c>
      <c r="NR88" s="16">
        <f>IF(ISNA(VLOOKUP($A88,'Données projet'!$A$486:$I$506,7,0)),0%,VLOOKUP($A88,'Données projet'!$A$486:$I$506,7,0))</f>
        <v>0</v>
      </c>
      <c r="NS88" s="21" t="e">
        <f>EXP(-LN(2)/35)*NS87+(1-EXP(-LN(2)/35))/(LN(2)/35)*NO88*NP88*VLOOKUP('Données projet'!$B$26,Paramètres!$A$1:$I$89,3,0)*0.475*44/12</f>
        <v>#N/A</v>
      </c>
      <c r="NT88" s="21" t="e">
        <f>EXP(-LN(2)/25)*NT87+(1-EXP(-LN(2)/25))/(LN(2)/25)*Calculateur!NO88*Calculateur!NQ88*VLOOKUP('Données projet'!$B$26,Paramètres!$A$1:$I$89,3,0)*0.475*44/12</f>
        <v>#N/A</v>
      </c>
      <c r="NU88" s="21" t="e">
        <f>EXP(-LN(2)/2)*NU87+(1-EXP(-LN(2)/2))/(LN(2)/2)*NO88*NR88*VLOOKUP('Données projet'!$B$26,Paramètres!$A$1:$I$89,3,0)*0.475*44/12</f>
        <v>#N/A</v>
      </c>
      <c r="NV88" s="22" t="e">
        <f t="shared" si="173"/>
        <v>#N/A</v>
      </c>
      <c r="NW88" s="74">
        <f>('Scénario référence'!$F$8+'Scénario référence'!$F$9+'Scénario référence'!$B$17+'Scénario référence'!$B$9+'Scénario référence'!$B$10)*70+IF((45+25*(1-EXP(-0.0175*$A88)))&lt;70,'Scénario référence'!$B$16*(45+25*(1-EXP(-0.0175*$A88))),70*'Scénario référence'!$B$16)+IF((32+38*(1-EXP(-0.0175*$A88)))&lt;70,'Scénario référence'!$B$18*(32+38*(1-EXP(-0.0175*$A88))),70*'Scénario référence'!$B$18)</f>
        <v>70</v>
      </c>
      <c r="NX88" s="12">
        <f>IF($A88&gt;30,10,('Scénario référence'!$B$16+'Scénario référence'!$B$17+'Scénario référence'!$B$18+'Scénario référence'!$B$9+'Scénario référence'!$B$10)*$A88*10/30+('Scénario référence'!$F$8+'Scénario référence'!$F$9)*10)</f>
        <v>10</v>
      </c>
      <c r="NY88" s="12" t="e">
        <f>VLOOKUP($A88,'Données projet'!$A$512:$I$532,2,0)</f>
        <v>#N/A</v>
      </c>
      <c r="NZ88" s="12" t="e">
        <f>VLOOKUP($A88,'Données projet'!$A$512:$I$532,9,0)</f>
        <v>#N/A</v>
      </c>
      <c r="OA88" s="12">
        <f t="array" ref="OA88">INDEX(NZ:NZ,MIN(IF(ISNUMBER(NZ88:NZ284),ROW(NZ88:NZ284),"")))</f>
        <v>0</v>
      </c>
      <c r="OB88" s="12">
        <f>IF('Données projet'!$A$512&gt;35,OB87+OA88-OJ87,IF($A88&lt;'Données projet'!$A$512,$CQ$205^$A88,IF($A88='Données projet'!$A$512,'Données projet'!$B$512,OB87+OA88-OJ87)))</f>
        <v>0</v>
      </c>
      <c r="OC88" s="17" t="e">
        <f>OB88*VLOOKUP('Données projet'!$B$27,Paramètres!$A$1:$I$89,3,0)*VLOOKUP('Données projet'!$B$27,Paramètres!$A$1:$I$89,5,0)</f>
        <v>#N/A</v>
      </c>
      <c r="OD88" s="13" t="e">
        <f t="shared" si="218"/>
        <v>#N/A</v>
      </c>
      <c r="OE88" s="14" t="e">
        <f t="shared" si="174"/>
        <v>#N/A</v>
      </c>
      <c r="OF88" s="59" t="e">
        <f t="shared" si="175"/>
        <v>#N/A</v>
      </c>
      <c r="OG88" s="20" t="e">
        <f ca="1">AVERAGE(OFFSET($OF$3,0,0,'Données projet'!$E$27+1,1))-AVERAGE(OFFSET($H$3,0,0,'Données projet'!$E$27+1,1))</f>
        <v>#N/A</v>
      </c>
      <c r="OH88" s="59" t="e">
        <f t="shared" si="219"/>
        <v>#N/A</v>
      </c>
      <c r="OI88" s="15">
        <f>IF(ISNA(VLOOKUP($A88,'Données projet'!$A$512:$I$532,3,0)),0,VLOOKUP($A88,'Données projet'!$A$512:$I$532,3,0))</f>
        <v>0</v>
      </c>
      <c r="OJ88" s="15">
        <f>IF(ISNA(VLOOKUP($A88,'Données projet'!$A$512:$I$532,4,0)),0,VLOOKUP($A88,'Données projet'!$A$512:$I$532,4,0))</f>
        <v>0</v>
      </c>
      <c r="OK88" s="16">
        <f>IF(ISNA(VLOOKUP($A88,'Données projet'!$A$512:$I$532,5,0)),0%,VLOOKUP($A88,'Données projet'!$A$512:$I$532,5,0)*VLOOKUP('Données projet'!$B$27,Paramètres!$A$1:$I$89,7,0))</f>
        <v>0</v>
      </c>
      <c r="OL88" s="16">
        <f>IF(ISNA(VLOOKUP($A88,'Données projet'!$A$512:$I$532,6,0)),0%,VLOOKUP($A88,'Données projet'!$A$512:$I$532,6,0)*VLOOKUP('Données projet'!$B$27,Paramètres!$A$1:$I$89,7,0))</f>
        <v>0</v>
      </c>
      <c r="OM88" s="16">
        <f>IF(ISNA(VLOOKUP($A88,'Données projet'!$A$512:$I$532,7,0)),0%,VLOOKUP($A88,'Données projet'!$A$512:$I$532,7,0))</f>
        <v>0</v>
      </c>
      <c r="ON88" s="21" t="e">
        <f>EXP(-LN(2)/35)*ON87+(1-EXP(-LN(2)/35))/(LN(2)/35)*OJ88*OK88*VLOOKUP('Données projet'!$B$27,Paramètres!$A$1:$I$89,3,0)*0.475*44/12</f>
        <v>#N/A</v>
      </c>
      <c r="OO88" s="21" t="e">
        <f>EXP(-LN(2)/25)*OO87+(1-EXP(-LN(2)/25))/(LN(2)/25)*Calculateur!OJ88*Calculateur!OL88*VLOOKUP('Données projet'!$B$27,Paramètres!$A$1:$I$89,3,0)*0.475*44/12</f>
        <v>#N/A</v>
      </c>
      <c r="OP88" s="21" t="e">
        <f>EXP(-LN(2)/2)*OP87+(1-EXP(-LN(2)/2))/(LN(2)/2)*OJ88*OM88*VLOOKUP('Données projet'!$B$27,Paramètres!$A$1:$I$89,3,0)*0.475*44/12</f>
        <v>#N/A</v>
      </c>
      <c r="OQ88" s="22" t="e">
        <f t="shared" si="176"/>
        <v>#N/A</v>
      </c>
      <c r="OR88" s="74">
        <f>('Scénario référence'!$F$8+'Scénario référence'!$F$9+'Scénario référence'!$B$17+'Scénario référence'!$B$9+'Scénario référence'!$B$10)*70+IF((45+25*(1-EXP(-0.0175*$A88)))&lt;70,'Scénario référence'!$B$16*(45+25*(1-EXP(-0.0175*$A88))),70*'Scénario référence'!$B$16)+IF((32+38*(1-EXP(-0.0175*$A88)))&lt;70,'Scénario référence'!$B$18*(32+38*(1-EXP(-0.0175*$A88))),70*'Scénario référence'!$B$18)</f>
        <v>70</v>
      </c>
      <c r="OS88" s="12">
        <f>IF($A88&gt;30,10,('Scénario référence'!$B$16+'Scénario référence'!$B$17+'Scénario référence'!$B$18+'Scénario référence'!$B$9+'Scénario référence'!$B$10)*$A88*10/30+('Scénario référence'!$F$8+'Scénario référence'!$F$9)*10)</f>
        <v>10</v>
      </c>
      <c r="OT88" s="12" t="e">
        <f>VLOOKUP($A88,'Données projet'!$A$538:$I$558,2,0)</f>
        <v>#N/A</v>
      </c>
      <c r="OU88" s="12" t="e">
        <f>VLOOKUP($A88,'Données projet'!$A$538:$I$558,9,0)</f>
        <v>#N/A</v>
      </c>
      <c r="OV88" s="12">
        <f t="array" ref="OV88">INDEX(OU:OU,MIN(IF(ISNUMBER(OU88:OU284),ROW(OU88:OU284),"")))</f>
        <v>0</v>
      </c>
      <c r="OW88" s="12">
        <f>IF('Données projet'!$A$538&gt;35,OW87+OV88-PE87,IF($A88&lt;'Données projet'!$A$538,$CQ$205^$A88,IF($A88='Données projet'!$A$538,'Données projet'!$B$538,OW87+OV88-PE87)))</f>
        <v>0</v>
      </c>
      <c r="OX88" s="17" t="e">
        <f>OW88*VLOOKUP('Données projet'!$B$28,Paramètres!$A$1:$I$89,3,0)*VLOOKUP('Données projet'!$B$28,Paramètres!$A$1:$I$89,5,0)</f>
        <v>#N/A</v>
      </c>
      <c r="OY88" s="13" t="e">
        <f t="shared" si="220"/>
        <v>#N/A</v>
      </c>
      <c r="OZ88" s="14" t="e">
        <f t="shared" si="177"/>
        <v>#N/A</v>
      </c>
      <c r="PA88" s="59" t="e">
        <f t="shared" si="178"/>
        <v>#N/A</v>
      </c>
      <c r="PB88" s="20" t="e">
        <f ca="1">AVERAGE(OFFSET($PA$3,0,0,'Données projet'!$E$28+1,1))-AVERAGE(OFFSET($H$3,0,0,'Données projet'!$E$28+1,1))</f>
        <v>#N/A</v>
      </c>
      <c r="PC88" s="59" t="e">
        <f t="shared" si="221"/>
        <v>#N/A</v>
      </c>
      <c r="PD88" s="15">
        <f>IF(ISNA(VLOOKUP($A88,'Données projet'!$A$538:$I$558,3,0)),0,VLOOKUP($A88,'Données projet'!$A$538:$I$558,3,0))</f>
        <v>0</v>
      </c>
      <c r="PE88" s="15">
        <f>IF(ISNA(VLOOKUP($A88,'Données projet'!$A$538:$I$558,4,0)),0,VLOOKUP($A88,'Données projet'!$A$538:$I$558,4,0))</f>
        <v>0</v>
      </c>
      <c r="PF88" s="16">
        <f>IF(ISNA(VLOOKUP($A88,'Données projet'!$A$538:$I$558,5,0)),0%,VLOOKUP($A88,'Données projet'!$A$538:$I$558,5,0)*VLOOKUP('Données projet'!$B$28,Paramètres!$A$1:$I$89,7,0))</f>
        <v>0</v>
      </c>
      <c r="PG88" s="16">
        <f>IF(ISNA(VLOOKUP($A88,'Données projet'!$A$538:$I$558,6,0)),0%,VLOOKUP($A88,'Données projet'!$A$538:$I$558,6,0)*VLOOKUP('Données projet'!$B$28,Paramètres!$A$1:$I$89,7,0))</f>
        <v>0</v>
      </c>
      <c r="PH88" s="16">
        <f>IF(ISNA(VLOOKUP($A88,'Données projet'!$A$538:$I$558,7,0)),0%,VLOOKUP($A88,'Données projet'!$A$538:$I$558,7,0))</f>
        <v>0</v>
      </c>
      <c r="PI88" s="21" t="e">
        <f>EXP(-LN(2)/35)*PI87+(1-EXP(-LN(2)/35))/(LN(2)/35)*PE88*PF88*VLOOKUP('Données projet'!$B$28,Paramètres!$A$1:$I$89,3,0)*0.475*44/12</f>
        <v>#N/A</v>
      </c>
      <c r="PJ88" s="21" t="e">
        <f>EXP(-LN(2)/25)*PJ87+(1-EXP(-LN(2)/25))/(LN(2)/25)*Calculateur!PE88*Calculateur!PG88*VLOOKUP('Données projet'!$B$28,Paramètres!$A$1:$I$89,3,0)*0.475*44/12</f>
        <v>#N/A</v>
      </c>
      <c r="PK88" s="21" t="e">
        <f>EXP(-LN(2)/2)*PK87+(1-EXP(-LN(2)/2))/(LN(2)/2)*PE88*PH88*VLOOKUP('Données projet'!$B$28,Paramètres!$A$1:$I$89,3,0)*0.475*44/12</f>
        <v>#N/A</v>
      </c>
      <c r="PL88" s="22" t="e">
        <f t="shared" si="179"/>
        <v>#N/A</v>
      </c>
    </row>
    <row r="89" spans="1:428" x14ac:dyDescent="0.35">
      <c r="A89" s="10">
        <f t="shared" si="180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181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121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projet'!$A$45:$I$65,2,0)</f>
        <v>#N/A</v>
      </c>
      <c r="L89" s="12" t="e">
        <f>VLOOKUP(A89,'Données projet'!$A$45:$I$65,9,0)</f>
        <v>#N/A</v>
      </c>
      <c r="M89" s="12">
        <f t="array" ref="M89">INDEX(L:L,MIN(IF(ISNUMBER(L89:L285),ROW(L89:L285),"")))</f>
        <v>0</v>
      </c>
      <c r="N89" s="13">
        <f>IF('Données projet'!$A$46&gt;35,N88+M89-V88,IF(A89&lt;'Données projet'!$A$46,$K$205^A89,IF(A89='Données projet'!$A$46,'Données projet'!$B$46,N88+M89-V88)))</f>
        <v>-1.1368683772161603E-13</v>
      </c>
      <c r="O89" s="13">
        <f>N89*VLOOKUP('Données projet'!$B$9,Paramètres!$A$1:$I$89,3,0)*VLOOKUP('Données projet'!$B$9,Paramètres!$A$1:$I$89,5,0)</f>
        <v>-6.3550942286383367E-14</v>
      </c>
      <c r="P89" s="13" t="e">
        <f t="shared" si="182"/>
        <v>#NUM!</v>
      </c>
      <c r="Q89" s="20" t="e">
        <f t="shared" si="119"/>
        <v>#NUM!</v>
      </c>
      <c r="R89" s="59" t="e">
        <f t="shared" si="120"/>
        <v>#NUM!</v>
      </c>
      <c r="S89" s="59">
        <f ca="1">AVERAGE(OFFSET($R$3,0,0,'Données projet'!$E$9+1,1))-AVERAGE(OFFSET($H$3,0,0,'Données projet'!$E$9+1,1))</f>
        <v>274.57619581652199</v>
      </c>
      <c r="T89" s="59">
        <f t="shared" si="183"/>
        <v>366.15117322598775</v>
      </c>
      <c r="U89" s="15">
        <f>IF(ISNA(VLOOKUP(A89,'Données projet'!$A$45:$I$65,3,0)),0,VLOOKUP(A89,'Données projet'!$A$45:$I$65,3,0))</f>
        <v>0</v>
      </c>
      <c r="V89" s="15">
        <f>IF(ISNA(VLOOKUP(A89,'Données projet'!$A$45:$I$65,4,0)),0,VLOOKUP(A89,'Données projet'!$A$45:$I$65,4,0))</f>
        <v>0</v>
      </c>
      <c r="W89" s="16">
        <f>IF(ISNA(VLOOKUP(A89,'Données projet'!$A$45:$I$65,5,0)),0%,VLOOKUP(A89,'Données projet'!$A$45:$I$65,5,0)*VLOOKUP('Données projet'!$B$9,Paramètres!$A$1:$I$89,7,0))</f>
        <v>0</v>
      </c>
      <c r="X89" s="16">
        <f>IF(ISNA(VLOOKUP(A89,'Données projet'!$A$45:$I$65,6,0)),0%,VLOOKUP(A89,'Données projet'!$A$45:$I$65,6,0)*VLOOKUP('Données projet'!$B$9,Paramètres!$A$1:$I$89,7,0))</f>
        <v>0</v>
      </c>
      <c r="Y89" s="16">
        <f>IF(ISNA(VLOOKUP(A89,'Données projet'!$A$45:$I$65,7,0)),0%,VLOOKUP(A89,'Données projet'!$A$45:$I$65,7,0))</f>
        <v>0</v>
      </c>
      <c r="Z89" s="21">
        <f>EXP(-LN(2)/35)*Z88+(1-EXP(-LN(2)/35))/(LN(2)/35)*V89*W89*VLOOKUP('Données projet'!$B$9,Paramètres!$A$1:$I$89,3,0)*0.475*44/12</f>
        <v>122.67123163500614</v>
      </c>
      <c r="AA89" s="21">
        <f>EXP(-LN(2)/25)*AA88+(1-EXP(-LN(2)/25))/(LN(2)/25)*Calculateur!V89*Calculateur!X89*VLOOKUP('Données projet'!$B$9,Paramètres!$A$1:$I$89,3,0)*0.475*44/12</f>
        <v>24.389516662410411</v>
      </c>
      <c r="AB89" s="21">
        <f>EXP(-LN(2)/2)*AB88+(1-EXP(-LN(2)/2))/(LN(2)/2)*V89*Y89*VLOOKUP('Données projet'!$B$9,Paramètres!$A$1:$I$89,3,0)*0.475*44/12</f>
        <v>7.3717314805551418E-4</v>
      </c>
      <c r="AC89" s="22">
        <f t="shared" si="122"/>
        <v>147.06148547056461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projet'!$A$71:$I$91,2,0)</f>
        <v>#N/A</v>
      </c>
      <c r="AG89" s="12" t="e">
        <f>VLOOKUP(A89,'Données projet'!$A$71:$I$91,9,0)</f>
        <v>#N/A</v>
      </c>
      <c r="AH89" s="12">
        <f t="array" ref="AH89">INDEX(AG:AG,MIN(IF(ISNUMBER(AG89:AG285),ROW(AG89:AG285),"")))</f>
        <v>7.4950142450142421</v>
      </c>
      <c r="AI89" s="13">
        <f>IF('Données projet'!$A$72&gt;35,AI88+AH89-AQ88,IF(A89&lt;'Données projet'!$A$72,$AF$205^A89,IF(A89='Données projet'!$A$72,'Données projet'!$B$72,AI88+AH89-AQ88)))</f>
        <v>273.37393162393187</v>
      </c>
      <c r="AJ89" s="13">
        <f>AI89*VLOOKUP('Données projet'!$B$10,Paramètres!$A$1:$I$89,3,0)*VLOOKUP('Données projet'!$B$10,Paramètres!$A$1:$I$89,5,0)</f>
        <v>247.34873333333351</v>
      </c>
      <c r="AK89" s="13">
        <f t="shared" si="184"/>
        <v>60.017860197565874</v>
      </c>
      <c r="AL89" s="20">
        <f t="shared" si="123"/>
        <v>535.33015039964971</v>
      </c>
      <c r="AM89" s="59">
        <f t="shared" si="124"/>
        <v>828.66348373298297</v>
      </c>
      <c r="AN89" s="59">
        <f ca="1">AVERAGE(OFFSET($AM$3,0,0,'Données projet'!$E$10+1,1))-AVERAGE(OFFSET($H$3,0,0,'Données projet'!$E$10+1,1))</f>
        <v>270.87836509222456</v>
      </c>
      <c r="AO89" s="59">
        <f t="shared" si="185"/>
        <v>205.24998237949734</v>
      </c>
      <c r="AP89" s="15">
        <f>IF(ISNA(VLOOKUP(A89,'Données projet'!$A$71:$I$91,3,0)),0,VLOOKUP(A89,'Données projet'!$A$71:$I$91,3,0))</f>
        <v>0</v>
      </c>
      <c r="AQ89" s="15">
        <f>IF(ISNA(VLOOKUP(A89,'Données projet'!$A$71:$I$91,4,0)),0,VLOOKUP(A89,'Données projet'!$A$71:$I$91,4,0))</f>
        <v>0</v>
      </c>
      <c r="AR89" s="16">
        <f>IF(ISNA(VLOOKUP(A89,'Données projet'!$A$71:$I$91,5,0)),0%,VLOOKUP(A89,'Données projet'!$A$71:$I$91,5,0)*VLOOKUP('Données projet'!$B$10,Paramètres!$A$1:$I$89,7,0))</f>
        <v>0</v>
      </c>
      <c r="AS89" s="16">
        <f>IF(ISNA(VLOOKUP(A89,'Données projet'!$A$71:$I$91,6,0)),0%,VLOOKUP(A89,'Données projet'!$A$71:$I$91,6,0)*VLOOKUP('Données projet'!$B$10,Paramètres!$A$1:$I$89,7,0))</f>
        <v>0</v>
      </c>
      <c r="AT89" s="16">
        <f>IF(ISNA(VLOOKUP(A89,'Données projet'!$A$71:$I$91,7,0)),0%,VLOOKUP(A89,'Données projet'!$A$71:$I$91,7,0))</f>
        <v>0</v>
      </c>
      <c r="AU89" s="21">
        <f>EXP(-LN(2)/35)*AU88+(1-EXP(-LN(2)/35))/(LN(2)/35)*AQ89*AR89*VLOOKUP('Données projet'!$B$10,Paramètres!$A$1:$I$89,3,0)*0.475*44/12</f>
        <v>29.09234636184862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125"/>
        <v>29.09234636184862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projet'!$A$97:$I$117,2,0)</f>
        <v>#N/A</v>
      </c>
      <c r="BB89" s="12" t="e">
        <f>VLOOKUP(A89,'Données projet'!$A$97:$I$117,9,0)</f>
        <v>#N/A</v>
      </c>
      <c r="BC89" s="12">
        <f t="array" ref="BC89">INDEX(BB:BB,MIN(IF(ISNUMBER(BB89:BB285),ROW(BB89:BB285),"")))</f>
        <v>0</v>
      </c>
      <c r="BD89" s="12">
        <f>IF('Données projet'!$A$98&gt;35,BD88+BC89-BL88,IF(A89&lt;'Données projet'!$A$98,$BA$205^A89,IF(A89='Données projet'!$A$98,'Données projet'!$B$98,BD88+BC89-BL88)))</f>
        <v>-1.1368683772161603E-13</v>
      </c>
      <c r="BE89" s="13">
        <f>BD89*VLOOKUP('Données projet'!$B$11,Paramètres!$A$1:$I$89,3,0)*VLOOKUP('Données projet'!$B$11,Paramètres!$A$1:$I$89,5,0)</f>
        <v>-5.0249582272954292E-14</v>
      </c>
      <c r="BF89" s="13" t="e">
        <f t="shared" si="186"/>
        <v>#NUM!</v>
      </c>
      <c r="BG89" s="20" t="e">
        <f t="shared" si="126"/>
        <v>#NUM!</v>
      </c>
      <c r="BH89" s="59" t="e">
        <f t="shared" si="127"/>
        <v>#NUM!</v>
      </c>
      <c r="BI89" s="59">
        <f ca="1">AVERAGE(OFFSET($BH$3,0,0,'Données projet'!$E$11+1,1))-AVERAGE(OFFSET($H$3,0,0,'Données projet'!$E$11+1,1))</f>
        <v>211.31057120485542</v>
      </c>
      <c r="BJ89" s="59">
        <f t="shared" si="187"/>
        <v>283.33292006714777</v>
      </c>
      <c r="BK89" s="15">
        <f>IF(ISNA(VLOOKUP(A89,'Données projet'!$A$97:$I$117,3,0)),0,VLOOKUP(A89,'Données projet'!$A$97:$I$117,3,0))</f>
        <v>0</v>
      </c>
      <c r="BL89" s="15">
        <f>IF(ISNA(VLOOKUP(A89,'Données projet'!$A$97:$I$117,4,0)),0,VLOOKUP(A89,'Données projet'!$A$97:$I$117,4,0))</f>
        <v>0</v>
      </c>
      <c r="BM89" s="16">
        <f>IF(ISNA(VLOOKUP(A89,'Données projet'!$A$97:$I$117,5,0)),0%,VLOOKUP(A89,'Données projet'!$A$97:$I$117,5,0)*VLOOKUP('Données projet'!$B$11,Paramètres!$A$1:$I$89,7,0))</f>
        <v>0</v>
      </c>
      <c r="BN89" s="16">
        <f>IF(ISNA(VLOOKUP(A89,'Données projet'!$A$97:$I$117,6,0)),0%,VLOOKUP(A89,'Données projet'!$A$97:$I$117,6,0)*VLOOKUP('Données projet'!$B$11,Paramètres!$A$1:$I$89,7,0))</f>
        <v>0</v>
      </c>
      <c r="BO89" s="16">
        <f>IF(ISNA(VLOOKUP(A89,'Données projet'!$A$97:$I$117,7,0)),0%,VLOOKUP(A89,'Données projet'!$A$97:$I$117,7,0))</f>
        <v>0</v>
      </c>
      <c r="BP89" s="21">
        <f>EXP(-LN(2)/35)*BP88+(1-EXP(-LN(2)/35))/(LN(2)/35)*BL89*BM89*VLOOKUP('Données projet'!$B$11,Paramètres!$A$1:$I$89,3,0)*0.475*44/12</f>
        <v>96.995857571865329</v>
      </c>
      <c r="BQ89" s="21">
        <f>EXP(-LN(2)/25)*BQ88+(1-EXP(-LN(2)/25))/(LN(2)/25)*Calculateur!BL89*Calculateur!BN89*VLOOKUP('Données projet'!$B$11,Paramètres!$A$1:$I$89,3,0)*0.475*44/12</f>
        <v>19.284734105161718</v>
      </c>
      <c r="BR89" s="21">
        <f>EXP(-LN(2)/2)*BR88+(1-EXP(-LN(2)/2))/(LN(2)/2)*BL89*BO89*VLOOKUP('Données projet'!$B$11,Paramètres!$A$1:$I$89,3,0)*0.475*44/12</f>
        <v>5.8288109381133667E-4</v>
      </c>
      <c r="BS89" s="22">
        <f t="shared" si="128"/>
        <v>116.28117455812085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projet'!$A$123:$I$143,2,0)</f>
        <v>#N/A</v>
      </c>
      <c r="BW89" s="12" t="e">
        <f>VLOOKUP(A89,'Données projet'!$A$123:$I$143,9,0)</f>
        <v>#N/A</v>
      </c>
      <c r="BX89" s="12">
        <f t="array" ref="BX89">INDEX(BW:BW,MIN(IF(ISNUMBER(BW89:BW285),ROW(BW89:BW285),"")))</f>
        <v>3</v>
      </c>
      <c r="BY89" s="12">
        <f>IF('Données projet'!$A$124&gt;35,BY88+BX89-CG88,IF(A89&lt;'Données projet'!$A$124,$BV$205^A89,IF(A89='Données projet'!$A$124,'Données projet'!$B$124,BY88+BX89-CG88)))</f>
        <v>237</v>
      </c>
      <c r="BZ89" s="13">
        <f>BY89*VLOOKUP('Données projet'!$B$12,Paramètres!$A$1:$I$89,3,0)*VLOOKUP('Données projet'!$B$12,Paramètres!$A$1:$I$89,5,0)</f>
        <v>247.71240000000003</v>
      </c>
      <c r="CA89" s="13">
        <f t="shared" si="188"/>
        <v>60.095823975624157</v>
      </c>
      <c r="CB89" s="20">
        <f t="shared" si="129"/>
        <v>536.099323424212</v>
      </c>
      <c r="CC89" s="59">
        <f t="shared" si="130"/>
        <v>829.43265675754537</v>
      </c>
      <c r="CD89" s="59">
        <f ca="1">AVERAGE(OFFSET($CC$3,0,0,'Données projet'!$E$12+1,1))-AVERAGE(OFFSET($H$3,0,0,'Données projet'!$E$12+1,1))</f>
        <v>322.93502595881938</v>
      </c>
      <c r="CE89" s="59">
        <f t="shared" si="189"/>
        <v>302.67072119588164</v>
      </c>
      <c r="CF89" s="15">
        <f>IF(ISNA(VLOOKUP(A89,'Données projet'!$A$123:$I$143,3,0)),0,VLOOKUP(A89,'Données projet'!$A$123:$I$143,3,0))</f>
        <v>0</v>
      </c>
      <c r="CG89" s="15">
        <f>IF(ISNA(VLOOKUP(A89,'Données projet'!$A$123:$I$143,4,0)),0,VLOOKUP(A89,'Données projet'!$A$123:$I$143,4,0))</f>
        <v>0</v>
      </c>
      <c r="CH89" s="16">
        <f>IF(ISNA(VLOOKUP(A89,'Données projet'!$A$123:$I$143,5,0)),0%,VLOOKUP(A89,'Données projet'!$A$123:$I$143,5,0)*VLOOKUP('Données projet'!$B$12,Paramètres!$A$1:$I$89,7,0))</f>
        <v>0</v>
      </c>
      <c r="CI89" s="16">
        <f>IF(ISNA(VLOOKUP(A89,'Données projet'!$A$123:$I$143,6,0)),0%,VLOOKUP(A89,'Données projet'!$A$123:$I$143,6,0)*VLOOKUP('Données projet'!$B$12,Paramètres!$A$1:$I$89,7,0))</f>
        <v>0</v>
      </c>
      <c r="CJ89" s="16">
        <f>IF(ISNA(VLOOKUP(A89,'Données projet'!$A$123:$I$143,7,0)),0%,VLOOKUP(A89,'Données projet'!$A$123:$I$143,7,0))</f>
        <v>0</v>
      </c>
      <c r="CK89" s="21">
        <f>EXP(-LN(2)/35)*CK88+(1-EXP(-LN(2)/35))/(LN(2)/35)*CG89*CH89*VLOOKUP('Données projet'!$B$12,Paramètres!$A$1:$I$89,3,0)*0.475*44/12</f>
        <v>28.656609157926724</v>
      </c>
      <c r="CL89" s="21">
        <f>EXP(-LN(2)/25)*CL88+(1-EXP(-LN(2)/25))/(LN(2)/25)*Calculateur!CG89*Calculateur!CI89*VLOOKUP('Données projet'!$B$12,Paramètres!$A$1:$I$89,3,0)*0.475*44/12</f>
        <v>20.998889944969651</v>
      </c>
      <c r="CM89" s="21">
        <f>EXP(-LN(2)/2)*CM88+(1-EXP(-LN(2)/2))/(LN(2)/2)*CG89*CJ89*VLOOKUP('Données projet'!$B$12,Paramètres!$A$1:$I$89,3,0)*0.475*44/12</f>
        <v>0</v>
      </c>
      <c r="CN89" s="22">
        <f t="shared" si="131"/>
        <v>49.655499102896371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projet'!$A$149:$I$169,2,0)</f>
        <v>#N/A</v>
      </c>
      <c r="CR89" s="12" t="e">
        <f>VLOOKUP(A89,'Données projet'!$A$149:$I$169,9,0)</f>
        <v>#N/A</v>
      </c>
      <c r="CS89" s="12">
        <f t="array" ref="CS89">INDEX(CR:CR,MIN(IF(ISNUMBER(CR89:CR285),ROW(CR89:CR285),"")))</f>
        <v>5.2606837606837598</v>
      </c>
      <c r="CT89" s="12">
        <f>IF('Données projet'!$A$150&gt;35,CT88+CS89-DB88,IF(A89&lt;'Données projet'!$A$150,$CQ$205^A89,IF(A89='Données projet'!$A$150,'Données projet'!$B$150,CT88+CS89-DB88)))</f>
        <v>175.44444444444431</v>
      </c>
      <c r="CU89" s="17">
        <f>CT89*VLOOKUP('Données projet'!$B$13,Paramètres!$A$1:$I$89,3,0)*VLOOKUP('Données projet'!$B$13,Paramètres!$A$1:$I$89,5,0)</f>
        <v>177.90066666666655</v>
      </c>
      <c r="CV89" s="13">
        <f t="shared" si="190"/>
        <v>44.854804758185892</v>
      </c>
      <c r="CW89" s="20">
        <f t="shared" si="132"/>
        <v>387.96577939828467</v>
      </c>
      <c r="CX89" s="59">
        <f t="shared" si="133"/>
        <v>681.29911273161792</v>
      </c>
      <c r="CY89" s="59">
        <f ca="1">AVERAGE(OFFSET($CX$3,0,0,'Données projet'!$E$13+1,1))-AVERAGE(OFFSET($H$3,0,0,'Données projet'!$E$13+1,1))</f>
        <v>250.31277422753283</v>
      </c>
      <c r="CZ89" s="59">
        <f t="shared" si="191"/>
        <v>159.20429420478047</v>
      </c>
      <c r="DA89" s="15">
        <f>IF(ISNA(VLOOKUP(A89,'Données projet'!$A$149:$I$169,3,0)),0,VLOOKUP(A89,'Données projet'!$A$149:$I$169,3,0))</f>
        <v>0</v>
      </c>
      <c r="DB89" s="15">
        <f>IF(ISNA(VLOOKUP(A89,'Données projet'!$A$149:$I$169,4,0)),0,VLOOKUP(A89,'Données projet'!$A$149:$I$169,4,0))</f>
        <v>0</v>
      </c>
      <c r="DC89" s="16">
        <f>IF(ISNA(VLOOKUP(A89,'Données projet'!$A$149:$I$169,5,0)),0%,VLOOKUP(A89,'Données projet'!$A$149:$I$169,5,0)*VLOOKUP('Données projet'!$B$13,Paramètres!$A$1:$I$89,7,0))</f>
        <v>0</v>
      </c>
      <c r="DD89" s="16">
        <f>IF(ISNA(VLOOKUP(A89,'Données projet'!$A$149:$I$169,6,0)),0%,VLOOKUP(A89,'Données projet'!$A$149:$I$169,6,0)*VLOOKUP('Données projet'!$B$13,Paramètres!$A$1:$I$89,7,0))</f>
        <v>0</v>
      </c>
      <c r="DE89" s="16">
        <f>IF(ISNA(VLOOKUP(A89,'Données projet'!$A$149:$I$169,7,0)),0%,VLOOKUP(A89,'Données projet'!$A$149:$I$169,7,0))</f>
        <v>0</v>
      </c>
      <c r="DF89" s="21">
        <f>EXP(-LN(2)/35)*DF88+(1-EXP(-LN(2)/35))/(LN(2)/35)*DB89*DC89*VLOOKUP('Données projet'!$B$13,Paramètres!$A$1:$I$89,3,0)*0.475*44/12</f>
        <v>19.767076181759286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134"/>
        <v>19.767076181759286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projet'!$A$175:$I$195,2,0)</f>
        <v>#N/A</v>
      </c>
      <c r="DM89" s="12" t="e">
        <f>VLOOKUP(A89,'Données projet'!$A$175:$I$195,9,0)</f>
        <v>#N/A</v>
      </c>
      <c r="DN89" s="12">
        <f t="array" ref="DN89">INDEX(DM:DM,MIN(IF(ISNUMBER(DM89:DM285),ROW(DM89:DM285),"")))</f>
        <v>0</v>
      </c>
      <c r="DO89" s="12">
        <f>IF('Données projet'!$A$176&gt;35,DO88+DN89-DW88,IF(A89&lt;'Données projet'!$A$176,$DL$205^A89,IF(A89='Données projet'!$A$176,'Données projet'!$B$176,DO88+DN89-DW88)))</f>
        <v>-2.8421709430404007E-13</v>
      </c>
      <c r="DP89" s="17">
        <f>DO89*VLOOKUP('Données projet'!$B$14,Paramètres!$A$1:$I$89,3,0)*VLOOKUP('Données projet'!$B$14,Paramètres!$A$1:$I$89,5,0)</f>
        <v>-2.0838797354372215E-13</v>
      </c>
      <c r="DQ89" s="13" t="e">
        <f t="shared" si="192"/>
        <v>#NUM!</v>
      </c>
      <c r="DR89" s="20" t="e">
        <f t="shared" si="135"/>
        <v>#NUM!</v>
      </c>
      <c r="DS89" s="59" t="e">
        <f t="shared" si="136"/>
        <v>#NUM!</v>
      </c>
      <c r="DT89" s="59">
        <f ca="1">AVERAGE(OFFSET($DS$3,0,0,'Données projet'!$E$14+1,1))-AVERAGE(OFFSET($H$3,0,0,'Données projet'!$E$14+1,1))</f>
        <v>296.91321813251051</v>
      </c>
      <c r="DU89" s="59">
        <f t="shared" si="193"/>
        <v>291.0718079639509</v>
      </c>
      <c r="DV89" s="15">
        <f>IF(ISNA(VLOOKUP(A89,'Données projet'!$A$175:$I$195,3,0)),0,VLOOKUP(A89,'Données projet'!$A$175:$I$195,3,0))</f>
        <v>0</v>
      </c>
      <c r="DW89" s="15">
        <f>IF(ISNA(VLOOKUP(A89,'Données projet'!$A$175:$I$195,4,0)),0,VLOOKUP(A89,'Données projet'!$A$175:$I$195,4,0))</f>
        <v>0</v>
      </c>
      <c r="DX89" s="16">
        <f>IF(ISNA(VLOOKUP(A89,'Données projet'!$A$175:$I$195,5,0)),0%,VLOOKUP(A89,'Données projet'!$A$175:$I$195,5,0)*VLOOKUP('Données projet'!$B$14,Paramètres!$A$1:$I$89,7,0))</f>
        <v>0</v>
      </c>
      <c r="DY89" s="16">
        <f>IF(ISNA(VLOOKUP(A89,'Données projet'!$A$175:$I$195,6,0)),0%,VLOOKUP(A89,'Données projet'!$A$175:$I$195,6,0)*VLOOKUP('Données projet'!$B$14,Paramètres!$A$1:$I$89,7,0))</f>
        <v>0</v>
      </c>
      <c r="DZ89" s="16">
        <f>IF(ISNA(VLOOKUP(A89,'Données projet'!$A$175:$I$195,7,0)),0%,VLOOKUP(A89,'Données projet'!$A$175:$I$195,7,0))</f>
        <v>0</v>
      </c>
      <c r="EA89" s="21">
        <f>EXP(-LN(2)/35)*EA88+(1-EXP(-LN(2)/35))/(LN(2)/35)*DW89*DX89*VLOOKUP('Données projet'!$B$14,Paramètres!$A$1:$I$89,3,0)*0.475*44/12</f>
        <v>154.02461183063687</v>
      </c>
      <c r="EB89" s="21">
        <f>EXP(-LN(2)/25)*EB88+(1-EXP(-LN(2)/25))/(LN(2)/25)*Calculateur!DW89*Calculateur!DY89*VLOOKUP('Données projet'!$B$14,Paramètres!$A$1:$I$89,3,0)*0.475*44/12</f>
        <v>4.534214127234681</v>
      </c>
      <c r="EC89" s="21">
        <f>EXP(-LN(2)/2)*EC88+(1-EXP(-LN(2)/2))/(LN(2)/2)*DW89*DZ89*VLOOKUP('Données projet'!$B$14,Paramètres!$A$1:$I$89,3,0)*0.475*44/12</f>
        <v>0</v>
      </c>
      <c r="ED89" s="22">
        <f t="shared" si="137"/>
        <v>158.55882595787156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projet'!$A$201:$I$221,2,0)</f>
        <v>#N/A</v>
      </c>
      <c r="EH89" s="12" t="e">
        <f>VLOOKUP(A89,'Données projet'!$A$201:$I$221,9,0)</f>
        <v>#N/A</v>
      </c>
      <c r="EI89" s="12">
        <f t="array" ref="EI89">INDEX(EH:EH,MIN(IF(ISNUMBER(EH89:EH285),ROW(EH89:EH285),"")))</f>
        <v>9.001923076923072</v>
      </c>
      <c r="EJ89" s="12">
        <f>IF('Données projet'!$A$202&gt;35,EJ88+EI89-ER88,IF(A89&lt;'Données projet'!$A$202,$EG$205^A89,IF(A89='Données projet'!$A$202,'Données projet'!$B$202,EJ88+EI89-ER88)))</f>
        <v>374.13653846153863</v>
      </c>
      <c r="EK89" s="17">
        <f>EJ89*VLOOKUP('Données projet'!$B$15,Paramètres!$A$1:$I$89,3,0)*VLOOKUP('Données projet'!$B$15,Paramètres!$A$1:$I$89,5,0)</f>
        <v>175.09590000000009</v>
      </c>
      <c r="EL89" s="13">
        <f t="shared" si="194"/>
        <v>44.229366403274248</v>
      </c>
      <c r="EM89" s="20">
        <f t="shared" si="138"/>
        <v>381.99150565236943</v>
      </c>
      <c r="EN89" s="59">
        <f t="shared" si="139"/>
        <v>675.32483898570274</v>
      </c>
      <c r="EO89" s="59">
        <f ca="1">AVERAGE(OFFSET($EN$3,0,0,'Données projet'!$E$15+1,1))-AVERAGE(OFFSET($H$3,0,0,'Données projet'!$E$15+1,1))</f>
        <v>147.64256291235483</v>
      </c>
      <c r="EP89" s="59">
        <f t="shared" si="195"/>
        <v>70.859031694091868</v>
      </c>
      <c r="EQ89" s="15">
        <f>IF(ISNA(VLOOKUP(A89,'Données projet'!$A$201:$I$221,3,0)),0,VLOOKUP(A89,'Données projet'!$A$201:$I$221,3,0))</f>
        <v>0</v>
      </c>
      <c r="ER89" s="15">
        <f>IF(ISNA(VLOOKUP(A89,'Données projet'!$A$201:$I$221,4,0)),0,VLOOKUP(A89,'Données projet'!$A$201:$I$221,4,0))</f>
        <v>0</v>
      </c>
      <c r="ES89" s="16">
        <f>IF(ISNA(VLOOKUP(A89,'Données projet'!$A$201:$I$221,5,0)),0%,VLOOKUP(A89,'Données projet'!$A$201:$I$221,5,0)*VLOOKUP('Données projet'!$B$15,Paramètres!$A$1:$I$89,7,0))</f>
        <v>0</v>
      </c>
      <c r="ET89" s="16">
        <f>IF(ISNA(VLOOKUP(A89,'Données projet'!$A$201:$I$221,6,0)),0%,VLOOKUP(A89,'Données projet'!$A$201:$I$221,6,0)*VLOOKUP('Données projet'!$B$15,Paramètres!$A$1:$I$89,7,0))</f>
        <v>0</v>
      </c>
      <c r="EU89" s="16">
        <f>IF(ISNA(VLOOKUP(A89,'Données projet'!$A$201:$I$221,7,0)),0%,VLOOKUP(A89,'Données projet'!$A$201:$I$221,7,0))</f>
        <v>0</v>
      </c>
      <c r="EV89" s="21">
        <f>EXP(-LN(2)/35)*EV88+(1-EXP(-LN(2)/35))/(LN(2)/35)*ER89*ES89*VLOOKUP('Données projet'!$B$15,Paramètres!$A$1:$I$89,3,0)*0.475*44/12</f>
        <v>32.791672469300664</v>
      </c>
      <c r="EW89" s="21">
        <f>EXP(-LN(2)/25)*EW88+(1-EXP(-LN(2)/25))/(LN(2)/25)*Calculateur!ER89*Calculateur!ET89*VLOOKUP('Données projet'!$B$15,Paramètres!$A$1:$I$89,3,0)*0.475*44/12</f>
        <v>14.09876849205312</v>
      </c>
      <c r="EX89" s="21">
        <f>EXP(-LN(2)/2)*EX88+(1-EXP(-LN(2)/2))/(LN(2)/2)*ER89*EU89*VLOOKUP('Données projet'!$B$15,Paramètres!$A$1:$I$89,3,0)*0.475*44/12</f>
        <v>0.13466910883306626</v>
      </c>
      <c r="EY89" s="22">
        <f t="shared" si="140"/>
        <v>47.025110070186848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projet'!$A$227:$I$247,2,0)</f>
        <v>#N/A</v>
      </c>
      <c r="FC89" s="12" t="e">
        <f>VLOOKUP(A89,'Données projet'!$A$227:$I$247,9,0)</f>
        <v>#N/A</v>
      </c>
      <c r="FD89" s="12">
        <f t="array" ref="FD89">INDEX(FC:FC,MIN(IF(ISNUMBER(FC89:FC285),ROW(FC89:FC285),"")))</f>
        <v>2.8</v>
      </c>
      <c r="FE89" s="12">
        <f>IF('Données projet'!$A$228&gt;35,FE88+FD89-FM88,IF(A89&lt;'Données projet'!$A$228,$FB$205^A89,IF(A89='Données projet'!$A$228,'Données projet'!$B$228,FE88+FD89-FM88)))</f>
        <v>203.79999999999998</v>
      </c>
      <c r="FF89" s="17">
        <f>FE89*VLOOKUP('Données projet'!$B$16,Paramètres!$A$1:$I$89,3,0)*VLOOKUP('Données projet'!$B$16,Paramètres!$A$1:$I$89,5,0)</f>
        <v>213.01175999999998</v>
      </c>
      <c r="FG89" s="13">
        <f t="shared" si="196"/>
        <v>52.593184597040342</v>
      </c>
      <c r="FH89" s="20">
        <f t="shared" si="141"/>
        <v>462.59527850651193</v>
      </c>
      <c r="FI89" s="59">
        <f t="shared" si="142"/>
        <v>755.92861183984519</v>
      </c>
      <c r="FJ89" s="59">
        <f ca="1">AVERAGE(OFFSET($FI$3,0,0,'Données projet'!$E$16+1,1))-AVERAGE(OFFSET($H$3,0,0,'Données projet'!$E$16+1,1))</f>
        <v>259.03906550253788</v>
      </c>
      <c r="FK89" s="59">
        <f t="shared" si="197"/>
        <v>235.54542903570831</v>
      </c>
      <c r="FL89" s="15">
        <f>IF(ISNA(VLOOKUP(A89,'Données projet'!$A$227:$I$247,3,0)),0,VLOOKUP(A89,'Données projet'!$A$227:$I$247,3,0))</f>
        <v>0</v>
      </c>
      <c r="FM89" s="15">
        <f>IF(ISNA(VLOOKUP(A89,'Données projet'!$A$227:$I$247,4,0)),0,VLOOKUP(A89,'Données projet'!$A$227:$I$247,4,0))</f>
        <v>0</v>
      </c>
      <c r="FN89" s="16">
        <f>IF(ISNA(VLOOKUP(A89,'Données projet'!$A$227:$I$247,5,0)),0%,VLOOKUP(A89,'Données projet'!$A$227:$I$247,5,0)*VLOOKUP('Données projet'!$B$16,Paramètres!$A$1:$I$89,7,0))</f>
        <v>0</v>
      </c>
      <c r="FO89" s="16">
        <f>IF(ISNA(VLOOKUP(A89,'Données projet'!$A$227:$I$247,6,0)),0%,VLOOKUP(A89,'Données projet'!$A$227:$I$247,6,0)*VLOOKUP('Données projet'!$B$16,Paramètres!$A$1:$I$89,7,0))</f>
        <v>0</v>
      </c>
      <c r="FP89" s="16">
        <f>IF(ISNA(VLOOKUP(A89,'Données projet'!$A$227:$I$247,7,0)),0%,VLOOKUP(A89,'Données projet'!$A$227:$I$247,7,0))</f>
        <v>0</v>
      </c>
      <c r="FQ89" s="21">
        <f>EXP(-LN(2)/35)*FQ88+(1-EXP(-LN(2)/35))/(LN(2)/35)*FM89*FN89*VLOOKUP('Données projet'!$B$16,Paramètres!$A$1:$I$89,3,0)*0.475*44/12</f>
        <v>14.016672757793458</v>
      </c>
      <c r="FR89" s="21">
        <f>EXP(-LN(2)/25)*FR88+(1-EXP(-LN(2)/25))/(LN(2)/25)*Calculateur!FM89*Calculateur!FO89*VLOOKUP('Données projet'!$B$16,Paramètres!$A$1:$I$89,3,0)*0.475*44/12</f>
        <v>16.454769812124656</v>
      </c>
      <c r="FS89" s="21">
        <f>EXP(-LN(2)/2)*FS88+(1-EXP(-LN(2)/2))/(LN(2)/2)*FM89*FP89*VLOOKUP('Données projet'!$B$16,Paramètres!$A$1:$I$89,3,0)*0.475*44/12</f>
        <v>0</v>
      </c>
      <c r="FT89" s="22">
        <f t="shared" si="143"/>
        <v>30.471442569918114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projet'!$A$253:$I$273,2,0)</f>
        <v>#N/A</v>
      </c>
      <c r="FX89" s="12" t="e">
        <f>VLOOKUP(A89,'Données projet'!$A$253:$I$273,9,0)</f>
        <v>#N/A</v>
      </c>
      <c r="FY89" s="12">
        <f t="array" ref="FY89">INDEX(FX:FX,MIN(IF(ISNUMBER(FX89:FX285),ROW(FX89:FX285),"")))</f>
        <v>0</v>
      </c>
      <c r="FZ89" s="12">
        <f>IF('Données projet'!$A$254&gt;35,FZ88+FY89-GH88,IF(A89&lt;'Données projet'!$A$254,$FW$205^A89,IF(A89='Données projet'!$A$254,'Données projet'!$B$254,FZ88+FY89-GH88)))</f>
        <v>-1.7053025658242404E-13</v>
      </c>
      <c r="GA89" s="17">
        <f>FZ89*VLOOKUP('Données projet'!$B$17,Paramètres!$A$1:$I$89,3,0)*VLOOKUP('Données projet'!$B$17,Paramètres!$A$1:$I$89,5,0)</f>
        <v>-1.4897523215040567E-13</v>
      </c>
      <c r="GB89" s="13" t="e">
        <f t="shared" si="198"/>
        <v>#NUM!</v>
      </c>
      <c r="GC89" s="20" t="e">
        <f t="shared" si="144"/>
        <v>#NUM!</v>
      </c>
      <c r="GD89" s="59" t="e">
        <f t="shared" si="145"/>
        <v>#NUM!</v>
      </c>
      <c r="GE89" s="59">
        <f ca="1">AVERAGE(OFFSET($GD$3,0,0,'Données projet'!$E$17+1,1))-AVERAGE(OFFSET($H$3,0,0,'Données projet'!$E$17+1,1))</f>
        <v>245.1983232777614</v>
      </c>
      <c r="GF89" s="59">
        <f t="shared" si="199"/>
        <v>242.34010522344573</v>
      </c>
      <c r="GG89" s="15">
        <f>IF(ISNA(VLOOKUP(A89,'Données projet'!$A$253:$I$273,3,0)),0,VLOOKUP(A89,'Données projet'!$A$253:$I$273,3,0))</f>
        <v>0</v>
      </c>
      <c r="GH89" s="15">
        <f>IF(ISNA(VLOOKUP(A89,'Données projet'!$A$253:$I$273,4,0)),0,VLOOKUP(A89,'Données projet'!$A$253:$I$273,4,0))</f>
        <v>0</v>
      </c>
      <c r="GI89" s="16">
        <f>IF(ISNA(VLOOKUP(A89,'Données projet'!$A$253:$I$273,5,0)),0%,VLOOKUP(A89,'Données projet'!$A$253:$I$273,5,0)*VLOOKUP('Données projet'!$B$17,Paramètres!$A$1:$I$89,7,0))</f>
        <v>0</v>
      </c>
      <c r="GJ89" s="16">
        <f>IF(ISNA(VLOOKUP(A89,'Données projet'!$A$253:$I$273,6,0)),0%,VLOOKUP(A89,'Données projet'!$A$253:$I$273,6,0)*VLOOKUP('Données projet'!$B$17,Paramètres!$A$1:$I$89,7,0))</f>
        <v>0</v>
      </c>
      <c r="GK89" s="16">
        <f>IF(ISNA(VLOOKUP(A89,'Données projet'!$A$253:$I$273,7,0)),0%,VLOOKUP(A89,'Données projet'!$A$253:$I$273,7,0))</f>
        <v>0</v>
      </c>
      <c r="GL89" s="21">
        <f>EXP(-LN(2)/35)*GL88+(1-EXP(-LN(2)/35))/(LN(2)/35)*GH89*GI89*VLOOKUP('Données projet'!$B$17,Paramètres!$A$1:$I$89,3,0)*0.475*44/12</f>
        <v>109.41515521427445</v>
      </c>
      <c r="GM89" s="21">
        <f>EXP(-LN(2)/25)*GM88+(1-EXP(-LN(2)/25))/(LN(2)/25)*Calculateur!GH89*Calculateur!GJ89*VLOOKUP('Données projet'!$B$17,Paramètres!$A$1:$I$89,3,0)*0.475*44/12</f>
        <v>18.439664567166844</v>
      </c>
      <c r="GN89" s="21">
        <f>EXP(-LN(2)/2)*GN88+(1-EXP(-LN(2)/2))/(LN(2)/2)*GH89*GK89*VLOOKUP('Données projet'!$B$17,Paramètres!$A$1:$I$89,3,0)*0.475*44/12</f>
        <v>0</v>
      </c>
      <c r="GO89" s="21">
        <f t="shared" si="146"/>
        <v>127.85481978144129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projet'!$A$279:$I$299,2,0)</f>
        <v>#N/A</v>
      </c>
      <c r="GS89" s="12" t="e">
        <f>VLOOKUP(A89,'Données projet'!$A$279:$I$299,9,0)</f>
        <v>#N/A</v>
      </c>
      <c r="GT89" s="12">
        <f t="array" ref="GT89">INDEX(GS:GS,MIN(IF(ISNUMBER(GS89:GS285),ROW(GS89:GS285),"")))</f>
        <v>0</v>
      </c>
      <c r="GU89" s="12">
        <f>IF('Données projet'!$A$280&gt;35,GU88+GT89-HC88,IF(A89&lt;'Données projet'!$A$280,$GR$205^A89,IF(A89='Données projet'!$A$280,'Données projet'!$B$280,GU88+GT89-HC88)))</f>
        <v>-1.1368683772161603E-13</v>
      </c>
      <c r="GV89" s="17">
        <f>GU89*VLOOKUP('Données projet'!$B$18,Paramètres!$A$1:$I$89,3,0)*VLOOKUP('Données projet'!$B$18,Paramètres!$A$1:$I$89,5,0)</f>
        <v>-4.5815795601811263E-14</v>
      </c>
      <c r="GW89" s="13" t="e">
        <f t="shared" si="200"/>
        <v>#NUM!</v>
      </c>
      <c r="GX89" s="20" t="e">
        <f t="shared" si="147"/>
        <v>#NUM!</v>
      </c>
      <c r="GY89" s="59" t="e">
        <f t="shared" si="148"/>
        <v>#NUM!</v>
      </c>
      <c r="GZ89" s="59">
        <f ca="1">AVERAGE(OFFSET($GY$3,0,0,'Données projet'!$E$18+1,1))-AVERAGE(OFFSET($H$3,0,0,'Données projet'!$E$18+1,1))</f>
        <v>324.36162935850876</v>
      </c>
      <c r="HA89" s="59">
        <f t="shared" si="201"/>
        <v>265.23571072429735</v>
      </c>
      <c r="HB89" s="15">
        <f>IF(ISNA(VLOOKUP(A89,'Données projet'!$A$279:$I$299,3,0)),0,VLOOKUP(A89,'Données projet'!$A$279:$I$299,3,0))</f>
        <v>0</v>
      </c>
      <c r="HC89" s="15">
        <f>IF(ISNA(VLOOKUP(A89,'Données projet'!$A$279:$I$299,4,0)),0,VLOOKUP(A89,'Données projet'!$A$279:$I$299,4,0))</f>
        <v>0</v>
      </c>
      <c r="HD89" s="16">
        <f>IF(ISNA(VLOOKUP(A89,'Données projet'!$A$279:$I$299,5,0)),0%,VLOOKUP(A89,'Données projet'!$A$279:$I$299,5,0)*VLOOKUP('Données projet'!$B$18,Paramètres!$A$1:$I$89,7,0))</f>
        <v>0</v>
      </c>
      <c r="HE89" s="16">
        <f>IF(ISNA(VLOOKUP(A89,'Données projet'!$A$279:$I$299,6,0)),0%,VLOOKUP(A89,'Données projet'!$A$279:$I$299,6,0)*VLOOKUP('Données projet'!$B$18,Paramètres!$A$1:$I$89,7,0))</f>
        <v>0</v>
      </c>
      <c r="HF89" s="16">
        <f>IF(ISNA(VLOOKUP($A89,'Données projet'!$A$279:$I$299,7,0)),0%,VLOOKUP($A89,'Données projet'!$A$279:$I$299,7,0))</f>
        <v>0</v>
      </c>
      <c r="HG89" s="21">
        <f>EXP(-LN(2)/35)*HG88+(1-EXP(-LN(2)/35))/(LN(2)/35)*HC89*HD89*VLOOKUP('Données projet'!$B$18,Paramètres!$A$1:$I$89,3,0)*0.475*44/12</f>
        <v>209.66804057023941</v>
      </c>
      <c r="HH89" s="21">
        <f>EXP(-LN(2)/25)*HH88+(1-EXP(-LN(2)/25))/(LN(2)/25)*Calculateur!HC89*Calculateur!HE89*VLOOKUP('Données projet'!$B$18,Paramètres!$A$1:$I$89,3,0)*0.475*44/12</f>
        <v>20.508205228738042</v>
      </c>
      <c r="HI89" s="21">
        <f>EXP(-LN(2)/2)*HI88+(1-EXP(-LN(2)/2))/(LN(2)/2)*HC89*HF89*VLOOKUP('Données projet'!$B$18,Paramètres!$A$1:$I$89,3,0)*0.475*44/12</f>
        <v>1.068401213672491</v>
      </c>
      <c r="HJ89" s="22">
        <f t="shared" si="149"/>
        <v>231.24464701264995</v>
      </c>
      <c r="HK89" s="74">
        <f>('Scénario référence'!$F$8+'Scénario référence'!$F$9+'Scénario référence'!$B$17+'Scénario référence'!$B$9+'Scénario référence'!$B$10)*70+IF((45+25*(1-EXP(-0.0175*$A89)))&lt;70,'Scénario référence'!$B$16*(45+25*(1-EXP(-0.0175*$A89))),70*'Scénario référence'!$B$16)+IF((32+38*(1-EXP(-0.0175*$A89)))&lt;70,'Scénario référence'!$B$18*(32+38*(1-EXP(-0.0175*$A89))),70*'Scénario référence'!$B$18)</f>
        <v>70</v>
      </c>
      <c r="HL89" s="12">
        <f>IF($A89&gt;30,10,('Scénario référence'!$B$16+'Scénario référence'!$B$17+'Scénario référence'!$B$18+'Scénario référence'!$B$9+'Scénario référence'!$B$10)*$A89*10/30+('Scénario référence'!$F$8+'Scénario référence'!$F$9)*10)</f>
        <v>10</v>
      </c>
      <c r="HM89" s="12" t="e">
        <f>VLOOKUP($A89,'Données projet'!$A$304:$I$324,2,0)</f>
        <v>#N/A</v>
      </c>
      <c r="HN89" s="12" t="e">
        <f>VLOOKUP($A89,'Données projet'!$A$304:$I$324,9,0)</f>
        <v>#N/A</v>
      </c>
      <c r="HO89" s="12">
        <f t="array" ref="HO89">INDEX(HN:HN,MIN(IF(ISNUMBER(HN89:HN285),ROW(HN89:HN285),"")))</f>
        <v>0</v>
      </c>
      <c r="HP89" s="12">
        <f>IF('Données projet'!$A$304&gt;35,HP88+HO89-HX88,IF($A89&lt;'Données projet'!$A$304,$CQ$205^$A89,IF($A89='Données projet'!$A$304,'Données projet'!$B$304,HP88+HO89-HX88)))</f>
        <v>0</v>
      </c>
      <c r="HQ89" s="17">
        <f>HP89*VLOOKUP('Données projet'!$B$19,Paramètres!$A$1:$I$89,3,0)*VLOOKUP('Données projet'!$B$19,Paramètres!$A$1:$I$89,5,0)</f>
        <v>0</v>
      </c>
      <c r="HR89" s="13" t="e">
        <f t="shared" si="202"/>
        <v>#NUM!</v>
      </c>
      <c r="HS89" s="14" t="e">
        <f t="shared" si="150"/>
        <v>#NUM!</v>
      </c>
      <c r="HT89" s="59" t="e">
        <f t="shared" si="151"/>
        <v>#NUM!</v>
      </c>
      <c r="HU89" s="59">
        <f ca="1">AVERAGE(OFFSET(HT$3,0,0,'Données projet'!$E$19+1,1))-AVERAGE(OFFSET($H$3,0,0,'Données projet'!$E$19+1,1))</f>
        <v>91.60721429656013</v>
      </c>
      <c r="HV89" s="59">
        <f t="shared" si="203"/>
        <v>258.94957804210856</v>
      </c>
      <c r="HW89" s="15">
        <f>IF(ISNA(VLOOKUP($A89,'Données projet'!$A$304:$I$324,3,0)),0,VLOOKUP($A89,'Données projet'!$A$304:$I$324,3,0))</f>
        <v>0</v>
      </c>
      <c r="HX89" s="15">
        <f>IF(ISNA(VLOOKUP($A89,'Données projet'!$A$304:$I$324,4,0)),0,VLOOKUP($A89,'Données projet'!$A$304:$I$324,4,0))</f>
        <v>0</v>
      </c>
      <c r="HY89" s="16">
        <f>IF(ISNA(VLOOKUP($A89,'Données projet'!$A$304:$I$324,5,0)),0%,VLOOKUP($A89,'Données projet'!$A$304:$I$324,5,0)*VLOOKUP('Données projet'!$B$19,Paramètres!$A$1:$I$89,7,0))</f>
        <v>0</v>
      </c>
      <c r="HZ89" s="16">
        <f>IF(ISNA(VLOOKUP($A89,'Données projet'!$A$304:$I$324,6,0)),0%,VLOOKUP($A89,'Données projet'!$A$304:$I$324,6,0)*VLOOKUP('Données projet'!$B$19,Paramètres!$A$1:$I$89,7,0))</f>
        <v>0</v>
      </c>
      <c r="IA89" s="16">
        <f>IF(ISNA(VLOOKUP($A89,'Données projet'!$A$304:$I$324,7,0)),0%,VLOOKUP($A89,'Données projet'!$A$304:$I$324,7,0))</f>
        <v>0</v>
      </c>
      <c r="IB89" s="21">
        <f>EXP(-LN(2)/35)*IB88+(1-EXP(-LN(2)/35))/(LN(2)/35)*HX89*HY89*VLOOKUP('Données projet'!$B$19,Paramètres!$A$1:$I$89,3,0)*0.475*44/12</f>
        <v>16.273723532300746</v>
      </c>
      <c r="IC89" s="21">
        <f>EXP(-LN(2)/25)*IC88+(1-EXP(-LN(2)/25))/(LN(2)/25)*Calculateur!HX89*Calculateur!HZ89*VLOOKUP('Données projet'!$B$19,Paramètres!$A$1:$I$89,3,0)*0.475*44/12</f>
        <v>2.0592267407413418</v>
      </c>
      <c r="ID89" s="21">
        <f>EXP(-LN(2)/2)*ID88+(1-EXP(-LN(2)/2))/(LN(2)/2)*HX89*IA89*VLOOKUP('Données projet'!$B$19,Paramètres!$A$1:$I$89,3,0)*0.475*44/12</f>
        <v>2.1340411593913196E-9</v>
      </c>
      <c r="IE89" s="22">
        <f t="shared" si="152"/>
        <v>18.332950275176128</v>
      </c>
      <c r="IF89" s="74">
        <f>('Scénario référence'!$F$8+'Scénario référence'!$F$9+'Scénario référence'!$B$17+'Scénario référence'!$B$9+'Scénario référence'!$B$10)*70+IF((45+25*(1-EXP(-0.0175*$A89)))&lt;70,'Scénario référence'!$B$16*(45+25*(1-EXP(-0.0175*$A89))),70*'Scénario référence'!$B$16)+IF((32+38*(1-EXP(-0.0175*$A89)))&lt;70,'Scénario référence'!$B$18*(32+38*(1-EXP(-0.0175*$A89))),70*'Scénario référence'!$B$18)</f>
        <v>70</v>
      </c>
      <c r="IG89" s="12">
        <f>IF($A89&gt;30,10,('Scénario référence'!$B$16+'Scénario référence'!$B$17+'Scénario référence'!$B$18+'Scénario référence'!$B$9+'Scénario référence'!$B$10)*$A89*10/30+('Scénario référence'!$F$8+'Scénario référence'!$F$9)*10)</f>
        <v>10</v>
      </c>
      <c r="IH89" s="12" t="e">
        <f>VLOOKUP($A89,'Données projet'!$A$330:$I$350,2,0)</f>
        <v>#N/A</v>
      </c>
      <c r="II89" s="12" t="e">
        <f>VLOOKUP($A89,'Données projet'!$A$330:$I$350,9,0)</f>
        <v>#N/A</v>
      </c>
      <c r="IJ89" s="12">
        <f t="array" ref="IJ89">INDEX(II:II,MIN(IF(ISNUMBER(II89:II285),ROW(II89:II285),"")))</f>
        <v>0</v>
      </c>
      <c r="IK89" s="12">
        <f>IF('Données projet'!$A$330&gt;35,IK88+IJ89-IS88,IF($A89&lt;'Données projet'!$A$330,$CQ$205^$A89,IF($A89='Données projet'!$A$330,'Données projet'!$B$330,IK88+IJ89-IS88)))</f>
        <v>0</v>
      </c>
      <c r="IL89" s="17">
        <f>IK89*VLOOKUP('Données projet'!$B$20,Paramètres!$A$1:$I$89,3,0)*VLOOKUP('Données projet'!$B$20,Paramètres!$A$1:$I$89,5,0)</f>
        <v>0</v>
      </c>
      <c r="IM89" s="13" t="e">
        <f t="shared" si="204"/>
        <v>#NUM!</v>
      </c>
      <c r="IN89" s="20" t="e">
        <f t="shared" si="153"/>
        <v>#NUM!</v>
      </c>
      <c r="IO89" s="59" t="e">
        <f t="shared" si="154"/>
        <v>#NUM!</v>
      </c>
      <c r="IP89" s="59">
        <f ca="1">AVERAGE(OFFSET(IO$3,0,0,'Données projet'!$E$20+1,1))-AVERAGE(OFFSET($H$3,0,0,'Données projet'!$E$20+1,1))</f>
        <v>91.60721429656013</v>
      </c>
      <c r="IQ89" s="59">
        <f t="shared" si="205"/>
        <v>258.94957804210856</v>
      </c>
      <c r="IR89" s="15">
        <f>IF(ISNA(VLOOKUP($A89,'Données projet'!$A$330:$I$350,3,0)),0,VLOOKUP($A89,'Données projet'!$A$330:$I$350,3,0))</f>
        <v>0</v>
      </c>
      <c r="IS89" s="15">
        <f>IF(ISNA(VLOOKUP($A89,'Données projet'!$A$330:$I$350,4,0)),0,VLOOKUP($A89,'Données projet'!$A$330:$I$350,4,0))</f>
        <v>0</v>
      </c>
      <c r="IT89" s="16">
        <f>IF(ISNA(VLOOKUP($A89,'Données projet'!$A$330:$I$350,5,0)),0%,VLOOKUP($A89,'Données projet'!$A$330:$I$350,5,0)*VLOOKUP('Données projet'!$B$20,Paramètres!$A$1:$I$89,7,0))</f>
        <v>0</v>
      </c>
      <c r="IU89" s="16">
        <f>IF(ISNA(VLOOKUP($A89,'Données projet'!$A$330:$I$350,6,0)),0%,VLOOKUP($A89,'Données projet'!$A$330:$I$350,6,0)*VLOOKUP('Données projet'!$B$20,Paramètres!$A$1:$I$89,7,0))</f>
        <v>0</v>
      </c>
      <c r="IV89" s="16">
        <f>IF(ISNA(VLOOKUP($A89,'Données projet'!$A$330:$I$350,7,0)),0%,VLOOKUP($A89,'Données projet'!$A$330:$I$350,7,0))</f>
        <v>0</v>
      </c>
      <c r="IW89" s="21">
        <f>EXP(-LN(2)/35)*IW88+(1-EXP(-LN(2)/35))/(LN(2)/35)*IS89*IT89*VLOOKUP('Données projet'!$B$20,Paramètres!$A$1:$I$89,3,0)*0.475*44/12</f>
        <v>16.273723532300746</v>
      </c>
      <c r="IX89" s="21">
        <f>EXP(-LN(2)/25)*IX88+(1-EXP(-LN(2)/25))/(LN(2)/25)*Calculateur!IS89*Calculateur!IU89*VLOOKUP('Données projet'!$B$20,Paramètres!$A$1:$I$89,3,0)*0.475*44/12</f>
        <v>2.0592267407413418</v>
      </c>
      <c r="IY89" s="21">
        <f>EXP(-LN(2)/2)*IY88+(1-EXP(-LN(2)/2))/(LN(2)/2)*IS89*IV89*VLOOKUP('Données projet'!$B$20,Paramètres!$A$1:$I$89,3,0)*0.475*44/12</f>
        <v>2.1340411593913196E-9</v>
      </c>
      <c r="IZ89" s="22">
        <f t="shared" si="155"/>
        <v>18.332950275176128</v>
      </c>
      <c r="JA89" s="74">
        <f>('Scénario référence'!$F$8+'Scénario référence'!$F$9+'Scénario référence'!$B$17+'Scénario référence'!$B$9+'Scénario référence'!$B$10)*70+IF((45+25*(1-EXP(-0.0175*$A89)))&lt;70,'Scénario référence'!$B$16*(45+25*(1-EXP(-0.0175*$A89))),70*'Scénario référence'!$B$16)+IF((32+38*(1-EXP(-0.0175*$A89)))&lt;70,'Scénario référence'!$B$18*(32+38*(1-EXP(-0.0175*$A89))),70*'Scénario référence'!$B$18)</f>
        <v>70</v>
      </c>
      <c r="JB89" s="12">
        <f>IF($A89&gt;30,10,('Scénario référence'!$B$16+'Scénario référence'!$B$17+'Scénario référence'!$B$18+'Scénario référence'!$B$9+'Scénario référence'!$B$10)*$A89*10/30+('Scénario référence'!$F$8+'Scénario référence'!$F$9)*10)</f>
        <v>10</v>
      </c>
      <c r="JC89" s="12" t="e">
        <f>VLOOKUP($A89,'Données projet'!$A$356:$I$376,2,0)</f>
        <v>#N/A</v>
      </c>
      <c r="JD89" s="12" t="e">
        <f>VLOOKUP($A89,'Données projet'!$A$356:$I$376,9,0)</f>
        <v>#N/A</v>
      </c>
      <c r="JE89" s="12">
        <f t="array" ref="JE89">INDEX(JD:JD,MIN(IF(ISNUMBER(JD89:JD285),ROW(JD89:JD285),"")))</f>
        <v>5.4</v>
      </c>
      <c r="JF89" s="12">
        <f>IF('Données projet'!$A$356&gt;35,JF88+JE89-JN88,IF($A89&lt;'Données projet'!$A$356,$CQ$205^$A89,IF($A89='Données projet'!$A$356,'Données projet'!$B$356,JF88+JE89-JN88)))</f>
        <v>355.39999999999981</v>
      </c>
      <c r="JG89" s="17">
        <f>JF89*VLOOKUP('Données projet'!$B$21,Paramètres!$A$1:$I$89,3,0)*VLOOKUP('Données projet'!$B$21,Paramètres!$A$1:$I$89,5,0)</f>
        <v>288.30047999999988</v>
      </c>
      <c r="JH89" s="13">
        <f t="shared" si="206"/>
        <v>68.718145362990114</v>
      </c>
      <c r="JI89" s="20">
        <f t="shared" si="156"/>
        <v>621.80743917387429</v>
      </c>
      <c r="JJ89" s="59">
        <f t="shared" si="157"/>
        <v>915.14077250720766</v>
      </c>
      <c r="JK89" s="59">
        <f ca="1">AVERAGE(OFFSET($JJ$3,0,0,'Données projet'!$E$22+1,1))-AVERAGE(OFFSET($H$3,0,0,'Données projet'!$E$22+1,1))</f>
        <v>353.35574633294613</v>
      </c>
      <c r="JL89" s="59">
        <f t="shared" si="207"/>
        <v>170.36796666474726</v>
      </c>
      <c r="JM89" s="15">
        <f>IF(ISNA(VLOOKUP($A89,'Données projet'!$A$356:$I$376,3,0)),0,VLOOKUP($A89,'Données projet'!$A$356:$I$376,3,0))</f>
        <v>0</v>
      </c>
      <c r="JN89" s="15">
        <f>IF(ISNA(VLOOKUP($A89,'Données projet'!$A$356:$I$376,4,0)),0,VLOOKUP($A89,'Données projet'!$A$356:$I$376,4,0))</f>
        <v>0</v>
      </c>
      <c r="JO89" s="16">
        <f>IF(ISNA(VLOOKUP($A89,'Données projet'!$A$356:$I$376,5,0)),0%,VLOOKUP($A89,'Données projet'!$A$356:$I$376,5,0)*VLOOKUP('Données projet'!$B$21,Paramètres!$A$1:$I$89,7,0))</f>
        <v>0</v>
      </c>
      <c r="JP89" s="16">
        <f>IF(ISNA(VLOOKUP($A89,'Données projet'!$A$356:$I$376,6,0)),0%,VLOOKUP($A89,'Données projet'!$A$356:$I$376,6,0)*VLOOKUP('Données projet'!$B$21,Paramètres!$A$1:$I$89,7,0))</f>
        <v>0</v>
      </c>
      <c r="JQ89" s="16">
        <f>IF(ISNA(VLOOKUP($A89,'Données projet'!$A$356:$I$376,7,0)),0%,VLOOKUP($A89,'Données projet'!$A$356:$I$376,7,0))</f>
        <v>0</v>
      </c>
      <c r="JR89" s="21">
        <f>EXP(-LN(2)/35)*JR88+(1-EXP(-LN(2)/35))/(LN(2)/35)*JN89*JO89*VLOOKUP('Données projet'!$B$21,Paramètres!$A$1:$I$89,3,0)*0.475*44/12</f>
        <v>1.8270747848757278</v>
      </c>
      <c r="JS89" s="21">
        <f>EXP(-LN(2)/25)*JS88+(1-EXP(-LN(2)/25))/(LN(2)/25)*Calculateur!JN89*Calculateur!JP89*VLOOKUP('Données projet'!$B$21,Paramètres!$A$1:$I$89,3,0)*0.475*44/12</f>
        <v>14.924593566912117</v>
      </c>
      <c r="JT89" s="21">
        <f>EXP(-LN(2)/2)*JT88+(1-EXP(-LN(2)/2))/(LN(2)/2)*JN89*JQ89*VLOOKUP('Données projet'!$B$21,Paramètres!$A$1:$I$89,3,0)*0.475*44/12</f>
        <v>0.97623387962748909</v>
      </c>
      <c r="JU89" s="18">
        <f t="shared" si="158"/>
        <v>17.727902231415335</v>
      </c>
      <c r="JV89" s="74">
        <f>('Scénario référence'!$F$8+'Scénario référence'!$F$9+'Scénario référence'!$B$17+'Scénario référence'!$B$9+'Scénario référence'!$B$10)*70+IF((45+25*(1-EXP(-0.0175*$A89)))&lt;70,'Scénario référence'!$B$16*(45+25*(1-EXP(-0.0175*$A89))),70*'Scénario référence'!$B$16)+IF((32+38*(1-EXP(-0.0175*$A89)))&lt;70,'Scénario référence'!$B$18*(32+38*(1-EXP(-0.0175*$A89))),70*'Scénario référence'!$B$18)</f>
        <v>70</v>
      </c>
      <c r="JW89" s="12">
        <f>IF($A89&gt;30,10,('Scénario référence'!$B$16+'Scénario référence'!$B$17+'Scénario référence'!$B$18+'Scénario référence'!$B$9+'Scénario référence'!$B$10)*$A89*10/30+('Scénario référence'!$F$8+'Scénario référence'!$F$9)*10)</f>
        <v>10</v>
      </c>
      <c r="JX89" s="12" t="e">
        <f>VLOOKUP($A89,'Données projet'!$A$382:$I$402,2,0)</f>
        <v>#N/A</v>
      </c>
      <c r="JY89" s="12" t="e">
        <f>VLOOKUP($A89,'Données projet'!$A$382:$I$402,9,0)</f>
        <v>#N/A</v>
      </c>
      <c r="JZ89" s="12">
        <f t="array" ref="JZ89">INDEX(JY:JY,MIN(IF(ISNUMBER(JY89:JY285),ROW(JY89:JY285),"")))</f>
        <v>7.4950142450142421</v>
      </c>
      <c r="KA89" s="12">
        <f>IF('Données projet'!$A$382&gt;35,KA88+JZ89-KI88,IF($A89&lt;'Données projet'!$A$382,$CQ$205^$A89,IF($A89='Données projet'!$A$382,'Données projet'!$B$382,KA88+JZ89-KI88)))</f>
        <v>273.37393162393181</v>
      </c>
      <c r="KB89" s="17">
        <f>KA89*VLOOKUP('Données projet'!$B$22,Paramètres!$A$1:$I$89,3,0)*VLOOKUP('Données projet'!$B$22,Paramètres!$A$1:$I$89,5,0)</f>
        <v>183.37923333333345</v>
      </c>
      <c r="KC89" s="13">
        <f t="shared" si="208"/>
        <v>46.073187557514139</v>
      </c>
      <c r="KD89" s="20">
        <f t="shared" si="159"/>
        <v>399.62963305155949</v>
      </c>
      <c r="KE89" s="59">
        <f t="shared" si="160"/>
        <v>692.96296638489275</v>
      </c>
      <c r="KF89" s="59">
        <f ca="1">AVERAGE(OFFSET($KE$3,0,0,'Données projet'!$E$22+1,1))-AVERAGE(OFFSET($H$3,0,0,'Données projet'!$E$22+1,1))</f>
        <v>193.91714772848269</v>
      </c>
      <c r="KG89" s="59">
        <f t="shared" si="209"/>
        <v>159.20429420478047</v>
      </c>
      <c r="KH89" s="15">
        <f>IF(ISNA(VLOOKUP($A89,'Données projet'!$A$382:$I$402,3,0)),0,VLOOKUP($A89,'Données projet'!$A$382:$I$402,3,0))</f>
        <v>0</v>
      </c>
      <c r="KI89" s="15">
        <f>IF(ISNA(VLOOKUP($A89,'Données projet'!$A$382:$I$402,4,0)),0,VLOOKUP($A89,'Données projet'!$A$382:$I$402,4,0))</f>
        <v>0</v>
      </c>
      <c r="KJ89" s="16">
        <f>IF(ISNA(VLOOKUP($A89,'Données projet'!$A$382:$I$402,5,0)),0%,VLOOKUP($A89,'Données projet'!$A$382:$I$402,5,0)*VLOOKUP('Données projet'!$B$22,Paramètres!$A$1:$I$89,7,0))</f>
        <v>0</v>
      </c>
      <c r="KK89" s="16">
        <f>IF(ISNA(VLOOKUP($A89,'Données projet'!$A$382:$I$402,6,0)),0%,VLOOKUP($A89,'Données projet'!$A$382:$I$402,6,0)*VLOOKUP('Données projet'!$B$22,Paramètres!$A$1:$I$89,7,0))</f>
        <v>0</v>
      </c>
      <c r="KL89" s="16">
        <f>IF(ISNA(VLOOKUP($A89,'Données projet'!$A$382:$I$402,7,0)),0%,VLOOKUP($A89,'Données projet'!$A$382:$I$402,7,0))</f>
        <v>0</v>
      </c>
      <c r="KM89" s="21">
        <f>EXP(-LN(2)/35)*KM88+(1-EXP(-LN(2)/35))/(LN(2)/35)*KI89*KJ89*VLOOKUP('Données projet'!$B$22,Paramètres!$A$1:$I$89,3,0)*0.475*44/12</f>
        <v>26.584385468585822</v>
      </c>
      <c r="KN89" s="21">
        <f>EXP(-LN(2)/25)*KN88+(1-EXP(-LN(2)/25))/(LN(2)/25)*Calculateur!KI89*Calculateur!KK89*VLOOKUP('Données projet'!$B$22,Paramètres!$A$1:$I$89,3,0)*0.475*44/12</f>
        <v>0</v>
      </c>
      <c r="KO89" s="21">
        <f>EXP(-LN(2)/2)*KO88+(1-EXP(-LN(2)/2))/(LN(2)/2)*KI89*KL89*VLOOKUP('Données projet'!$B$22,Paramètres!$A$1:$I$89,3,0)*0.475*44/12</f>
        <v>0</v>
      </c>
      <c r="KP89" s="22">
        <f t="shared" si="161"/>
        <v>26.584385468585822</v>
      </c>
      <c r="KQ89" s="74">
        <f>('Scénario référence'!$F$8+'Scénario référence'!$F$9+'Scénario référence'!$B$17+'Scénario référence'!$B$9+'Scénario référence'!$B$10)*70+IF((45+25*(1-EXP(-0.0175*$A89)))&lt;70,'Scénario référence'!$B$16*(45+25*(1-EXP(-0.0175*$A89))),70*'Scénario référence'!$B$16)+IF((32+38*(1-EXP(-0.0175*$A89)))&lt;70,'Scénario référence'!$B$18*(32+38*(1-EXP(-0.0175*$A89))),70*'Scénario référence'!$B$18)</f>
        <v>70</v>
      </c>
      <c r="KR89" s="12">
        <f>IF($A89&gt;30,10,('Scénario référence'!$B$16+'Scénario référence'!$B$17+'Scénario référence'!$B$18+'Scénario référence'!$B$9+'Scénario référence'!$B$10)*$A89*10/30+('Scénario référence'!$F$8+'Scénario référence'!$F$9)*10)</f>
        <v>10</v>
      </c>
      <c r="KS89" s="12" t="e">
        <f>VLOOKUP($A89,'Données projet'!$A$408:$I$428,2,0)</f>
        <v>#N/A</v>
      </c>
      <c r="KT89" s="12" t="e">
        <f>VLOOKUP($A89,'Données projet'!$A$408:$I$428,9,0)</f>
        <v>#N/A</v>
      </c>
      <c r="KU89" s="12">
        <f t="array" ref="KU89">INDEX(KT:KT,MIN(IF(ISNUMBER(KT89:KT285),ROW(KT89:KT285),"")))</f>
        <v>0</v>
      </c>
      <c r="KV89" s="12">
        <f>IF('Données projet'!$A$408&gt;35,KV88+KU89-LD88,IF($A89&lt;'Données projet'!$A$408,$CQ$205^$A89,IF($A89='Données projet'!$A$408,'Données projet'!$B$408,KV88+KU89-LD88)))</f>
        <v>-1.1368683772161603E-13</v>
      </c>
      <c r="KW89" s="17">
        <f>KV89*VLOOKUP('Données projet'!$B$23,Paramètres!$A$1:$I$89,3,0)*VLOOKUP('Données projet'!$B$23,Paramètres!$A$1:$I$89,5,0)</f>
        <v>-9.9316821433603781E-14</v>
      </c>
      <c r="KX89" s="13" t="e">
        <f t="shared" si="210"/>
        <v>#NUM!</v>
      </c>
      <c r="KY89" s="14" t="e">
        <f t="shared" si="162"/>
        <v>#NUM!</v>
      </c>
      <c r="KZ89" s="59" t="e">
        <f t="shared" si="163"/>
        <v>#NUM!</v>
      </c>
      <c r="LA89" s="59">
        <f ca="1">AVERAGE(OFFSET($KZ$3,0,0,'Données projet'!$E$23+1,1))-AVERAGE(OFFSET($H$3,0,0,'Données projet'!$E$23+1,1))</f>
        <v>248.33596943633819</v>
      </c>
      <c r="LB89" s="59">
        <f t="shared" si="211"/>
        <v>242.34010522344573</v>
      </c>
      <c r="LC89" s="15">
        <f>IF(ISNA(VLOOKUP($A89,'Données projet'!$A$408:$I$428,3,0)),0,VLOOKUP($A89,'Données projet'!$A$408:$I$428,3,0))</f>
        <v>0</v>
      </c>
      <c r="LD89" s="15">
        <f>IF(ISNA(VLOOKUP($A89,'Données projet'!$A$408:$I$428,4,0)),0,VLOOKUP($A89,'Données projet'!$A$408:$I$428,4,0))</f>
        <v>0</v>
      </c>
      <c r="LE89" s="16">
        <f>IF(ISNA(VLOOKUP($A89,'Données projet'!$A$408:$I$428,5,0)),0%,VLOOKUP($A89,'Données projet'!$A$408:$I$428,5,0)*VLOOKUP('Données projet'!$B$23,Paramètres!$A$1:$I$89,7,0))</f>
        <v>0</v>
      </c>
      <c r="LF89" s="16">
        <f>IF(ISNA(VLOOKUP($A89,'Données projet'!$A$408:$I$428,6,0)),0%,VLOOKUP($A89,'Données projet'!$A$408:$I$428,6,0)*VLOOKUP('Données projet'!$B$23,Paramètres!$A$1:$I$89,7,0))</f>
        <v>0</v>
      </c>
      <c r="LG89" s="16">
        <f>IF(ISNA(VLOOKUP($A89,'Données projet'!$A$408:$I$428,7,0)),0%,VLOOKUP($A89,'Données projet'!$A$408:$I$428,7,0))</f>
        <v>0</v>
      </c>
      <c r="LH89" s="21">
        <f>EXP(-LN(2)/35)*LH88+(1-EXP(-LN(2)/35))/(LN(2)/35)*LD89*LE89*VLOOKUP('Données projet'!$B$23,Paramètres!$A$1:$I$89,3,0)*0.475*44/12</f>
        <v>109.41515521427445</v>
      </c>
      <c r="LI89" s="21">
        <f>EXP(-LN(2)/25)*LI88+(1-EXP(-LN(2)/25))/(LN(2)/25)*Calculateur!LD89*Calculateur!LF89*VLOOKUP('Données projet'!$B$23,Paramètres!$A$1:$I$89,3,0)*0.475*44/12</f>
        <v>18.439664567166844</v>
      </c>
      <c r="LJ89" s="21">
        <f>EXP(-LN(2)/2)*LJ88+(1-EXP(-LN(2)/2))/(LN(2)/2)*LD89*LG89*VLOOKUP('Données projet'!$B$23,Paramètres!$A$1:$I$89,3,0)*0.475*44/12</f>
        <v>0</v>
      </c>
      <c r="LK89" s="22">
        <f t="shared" si="164"/>
        <v>127.85481978144129</v>
      </c>
      <c r="LL89" s="74">
        <f>('Scénario référence'!$F$8+'Scénario référence'!$F$9+'Scénario référence'!$B$17+'Scénario référence'!$B$9+'Scénario référence'!$B$10)*70+IF((45+25*(1-EXP(-0.0175*$A89)))&lt;70,'Scénario référence'!$B$16*(45+25*(1-EXP(-0.0175*$A89))),70*'Scénario référence'!$B$16)+IF((32+38*(1-EXP(-0.0175*$A89)))&lt;70,'Scénario référence'!$B$18*(32+38*(1-EXP(-0.0175*$A89))),70*'Scénario référence'!$B$18)</f>
        <v>70</v>
      </c>
      <c r="LM89" s="12">
        <f>IF($A89&gt;30,10,('Scénario référence'!$B$16+'Scénario référence'!$B$17+'Scénario référence'!$B$18+'Scénario référence'!$B$9+'Scénario référence'!$B$10)*$A89*10/30+('Scénario référence'!$F$8+'Scénario référence'!$F$9)*10)</f>
        <v>10</v>
      </c>
      <c r="LN89" s="12" t="e">
        <f>VLOOKUP($A89,'Données projet'!$A$434:$I$454,2,0)</f>
        <v>#N/A</v>
      </c>
      <c r="LO89" s="12" t="e">
        <f>VLOOKUP($A89,'Données projet'!$A$434:$I$454,9,0)</f>
        <v>#N/A</v>
      </c>
      <c r="LP89" s="12">
        <f t="array" ref="LP89">INDEX(LO:LO,MIN(IF(ISNUMBER(LO89:LO285),ROW(LO89:LO285),"")))</f>
        <v>5.2606837606837598</v>
      </c>
      <c r="LQ89" s="12">
        <f>IF('Données projet'!$A$434&gt;35,LQ88+LP89-LY88,IF($A89&lt;'Données projet'!$A$434,$CQ$205^$A89,IF($A89='Données projet'!$A$434,'Données projet'!$B$434,LQ88+LP89-LY88)))</f>
        <v>175.44444444444431</v>
      </c>
      <c r="LR89" s="17">
        <f>LQ89*VLOOKUP('Données projet'!$B$24,Paramètres!$A$1:$I$89,3,0)*VLOOKUP('Données projet'!$B$24,Paramètres!$A$1:$I$89,5,0)</f>
        <v>177.90066666666655</v>
      </c>
      <c r="LS89" s="13">
        <f t="shared" si="212"/>
        <v>44.854804758185892</v>
      </c>
      <c r="LT89" s="14">
        <f t="shared" si="165"/>
        <v>387.96577939828467</v>
      </c>
      <c r="LU89" s="59">
        <f t="shared" si="166"/>
        <v>681.29911273161792</v>
      </c>
      <c r="LV89" s="59">
        <f ca="1">AVERAGE(OFFSET($LU$3,0,0,'Données projet'!$E$24+1,1))-AVERAGE(OFFSET($H$3,0,0,'Données projet'!$E$24+1,1))</f>
        <v>260.52627655062872</v>
      </c>
      <c r="LW89" s="59">
        <f t="shared" si="213"/>
        <v>159.20429420478047</v>
      </c>
      <c r="LX89" s="15">
        <f>IF(ISNA(VLOOKUP($A89,'Données projet'!$A$434:$I$454,3,0)),0,VLOOKUP($A89,'Données projet'!$A$434:$I$454,3,0))</f>
        <v>0</v>
      </c>
      <c r="LY89" s="15">
        <f>IF(ISNA(VLOOKUP($A89,'Données projet'!$A$434:$I$454,4,0)),0,VLOOKUP($A89,'Données projet'!$A$434:$I$454,4,0))</f>
        <v>0</v>
      </c>
      <c r="LZ89" s="16">
        <f>IF(ISNA(VLOOKUP($A89,'Données projet'!$A$434:$I$454,5,0)),0%,VLOOKUP($A89,'Données projet'!$A$434:$I$454,5,0)*VLOOKUP('Données projet'!$B$24,Paramètres!$A$1:$I$89,7,0))</f>
        <v>0</v>
      </c>
      <c r="MA89" s="16">
        <f>IF(ISNA(VLOOKUP($A89,'Données projet'!$A$434:$I$454,6,0)),0%,VLOOKUP($A89,'Données projet'!$A$434:$I$454,6,0)*VLOOKUP('Données projet'!$B$24,Paramètres!$A$1:$I$89,7,0))</f>
        <v>0</v>
      </c>
      <c r="MB89" s="16">
        <f>IF(ISNA(VLOOKUP($A89,'Données projet'!$A$434:$I$454,7,0)),0%,VLOOKUP($A89,'Données projet'!$A$434:$I$454,7,0))</f>
        <v>0</v>
      </c>
      <c r="MC89" s="21">
        <f>EXP(-LN(2)/35)*MC88+(1-EXP(-LN(2)/35))/(LN(2)/35)*LY89*LZ89*VLOOKUP('Données projet'!$B$24,Paramètres!$A$1:$I$89,3,0)*0.475*44/12</f>
        <v>19.767076181759286</v>
      </c>
      <c r="MD89" s="21">
        <f>EXP(-LN(2)/25)*MD88+(1-EXP(-LN(2)/25))/(LN(2)/25)*Calculateur!LY89*Calculateur!MA89*VLOOKUP('Données projet'!$B$24,Paramètres!$A$1:$I$89,3,0)*0.475*44/12</f>
        <v>0</v>
      </c>
      <c r="ME89" s="21">
        <f>EXP(-LN(2)/2)*ME88+(1-EXP(-LN(2)/2))/(LN(2)/2)*LY89*MB89*VLOOKUP('Données projet'!$B$24,Paramètres!$A$1:$I$89,3,0)*0.475*44/12</f>
        <v>0</v>
      </c>
      <c r="MF89" s="22">
        <f t="shared" si="167"/>
        <v>19.767076181759286</v>
      </c>
      <c r="MG89" s="74">
        <f>('Scénario référence'!$F$8+'Scénario référence'!$F$9+'Scénario référence'!$B$17+'Scénario référence'!$B$9+'Scénario référence'!$B$10)*70+IF((45+25*(1-EXP(-0.0175*$A89)))&lt;70,'Scénario référence'!$B$16*(45+25*(1-EXP(-0.0175*$A89))),70*'Scénario référence'!$B$16)+IF((32+38*(1-EXP(-0.0175*$A89)))&lt;70,'Scénario référence'!$B$18*(32+38*(1-EXP(-0.0175*$A89))),70*'Scénario référence'!$B$18)</f>
        <v>70</v>
      </c>
      <c r="MH89" s="12">
        <f>IF($A89&gt;30,10,('Scénario référence'!$B$16+'Scénario référence'!$B$17+'Scénario référence'!$B$18+'Scénario référence'!$B$9+'Scénario référence'!$B$10)*$A89*10/30+('Scénario référence'!$F$8+'Scénario référence'!$F$9)*10)</f>
        <v>10</v>
      </c>
      <c r="MI89" s="12" t="e">
        <f>VLOOKUP($A89,'Données projet'!$A$460:$I$480,2,0)</f>
        <v>#N/A</v>
      </c>
      <c r="MJ89" s="12" t="e">
        <f>VLOOKUP($A89,'Données projet'!$A$460:$I$480,9,0)</f>
        <v>#N/A</v>
      </c>
      <c r="MK89" s="12">
        <f t="array" ref="MK89">INDEX(MJ:MJ,MIN(IF(ISNUMBER(MJ89:MJ285),ROW(MJ89:MJ285),"")))</f>
        <v>0</v>
      </c>
      <c r="ML89" s="12">
        <f>IF('Données projet'!$A$460&gt;35,ML88+MK89-MT88,IF($A89&lt;'Données projet'!$A$460,$CQ$205^$A89,IF($A89='Données projet'!$A$460,'Données projet'!$B$460,ML88+MK89-MT88)))</f>
        <v>0</v>
      </c>
      <c r="MM89" s="17" t="e">
        <f>ML89*VLOOKUP('Données projet'!$B$25,Paramètres!$A$1:$I$89,3,0)*VLOOKUP('Données projet'!$B$25,Paramètres!$A$1:$I$89,5,0)</f>
        <v>#N/A</v>
      </c>
      <c r="MN89" s="13" t="e">
        <f t="shared" si="214"/>
        <v>#N/A</v>
      </c>
      <c r="MO89" s="14" t="e">
        <f t="shared" si="168"/>
        <v>#N/A</v>
      </c>
      <c r="MP89" s="59" t="e">
        <f t="shared" si="169"/>
        <v>#N/A</v>
      </c>
      <c r="MQ89" s="20" t="e">
        <f ca="1">AVERAGE(OFFSET($MP$3,0,0,'Données projet'!$E$25+1,1))-AVERAGE(OFFSET($H$3,0,0,'Données projet'!$E$25+1,1))</f>
        <v>#N/A</v>
      </c>
      <c r="MR89" s="59" t="e">
        <f t="shared" si="215"/>
        <v>#N/A</v>
      </c>
      <c r="MS89" s="15">
        <f>IF(ISNA(VLOOKUP($A89,'Données projet'!$A$460:$I$480,3,0)),0,VLOOKUP($A89,'Données projet'!$A$460:$I$480,3,0))</f>
        <v>0</v>
      </c>
      <c r="MT89" s="15">
        <f>IF(ISNA(VLOOKUP($A89,'Données projet'!$A$460:$I$480,4,0)),0,VLOOKUP($A89,'Données projet'!$A$460:$I$480,4,0))</f>
        <v>0</v>
      </c>
      <c r="MU89" s="16">
        <f>IF(ISNA(VLOOKUP($A89,'Données projet'!$A$460:$I$480,5,0)),0%,VLOOKUP($A89,'Données projet'!$A$460:$I$480,5,0)*VLOOKUP('Données projet'!$B$25,Paramètres!$A$1:$I$89,7,0))</f>
        <v>0</v>
      </c>
      <c r="MV89" s="16">
        <f>IF(ISNA(VLOOKUP($A89,'Données projet'!$A$460:$I$480,6,0)),0%,VLOOKUP($A89,'Données projet'!$A$460:$I$480,6,0)*VLOOKUP('Données projet'!$B$25,Paramètres!$A$1:$I$89,7,0))</f>
        <v>0</v>
      </c>
      <c r="MW89" s="16">
        <f>IF(ISNA(VLOOKUP($A89,'Données projet'!$A$460:$I$480,7,0)),0%,VLOOKUP($A89,'Données projet'!$A$460:$I$480,7,0))</f>
        <v>0</v>
      </c>
      <c r="MX89" s="21" t="e">
        <f>EXP(-LN(2)/35)*MX88+(1-EXP(-LN(2)/35))/(LN(2)/35)*MT89*MU89*VLOOKUP('Données projet'!$B$25,Paramètres!$A$1:$I$89,3,0)*0.475*44/12</f>
        <v>#N/A</v>
      </c>
      <c r="MY89" s="21" t="e">
        <f>EXP(-LN(2)/25)*MY88+(1-EXP(-LN(2)/25))/(LN(2)/25)*Calculateur!MT89*Calculateur!MV89*VLOOKUP('Données projet'!$B$25,Paramètres!$A$1:$I$89,3,0)*0.475*44/12</f>
        <v>#N/A</v>
      </c>
      <c r="MZ89" s="21" t="e">
        <f>EXP(-LN(2)/2)*MZ88+(1-EXP(-LN(2)/2))/(LN(2)/2)*MT89*MW89*VLOOKUP('Données projet'!$B$25,Paramètres!$A$1:$I$89,3,0)*0.475*44/12</f>
        <v>#N/A</v>
      </c>
      <c r="NA89" s="22" t="e">
        <f t="shared" si="170"/>
        <v>#N/A</v>
      </c>
      <c r="NB89" s="74">
        <f>('Scénario référence'!$F$8+'Scénario référence'!$F$9+'Scénario référence'!$B$17+'Scénario référence'!$B$9+'Scénario référence'!$B$10)*70+IF((45+25*(1-EXP(-0.0175*$A89)))&lt;70,'Scénario référence'!$B$16*(45+25*(1-EXP(-0.0175*$A89))),70*'Scénario référence'!$B$16)+IF((32+38*(1-EXP(-0.0175*$A89)))&lt;70,'Scénario référence'!$B$18*(32+38*(1-EXP(-0.0175*$A89))),70*'Scénario référence'!$B$18)</f>
        <v>70</v>
      </c>
      <c r="NC89" s="12">
        <f>IF($A89&gt;30,10,('Scénario référence'!$B$16+'Scénario référence'!$B$17+'Scénario référence'!$B$18+'Scénario référence'!$B$9+'Scénario référence'!$B$10)*$A89*10/30+('Scénario référence'!$F$8+'Scénario référence'!$F$9)*10)</f>
        <v>10</v>
      </c>
      <c r="ND89" s="12" t="e">
        <f>VLOOKUP($A89,'Données projet'!$A$486:$I$506,2,0)</f>
        <v>#N/A</v>
      </c>
      <c r="NE89" s="12" t="e">
        <f>VLOOKUP($A89,'Données projet'!$A$486:$I$506,9,0)</f>
        <v>#N/A</v>
      </c>
      <c r="NF89" s="12">
        <f t="array" ref="NF89">INDEX(NE:NE,MIN(IF(ISNUMBER(NE89:NE285),ROW(NE89:NE285),"")))</f>
        <v>0</v>
      </c>
      <c r="NG89" s="12">
        <f>IF('Données projet'!$A$486&gt;35,NG88+NF89-NO88,IF($A89&lt;'Données projet'!$A$486,$CQ$205^$A89,IF($A89='Données projet'!$A$486,'Données projet'!$B$486,NG88+NF89-NO88)))</f>
        <v>0</v>
      </c>
      <c r="NH89" s="17" t="e">
        <f>NG89*VLOOKUP('Données projet'!$B$26,Paramètres!$A$1:$I$89,3,0)*VLOOKUP('Données projet'!$B$26,Paramètres!$A$1:$I$89,5,0)</f>
        <v>#N/A</v>
      </c>
      <c r="NI89" s="13" t="e">
        <f t="shared" si="216"/>
        <v>#N/A</v>
      </c>
      <c r="NJ89" s="14" t="e">
        <f t="shared" si="171"/>
        <v>#N/A</v>
      </c>
      <c r="NK89" s="59" t="e">
        <f t="shared" si="172"/>
        <v>#N/A</v>
      </c>
      <c r="NL89" s="20" t="e">
        <f ca="1">AVERAGE(OFFSET($NK$3,0,0,'Données projet'!$E$26+1,1))-AVERAGE(OFFSET($H$3,0,0,'Données projet'!$E$26+1,1))</f>
        <v>#N/A</v>
      </c>
      <c r="NM89" s="59" t="e">
        <f t="shared" si="217"/>
        <v>#N/A</v>
      </c>
      <c r="NN89" s="15">
        <f>IF(ISNA(VLOOKUP($A89,'Données projet'!$A$486:$I$506,3,0)),0,VLOOKUP($A89,'Données projet'!$A$486:$I$506,3,0))</f>
        <v>0</v>
      </c>
      <c r="NO89" s="15">
        <f>IF(ISNA(VLOOKUP($A89,'Données projet'!$A$486:$I$506,4,0)),0,VLOOKUP($A89,'Données projet'!$A$486:$I$506,4,0))</f>
        <v>0</v>
      </c>
      <c r="NP89" s="16">
        <f>IF(ISNA(VLOOKUP($A89,'Données projet'!$A$486:$I$506,5,0)),0%,VLOOKUP($A89,'Données projet'!$A$486:$I$506,5,0)*VLOOKUP('Données projet'!$B$26,Paramètres!$A$1:$I$89,7,0))</f>
        <v>0</v>
      </c>
      <c r="NQ89" s="16">
        <f>IF(ISNA(VLOOKUP($A89,'Données projet'!$A$486:$I$506,6,0)),0%,VLOOKUP($A89,'Données projet'!$A$486:$I$506,6,0)*VLOOKUP('Données projet'!$B$26,Paramètres!$A$1:$I$89,7,0))</f>
        <v>0</v>
      </c>
      <c r="NR89" s="16">
        <f>IF(ISNA(VLOOKUP($A89,'Données projet'!$A$486:$I$506,7,0)),0%,VLOOKUP($A89,'Données projet'!$A$486:$I$506,7,0))</f>
        <v>0</v>
      </c>
      <c r="NS89" s="21" t="e">
        <f>EXP(-LN(2)/35)*NS88+(1-EXP(-LN(2)/35))/(LN(2)/35)*NO89*NP89*VLOOKUP('Données projet'!$B$26,Paramètres!$A$1:$I$89,3,0)*0.475*44/12</f>
        <v>#N/A</v>
      </c>
      <c r="NT89" s="21" t="e">
        <f>EXP(-LN(2)/25)*NT88+(1-EXP(-LN(2)/25))/(LN(2)/25)*Calculateur!NO89*Calculateur!NQ89*VLOOKUP('Données projet'!$B$26,Paramètres!$A$1:$I$89,3,0)*0.475*44/12</f>
        <v>#N/A</v>
      </c>
      <c r="NU89" s="21" t="e">
        <f>EXP(-LN(2)/2)*NU88+(1-EXP(-LN(2)/2))/(LN(2)/2)*NO89*NR89*VLOOKUP('Données projet'!$B$26,Paramètres!$A$1:$I$89,3,0)*0.475*44/12</f>
        <v>#N/A</v>
      </c>
      <c r="NV89" s="22" t="e">
        <f t="shared" si="173"/>
        <v>#N/A</v>
      </c>
      <c r="NW89" s="74">
        <f>('Scénario référence'!$F$8+'Scénario référence'!$F$9+'Scénario référence'!$B$17+'Scénario référence'!$B$9+'Scénario référence'!$B$10)*70+IF((45+25*(1-EXP(-0.0175*$A89)))&lt;70,'Scénario référence'!$B$16*(45+25*(1-EXP(-0.0175*$A89))),70*'Scénario référence'!$B$16)+IF((32+38*(1-EXP(-0.0175*$A89)))&lt;70,'Scénario référence'!$B$18*(32+38*(1-EXP(-0.0175*$A89))),70*'Scénario référence'!$B$18)</f>
        <v>70</v>
      </c>
      <c r="NX89" s="12">
        <f>IF($A89&gt;30,10,('Scénario référence'!$B$16+'Scénario référence'!$B$17+'Scénario référence'!$B$18+'Scénario référence'!$B$9+'Scénario référence'!$B$10)*$A89*10/30+('Scénario référence'!$F$8+'Scénario référence'!$F$9)*10)</f>
        <v>10</v>
      </c>
      <c r="NY89" s="12" t="e">
        <f>VLOOKUP($A89,'Données projet'!$A$512:$I$532,2,0)</f>
        <v>#N/A</v>
      </c>
      <c r="NZ89" s="12" t="e">
        <f>VLOOKUP($A89,'Données projet'!$A$512:$I$532,9,0)</f>
        <v>#N/A</v>
      </c>
      <c r="OA89" s="12">
        <f t="array" ref="OA89">INDEX(NZ:NZ,MIN(IF(ISNUMBER(NZ89:NZ285),ROW(NZ89:NZ285),"")))</f>
        <v>0</v>
      </c>
      <c r="OB89" s="12">
        <f>IF('Données projet'!$A$512&gt;35,OB88+OA89-OJ88,IF($A89&lt;'Données projet'!$A$512,$CQ$205^$A89,IF($A89='Données projet'!$A$512,'Données projet'!$B$512,OB88+OA89-OJ88)))</f>
        <v>0</v>
      </c>
      <c r="OC89" s="17" t="e">
        <f>OB89*VLOOKUP('Données projet'!$B$27,Paramètres!$A$1:$I$89,3,0)*VLOOKUP('Données projet'!$B$27,Paramètres!$A$1:$I$89,5,0)</f>
        <v>#N/A</v>
      </c>
      <c r="OD89" s="13" t="e">
        <f t="shared" si="218"/>
        <v>#N/A</v>
      </c>
      <c r="OE89" s="14" t="e">
        <f t="shared" si="174"/>
        <v>#N/A</v>
      </c>
      <c r="OF89" s="59" t="e">
        <f t="shared" si="175"/>
        <v>#N/A</v>
      </c>
      <c r="OG89" s="20" t="e">
        <f ca="1">AVERAGE(OFFSET($OF$3,0,0,'Données projet'!$E$27+1,1))-AVERAGE(OFFSET($H$3,0,0,'Données projet'!$E$27+1,1))</f>
        <v>#N/A</v>
      </c>
      <c r="OH89" s="59" t="e">
        <f t="shared" si="219"/>
        <v>#N/A</v>
      </c>
      <c r="OI89" s="15">
        <f>IF(ISNA(VLOOKUP($A89,'Données projet'!$A$512:$I$532,3,0)),0,VLOOKUP($A89,'Données projet'!$A$512:$I$532,3,0))</f>
        <v>0</v>
      </c>
      <c r="OJ89" s="15">
        <f>IF(ISNA(VLOOKUP($A89,'Données projet'!$A$512:$I$532,4,0)),0,VLOOKUP($A89,'Données projet'!$A$512:$I$532,4,0))</f>
        <v>0</v>
      </c>
      <c r="OK89" s="16">
        <f>IF(ISNA(VLOOKUP($A89,'Données projet'!$A$512:$I$532,5,0)),0%,VLOOKUP($A89,'Données projet'!$A$512:$I$532,5,0)*VLOOKUP('Données projet'!$B$27,Paramètres!$A$1:$I$89,7,0))</f>
        <v>0</v>
      </c>
      <c r="OL89" s="16">
        <f>IF(ISNA(VLOOKUP($A89,'Données projet'!$A$512:$I$532,6,0)),0%,VLOOKUP($A89,'Données projet'!$A$512:$I$532,6,0)*VLOOKUP('Données projet'!$B$27,Paramètres!$A$1:$I$89,7,0))</f>
        <v>0</v>
      </c>
      <c r="OM89" s="16">
        <f>IF(ISNA(VLOOKUP($A89,'Données projet'!$A$512:$I$532,7,0)),0%,VLOOKUP($A89,'Données projet'!$A$512:$I$532,7,0))</f>
        <v>0</v>
      </c>
      <c r="ON89" s="21" t="e">
        <f>EXP(-LN(2)/35)*ON88+(1-EXP(-LN(2)/35))/(LN(2)/35)*OJ89*OK89*VLOOKUP('Données projet'!$B$27,Paramètres!$A$1:$I$89,3,0)*0.475*44/12</f>
        <v>#N/A</v>
      </c>
      <c r="OO89" s="21" t="e">
        <f>EXP(-LN(2)/25)*OO88+(1-EXP(-LN(2)/25))/(LN(2)/25)*Calculateur!OJ89*Calculateur!OL89*VLOOKUP('Données projet'!$B$27,Paramètres!$A$1:$I$89,3,0)*0.475*44/12</f>
        <v>#N/A</v>
      </c>
      <c r="OP89" s="21" t="e">
        <f>EXP(-LN(2)/2)*OP88+(1-EXP(-LN(2)/2))/(LN(2)/2)*OJ89*OM89*VLOOKUP('Données projet'!$B$27,Paramètres!$A$1:$I$89,3,0)*0.475*44/12</f>
        <v>#N/A</v>
      </c>
      <c r="OQ89" s="22" t="e">
        <f t="shared" si="176"/>
        <v>#N/A</v>
      </c>
      <c r="OR89" s="74">
        <f>('Scénario référence'!$F$8+'Scénario référence'!$F$9+'Scénario référence'!$B$17+'Scénario référence'!$B$9+'Scénario référence'!$B$10)*70+IF((45+25*(1-EXP(-0.0175*$A89)))&lt;70,'Scénario référence'!$B$16*(45+25*(1-EXP(-0.0175*$A89))),70*'Scénario référence'!$B$16)+IF((32+38*(1-EXP(-0.0175*$A89)))&lt;70,'Scénario référence'!$B$18*(32+38*(1-EXP(-0.0175*$A89))),70*'Scénario référence'!$B$18)</f>
        <v>70</v>
      </c>
      <c r="OS89" s="12">
        <f>IF($A89&gt;30,10,('Scénario référence'!$B$16+'Scénario référence'!$B$17+'Scénario référence'!$B$18+'Scénario référence'!$B$9+'Scénario référence'!$B$10)*$A89*10/30+('Scénario référence'!$F$8+'Scénario référence'!$F$9)*10)</f>
        <v>10</v>
      </c>
      <c r="OT89" s="12" t="e">
        <f>VLOOKUP($A89,'Données projet'!$A$538:$I$558,2,0)</f>
        <v>#N/A</v>
      </c>
      <c r="OU89" s="12" t="e">
        <f>VLOOKUP($A89,'Données projet'!$A$538:$I$558,9,0)</f>
        <v>#N/A</v>
      </c>
      <c r="OV89" s="12">
        <f t="array" ref="OV89">INDEX(OU:OU,MIN(IF(ISNUMBER(OU89:OU285),ROW(OU89:OU285),"")))</f>
        <v>0</v>
      </c>
      <c r="OW89" s="12">
        <f>IF('Données projet'!$A$538&gt;35,OW88+OV89-PE88,IF($A89&lt;'Données projet'!$A$538,$CQ$205^$A89,IF($A89='Données projet'!$A$538,'Données projet'!$B$538,OW88+OV89-PE88)))</f>
        <v>0</v>
      </c>
      <c r="OX89" s="17" t="e">
        <f>OW89*VLOOKUP('Données projet'!$B$28,Paramètres!$A$1:$I$89,3,0)*VLOOKUP('Données projet'!$B$28,Paramètres!$A$1:$I$89,5,0)</f>
        <v>#N/A</v>
      </c>
      <c r="OY89" s="13" t="e">
        <f t="shared" si="220"/>
        <v>#N/A</v>
      </c>
      <c r="OZ89" s="14" t="e">
        <f t="shared" si="177"/>
        <v>#N/A</v>
      </c>
      <c r="PA89" s="59" t="e">
        <f t="shared" si="178"/>
        <v>#N/A</v>
      </c>
      <c r="PB89" s="20" t="e">
        <f ca="1">AVERAGE(OFFSET($PA$3,0,0,'Données projet'!$E$28+1,1))-AVERAGE(OFFSET($H$3,0,0,'Données projet'!$E$28+1,1))</f>
        <v>#N/A</v>
      </c>
      <c r="PC89" s="59" t="e">
        <f t="shared" si="221"/>
        <v>#N/A</v>
      </c>
      <c r="PD89" s="15">
        <f>IF(ISNA(VLOOKUP($A89,'Données projet'!$A$538:$I$558,3,0)),0,VLOOKUP($A89,'Données projet'!$A$538:$I$558,3,0))</f>
        <v>0</v>
      </c>
      <c r="PE89" s="15">
        <f>IF(ISNA(VLOOKUP($A89,'Données projet'!$A$538:$I$558,4,0)),0,VLOOKUP($A89,'Données projet'!$A$538:$I$558,4,0))</f>
        <v>0</v>
      </c>
      <c r="PF89" s="16">
        <f>IF(ISNA(VLOOKUP($A89,'Données projet'!$A$538:$I$558,5,0)),0%,VLOOKUP($A89,'Données projet'!$A$538:$I$558,5,0)*VLOOKUP('Données projet'!$B$28,Paramètres!$A$1:$I$89,7,0))</f>
        <v>0</v>
      </c>
      <c r="PG89" s="16">
        <f>IF(ISNA(VLOOKUP($A89,'Données projet'!$A$538:$I$558,6,0)),0%,VLOOKUP($A89,'Données projet'!$A$538:$I$558,6,0)*VLOOKUP('Données projet'!$B$28,Paramètres!$A$1:$I$89,7,0))</f>
        <v>0</v>
      </c>
      <c r="PH89" s="16">
        <f>IF(ISNA(VLOOKUP($A89,'Données projet'!$A$538:$I$558,7,0)),0%,VLOOKUP($A89,'Données projet'!$A$538:$I$558,7,0))</f>
        <v>0</v>
      </c>
      <c r="PI89" s="21" t="e">
        <f>EXP(-LN(2)/35)*PI88+(1-EXP(-LN(2)/35))/(LN(2)/35)*PE89*PF89*VLOOKUP('Données projet'!$B$28,Paramètres!$A$1:$I$89,3,0)*0.475*44/12</f>
        <v>#N/A</v>
      </c>
      <c r="PJ89" s="21" t="e">
        <f>EXP(-LN(2)/25)*PJ88+(1-EXP(-LN(2)/25))/(LN(2)/25)*Calculateur!PE89*Calculateur!PG89*VLOOKUP('Données projet'!$B$28,Paramètres!$A$1:$I$89,3,0)*0.475*44/12</f>
        <v>#N/A</v>
      </c>
      <c r="PK89" s="21" t="e">
        <f>EXP(-LN(2)/2)*PK88+(1-EXP(-LN(2)/2))/(LN(2)/2)*PE89*PH89*VLOOKUP('Données projet'!$B$28,Paramètres!$A$1:$I$89,3,0)*0.475*44/12</f>
        <v>#N/A</v>
      </c>
      <c r="PL89" s="22" t="e">
        <f t="shared" si="179"/>
        <v>#N/A</v>
      </c>
    </row>
    <row r="90" spans="1:428" x14ac:dyDescent="0.35">
      <c r="A90" s="10">
        <f t="shared" si="180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181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121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projet'!$A$45:$I$65,2,0)</f>
        <v>#N/A</v>
      </c>
      <c r="L90" s="12" t="e">
        <f>VLOOKUP(A90,'Données projet'!$A$45:$I$65,9,0)</f>
        <v>#N/A</v>
      </c>
      <c r="M90" s="12">
        <f t="array" ref="M90">INDEX(L:L,MIN(IF(ISNUMBER(L90:L286),ROW(L90:L286),"")))</f>
        <v>0</v>
      </c>
      <c r="N90" s="13">
        <f>IF('Données projet'!$A$46&gt;35,N89+M90-V89,IF(A90&lt;'Données projet'!$A$46,$K$205^A90,IF(A90='Données projet'!$A$46,'Données projet'!$B$46,N89+M90-V89)))</f>
        <v>-1.1368683772161603E-13</v>
      </c>
      <c r="O90" s="13">
        <f>N90*VLOOKUP('Données projet'!$B$9,Paramètres!$A$1:$I$89,3,0)*VLOOKUP('Données projet'!$B$9,Paramètres!$A$1:$I$89,5,0)</f>
        <v>-6.3550942286383367E-14</v>
      </c>
      <c r="P90" s="13" t="e">
        <f t="shared" si="182"/>
        <v>#NUM!</v>
      </c>
      <c r="Q90" s="20" t="e">
        <f t="shared" si="119"/>
        <v>#NUM!</v>
      </c>
      <c r="R90" s="59" t="e">
        <f t="shared" si="120"/>
        <v>#NUM!</v>
      </c>
      <c r="S90" s="59">
        <f ca="1">AVERAGE(OFFSET($R$3,0,0,'Données projet'!$E$9+1,1))-AVERAGE(OFFSET($H$3,0,0,'Données projet'!$E$9+1,1))</f>
        <v>274.57619581652199</v>
      </c>
      <c r="T90" s="59">
        <f t="shared" si="183"/>
        <v>366.15117322598775</v>
      </c>
      <c r="U90" s="15">
        <f>IF(ISNA(VLOOKUP(A90,'Données projet'!$A$45:$I$65,3,0)),0,VLOOKUP(A90,'Données projet'!$A$45:$I$65,3,0))</f>
        <v>0</v>
      </c>
      <c r="V90" s="15">
        <f>IF(ISNA(VLOOKUP(A90,'Données projet'!$A$45:$I$65,4,0)),0,VLOOKUP(A90,'Données projet'!$A$45:$I$65,4,0))</f>
        <v>0</v>
      </c>
      <c r="W90" s="16">
        <f>IF(ISNA(VLOOKUP(A90,'Données projet'!$A$45:$I$65,5,0)),0%,VLOOKUP(A90,'Données projet'!$A$45:$I$65,5,0)*VLOOKUP('Données projet'!$B$9,Paramètres!$A$1:$I$89,7,0))</f>
        <v>0</v>
      </c>
      <c r="X90" s="16">
        <f>IF(ISNA(VLOOKUP(A90,'Données projet'!$A$45:$I$65,6,0)),0%,VLOOKUP(A90,'Données projet'!$A$45:$I$65,6,0)*VLOOKUP('Données projet'!$B$9,Paramètres!$A$1:$I$89,7,0))</f>
        <v>0</v>
      </c>
      <c r="Y90" s="16">
        <f>IF(ISNA(VLOOKUP(A90,'Données projet'!$A$45:$I$65,7,0)),0%,VLOOKUP(A90,'Données projet'!$A$45:$I$65,7,0))</f>
        <v>0</v>
      </c>
      <c r="Z90" s="21">
        <f>EXP(-LN(2)/35)*Z89+(1-EXP(-LN(2)/35))/(LN(2)/35)*V90*W90*VLOOKUP('Données projet'!$B$9,Paramètres!$A$1:$I$89,3,0)*0.475*44/12</f>
        <v>120.26572360470689</v>
      </c>
      <c r="AA90" s="21">
        <f>EXP(-LN(2)/25)*AA89+(1-EXP(-LN(2)/25))/(LN(2)/25)*Calculateur!V90*Calculateur!X90*VLOOKUP('Données projet'!$B$9,Paramètres!$A$1:$I$89,3,0)*0.475*44/12</f>
        <v>23.72258404668786</v>
      </c>
      <c r="AB90" s="21">
        <f>EXP(-LN(2)/2)*AB89+(1-EXP(-LN(2)/2))/(LN(2)/2)*V90*Y90*VLOOKUP('Données projet'!$B$9,Paramètres!$A$1:$I$89,3,0)*0.475*44/12</f>
        <v>5.2126013189868886E-4</v>
      </c>
      <c r="AC90" s="22">
        <f t="shared" si="122"/>
        <v>143.98882891152667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projet'!$A$71:$I$91,2,0)</f>
        <v>#N/A</v>
      </c>
      <c r="AG90" s="12" t="e">
        <f>VLOOKUP(A90,'Données projet'!$A$71:$I$91,9,0)</f>
        <v>#N/A</v>
      </c>
      <c r="AH90" s="12">
        <f t="array" ref="AH90">INDEX(AG:AG,MIN(IF(ISNUMBER(AG90:AG286),ROW(AG90:AG286),"")))</f>
        <v>7.4950142450142421</v>
      </c>
      <c r="AI90" s="13">
        <f>IF('Données projet'!$A$72&gt;35,AI89+AH90-AQ89,IF(A90&lt;'Données projet'!$A$72,$AF$205^A90,IF(A90='Données projet'!$A$72,'Données projet'!$B$72,AI89+AH90-AQ89)))</f>
        <v>280.86894586894613</v>
      </c>
      <c r="AJ90" s="13">
        <f>AI90*VLOOKUP('Données projet'!$B$10,Paramètres!$A$1:$I$89,3,0)*VLOOKUP('Données projet'!$B$10,Paramètres!$A$1:$I$89,5,0)</f>
        <v>254.13022222222247</v>
      </c>
      <c r="AK90" s="13">
        <f t="shared" si="184"/>
        <v>61.469520573147591</v>
      </c>
      <c r="AL90" s="20">
        <f t="shared" si="123"/>
        <v>549.66955203526948</v>
      </c>
      <c r="AM90" s="59">
        <f t="shared" si="124"/>
        <v>843.00288536860285</v>
      </c>
      <c r="AN90" s="59">
        <f ca="1">AVERAGE(OFFSET($AM$3,0,0,'Données projet'!$E$10+1,1))-AVERAGE(OFFSET($H$3,0,0,'Données projet'!$E$10+1,1))</f>
        <v>270.87836509222456</v>
      </c>
      <c r="AO90" s="59">
        <f t="shared" si="185"/>
        <v>205.24998237949734</v>
      </c>
      <c r="AP90" s="15">
        <f>IF(ISNA(VLOOKUP(A90,'Données projet'!$A$71:$I$91,3,0)),0,VLOOKUP(A90,'Données projet'!$A$71:$I$91,3,0))</f>
        <v>0</v>
      </c>
      <c r="AQ90" s="15">
        <f>IF(ISNA(VLOOKUP(A90,'Données projet'!$A$71:$I$91,4,0)),0,VLOOKUP(A90,'Données projet'!$A$71:$I$91,4,0))</f>
        <v>0</v>
      </c>
      <c r="AR90" s="16">
        <f>IF(ISNA(VLOOKUP(A90,'Données projet'!$A$71:$I$91,5,0)),0%,VLOOKUP(A90,'Données projet'!$A$71:$I$91,5,0)*VLOOKUP('Données projet'!$B$10,Paramètres!$A$1:$I$89,7,0))</f>
        <v>0</v>
      </c>
      <c r="AS90" s="16">
        <f>IF(ISNA(VLOOKUP(A90,'Données projet'!$A$71:$I$91,6,0)),0%,VLOOKUP(A90,'Données projet'!$A$71:$I$91,6,0)*VLOOKUP('Données projet'!$B$10,Paramètres!$A$1:$I$89,7,0))</f>
        <v>0</v>
      </c>
      <c r="AT90" s="16">
        <f>IF(ISNA(VLOOKUP(A90,'Données projet'!$A$71:$I$91,7,0)),0%,VLOOKUP(A90,'Données projet'!$A$71:$I$91,7,0))</f>
        <v>0</v>
      </c>
      <c r="AU90" s="21">
        <f>EXP(-LN(2)/35)*AU89+(1-EXP(-LN(2)/35))/(LN(2)/35)*AQ90*AR90*VLOOKUP('Données projet'!$B$10,Paramètres!$A$1:$I$89,3,0)*0.475*44/12</f>
        <v>28.521863194271916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125"/>
        <v>28.521863194271916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projet'!$A$97:$I$117,2,0)</f>
        <v>#N/A</v>
      </c>
      <c r="BB90" s="12" t="e">
        <f>VLOOKUP(A90,'Données projet'!$A$97:$I$117,9,0)</f>
        <v>#N/A</v>
      </c>
      <c r="BC90" s="12">
        <f t="array" ref="BC90">INDEX(BB:BB,MIN(IF(ISNUMBER(BB90:BB286),ROW(BB90:BB286),"")))</f>
        <v>0</v>
      </c>
      <c r="BD90" s="12">
        <f>IF('Données projet'!$A$98&gt;35,BD89+BC90-BL89,IF(A90&lt;'Données projet'!$A$98,$BA$205^A90,IF(A90='Données projet'!$A$98,'Données projet'!$B$98,BD89+BC90-BL89)))</f>
        <v>-1.1368683772161603E-13</v>
      </c>
      <c r="BE90" s="13">
        <f>BD90*VLOOKUP('Données projet'!$B$11,Paramètres!$A$1:$I$89,3,0)*VLOOKUP('Données projet'!$B$11,Paramètres!$A$1:$I$89,5,0)</f>
        <v>-5.0249582272954292E-14</v>
      </c>
      <c r="BF90" s="13" t="e">
        <f t="shared" si="186"/>
        <v>#NUM!</v>
      </c>
      <c r="BG90" s="20" t="e">
        <f t="shared" si="126"/>
        <v>#NUM!</v>
      </c>
      <c r="BH90" s="59" t="e">
        <f t="shared" si="127"/>
        <v>#NUM!</v>
      </c>
      <c r="BI90" s="59">
        <f ca="1">AVERAGE(OFFSET($BH$3,0,0,'Données projet'!$E$11+1,1))-AVERAGE(OFFSET($H$3,0,0,'Données projet'!$E$11+1,1))</f>
        <v>211.31057120485542</v>
      </c>
      <c r="BJ90" s="59">
        <f t="shared" si="187"/>
        <v>283.33292006714777</v>
      </c>
      <c r="BK90" s="15">
        <f>IF(ISNA(VLOOKUP(A90,'Données projet'!$A$97:$I$117,3,0)),0,VLOOKUP(A90,'Données projet'!$A$97:$I$117,3,0))</f>
        <v>0</v>
      </c>
      <c r="BL90" s="15">
        <f>IF(ISNA(VLOOKUP(A90,'Données projet'!$A$97:$I$117,4,0)),0,VLOOKUP(A90,'Données projet'!$A$97:$I$117,4,0))</f>
        <v>0</v>
      </c>
      <c r="BM90" s="16">
        <f>IF(ISNA(VLOOKUP(A90,'Données projet'!$A$97:$I$117,5,0)),0%,VLOOKUP(A90,'Données projet'!$A$97:$I$117,5,0)*VLOOKUP('Données projet'!$B$11,Paramètres!$A$1:$I$89,7,0))</f>
        <v>0</v>
      </c>
      <c r="BN90" s="16">
        <f>IF(ISNA(VLOOKUP(A90,'Données projet'!$A$97:$I$117,6,0)),0%,VLOOKUP(A90,'Données projet'!$A$97:$I$117,6,0)*VLOOKUP('Données projet'!$B$11,Paramètres!$A$1:$I$89,7,0))</f>
        <v>0</v>
      </c>
      <c r="BO90" s="16">
        <f>IF(ISNA(VLOOKUP(A90,'Données projet'!$A$97:$I$117,7,0)),0%,VLOOKUP(A90,'Données projet'!$A$97:$I$117,7,0))</f>
        <v>0</v>
      </c>
      <c r="BP90" s="21">
        <f>EXP(-LN(2)/35)*BP89+(1-EXP(-LN(2)/35))/(LN(2)/35)*BL90*BM90*VLOOKUP('Données projet'!$B$11,Paramètres!$A$1:$I$89,3,0)*0.475*44/12</f>
        <v>95.09382796651245</v>
      </c>
      <c r="BQ90" s="21">
        <f>EXP(-LN(2)/25)*BQ89+(1-EXP(-LN(2)/25))/(LN(2)/25)*Calculateur!BL90*Calculateur!BN90*VLOOKUP('Données projet'!$B$11,Paramètres!$A$1:$I$89,3,0)*0.475*44/12</f>
        <v>18.757392036915981</v>
      </c>
      <c r="BR90" s="21">
        <f>EXP(-LN(2)/2)*BR89+(1-EXP(-LN(2)/2))/(LN(2)/2)*BL90*BO90*VLOOKUP('Données projet'!$B$11,Paramètres!$A$1:$I$89,3,0)*0.475*44/12</f>
        <v>4.1215917405942832E-4</v>
      </c>
      <c r="BS90" s="22">
        <f t="shared" si="128"/>
        <v>113.8516321626025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projet'!$A$123:$I$143,2,0)</f>
        <v>#N/A</v>
      </c>
      <c r="BW90" s="12" t="e">
        <f>VLOOKUP(A90,'Données projet'!$A$123:$I$143,9,0)</f>
        <v>#N/A</v>
      </c>
      <c r="BX90" s="12">
        <f t="array" ref="BX90">INDEX(BW:BW,MIN(IF(ISNUMBER(BW90:BW286),ROW(BW90:BW286),"")))</f>
        <v>3</v>
      </c>
      <c r="BY90" s="12">
        <f>IF('Données projet'!$A$124&gt;35,BY89+BX90-CG89,IF(A90&lt;'Données projet'!$A$124,$BV$205^A90,IF(A90='Données projet'!$A$124,'Données projet'!$B$124,BY89+BX90-CG89)))</f>
        <v>240</v>
      </c>
      <c r="BZ90" s="13">
        <f>BY90*VLOOKUP('Données projet'!$B$12,Paramètres!$A$1:$I$89,3,0)*VLOOKUP('Données projet'!$B$12,Paramètres!$A$1:$I$89,5,0)</f>
        <v>250.84800000000001</v>
      </c>
      <c r="CA90" s="13">
        <f t="shared" si="188"/>
        <v>60.767491486783541</v>
      </c>
      <c r="CB90" s="20">
        <f t="shared" si="129"/>
        <v>542.7303143394812</v>
      </c>
      <c r="CC90" s="59">
        <f t="shared" si="130"/>
        <v>836.06364767281457</v>
      </c>
      <c r="CD90" s="59">
        <f ca="1">AVERAGE(OFFSET($CC$3,0,0,'Données projet'!$E$12+1,1))-AVERAGE(OFFSET($H$3,0,0,'Données projet'!$E$12+1,1))</f>
        <v>322.93502595881938</v>
      </c>
      <c r="CE90" s="59">
        <f t="shared" si="189"/>
        <v>302.67072119588164</v>
      </c>
      <c r="CF90" s="15">
        <f>IF(ISNA(VLOOKUP(A90,'Données projet'!$A$123:$I$143,3,0)),0,VLOOKUP(A90,'Données projet'!$A$123:$I$143,3,0))</f>
        <v>0</v>
      </c>
      <c r="CG90" s="15">
        <f>IF(ISNA(VLOOKUP(A90,'Données projet'!$A$123:$I$143,4,0)),0,VLOOKUP(A90,'Données projet'!$A$123:$I$143,4,0))</f>
        <v>0</v>
      </c>
      <c r="CH90" s="16">
        <f>IF(ISNA(VLOOKUP(A90,'Données projet'!$A$123:$I$143,5,0)),0%,VLOOKUP(A90,'Données projet'!$A$123:$I$143,5,0)*VLOOKUP('Données projet'!$B$12,Paramètres!$A$1:$I$89,7,0))</f>
        <v>0</v>
      </c>
      <c r="CI90" s="16">
        <f>IF(ISNA(VLOOKUP(A90,'Données projet'!$A$123:$I$143,6,0)),0%,VLOOKUP(A90,'Données projet'!$A$123:$I$143,6,0)*VLOOKUP('Données projet'!$B$12,Paramètres!$A$1:$I$89,7,0))</f>
        <v>0</v>
      </c>
      <c r="CJ90" s="16">
        <f>IF(ISNA(VLOOKUP(A90,'Données projet'!$A$123:$I$143,7,0)),0%,VLOOKUP(A90,'Données projet'!$A$123:$I$143,7,0))</f>
        <v>0</v>
      </c>
      <c r="CK90" s="21">
        <f>EXP(-LN(2)/35)*CK89+(1-EXP(-LN(2)/35))/(LN(2)/35)*CG90*CH90*VLOOKUP('Données projet'!$B$12,Paramètres!$A$1:$I$89,3,0)*0.475*44/12</f>
        <v>28.094670531145479</v>
      </c>
      <c r="CL90" s="21">
        <f>EXP(-LN(2)/25)*CL89+(1-EXP(-LN(2)/25))/(LN(2)/25)*Calculateur!CG90*Calculateur!CI90*VLOOKUP('Données projet'!$B$12,Paramètres!$A$1:$I$89,3,0)*0.475*44/12</f>
        <v>20.424674195140827</v>
      </c>
      <c r="CM90" s="21">
        <f>EXP(-LN(2)/2)*CM89+(1-EXP(-LN(2)/2))/(LN(2)/2)*CG90*CJ90*VLOOKUP('Données projet'!$B$12,Paramètres!$A$1:$I$89,3,0)*0.475*44/12</f>
        <v>0</v>
      </c>
      <c r="CN90" s="22">
        <f t="shared" si="131"/>
        <v>48.519344726286306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projet'!$A$149:$I$169,2,0)</f>
        <v>#N/A</v>
      </c>
      <c r="CR90" s="12" t="e">
        <f>VLOOKUP(A90,'Données projet'!$A$149:$I$169,9,0)</f>
        <v>#N/A</v>
      </c>
      <c r="CS90" s="12">
        <f t="array" ref="CS90">INDEX(CR:CR,MIN(IF(ISNUMBER(CR90:CR286),ROW(CR90:CR286),"")))</f>
        <v>5.2606837606837598</v>
      </c>
      <c r="CT90" s="12">
        <f>IF('Données projet'!$A$150&gt;35,CT89+CS90-DB89,IF(A90&lt;'Données projet'!$A$150,$CQ$205^A90,IF(A90='Données projet'!$A$150,'Données projet'!$B$150,CT89+CS90-DB89)))</f>
        <v>180.70512820512806</v>
      </c>
      <c r="CU90" s="17">
        <f>CT90*VLOOKUP('Données projet'!$B$13,Paramètres!$A$1:$I$89,3,0)*VLOOKUP('Données projet'!$B$13,Paramètres!$A$1:$I$89,5,0)</f>
        <v>183.23499999999987</v>
      </c>
      <c r="CV90" s="13">
        <f t="shared" si="190"/>
        <v>46.041166229421272</v>
      </c>
      <c r="CW90" s="20">
        <f t="shared" si="132"/>
        <v>399.32265618290847</v>
      </c>
      <c r="CX90" s="59">
        <f t="shared" si="133"/>
        <v>692.65598951624179</v>
      </c>
      <c r="CY90" s="59">
        <f ca="1">AVERAGE(OFFSET($CX$3,0,0,'Données projet'!$E$13+1,1))-AVERAGE(OFFSET($H$3,0,0,'Données projet'!$E$13+1,1))</f>
        <v>250.31277422753283</v>
      </c>
      <c r="CZ90" s="59">
        <f t="shared" si="191"/>
        <v>159.20429420478047</v>
      </c>
      <c r="DA90" s="15">
        <f>IF(ISNA(VLOOKUP(A90,'Données projet'!$A$149:$I$169,3,0)),0,VLOOKUP(A90,'Données projet'!$A$149:$I$169,3,0))</f>
        <v>0</v>
      </c>
      <c r="DB90" s="15">
        <f>IF(ISNA(VLOOKUP(A90,'Données projet'!$A$149:$I$169,4,0)),0,VLOOKUP(A90,'Données projet'!$A$149:$I$169,4,0))</f>
        <v>0</v>
      </c>
      <c r="DC90" s="16">
        <f>IF(ISNA(VLOOKUP(A90,'Données projet'!$A$149:$I$169,5,0)),0%,VLOOKUP(A90,'Données projet'!$A$149:$I$169,5,0)*VLOOKUP('Données projet'!$B$13,Paramètres!$A$1:$I$89,7,0))</f>
        <v>0</v>
      </c>
      <c r="DD90" s="16">
        <f>IF(ISNA(VLOOKUP(A90,'Données projet'!$A$149:$I$169,6,0)),0%,VLOOKUP(A90,'Données projet'!$A$149:$I$169,6,0)*VLOOKUP('Données projet'!$B$13,Paramètres!$A$1:$I$89,7,0))</f>
        <v>0</v>
      </c>
      <c r="DE90" s="16">
        <f>IF(ISNA(VLOOKUP(A90,'Données projet'!$A$149:$I$169,7,0)),0%,VLOOKUP(A90,'Données projet'!$A$149:$I$169,7,0))</f>
        <v>0</v>
      </c>
      <c r="DF90" s="21">
        <f>EXP(-LN(2)/35)*DF89+(1-EXP(-LN(2)/35))/(LN(2)/35)*DB90*DC90*VLOOKUP('Données projet'!$B$13,Paramètres!$A$1:$I$89,3,0)*0.475*44/12</f>
        <v>19.379455874560954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134"/>
        <v>19.379455874560954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projet'!$A$175:$I$195,2,0)</f>
        <v>#N/A</v>
      </c>
      <c r="DM90" s="12" t="e">
        <f>VLOOKUP(A90,'Données projet'!$A$175:$I$195,9,0)</f>
        <v>#N/A</v>
      </c>
      <c r="DN90" s="12">
        <f t="array" ref="DN90">INDEX(DM:DM,MIN(IF(ISNUMBER(DM90:DM286),ROW(DM90:DM286),"")))</f>
        <v>0</v>
      </c>
      <c r="DO90" s="12">
        <f>IF('Données projet'!$A$176&gt;35,DO89+DN90-DW89,IF(A90&lt;'Données projet'!$A$176,$DL$205^A90,IF(A90='Données projet'!$A$176,'Données projet'!$B$176,DO89+DN90-DW89)))</f>
        <v>-2.8421709430404007E-13</v>
      </c>
      <c r="DP90" s="17">
        <f>DO90*VLOOKUP('Données projet'!$B$14,Paramètres!$A$1:$I$89,3,0)*VLOOKUP('Données projet'!$B$14,Paramètres!$A$1:$I$89,5,0)</f>
        <v>-2.0838797354372215E-13</v>
      </c>
      <c r="DQ90" s="13" t="e">
        <f t="shared" si="192"/>
        <v>#NUM!</v>
      </c>
      <c r="DR90" s="20" t="e">
        <f t="shared" si="135"/>
        <v>#NUM!</v>
      </c>
      <c r="DS90" s="59" t="e">
        <f t="shared" si="136"/>
        <v>#NUM!</v>
      </c>
      <c r="DT90" s="59">
        <f ca="1">AVERAGE(OFFSET($DS$3,0,0,'Données projet'!$E$14+1,1))-AVERAGE(OFFSET($H$3,0,0,'Données projet'!$E$14+1,1))</f>
        <v>296.91321813251051</v>
      </c>
      <c r="DU90" s="59">
        <f t="shared" si="193"/>
        <v>291.0718079639509</v>
      </c>
      <c r="DV90" s="15">
        <f>IF(ISNA(VLOOKUP(A90,'Données projet'!$A$175:$I$195,3,0)),0,VLOOKUP(A90,'Données projet'!$A$175:$I$195,3,0))</f>
        <v>0</v>
      </c>
      <c r="DW90" s="15">
        <f>IF(ISNA(VLOOKUP(A90,'Données projet'!$A$175:$I$195,4,0)),0,VLOOKUP(A90,'Données projet'!$A$175:$I$195,4,0))</f>
        <v>0</v>
      </c>
      <c r="DX90" s="16">
        <f>IF(ISNA(VLOOKUP(A90,'Données projet'!$A$175:$I$195,5,0)),0%,VLOOKUP(A90,'Données projet'!$A$175:$I$195,5,0)*VLOOKUP('Données projet'!$B$14,Paramètres!$A$1:$I$89,7,0))</f>
        <v>0</v>
      </c>
      <c r="DY90" s="16">
        <f>IF(ISNA(VLOOKUP(A90,'Données projet'!$A$175:$I$195,6,0)),0%,VLOOKUP(A90,'Données projet'!$A$175:$I$195,6,0)*VLOOKUP('Données projet'!$B$14,Paramètres!$A$1:$I$89,7,0))</f>
        <v>0</v>
      </c>
      <c r="DZ90" s="16">
        <f>IF(ISNA(VLOOKUP(A90,'Données projet'!$A$175:$I$195,7,0)),0%,VLOOKUP(A90,'Données projet'!$A$175:$I$195,7,0))</f>
        <v>0</v>
      </c>
      <c r="EA90" s="21">
        <f>EXP(-LN(2)/35)*EA89+(1-EXP(-LN(2)/35))/(LN(2)/35)*DW90*DX90*VLOOKUP('Données projet'!$B$14,Paramètres!$A$1:$I$89,3,0)*0.475*44/12</f>
        <v>151.00428313837492</v>
      </c>
      <c r="EB90" s="21">
        <f>EXP(-LN(2)/25)*EB89+(1-EXP(-LN(2)/25))/(LN(2)/25)*Calculateur!DW90*Calculateur!DY90*VLOOKUP('Données projet'!$B$14,Paramètres!$A$1:$I$89,3,0)*0.475*44/12</f>
        <v>4.4102258034814907</v>
      </c>
      <c r="EC90" s="21">
        <f>EXP(-LN(2)/2)*EC89+(1-EXP(-LN(2)/2))/(LN(2)/2)*DW90*DZ90*VLOOKUP('Données projet'!$B$14,Paramètres!$A$1:$I$89,3,0)*0.475*44/12</f>
        <v>0</v>
      </c>
      <c r="ED90" s="22">
        <f t="shared" si="137"/>
        <v>155.41450894185641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>
        <f>VLOOKUP(A90,'Données projet'!$A$201:$I$221,2,0)</f>
        <v>383.13846153846151</v>
      </c>
      <c r="EH90" s="12">
        <f>VLOOKUP(A90,'Données projet'!$A$201:$I$221,9,0)</f>
        <v>9.001923076923072</v>
      </c>
      <c r="EI90" s="12">
        <f t="array" ref="EI90">INDEX(EH:EH,MIN(IF(ISNUMBER(EH90:EH286),ROW(EH90:EH286),"")))</f>
        <v>9.001923076923072</v>
      </c>
      <c r="EJ90" s="12">
        <f>IF('Données projet'!$A$202&gt;35,EJ89+EI90-ER89,IF(A90&lt;'Données projet'!$A$202,$EG$205^A90,IF(A90='Données projet'!$A$202,'Données projet'!$B$202,EJ89+EI90-ER89)))</f>
        <v>383.13846153846168</v>
      </c>
      <c r="EK90" s="17">
        <f>EJ90*VLOOKUP('Données projet'!$B$15,Paramètres!$A$1:$I$89,3,0)*VLOOKUP('Données projet'!$B$15,Paramètres!$A$1:$I$89,5,0)</f>
        <v>179.30880000000008</v>
      </c>
      <c r="EL90" s="13">
        <f t="shared" si="194"/>
        <v>45.168372484136597</v>
      </c>
      <c r="EM90" s="20">
        <f t="shared" si="138"/>
        <v>390.96440874320461</v>
      </c>
      <c r="EN90" s="59">
        <f t="shared" si="139"/>
        <v>684.29774207653793</v>
      </c>
      <c r="EO90" s="59">
        <f ca="1">AVERAGE(OFFSET($EN$3,0,0,'Données projet'!$E$15+1,1))-AVERAGE(OFFSET($H$3,0,0,'Données projet'!$E$15+1,1))</f>
        <v>147.64256291235483</v>
      </c>
      <c r="EP90" s="59">
        <f t="shared" si="195"/>
        <v>70.859031694091868</v>
      </c>
      <c r="EQ90" s="15">
        <f>IF(ISNA(VLOOKUP(A90,'Données projet'!$A$201:$I$221,3,0)),0,VLOOKUP(A90,'Données projet'!$A$201:$I$221,3,0))</f>
        <v>4</v>
      </c>
      <c r="ER90" s="15">
        <f>IF(ISNA(VLOOKUP(A90,'Données projet'!$A$201:$I$221,4,0)),0,VLOOKUP(A90,'Données projet'!$A$201:$I$221,4,0))</f>
        <v>82.938461538461524</v>
      </c>
      <c r="ES90" s="16">
        <f>IF(ISNA(VLOOKUP(A90,'Données projet'!$A$201:$I$221,5,0)),0%,VLOOKUP(A90,'Données projet'!$A$201:$I$221,5,0)*VLOOKUP('Données projet'!$B$15,Paramètres!$A$1:$I$89,7,0))</f>
        <v>0.38500000000000001</v>
      </c>
      <c r="ET90" s="16">
        <f>IF(ISNA(VLOOKUP(A90,'Données projet'!$A$201:$I$221,6,0)),0%,VLOOKUP(A90,'Données projet'!$A$201:$I$221,6,0)*VLOOKUP('Données projet'!$B$15,Paramètres!$A$1:$I$89,7,0))</f>
        <v>9.240000000000001E-2</v>
      </c>
      <c r="EU90" s="16">
        <f>IF(ISNA(VLOOKUP(A90,'Données projet'!$A$201:$I$221,7,0)),0%,VLOOKUP(A90,'Données projet'!$A$201:$I$221,7,0))</f>
        <v>0.13200000000000001</v>
      </c>
      <c r="EV90" s="21">
        <f>EXP(-LN(2)/35)*EV89+(1-EXP(-LN(2)/35))/(LN(2)/35)*ER90*ES90*VLOOKUP('Données projet'!$B$15,Paramètres!$A$1:$I$89,3,0)*0.475*44/12</f>
        <v>51.972630663672035</v>
      </c>
      <c r="EW90" s="21">
        <f>EXP(-LN(2)/25)*EW89+(1-EXP(-LN(2)/25))/(LN(2)/25)*Calculateur!ER90*Calculateur!ET90*VLOOKUP('Données projet'!$B$15,Paramètres!$A$1:$I$89,3,0)*0.475*44/12</f>
        <v>18.452259722146952</v>
      </c>
      <c r="EX90" s="21">
        <f>EXP(-LN(2)/2)*EX89+(1-EXP(-LN(2)/2))/(LN(2)/2)*ER90*EU90*VLOOKUP('Données projet'!$B$15,Paramètres!$A$1:$I$89,3,0)*0.475*44/12</f>
        <v>5.8963380859655139</v>
      </c>
      <c r="EY90" s="22">
        <f t="shared" si="140"/>
        <v>76.321228471784494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projet'!$A$227:$I$247,2,0)</f>
        <v>#N/A</v>
      </c>
      <c r="FC90" s="12" t="e">
        <f>VLOOKUP(A90,'Données projet'!$A$227:$I$247,9,0)</f>
        <v>#N/A</v>
      </c>
      <c r="FD90" s="12">
        <f t="array" ref="FD90">INDEX(FC:FC,MIN(IF(ISNUMBER(FC90:FC286),ROW(FC90:FC286),"")))</f>
        <v>2.8</v>
      </c>
      <c r="FE90" s="12">
        <f>IF('Données projet'!$A$228&gt;35,FE89+FD90-FM89,IF(A90&lt;'Données projet'!$A$228,$FB$205^A90,IF(A90='Données projet'!$A$228,'Données projet'!$B$228,FE89+FD90-FM89)))</f>
        <v>206.6</v>
      </c>
      <c r="FF90" s="17">
        <f>FE90*VLOOKUP('Données projet'!$B$16,Paramètres!$A$1:$I$89,3,0)*VLOOKUP('Données projet'!$B$16,Paramètres!$A$1:$I$89,5,0)</f>
        <v>215.93832</v>
      </c>
      <c r="FG90" s="13">
        <f t="shared" si="196"/>
        <v>53.231144506492122</v>
      </c>
      <c r="FH90" s="20">
        <f t="shared" si="141"/>
        <v>468.80348401547377</v>
      </c>
      <c r="FI90" s="59">
        <f t="shared" si="142"/>
        <v>762.13681734880709</v>
      </c>
      <c r="FJ90" s="59">
        <f ca="1">AVERAGE(OFFSET($FI$3,0,0,'Données projet'!$E$16+1,1))-AVERAGE(OFFSET($H$3,0,0,'Données projet'!$E$16+1,1))</f>
        <v>259.03906550253788</v>
      </c>
      <c r="FK90" s="59">
        <f t="shared" si="197"/>
        <v>235.54542903570831</v>
      </c>
      <c r="FL90" s="15">
        <f>IF(ISNA(VLOOKUP(A90,'Données projet'!$A$227:$I$247,3,0)),0,VLOOKUP(A90,'Données projet'!$A$227:$I$247,3,0))</f>
        <v>0</v>
      </c>
      <c r="FM90" s="15">
        <f>IF(ISNA(VLOOKUP(A90,'Données projet'!$A$227:$I$247,4,0)),0,VLOOKUP(A90,'Données projet'!$A$227:$I$247,4,0))</f>
        <v>0</v>
      </c>
      <c r="FN90" s="16">
        <f>IF(ISNA(VLOOKUP(A90,'Données projet'!$A$227:$I$247,5,0)),0%,VLOOKUP(A90,'Données projet'!$A$227:$I$247,5,0)*VLOOKUP('Données projet'!$B$16,Paramètres!$A$1:$I$89,7,0))</f>
        <v>0</v>
      </c>
      <c r="FO90" s="16">
        <f>IF(ISNA(VLOOKUP(A90,'Données projet'!$A$227:$I$247,6,0)),0%,VLOOKUP(A90,'Données projet'!$A$227:$I$247,6,0)*VLOOKUP('Données projet'!$B$16,Paramètres!$A$1:$I$89,7,0))</f>
        <v>0</v>
      </c>
      <c r="FP90" s="16">
        <f>IF(ISNA(VLOOKUP(A90,'Données projet'!$A$227:$I$247,7,0)),0%,VLOOKUP(A90,'Données projet'!$A$227:$I$247,7,0))</f>
        <v>0</v>
      </c>
      <c r="FQ90" s="21">
        <f>EXP(-LN(2)/35)*FQ89+(1-EXP(-LN(2)/35))/(LN(2)/35)*FM90*FN90*VLOOKUP('Données projet'!$B$16,Paramètres!$A$1:$I$89,3,0)*0.475*44/12</f>
        <v>13.741814354339335</v>
      </c>
      <c r="FR90" s="21">
        <f>EXP(-LN(2)/25)*FR89+(1-EXP(-LN(2)/25))/(LN(2)/25)*Calculateur!FM90*Calculateur!FO90*VLOOKUP('Données projet'!$B$16,Paramètres!$A$1:$I$89,3,0)*0.475*44/12</f>
        <v>16.004813266293372</v>
      </c>
      <c r="FS90" s="21">
        <f>EXP(-LN(2)/2)*FS89+(1-EXP(-LN(2)/2))/(LN(2)/2)*FM90*FP90*VLOOKUP('Données projet'!$B$16,Paramètres!$A$1:$I$89,3,0)*0.475*44/12</f>
        <v>0</v>
      </c>
      <c r="FT90" s="22">
        <f t="shared" si="143"/>
        <v>29.746627620632708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projet'!$A$253:$I$273,2,0)</f>
        <v>#N/A</v>
      </c>
      <c r="FX90" s="12" t="e">
        <f>VLOOKUP(A90,'Données projet'!$A$253:$I$273,9,0)</f>
        <v>#N/A</v>
      </c>
      <c r="FY90" s="12">
        <f t="array" ref="FY90">INDEX(FX:FX,MIN(IF(ISNUMBER(FX90:FX286),ROW(FX90:FX286),"")))</f>
        <v>0</v>
      </c>
      <c r="FZ90" s="12">
        <f>IF('Données projet'!$A$254&gt;35,FZ89+FY90-GH89,IF(A90&lt;'Données projet'!$A$254,$FW$205^A90,IF(A90='Données projet'!$A$254,'Données projet'!$B$254,FZ89+FY90-GH89)))</f>
        <v>-1.7053025658242404E-13</v>
      </c>
      <c r="GA90" s="17">
        <f>FZ90*VLOOKUP('Données projet'!$B$17,Paramètres!$A$1:$I$89,3,0)*VLOOKUP('Données projet'!$B$17,Paramètres!$A$1:$I$89,5,0)</f>
        <v>-1.4897523215040567E-13</v>
      </c>
      <c r="GB90" s="13" t="e">
        <f t="shared" si="198"/>
        <v>#NUM!</v>
      </c>
      <c r="GC90" s="20" t="e">
        <f t="shared" si="144"/>
        <v>#NUM!</v>
      </c>
      <c r="GD90" s="59" t="e">
        <f t="shared" si="145"/>
        <v>#NUM!</v>
      </c>
      <c r="GE90" s="59">
        <f ca="1">AVERAGE(OFFSET($GD$3,0,0,'Données projet'!$E$17+1,1))-AVERAGE(OFFSET($H$3,0,0,'Données projet'!$E$17+1,1))</f>
        <v>245.1983232777614</v>
      </c>
      <c r="GF90" s="59">
        <f t="shared" si="199"/>
        <v>242.34010522344573</v>
      </c>
      <c r="GG90" s="15">
        <f>IF(ISNA(VLOOKUP(A90,'Données projet'!$A$253:$I$273,3,0)),0,VLOOKUP(A90,'Données projet'!$A$253:$I$273,3,0))</f>
        <v>0</v>
      </c>
      <c r="GH90" s="15">
        <f>IF(ISNA(VLOOKUP(A90,'Données projet'!$A$253:$I$273,4,0)),0,VLOOKUP(A90,'Données projet'!$A$253:$I$273,4,0))</f>
        <v>0</v>
      </c>
      <c r="GI90" s="16">
        <f>IF(ISNA(VLOOKUP(A90,'Données projet'!$A$253:$I$273,5,0)),0%,VLOOKUP(A90,'Données projet'!$A$253:$I$273,5,0)*VLOOKUP('Données projet'!$B$17,Paramètres!$A$1:$I$89,7,0))</f>
        <v>0</v>
      </c>
      <c r="GJ90" s="16">
        <f>IF(ISNA(VLOOKUP(A90,'Données projet'!$A$253:$I$273,6,0)),0%,VLOOKUP(A90,'Données projet'!$A$253:$I$273,6,0)*VLOOKUP('Données projet'!$B$17,Paramètres!$A$1:$I$89,7,0))</f>
        <v>0</v>
      </c>
      <c r="GK90" s="16">
        <f>IF(ISNA(VLOOKUP(A90,'Données projet'!$A$253:$I$273,7,0)),0%,VLOOKUP(A90,'Données projet'!$A$253:$I$273,7,0))</f>
        <v>0</v>
      </c>
      <c r="GL90" s="21">
        <f>EXP(-LN(2)/35)*GL89+(1-EXP(-LN(2)/35))/(LN(2)/35)*GH90*GI90*VLOOKUP('Données projet'!$B$17,Paramètres!$A$1:$I$89,3,0)*0.475*44/12</f>
        <v>107.26959075717751</v>
      </c>
      <c r="GM90" s="21">
        <f>EXP(-LN(2)/25)*GM89+(1-EXP(-LN(2)/25))/(LN(2)/25)*Calculateur!GH90*Calculateur!GJ90*VLOOKUP('Données projet'!$B$17,Paramètres!$A$1:$I$89,3,0)*0.475*44/12</f>
        <v>17.935430969877853</v>
      </c>
      <c r="GN90" s="21">
        <f>EXP(-LN(2)/2)*GN89+(1-EXP(-LN(2)/2))/(LN(2)/2)*GH90*GK90*VLOOKUP('Données projet'!$B$17,Paramètres!$A$1:$I$89,3,0)*0.475*44/12</f>
        <v>0</v>
      </c>
      <c r="GO90" s="21">
        <f t="shared" si="146"/>
        <v>125.20502172705537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projet'!$A$279:$I$299,2,0)</f>
        <v>#N/A</v>
      </c>
      <c r="GS90" s="12" t="e">
        <f>VLOOKUP(A90,'Données projet'!$A$279:$I$299,9,0)</f>
        <v>#N/A</v>
      </c>
      <c r="GT90" s="12">
        <f t="array" ref="GT90">INDEX(GS:GS,MIN(IF(ISNUMBER(GS90:GS286),ROW(GS90:GS286),"")))</f>
        <v>0</v>
      </c>
      <c r="GU90" s="12">
        <f>IF('Données projet'!$A$280&gt;35,GU89+GT90-HC89,IF(A90&lt;'Données projet'!$A$280,$GR$205^A90,IF(A90='Données projet'!$A$280,'Données projet'!$B$280,GU89+GT90-HC89)))</f>
        <v>-1.1368683772161603E-13</v>
      </c>
      <c r="GV90" s="17">
        <f>GU90*VLOOKUP('Données projet'!$B$18,Paramètres!$A$1:$I$89,3,0)*VLOOKUP('Données projet'!$B$18,Paramètres!$A$1:$I$89,5,0)</f>
        <v>-4.5815795601811263E-14</v>
      </c>
      <c r="GW90" s="13" t="e">
        <f t="shared" si="200"/>
        <v>#NUM!</v>
      </c>
      <c r="GX90" s="20" t="e">
        <f t="shared" si="147"/>
        <v>#NUM!</v>
      </c>
      <c r="GY90" s="59" t="e">
        <f t="shared" si="148"/>
        <v>#NUM!</v>
      </c>
      <c r="GZ90" s="59">
        <f ca="1">AVERAGE(OFFSET($GY$3,0,0,'Données projet'!$E$18+1,1))-AVERAGE(OFFSET($H$3,0,0,'Données projet'!$E$18+1,1))</f>
        <v>324.36162935850876</v>
      </c>
      <c r="HA90" s="59">
        <f t="shared" si="201"/>
        <v>265.23571072429735</v>
      </c>
      <c r="HB90" s="15">
        <f>IF(ISNA(VLOOKUP(A90,'Données projet'!$A$279:$I$299,3,0)),0,VLOOKUP(A90,'Données projet'!$A$279:$I$299,3,0))</f>
        <v>0</v>
      </c>
      <c r="HC90" s="15">
        <f>IF(ISNA(VLOOKUP(A90,'Données projet'!$A$279:$I$299,4,0)),0,VLOOKUP(A90,'Données projet'!$A$279:$I$299,4,0))</f>
        <v>0</v>
      </c>
      <c r="HD90" s="16">
        <f>IF(ISNA(VLOOKUP(A90,'Données projet'!$A$279:$I$299,5,0)),0%,VLOOKUP(A90,'Données projet'!$A$279:$I$299,5,0)*VLOOKUP('Données projet'!$B$18,Paramètres!$A$1:$I$89,7,0))</f>
        <v>0</v>
      </c>
      <c r="HE90" s="16">
        <f>IF(ISNA(VLOOKUP(A90,'Données projet'!$A$279:$I$299,6,0)),0%,VLOOKUP(A90,'Données projet'!$A$279:$I$299,6,0)*VLOOKUP('Données projet'!$B$18,Paramètres!$A$1:$I$89,7,0))</f>
        <v>0</v>
      </c>
      <c r="HF90" s="16">
        <f>IF(ISNA(VLOOKUP($A90,'Données projet'!$A$279:$I$299,7,0)),0%,VLOOKUP($A90,'Données projet'!$A$279:$I$299,7,0))</f>
        <v>0</v>
      </c>
      <c r="HG90" s="21">
        <f>EXP(-LN(2)/35)*HG89+(1-EXP(-LN(2)/35))/(LN(2)/35)*HC90*HD90*VLOOKUP('Données projet'!$B$18,Paramètres!$A$1:$I$89,3,0)*0.475*44/12</f>
        <v>205.55657817953417</v>
      </c>
      <c r="HH90" s="21">
        <f>EXP(-LN(2)/25)*HH89+(1-EXP(-LN(2)/25))/(LN(2)/25)*Calculateur!HC90*Calculateur!HE90*VLOOKUP('Données projet'!$B$18,Paramètres!$A$1:$I$89,3,0)*0.475*44/12</f>
        <v>19.947407278278561</v>
      </c>
      <c r="HI90" s="21">
        <f>EXP(-LN(2)/2)*HI89+(1-EXP(-LN(2)/2))/(LN(2)/2)*HC90*HF90*VLOOKUP('Données projet'!$B$18,Paramètres!$A$1:$I$89,3,0)*0.475*44/12</f>
        <v>0.75547374321575589</v>
      </c>
      <c r="HJ90" s="22">
        <f t="shared" si="149"/>
        <v>226.25945920102851</v>
      </c>
      <c r="HK90" s="74">
        <f>('Scénario référence'!$F$8+'Scénario référence'!$F$9+'Scénario référence'!$B$17+'Scénario référence'!$B$9+'Scénario référence'!$B$10)*70+IF((45+25*(1-EXP(-0.0175*$A90)))&lt;70,'Scénario référence'!$B$16*(45+25*(1-EXP(-0.0175*$A90))),70*'Scénario référence'!$B$16)+IF((32+38*(1-EXP(-0.0175*$A90)))&lt;70,'Scénario référence'!$B$18*(32+38*(1-EXP(-0.0175*$A90))),70*'Scénario référence'!$B$18)</f>
        <v>70</v>
      </c>
      <c r="HL90" s="12">
        <f>IF($A90&gt;30,10,('Scénario référence'!$B$16+'Scénario référence'!$B$17+'Scénario référence'!$B$18+'Scénario référence'!$B$9+'Scénario référence'!$B$10)*$A90*10/30+('Scénario référence'!$F$8+'Scénario référence'!$F$9)*10)</f>
        <v>10</v>
      </c>
      <c r="HM90" s="12" t="e">
        <f>VLOOKUP($A90,'Données projet'!$A$304:$I$324,2,0)</f>
        <v>#N/A</v>
      </c>
      <c r="HN90" s="12" t="e">
        <f>VLOOKUP($A90,'Données projet'!$A$304:$I$324,9,0)</f>
        <v>#N/A</v>
      </c>
      <c r="HO90" s="12">
        <f t="array" ref="HO90">INDEX(HN:HN,MIN(IF(ISNUMBER(HN90:HN286),ROW(HN90:HN286),"")))</f>
        <v>0</v>
      </c>
      <c r="HP90" s="12">
        <f>IF('Données projet'!$A$304&gt;35,HP89+HO90-HX89,IF($A90&lt;'Données projet'!$A$304,$CQ$205^$A90,IF($A90='Données projet'!$A$304,'Données projet'!$B$304,HP89+HO90-HX89)))</f>
        <v>0</v>
      </c>
      <c r="HQ90" s="17">
        <f>HP90*VLOOKUP('Données projet'!$B$19,Paramètres!$A$1:$I$89,3,0)*VLOOKUP('Données projet'!$B$19,Paramètres!$A$1:$I$89,5,0)</f>
        <v>0</v>
      </c>
      <c r="HR90" s="13" t="e">
        <f t="shared" si="202"/>
        <v>#NUM!</v>
      </c>
      <c r="HS90" s="14" t="e">
        <f t="shared" si="150"/>
        <v>#NUM!</v>
      </c>
      <c r="HT90" s="59" t="e">
        <f t="shared" si="151"/>
        <v>#NUM!</v>
      </c>
      <c r="HU90" s="59">
        <f ca="1">AVERAGE(OFFSET(HT$3,0,0,'Données projet'!$E$19+1,1))-AVERAGE(OFFSET($H$3,0,0,'Données projet'!$E$19+1,1))</f>
        <v>91.60721429656013</v>
      </c>
      <c r="HV90" s="59">
        <f t="shared" si="203"/>
        <v>258.94957804210856</v>
      </c>
      <c r="HW90" s="15">
        <f>IF(ISNA(VLOOKUP($A90,'Données projet'!$A$304:$I$324,3,0)),0,VLOOKUP($A90,'Données projet'!$A$304:$I$324,3,0))</f>
        <v>0</v>
      </c>
      <c r="HX90" s="15">
        <f>IF(ISNA(VLOOKUP($A90,'Données projet'!$A$304:$I$324,4,0)),0,VLOOKUP($A90,'Données projet'!$A$304:$I$324,4,0))</f>
        <v>0</v>
      </c>
      <c r="HY90" s="16">
        <f>IF(ISNA(VLOOKUP($A90,'Données projet'!$A$304:$I$324,5,0)),0%,VLOOKUP($A90,'Données projet'!$A$304:$I$324,5,0)*VLOOKUP('Données projet'!$B$19,Paramètres!$A$1:$I$89,7,0))</f>
        <v>0</v>
      </c>
      <c r="HZ90" s="16">
        <f>IF(ISNA(VLOOKUP($A90,'Données projet'!$A$304:$I$324,6,0)),0%,VLOOKUP($A90,'Données projet'!$A$304:$I$324,6,0)*VLOOKUP('Données projet'!$B$19,Paramètres!$A$1:$I$89,7,0))</f>
        <v>0</v>
      </c>
      <c r="IA90" s="16">
        <f>IF(ISNA(VLOOKUP($A90,'Données projet'!$A$304:$I$324,7,0)),0%,VLOOKUP($A90,'Données projet'!$A$304:$I$324,7,0))</f>
        <v>0</v>
      </c>
      <c r="IB90" s="21">
        <f>EXP(-LN(2)/35)*IB89+(1-EXP(-LN(2)/35))/(LN(2)/35)*HX90*HY90*VLOOKUP('Données projet'!$B$19,Paramètres!$A$1:$I$89,3,0)*0.475*44/12</f>
        <v>15.954605739823572</v>
      </c>
      <c r="IC90" s="21">
        <f>EXP(-LN(2)/25)*IC89+(1-EXP(-LN(2)/25))/(LN(2)/25)*Calculateur!HX90*Calculateur!HZ90*VLOOKUP('Données projet'!$B$19,Paramètres!$A$1:$I$89,3,0)*0.475*44/12</f>
        <v>2.0029170772257419</v>
      </c>
      <c r="ID90" s="21">
        <f>EXP(-LN(2)/2)*ID89+(1-EXP(-LN(2)/2))/(LN(2)/2)*HX90*IA90*VLOOKUP('Données projet'!$B$19,Paramètres!$A$1:$I$89,3,0)*0.475*44/12</f>
        <v>1.508994975136804E-9</v>
      </c>
      <c r="IE90" s="22">
        <f t="shared" si="152"/>
        <v>17.957522818558306</v>
      </c>
      <c r="IF90" s="74">
        <f>('Scénario référence'!$F$8+'Scénario référence'!$F$9+'Scénario référence'!$B$17+'Scénario référence'!$B$9+'Scénario référence'!$B$10)*70+IF((45+25*(1-EXP(-0.0175*$A90)))&lt;70,'Scénario référence'!$B$16*(45+25*(1-EXP(-0.0175*$A90))),70*'Scénario référence'!$B$16)+IF((32+38*(1-EXP(-0.0175*$A90)))&lt;70,'Scénario référence'!$B$18*(32+38*(1-EXP(-0.0175*$A90))),70*'Scénario référence'!$B$18)</f>
        <v>70</v>
      </c>
      <c r="IG90" s="12">
        <f>IF($A90&gt;30,10,('Scénario référence'!$B$16+'Scénario référence'!$B$17+'Scénario référence'!$B$18+'Scénario référence'!$B$9+'Scénario référence'!$B$10)*$A90*10/30+('Scénario référence'!$F$8+'Scénario référence'!$F$9)*10)</f>
        <v>10</v>
      </c>
      <c r="IH90" s="12" t="e">
        <f>VLOOKUP($A90,'Données projet'!$A$330:$I$350,2,0)</f>
        <v>#N/A</v>
      </c>
      <c r="II90" s="12" t="e">
        <f>VLOOKUP($A90,'Données projet'!$A$330:$I$350,9,0)</f>
        <v>#N/A</v>
      </c>
      <c r="IJ90" s="12">
        <f t="array" ref="IJ90">INDEX(II:II,MIN(IF(ISNUMBER(II90:II286),ROW(II90:II286),"")))</f>
        <v>0</v>
      </c>
      <c r="IK90" s="12">
        <f>IF('Données projet'!$A$330&gt;35,IK89+IJ90-IS89,IF($A90&lt;'Données projet'!$A$330,$CQ$205^$A90,IF($A90='Données projet'!$A$330,'Données projet'!$B$330,IK89+IJ90-IS89)))</f>
        <v>0</v>
      </c>
      <c r="IL90" s="17">
        <f>IK90*VLOOKUP('Données projet'!$B$20,Paramètres!$A$1:$I$89,3,0)*VLOOKUP('Données projet'!$B$20,Paramètres!$A$1:$I$89,5,0)</f>
        <v>0</v>
      </c>
      <c r="IM90" s="13" t="e">
        <f t="shared" si="204"/>
        <v>#NUM!</v>
      </c>
      <c r="IN90" s="20" t="e">
        <f t="shared" si="153"/>
        <v>#NUM!</v>
      </c>
      <c r="IO90" s="59" t="e">
        <f t="shared" si="154"/>
        <v>#NUM!</v>
      </c>
      <c r="IP90" s="59">
        <f ca="1">AVERAGE(OFFSET(IO$3,0,0,'Données projet'!$E$20+1,1))-AVERAGE(OFFSET($H$3,0,0,'Données projet'!$E$20+1,1))</f>
        <v>91.60721429656013</v>
      </c>
      <c r="IQ90" s="59">
        <f t="shared" si="205"/>
        <v>258.94957804210856</v>
      </c>
      <c r="IR90" s="15">
        <f>IF(ISNA(VLOOKUP($A90,'Données projet'!$A$330:$I$350,3,0)),0,VLOOKUP($A90,'Données projet'!$A$330:$I$350,3,0))</f>
        <v>0</v>
      </c>
      <c r="IS90" s="15">
        <f>IF(ISNA(VLOOKUP($A90,'Données projet'!$A$330:$I$350,4,0)),0,VLOOKUP($A90,'Données projet'!$A$330:$I$350,4,0))</f>
        <v>0</v>
      </c>
      <c r="IT90" s="16">
        <f>IF(ISNA(VLOOKUP($A90,'Données projet'!$A$330:$I$350,5,0)),0%,VLOOKUP($A90,'Données projet'!$A$330:$I$350,5,0)*VLOOKUP('Données projet'!$B$20,Paramètres!$A$1:$I$89,7,0))</f>
        <v>0</v>
      </c>
      <c r="IU90" s="16">
        <f>IF(ISNA(VLOOKUP($A90,'Données projet'!$A$330:$I$350,6,0)),0%,VLOOKUP($A90,'Données projet'!$A$330:$I$350,6,0)*VLOOKUP('Données projet'!$B$20,Paramètres!$A$1:$I$89,7,0))</f>
        <v>0</v>
      </c>
      <c r="IV90" s="16">
        <f>IF(ISNA(VLOOKUP($A90,'Données projet'!$A$330:$I$350,7,0)),0%,VLOOKUP($A90,'Données projet'!$A$330:$I$350,7,0))</f>
        <v>0</v>
      </c>
      <c r="IW90" s="21">
        <f>EXP(-LN(2)/35)*IW89+(1-EXP(-LN(2)/35))/(LN(2)/35)*IS90*IT90*VLOOKUP('Données projet'!$B$20,Paramètres!$A$1:$I$89,3,0)*0.475*44/12</f>
        <v>15.954605739823572</v>
      </c>
      <c r="IX90" s="21">
        <f>EXP(-LN(2)/25)*IX89+(1-EXP(-LN(2)/25))/(LN(2)/25)*Calculateur!IS90*Calculateur!IU90*VLOOKUP('Données projet'!$B$20,Paramètres!$A$1:$I$89,3,0)*0.475*44/12</f>
        <v>2.0029170772257419</v>
      </c>
      <c r="IY90" s="21">
        <f>EXP(-LN(2)/2)*IY89+(1-EXP(-LN(2)/2))/(LN(2)/2)*IS90*IV90*VLOOKUP('Données projet'!$B$20,Paramètres!$A$1:$I$89,3,0)*0.475*44/12</f>
        <v>1.508994975136804E-9</v>
      </c>
      <c r="IZ90" s="22">
        <f t="shared" si="155"/>
        <v>17.957522818558306</v>
      </c>
      <c r="JA90" s="74">
        <f>('Scénario référence'!$F$8+'Scénario référence'!$F$9+'Scénario référence'!$B$17+'Scénario référence'!$B$9+'Scénario référence'!$B$10)*70+IF((45+25*(1-EXP(-0.0175*$A90)))&lt;70,'Scénario référence'!$B$16*(45+25*(1-EXP(-0.0175*$A90))),70*'Scénario référence'!$B$16)+IF((32+38*(1-EXP(-0.0175*$A90)))&lt;70,'Scénario référence'!$B$18*(32+38*(1-EXP(-0.0175*$A90))),70*'Scénario référence'!$B$18)</f>
        <v>70</v>
      </c>
      <c r="JB90" s="12">
        <f>IF($A90&gt;30,10,('Scénario référence'!$B$16+'Scénario référence'!$B$17+'Scénario référence'!$B$18+'Scénario référence'!$B$9+'Scénario référence'!$B$10)*$A90*10/30+('Scénario référence'!$F$8+'Scénario référence'!$F$9)*10)</f>
        <v>10</v>
      </c>
      <c r="JC90" s="12" t="e">
        <f>VLOOKUP($A90,'Données projet'!$A$356:$I$376,2,0)</f>
        <v>#N/A</v>
      </c>
      <c r="JD90" s="12" t="e">
        <f>VLOOKUP($A90,'Données projet'!$A$356:$I$376,9,0)</f>
        <v>#N/A</v>
      </c>
      <c r="JE90" s="12">
        <f t="array" ref="JE90">INDEX(JD:JD,MIN(IF(ISNUMBER(JD90:JD286),ROW(JD90:JD286),"")))</f>
        <v>5.4</v>
      </c>
      <c r="JF90" s="12">
        <f>IF('Données projet'!$A$356&gt;35,JF89+JE90-JN89,IF($A90&lt;'Données projet'!$A$356,$CQ$205^$A90,IF($A90='Données projet'!$A$356,'Données projet'!$B$356,JF89+JE90-JN89)))</f>
        <v>360.79999999999978</v>
      </c>
      <c r="JG90" s="17">
        <f>JF90*VLOOKUP('Données projet'!$B$21,Paramètres!$A$1:$I$89,3,0)*VLOOKUP('Données projet'!$B$21,Paramètres!$A$1:$I$89,5,0)</f>
        <v>292.68095999999986</v>
      </c>
      <c r="JH90" s="13">
        <f t="shared" si="206"/>
        <v>69.639912908926974</v>
      </c>
      <c r="JI90" s="20">
        <f t="shared" si="156"/>
        <v>631.04218698304749</v>
      </c>
      <c r="JJ90" s="59">
        <f t="shared" si="157"/>
        <v>924.37552031638074</v>
      </c>
      <c r="JK90" s="59">
        <f ca="1">AVERAGE(OFFSET($JJ$3,0,0,'Données projet'!$E$22+1,1))-AVERAGE(OFFSET($H$3,0,0,'Données projet'!$E$22+1,1))</f>
        <v>353.35574633294613</v>
      </c>
      <c r="JL90" s="59">
        <f t="shared" si="207"/>
        <v>170.36796666474726</v>
      </c>
      <c r="JM90" s="15">
        <f>IF(ISNA(VLOOKUP($A90,'Données projet'!$A$356:$I$376,3,0)),0,VLOOKUP($A90,'Données projet'!$A$356:$I$376,3,0))</f>
        <v>0</v>
      </c>
      <c r="JN90" s="15">
        <f>IF(ISNA(VLOOKUP($A90,'Données projet'!$A$356:$I$376,4,0)),0,VLOOKUP($A90,'Données projet'!$A$356:$I$376,4,0))</f>
        <v>0</v>
      </c>
      <c r="JO90" s="16">
        <f>IF(ISNA(VLOOKUP($A90,'Données projet'!$A$356:$I$376,5,0)),0%,VLOOKUP($A90,'Données projet'!$A$356:$I$376,5,0)*VLOOKUP('Données projet'!$B$21,Paramètres!$A$1:$I$89,7,0))</f>
        <v>0</v>
      </c>
      <c r="JP90" s="16">
        <f>IF(ISNA(VLOOKUP($A90,'Données projet'!$A$356:$I$376,6,0)),0%,VLOOKUP($A90,'Données projet'!$A$356:$I$376,6,0)*VLOOKUP('Données projet'!$B$21,Paramètres!$A$1:$I$89,7,0))</f>
        <v>0</v>
      </c>
      <c r="JQ90" s="16">
        <f>IF(ISNA(VLOOKUP($A90,'Données projet'!$A$356:$I$376,7,0)),0%,VLOOKUP($A90,'Données projet'!$A$356:$I$376,7,0))</f>
        <v>0</v>
      </c>
      <c r="JR90" s="21">
        <f>EXP(-LN(2)/35)*JR89+(1-EXP(-LN(2)/35))/(LN(2)/35)*JN90*JO90*VLOOKUP('Données projet'!$B$21,Paramètres!$A$1:$I$89,3,0)*0.475*44/12</f>
        <v>1.7912469627498953</v>
      </c>
      <c r="JS90" s="21">
        <f>EXP(-LN(2)/25)*JS89+(1-EXP(-LN(2)/25))/(LN(2)/25)*Calculateur!JN90*Calculateur!JP90*VLOOKUP('Données projet'!$B$21,Paramètres!$A$1:$I$89,3,0)*0.475*44/12</f>
        <v>14.516479770974641</v>
      </c>
      <c r="JT90" s="21">
        <f>EXP(-LN(2)/2)*JT89+(1-EXP(-LN(2)/2))/(LN(2)/2)*JN90*JQ90*VLOOKUP('Données projet'!$B$21,Paramètres!$A$1:$I$89,3,0)*0.475*44/12</f>
        <v>0.6903015963086494</v>
      </c>
      <c r="JU90" s="18">
        <f t="shared" si="158"/>
        <v>16.998028330033186</v>
      </c>
      <c r="JV90" s="74">
        <f>('Scénario référence'!$F$8+'Scénario référence'!$F$9+'Scénario référence'!$B$17+'Scénario référence'!$B$9+'Scénario référence'!$B$10)*70+IF((45+25*(1-EXP(-0.0175*$A90)))&lt;70,'Scénario référence'!$B$16*(45+25*(1-EXP(-0.0175*$A90))),70*'Scénario référence'!$B$16)+IF((32+38*(1-EXP(-0.0175*$A90)))&lt;70,'Scénario référence'!$B$18*(32+38*(1-EXP(-0.0175*$A90))),70*'Scénario référence'!$B$18)</f>
        <v>70</v>
      </c>
      <c r="JW90" s="12">
        <f>IF($A90&gt;30,10,('Scénario référence'!$B$16+'Scénario référence'!$B$17+'Scénario référence'!$B$18+'Scénario référence'!$B$9+'Scénario référence'!$B$10)*$A90*10/30+('Scénario référence'!$F$8+'Scénario référence'!$F$9)*10)</f>
        <v>10</v>
      </c>
      <c r="JX90" s="12" t="e">
        <f>VLOOKUP($A90,'Données projet'!$A$382:$I$402,2,0)</f>
        <v>#N/A</v>
      </c>
      <c r="JY90" s="12" t="e">
        <f>VLOOKUP($A90,'Données projet'!$A$382:$I$402,9,0)</f>
        <v>#N/A</v>
      </c>
      <c r="JZ90" s="12">
        <f t="array" ref="JZ90">INDEX(JY:JY,MIN(IF(ISNUMBER(JY90:JY286),ROW(JY90:JY286),"")))</f>
        <v>7.4950142450142421</v>
      </c>
      <c r="KA90" s="12">
        <f>IF('Données projet'!$A$382&gt;35,KA89+JZ90-KI89,IF($A90&lt;'Données projet'!$A$382,$CQ$205^$A90,IF($A90='Données projet'!$A$382,'Données projet'!$B$382,KA89+JZ90-KI89)))</f>
        <v>280.86894586894607</v>
      </c>
      <c r="KB90" s="17">
        <f>KA90*VLOOKUP('Données projet'!$B$22,Paramètres!$A$1:$I$89,3,0)*VLOOKUP('Données projet'!$B$22,Paramètres!$A$1:$I$89,5,0)</f>
        <v>188.40688888888903</v>
      </c>
      <c r="KC90" s="13">
        <f t="shared" si="208"/>
        <v>47.187566186372614</v>
      </c>
      <c r="KD90" s="20">
        <f t="shared" si="159"/>
        <v>410.32700925608066</v>
      </c>
      <c r="KE90" s="59">
        <f t="shared" si="160"/>
        <v>703.66034258941397</v>
      </c>
      <c r="KF90" s="59">
        <f ca="1">AVERAGE(OFFSET($KE$3,0,0,'Données projet'!$E$22+1,1))-AVERAGE(OFFSET($H$3,0,0,'Données projet'!$E$22+1,1))</f>
        <v>193.91714772848269</v>
      </c>
      <c r="KG90" s="59">
        <f t="shared" si="209"/>
        <v>159.20429420478047</v>
      </c>
      <c r="KH90" s="15">
        <f>IF(ISNA(VLOOKUP($A90,'Données projet'!$A$382:$I$402,3,0)),0,VLOOKUP($A90,'Données projet'!$A$382:$I$402,3,0))</f>
        <v>0</v>
      </c>
      <c r="KI90" s="15">
        <f>IF(ISNA(VLOOKUP($A90,'Données projet'!$A$382:$I$402,4,0)),0,VLOOKUP($A90,'Données projet'!$A$382:$I$402,4,0))</f>
        <v>0</v>
      </c>
      <c r="KJ90" s="16">
        <f>IF(ISNA(VLOOKUP($A90,'Données projet'!$A$382:$I$402,5,0)),0%,VLOOKUP($A90,'Données projet'!$A$382:$I$402,5,0)*VLOOKUP('Données projet'!$B$22,Paramètres!$A$1:$I$89,7,0))</f>
        <v>0</v>
      </c>
      <c r="KK90" s="16">
        <f>IF(ISNA(VLOOKUP($A90,'Données projet'!$A$382:$I$402,6,0)),0%,VLOOKUP($A90,'Données projet'!$A$382:$I$402,6,0)*VLOOKUP('Données projet'!$B$22,Paramètres!$A$1:$I$89,7,0))</f>
        <v>0</v>
      </c>
      <c r="KL90" s="16">
        <f>IF(ISNA(VLOOKUP($A90,'Données projet'!$A$382:$I$402,7,0)),0%,VLOOKUP($A90,'Données projet'!$A$382:$I$402,7,0))</f>
        <v>0</v>
      </c>
      <c r="KM90" s="21">
        <f>EXP(-LN(2)/35)*KM89+(1-EXP(-LN(2)/35))/(LN(2)/35)*KI90*KJ90*VLOOKUP('Données projet'!$B$22,Paramètres!$A$1:$I$89,3,0)*0.475*44/12</f>
        <v>26.063081884420903</v>
      </c>
      <c r="KN90" s="21">
        <f>EXP(-LN(2)/25)*KN89+(1-EXP(-LN(2)/25))/(LN(2)/25)*Calculateur!KI90*Calculateur!KK90*VLOOKUP('Données projet'!$B$22,Paramètres!$A$1:$I$89,3,0)*0.475*44/12</f>
        <v>0</v>
      </c>
      <c r="KO90" s="21">
        <f>EXP(-LN(2)/2)*KO89+(1-EXP(-LN(2)/2))/(LN(2)/2)*KI90*KL90*VLOOKUP('Données projet'!$B$22,Paramètres!$A$1:$I$89,3,0)*0.475*44/12</f>
        <v>0</v>
      </c>
      <c r="KP90" s="22">
        <f t="shared" si="161"/>
        <v>26.063081884420903</v>
      </c>
      <c r="KQ90" s="74">
        <f>('Scénario référence'!$F$8+'Scénario référence'!$F$9+'Scénario référence'!$B$17+'Scénario référence'!$B$9+'Scénario référence'!$B$10)*70+IF((45+25*(1-EXP(-0.0175*$A90)))&lt;70,'Scénario référence'!$B$16*(45+25*(1-EXP(-0.0175*$A90))),70*'Scénario référence'!$B$16)+IF((32+38*(1-EXP(-0.0175*$A90)))&lt;70,'Scénario référence'!$B$18*(32+38*(1-EXP(-0.0175*$A90))),70*'Scénario référence'!$B$18)</f>
        <v>70</v>
      </c>
      <c r="KR90" s="12">
        <f>IF($A90&gt;30,10,('Scénario référence'!$B$16+'Scénario référence'!$B$17+'Scénario référence'!$B$18+'Scénario référence'!$B$9+'Scénario référence'!$B$10)*$A90*10/30+('Scénario référence'!$F$8+'Scénario référence'!$F$9)*10)</f>
        <v>10</v>
      </c>
      <c r="KS90" s="12" t="e">
        <f>VLOOKUP($A90,'Données projet'!$A$408:$I$428,2,0)</f>
        <v>#N/A</v>
      </c>
      <c r="KT90" s="12" t="e">
        <f>VLOOKUP($A90,'Données projet'!$A$408:$I$428,9,0)</f>
        <v>#N/A</v>
      </c>
      <c r="KU90" s="12">
        <f t="array" ref="KU90">INDEX(KT:KT,MIN(IF(ISNUMBER(KT90:KT286),ROW(KT90:KT286),"")))</f>
        <v>0</v>
      </c>
      <c r="KV90" s="12">
        <f>IF('Données projet'!$A$408&gt;35,KV89+KU90-LD89,IF($A90&lt;'Données projet'!$A$408,$CQ$205^$A90,IF($A90='Données projet'!$A$408,'Données projet'!$B$408,KV89+KU90-LD89)))</f>
        <v>-1.1368683772161603E-13</v>
      </c>
      <c r="KW90" s="17">
        <f>KV90*VLOOKUP('Données projet'!$B$23,Paramètres!$A$1:$I$89,3,0)*VLOOKUP('Données projet'!$B$23,Paramètres!$A$1:$I$89,5,0)</f>
        <v>-9.9316821433603781E-14</v>
      </c>
      <c r="KX90" s="13" t="e">
        <f t="shared" si="210"/>
        <v>#NUM!</v>
      </c>
      <c r="KY90" s="14" t="e">
        <f t="shared" si="162"/>
        <v>#NUM!</v>
      </c>
      <c r="KZ90" s="59" t="e">
        <f t="shared" si="163"/>
        <v>#NUM!</v>
      </c>
      <c r="LA90" s="59">
        <f ca="1">AVERAGE(OFFSET($KZ$3,0,0,'Données projet'!$E$23+1,1))-AVERAGE(OFFSET($H$3,0,0,'Données projet'!$E$23+1,1))</f>
        <v>248.33596943633819</v>
      </c>
      <c r="LB90" s="59">
        <f t="shared" si="211"/>
        <v>242.34010522344573</v>
      </c>
      <c r="LC90" s="15">
        <f>IF(ISNA(VLOOKUP($A90,'Données projet'!$A$408:$I$428,3,0)),0,VLOOKUP($A90,'Données projet'!$A$408:$I$428,3,0))</f>
        <v>0</v>
      </c>
      <c r="LD90" s="15">
        <f>IF(ISNA(VLOOKUP($A90,'Données projet'!$A$408:$I$428,4,0)),0,VLOOKUP($A90,'Données projet'!$A$408:$I$428,4,0))</f>
        <v>0</v>
      </c>
      <c r="LE90" s="16">
        <f>IF(ISNA(VLOOKUP($A90,'Données projet'!$A$408:$I$428,5,0)),0%,VLOOKUP($A90,'Données projet'!$A$408:$I$428,5,0)*VLOOKUP('Données projet'!$B$23,Paramètres!$A$1:$I$89,7,0))</f>
        <v>0</v>
      </c>
      <c r="LF90" s="16">
        <f>IF(ISNA(VLOOKUP($A90,'Données projet'!$A$408:$I$428,6,0)),0%,VLOOKUP($A90,'Données projet'!$A$408:$I$428,6,0)*VLOOKUP('Données projet'!$B$23,Paramètres!$A$1:$I$89,7,0))</f>
        <v>0</v>
      </c>
      <c r="LG90" s="16">
        <f>IF(ISNA(VLOOKUP($A90,'Données projet'!$A$408:$I$428,7,0)),0%,VLOOKUP($A90,'Données projet'!$A$408:$I$428,7,0))</f>
        <v>0</v>
      </c>
      <c r="LH90" s="21">
        <f>EXP(-LN(2)/35)*LH89+(1-EXP(-LN(2)/35))/(LN(2)/35)*LD90*LE90*VLOOKUP('Données projet'!$B$23,Paramètres!$A$1:$I$89,3,0)*0.475*44/12</f>
        <v>107.26959075717751</v>
      </c>
      <c r="LI90" s="21">
        <f>EXP(-LN(2)/25)*LI89+(1-EXP(-LN(2)/25))/(LN(2)/25)*Calculateur!LD90*Calculateur!LF90*VLOOKUP('Données projet'!$B$23,Paramètres!$A$1:$I$89,3,0)*0.475*44/12</f>
        <v>17.935430969877853</v>
      </c>
      <c r="LJ90" s="21">
        <f>EXP(-LN(2)/2)*LJ89+(1-EXP(-LN(2)/2))/(LN(2)/2)*LD90*LG90*VLOOKUP('Données projet'!$B$23,Paramètres!$A$1:$I$89,3,0)*0.475*44/12</f>
        <v>0</v>
      </c>
      <c r="LK90" s="22">
        <f t="shared" si="164"/>
        <v>125.20502172705537</v>
      </c>
      <c r="LL90" s="74">
        <f>('Scénario référence'!$F$8+'Scénario référence'!$F$9+'Scénario référence'!$B$17+'Scénario référence'!$B$9+'Scénario référence'!$B$10)*70+IF((45+25*(1-EXP(-0.0175*$A90)))&lt;70,'Scénario référence'!$B$16*(45+25*(1-EXP(-0.0175*$A90))),70*'Scénario référence'!$B$16)+IF((32+38*(1-EXP(-0.0175*$A90)))&lt;70,'Scénario référence'!$B$18*(32+38*(1-EXP(-0.0175*$A90))),70*'Scénario référence'!$B$18)</f>
        <v>70</v>
      </c>
      <c r="LM90" s="12">
        <f>IF($A90&gt;30,10,('Scénario référence'!$B$16+'Scénario référence'!$B$17+'Scénario référence'!$B$18+'Scénario référence'!$B$9+'Scénario référence'!$B$10)*$A90*10/30+('Scénario référence'!$F$8+'Scénario référence'!$F$9)*10)</f>
        <v>10</v>
      </c>
      <c r="LN90" s="12" t="e">
        <f>VLOOKUP($A90,'Données projet'!$A$434:$I$454,2,0)</f>
        <v>#N/A</v>
      </c>
      <c r="LO90" s="12" t="e">
        <f>VLOOKUP($A90,'Données projet'!$A$434:$I$454,9,0)</f>
        <v>#N/A</v>
      </c>
      <c r="LP90" s="12">
        <f t="array" ref="LP90">INDEX(LO:LO,MIN(IF(ISNUMBER(LO90:LO286),ROW(LO90:LO286),"")))</f>
        <v>5.2606837606837598</v>
      </c>
      <c r="LQ90" s="12">
        <f>IF('Données projet'!$A$434&gt;35,LQ89+LP90-LY89,IF($A90&lt;'Données projet'!$A$434,$CQ$205^$A90,IF($A90='Données projet'!$A$434,'Données projet'!$B$434,LQ89+LP90-LY89)))</f>
        <v>180.70512820512806</v>
      </c>
      <c r="LR90" s="17">
        <f>LQ90*VLOOKUP('Données projet'!$B$24,Paramètres!$A$1:$I$89,3,0)*VLOOKUP('Données projet'!$B$24,Paramètres!$A$1:$I$89,5,0)</f>
        <v>183.23499999999987</v>
      </c>
      <c r="LS90" s="13">
        <f t="shared" si="212"/>
        <v>46.041166229421272</v>
      </c>
      <c r="LT90" s="14">
        <f t="shared" si="165"/>
        <v>399.32265618290847</v>
      </c>
      <c r="LU90" s="59">
        <f t="shared" si="166"/>
        <v>692.65598951624179</v>
      </c>
      <c r="LV90" s="59">
        <f ca="1">AVERAGE(OFFSET($LU$3,0,0,'Données projet'!$E$24+1,1))-AVERAGE(OFFSET($H$3,0,0,'Données projet'!$E$24+1,1))</f>
        <v>260.52627655062872</v>
      </c>
      <c r="LW90" s="59">
        <f t="shared" si="213"/>
        <v>159.20429420478047</v>
      </c>
      <c r="LX90" s="15">
        <f>IF(ISNA(VLOOKUP($A90,'Données projet'!$A$434:$I$454,3,0)),0,VLOOKUP($A90,'Données projet'!$A$434:$I$454,3,0))</f>
        <v>0</v>
      </c>
      <c r="LY90" s="15">
        <f>IF(ISNA(VLOOKUP($A90,'Données projet'!$A$434:$I$454,4,0)),0,VLOOKUP($A90,'Données projet'!$A$434:$I$454,4,0))</f>
        <v>0</v>
      </c>
      <c r="LZ90" s="16">
        <f>IF(ISNA(VLOOKUP($A90,'Données projet'!$A$434:$I$454,5,0)),0%,VLOOKUP($A90,'Données projet'!$A$434:$I$454,5,0)*VLOOKUP('Données projet'!$B$24,Paramètres!$A$1:$I$89,7,0))</f>
        <v>0</v>
      </c>
      <c r="MA90" s="16">
        <f>IF(ISNA(VLOOKUP($A90,'Données projet'!$A$434:$I$454,6,0)),0%,VLOOKUP($A90,'Données projet'!$A$434:$I$454,6,0)*VLOOKUP('Données projet'!$B$24,Paramètres!$A$1:$I$89,7,0))</f>
        <v>0</v>
      </c>
      <c r="MB90" s="16">
        <f>IF(ISNA(VLOOKUP($A90,'Données projet'!$A$434:$I$454,7,0)),0%,VLOOKUP($A90,'Données projet'!$A$434:$I$454,7,0))</f>
        <v>0</v>
      </c>
      <c r="MC90" s="21">
        <f>EXP(-LN(2)/35)*MC89+(1-EXP(-LN(2)/35))/(LN(2)/35)*LY90*LZ90*VLOOKUP('Données projet'!$B$24,Paramètres!$A$1:$I$89,3,0)*0.475*44/12</f>
        <v>19.379455874560954</v>
      </c>
      <c r="MD90" s="21">
        <f>EXP(-LN(2)/25)*MD89+(1-EXP(-LN(2)/25))/(LN(2)/25)*Calculateur!LY90*Calculateur!MA90*VLOOKUP('Données projet'!$B$24,Paramètres!$A$1:$I$89,3,0)*0.475*44/12</f>
        <v>0</v>
      </c>
      <c r="ME90" s="21">
        <f>EXP(-LN(2)/2)*ME89+(1-EXP(-LN(2)/2))/(LN(2)/2)*LY90*MB90*VLOOKUP('Données projet'!$B$24,Paramètres!$A$1:$I$89,3,0)*0.475*44/12</f>
        <v>0</v>
      </c>
      <c r="MF90" s="22">
        <f t="shared" si="167"/>
        <v>19.379455874560954</v>
      </c>
      <c r="MG90" s="74">
        <f>('Scénario référence'!$F$8+'Scénario référence'!$F$9+'Scénario référence'!$B$17+'Scénario référence'!$B$9+'Scénario référence'!$B$10)*70+IF((45+25*(1-EXP(-0.0175*$A90)))&lt;70,'Scénario référence'!$B$16*(45+25*(1-EXP(-0.0175*$A90))),70*'Scénario référence'!$B$16)+IF((32+38*(1-EXP(-0.0175*$A90)))&lt;70,'Scénario référence'!$B$18*(32+38*(1-EXP(-0.0175*$A90))),70*'Scénario référence'!$B$18)</f>
        <v>70</v>
      </c>
      <c r="MH90" s="12">
        <f>IF($A90&gt;30,10,('Scénario référence'!$B$16+'Scénario référence'!$B$17+'Scénario référence'!$B$18+'Scénario référence'!$B$9+'Scénario référence'!$B$10)*$A90*10/30+('Scénario référence'!$F$8+'Scénario référence'!$F$9)*10)</f>
        <v>10</v>
      </c>
      <c r="MI90" s="12" t="e">
        <f>VLOOKUP($A90,'Données projet'!$A$460:$I$480,2,0)</f>
        <v>#N/A</v>
      </c>
      <c r="MJ90" s="12" t="e">
        <f>VLOOKUP($A90,'Données projet'!$A$460:$I$480,9,0)</f>
        <v>#N/A</v>
      </c>
      <c r="MK90" s="12">
        <f t="array" ref="MK90">INDEX(MJ:MJ,MIN(IF(ISNUMBER(MJ90:MJ286),ROW(MJ90:MJ286),"")))</f>
        <v>0</v>
      </c>
      <c r="ML90" s="12">
        <f>IF('Données projet'!$A$460&gt;35,ML89+MK90-MT89,IF($A90&lt;'Données projet'!$A$460,$CQ$205^$A90,IF($A90='Données projet'!$A$460,'Données projet'!$B$460,ML89+MK90-MT89)))</f>
        <v>0</v>
      </c>
      <c r="MM90" s="17" t="e">
        <f>ML90*VLOOKUP('Données projet'!$B$25,Paramètres!$A$1:$I$89,3,0)*VLOOKUP('Données projet'!$B$25,Paramètres!$A$1:$I$89,5,0)</f>
        <v>#N/A</v>
      </c>
      <c r="MN90" s="13" t="e">
        <f t="shared" si="214"/>
        <v>#N/A</v>
      </c>
      <c r="MO90" s="14" t="e">
        <f t="shared" si="168"/>
        <v>#N/A</v>
      </c>
      <c r="MP90" s="59" t="e">
        <f t="shared" si="169"/>
        <v>#N/A</v>
      </c>
      <c r="MQ90" s="20" t="e">
        <f ca="1">AVERAGE(OFFSET($MP$3,0,0,'Données projet'!$E$25+1,1))-AVERAGE(OFFSET($H$3,0,0,'Données projet'!$E$25+1,1))</f>
        <v>#N/A</v>
      </c>
      <c r="MR90" s="59" t="e">
        <f t="shared" si="215"/>
        <v>#N/A</v>
      </c>
      <c r="MS90" s="15">
        <f>IF(ISNA(VLOOKUP($A90,'Données projet'!$A$460:$I$480,3,0)),0,VLOOKUP($A90,'Données projet'!$A$460:$I$480,3,0))</f>
        <v>0</v>
      </c>
      <c r="MT90" s="15">
        <f>IF(ISNA(VLOOKUP($A90,'Données projet'!$A$460:$I$480,4,0)),0,VLOOKUP($A90,'Données projet'!$A$460:$I$480,4,0))</f>
        <v>0</v>
      </c>
      <c r="MU90" s="16">
        <f>IF(ISNA(VLOOKUP($A90,'Données projet'!$A$460:$I$480,5,0)),0%,VLOOKUP($A90,'Données projet'!$A$460:$I$480,5,0)*VLOOKUP('Données projet'!$B$25,Paramètres!$A$1:$I$89,7,0))</f>
        <v>0</v>
      </c>
      <c r="MV90" s="16">
        <f>IF(ISNA(VLOOKUP($A90,'Données projet'!$A$460:$I$480,6,0)),0%,VLOOKUP($A90,'Données projet'!$A$460:$I$480,6,0)*VLOOKUP('Données projet'!$B$25,Paramètres!$A$1:$I$89,7,0))</f>
        <v>0</v>
      </c>
      <c r="MW90" s="16">
        <f>IF(ISNA(VLOOKUP($A90,'Données projet'!$A$460:$I$480,7,0)),0%,VLOOKUP($A90,'Données projet'!$A$460:$I$480,7,0))</f>
        <v>0</v>
      </c>
      <c r="MX90" s="21" t="e">
        <f>EXP(-LN(2)/35)*MX89+(1-EXP(-LN(2)/35))/(LN(2)/35)*MT90*MU90*VLOOKUP('Données projet'!$B$25,Paramètres!$A$1:$I$89,3,0)*0.475*44/12</f>
        <v>#N/A</v>
      </c>
      <c r="MY90" s="21" t="e">
        <f>EXP(-LN(2)/25)*MY89+(1-EXP(-LN(2)/25))/(LN(2)/25)*Calculateur!MT90*Calculateur!MV90*VLOOKUP('Données projet'!$B$25,Paramètres!$A$1:$I$89,3,0)*0.475*44/12</f>
        <v>#N/A</v>
      </c>
      <c r="MZ90" s="21" t="e">
        <f>EXP(-LN(2)/2)*MZ89+(1-EXP(-LN(2)/2))/(LN(2)/2)*MT90*MW90*VLOOKUP('Données projet'!$B$25,Paramètres!$A$1:$I$89,3,0)*0.475*44/12</f>
        <v>#N/A</v>
      </c>
      <c r="NA90" s="22" t="e">
        <f t="shared" si="170"/>
        <v>#N/A</v>
      </c>
      <c r="NB90" s="74">
        <f>('Scénario référence'!$F$8+'Scénario référence'!$F$9+'Scénario référence'!$B$17+'Scénario référence'!$B$9+'Scénario référence'!$B$10)*70+IF((45+25*(1-EXP(-0.0175*$A90)))&lt;70,'Scénario référence'!$B$16*(45+25*(1-EXP(-0.0175*$A90))),70*'Scénario référence'!$B$16)+IF((32+38*(1-EXP(-0.0175*$A90)))&lt;70,'Scénario référence'!$B$18*(32+38*(1-EXP(-0.0175*$A90))),70*'Scénario référence'!$B$18)</f>
        <v>70</v>
      </c>
      <c r="NC90" s="12">
        <f>IF($A90&gt;30,10,('Scénario référence'!$B$16+'Scénario référence'!$B$17+'Scénario référence'!$B$18+'Scénario référence'!$B$9+'Scénario référence'!$B$10)*$A90*10/30+('Scénario référence'!$F$8+'Scénario référence'!$F$9)*10)</f>
        <v>10</v>
      </c>
      <c r="ND90" s="12" t="e">
        <f>VLOOKUP($A90,'Données projet'!$A$486:$I$506,2,0)</f>
        <v>#N/A</v>
      </c>
      <c r="NE90" s="12" t="e">
        <f>VLOOKUP($A90,'Données projet'!$A$486:$I$506,9,0)</f>
        <v>#N/A</v>
      </c>
      <c r="NF90" s="12">
        <f t="array" ref="NF90">INDEX(NE:NE,MIN(IF(ISNUMBER(NE90:NE286),ROW(NE90:NE286),"")))</f>
        <v>0</v>
      </c>
      <c r="NG90" s="12">
        <f>IF('Données projet'!$A$486&gt;35,NG89+NF90-NO89,IF($A90&lt;'Données projet'!$A$486,$CQ$205^$A90,IF($A90='Données projet'!$A$486,'Données projet'!$B$486,NG89+NF90-NO89)))</f>
        <v>0</v>
      </c>
      <c r="NH90" s="17" t="e">
        <f>NG90*VLOOKUP('Données projet'!$B$26,Paramètres!$A$1:$I$89,3,0)*VLOOKUP('Données projet'!$B$26,Paramètres!$A$1:$I$89,5,0)</f>
        <v>#N/A</v>
      </c>
      <c r="NI90" s="13" t="e">
        <f t="shared" si="216"/>
        <v>#N/A</v>
      </c>
      <c r="NJ90" s="14" t="e">
        <f t="shared" si="171"/>
        <v>#N/A</v>
      </c>
      <c r="NK90" s="59" t="e">
        <f t="shared" si="172"/>
        <v>#N/A</v>
      </c>
      <c r="NL90" s="20" t="e">
        <f ca="1">AVERAGE(OFFSET($NK$3,0,0,'Données projet'!$E$26+1,1))-AVERAGE(OFFSET($H$3,0,0,'Données projet'!$E$26+1,1))</f>
        <v>#N/A</v>
      </c>
      <c r="NM90" s="59" t="e">
        <f t="shared" si="217"/>
        <v>#N/A</v>
      </c>
      <c r="NN90" s="15">
        <f>IF(ISNA(VLOOKUP($A90,'Données projet'!$A$486:$I$506,3,0)),0,VLOOKUP($A90,'Données projet'!$A$486:$I$506,3,0))</f>
        <v>0</v>
      </c>
      <c r="NO90" s="15">
        <f>IF(ISNA(VLOOKUP($A90,'Données projet'!$A$486:$I$506,4,0)),0,VLOOKUP($A90,'Données projet'!$A$486:$I$506,4,0))</f>
        <v>0</v>
      </c>
      <c r="NP90" s="16">
        <f>IF(ISNA(VLOOKUP($A90,'Données projet'!$A$486:$I$506,5,0)),0%,VLOOKUP($A90,'Données projet'!$A$486:$I$506,5,0)*VLOOKUP('Données projet'!$B$26,Paramètres!$A$1:$I$89,7,0))</f>
        <v>0</v>
      </c>
      <c r="NQ90" s="16">
        <f>IF(ISNA(VLOOKUP($A90,'Données projet'!$A$486:$I$506,6,0)),0%,VLOOKUP($A90,'Données projet'!$A$486:$I$506,6,0)*VLOOKUP('Données projet'!$B$26,Paramètres!$A$1:$I$89,7,0))</f>
        <v>0</v>
      </c>
      <c r="NR90" s="16">
        <f>IF(ISNA(VLOOKUP($A90,'Données projet'!$A$486:$I$506,7,0)),0%,VLOOKUP($A90,'Données projet'!$A$486:$I$506,7,0))</f>
        <v>0</v>
      </c>
      <c r="NS90" s="21" t="e">
        <f>EXP(-LN(2)/35)*NS89+(1-EXP(-LN(2)/35))/(LN(2)/35)*NO90*NP90*VLOOKUP('Données projet'!$B$26,Paramètres!$A$1:$I$89,3,0)*0.475*44/12</f>
        <v>#N/A</v>
      </c>
      <c r="NT90" s="21" t="e">
        <f>EXP(-LN(2)/25)*NT89+(1-EXP(-LN(2)/25))/(LN(2)/25)*Calculateur!NO90*Calculateur!NQ90*VLOOKUP('Données projet'!$B$26,Paramètres!$A$1:$I$89,3,0)*0.475*44/12</f>
        <v>#N/A</v>
      </c>
      <c r="NU90" s="21" t="e">
        <f>EXP(-LN(2)/2)*NU89+(1-EXP(-LN(2)/2))/(LN(2)/2)*NO90*NR90*VLOOKUP('Données projet'!$B$26,Paramètres!$A$1:$I$89,3,0)*0.475*44/12</f>
        <v>#N/A</v>
      </c>
      <c r="NV90" s="22" t="e">
        <f t="shared" si="173"/>
        <v>#N/A</v>
      </c>
      <c r="NW90" s="74">
        <f>('Scénario référence'!$F$8+'Scénario référence'!$F$9+'Scénario référence'!$B$17+'Scénario référence'!$B$9+'Scénario référence'!$B$10)*70+IF((45+25*(1-EXP(-0.0175*$A90)))&lt;70,'Scénario référence'!$B$16*(45+25*(1-EXP(-0.0175*$A90))),70*'Scénario référence'!$B$16)+IF((32+38*(1-EXP(-0.0175*$A90)))&lt;70,'Scénario référence'!$B$18*(32+38*(1-EXP(-0.0175*$A90))),70*'Scénario référence'!$B$18)</f>
        <v>70</v>
      </c>
      <c r="NX90" s="12">
        <f>IF($A90&gt;30,10,('Scénario référence'!$B$16+'Scénario référence'!$B$17+'Scénario référence'!$B$18+'Scénario référence'!$B$9+'Scénario référence'!$B$10)*$A90*10/30+('Scénario référence'!$F$8+'Scénario référence'!$F$9)*10)</f>
        <v>10</v>
      </c>
      <c r="NY90" s="12" t="e">
        <f>VLOOKUP($A90,'Données projet'!$A$512:$I$532,2,0)</f>
        <v>#N/A</v>
      </c>
      <c r="NZ90" s="12" t="e">
        <f>VLOOKUP($A90,'Données projet'!$A$512:$I$532,9,0)</f>
        <v>#N/A</v>
      </c>
      <c r="OA90" s="12">
        <f t="array" ref="OA90">INDEX(NZ:NZ,MIN(IF(ISNUMBER(NZ90:NZ286),ROW(NZ90:NZ286),"")))</f>
        <v>0</v>
      </c>
      <c r="OB90" s="12">
        <f>IF('Données projet'!$A$512&gt;35,OB89+OA90-OJ89,IF($A90&lt;'Données projet'!$A$512,$CQ$205^$A90,IF($A90='Données projet'!$A$512,'Données projet'!$B$512,OB89+OA90-OJ89)))</f>
        <v>0</v>
      </c>
      <c r="OC90" s="17" t="e">
        <f>OB90*VLOOKUP('Données projet'!$B$27,Paramètres!$A$1:$I$89,3,0)*VLOOKUP('Données projet'!$B$27,Paramètres!$A$1:$I$89,5,0)</f>
        <v>#N/A</v>
      </c>
      <c r="OD90" s="13" t="e">
        <f t="shared" si="218"/>
        <v>#N/A</v>
      </c>
      <c r="OE90" s="14" t="e">
        <f t="shared" si="174"/>
        <v>#N/A</v>
      </c>
      <c r="OF90" s="59" t="e">
        <f t="shared" si="175"/>
        <v>#N/A</v>
      </c>
      <c r="OG90" s="20" t="e">
        <f ca="1">AVERAGE(OFFSET($OF$3,0,0,'Données projet'!$E$27+1,1))-AVERAGE(OFFSET($H$3,0,0,'Données projet'!$E$27+1,1))</f>
        <v>#N/A</v>
      </c>
      <c r="OH90" s="59" t="e">
        <f t="shared" si="219"/>
        <v>#N/A</v>
      </c>
      <c r="OI90" s="15">
        <f>IF(ISNA(VLOOKUP($A90,'Données projet'!$A$512:$I$532,3,0)),0,VLOOKUP($A90,'Données projet'!$A$512:$I$532,3,0))</f>
        <v>0</v>
      </c>
      <c r="OJ90" s="15">
        <f>IF(ISNA(VLOOKUP($A90,'Données projet'!$A$512:$I$532,4,0)),0,VLOOKUP($A90,'Données projet'!$A$512:$I$532,4,0))</f>
        <v>0</v>
      </c>
      <c r="OK90" s="16">
        <f>IF(ISNA(VLOOKUP($A90,'Données projet'!$A$512:$I$532,5,0)),0%,VLOOKUP($A90,'Données projet'!$A$512:$I$532,5,0)*VLOOKUP('Données projet'!$B$27,Paramètres!$A$1:$I$89,7,0))</f>
        <v>0</v>
      </c>
      <c r="OL90" s="16">
        <f>IF(ISNA(VLOOKUP($A90,'Données projet'!$A$512:$I$532,6,0)),0%,VLOOKUP($A90,'Données projet'!$A$512:$I$532,6,0)*VLOOKUP('Données projet'!$B$27,Paramètres!$A$1:$I$89,7,0))</f>
        <v>0</v>
      </c>
      <c r="OM90" s="16">
        <f>IF(ISNA(VLOOKUP($A90,'Données projet'!$A$512:$I$532,7,0)),0%,VLOOKUP($A90,'Données projet'!$A$512:$I$532,7,0))</f>
        <v>0</v>
      </c>
      <c r="ON90" s="21" t="e">
        <f>EXP(-LN(2)/35)*ON89+(1-EXP(-LN(2)/35))/(LN(2)/35)*OJ90*OK90*VLOOKUP('Données projet'!$B$27,Paramètres!$A$1:$I$89,3,0)*0.475*44/12</f>
        <v>#N/A</v>
      </c>
      <c r="OO90" s="21" t="e">
        <f>EXP(-LN(2)/25)*OO89+(1-EXP(-LN(2)/25))/(LN(2)/25)*Calculateur!OJ90*Calculateur!OL90*VLOOKUP('Données projet'!$B$27,Paramètres!$A$1:$I$89,3,0)*0.475*44/12</f>
        <v>#N/A</v>
      </c>
      <c r="OP90" s="21" t="e">
        <f>EXP(-LN(2)/2)*OP89+(1-EXP(-LN(2)/2))/(LN(2)/2)*OJ90*OM90*VLOOKUP('Données projet'!$B$27,Paramètres!$A$1:$I$89,3,0)*0.475*44/12</f>
        <v>#N/A</v>
      </c>
      <c r="OQ90" s="22" t="e">
        <f t="shared" si="176"/>
        <v>#N/A</v>
      </c>
      <c r="OR90" s="74">
        <f>('Scénario référence'!$F$8+'Scénario référence'!$F$9+'Scénario référence'!$B$17+'Scénario référence'!$B$9+'Scénario référence'!$B$10)*70+IF((45+25*(1-EXP(-0.0175*$A90)))&lt;70,'Scénario référence'!$B$16*(45+25*(1-EXP(-0.0175*$A90))),70*'Scénario référence'!$B$16)+IF((32+38*(1-EXP(-0.0175*$A90)))&lt;70,'Scénario référence'!$B$18*(32+38*(1-EXP(-0.0175*$A90))),70*'Scénario référence'!$B$18)</f>
        <v>70</v>
      </c>
      <c r="OS90" s="12">
        <f>IF($A90&gt;30,10,('Scénario référence'!$B$16+'Scénario référence'!$B$17+'Scénario référence'!$B$18+'Scénario référence'!$B$9+'Scénario référence'!$B$10)*$A90*10/30+('Scénario référence'!$F$8+'Scénario référence'!$F$9)*10)</f>
        <v>10</v>
      </c>
      <c r="OT90" s="12" t="e">
        <f>VLOOKUP($A90,'Données projet'!$A$538:$I$558,2,0)</f>
        <v>#N/A</v>
      </c>
      <c r="OU90" s="12" t="e">
        <f>VLOOKUP($A90,'Données projet'!$A$538:$I$558,9,0)</f>
        <v>#N/A</v>
      </c>
      <c r="OV90" s="12">
        <f t="array" ref="OV90">INDEX(OU:OU,MIN(IF(ISNUMBER(OU90:OU286),ROW(OU90:OU286),"")))</f>
        <v>0</v>
      </c>
      <c r="OW90" s="12">
        <f>IF('Données projet'!$A$538&gt;35,OW89+OV90-PE89,IF($A90&lt;'Données projet'!$A$538,$CQ$205^$A90,IF($A90='Données projet'!$A$538,'Données projet'!$B$538,OW89+OV90-PE89)))</f>
        <v>0</v>
      </c>
      <c r="OX90" s="17" t="e">
        <f>OW90*VLOOKUP('Données projet'!$B$28,Paramètres!$A$1:$I$89,3,0)*VLOOKUP('Données projet'!$B$28,Paramètres!$A$1:$I$89,5,0)</f>
        <v>#N/A</v>
      </c>
      <c r="OY90" s="13" t="e">
        <f t="shared" si="220"/>
        <v>#N/A</v>
      </c>
      <c r="OZ90" s="14" t="e">
        <f t="shared" si="177"/>
        <v>#N/A</v>
      </c>
      <c r="PA90" s="59" t="e">
        <f t="shared" si="178"/>
        <v>#N/A</v>
      </c>
      <c r="PB90" s="20" t="e">
        <f ca="1">AVERAGE(OFFSET($PA$3,0,0,'Données projet'!$E$28+1,1))-AVERAGE(OFFSET($H$3,0,0,'Données projet'!$E$28+1,1))</f>
        <v>#N/A</v>
      </c>
      <c r="PC90" s="59" t="e">
        <f t="shared" si="221"/>
        <v>#N/A</v>
      </c>
      <c r="PD90" s="15">
        <f>IF(ISNA(VLOOKUP($A90,'Données projet'!$A$538:$I$558,3,0)),0,VLOOKUP($A90,'Données projet'!$A$538:$I$558,3,0))</f>
        <v>0</v>
      </c>
      <c r="PE90" s="15">
        <f>IF(ISNA(VLOOKUP($A90,'Données projet'!$A$538:$I$558,4,0)),0,VLOOKUP($A90,'Données projet'!$A$538:$I$558,4,0))</f>
        <v>0</v>
      </c>
      <c r="PF90" s="16">
        <f>IF(ISNA(VLOOKUP($A90,'Données projet'!$A$538:$I$558,5,0)),0%,VLOOKUP($A90,'Données projet'!$A$538:$I$558,5,0)*VLOOKUP('Données projet'!$B$28,Paramètres!$A$1:$I$89,7,0))</f>
        <v>0</v>
      </c>
      <c r="PG90" s="16">
        <f>IF(ISNA(VLOOKUP($A90,'Données projet'!$A$538:$I$558,6,0)),0%,VLOOKUP($A90,'Données projet'!$A$538:$I$558,6,0)*VLOOKUP('Données projet'!$B$28,Paramètres!$A$1:$I$89,7,0))</f>
        <v>0</v>
      </c>
      <c r="PH90" s="16">
        <f>IF(ISNA(VLOOKUP($A90,'Données projet'!$A$538:$I$558,7,0)),0%,VLOOKUP($A90,'Données projet'!$A$538:$I$558,7,0))</f>
        <v>0</v>
      </c>
      <c r="PI90" s="21" t="e">
        <f>EXP(-LN(2)/35)*PI89+(1-EXP(-LN(2)/35))/(LN(2)/35)*PE90*PF90*VLOOKUP('Données projet'!$B$28,Paramètres!$A$1:$I$89,3,0)*0.475*44/12</f>
        <v>#N/A</v>
      </c>
      <c r="PJ90" s="21" t="e">
        <f>EXP(-LN(2)/25)*PJ89+(1-EXP(-LN(2)/25))/(LN(2)/25)*Calculateur!PE90*Calculateur!PG90*VLOOKUP('Données projet'!$B$28,Paramètres!$A$1:$I$89,3,0)*0.475*44/12</f>
        <v>#N/A</v>
      </c>
      <c r="PK90" s="21" t="e">
        <f>EXP(-LN(2)/2)*PK89+(1-EXP(-LN(2)/2))/(LN(2)/2)*PE90*PH90*VLOOKUP('Données projet'!$B$28,Paramètres!$A$1:$I$89,3,0)*0.475*44/12</f>
        <v>#N/A</v>
      </c>
      <c r="PL90" s="22" t="e">
        <f t="shared" si="179"/>
        <v>#N/A</v>
      </c>
    </row>
    <row r="91" spans="1:428" x14ac:dyDescent="0.35">
      <c r="A91" s="10">
        <f t="shared" si="180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181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121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projet'!$A$45:$I$65,2,0)</f>
        <v>#N/A</v>
      </c>
      <c r="L91" s="12" t="e">
        <f>VLOOKUP(A91,'Données projet'!$A$45:$I$65,9,0)</f>
        <v>#N/A</v>
      </c>
      <c r="M91" s="12">
        <f t="array" ref="M91">INDEX(L:L,MIN(IF(ISNUMBER(L91:L287),ROW(L91:L287),"")))</f>
        <v>0</v>
      </c>
      <c r="N91" s="13">
        <f>IF('Données projet'!$A$46&gt;35,N90+M91-V90,IF(A91&lt;'Données projet'!$A$46,$K$205^A91,IF(A91='Données projet'!$A$46,'Données projet'!$B$46,N90+M91-V90)))</f>
        <v>-1.1368683772161603E-13</v>
      </c>
      <c r="O91" s="13">
        <f>N91*VLOOKUP('Données projet'!$B$9,Paramètres!$A$1:$I$89,3,0)*VLOOKUP('Données projet'!$B$9,Paramètres!$A$1:$I$89,5,0)</f>
        <v>-6.3550942286383367E-14</v>
      </c>
      <c r="P91" s="13" t="e">
        <f t="shared" si="182"/>
        <v>#NUM!</v>
      </c>
      <c r="Q91" s="20" t="e">
        <f t="shared" si="119"/>
        <v>#NUM!</v>
      </c>
      <c r="R91" s="59" t="e">
        <f t="shared" si="120"/>
        <v>#NUM!</v>
      </c>
      <c r="S91" s="59">
        <f ca="1">AVERAGE(OFFSET($R$3,0,0,'Données projet'!$E$9+1,1))-AVERAGE(OFFSET($H$3,0,0,'Données projet'!$E$9+1,1))</f>
        <v>274.57619581652199</v>
      </c>
      <c r="T91" s="59">
        <f t="shared" si="183"/>
        <v>366.15117322598775</v>
      </c>
      <c r="U91" s="15">
        <f>IF(ISNA(VLOOKUP(A91,'Données projet'!$A$45:$I$65,3,0)),0,VLOOKUP(A91,'Données projet'!$A$45:$I$65,3,0))</f>
        <v>0</v>
      </c>
      <c r="V91" s="15">
        <f>IF(ISNA(VLOOKUP(A91,'Données projet'!$A$45:$I$65,4,0)),0,VLOOKUP(A91,'Données projet'!$A$45:$I$65,4,0))</f>
        <v>0</v>
      </c>
      <c r="W91" s="16">
        <f>IF(ISNA(VLOOKUP(A91,'Données projet'!$A$45:$I$65,5,0)),0%,VLOOKUP(A91,'Données projet'!$A$45:$I$65,5,0)*VLOOKUP('Données projet'!$B$9,Paramètres!$A$1:$I$89,7,0))</f>
        <v>0</v>
      </c>
      <c r="X91" s="16">
        <f>IF(ISNA(VLOOKUP(A91,'Données projet'!$A$45:$I$65,6,0)),0%,VLOOKUP(A91,'Données projet'!$A$45:$I$65,6,0)*VLOOKUP('Données projet'!$B$9,Paramètres!$A$1:$I$89,7,0))</f>
        <v>0</v>
      </c>
      <c r="Y91" s="16">
        <f>IF(ISNA(VLOOKUP(A91,'Données projet'!$A$45:$I$65,7,0)),0%,VLOOKUP(A91,'Données projet'!$A$45:$I$65,7,0))</f>
        <v>0</v>
      </c>
      <c r="Z91" s="21">
        <f>EXP(-LN(2)/35)*Z90+(1-EXP(-LN(2)/35))/(LN(2)/35)*V91*W91*VLOOKUP('Données projet'!$B$9,Paramètres!$A$1:$I$89,3,0)*0.475*44/12</f>
        <v>117.9073861196668</v>
      </c>
      <c r="AA91" s="21">
        <f>EXP(-LN(2)/25)*AA90+(1-EXP(-LN(2)/25))/(LN(2)/25)*Calculateur!V91*Calculateur!X91*VLOOKUP('Données projet'!$B$9,Paramètres!$A$1:$I$89,3,0)*0.475*44/12</f>
        <v>23.073888738414706</v>
      </c>
      <c r="AB91" s="21">
        <f>EXP(-LN(2)/2)*AB90+(1-EXP(-LN(2)/2))/(LN(2)/2)*V91*Y91*VLOOKUP('Données projet'!$B$9,Paramètres!$A$1:$I$89,3,0)*0.475*44/12</f>
        <v>3.6858657402775709E-4</v>
      </c>
      <c r="AC91" s="22">
        <f t="shared" si="122"/>
        <v>140.98164344465553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projet'!$A$71:$I$91,2,0)</f>
        <v>#N/A</v>
      </c>
      <c r="AG91" s="12" t="e">
        <f>VLOOKUP(A91,'Données projet'!$A$71:$I$91,9,0)</f>
        <v>#N/A</v>
      </c>
      <c r="AH91" s="12">
        <f t="array" ref="AH91">INDEX(AG:AG,MIN(IF(ISNUMBER(AG91:AG287),ROW(AG91:AG287),"")))</f>
        <v>7.4950142450142421</v>
      </c>
      <c r="AI91" s="13">
        <f>IF('Données projet'!$A$72&gt;35,AI90+AH91-AQ90,IF(A91&lt;'Données projet'!$A$72,$AF$205^A91,IF(A91='Données projet'!$A$72,'Données projet'!$B$72,AI90+AH91-AQ90)))</f>
        <v>288.36396011396039</v>
      </c>
      <c r="AJ91" s="13">
        <f>AI91*VLOOKUP('Données projet'!$B$10,Paramètres!$A$1:$I$89,3,0)*VLOOKUP('Données projet'!$B$10,Paramètres!$A$1:$I$89,5,0)</f>
        <v>260.91171111111134</v>
      </c>
      <c r="AK91" s="13">
        <f t="shared" si="184"/>
        <v>62.916678312142118</v>
      </c>
      <c r="AL91" s="20">
        <f t="shared" si="123"/>
        <v>564.00111157883305</v>
      </c>
      <c r="AM91" s="59">
        <f t="shared" si="124"/>
        <v>857.33444491216642</v>
      </c>
      <c r="AN91" s="59">
        <f ca="1">AVERAGE(OFFSET($AM$3,0,0,'Données projet'!$E$10+1,1))-AVERAGE(OFFSET($H$3,0,0,'Données projet'!$E$10+1,1))</f>
        <v>270.87836509222456</v>
      </c>
      <c r="AO91" s="59">
        <f t="shared" si="185"/>
        <v>205.24998237949734</v>
      </c>
      <c r="AP91" s="15">
        <f>IF(ISNA(VLOOKUP(A91,'Données projet'!$A$71:$I$91,3,0)),0,VLOOKUP(A91,'Données projet'!$A$71:$I$91,3,0))</f>
        <v>0</v>
      </c>
      <c r="AQ91" s="15">
        <f>IF(ISNA(VLOOKUP(A91,'Données projet'!$A$71:$I$91,4,0)),0,VLOOKUP(A91,'Données projet'!$A$71:$I$91,4,0))</f>
        <v>0</v>
      </c>
      <c r="AR91" s="16">
        <f>IF(ISNA(VLOOKUP(A91,'Données projet'!$A$71:$I$91,5,0)),0%,VLOOKUP(A91,'Données projet'!$A$71:$I$91,5,0)*VLOOKUP('Données projet'!$B$10,Paramètres!$A$1:$I$89,7,0))</f>
        <v>0</v>
      </c>
      <c r="AS91" s="16">
        <f>IF(ISNA(VLOOKUP(A91,'Données projet'!$A$71:$I$91,6,0)),0%,VLOOKUP(A91,'Données projet'!$A$71:$I$91,6,0)*VLOOKUP('Données projet'!$B$10,Paramètres!$A$1:$I$89,7,0))</f>
        <v>0</v>
      </c>
      <c r="AT91" s="16">
        <f>IF(ISNA(VLOOKUP(A91,'Données projet'!$A$71:$I$91,7,0)),0%,VLOOKUP(A91,'Données projet'!$A$71:$I$91,7,0))</f>
        <v>0</v>
      </c>
      <c r="AU91" s="21">
        <f>EXP(-LN(2)/35)*AU90+(1-EXP(-LN(2)/35))/(LN(2)/35)*AQ91*AR91*VLOOKUP('Données projet'!$B$10,Paramètres!$A$1:$I$89,3,0)*0.475*44/12</f>
        <v>27.962566853651019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125"/>
        <v>27.962566853651019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projet'!$A$97:$I$117,2,0)</f>
        <v>#N/A</v>
      </c>
      <c r="BB91" s="12" t="e">
        <f>VLOOKUP(A91,'Données projet'!$A$97:$I$117,9,0)</f>
        <v>#N/A</v>
      </c>
      <c r="BC91" s="12">
        <f t="array" ref="BC91">INDEX(BB:BB,MIN(IF(ISNUMBER(BB91:BB287),ROW(BB91:BB287),"")))</f>
        <v>0</v>
      </c>
      <c r="BD91" s="12">
        <f>IF('Données projet'!$A$98&gt;35,BD90+BC91-BL90,IF(A91&lt;'Données projet'!$A$98,$BA$205^A91,IF(A91='Données projet'!$A$98,'Données projet'!$B$98,BD90+BC91-BL90)))</f>
        <v>-1.1368683772161603E-13</v>
      </c>
      <c r="BE91" s="13">
        <f>BD91*VLOOKUP('Données projet'!$B$11,Paramètres!$A$1:$I$89,3,0)*VLOOKUP('Données projet'!$B$11,Paramètres!$A$1:$I$89,5,0)</f>
        <v>-5.0249582272954292E-14</v>
      </c>
      <c r="BF91" s="13" t="e">
        <f t="shared" si="186"/>
        <v>#NUM!</v>
      </c>
      <c r="BG91" s="20" t="e">
        <f t="shared" si="126"/>
        <v>#NUM!</v>
      </c>
      <c r="BH91" s="59" t="e">
        <f t="shared" si="127"/>
        <v>#NUM!</v>
      </c>
      <c r="BI91" s="59">
        <f ca="1">AVERAGE(OFFSET($BH$3,0,0,'Données projet'!$E$11+1,1))-AVERAGE(OFFSET($H$3,0,0,'Données projet'!$E$11+1,1))</f>
        <v>211.31057120485542</v>
      </c>
      <c r="BJ91" s="59">
        <f t="shared" si="187"/>
        <v>283.33292006714777</v>
      </c>
      <c r="BK91" s="15">
        <f>IF(ISNA(VLOOKUP(A91,'Données projet'!$A$97:$I$117,3,0)),0,VLOOKUP(A91,'Données projet'!$A$97:$I$117,3,0))</f>
        <v>0</v>
      </c>
      <c r="BL91" s="15">
        <f>IF(ISNA(VLOOKUP(A91,'Données projet'!$A$97:$I$117,4,0)),0,VLOOKUP(A91,'Données projet'!$A$97:$I$117,4,0))</f>
        <v>0</v>
      </c>
      <c r="BM91" s="16">
        <f>IF(ISNA(VLOOKUP(A91,'Données projet'!$A$97:$I$117,5,0)),0%,VLOOKUP(A91,'Données projet'!$A$97:$I$117,5,0)*VLOOKUP('Données projet'!$B$11,Paramètres!$A$1:$I$89,7,0))</f>
        <v>0</v>
      </c>
      <c r="BN91" s="16">
        <f>IF(ISNA(VLOOKUP(A91,'Données projet'!$A$97:$I$117,6,0)),0%,VLOOKUP(A91,'Données projet'!$A$97:$I$117,6,0)*VLOOKUP('Données projet'!$B$11,Paramètres!$A$1:$I$89,7,0))</f>
        <v>0</v>
      </c>
      <c r="BO91" s="16">
        <f>IF(ISNA(VLOOKUP(A91,'Données projet'!$A$97:$I$117,7,0)),0%,VLOOKUP(A91,'Données projet'!$A$97:$I$117,7,0))</f>
        <v>0</v>
      </c>
      <c r="BP91" s="21">
        <f>EXP(-LN(2)/35)*BP90+(1-EXP(-LN(2)/35))/(LN(2)/35)*BL91*BM91*VLOOKUP('Données projet'!$B$11,Paramètres!$A$1:$I$89,3,0)*0.475*44/12</f>
        <v>93.229096001597028</v>
      </c>
      <c r="BQ91" s="21">
        <f>EXP(-LN(2)/25)*BQ90+(1-EXP(-LN(2)/25))/(LN(2)/25)*Calculateur!BL91*Calculateur!BN91*VLOOKUP('Données projet'!$B$11,Paramètres!$A$1:$I$89,3,0)*0.475*44/12</f>
        <v>18.244470165258136</v>
      </c>
      <c r="BR91" s="21">
        <f>EXP(-LN(2)/2)*BR90+(1-EXP(-LN(2)/2))/(LN(2)/2)*BL91*BO91*VLOOKUP('Données projet'!$B$11,Paramètres!$A$1:$I$89,3,0)*0.475*44/12</f>
        <v>2.9144054690566834E-4</v>
      </c>
      <c r="BS91" s="22">
        <f t="shared" si="128"/>
        <v>111.47385760740207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projet'!$A$123:$I$143,2,0)</f>
        <v>#N/A</v>
      </c>
      <c r="BW91" s="12" t="e">
        <f>VLOOKUP(A91,'Données projet'!$A$123:$I$143,9,0)</f>
        <v>#N/A</v>
      </c>
      <c r="BX91" s="12">
        <f t="array" ref="BX91">INDEX(BW:BW,MIN(IF(ISNUMBER(BW91:BW287),ROW(BW91:BW287),"")))</f>
        <v>3</v>
      </c>
      <c r="BY91" s="12">
        <f>IF('Données projet'!$A$124&gt;35,BY90+BX91-CG90,IF(A91&lt;'Données projet'!$A$124,$BV$205^A91,IF(A91='Données projet'!$A$124,'Données projet'!$B$124,BY90+BX91-CG90)))</f>
        <v>243</v>
      </c>
      <c r="BZ91" s="13">
        <f>BY91*VLOOKUP('Données projet'!$B$12,Paramètres!$A$1:$I$89,3,0)*VLOOKUP('Données projet'!$B$12,Paramètres!$A$1:$I$89,5,0)</f>
        <v>253.98360000000002</v>
      </c>
      <c r="CA91" s="13">
        <f t="shared" si="188"/>
        <v>61.438182405444294</v>
      </c>
      <c r="CB91" s="20">
        <f t="shared" si="129"/>
        <v>549.35960435614891</v>
      </c>
      <c r="CC91" s="59">
        <f t="shared" si="130"/>
        <v>842.69293768948228</v>
      </c>
      <c r="CD91" s="59">
        <f ca="1">AVERAGE(OFFSET($CC$3,0,0,'Données projet'!$E$12+1,1))-AVERAGE(OFFSET($H$3,0,0,'Données projet'!$E$12+1,1))</f>
        <v>322.93502595881938</v>
      </c>
      <c r="CE91" s="59">
        <f t="shared" si="189"/>
        <v>302.67072119588164</v>
      </c>
      <c r="CF91" s="15">
        <f>IF(ISNA(VLOOKUP(A91,'Données projet'!$A$123:$I$143,3,0)),0,VLOOKUP(A91,'Données projet'!$A$123:$I$143,3,0))</f>
        <v>0</v>
      </c>
      <c r="CG91" s="15">
        <f>IF(ISNA(VLOOKUP(A91,'Données projet'!$A$123:$I$143,4,0)),0,VLOOKUP(A91,'Données projet'!$A$123:$I$143,4,0))</f>
        <v>0</v>
      </c>
      <c r="CH91" s="16">
        <f>IF(ISNA(VLOOKUP(A91,'Données projet'!$A$123:$I$143,5,0)),0%,VLOOKUP(A91,'Données projet'!$A$123:$I$143,5,0)*VLOOKUP('Données projet'!$B$12,Paramètres!$A$1:$I$89,7,0))</f>
        <v>0</v>
      </c>
      <c r="CI91" s="16">
        <f>IF(ISNA(VLOOKUP(A91,'Données projet'!$A$123:$I$143,6,0)),0%,VLOOKUP(A91,'Données projet'!$A$123:$I$143,6,0)*VLOOKUP('Données projet'!$B$12,Paramètres!$A$1:$I$89,7,0))</f>
        <v>0</v>
      </c>
      <c r="CJ91" s="16">
        <f>IF(ISNA(VLOOKUP(A91,'Données projet'!$A$123:$I$143,7,0)),0%,VLOOKUP(A91,'Données projet'!$A$123:$I$143,7,0))</f>
        <v>0</v>
      </c>
      <c r="CK91" s="21">
        <f>EXP(-LN(2)/35)*CK90+(1-EXP(-LN(2)/35))/(LN(2)/35)*CG91*CH91*VLOOKUP('Données projet'!$B$12,Paramètres!$A$1:$I$89,3,0)*0.475*44/12</f>
        <v>27.543751178086694</v>
      </c>
      <c r="CL91" s="21">
        <f>EXP(-LN(2)/25)*CL90+(1-EXP(-LN(2)/25))/(LN(2)/25)*Calculateur!CG91*Calculateur!CI91*VLOOKUP('Données projet'!$B$12,Paramètres!$A$1:$I$89,3,0)*0.475*44/12</f>
        <v>19.866160405187767</v>
      </c>
      <c r="CM91" s="21">
        <f>EXP(-LN(2)/2)*CM90+(1-EXP(-LN(2)/2))/(LN(2)/2)*CG91*CJ91*VLOOKUP('Données projet'!$B$12,Paramètres!$A$1:$I$89,3,0)*0.475*44/12</f>
        <v>0</v>
      </c>
      <c r="CN91" s="22">
        <f t="shared" si="131"/>
        <v>47.409911583274464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projet'!$A$149:$I$169,2,0)</f>
        <v>#N/A</v>
      </c>
      <c r="CR91" s="12" t="e">
        <f>VLOOKUP(A91,'Données projet'!$A$149:$I$169,9,0)</f>
        <v>#N/A</v>
      </c>
      <c r="CS91" s="12">
        <f t="array" ref="CS91">INDEX(CR:CR,MIN(IF(ISNUMBER(CR91:CR287),ROW(CR91:CR287),"")))</f>
        <v>5.2606837606837598</v>
      </c>
      <c r="CT91" s="12">
        <f>IF('Données projet'!$A$150&gt;35,CT90+CS91-DB90,IF(A91&lt;'Données projet'!$A$150,$CQ$205^A91,IF(A91='Données projet'!$A$150,'Données projet'!$B$150,CT90+CS91-DB90)))</f>
        <v>185.96581196581181</v>
      </c>
      <c r="CU91" s="17">
        <f>CT91*VLOOKUP('Données projet'!$B$13,Paramètres!$A$1:$I$89,3,0)*VLOOKUP('Données projet'!$B$13,Paramètres!$A$1:$I$89,5,0)</f>
        <v>188.56933333333319</v>
      </c>
      <c r="CV91" s="13">
        <f t="shared" si="190"/>
        <v>47.223513760156187</v>
      </c>
      <c r="CW91" s="20">
        <f t="shared" si="132"/>
        <v>410.67254202116061</v>
      </c>
      <c r="CX91" s="59">
        <f t="shared" si="133"/>
        <v>704.00587535449392</v>
      </c>
      <c r="CY91" s="59">
        <f ca="1">AVERAGE(OFFSET($CX$3,0,0,'Données projet'!$E$13+1,1))-AVERAGE(OFFSET($H$3,0,0,'Données projet'!$E$13+1,1))</f>
        <v>250.31277422753283</v>
      </c>
      <c r="CZ91" s="59">
        <f t="shared" si="191"/>
        <v>159.20429420478047</v>
      </c>
      <c r="DA91" s="15">
        <f>IF(ISNA(VLOOKUP(A91,'Données projet'!$A$149:$I$169,3,0)),0,VLOOKUP(A91,'Données projet'!$A$149:$I$169,3,0))</f>
        <v>0</v>
      </c>
      <c r="DB91" s="15">
        <f>IF(ISNA(VLOOKUP(A91,'Données projet'!$A$149:$I$169,4,0)),0,VLOOKUP(A91,'Données projet'!$A$149:$I$169,4,0))</f>
        <v>0</v>
      </c>
      <c r="DC91" s="16">
        <f>IF(ISNA(VLOOKUP(A91,'Données projet'!$A$149:$I$169,5,0)),0%,VLOOKUP(A91,'Données projet'!$A$149:$I$169,5,0)*VLOOKUP('Données projet'!$B$13,Paramètres!$A$1:$I$89,7,0))</f>
        <v>0</v>
      </c>
      <c r="DD91" s="16">
        <f>IF(ISNA(VLOOKUP(A91,'Données projet'!$A$149:$I$169,6,0)),0%,VLOOKUP(A91,'Données projet'!$A$149:$I$169,6,0)*VLOOKUP('Données projet'!$B$13,Paramètres!$A$1:$I$89,7,0))</f>
        <v>0</v>
      </c>
      <c r="DE91" s="16">
        <f>IF(ISNA(VLOOKUP(A91,'Données projet'!$A$149:$I$169,7,0)),0%,VLOOKUP(A91,'Données projet'!$A$149:$I$169,7,0))</f>
        <v>0</v>
      </c>
      <c r="DF91" s="21">
        <f>EXP(-LN(2)/35)*DF90+(1-EXP(-LN(2)/35))/(LN(2)/35)*DB91*DC91*VLOOKUP('Données projet'!$B$13,Paramètres!$A$1:$I$89,3,0)*0.475*44/12</f>
        <v>18.999436565161737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134"/>
        <v>18.999436565161737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projet'!$A$175:$I$195,2,0)</f>
        <v>#N/A</v>
      </c>
      <c r="DM91" s="12" t="e">
        <f>VLOOKUP(A91,'Données projet'!$A$175:$I$195,9,0)</f>
        <v>#N/A</v>
      </c>
      <c r="DN91" s="12">
        <f t="array" ref="DN91">INDEX(DM:DM,MIN(IF(ISNUMBER(DM91:DM287),ROW(DM91:DM287),"")))</f>
        <v>0</v>
      </c>
      <c r="DO91" s="12">
        <f>IF('Données projet'!$A$176&gt;35,DO90+DN91-DW90,IF(A91&lt;'Données projet'!$A$176,$DL$205^A91,IF(A91='Données projet'!$A$176,'Données projet'!$B$176,DO90+DN91-DW90)))</f>
        <v>-2.8421709430404007E-13</v>
      </c>
      <c r="DP91" s="17">
        <f>DO91*VLOOKUP('Données projet'!$B$14,Paramètres!$A$1:$I$89,3,0)*VLOOKUP('Données projet'!$B$14,Paramètres!$A$1:$I$89,5,0)</f>
        <v>-2.0838797354372215E-13</v>
      </c>
      <c r="DQ91" s="13" t="e">
        <f t="shared" si="192"/>
        <v>#NUM!</v>
      </c>
      <c r="DR91" s="20" t="e">
        <f t="shared" si="135"/>
        <v>#NUM!</v>
      </c>
      <c r="DS91" s="59" t="e">
        <f t="shared" si="136"/>
        <v>#NUM!</v>
      </c>
      <c r="DT91" s="59">
        <f ca="1">AVERAGE(OFFSET($DS$3,0,0,'Données projet'!$E$14+1,1))-AVERAGE(OFFSET($H$3,0,0,'Données projet'!$E$14+1,1))</f>
        <v>296.91321813251051</v>
      </c>
      <c r="DU91" s="59">
        <f t="shared" si="193"/>
        <v>291.0718079639509</v>
      </c>
      <c r="DV91" s="15">
        <f>IF(ISNA(VLOOKUP(A91,'Données projet'!$A$175:$I$195,3,0)),0,VLOOKUP(A91,'Données projet'!$A$175:$I$195,3,0))</f>
        <v>0</v>
      </c>
      <c r="DW91" s="15">
        <f>IF(ISNA(VLOOKUP(A91,'Données projet'!$A$175:$I$195,4,0)),0,VLOOKUP(A91,'Données projet'!$A$175:$I$195,4,0))</f>
        <v>0</v>
      </c>
      <c r="DX91" s="16">
        <f>IF(ISNA(VLOOKUP(A91,'Données projet'!$A$175:$I$195,5,0)),0%,VLOOKUP(A91,'Données projet'!$A$175:$I$195,5,0)*VLOOKUP('Données projet'!$B$14,Paramètres!$A$1:$I$89,7,0))</f>
        <v>0</v>
      </c>
      <c r="DY91" s="16">
        <f>IF(ISNA(VLOOKUP(A91,'Données projet'!$A$175:$I$195,6,0)),0%,VLOOKUP(A91,'Données projet'!$A$175:$I$195,6,0)*VLOOKUP('Données projet'!$B$14,Paramètres!$A$1:$I$89,7,0))</f>
        <v>0</v>
      </c>
      <c r="DZ91" s="16">
        <f>IF(ISNA(VLOOKUP(A91,'Données projet'!$A$175:$I$195,7,0)),0%,VLOOKUP(A91,'Données projet'!$A$175:$I$195,7,0))</f>
        <v>0</v>
      </c>
      <c r="EA91" s="21">
        <f>EXP(-LN(2)/35)*EA90+(1-EXP(-LN(2)/35))/(LN(2)/35)*DW91*DX91*VLOOKUP('Données projet'!$B$14,Paramètres!$A$1:$I$89,3,0)*0.475*44/12</f>
        <v>148.04318124954963</v>
      </c>
      <c r="EB91" s="21">
        <f>EXP(-LN(2)/25)*EB90+(1-EXP(-LN(2)/25))/(LN(2)/25)*Calculateur!DW91*Calculateur!DY91*VLOOKUP('Données projet'!$B$14,Paramètres!$A$1:$I$89,3,0)*0.475*44/12</f>
        <v>4.2896279469615939</v>
      </c>
      <c r="EC91" s="21">
        <f>EXP(-LN(2)/2)*EC90+(1-EXP(-LN(2)/2))/(LN(2)/2)*DW91*DZ91*VLOOKUP('Données projet'!$B$14,Paramètres!$A$1:$I$89,3,0)*0.475*44/12</f>
        <v>0</v>
      </c>
      <c r="ED91" s="22">
        <f t="shared" si="137"/>
        <v>152.33280919651122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projet'!$A$201:$I$221,2,0)</f>
        <v>#N/A</v>
      </c>
      <c r="EH91" s="12" t="e">
        <f>VLOOKUP(A91,'Données projet'!$A$201:$I$221,9,0)</f>
        <v>#N/A</v>
      </c>
      <c r="EI91" s="12">
        <f t="array" ref="EI91">INDEX(EH:EH,MIN(IF(ISNUMBER(EH91:EH287),ROW(EH91:EH287),"")))</f>
        <v>8.1391025641025667</v>
      </c>
      <c r="EJ91" s="12">
        <f>IF('Données projet'!$A$202&gt;35,EJ90+EI91-ER90,IF(A91&lt;'Données projet'!$A$202,$EG$205^A91,IF(A91='Données projet'!$A$202,'Données projet'!$B$202,EJ90+EI91-ER90)))</f>
        <v>308.33910256410275</v>
      </c>
      <c r="EK91" s="17">
        <f>EJ91*VLOOKUP('Données projet'!$B$15,Paramètres!$A$1:$I$89,3,0)*VLOOKUP('Données projet'!$B$15,Paramètres!$A$1:$I$89,5,0)</f>
        <v>144.30270000000007</v>
      </c>
      <c r="EL91" s="13">
        <f t="shared" si="194"/>
        <v>37.280950392910917</v>
      </c>
      <c r="EM91" s="20">
        <f t="shared" si="138"/>
        <v>316.25819110098661</v>
      </c>
      <c r="EN91" s="59">
        <f t="shared" si="139"/>
        <v>609.59152443431992</v>
      </c>
      <c r="EO91" s="59">
        <f ca="1">AVERAGE(OFFSET($EN$3,0,0,'Données projet'!$E$15+1,1))-AVERAGE(OFFSET($H$3,0,0,'Données projet'!$E$15+1,1))</f>
        <v>147.64256291235483</v>
      </c>
      <c r="EP91" s="59">
        <f t="shared" si="195"/>
        <v>70.859031694091868</v>
      </c>
      <c r="EQ91" s="15">
        <f>IF(ISNA(VLOOKUP(A91,'Données projet'!$A$201:$I$221,3,0)),0,VLOOKUP(A91,'Données projet'!$A$201:$I$221,3,0))</f>
        <v>0</v>
      </c>
      <c r="ER91" s="15">
        <f>IF(ISNA(VLOOKUP(A91,'Données projet'!$A$201:$I$221,4,0)),0,VLOOKUP(A91,'Données projet'!$A$201:$I$221,4,0))</f>
        <v>0</v>
      </c>
      <c r="ES91" s="16">
        <f>IF(ISNA(VLOOKUP(A91,'Données projet'!$A$201:$I$221,5,0)),0%,VLOOKUP(A91,'Données projet'!$A$201:$I$221,5,0)*VLOOKUP('Données projet'!$B$15,Paramètres!$A$1:$I$89,7,0))</f>
        <v>0</v>
      </c>
      <c r="ET91" s="16">
        <f>IF(ISNA(VLOOKUP(A91,'Données projet'!$A$201:$I$221,6,0)),0%,VLOOKUP(A91,'Données projet'!$A$201:$I$221,6,0)*VLOOKUP('Données projet'!$B$15,Paramètres!$A$1:$I$89,7,0))</f>
        <v>0</v>
      </c>
      <c r="EU91" s="16">
        <f>IF(ISNA(VLOOKUP(A91,'Données projet'!$A$201:$I$221,7,0)),0%,VLOOKUP(A91,'Données projet'!$A$201:$I$221,7,0))</f>
        <v>0</v>
      </c>
      <c r="EV91" s="21">
        <f>EXP(-LN(2)/35)*EV90+(1-EXP(-LN(2)/35))/(LN(2)/35)*ER91*ES91*VLOOKUP('Données projet'!$B$15,Paramètres!$A$1:$I$89,3,0)*0.475*44/12</f>
        <v>50.953479076531998</v>
      </c>
      <c r="EW91" s="21">
        <f>EXP(-LN(2)/25)*EW90+(1-EXP(-LN(2)/25))/(LN(2)/25)*Calculateur!ER91*Calculateur!ET91*VLOOKUP('Données projet'!$B$15,Paramètres!$A$1:$I$89,3,0)*0.475*44/12</f>
        <v>17.947681709682676</v>
      </c>
      <c r="EX91" s="21">
        <f>EXP(-LN(2)/2)*EX90+(1-EXP(-LN(2)/2))/(LN(2)/2)*ER91*EU91*VLOOKUP('Données projet'!$B$15,Paramètres!$A$1:$I$89,3,0)*0.475*44/12</f>
        <v>4.1693406447547234</v>
      </c>
      <c r="EY91" s="22">
        <f t="shared" si="140"/>
        <v>73.070501430969401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projet'!$A$227:$I$247,2,0)</f>
        <v>#N/A</v>
      </c>
      <c r="FC91" s="12" t="e">
        <f>VLOOKUP(A91,'Données projet'!$A$227:$I$247,9,0)</f>
        <v>#N/A</v>
      </c>
      <c r="FD91" s="12">
        <f t="array" ref="FD91">INDEX(FC:FC,MIN(IF(ISNUMBER(FC91:FC287),ROW(FC91:FC287),"")))</f>
        <v>2.8</v>
      </c>
      <c r="FE91" s="12">
        <f>IF('Données projet'!$A$228&gt;35,FE90+FD91-FM90,IF(A91&lt;'Données projet'!$A$228,$FB$205^A91,IF(A91='Données projet'!$A$228,'Données projet'!$B$228,FE90+FD91-FM90)))</f>
        <v>209.4</v>
      </c>
      <c r="FF91" s="17">
        <f>FE91*VLOOKUP('Données projet'!$B$16,Paramètres!$A$1:$I$89,3,0)*VLOOKUP('Données projet'!$B$16,Paramètres!$A$1:$I$89,5,0)</f>
        <v>218.86488</v>
      </c>
      <c r="FG91" s="13">
        <f t="shared" si="196"/>
        <v>53.868098768794098</v>
      </c>
      <c r="FH91" s="20">
        <f t="shared" si="141"/>
        <v>475.00993802231642</v>
      </c>
      <c r="FI91" s="59">
        <f t="shared" si="142"/>
        <v>768.34327135564968</v>
      </c>
      <c r="FJ91" s="59">
        <f ca="1">AVERAGE(OFFSET($FI$3,0,0,'Données projet'!$E$16+1,1))-AVERAGE(OFFSET($H$3,0,0,'Données projet'!$E$16+1,1))</f>
        <v>259.03906550253788</v>
      </c>
      <c r="FK91" s="59">
        <f t="shared" si="197"/>
        <v>235.54542903570831</v>
      </c>
      <c r="FL91" s="15">
        <f>IF(ISNA(VLOOKUP(A91,'Données projet'!$A$227:$I$247,3,0)),0,VLOOKUP(A91,'Données projet'!$A$227:$I$247,3,0))</f>
        <v>0</v>
      </c>
      <c r="FM91" s="15">
        <f>IF(ISNA(VLOOKUP(A91,'Données projet'!$A$227:$I$247,4,0)),0,VLOOKUP(A91,'Données projet'!$A$227:$I$247,4,0))</f>
        <v>0</v>
      </c>
      <c r="FN91" s="16">
        <f>IF(ISNA(VLOOKUP(A91,'Données projet'!$A$227:$I$247,5,0)),0%,VLOOKUP(A91,'Données projet'!$A$227:$I$247,5,0)*VLOOKUP('Données projet'!$B$16,Paramètres!$A$1:$I$89,7,0))</f>
        <v>0</v>
      </c>
      <c r="FO91" s="16">
        <f>IF(ISNA(VLOOKUP(A91,'Données projet'!$A$227:$I$247,6,0)),0%,VLOOKUP(A91,'Données projet'!$A$227:$I$247,6,0)*VLOOKUP('Données projet'!$B$16,Paramètres!$A$1:$I$89,7,0))</f>
        <v>0</v>
      </c>
      <c r="FP91" s="16">
        <f>IF(ISNA(VLOOKUP(A91,'Données projet'!$A$227:$I$247,7,0)),0%,VLOOKUP(A91,'Données projet'!$A$227:$I$247,7,0))</f>
        <v>0</v>
      </c>
      <c r="FQ91" s="21">
        <f>EXP(-LN(2)/35)*FQ90+(1-EXP(-LN(2)/35))/(LN(2)/35)*FM91*FN91*VLOOKUP('Données projet'!$B$16,Paramètres!$A$1:$I$89,3,0)*0.475*44/12</f>
        <v>13.472345756529874</v>
      </c>
      <c r="FR91" s="21">
        <f>EXP(-LN(2)/25)*FR90+(1-EXP(-LN(2)/25))/(LN(2)/25)*Calculateur!FM91*Calculateur!FO91*VLOOKUP('Données projet'!$B$16,Paramètres!$A$1:$I$89,3,0)*0.475*44/12</f>
        <v>15.56716080587003</v>
      </c>
      <c r="FS91" s="21">
        <f>EXP(-LN(2)/2)*FS90+(1-EXP(-LN(2)/2))/(LN(2)/2)*FM91*FP91*VLOOKUP('Données projet'!$B$16,Paramètres!$A$1:$I$89,3,0)*0.475*44/12</f>
        <v>0</v>
      </c>
      <c r="FT91" s="22">
        <f t="shared" si="143"/>
        <v>29.039506562399904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projet'!$A$253:$I$273,2,0)</f>
        <v>#N/A</v>
      </c>
      <c r="FX91" s="12" t="e">
        <f>VLOOKUP(A91,'Données projet'!$A$253:$I$273,9,0)</f>
        <v>#N/A</v>
      </c>
      <c r="FY91" s="12">
        <f t="array" ref="FY91">INDEX(FX:FX,MIN(IF(ISNUMBER(FX91:FX287),ROW(FX91:FX287),"")))</f>
        <v>0</v>
      </c>
      <c r="FZ91" s="12">
        <f>IF('Données projet'!$A$254&gt;35,FZ90+FY91-GH90,IF(A91&lt;'Données projet'!$A$254,$FW$205^A91,IF(A91='Données projet'!$A$254,'Données projet'!$B$254,FZ90+FY91-GH90)))</f>
        <v>-1.7053025658242404E-13</v>
      </c>
      <c r="GA91" s="17">
        <f>FZ91*VLOOKUP('Données projet'!$B$17,Paramètres!$A$1:$I$89,3,0)*VLOOKUP('Données projet'!$B$17,Paramètres!$A$1:$I$89,5,0)</f>
        <v>-1.4897523215040567E-13</v>
      </c>
      <c r="GB91" s="13" t="e">
        <f t="shared" si="198"/>
        <v>#NUM!</v>
      </c>
      <c r="GC91" s="20" t="e">
        <f t="shared" si="144"/>
        <v>#NUM!</v>
      </c>
      <c r="GD91" s="59" t="e">
        <f t="shared" si="145"/>
        <v>#NUM!</v>
      </c>
      <c r="GE91" s="59">
        <f ca="1">AVERAGE(OFFSET($GD$3,0,0,'Données projet'!$E$17+1,1))-AVERAGE(OFFSET($H$3,0,0,'Données projet'!$E$17+1,1))</f>
        <v>245.1983232777614</v>
      </c>
      <c r="GF91" s="59">
        <f t="shared" si="199"/>
        <v>242.34010522344573</v>
      </c>
      <c r="GG91" s="15">
        <f>IF(ISNA(VLOOKUP(A91,'Données projet'!$A$253:$I$273,3,0)),0,VLOOKUP(A91,'Données projet'!$A$253:$I$273,3,0))</f>
        <v>0</v>
      </c>
      <c r="GH91" s="15">
        <f>IF(ISNA(VLOOKUP(A91,'Données projet'!$A$253:$I$273,4,0)),0,VLOOKUP(A91,'Données projet'!$A$253:$I$273,4,0))</f>
        <v>0</v>
      </c>
      <c r="GI91" s="16">
        <f>IF(ISNA(VLOOKUP(A91,'Données projet'!$A$253:$I$273,5,0)),0%,VLOOKUP(A91,'Données projet'!$A$253:$I$273,5,0)*VLOOKUP('Données projet'!$B$17,Paramètres!$A$1:$I$89,7,0))</f>
        <v>0</v>
      </c>
      <c r="GJ91" s="16">
        <f>IF(ISNA(VLOOKUP(A91,'Données projet'!$A$253:$I$273,6,0)),0%,VLOOKUP(A91,'Données projet'!$A$253:$I$273,6,0)*VLOOKUP('Données projet'!$B$17,Paramètres!$A$1:$I$89,7,0))</f>
        <v>0</v>
      </c>
      <c r="GK91" s="16">
        <f>IF(ISNA(VLOOKUP(A91,'Données projet'!$A$253:$I$273,7,0)),0%,VLOOKUP(A91,'Données projet'!$A$253:$I$273,7,0))</f>
        <v>0</v>
      </c>
      <c r="GL91" s="21">
        <f>EXP(-LN(2)/35)*GL90+(1-EXP(-LN(2)/35))/(LN(2)/35)*GH91*GI91*VLOOKUP('Données projet'!$B$17,Paramètres!$A$1:$I$89,3,0)*0.475*44/12</f>
        <v>105.16609951041914</v>
      </c>
      <c r="GM91" s="21">
        <f>EXP(-LN(2)/25)*GM90+(1-EXP(-LN(2)/25))/(LN(2)/25)*Calculateur!GH91*Calculateur!GJ91*VLOOKUP('Données projet'!$B$17,Paramètres!$A$1:$I$89,3,0)*0.475*44/12</f>
        <v>17.444985666823221</v>
      </c>
      <c r="GN91" s="21">
        <f>EXP(-LN(2)/2)*GN90+(1-EXP(-LN(2)/2))/(LN(2)/2)*GH91*GK91*VLOOKUP('Données projet'!$B$17,Paramètres!$A$1:$I$89,3,0)*0.475*44/12</f>
        <v>0</v>
      </c>
      <c r="GO91" s="21">
        <f t="shared" si="146"/>
        <v>122.61108517724236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projet'!$A$279:$I$299,2,0)</f>
        <v>#N/A</v>
      </c>
      <c r="GS91" s="12" t="e">
        <f>VLOOKUP(A91,'Données projet'!$A$279:$I$299,9,0)</f>
        <v>#N/A</v>
      </c>
      <c r="GT91" s="12">
        <f t="array" ref="GT91">INDEX(GS:GS,MIN(IF(ISNUMBER(GS91:GS287),ROW(GS91:GS287),"")))</f>
        <v>0</v>
      </c>
      <c r="GU91" s="12">
        <f>IF('Données projet'!$A$280&gt;35,GU90+GT91-HC90,IF(A91&lt;'Données projet'!$A$280,$GR$205^A91,IF(A91='Données projet'!$A$280,'Données projet'!$B$280,GU90+GT91-HC90)))</f>
        <v>-1.1368683772161603E-13</v>
      </c>
      <c r="GV91" s="17">
        <f>GU91*VLOOKUP('Données projet'!$B$18,Paramètres!$A$1:$I$89,3,0)*VLOOKUP('Données projet'!$B$18,Paramètres!$A$1:$I$89,5,0)</f>
        <v>-4.5815795601811263E-14</v>
      </c>
      <c r="GW91" s="13" t="e">
        <f t="shared" si="200"/>
        <v>#NUM!</v>
      </c>
      <c r="GX91" s="20" t="e">
        <f t="shared" si="147"/>
        <v>#NUM!</v>
      </c>
      <c r="GY91" s="59" t="e">
        <f t="shared" si="148"/>
        <v>#NUM!</v>
      </c>
      <c r="GZ91" s="59">
        <f ca="1">AVERAGE(OFFSET($GY$3,0,0,'Données projet'!$E$18+1,1))-AVERAGE(OFFSET($H$3,0,0,'Données projet'!$E$18+1,1))</f>
        <v>324.36162935850876</v>
      </c>
      <c r="HA91" s="59">
        <f t="shared" si="201"/>
        <v>265.23571072429735</v>
      </c>
      <c r="HB91" s="15">
        <f>IF(ISNA(VLOOKUP(A91,'Données projet'!$A$279:$I$299,3,0)),0,VLOOKUP(A91,'Données projet'!$A$279:$I$299,3,0))</f>
        <v>0</v>
      </c>
      <c r="HC91" s="15">
        <f>IF(ISNA(VLOOKUP(A91,'Données projet'!$A$279:$I$299,4,0)),0,VLOOKUP(A91,'Données projet'!$A$279:$I$299,4,0))</f>
        <v>0</v>
      </c>
      <c r="HD91" s="16">
        <f>IF(ISNA(VLOOKUP(A91,'Données projet'!$A$279:$I$299,5,0)),0%,VLOOKUP(A91,'Données projet'!$A$279:$I$299,5,0)*VLOOKUP('Données projet'!$B$18,Paramètres!$A$1:$I$89,7,0))</f>
        <v>0</v>
      </c>
      <c r="HE91" s="16">
        <f>IF(ISNA(VLOOKUP(A91,'Données projet'!$A$279:$I$299,6,0)),0%,VLOOKUP(A91,'Données projet'!$A$279:$I$299,6,0)*VLOOKUP('Données projet'!$B$18,Paramètres!$A$1:$I$89,7,0))</f>
        <v>0</v>
      </c>
      <c r="HF91" s="16">
        <f>IF(ISNA(VLOOKUP($A91,'Données projet'!$A$279:$I$299,7,0)),0%,VLOOKUP($A91,'Données projet'!$A$279:$I$299,7,0))</f>
        <v>0</v>
      </c>
      <c r="HG91" s="21">
        <f>EXP(-LN(2)/35)*HG90+(1-EXP(-LN(2)/35))/(LN(2)/35)*HC91*HD91*VLOOKUP('Données projet'!$B$18,Paramètres!$A$1:$I$89,3,0)*0.475*44/12</f>
        <v>201.52573905856624</v>
      </c>
      <c r="HH91" s="21">
        <f>EXP(-LN(2)/25)*HH90+(1-EXP(-LN(2)/25))/(LN(2)/25)*Calculateur!HC91*Calculateur!HE91*VLOOKUP('Données projet'!$B$18,Paramètres!$A$1:$I$89,3,0)*0.475*44/12</f>
        <v>19.401944377265476</v>
      </c>
      <c r="HI91" s="21">
        <f>EXP(-LN(2)/2)*HI90+(1-EXP(-LN(2)/2))/(LN(2)/2)*HC91*HF91*VLOOKUP('Données projet'!$B$18,Paramètres!$A$1:$I$89,3,0)*0.475*44/12</f>
        <v>0.53420060683624548</v>
      </c>
      <c r="HJ91" s="22">
        <f t="shared" si="149"/>
        <v>221.46188404266795</v>
      </c>
      <c r="HK91" s="74">
        <f>('Scénario référence'!$F$8+'Scénario référence'!$F$9+'Scénario référence'!$B$17+'Scénario référence'!$B$9+'Scénario référence'!$B$10)*70+IF((45+25*(1-EXP(-0.0175*$A91)))&lt;70,'Scénario référence'!$B$16*(45+25*(1-EXP(-0.0175*$A91))),70*'Scénario référence'!$B$16)+IF((32+38*(1-EXP(-0.0175*$A91)))&lt;70,'Scénario référence'!$B$18*(32+38*(1-EXP(-0.0175*$A91))),70*'Scénario référence'!$B$18)</f>
        <v>70</v>
      </c>
      <c r="HL91" s="12">
        <f>IF($A91&gt;30,10,('Scénario référence'!$B$16+'Scénario référence'!$B$17+'Scénario référence'!$B$18+'Scénario référence'!$B$9+'Scénario référence'!$B$10)*$A91*10/30+('Scénario référence'!$F$8+'Scénario référence'!$F$9)*10)</f>
        <v>10</v>
      </c>
      <c r="HM91" s="12" t="e">
        <f>VLOOKUP($A91,'Données projet'!$A$304:$I$324,2,0)</f>
        <v>#N/A</v>
      </c>
      <c r="HN91" s="12" t="e">
        <f>VLOOKUP($A91,'Données projet'!$A$304:$I$324,9,0)</f>
        <v>#N/A</v>
      </c>
      <c r="HO91" s="12">
        <f t="array" ref="HO91">INDEX(HN:HN,MIN(IF(ISNUMBER(HN91:HN287),ROW(HN91:HN287),"")))</f>
        <v>0</v>
      </c>
      <c r="HP91" s="12">
        <f>IF('Données projet'!$A$304&gt;35,HP90+HO91-HX90,IF($A91&lt;'Données projet'!$A$304,$CQ$205^$A91,IF($A91='Données projet'!$A$304,'Données projet'!$B$304,HP90+HO91-HX90)))</f>
        <v>0</v>
      </c>
      <c r="HQ91" s="17">
        <f>HP91*VLOOKUP('Données projet'!$B$19,Paramètres!$A$1:$I$89,3,0)*VLOOKUP('Données projet'!$B$19,Paramètres!$A$1:$I$89,5,0)</f>
        <v>0</v>
      </c>
      <c r="HR91" s="13" t="e">
        <f t="shared" si="202"/>
        <v>#NUM!</v>
      </c>
      <c r="HS91" s="14" t="e">
        <f t="shared" si="150"/>
        <v>#NUM!</v>
      </c>
      <c r="HT91" s="59" t="e">
        <f t="shared" si="151"/>
        <v>#NUM!</v>
      </c>
      <c r="HU91" s="59">
        <f ca="1">AVERAGE(OFFSET(HT$3,0,0,'Données projet'!$E$19+1,1))-AVERAGE(OFFSET($H$3,0,0,'Données projet'!$E$19+1,1))</f>
        <v>91.60721429656013</v>
      </c>
      <c r="HV91" s="59">
        <f t="shared" si="203"/>
        <v>258.94957804210856</v>
      </c>
      <c r="HW91" s="15">
        <f>IF(ISNA(VLOOKUP($A91,'Données projet'!$A$304:$I$324,3,0)),0,VLOOKUP($A91,'Données projet'!$A$304:$I$324,3,0))</f>
        <v>0</v>
      </c>
      <c r="HX91" s="15">
        <f>IF(ISNA(VLOOKUP($A91,'Données projet'!$A$304:$I$324,4,0)),0,VLOOKUP($A91,'Données projet'!$A$304:$I$324,4,0))</f>
        <v>0</v>
      </c>
      <c r="HY91" s="16">
        <f>IF(ISNA(VLOOKUP($A91,'Données projet'!$A$304:$I$324,5,0)),0%,VLOOKUP($A91,'Données projet'!$A$304:$I$324,5,0)*VLOOKUP('Données projet'!$B$19,Paramètres!$A$1:$I$89,7,0))</f>
        <v>0</v>
      </c>
      <c r="HZ91" s="16">
        <f>IF(ISNA(VLOOKUP($A91,'Données projet'!$A$304:$I$324,6,0)),0%,VLOOKUP($A91,'Données projet'!$A$304:$I$324,6,0)*VLOOKUP('Données projet'!$B$19,Paramètres!$A$1:$I$89,7,0))</f>
        <v>0</v>
      </c>
      <c r="IA91" s="16">
        <f>IF(ISNA(VLOOKUP($A91,'Données projet'!$A$304:$I$324,7,0)),0%,VLOOKUP($A91,'Données projet'!$A$304:$I$324,7,0))</f>
        <v>0</v>
      </c>
      <c r="IB91" s="21">
        <f>EXP(-LN(2)/35)*IB90+(1-EXP(-LN(2)/35))/(LN(2)/35)*HX91*HY91*VLOOKUP('Données projet'!$B$19,Paramètres!$A$1:$I$89,3,0)*0.475*44/12</f>
        <v>15.641745652614242</v>
      </c>
      <c r="IC91" s="21">
        <f>EXP(-LN(2)/25)*IC90+(1-EXP(-LN(2)/25))/(LN(2)/25)*Calculateur!HX91*Calculateur!HZ91*VLOOKUP('Données projet'!$B$19,Paramètres!$A$1:$I$89,3,0)*0.475*44/12</f>
        <v>1.9481472044201726</v>
      </c>
      <c r="ID91" s="21">
        <f>EXP(-LN(2)/2)*ID90+(1-EXP(-LN(2)/2))/(LN(2)/2)*HX91*IA91*VLOOKUP('Données projet'!$B$19,Paramètres!$A$1:$I$89,3,0)*0.475*44/12</f>
        <v>1.0670205796956598E-9</v>
      </c>
      <c r="IE91" s="22">
        <f t="shared" si="152"/>
        <v>17.589892858101436</v>
      </c>
      <c r="IF91" s="74">
        <f>('Scénario référence'!$F$8+'Scénario référence'!$F$9+'Scénario référence'!$B$17+'Scénario référence'!$B$9+'Scénario référence'!$B$10)*70+IF((45+25*(1-EXP(-0.0175*$A91)))&lt;70,'Scénario référence'!$B$16*(45+25*(1-EXP(-0.0175*$A91))),70*'Scénario référence'!$B$16)+IF((32+38*(1-EXP(-0.0175*$A91)))&lt;70,'Scénario référence'!$B$18*(32+38*(1-EXP(-0.0175*$A91))),70*'Scénario référence'!$B$18)</f>
        <v>70</v>
      </c>
      <c r="IG91" s="12">
        <f>IF($A91&gt;30,10,('Scénario référence'!$B$16+'Scénario référence'!$B$17+'Scénario référence'!$B$18+'Scénario référence'!$B$9+'Scénario référence'!$B$10)*$A91*10/30+('Scénario référence'!$F$8+'Scénario référence'!$F$9)*10)</f>
        <v>10</v>
      </c>
      <c r="IH91" s="12" t="e">
        <f>VLOOKUP($A91,'Données projet'!$A$330:$I$350,2,0)</f>
        <v>#N/A</v>
      </c>
      <c r="II91" s="12" t="e">
        <f>VLOOKUP($A91,'Données projet'!$A$330:$I$350,9,0)</f>
        <v>#N/A</v>
      </c>
      <c r="IJ91" s="12">
        <f t="array" ref="IJ91">INDEX(II:II,MIN(IF(ISNUMBER(II91:II287),ROW(II91:II287),"")))</f>
        <v>0</v>
      </c>
      <c r="IK91" s="12">
        <f>IF('Données projet'!$A$330&gt;35,IK90+IJ91-IS90,IF($A91&lt;'Données projet'!$A$330,$CQ$205^$A91,IF($A91='Données projet'!$A$330,'Données projet'!$B$330,IK90+IJ91-IS90)))</f>
        <v>0</v>
      </c>
      <c r="IL91" s="17">
        <f>IK91*VLOOKUP('Données projet'!$B$20,Paramètres!$A$1:$I$89,3,0)*VLOOKUP('Données projet'!$B$20,Paramètres!$A$1:$I$89,5,0)</f>
        <v>0</v>
      </c>
      <c r="IM91" s="13" t="e">
        <f t="shared" si="204"/>
        <v>#NUM!</v>
      </c>
      <c r="IN91" s="20" t="e">
        <f t="shared" si="153"/>
        <v>#NUM!</v>
      </c>
      <c r="IO91" s="59" t="e">
        <f t="shared" si="154"/>
        <v>#NUM!</v>
      </c>
      <c r="IP91" s="59">
        <f ca="1">AVERAGE(OFFSET(IO$3,0,0,'Données projet'!$E$20+1,1))-AVERAGE(OFFSET($H$3,0,0,'Données projet'!$E$20+1,1))</f>
        <v>91.60721429656013</v>
      </c>
      <c r="IQ91" s="59">
        <f t="shared" si="205"/>
        <v>258.94957804210856</v>
      </c>
      <c r="IR91" s="15">
        <f>IF(ISNA(VLOOKUP($A91,'Données projet'!$A$330:$I$350,3,0)),0,VLOOKUP($A91,'Données projet'!$A$330:$I$350,3,0))</f>
        <v>0</v>
      </c>
      <c r="IS91" s="15">
        <f>IF(ISNA(VLOOKUP($A91,'Données projet'!$A$330:$I$350,4,0)),0,VLOOKUP($A91,'Données projet'!$A$330:$I$350,4,0))</f>
        <v>0</v>
      </c>
      <c r="IT91" s="16">
        <f>IF(ISNA(VLOOKUP($A91,'Données projet'!$A$330:$I$350,5,0)),0%,VLOOKUP($A91,'Données projet'!$A$330:$I$350,5,0)*VLOOKUP('Données projet'!$B$20,Paramètres!$A$1:$I$89,7,0))</f>
        <v>0</v>
      </c>
      <c r="IU91" s="16">
        <f>IF(ISNA(VLOOKUP($A91,'Données projet'!$A$330:$I$350,6,0)),0%,VLOOKUP($A91,'Données projet'!$A$330:$I$350,6,0)*VLOOKUP('Données projet'!$B$20,Paramètres!$A$1:$I$89,7,0))</f>
        <v>0</v>
      </c>
      <c r="IV91" s="16">
        <f>IF(ISNA(VLOOKUP($A91,'Données projet'!$A$330:$I$350,7,0)),0%,VLOOKUP($A91,'Données projet'!$A$330:$I$350,7,0))</f>
        <v>0</v>
      </c>
      <c r="IW91" s="21">
        <f>EXP(-LN(2)/35)*IW90+(1-EXP(-LN(2)/35))/(LN(2)/35)*IS91*IT91*VLOOKUP('Données projet'!$B$20,Paramètres!$A$1:$I$89,3,0)*0.475*44/12</f>
        <v>15.641745652614242</v>
      </c>
      <c r="IX91" s="21">
        <f>EXP(-LN(2)/25)*IX90+(1-EXP(-LN(2)/25))/(LN(2)/25)*Calculateur!IS91*Calculateur!IU91*VLOOKUP('Données projet'!$B$20,Paramètres!$A$1:$I$89,3,0)*0.475*44/12</f>
        <v>1.9481472044201726</v>
      </c>
      <c r="IY91" s="21">
        <f>EXP(-LN(2)/2)*IY90+(1-EXP(-LN(2)/2))/(LN(2)/2)*IS91*IV91*VLOOKUP('Données projet'!$B$20,Paramètres!$A$1:$I$89,3,0)*0.475*44/12</f>
        <v>1.0670205796956598E-9</v>
      </c>
      <c r="IZ91" s="22">
        <f t="shared" si="155"/>
        <v>17.589892858101436</v>
      </c>
      <c r="JA91" s="74">
        <f>('Scénario référence'!$F$8+'Scénario référence'!$F$9+'Scénario référence'!$B$17+'Scénario référence'!$B$9+'Scénario référence'!$B$10)*70+IF((45+25*(1-EXP(-0.0175*$A91)))&lt;70,'Scénario référence'!$B$16*(45+25*(1-EXP(-0.0175*$A91))),70*'Scénario référence'!$B$16)+IF((32+38*(1-EXP(-0.0175*$A91)))&lt;70,'Scénario référence'!$B$18*(32+38*(1-EXP(-0.0175*$A91))),70*'Scénario référence'!$B$18)</f>
        <v>70</v>
      </c>
      <c r="JB91" s="12">
        <f>IF($A91&gt;30,10,('Scénario référence'!$B$16+'Scénario référence'!$B$17+'Scénario référence'!$B$18+'Scénario référence'!$B$9+'Scénario référence'!$B$10)*$A91*10/30+('Scénario référence'!$F$8+'Scénario référence'!$F$9)*10)</f>
        <v>10</v>
      </c>
      <c r="JC91" s="12" t="e">
        <f>VLOOKUP($A91,'Données projet'!$A$356:$I$376,2,0)</f>
        <v>#N/A</v>
      </c>
      <c r="JD91" s="12" t="e">
        <f>VLOOKUP($A91,'Données projet'!$A$356:$I$376,9,0)</f>
        <v>#N/A</v>
      </c>
      <c r="JE91" s="12">
        <f t="array" ref="JE91">INDEX(JD:JD,MIN(IF(ISNUMBER(JD91:JD287),ROW(JD91:JD287),"")))</f>
        <v>5.4</v>
      </c>
      <c r="JF91" s="12">
        <f>IF('Données projet'!$A$356&gt;35,JF90+JE91-JN90,IF($A91&lt;'Données projet'!$A$356,$CQ$205^$A91,IF($A91='Données projet'!$A$356,'Données projet'!$B$356,JF90+JE91-JN90)))</f>
        <v>366.19999999999976</v>
      </c>
      <c r="JG91" s="17">
        <f>JF91*VLOOKUP('Données projet'!$B$21,Paramètres!$A$1:$I$89,3,0)*VLOOKUP('Données projet'!$B$21,Paramètres!$A$1:$I$89,5,0)</f>
        <v>297.06143999999983</v>
      </c>
      <c r="JH91" s="13">
        <f t="shared" si="206"/>
        <v>70.560075951895669</v>
      </c>
      <c r="JI91" s="20">
        <f t="shared" si="156"/>
        <v>640.27414028288456</v>
      </c>
      <c r="JJ91" s="59">
        <f t="shared" si="157"/>
        <v>933.60747361621793</v>
      </c>
      <c r="JK91" s="59">
        <f ca="1">AVERAGE(OFFSET($JJ$3,0,0,'Données projet'!$E$22+1,1))-AVERAGE(OFFSET($H$3,0,0,'Données projet'!$E$22+1,1))</f>
        <v>353.35574633294613</v>
      </c>
      <c r="JL91" s="59">
        <f t="shared" si="207"/>
        <v>170.36796666474726</v>
      </c>
      <c r="JM91" s="15">
        <f>IF(ISNA(VLOOKUP($A91,'Données projet'!$A$356:$I$376,3,0)),0,VLOOKUP($A91,'Données projet'!$A$356:$I$376,3,0))</f>
        <v>0</v>
      </c>
      <c r="JN91" s="15">
        <f>IF(ISNA(VLOOKUP($A91,'Données projet'!$A$356:$I$376,4,0)),0,VLOOKUP($A91,'Données projet'!$A$356:$I$376,4,0))</f>
        <v>0</v>
      </c>
      <c r="JO91" s="16">
        <f>IF(ISNA(VLOOKUP($A91,'Données projet'!$A$356:$I$376,5,0)),0%,VLOOKUP($A91,'Données projet'!$A$356:$I$376,5,0)*VLOOKUP('Données projet'!$B$21,Paramètres!$A$1:$I$89,7,0))</f>
        <v>0</v>
      </c>
      <c r="JP91" s="16">
        <f>IF(ISNA(VLOOKUP($A91,'Données projet'!$A$356:$I$376,6,0)),0%,VLOOKUP($A91,'Données projet'!$A$356:$I$376,6,0)*VLOOKUP('Données projet'!$B$21,Paramètres!$A$1:$I$89,7,0))</f>
        <v>0</v>
      </c>
      <c r="JQ91" s="16">
        <f>IF(ISNA(VLOOKUP($A91,'Données projet'!$A$356:$I$376,7,0)),0%,VLOOKUP($A91,'Données projet'!$A$356:$I$376,7,0))</f>
        <v>0</v>
      </c>
      <c r="JR91" s="21">
        <f>EXP(-LN(2)/35)*JR90+(1-EXP(-LN(2)/35))/(LN(2)/35)*JN91*JO91*VLOOKUP('Données projet'!$B$21,Paramètres!$A$1:$I$89,3,0)*0.475*44/12</f>
        <v>1.7561217023631364</v>
      </c>
      <c r="JS91" s="21">
        <f>EXP(-LN(2)/25)*JS90+(1-EXP(-LN(2)/25))/(LN(2)/25)*Calculateur!JN91*Calculateur!JP91*VLOOKUP('Données projet'!$B$21,Paramètres!$A$1:$I$89,3,0)*0.475*44/12</f>
        <v>14.119525868248846</v>
      </c>
      <c r="JT91" s="21">
        <f>EXP(-LN(2)/2)*JT90+(1-EXP(-LN(2)/2))/(LN(2)/2)*JN91*JQ91*VLOOKUP('Données projet'!$B$21,Paramètres!$A$1:$I$89,3,0)*0.475*44/12</f>
        <v>0.48811693981374465</v>
      </c>
      <c r="JU91" s="18">
        <f t="shared" si="158"/>
        <v>16.363764510425728</v>
      </c>
      <c r="JV91" s="74">
        <f>('Scénario référence'!$F$8+'Scénario référence'!$F$9+'Scénario référence'!$B$17+'Scénario référence'!$B$9+'Scénario référence'!$B$10)*70+IF((45+25*(1-EXP(-0.0175*$A91)))&lt;70,'Scénario référence'!$B$16*(45+25*(1-EXP(-0.0175*$A91))),70*'Scénario référence'!$B$16)+IF((32+38*(1-EXP(-0.0175*$A91)))&lt;70,'Scénario référence'!$B$18*(32+38*(1-EXP(-0.0175*$A91))),70*'Scénario référence'!$B$18)</f>
        <v>70</v>
      </c>
      <c r="JW91" s="12">
        <f>IF($A91&gt;30,10,('Scénario référence'!$B$16+'Scénario référence'!$B$17+'Scénario référence'!$B$18+'Scénario référence'!$B$9+'Scénario référence'!$B$10)*$A91*10/30+('Scénario référence'!$F$8+'Scénario référence'!$F$9)*10)</f>
        <v>10</v>
      </c>
      <c r="JX91" s="12" t="e">
        <f>VLOOKUP($A91,'Données projet'!$A$382:$I$402,2,0)</f>
        <v>#N/A</v>
      </c>
      <c r="JY91" s="12" t="e">
        <f>VLOOKUP($A91,'Données projet'!$A$382:$I$402,9,0)</f>
        <v>#N/A</v>
      </c>
      <c r="JZ91" s="12">
        <f t="array" ref="JZ91">INDEX(JY:JY,MIN(IF(ISNUMBER(JY91:JY287),ROW(JY91:JY287),"")))</f>
        <v>7.4950142450142421</v>
      </c>
      <c r="KA91" s="12">
        <f>IF('Données projet'!$A$382&gt;35,KA90+JZ91-KI90,IF($A91&lt;'Données projet'!$A$382,$CQ$205^$A91,IF($A91='Données projet'!$A$382,'Données projet'!$B$382,KA90+JZ91-KI90)))</f>
        <v>288.36396011396033</v>
      </c>
      <c r="KB91" s="17">
        <f>KA91*VLOOKUP('Données projet'!$B$22,Paramètres!$A$1:$I$89,3,0)*VLOOKUP('Données projet'!$B$22,Paramètres!$A$1:$I$89,5,0)</f>
        <v>193.43454444444458</v>
      </c>
      <c r="KC91" s="13">
        <f t="shared" si="208"/>
        <v>48.298488330456472</v>
      </c>
      <c r="KD91" s="20">
        <f t="shared" si="159"/>
        <v>421.01836541628603</v>
      </c>
      <c r="KE91" s="59">
        <f t="shared" si="160"/>
        <v>714.35169874961935</v>
      </c>
      <c r="KF91" s="59">
        <f ca="1">AVERAGE(OFFSET($KE$3,0,0,'Données projet'!$E$22+1,1))-AVERAGE(OFFSET($H$3,0,0,'Données projet'!$E$22+1,1))</f>
        <v>193.91714772848269</v>
      </c>
      <c r="KG91" s="59">
        <f t="shared" si="209"/>
        <v>159.20429420478047</v>
      </c>
      <c r="KH91" s="15">
        <f>IF(ISNA(VLOOKUP($A91,'Données projet'!$A$382:$I$402,3,0)),0,VLOOKUP($A91,'Données projet'!$A$382:$I$402,3,0))</f>
        <v>0</v>
      </c>
      <c r="KI91" s="15">
        <f>IF(ISNA(VLOOKUP($A91,'Données projet'!$A$382:$I$402,4,0)),0,VLOOKUP($A91,'Données projet'!$A$382:$I$402,4,0))</f>
        <v>0</v>
      </c>
      <c r="KJ91" s="16">
        <f>IF(ISNA(VLOOKUP($A91,'Données projet'!$A$382:$I$402,5,0)),0%,VLOOKUP($A91,'Données projet'!$A$382:$I$402,5,0)*VLOOKUP('Données projet'!$B$22,Paramètres!$A$1:$I$89,7,0))</f>
        <v>0</v>
      </c>
      <c r="KK91" s="16">
        <f>IF(ISNA(VLOOKUP($A91,'Données projet'!$A$382:$I$402,6,0)),0%,VLOOKUP($A91,'Données projet'!$A$382:$I$402,6,0)*VLOOKUP('Données projet'!$B$22,Paramètres!$A$1:$I$89,7,0))</f>
        <v>0</v>
      </c>
      <c r="KL91" s="16">
        <f>IF(ISNA(VLOOKUP($A91,'Données projet'!$A$382:$I$402,7,0)),0%,VLOOKUP($A91,'Données projet'!$A$382:$I$402,7,0))</f>
        <v>0</v>
      </c>
      <c r="KM91" s="21">
        <f>EXP(-LN(2)/35)*KM90+(1-EXP(-LN(2)/35))/(LN(2)/35)*KI91*KJ91*VLOOKUP('Données projet'!$B$22,Paramètres!$A$1:$I$89,3,0)*0.475*44/12</f>
        <v>25.552000745577669</v>
      </c>
      <c r="KN91" s="21">
        <f>EXP(-LN(2)/25)*KN90+(1-EXP(-LN(2)/25))/(LN(2)/25)*Calculateur!KI91*Calculateur!KK91*VLOOKUP('Données projet'!$B$22,Paramètres!$A$1:$I$89,3,0)*0.475*44/12</f>
        <v>0</v>
      </c>
      <c r="KO91" s="21">
        <f>EXP(-LN(2)/2)*KO90+(1-EXP(-LN(2)/2))/(LN(2)/2)*KI91*KL91*VLOOKUP('Données projet'!$B$22,Paramètres!$A$1:$I$89,3,0)*0.475*44/12</f>
        <v>0</v>
      </c>
      <c r="KP91" s="22">
        <f t="shared" si="161"/>
        <v>25.552000745577669</v>
      </c>
      <c r="KQ91" s="74">
        <f>('Scénario référence'!$F$8+'Scénario référence'!$F$9+'Scénario référence'!$B$17+'Scénario référence'!$B$9+'Scénario référence'!$B$10)*70+IF((45+25*(1-EXP(-0.0175*$A91)))&lt;70,'Scénario référence'!$B$16*(45+25*(1-EXP(-0.0175*$A91))),70*'Scénario référence'!$B$16)+IF((32+38*(1-EXP(-0.0175*$A91)))&lt;70,'Scénario référence'!$B$18*(32+38*(1-EXP(-0.0175*$A91))),70*'Scénario référence'!$B$18)</f>
        <v>70</v>
      </c>
      <c r="KR91" s="12">
        <f>IF($A91&gt;30,10,('Scénario référence'!$B$16+'Scénario référence'!$B$17+'Scénario référence'!$B$18+'Scénario référence'!$B$9+'Scénario référence'!$B$10)*$A91*10/30+('Scénario référence'!$F$8+'Scénario référence'!$F$9)*10)</f>
        <v>10</v>
      </c>
      <c r="KS91" s="12" t="e">
        <f>VLOOKUP($A91,'Données projet'!$A$408:$I$428,2,0)</f>
        <v>#N/A</v>
      </c>
      <c r="KT91" s="12" t="e">
        <f>VLOOKUP($A91,'Données projet'!$A$408:$I$428,9,0)</f>
        <v>#N/A</v>
      </c>
      <c r="KU91" s="12">
        <f t="array" ref="KU91">INDEX(KT:KT,MIN(IF(ISNUMBER(KT91:KT287),ROW(KT91:KT287),"")))</f>
        <v>0</v>
      </c>
      <c r="KV91" s="12">
        <f>IF('Données projet'!$A$408&gt;35,KV90+KU91-LD90,IF($A91&lt;'Données projet'!$A$408,$CQ$205^$A91,IF($A91='Données projet'!$A$408,'Données projet'!$B$408,KV90+KU91-LD90)))</f>
        <v>-1.1368683772161603E-13</v>
      </c>
      <c r="KW91" s="17">
        <f>KV91*VLOOKUP('Données projet'!$B$23,Paramètres!$A$1:$I$89,3,0)*VLOOKUP('Données projet'!$B$23,Paramètres!$A$1:$I$89,5,0)</f>
        <v>-9.9316821433603781E-14</v>
      </c>
      <c r="KX91" s="13" t="e">
        <f t="shared" si="210"/>
        <v>#NUM!</v>
      </c>
      <c r="KY91" s="14" t="e">
        <f t="shared" si="162"/>
        <v>#NUM!</v>
      </c>
      <c r="KZ91" s="59" t="e">
        <f t="shared" si="163"/>
        <v>#NUM!</v>
      </c>
      <c r="LA91" s="59">
        <f ca="1">AVERAGE(OFFSET($KZ$3,0,0,'Données projet'!$E$23+1,1))-AVERAGE(OFFSET($H$3,0,0,'Données projet'!$E$23+1,1))</f>
        <v>248.33596943633819</v>
      </c>
      <c r="LB91" s="59">
        <f t="shared" si="211"/>
        <v>242.34010522344573</v>
      </c>
      <c r="LC91" s="15">
        <f>IF(ISNA(VLOOKUP($A91,'Données projet'!$A$408:$I$428,3,0)),0,VLOOKUP($A91,'Données projet'!$A$408:$I$428,3,0))</f>
        <v>0</v>
      </c>
      <c r="LD91" s="15">
        <f>IF(ISNA(VLOOKUP($A91,'Données projet'!$A$408:$I$428,4,0)),0,VLOOKUP($A91,'Données projet'!$A$408:$I$428,4,0))</f>
        <v>0</v>
      </c>
      <c r="LE91" s="16">
        <f>IF(ISNA(VLOOKUP($A91,'Données projet'!$A$408:$I$428,5,0)),0%,VLOOKUP($A91,'Données projet'!$A$408:$I$428,5,0)*VLOOKUP('Données projet'!$B$23,Paramètres!$A$1:$I$89,7,0))</f>
        <v>0</v>
      </c>
      <c r="LF91" s="16">
        <f>IF(ISNA(VLOOKUP($A91,'Données projet'!$A$408:$I$428,6,0)),0%,VLOOKUP($A91,'Données projet'!$A$408:$I$428,6,0)*VLOOKUP('Données projet'!$B$23,Paramètres!$A$1:$I$89,7,0))</f>
        <v>0</v>
      </c>
      <c r="LG91" s="16">
        <f>IF(ISNA(VLOOKUP($A91,'Données projet'!$A$408:$I$428,7,0)),0%,VLOOKUP($A91,'Données projet'!$A$408:$I$428,7,0))</f>
        <v>0</v>
      </c>
      <c r="LH91" s="21">
        <f>EXP(-LN(2)/35)*LH90+(1-EXP(-LN(2)/35))/(LN(2)/35)*LD91*LE91*VLOOKUP('Données projet'!$B$23,Paramètres!$A$1:$I$89,3,0)*0.475*44/12</f>
        <v>105.16609951041914</v>
      </c>
      <c r="LI91" s="21">
        <f>EXP(-LN(2)/25)*LI90+(1-EXP(-LN(2)/25))/(LN(2)/25)*Calculateur!LD91*Calculateur!LF91*VLOOKUP('Données projet'!$B$23,Paramètres!$A$1:$I$89,3,0)*0.475*44/12</f>
        <v>17.444985666823221</v>
      </c>
      <c r="LJ91" s="21">
        <f>EXP(-LN(2)/2)*LJ90+(1-EXP(-LN(2)/2))/(LN(2)/2)*LD91*LG91*VLOOKUP('Données projet'!$B$23,Paramètres!$A$1:$I$89,3,0)*0.475*44/12</f>
        <v>0</v>
      </c>
      <c r="LK91" s="22">
        <f t="shared" si="164"/>
        <v>122.61108517724236</v>
      </c>
      <c r="LL91" s="74">
        <f>('Scénario référence'!$F$8+'Scénario référence'!$F$9+'Scénario référence'!$B$17+'Scénario référence'!$B$9+'Scénario référence'!$B$10)*70+IF((45+25*(1-EXP(-0.0175*$A91)))&lt;70,'Scénario référence'!$B$16*(45+25*(1-EXP(-0.0175*$A91))),70*'Scénario référence'!$B$16)+IF((32+38*(1-EXP(-0.0175*$A91)))&lt;70,'Scénario référence'!$B$18*(32+38*(1-EXP(-0.0175*$A91))),70*'Scénario référence'!$B$18)</f>
        <v>70</v>
      </c>
      <c r="LM91" s="12">
        <f>IF($A91&gt;30,10,('Scénario référence'!$B$16+'Scénario référence'!$B$17+'Scénario référence'!$B$18+'Scénario référence'!$B$9+'Scénario référence'!$B$10)*$A91*10/30+('Scénario référence'!$F$8+'Scénario référence'!$F$9)*10)</f>
        <v>10</v>
      </c>
      <c r="LN91" s="12" t="e">
        <f>VLOOKUP($A91,'Données projet'!$A$434:$I$454,2,0)</f>
        <v>#N/A</v>
      </c>
      <c r="LO91" s="12" t="e">
        <f>VLOOKUP($A91,'Données projet'!$A$434:$I$454,9,0)</f>
        <v>#N/A</v>
      </c>
      <c r="LP91" s="12">
        <f t="array" ref="LP91">INDEX(LO:LO,MIN(IF(ISNUMBER(LO91:LO287),ROW(LO91:LO287),"")))</f>
        <v>5.2606837606837598</v>
      </c>
      <c r="LQ91" s="12">
        <f>IF('Données projet'!$A$434&gt;35,LQ90+LP91-LY90,IF($A91&lt;'Données projet'!$A$434,$CQ$205^$A91,IF($A91='Données projet'!$A$434,'Données projet'!$B$434,LQ90+LP91-LY90)))</f>
        <v>185.96581196581181</v>
      </c>
      <c r="LR91" s="17">
        <f>LQ91*VLOOKUP('Données projet'!$B$24,Paramètres!$A$1:$I$89,3,0)*VLOOKUP('Données projet'!$B$24,Paramètres!$A$1:$I$89,5,0)</f>
        <v>188.56933333333319</v>
      </c>
      <c r="LS91" s="13">
        <f t="shared" si="212"/>
        <v>47.223513760156187</v>
      </c>
      <c r="LT91" s="14">
        <f t="shared" si="165"/>
        <v>410.67254202116061</v>
      </c>
      <c r="LU91" s="59">
        <f t="shared" si="166"/>
        <v>704.00587535449392</v>
      </c>
      <c r="LV91" s="59">
        <f ca="1">AVERAGE(OFFSET($LU$3,0,0,'Données projet'!$E$24+1,1))-AVERAGE(OFFSET($H$3,0,0,'Données projet'!$E$24+1,1))</f>
        <v>260.52627655062872</v>
      </c>
      <c r="LW91" s="59">
        <f t="shared" si="213"/>
        <v>159.20429420478047</v>
      </c>
      <c r="LX91" s="15">
        <f>IF(ISNA(VLOOKUP($A91,'Données projet'!$A$434:$I$454,3,0)),0,VLOOKUP($A91,'Données projet'!$A$434:$I$454,3,0))</f>
        <v>0</v>
      </c>
      <c r="LY91" s="15">
        <f>IF(ISNA(VLOOKUP($A91,'Données projet'!$A$434:$I$454,4,0)),0,VLOOKUP($A91,'Données projet'!$A$434:$I$454,4,0))</f>
        <v>0</v>
      </c>
      <c r="LZ91" s="16">
        <f>IF(ISNA(VLOOKUP($A91,'Données projet'!$A$434:$I$454,5,0)),0%,VLOOKUP($A91,'Données projet'!$A$434:$I$454,5,0)*VLOOKUP('Données projet'!$B$24,Paramètres!$A$1:$I$89,7,0))</f>
        <v>0</v>
      </c>
      <c r="MA91" s="16">
        <f>IF(ISNA(VLOOKUP($A91,'Données projet'!$A$434:$I$454,6,0)),0%,VLOOKUP($A91,'Données projet'!$A$434:$I$454,6,0)*VLOOKUP('Données projet'!$B$24,Paramètres!$A$1:$I$89,7,0))</f>
        <v>0</v>
      </c>
      <c r="MB91" s="16">
        <f>IF(ISNA(VLOOKUP($A91,'Données projet'!$A$434:$I$454,7,0)),0%,VLOOKUP($A91,'Données projet'!$A$434:$I$454,7,0))</f>
        <v>0</v>
      </c>
      <c r="MC91" s="21">
        <f>EXP(-LN(2)/35)*MC90+(1-EXP(-LN(2)/35))/(LN(2)/35)*LY91*LZ91*VLOOKUP('Données projet'!$B$24,Paramètres!$A$1:$I$89,3,0)*0.475*44/12</f>
        <v>18.999436565161737</v>
      </c>
      <c r="MD91" s="21">
        <f>EXP(-LN(2)/25)*MD90+(1-EXP(-LN(2)/25))/(LN(2)/25)*Calculateur!LY91*Calculateur!MA91*VLOOKUP('Données projet'!$B$24,Paramètres!$A$1:$I$89,3,0)*0.475*44/12</f>
        <v>0</v>
      </c>
      <c r="ME91" s="21">
        <f>EXP(-LN(2)/2)*ME90+(1-EXP(-LN(2)/2))/(LN(2)/2)*LY91*MB91*VLOOKUP('Données projet'!$B$24,Paramètres!$A$1:$I$89,3,0)*0.475*44/12</f>
        <v>0</v>
      </c>
      <c r="MF91" s="22">
        <f t="shared" si="167"/>
        <v>18.999436565161737</v>
      </c>
      <c r="MG91" s="74">
        <f>('Scénario référence'!$F$8+'Scénario référence'!$F$9+'Scénario référence'!$B$17+'Scénario référence'!$B$9+'Scénario référence'!$B$10)*70+IF((45+25*(1-EXP(-0.0175*$A91)))&lt;70,'Scénario référence'!$B$16*(45+25*(1-EXP(-0.0175*$A91))),70*'Scénario référence'!$B$16)+IF((32+38*(1-EXP(-0.0175*$A91)))&lt;70,'Scénario référence'!$B$18*(32+38*(1-EXP(-0.0175*$A91))),70*'Scénario référence'!$B$18)</f>
        <v>70</v>
      </c>
      <c r="MH91" s="12">
        <f>IF($A91&gt;30,10,('Scénario référence'!$B$16+'Scénario référence'!$B$17+'Scénario référence'!$B$18+'Scénario référence'!$B$9+'Scénario référence'!$B$10)*$A91*10/30+('Scénario référence'!$F$8+'Scénario référence'!$F$9)*10)</f>
        <v>10</v>
      </c>
      <c r="MI91" s="12" t="e">
        <f>VLOOKUP($A91,'Données projet'!$A$460:$I$480,2,0)</f>
        <v>#N/A</v>
      </c>
      <c r="MJ91" s="12" t="e">
        <f>VLOOKUP($A91,'Données projet'!$A$460:$I$480,9,0)</f>
        <v>#N/A</v>
      </c>
      <c r="MK91" s="12">
        <f t="array" ref="MK91">INDEX(MJ:MJ,MIN(IF(ISNUMBER(MJ91:MJ287),ROW(MJ91:MJ287),"")))</f>
        <v>0</v>
      </c>
      <c r="ML91" s="12">
        <f>IF('Données projet'!$A$460&gt;35,ML90+MK91-MT90,IF($A91&lt;'Données projet'!$A$460,$CQ$205^$A91,IF($A91='Données projet'!$A$460,'Données projet'!$B$460,ML90+MK91-MT90)))</f>
        <v>0</v>
      </c>
      <c r="MM91" s="17" t="e">
        <f>ML91*VLOOKUP('Données projet'!$B$25,Paramètres!$A$1:$I$89,3,0)*VLOOKUP('Données projet'!$B$25,Paramètres!$A$1:$I$89,5,0)</f>
        <v>#N/A</v>
      </c>
      <c r="MN91" s="13" t="e">
        <f t="shared" si="214"/>
        <v>#N/A</v>
      </c>
      <c r="MO91" s="14" t="e">
        <f t="shared" si="168"/>
        <v>#N/A</v>
      </c>
      <c r="MP91" s="59" t="e">
        <f t="shared" si="169"/>
        <v>#N/A</v>
      </c>
      <c r="MQ91" s="20" t="e">
        <f ca="1">AVERAGE(OFFSET($MP$3,0,0,'Données projet'!$E$25+1,1))-AVERAGE(OFFSET($H$3,0,0,'Données projet'!$E$25+1,1))</f>
        <v>#N/A</v>
      </c>
      <c r="MR91" s="59" t="e">
        <f t="shared" si="215"/>
        <v>#N/A</v>
      </c>
      <c r="MS91" s="15">
        <f>IF(ISNA(VLOOKUP($A91,'Données projet'!$A$460:$I$480,3,0)),0,VLOOKUP($A91,'Données projet'!$A$460:$I$480,3,0))</f>
        <v>0</v>
      </c>
      <c r="MT91" s="15">
        <f>IF(ISNA(VLOOKUP($A91,'Données projet'!$A$460:$I$480,4,0)),0,VLOOKUP($A91,'Données projet'!$A$460:$I$480,4,0))</f>
        <v>0</v>
      </c>
      <c r="MU91" s="16">
        <f>IF(ISNA(VLOOKUP($A91,'Données projet'!$A$460:$I$480,5,0)),0%,VLOOKUP($A91,'Données projet'!$A$460:$I$480,5,0)*VLOOKUP('Données projet'!$B$25,Paramètres!$A$1:$I$89,7,0))</f>
        <v>0</v>
      </c>
      <c r="MV91" s="16">
        <f>IF(ISNA(VLOOKUP($A91,'Données projet'!$A$460:$I$480,6,0)),0%,VLOOKUP($A91,'Données projet'!$A$460:$I$480,6,0)*VLOOKUP('Données projet'!$B$25,Paramètres!$A$1:$I$89,7,0))</f>
        <v>0</v>
      </c>
      <c r="MW91" s="16">
        <f>IF(ISNA(VLOOKUP($A91,'Données projet'!$A$460:$I$480,7,0)),0%,VLOOKUP($A91,'Données projet'!$A$460:$I$480,7,0))</f>
        <v>0</v>
      </c>
      <c r="MX91" s="21" t="e">
        <f>EXP(-LN(2)/35)*MX90+(1-EXP(-LN(2)/35))/(LN(2)/35)*MT91*MU91*VLOOKUP('Données projet'!$B$25,Paramètres!$A$1:$I$89,3,0)*0.475*44/12</f>
        <v>#N/A</v>
      </c>
      <c r="MY91" s="21" t="e">
        <f>EXP(-LN(2)/25)*MY90+(1-EXP(-LN(2)/25))/(LN(2)/25)*Calculateur!MT91*Calculateur!MV91*VLOOKUP('Données projet'!$B$25,Paramètres!$A$1:$I$89,3,0)*0.475*44/12</f>
        <v>#N/A</v>
      </c>
      <c r="MZ91" s="21" t="e">
        <f>EXP(-LN(2)/2)*MZ90+(1-EXP(-LN(2)/2))/(LN(2)/2)*MT91*MW91*VLOOKUP('Données projet'!$B$25,Paramètres!$A$1:$I$89,3,0)*0.475*44/12</f>
        <v>#N/A</v>
      </c>
      <c r="NA91" s="22" t="e">
        <f t="shared" si="170"/>
        <v>#N/A</v>
      </c>
      <c r="NB91" s="74">
        <f>('Scénario référence'!$F$8+'Scénario référence'!$F$9+'Scénario référence'!$B$17+'Scénario référence'!$B$9+'Scénario référence'!$B$10)*70+IF((45+25*(1-EXP(-0.0175*$A91)))&lt;70,'Scénario référence'!$B$16*(45+25*(1-EXP(-0.0175*$A91))),70*'Scénario référence'!$B$16)+IF((32+38*(1-EXP(-0.0175*$A91)))&lt;70,'Scénario référence'!$B$18*(32+38*(1-EXP(-0.0175*$A91))),70*'Scénario référence'!$B$18)</f>
        <v>70</v>
      </c>
      <c r="NC91" s="12">
        <f>IF($A91&gt;30,10,('Scénario référence'!$B$16+'Scénario référence'!$B$17+'Scénario référence'!$B$18+'Scénario référence'!$B$9+'Scénario référence'!$B$10)*$A91*10/30+('Scénario référence'!$F$8+'Scénario référence'!$F$9)*10)</f>
        <v>10</v>
      </c>
      <c r="ND91" s="12" t="e">
        <f>VLOOKUP($A91,'Données projet'!$A$486:$I$506,2,0)</f>
        <v>#N/A</v>
      </c>
      <c r="NE91" s="12" t="e">
        <f>VLOOKUP($A91,'Données projet'!$A$486:$I$506,9,0)</f>
        <v>#N/A</v>
      </c>
      <c r="NF91" s="12">
        <f t="array" ref="NF91">INDEX(NE:NE,MIN(IF(ISNUMBER(NE91:NE287),ROW(NE91:NE287),"")))</f>
        <v>0</v>
      </c>
      <c r="NG91" s="12">
        <f>IF('Données projet'!$A$486&gt;35,NG90+NF91-NO90,IF($A91&lt;'Données projet'!$A$486,$CQ$205^$A91,IF($A91='Données projet'!$A$486,'Données projet'!$B$486,NG90+NF91-NO90)))</f>
        <v>0</v>
      </c>
      <c r="NH91" s="17" t="e">
        <f>NG91*VLOOKUP('Données projet'!$B$26,Paramètres!$A$1:$I$89,3,0)*VLOOKUP('Données projet'!$B$26,Paramètres!$A$1:$I$89,5,0)</f>
        <v>#N/A</v>
      </c>
      <c r="NI91" s="13" t="e">
        <f t="shared" si="216"/>
        <v>#N/A</v>
      </c>
      <c r="NJ91" s="14" t="e">
        <f t="shared" si="171"/>
        <v>#N/A</v>
      </c>
      <c r="NK91" s="59" t="e">
        <f t="shared" si="172"/>
        <v>#N/A</v>
      </c>
      <c r="NL91" s="20" t="e">
        <f ca="1">AVERAGE(OFFSET($NK$3,0,0,'Données projet'!$E$26+1,1))-AVERAGE(OFFSET($H$3,0,0,'Données projet'!$E$26+1,1))</f>
        <v>#N/A</v>
      </c>
      <c r="NM91" s="59" t="e">
        <f t="shared" si="217"/>
        <v>#N/A</v>
      </c>
      <c r="NN91" s="15">
        <f>IF(ISNA(VLOOKUP($A91,'Données projet'!$A$486:$I$506,3,0)),0,VLOOKUP($A91,'Données projet'!$A$486:$I$506,3,0))</f>
        <v>0</v>
      </c>
      <c r="NO91" s="15">
        <f>IF(ISNA(VLOOKUP($A91,'Données projet'!$A$486:$I$506,4,0)),0,VLOOKUP($A91,'Données projet'!$A$486:$I$506,4,0))</f>
        <v>0</v>
      </c>
      <c r="NP91" s="16">
        <f>IF(ISNA(VLOOKUP($A91,'Données projet'!$A$486:$I$506,5,0)),0%,VLOOKUP($A91,'Données projet'!$A$486:$I$506,5,0)*VLOOKUP('Données projet'!$B$26,Paramètres!$A$1:$I$89,7,0))</f>
        <v>0</v>
      </c>
      <c r="NQ91" s="16">
        <f>IF(ISNA(VLOOKUP($A91,'Données projet'!$A$486:$I$506,6,0)),0%,VLOOKUP($A91,'Données projet'!$A$486:$I$506,6,0)*VLOOKUP('Données projet'!$B$26,Paramètres!$A$1:$I$89,7,0))</f>
        <v>0</v>
      </c>
      <c r="NR91" s="16">
        <f>IF(ISNA(VLOOKUP($A91,'Données projet'!$A$486:$I$506,7,0)),0%,VLOOKUP($A91,'Données projet'!$A$486:$I$506,7,0))</f>
        <v>0</v>
      </c>
      <c r="NS91" s="21" t="e">
        <f>EXP(-LN(2)/35)*NS90+(1-EXP(-LN(2)/35))/(LN(2)/35)*NO91*NP91*VLOOKUP('Données projet'!$B$26,Paramètres!$A$1:$I$89,3,0)*0.475*44/12</f>
        <v>#N/A</v>
      </c>
      <c r="NT91" s="21" t="e">
        <f>EXP(-LN(2)/25)*NT90+(1-EXP(-LN(2)/25))/(LN(2)/25)*Calculateur!NO91*Calculateur!NQ91*VLOOKUP('Données projet'!$B$26,Paramètres!$A$1:$I$89,3,0)*0.475*44/12</f>
        <v>#N/A</v>
      </c>
      <c r="NU91" s="21" t="e">
        <f>EXP(-LN(2)/2)*NU90+(1-EXP(-LN(2)/2))/(LN(2)/2)*NO91*NR91*VLOOKUP('Données projet'!$B$26,Paramètres!$A$1:$I$89,3,0)*0.475*44/12</f>
        <v>#N/A</v>
      </c>
      <c r="NV91" s="22" t="e">
        <f t="shared" si="173"/>
        <v>#N/A</v>
      </c>
      <c r="NW91" s="74">
        <f>('Scénario référence'!$F$8+'Scénario référence'!$F$9+'Scénario référence'!$B$17+'Scénario référence'!$B$9+'Scénario référence'!$B$10)*70+IF((45+25*(1-EXP(-0.0175*$A91)))&lt;70,'Scénario référence'!$B$16*(45+25*(1-EXP(-0.0175*$A91))),70*'Scénario référence'!$B$16)+IF((32+38*(1-EXP(-0.0175*$A91)))&lt;70,'Scénario référence'!$B$18*(32+38*(1-EXP(-0.0175*$A91))),70*'Scénario référence'!$B$18)</f>
        <v>70</v>
      </c>
      <c r="NX91" s="12">
        <f>IF($A91&gt;30,10,('Scénario référence'!$B$16+'Scénario référence'!$B$17+'Scénario référence'!$B$18+'Scénario référence'!$B$9+'Scénario référence'!$B$10)*$A91*10/30+('Scénario référence'!$F$8+'Scénario référence'!$F$9)*10)</f>
        <v>10</v>
      </c>
      <c r="NY91" s="12" t="e">
        <f>VLOOKUP($A91,'Données projet'!$A$512:$I$532,2,0)</f>
        <v>#N/A</v>
      </c>
      <c r="NZ91" s="12" t="e">
        <f>VLOOKUP($A91,'Données projet'!$A$512:$I$532,9,0)</f>
        <v>#N/A</v>
      </c>
      <c r="OA91" s="12">
        <f t="array" ref="OA91">INDEX(NZ:NZ,MIN(IF(ISNUMBER(NZ91:NZ287),ROW(NZ91:NZ287),"")))</f>
        <v>0</v>
      </c>
      <c r="OB91" s="12">
        <f>IF('Données projet'!$A$512&gt;35,OB90+OA91-OJ90,IF($A91&lt;'Données projet'!$A$512,$CQ$205^$A91,IF($A91='Données projet'!$A$512,'Données projet'!$B$512,OB90+OA91-OJ90)))</f>
        <v>0</v>
      </c>
      <c r="OC91" s="17" t="e">
        <f>OB91*VLOOKUP('Données projet'!$B$27,Paramètres!$A$1:$I$89,3,0)*VLOOKUP('Données projet'!$B$27,Paramètres!$A$1:$I$89,5,0)</f>
        <v>#N/A</v>
      </c>
      <c r="OD91" s="13" t="e">
        <f t="shared" si="218"/>
        <v>#N/A</v>
      </c>
      <c r="OE91" s="14" t="e">
        <f t="shared" si="174"/>
        <v>#N/A</v>
      </c>
      <c r="OF91" s="59" t="e">
        <f t="shared" si="175"/>
        <v>#N/A</v>
      </c>
      <c r="OG91" s="20" t="e">
        <f ca="1">AVERAGE(OFFSET($OF$3,0,0,'Données projet'!$E$27+1,1))-AVERAGE(OFFSET($H$3,0,0,'Données projet'!$E$27+1,1))</f>
        <v>#N/A</v>
      </c>
      <c r="OH91" s="59" t="e">
        <f t="shared" si="219"/>
        <v>#N/A</v>
      </c>
      <c r="OI91" s="15">
        <f>IF(ISNA(VLOOKUP($A91,'Données projet'!$A$512:$I$532,3,0)),0,VLOOKUP($A91,'Données projet'!$A$512:$I$532,3,0))</f>
        <v>0</v>
      </c>
      <c r="OJ91" s="15">
        <f>IF(ISNA(VLOOKUP($A91,'Données projet'!$A$512:$I$532,4,0)),0,VLOOKUP($A91,'Données projet'!$A$512:$I$532,4,0))</f>
        <v>0</v>
      </c>
      <c r="OK91" s="16">
        <f>IF(ISNA(VLOOKUP($A91,'Données projet'!$A$512:$I$532,5,0)),0%,VLOOKUP($A91,'Données projet'!$A$512:$I$532,5,0)*VLOOKUP('Données projet'!$B$27,Paramètres!$A$1:$I$89,7,0))</f>
        <v>0</v>
      </c>
      <c r="OL91" s="16">
        <f>IF(ISNA(VLOOKUP($A91,'Données projet'!$A$512:$I$532,6,0)),0%,VLOOKUP($A91,'Données projet'!$A$512:$I$532,6,0)*VLOOKUP('Données projet'!$B$27,Paramètres!$A$1:$I$89,7,0))</f>
        <v>0</v>
      </c>
      <c r="OM91" s="16">
        <f>IF(ISNA(VLOOKUP($A91,'Données projet'!$A$512:$I$532,7,0)),0%,VLOOKUP($A91,'Données projet'!$A$512:$I$532,7,0))</f>
        <v>0</v>
      </c>
      <c r="ON91" s="21" t="e">
        <f>EXP(-LN(2)/35)*ON90+(1-EXP(-LN(2)/35))/(LN(2)/35)*OJ91*OK91*VLOOKUP('Données projet'!$B$27,Paramètres!$A$1:$I$89,3,0)*0.475*44/12</f>
        <v>#N/A</v>
      </c>
      <c r="OO91" s="21" t="e">
        <f>EXP(-LN(2)/25)*OO90+(1-EXP(-LN(2)/25))/(LN(2)/25)*Calculateur!OJ91*Calculateur!OL91*VLOOKUP('Données projet'!$B$27,Paramètres!$A$1:$I$89,3,0)*0.475*44/12</f>
        <v>#N/A</v>
      </c>
      <c r="OP91" s="21" t="e">
        <f>EXP(-LN(2)/2)*OP90+(1-EXP(-LN(2)/2))/(LN(2)/2)*OJ91*OM91*VLOOKUP('Données projet'!$B$27,Paramètres!$A$1:$I$89,3,0)*0.475*44/12</f>
        <v>#N/A</v>
      </c>
      <c r="OQ91" s="22" t="e">
        <f t="shared" si="176"/>
        <v>#N/A</v>
      </c>
      <c r="OR91" s="74">
        <f>('Scénario référence'!$F$8+'Scénario référence'!$F$9+'Scénario référence'!$B$17+'Scénario référence'!$B$9+'Scénario référence'!$B$10)*70+IF((45+25*(1-EXP(-0.0175*$A91)))&lt;70,'Scénario référence'!$B$16*(45+25*(1-EXP(-0.0175*$A91))),70*'Scénario référence'!$B$16)+IF((32+38*(1-EXP(-0.0175*$A91)))&lt;70,'Scénario référence'!$B$18*(32+38*(1-EXP(-0.0175*$A91))),70*'Scénario référence'!$B$18)</f>
        <v>70</v>
      </c>
      <c r="OS91" s="12">
        <f>IF($A91&gt;30,10,('Scénario référence'!$B$16+'Scénario référence'!$B$17+'Scénario référence'!$B$18+'Scénario référence'!$B$9+'Scénario référence'!$B$10)*$A91*10/30+('Scénario référence'!$F$8+'Scénario référence'!$F$9)*10)</f>
        <v>10</v>
      </c>
      <c r="OT91" s="12" t="e">
        <f>VLOOKUP($A91,'Données projet'!$A$538:$I$558,2,0)</f>
        <v>#N/A</v>
      </c>
      <c r="OU91" s="12" t="e">
        <f>VLOOKUP($A91,'Données projet'!$A$538:$I$558,9,0)</f>
        <v>#N/A</v>
      </c>
      <c r="OV91" s="12">
        <f t="array" ref="OV91">INDEX(OU:OU,MIN(IF(ISNUMBER(OU91:OU287),ROW(OU91:OU287),"")))</f>
        <v>0</v>
      </c>
      <c r="OW91" s="12">
        <f>IF('Données projet'!$A$538&gt;35,OW90+OV91-PE90,IF($A91&lt;'Données projet'!$A$538,$CQ$205^$A91,IF($A91='Données projet'!$A$538,'Données projet'!$B$538,OW90+OV91-PE90)))</f>
        <v>0</v>
      </c>
      <c r="OX91" s="17" t="e">
        <f>OW91*VLOOKUP('Données projet'!$B$28,Paramètres!$A$1:$I$89,3,0)*VLOOKUP('Données projet'!$B$28,Paramètres!$A$1:$I$89,5,0)</f>
        <v>#N/A</v>
      </c>
      <c r="OY91" s="13" t="e">
        <f t="shared" si="220"/>
        <v>#N/A</v>
      </c>
      <c r="OZ91" s="14" t="e">
        <f t="shared" si="177"/>
        <v>#N/A</v>
      </c>
      <c r="PA91" s="59" t="e">
        <f t="shared" si="178"/>
        <v>#N/A</v>
      </c>
      <c r="PB91" s="20" t="e">
        <f ca="1">AVERAGE(OFFSET($PA$3,0,0,'Données projet'!$E$28+1,1))-AVERAGE(OFFSET($H$3,0,0,'Données projet'!$E$28+1,1))</f>
        <v>#N/A</v>
      </c>
      <c r="PC91" s="59" t="e">
        <f t="shared" si="221"/>
        <v>#N/A</v>
      </c>
      <c r="PD91" s="15">
        <f>IF(ISNA(VLOOKUP($A91,'Données projet'!$A$538:$I$558,3,0)),0,VLOOKUP($A91,'Données projet'!$A$538:$I$558,3,0))</f>
        <v>0</v>
      </c>
      <c r="PE91" s="15">
        <f>IF(ISNA(VLOOKUP($A91,'Données projet'!$A$538:$I$558,4,0)),0,VLOOKUP($A91,'Données projet'!$A$538:$I$558,4,0))</f>
        <v>0</v>
      </c>
      <c r="PF91" s="16">
        <f>IF(ISNA(VLOOKUP($A91,'Données projet'!$A$538:$I$558,5,0)),0%,VLOOKUP($A91,'Données projet'!$A$538:$I$558,5,0)*VLOOKUP('Données projet'!$B$28,Paramètres!$A$1:$I$89,7,0))</f>
        <v>0</v>
      </c>
      <c r="PG91" s="16">
        <f>IF(ISNA(VLOOKUP($A91,'Données projet'!$A$538:$I$558,6,0)),0%,VLOOKUP($A91,'Données projet'!$A$538:$I$558,6,0)*VLOOKUP('Données projet'!$B$28,Paramètres!$A$1:$I$89,7,0))</f>
        <v>0</v>
      </c>
      <c r="PH91" s="16">
        <f>IF(ISNA(VLOOKUP($A91,'Données projet'!$A$538:$I$558,7,0)),0%,VLOOKUP($A91,'Données projet'!$A$538:$I$558,7,0))</f>
        <v>0</v>
      </c>
      <c r="PI91" s="21" t="e">
        <f>EXP(-LN(2)/35)*PI90+(1-EXP(-LN(2)/35))/(LN(2)/35)*PE91*PF91*VLOOKUP('Données projet'!$B$28,Paramètres!$A$1:$I$89,3,0)*0.475*44/12</f>
        <v>#N/A</v>
      </c>
      <c r="PJ91" s="21" t="e">
        <f>EXP(-LN(2)/25)*PJ90+(1-EXP(-LN(2)/25))/(LN(2)/25)*Calculateur!PE91*Calculateur!PG91*VLOOKUP('Données projet'!$B$28,Paramètres!$A$1:$I$89,3,0)*0.475*44/12</f>
        <v>#N/A</v>
      </c>
      <c r="PK91" s="21" t="e">
        <f>EXP(-LN(2)/2)*PK90+(1-EXP(-LN(2)/2))/(LN(2)/2)*PE91*PH91*VLOOKUP('Données projet'!$B$28,Paramètres!$A$1:$I$89,3,0)*0.475*44/12</f>
        <v>#N/A</v>
      </c>
      <c r="PL91" s="22" t="e">
        <f t="shared" si="179"/>
        <v>#N/A</v>
      </c>
    </row>
    <row r="92" spans="1:428" x14ac:dyDescent="0.35">
      <c r="A92" s="10">
        <f t="shared" si="180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181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121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projet'!$A$45:$I$65,2,0)</f>
        <v>#N/A</v>
      </c>
      <c r="L92" s="12" t="e">
        <f>VLOOKUP(A92,'Données projet'!$A$45:$I$65,9,0)</f>
        <v>#N/A</v>
      </c>
      <c r="M92" s="12">
        <f t="array" ref="M92">INDEX(L:L,MIN(IF(ISNUMBER(L92:L288),ROW(L92:L288),"")))</f>
        <v>0</v>
      </c>
      <c r="N92" s="13">
        <f>IF('Données projet'!$A$46&gt;35,N91+M92-V91,IF(A92&lt;'Données projet'!$A$46,$K$205^A92,IF(A92='Données projet'!$A$46,'Données projet'!$B$46,N91+M92-V91)))</f>
        <v>-1.1368683772161603E-13</v>
      </c>
      <c r="O92" s="13">
        <f>N92*VLOOKUP('Données projet'!$B$9,Paramètres!$A$1:$I$89,3,0)*VLOOKUP('Données projet'!$B$9,Paramètres!$A$1:$I$89,5,0)</f>
        <v>-6.3550942286383367E-14</v>
      </c>
      <c r="P92" s="13" t="e">
        <f t="shared" si="182"/>
        <v>#NUM!</v>
      </c>
      <c r="Q92" s="20" t="e">
        <f t="shared" si="119"/>
        <v>#NUM!</v>
      </c>
      <c r="R92" s="59" t="e">
        <f t="shared" si="120"/>
        <v>#NUM!</v>
      </c>
      <c r="S92" s="59">
        <f ca="1">AVERAGE(OFFSET($R$3,0,0,'Données projet'!$E$9+1,1))-AVERAGE(OFFSET($H$3,0,0,'Données projet'!$E$9+1,1))</f>
        <v>274.57619581652199</v>
      </c>
      <c r="T92" s="59">
        <f t="shared" si="183"/>
        <v>366.15117322598775</v>
      </c>
      <c r="U92" s="15">
        <f>IF(ISNA(VLOOKUP(A92,'Données projet'!$A$45:$I$65,3,0)),0,VLOOKUP(A92,'Données projet'!$A$45:$I$65,3,0))</f>
        <v>0</v>
      </c>
      <c r="V92" s="15">
        <f>IF(ISNA(VLOOKUP(A92,'Données projet'!$A$45:$I$65,4,0)),0,VLOOKUP(A92,'Données projet'!$A$45:$I$65,4,0))</f>
        <v>0</v>
      </c>
      <c r="W92" s="16">
        <f>IF(ISNA(VLOOKUP(A92,'Données projet'!$A$45:$I$65,5,0)),0%,VLOOKUP(A92,'Données projet'!$A$45:$I$65,5,0)*VLOOKUP('Données projet'!$B$9,Paramètres!$A$1:$I$89,7,0))</f>
        <v>0</v>
      </c>
      <c r="X92" s="16">
        <f>IF(ISNA(VLOOKUP(A92,'Données projet'!$A$45:$I$65,6,0)),0%,VLOOKUP(A92,'Données projet'!$A$45:$I$65,6,0)*VLOOKUP('Données projet'!$B$9,Paramètres!$A$1:$I$89,7,0))</f>
        <v>0</v>
      </c>
      <c r="Y92" s="16">
        <f>IF(ISNA(VLOOKUP(A92,'Données projet'!$A$45:$I$65,7,0)),0%,VLOOKUP(A92,'Données projet'!$A$45:$I$65,7,0))</f>
        <v>0</v>
      </c>
      <c r="Z92" s="21">
        <f>EXP(-LN(2)/35)*Z91+(1-EXP(-LN(2)/35))/(LN(2)/35)*V92*W92*VLOOKUP('Données projet'!$B$9,Paramètres!$A$1:$I$89,3,0)*0.475*44/12</f>
        <v>115.59529419426451</v>
      </c>
      <c r="AA92" s="21">
        <f>EXP(-LN(2)/25)*AA91+(1-EXP(-LN(2)/25))/(LN(2)/25)*Calculateur!V92*Calculateur!X92*VLOOKUP('Données projet'!$B$9,Paramètres!$A$1:$I$89,3,0)*0.475*44/12</f>
        <v>22.442932037459684</v>
      </c>
      <c r="AB92" s="21">
        <f>EXP(-LN(2)/2)*AB91+(1-EXP(-LN(2)/2))/(LN(2)/2)*V92*Y92*VLOOKUP('Données projet'!$B$9,Paramètres!$A$1:$I$89,3,0)*0.475*44/12</f>
        <v>2.6063006594934443E-4</v>
      </c>
      <c r="AC92" s="22">
        <f t="shared" si="122"/>
        <v>138.03848686179015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>
        <f>VLOOKUP(A92,'Données projet'!$A$71:$I$91,2,0)</f>
        <v>295.85897435897436</v>
      </c>
      <c r="AG92" s="12">
        <f>VLOOKUP(A92,'Données projet'!$A$71:$I$91,9,0)</f>
        <v>7.4950142450142421</v>
      </c>
      <c r="AH92" s="12">
        <f t="array" ref="AH92">INDEX(AG:AG,MIN(IF(ISNUMBER(AG92:AG288),ROW(AG92:AG288),"")))</f>
        <v>7.4950142450142421</v>
      </c>
      <c r="AI92" s="13">
        <f>IF('Données projet'!$A$72&gt;35,AI91+AH92-AQ91,IF(A92&lt;'Données projet'!$A$72,$AF$205^A92,IF(A92='Données projet'!$A$72,'Données projet'!$B$72,AI91+AH92-AQ91)))</f>
        <v>295.85897435897465</v>
      </c>
      <c r="AJ92" s="13">
        <f>AI92*VLOOKUP('Données projet'!$B$10,Paramètres!$A$1:$I$89,3,0)*VLOOKUP('Données projet'!$B$10,Paramètres!$A$1:$I$89,5,0)</f>
        <v>267.69320000000022</v>
      </c>
      <c r="AK92" s="13">
        <f t="shared" si="184"/>
        <v>64.359463899490166</v>
      </c>
      <c r="AL92" s="20">
        <f t="shared" si="123"/>
        <v>578.32505629161233</v>
      </c>
      <c r="AM92" s="59">
        <f t="shared" si="124"/>
        <v>871.65838962494558</v>
      </c>
      <c r="AN92" s="59">
        <f ca="1">AVERAGE(OFFSET($AM$3,0,0,'Données projet'!$E$10+1,1))-AVERAGE(OFFSET($H$3,0,0,'Données projet'!$E$10+1,1))</f>
        <v>270.87836509222456</v>
      </c>
      <c r="AO92" s="59">
        <f t="shared" si="185"/>
        <v>205.24998237949734</v>
      </c>
      <c r="AP92" s="15">
        <f>IF(ISNA(VLOOKUP(A92,'Données projet'!$A$71:$I$91,3,0)),0,VLOOKUP(A92,'Données projet'!$A$71:$I$91,3,0))</f>
        <v>8</v>
      </c>
      <c r="AQ92" s="15">
        <f>IF(ISNA(VLOOKUP(A92,'Données projet'!$A$71:$I$91,4,0)),0,VLOOKUP(A92,'Données projet'!$A$71:$I$91,4,0))</f>
        <v>49.391025641025635</v>
      </c>
      <c r="AR92" s="16">
        <f>IF(ISNA(VLOOKUP(A92,'Données projet'!$A$71:$I$91,5,0)),0%,VLOOKUP(A92,'Données projet'!$A$71:$I$91,5,0)*VLOOKUP('Données projet'!$B$10,Paramètres!$A$1:$I$89,7,0))</f>
        <v>0.30099999999999999</v>
      </c>
      <c r="AS92" s="16">
        <f>IF(ISNA(VLOOKUP(A92,'Données projet'!$A$71:$I$91,6,0)),0%,VLOOKUP(A92,'Données projet'!$A$71:$I$91,6,0)*VLOOKUP('Données projet'!$B$10,Paramètres!$A$1:$I$89,7,0))</f>
        <v>0</v>
      </c>
      <c r="AT92" s="16">
        <f>IF(ISNA(VLOOKUP(A92,'Données projet'!$A$71:$I$91,7,0)),0%,VLOOKUP(A92,'Données projet'!$A$71:$I$91,7,0))</f>
        <v>0</v>
      </c>
      <c r="AU92" s="21">
        <f>EXP(-LN(2)/35)*AU91+(1-EXP(-LN(2)/35))/(LN(2)/35)*AQ92*AR92*VLOOKUP('Données projet'!$B$10,Paramètres!$A$1:$I$89,3,0)*0.475*44/12</f>
        <v>42.284350076207964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125"/>
        <v>42.284350076207964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projet'!$A$97:$I$117,2,0)</f>
        <v>#N/A</v>
      </c>
      <c r="BB92" s="12" t="e">
        <f>VLOOKUP(A92,'Données projet'!$A$97:$I$117,9,0)</f>
        <v>#N/A</v>
      </c>
      <c r="BC92" s="12">
        <f t="array" ref="BC92">INDEX(BB:BB,MIN(IF(ISNUMBER(BB92:BB288),ROW(BB92:BB288),"")))</f>
        <v>0</v>
      </c>
      <c r="BD92" s="12">
        <f>IF('Données projet'!$A$98&gt;35,BD91+BC92-BL91,IF(A92&lt;'Données projet'!$A$98,$BA$205^A92,IF(A92='Données projet'!$A$98,'Données projet'!$B$98,BD91+BC92-BL91)))</f>
        <v>-1.1368683772161603E-13</v>
      </c>
      <c r="BE92" s="13">
        <f>BD92*VLOOKUP('Données projet'!$B$11,Paramètres!$A$1:$I$89,3,0)*VLOOKUP('Données projet'!$B$11,Paramètres!$A$1:$I$89,5,0)</f>
        <v>-5.0249582272954292E-14</v>
      </c>
      <c r="BF92" s="13" t="e">
        <f t="shared" si="186"/>
        <v>#NUM!</v>
      </c>
      <c r="BG92" s="20" t="e">
        <f t="shared" si="126"/>
        <v>#NUM!</v>
      </c>
      <c r="BH92" s="59" t="e">
        <f t="shared" si="127"/>
        <v>#NUM!</v>
      </c>
      <c r="BI92" s="59">
        <f ca="1">AVERAGE(OFFSET($BH$3,0,0,'Données projet'!$E$11+1,1))-AVERAGE(OFFSET($H$3,0,0,'Données projet'!$E$11+1,1))</f>
        <v>211.31057120485542</v>
      </c>
      <c r="BJ92" s="59">
        <f t="shared" si="187"/>
        <v>283.33292006714777</v>
      </c>
      <c r="BK92" s="15">
        <f>IF(ISNA(VLOOKUP(A92,'Données projet'!$A$97:$I$117,3,0)),0,VLOOKUP(A92,'Données projet'!$A$97:$I$117,3,0))</f>
        <v>0</v>
      </c>
      <c r="BL92" s="15">
        <f>IF(ISNA(VLOOKUP(A92,'Données projet'!$A$97:$I$117,4,0)),0,VLOOKUP(A92,'Données projet'!$A$97:$I$117,4,0))</f>
        <v>0</v>
      </c>
      <c r="BM92" s="16">
        <f>IF(ISNA(VLOOKUP(A92,'Données projet'!$A$97:$I$117,5,0)),0%,VLOOKUP(A92,'Données projet'!$A$97:$I$117,5,0)*VLOOKUP('Données projet'!$B$11,Paramètres!$A$1:$I$89,7,0))</f>
        <v>0</v>
      </c>
      <c r="BN92" s="16">
        <f>IF(ISNA(VLOOKUP(A92,'Données projet'!$A$97:$I$117,6,0)),0%,VLOOKUP(A92,'Données projet'!$A$97:$I$117,6,0)*VLOOKUP('Données projet'!$B$11,Paramètres!$A$1:$I$89,7,0))</f>
        <v>0</v>
      </c>
      <c r="BO92" s="16">
        <f>IF(ISNA(VLOOKUP(A92,'Données projet'!$A$97:$I$117,7,0)),0%,VLOOKUP(A92,'Données projet'!$A$97:$I$117,7,0))</f>
        <v>0</v>
      </c>
      <c r="BP92" s="21">
        <f>EXP(-LN(2)/35)*BP91+(1-EXP(-LN(2)/35))/(LN(2)/35)*BL92*BM92*VLOOKUP('Données projet'!$B$11,Paramètres!$A$1:$I$89,3,0)*0.475*44/12</f>
        <v>91.40093029313941</v>
      </c>
      <c r="BQ92" s="21">
        <f>EXP(-LN(2)/25)*BQ91+(1-EXP(-LN(2)/25))/(LN(2)/25)*Calculateur!BL92*Calculateur!BN92*VLOOKUP('Données projet'!$B$11,Paramètres!$A$1:$I$89,3,0)*0.475*44/12</f>
        <v>17.745574169154164</v>
      </c>
      <c r="BR92" s="21">
        <f>EXP(-LN(2)/2)*BR91+(1-EXP(-LN(2)/2))/(LN(2)/2)*BL92*BO92*VLOOKUP('Données projet'!$B$11,Paramètres!$A$1:$I$89,3,0)*0.475*44/12</f>
        <v>2.0607958702971416E-4</v>
      </c>
      <c r="BS92" s="22">
        <f t="shared" si="128"/>
        <v>109.14671054188061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projet'!$A$123:$I$143,2,0)</f>
        <v>#N/A</v>
      </c>
      <c r="BW92" s="12" t="e">
        <f>VLOOKUP(A92,'Données projet'!$A$123:$I$143,9,0)</f>
        <v>#N/A</v>
      </c>
      <c r="BX92" s="12">
        <f t="array" ref="BX92">INDEX(BW:BW,MIN(IF(ISNUMBER(BW92:BW288),ROW(BW92:BW288),"")))</f>
        <v>3</v>
      </c>
      <c r="BY92" s="12">
        <f>IF('Données projet'!$A$124&gt;35,BY91+BX92-CG91,IF(A92&lt;'Données projet'!$A$124,$BV$205^A92,IF(A92='Données projet'!$A$124,'Données projet'!$B$124,BY91+BX92-CG91)))</f>
        <v>246</v>
      </c>
      <c r="BZ92" s="13">
        <f>BY92*VLOOKUP('Données projet'!$B$12,Paramètres!$A$1:$I$89,3,0)*VLOOKUP('Données projet'!$B$12,Paramètres!$A$1:$I$89,5,0)</f>
        <v>257.11920000000003</v>
      </c>
      <c r="CA92" s="13">
        <f t="shared" si="188"/>
        <v>62.107910182723955</v>
      </c>
      <c r="CB92" s="20">
        <f t="shared" si="129"/>
        <v>555.98721690157754</v>
      </c>
      <c r="CC92" s="59">
        <f t="shared" si="130"/>
        <v>849.3205502349108</v>
      </c>
      <c r="CD92" s="59">
        <f ca="1">AVERAGE(OFFSET($CC$3,0,0,'Données projet'!$E$12+1,1))-AVERAGE(OFFSET($H$3,0,0,'Données projet'!$E$12+1,1))</f>
        <v>322.93502595881938</v>
      </c>
      <c r="CE92" s="59">
        <f t="shared" si="189"/>
        <v>302.67072119588164</v>
      </c>
      <c r="CF92" s="15">
        <f>IF(ISNA(VLOOKUP(A92,'Données projet'!$A$123:$I$143,3,0)),0,VLOOKUP(A92,'Données projet'!$A$123:$I$143,3,0))</f>
        <v>0</v>
      </c>
      <c r="CG92" s="15">
        <f>IF(ISNA(VLOOKUP(A92,'Données projet'!$A$123:$I$143,4,0)),0,VLOOKUP(A92,'Données projet'!$A$123:$I$143,4,0))</f>
        <v>0</v>
      </c>
      <c r="CH92" s="16">
        <f>IF(ISNA(VLOOKUP(A92,'Données projet'!$A$123:$I$143,5,0)),0%,VLOOKUP(A92,'Données projet'!$A$123:$I$143,5,0)*VLOOKUP('Données projet'!$B$12,Paramètres!$A$1:$I$89,7,0))</f>
        <v>0</v>
      </c>
      <c r="CI92" s="16">
        <f>IF(ISNA(VLOOKUP(A92,'Données projet'!$A$123:$I$143,6,0)),0%,VLOOKUP(A92,'Données projet'!$A$123:$I$143,6,0)*VLOOKUP('Données projet'!$B$12,Paramètres!$A$1:$I$89,7,0))</f>
        <v>0</v>
      </c>
      <c r="CJ92" s="16">
        <f>IF(ISNA(VLOOKUP(A92,'Données projet'!$A$123:$I$143,7,0)),0%,VLOOKUP(A92,'Données projet'!$A$123:$I$143,7,0))</f>
        <v>0</v>
      </c>
      <c r="CK92" s="21">
        <f>EXP(-LN(2)/35)*CK91+(1-EXP(-LN(2)/35))/(LN(2)/35)*CG92*CH92*VLOOKUP('Données projet'!$B$12,Paramètres!$A$1:$I$89,3,0)*0.475*44/12</f>
        <v>27.003635017513769</v>
      </c>
      <c r="CL92" s="21">
        <f>EXP(-LN(2)/25)*CL91+(1-EXP(-LN(2)/25))/(LN(2)/25)*Calculateur!CG92*Calculateur!CI92*VLOOKUP('Données projet'!$B$12,Paramètres!$A$1:$I$89,3,0)*0.475*44/12</f>
        <v>19.322919204191937</v>
      </c>
      <c r="CM92" s="21">
        <f>EXP(-LN(2)/2)*CM91+(1-EXP(-LN(2)/2))/(LN(2)/2)*CG92*CJ92*VLOOKUP('Données projet'!$B$12,Paramètres!$A$1:$I$89,3,0)*0.475*44/12</f>
        <v>0</v>
      </c>
      <c r="CN92" s="22">
        <f t="shared" si="131"/>
        <v>46.326554221705706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projet'!$A$149:$I$169,2,0)</f>
        <v>#N/A</v>
      </c>
      <c r="CR92" s="12" t="e">
        <f>VLOOKUP(A92,'Données projet'!$A$149:$I$169,9,0)</f>
        <v>#N/A</v>
      </c>
      <c r="CS92" s="12">
        <f t="array" ref="CS92">INDEX(CR:CR,MIN(IF(ISNUMBER(CR92:CR288),ROW(CR92:CR288),"")))</f>
        <v>5.2606837606837598</v>
      </c>
      <c r="CT92" s="12">
        <f>IF('Données projet'!$A$150&gt;35,CT91+CS92-DB91,IF(A92&lt;'Données projet'!$A$150,$CQ$205^A92,IF(A92='Données projet'!$A$150,'Données projet'!$B$150,CT91+CS92-DB91)))</f>
        <v>191.22649572649556</v>
      </c>
      <c r="CU92" s="17">
        <f>CT92*VLOOKUP('Données projet'!$B$13,Paramètres!$A$1:$I$89,3,0)*VLOOKUP('Données projet'!$B$13,Paramètres!$A$1:$I$89,5,0)</f>
        <v>193.90366666666651</v>
      </c>
      <c r="CV92" s="13">
        <f t="shared" si="190"/>
        <v>48.401973941265673</v>
      </c>
      <c r="CW92" s="20">
        <f t="shared" si="132"/>
        <v>422.01565739214857</v>
      </c>
      <c r="CX92" s="59">
        <f t="shared" si="133"/>
        <v>715.34899072548183</v>
      </c>
      <c r="CY92" s="59">
        <f ca="1">AVERAGE(OFFSET($CX$3,0,0,'Données projet'!$E$13+1,1))-AVERAGE(OFFSET($H$3,0,0,'Données projet'!$E$13+1,1))</f>
        <v>250.31277422753283</v>
      </c>
      <c r="CZ92" s="59">
        <f t="shared" si="191"/>
        <v>159.20429420478047</v>
      </c>
      <c r="DA92" s="15">
        <f>IF(ISNA(VLOOKUP(A92,'Données projet'!$A$149:$I$169,3,0)),0,VLOOKUP(A92,'Données projet'!$A$149:$I$169,3,0))</f>
        <v>0</v>
      </c>
      <c r="DB92" s="15">
        <f>IF(ISNA(VLOOKUP(A92,'Données projet'!$A$149:$I$169,4,0)),0,VLOOKUP(A92,'Données projet'!$A$149:$I$169,4,0))</f>
        <v>0</v>
      </c>
      <c r="DC92" s="16">
        <f>IF(ISNA(VLOOKUP(A92,'Données projet'!$A$149:$I$169,5,0)),0%,VLOOKUP(A92,'Données projet'!$A$149:$I$169,5,0)*VLOOKUP('Données projet'!$B$13,Paramètres!$A$1:$I$89,7,0))</f>
        <v>0</v>
      </c>
      <c r="DD92" s="16">
        <f>IF(ISNA(VLOOKUP(A92,'Données projet'!$A$149:$I$169,6,0)),0%,VLOOKUP(A92,'Données projet'!$A$149:$I$169,6,0)*VLOOKUP('Données projet'!$B$13,Paramètres!$A$1:$I$89,7,0))</f>
        <v>0</v>
      </c>
      <c r="DE92" s="16">
        <f>IF(ISNA(VLOOKUP(A92,'Données projet'!$A$149:$I$169,7,0)),0%,VLOOKUP(A92,'Données projet'!$A$149:$I$169,7,0))</f>
        <v>0</v>
      </c>
      <c r="DF92" s="21">
        <f>EXP(-LN(2)/35)*DF91+(1-EXP(-LN(2)/35))/(LN(2)/35)*DB92*DC92*VLOOKUP('Données projet'!$B$13,Paramètres!$A$1:$I$89,3,0)*0.475*44/12</f>
        <v>18.626869202630949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134"/>
        <v>18.626869202630949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projet'!$A$175:$I$195,2,0)</f>
        <v>#N/A</v>
      </c>
      <c r="DM92" s="12" t="e">
        <f>VLOOKUP(A92,'Données projet'!$A$175:$I$195,9,0)</f>
        <v>#N/A</v>
      </c>
      <c r="DN92" s="12">
        <f t="array" ref="DN92">INDEX(DM:DM,MIN(IF(ISNUMBER(DM92:DM288),ROW(DM92:DM288),"")))</f>
        <v>0</v>
      </c>
      <c r="DO92" s="12">
        <f>IF('Données projet'!$A$176&gt;35,DO91+DN92-DW91,IF(A92&lt;'Données projet'!$A$176,$DL$205^A92,IF(A92='Données projet'!$A$176,'Données projet'!$B$176,DO91+DN92-DW91)))</f>
        <v>-2.8421709430404007E-13</v>
      </c>
      <c r="DP92" s="17">
        <f>DO92*VLOOKUP('Données projet'!$B$14,Paramètres!$A$1:$I$89,3,0)*VLOOKUP('Données projet'!$B$14,Paramètres!$A$1:$I$89,5,0)</f>
        <v>-2.0838797354372215E-13</v>
      </c>
      <c r="DQ92" s="13" t="e">
        <f t="shared" si="192"/>
        <v>#NUM!</v>
      </c>
      <c r="DR92" s="20" t="e">
        <f t="shared" si="135"/>
        <v>#NUM!</v>
      </c>
      <c r="DS92" s="59" t="e">
        <f t="shared" si="136"/>
        <v>#NUM!</v>
      </c>
      <c r="DT92" s="59">
        <f ca="1">AVERAGE(OFFSET($DS$3,0,0,'Données projet'!$E$14+1,1))-AVERAGE(OFFSET($H$3,0,0,'Données projet'!$E$14+1,1))</f>
        <v>296.91321813251051</v>
      </c>
      <c r="DU92" s="59">
        <f t="shared" si="193"/>
        <v>291.0718079639509</v>
      </c>
      <c r="DV92" s="15">
        <f>IF(ISNA(VLOOKUP(A92,'Données projet'!$A$175:$I$195,3,0)),0,VLOOKUP(A92,'Données projet'!$A$175:$I$195,3,0))</f>
        <v>0</v>
      </c>
      <c r="DW92" s="15">
        <f>IF(ISNA(VLOOKUP(A92,'Données projet'!$A$175:$I$195,4,0)),0,VLOOKUP(A92,'Données projet'!$A$175:$I$195,4,0))</f>
        <v>0</v>
      </c>
      <c r="DX92" s="16">
        <f>IF(ISNA(VLOOKUP(A92,'Données projet'!$A$175:$I$195,5,0)),0%,VLOOKUP(A92,'Données projet'!$A$175:$I$195,5,0)*VLOOKUP('Données projet'!$B$14,Paramètres!$A$1:$I$89,7,0))</f>
        <v>0</v>
      </c>
      <c r="DY92" s="16">
        <f>IF(ISNA(VLOOKUP(A92,'Données projet'!$A$175:$I$195,6,0)),0%,VLOOKUP(A92,'Données projet'!$A$175:$I$195,6,0)*VLOOKUP('Données projet'!$B$14,Paramètres!$A$1:$I$89,7,0))</f>
        <v>0</v>
      </c>
      <c r="DZ92" s="16">
        <f>IF(ISNA(VLOOKUP(A92,'Données projet'!$A$175:$I$195,7,0)),0%,VLOOKUP(A92,'Données projet'!$A$175:$I$195,7,0))</f>
        <v>0</v>
      </c>
      <c r="EA92" s="21">
        <f>EXP(-LN(2)/35)*EA91+(1-EXP(-LN(2)/35))/(LN(2)/35)*DW92*DX92*VLOOKUP('Données projet'!$B$14,Paramètres!$A$1:$I$89,3,0)*0.475*44/12</f>
        <v>145.14014476267039</v>
      </c>
      <c r="EB92" s="21">
        <f>EXP(-LN(2)/25)*EB91+(1-EXP(-LN(2)/25))/(LN(2)/25)*Calculateur!DW92*Calculateur!DY92*VLOOKUP('Données projet'!$B$14,Paramètres!$A$1:$I$89,3,0)*0.475*44/12</f>
        <v>4.1723278451701997</v>
      </c>
      <c r="EC92" s="21">
        <f>EXP(-LN(2)/2)*EC91+(1-EXP(-LN(2)/2))/(LN(2)/2)*DW92*DZ92*VLOOKUP('Données projet'!$B$14,Paramètres!$A$1:$I$89,3,0)*0.475*44/12</f>
        <v>0</v>
      </c>
      <c r="ED92" s="22">
        <f t="shared" si="137"/>
        <v>149.31247260784059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projet'!$A$201:$I$221,2,0)</f>
        <v>#N/A</v>
      </c>
      <c r="EH92" s="12" t="e">
        <f>VLOOKUP(A92,'Données projet'!$A$201:$I$221,9,0)</f>
        <v>#N/A</v>
      </c>
      <c r="EI92" s="12">
        <f t="array" ref="EI92">INDEX(EH:EH,MIN(IF(ISNUMBER(EH92:EH288),ROW(EH92:EH288),"")))</f>
        <v>8.1391025641025667</v>
      </c>
      <c r="EJ92" s="12">
        <f>IF('Données projet'!$A$202&gt;35,EJ91+EI92-ER91,IF(A92&lt;'Données projet'!$A$202,$EG$205^A92,IF(A92='Données projet'!$A$202,'Données projet'!$B$202,EJ91+EI92-ER91)))</f>
        <v>316.47820512820533</v>
      </c>
      <c r="EK92" s="17">
        <f>EJ92*VLOOKUP('Données projet'!$B$15,Paramètres!$A$1:$I$89,3,0)*VLOOKUP('Données projet'!$B$15,Paramètres!$A$1:$I$89,5,0)</f>
        <v>148.11180000000007</v>
      </c>
      <c r="EL92" s="13">
        <f t="shared" si="194"/>
        <v>38.149169544694949</v>
      </c>
      <c r="EM92" s="20">
        <f t="shared" si="138"/>
        <v>324.4045219570105</v>
      </c>
      <c r="EN92" s="59">
        <f t="shared" si="139"/>
        <v>617.73785529034376</v>
      </c>
      <c r="EO92" s="59">
        <f ca="1">AVERAGE(OFFSET($EN$3,0,0,'Données projet'!$E$15+1,1))-AVERAGE(OFFSET($H$3,0,0,'Données projet'!$E$15+1,1))</f>
        <v>147.64256291235483</v>
      </c>
      <c r="EP92" s="59">
        <f t="shared" si="195"/>
        <v>70.859031694091868</v>
      </c>
      <c r="EQ92" s="15">
        <f>IF(ISNA(VLOOKUP(A92,'Données projet'!$A$201:$I$221,3,0)),0,VLOOKUP(A92,'Données projet'!$A$201:$I$221,3,0))</f>
        <v>0</v>
      </c>
      <c r="ER92" s="15">
        <f>IF(ISNA(VLOOKUP(A92,'Données projet'!$A$201:$I$221,4,0)),0,VLOOKUP(A92,'Données projet'!$A$201:$I$221,4,0))</f>
        <v>0</v>
      </c>
      <c r="ES92" s="16">
        <f>IF(ISNA(VLOOKUP(A92,'Données projet'!$A$201:$I$221,5,0)),0%,VLOOKUP(A92,'Données projet'!$A$201:$I$221,5,0)*VLOOKUP('Données projet'!$B$15,Paramètres!$A$1:$I$89,7,0))</f>
        <v>0</v>
      </c>
      <c r="ET92" s="16">
        <f>IF(ISNA(VLOOKUP(A92,'Données projet'!$A$201:$I$221,6,0)),0%,VLOOKUP(A92,'Données projet'!$A$201:$I$221,6,0)*VLOOKUP('Données projet'!$B$15,Paramètres!$A$1:$I$89,7,0))</f>
        <v>0</v>
      </c>
      <c r="EU92" s="16">
        <f>IF(ISNA(VLOOKUP(A92,'Données projet'!$A$201:$I$221,7,0)),0%,VLOOKUP(A92,'Données projet'!$A$201:$I$221,7,0))</f>
        <v>0</v>
      </c>
      <c r="EV92" s="21">
        <f>EXP(-LN(2)/35)*EV91+(1-EXP(-LN(2)/35))/(LN(2)/35)*ER92*ES92*VLOOKUP('Données projet'!$B$15,Paramètres!$A$1:$I$89,3,0)*0.475*44/12</f>
        <v>49.954312430394687</v>
      </c>
      <c r="EW92" s="21">
        <f>EXP(-LN(2)/25)*EW91+(1-EXP(-LN(2)/25))/(LN(2)/25)*Calculateur!ER92*Calculateur!ET92*VLOOKUP('Données projet'!$B$15,Paramètres!$A$1:$I$89,3,0)*0.475*44/12</f>
        <v>17.456901409503843</v>
      </c>
      <c r="EX92" s="21">
        <f>EXP(-LN(2)/2)*EX91+(1-EXP(-LN(2)/2))/(LN(2)/2)*ER92*EU92*VLOOKUP('Données projet'!$B$15,Paramètres!$A$1:$I$89,3,0)*0.475*44/12</f>
        <v>2.9481690429827574</v>
      </c>
      <c r="EY92" s="22">
        <f t="shared" si="140"/>
        <v>70.359382882881278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projet'!$A$227:$I$247,2,0)</f>
        <v>#N/A</v>
      </c>
      <c r="FC92" s="12" t="e">
        <f>VLOOKUP(A92,'Données projet'!$A$227:$I$247,9,0)</f>
        <v>#N/A</v>
      </c>
      <c r="FD92" s="12">
        <f t="array" ref="FD92">INDEX(FC:FC,MIN(IF(ISNUMBER(FC92:FC288),ROW(FC92:FC288),"")))</f>
        <v>2.8</v>
      </c>
      <c r="FE92" s="12">
        <f>IF('Données projet'!$A$228&gt;35,FE91+FD92-FM91,IF(A92&lt;'Données projet'!$A$228,$FB$205^A92,IF(A92='Données projet'!$A$228,'Données projet'!$B$228,FE91+FD92-FM91)))</f>
        <v>212.20000000000002</v>
      </c>
      <c r="FF92" s="17">
        <f>FE92*VLOOKUP('Données projet'!$B$16,Paramètres!$A$1:$I$89,3,0)*VLOOKUP('Données projet'!$B$16,Paramètres!$A$1:$I$89,5,0)</f>
        <v>221.79144000000002</v>
      </c>
      <c r="FG92" s="13">
        <f t="shared" si="196"/>
        <v>54.504062385454226</v>
      </c>
      <c r="FH92" s="20">
        <f t="shared" si="141"/>
        <v>481.21466665466613</v>
      </c>
      <c r="FI92" s="59">
        <f t="shared" si="142"/>
        <v>774.54799998799945</v>
      </c>
      <c r="FJ92" s="59">
        <f ca="1">AVERAGE(OFFSET($FI$3,0,0,'Données projet'!$E$16+1,1))-AVERAGE(OFFSET($H$3,0,0,'Données projet'!$E$16+1,1))</f>
        <v>259.03906550253788</v>
      </c>
      <c r="FK92" s="59">
        <f t="shared" si="197"/>
        <v>235.54542903570831</v>
      </c>
      <c r="FL92" s="15">
        <f>IF(ISNA(VLOOKUP(A92,'Données projet'!$A$227:$I$247,3,0)),0,VLOOKUP(A92,'Données projet'!$A$227:$I$247,3,0))</f>
        <v>0</v>
      </c>
      <c r="FM92" s="15">
        <f>IF(ISNA(VLOOKUP(A92,'Données projet'!$A$227:$I$247,4,0)),0,VLOOKUP(A92,'Données projet'!$A$227:$I$247,4,0))</f>
        <v>0</v>
      </c>
      <c r="FN92" s="16">
        <f>IF(ISNA(VLOOKUP(A92,'Données projet'!$A$227:$I$247,5,0)),0%,VLOOKUP(A92,'Données projet'!$A$227:$I$247,5,0)*VLOOKUP('Données projet'!$B$16,Paramètres!$A$1:$I$89,7,0))</f>
        <v>0</v>
      </c>
      <c r="FO92" s="16">
        <f>IF(ISNA(VLOOKUP(A92,'Données projet'!$A$227:$I$247,6,0)),0%,VLOOKUP(A92,'Données projet'!$A$227:$I$247,6,0)*VLOOKUP('Données projet'!$B$16,Paramètres!$A$1:$I$89,7,0))</f>
        <v>0</v>
      </c>
      <c r="FP92" s="16">
        <f>IF(ISNA(VLOOKUP(A92,'Données projet'!$A$227:$I$247,7,0)),0%,VLOOKUP(A92,'Données projet'!$A$227:$I$247,7,0))</f>
        <v>0</v>
      </c>
      <c r="FQ92" s="21">
        <f>EXP(-LN(2)/35)*FQ91+(1-EXP(-LN(2)/35))/(LN(2)/35)*FM92*FN92*VLOOKUP('Données projet'!$B$16,Paramètres!$A$1:$I$89,3,0)*0.475*44/12</f>
        <v>13.208161273563842</v>
      </c>
      <c r="FR92" s="21">
        <f>EXP(-LN(2)/25)*FR91+(1-EXP(-LN(2)/25))/(LN(2)/25)*Calculateur!FM92*Calculateur!FO92*VLOOKUP('Données projet'!$B$16,Paramètres!$A$1:$I$89,3,0)*0.475*44/12</f>
        <v>15.141475974992106</v>
      </c>
      <c r="FS92" s="21">
        <f>EXP(-LN(2)/2)*FS91+(1-EXP(-LN(2)/2))/(LN(2)/2)*FM92*FP92*VLOOKUP('Données projet'!$B$16,Paramètres!$A$1:$I$89,3,0)*0.475*44/12</f>
        <v>0</v>
      </c>
      <c r="FT92" s="22">
        <f t="shared" si="143"/>
        <v>28.34963724855595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projet'!$A$253:$I$273,2,0)</f>
        <v>#N/A</v>
      </c>
      <c r="FX92" s="12" t="e">
        <f>VLOOKUP(A92,'Données projet'!$A$253:$I$273,9,0)</f>
        <v>#N/A</v>
      </c>
      <c r="FY92" s="12">
        <f t="array" ref="FY92">INDEX(FX:FX,MIN(IF(ISNUMBER(FX92:FX288),ROW(FX92:FX288),"")))</f>
        <v>0</v>
      </c>
      <c r="FZ92" s="12">
        <f>IF('Données projet'!$A$254&gt;35,FZ91+FY92-GH91,IF(A92&lt;'Données projet'!$A$254,$FW$205^A92,IF(A92='Données projet'!$A$254,'Données projet'!$B$254,FZ91+FY92-GH91)))</f>
        <v>-1.7053025658242404E-13</v>
      </c>
      <c r="GA92" s="17">
        <f>FZ92*VLOOKUP('Données projet'!$B$17,Paramètres!$A$1:$I$89,3,0)*VLOOKUP('Données projet'!$B$17,Paramètres!$A$1:$I$89,5,0)</f>
        <v>-1.4897523215040567E-13</v>
      </c>
      <c r="GB92" s="13" t="e">
        <f t="shared" si="198"/>
        <v>#NUM!</v>
      </c>
      <c r="GC92" s="20" t="e">
        <f t="shared" si="144"/>
        <v>#NUM!</v>
      </c>
      <c r="GD92" s="59" t="e">
        <f t="shared" si="145"/>
        <v>#NUM!</v>
      </c>
      <c r="GE92" s="59">
        <f ca="1">AVERAGE(OFFSET($GD$3,0,0,'Données projet'!$E$17+1,1))-AVERAGE(OFFSET($H$3,0,0,'Données projet'!$E$17+1,1))</f>
        <v>245.1983232777614</v>
      </c>
      <c r="GF92" s="59">
        <f t="shared" si="199"/>
        <v>242.34010522344573</v>
      </c>
      <c r="GG92" s="15">
        <f>IF(ISNA(VLOOKUP(A92,'Données projet'!$A$253:$I$273,3,0)),0,VLOOKUP(A92,'Données projet'!$A$253:$I$273,3,0))</f>
        <v>0</v>
      </c>
      <c r="GH92" s="15">
        <f>IF(ISNA(VLOOKUP(A92,'Données projet'!$A$253:$I$273,4,0)),0,VLOOKUP(A92,'Données projet'!$A$253:$I$273,4,0))</f>
        <v>0</v>
      </c>
      <c r="GI92" s="16">
        <f>IF(ISNA(VLOOKUP(A92,'Données projet'!$A$253:$I$273,5,0)),0%,VLOOKUP(A92,'Données projet'!$A$253:$I$273,5,0)*VLOOKUP('Données projet'!$B$17,Paramètres!$A$1:$I$89,7,0))</f>
        <v>0</v>
      </c>
      <c r="GJ92" s="16">
        <f>IF(ISNA(VLOOKUP(A92,'Données projet'!$A$253:$I$273,6,0)),0%,VLOOKUP(A92,'Données projet'!$A$253:$I$273,6,0)*VLOOKUP('Données projet'!$B$17,Paramètres!$A$1:$I$89,7,0))</f>
        <v>0</v>
      </c>
      <c r="GK92" s="16">
        <f>IF(ISNA(VLOOKUP(A92,'Données projet'!$A$253:$I$273,7,0)),0%,VLOOKUP(A92,'Données projet'!$A$253:$I$273,7,0))</f>
        <v>0</v>
      </c>
      <c r="GL92" s="21">
        <f>EXP(-LN(2)/35)*GL91+(1-EXP(-LN(2)/35))/(LN(2)/35)*GH92*GI92*VLOOKUP('Données projet'!$B$17,Paramètres!$A$1:$I$89,3,0)*0.475*44/12</f>
        <v>103.10385644400674</v>
      </c>
      <c r="GM92" s="21">
        <f>EXP(-LN(2)/25)*GM91+(1-EXP(-LN(2)/25))/(LN(2)/25)*Calculateur!GH92*Calculateur!GJ92*VLOOKUP('Données projet'!$B$17,Paramètres!$A$1:$I$89,3,0)*0.475*44/12</f>
        <v>16.967951616372016</v>
      </c>
      <c r="GN92" s="21">
        <f>EXP(-LN(2)/2)*GN91+(1-EXP(-LN(2)/2))/(LN(2)/2)*GH92*GK92*VLOOKUP('Données projet'!$B$17,Paramètres!$A$1:$I$89,3,0)*0.475*44/12</f>
        <v>0</v>
      </c>
      <c r="GO92" s="21">
        <f t="shared" si="146"/>
        <v>120.07180806037876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projet'!$A$279:$I$299,2,0)</f>
        <v>#N/A</v>
      </c>
      <c r="GS92" s="12" t="e">
        <f>VLOOKUP(A92,'Données projet'!$A$279:$I$299,9,0)</f>
        <v>#N/A</v>
      </c>
      <c r="GT92" s="12">
        <f t="array" ref="GT92">INDEX(GS:GS,MIN(IF(ISNUMBER(GS92:GS288),ROW(GS92:GS288),"")))</f>
        <v>0</v>
      </c>
      <c r="GU92" s="12">
        <f>IF('Données projet'!$A$280&gt;35,GU91+GT92-HC91,IF(A92&lt;'Données projet'!$A$280,$GR$205^A92,IF(A92='Données projet'!$A$280,'Données projet'!$B$280,GU91+GT92-HC91)))</f>
        <v>-1.1368683772161603E-13</v>
      </c>
      <c r="GV92" s="17">
        <f>GU92*VLOOKUP('Données projet'!$B$18,Paramètres!$A$1:$I$89,3,0)*VLOOKUP('Données projet'!$B$18,Paramètres!$A$1:$I$89,5,0)</f>
        <v>-4.5815795601811263E-14</v>
      </c>
      <c r="GW92" s="13" t="e">
        <f t="shared" si="200"/>
        <v>#NUM!</v>
      </c>
      <c r="GX92" s="20" t="e">
        <f t="shared" si="147"/>
        <v>#NUM!</v>
      </c>
      <c r="GY92" s="59" t="e">
        <f t="shared" si="148"/>
        <v>#NUM!</v>
      </c>
      <c r="GZ92" s="59">
        <f ca="1">AVERAGE(OFFSET($GY$3,0,0,'Données projet'!$E$18+1,1))-AVERAGE(OFFSET($H$3,0,0,'Données projet'!$E$18+1,1))</f>
        <v>324.36162935850876</v>
      </c>
      <c r="HA92" s="59">
        <f t="shared" si="201"/>
        <v>265.23571072429735</v>
      </c>
      <c r="HB92" s="15">
        <f>IF(ISNA(VLOOKUP(A92,'Données projet'!$A$279:$I$299,3,0)),0,VLOOKUP(A92,'Données projet'!$A$279:$I$299,3,0))</f>
        <v>0</v>
      </c>
      <c r="HC92" s="15">
        <f>IF(ISNA(VLOOKUP(A92,'Données projet'!$A$279:$I$299,4,0)),0,VLOOKUP(A92,'Données projet'!$A$279:$I$299,4,0))</f>
        <v>0</v>
      </c>
      <c r="HD92" s="16">
        <f>IF(ISNA(VLOOKUP(A92,'Données projet'!$A$279:$I$299,5,0)),0%,VLOOKUP(A92,'Données projet'!$A$279:$I$299,5,0)*VLOOKUP('Données projet'!$B$18,Paramètres!$A$1:$I$89,7,0))</f>
        <v>0</v>
      </c>
      <c r="HE92" s="16">
        <f>IF(ISNA(VLOOKUP(A92,'Données projet'!$A$279:$I$299,6,0)),0%,VLOOKUP(A92,'Données projet'!$A$279:$I$299,6,0)*VLOOKUP('Données projet'!$B$18,Paramètres!$A$1:$I$89,7,0))</f>
        <v>0</v>
      </c>
      <c r="HF92" s="16">
        <f>IF(ISNA(VLOOKUP($A92,'Données projet'!$A$279:$I$299,7,0)),0%,VLOOKUP($A92,'Données projet'!$A$279:$I$299,7,0))</f>
        <v>0</v>
      </c>
      <c r="HG92" s="21">
        <f>EXP(-LN(2)/35)*HG91+(1-EXP(-LN(2)/35))/(LN(2)/35)*HC92*HD92*VLOOKUP('Données projet'!$B$18,Paramètres!$A$1:$I$89,3,0)*0.475*44/12</f>
        <v>197.57394223419138</v>
      </c>
      <c r="HH92" s="21">
        <f>EXP(-LN(2)/25)*HH91+(1-EXP(-LN(2)/25))/(LN(2)/25)*Calculateur!HC92*Calculateur!HE92*VLOOKUP('Données projet'!$B$18,Paramètres!$A$1:$I$89,3,0)*0.475*44/12</f>
        <v>18.87139718796524</v>
      </c>
      <c r="HI92" s="21">
        <f>EXP(-LN(2)/2)*HI91+(1-EXP(-LN(2)/2))/(LN(2)/2)*HC92*HF92*VLOOKUP('Données projet'!$B$18,Paramètres!$A$1:$I$89,3,0)*0.475*44/12</f>
        <v>0.37773687160787794</v>
      </c>
      <c r="HJ92" s="22">
        <f t="shared" si="149"/>
        <v>216.8230762937645</v>
      </c>
      <c r="HK92" s="74">
        <f>('Scénario référence'!$F$8+'Scénario référence'!$F$9+'Scénario référence'!$B$17+'Scénario référence'!$B$9+'Scénario référence'!$B$10)*70+IF((45+25*(1-EXP(-0.0175*$A92)))&lt;70,'Scénario référence'!$B$16*(45+25*(1-EXP(-0.0175*$A92))),70*'Scénario référence'!$B$16)+IF((32+38*(1-EXP(-0.0175*$A92)))&lt;70,'Scénario référence'!$B$18*(32+38*(1-EXP(-0.0175*$A92))),70*'Scénario référence'!$B$18)</f>
        <v>70</v>
      </c>
      <c r="HL92" s="12">
        <f>IF($A92&gt;30,10,('Scénario référence'!$B$16+'Scénario référence'!$B$17+'Scénario référence'!$B$18+'Scénario référence'!$B$9+'Scénario référence'!$B$10)*$A92*10/30+('Scénario référence'!$F$8+'Scénario référence'!$F$9)*10)</f>
        <v>10</v>
      </c>
      <c r="HM92" s="12" t="e">
        <f>VLOOKUP($A92,'Données projet'!$A$304:$I$324,2,0)</f>
        <v>#N/A</v>
      </c>
      <c r="HN92" s="12" t="e">
        <f>VLOOKUP($A92,'Données projet'!$A$304:$I$324,9,0)</f>
        <v>#N/A</v>
      </c>
      <c r="HO92" s="12">
        <f t="array" ref="HO92">INDEX(HN:HN,MIN(IF(ISNUMBER(HN92:HN288),ROW(HN92:HN288),"")))</f>
        <v>0</v>
      </c>
      <c r="HP92" s="12">
        <f>IF('Données projet'!$A$304&gt;35,HP91+HO92-HX91,IF($A92&lt;'Données projet'!$A$304,$CQ$205^$A92,IF($A92='Données projet'!$A$304,'Données projet'!$B$304,HP91+HO92-HX91)))</f>
        <v>0</v>
      </c>
      <c r="HQ92" s="17">
        <f>HP92*VLOOKUP('Données projet'!$B$19,Paramètres!$A$1:$I$89,3,0)*VLOOKUP('Données projet'!$B$19,Paramètres!$A$1:$I$89,5,0)</f>
        <v>0</v>
      </c>
      <c r="HR92" s="13" t="e">
        <f t="shared" si="202"/>
        <v>#NUM!</v>
      </c>
      <c r="HS92" s="14" t="e">
        <f t="shared" si="150"/>
        <v>#NUM!</v>
      </c>
      <c r="HT92" s="59" t="e">
        <f t="shared" si="151"/>
        <v>#NUM!</v>
      </c>
      <c r="HU92" s="59">
        <f ca="1">AVERAGE(OFFSET(HT$3,0,0,'Données projet'!$E$19+1,1))-AVERAGE(OFFSET($H$3,0,0,'Données projet'!$E$19+1,1))</f>
        <v>91.60721429656013</v>
      </c>
      <c r="HV92" s="59">
        <f t="shared" si="203"/>
        <v>258.94957804210856</v>
      </c>
      <c r="HW92" s="15">
        <f>IF(ISNA(VLOOKUP($A92,'Données projet'!$A$304:$I$324,3,0)),0,VLOOKUP($A92,'Données projet'!$A$304:$I$324,3,0))</f>
        <v>0</v>
      </c>
      <c r="HX92" s="15">
        <f>IF(ISNA(VLOOKUP($A92,'Données projet'!$A$304:$I$324,4,0)),0,VLOOKUP($A92,'Données projet'!$A$304:$I$324,4,0))</f>
        <v>0</v>
      </c>
      <c r="HY92" s="16">
        <f>IF(ISNA(VLOOKUP($A92,'Données projet'!$A$304:$I$324,5,0)),0%,VLOOKUP($A92,'Données projet'!$A$304:$I$324,5,0)*VLOOKUP('Données projet'!$B$19,Paramètres!$A$1:$I$89,7,0))</f>
        <v>0</v>
      </c>
      <c r="HZ92" s="16">
        <f>IF(ISNA(VLOOKUP($A92,'Données projet'!$A$304:$I$324,6,0)),0%,VLOOKUP($A92,'Données projet'!$A$304:$I$324,6,0)*VLOOKUP('Données projet'!$B$19,Paramètres!$A$1:$I$89,7,0))</f>
        <v>0</v>
      </c>
      <c r="IA92" s="16">
        <f>IF(ISNA(VLOOKUP($A92,'Données projet'!$A$304:$I$324,7,0)),0%,VLOOKUP($A92,'Données projet'!$A$304:$I$324,7,0))</f>
        <v>0</v>
      </c>
      <c r="IB92" s="21">
        <f>EXP(-LN(2)/35)*IB91+(1-EXP(-LN(2)/35))/(LN(2)/35)*HX92*HY92*VLOOKUP('Données projet'!$B$19,Paramètres!$A$1:$I$89,3,0)*0.475*44/12</f>
        <v>15.335020560889276</v>
      </c>
      <c r="IC92" s="21">
        <f>EXP(-LN(2)/25)*IC91+(1-EXP(-LN(2)/25))/(LN(2)/25)*Calculateur!HX92*Calculateur!HZ92*VLOOKUP('Données projet'!$B$19,Paramètres!$A$1:$I$89,3,0)*0.475*44/12</f>
        <v>1.8948750166666941</v>
      </c>
      <c r="ID92" s="21">
        <f>EXP(-LN(2)/2)*ID91+(1-EXP(-LN(2)/2))/(LN(2)/2)*HX92*IA92*VLOOKUP('Données projet'!$B$19,Paramètres!$A$1:$I$89,3,0)*0.475*44/12</f>
        <v>7.54497487568402E-10</v>
      </c>
      <c r="IE92" s="22">
        <f t="shared" si="152"/>
        <v>17.229895578310469</v>
      </c>
      <c r="IF92" s="74">
        <f>('Scénario référence'!$F$8+'Scénario référence'!$F$9+'Scénario référence'!$B$17+'Scénario référence'!$B$9+'Scénario référence'!$B$10)*70+IF((45+25*(1-EXP(-0.0175*$A92)))&lt;70,'Scénario référence'!$B$16*(45+25*(1-EXP(-0.0175*$A92))),70*'Scénario référence'!$B$16)+IF((32+38*(1-EXP(-0.0175*$A92)))&lt;70,'Scénario référence'!$B$18*(32+38*(1-EXP(-0.0175*$A92))),70*'Scénario référence'!$B$18)</f>
        <v>70</v>
      </c>
      <c r="IG92" s="12">
        <f>IF($A92&gt;30,10,('Scénario référence'!$B$16+'Scénario référence'!$B$17+'Scénario référence'!$B$18+'Scénario référence'!$B$9+'Scénario référence'!$B$10)*$A92*10/30+('Scénario référence'!$F$8+'Scénario référence'!$F$9)*10)</f>
        <v>10</v>
      </c>
      <c r="IH92" s="12" t="e">
        <f>VLOOKUP($A92,'Données projet'!$A$330:$I$350,2,0)</f>
        <v>#N/A</v>
      </c>
      <c r="II92" s="12" t="e">
        <f>VLOOKUP($A92,'Données projet'!$A$330:$I$350,9,0)</f>
        <v>#N/A</v>
      </c>
      <c r="IJ92" s="12">
        <f t="array" ref="IJ92">INDEX(II:II,MIN(IF(ISNUMBER(II92:II288),ROW(II92:II288),"")))</f>
        <v>0</v>
      </c>
      <c r="IK92" s="12">
        <f>IF('Données projet'!$A$330&gt;35,IK91+IJ92-IS91,IF($A92&lt;'Données projet'!$A$330,$CQ$205^$A92,IF($A92='Données projet'!$A$330,'Données projet'!$B$330,IK91+IJ92-IS91)))</f>
        <v>0</v>
      </c>
      <c r="IL92" s="17">
        <f>IK92*VLOOKUP('Données projet'!$B$20,Paramètres!$A$1:$I$89,3,0)*VLOOKUP('Données projet'!$B$20,Paramètres!$A$1:$I$89,5,0)</f>
        <v>0</v>
      </c>
      <c r="IM92" s="13" t="e">
        <f t="shared" si="204"/>
        <v>#NUM!</v>
      </c>
      <c r="IN92" s="20" t="e">
        <f t="shared" si="153"/>
        <v>#NUM!</v>
      </c>
      <c r="IO92" s="59" t="e">
        <f t="shared" si="154"/>
        <v>#NUM!</v>
      </c>
      <c r="IP92" s="59">
        <f ca="1">AVERAGE(OFFSET(IO$3,0,0,'Données projet'!$E$20+1,1))-AVERAGE(OFFSET($H$3,0,0,'Données projet'!$E$20+1,1))</f>
        <v>91.60721429656013</v>
      </c>
      <c r="IQ92" s="59">
        <f t="shared" si="205"/>
        <v>258.94957804210856</v>
      </c>
      <c r="IR92" s="15">
        <f>IF(ISNA(VLOOKUP($A92,'Données projet'!$A$330:$I$350,3,0)),0,VLOOKUP($A92,'Données projet'!$A$330:$I$350,3,0))</f>
        <v>0</v>
      </c>
      <c r="IS92" s="15">
        <f>IF(ISNA(VLOOKUP($A92,'Données projet'!$A$330:$I$350,4,0)),0,VLOOKUP($A92,'Données projet'!$A$330:$I$350,4,0))</f>
        <v>0</v>
      </c>
      <c r="IT92" s="16">
        <f>IF(ISNA(VLOOKUP($A92,'Données projet'!$A$330:$I$350,5,0)),0%,VLOOKUP($A92,'Données projet'!$A$330:$I$350,5,0)*VLOOKUP('Données projet'!$B$20,Paramètres!$A$1:$I$89,7,0))</f>
        <v>0</v>
      </c>
      <c r="IU92" s="16">
        <f>IF(ISNA(VLOOKUP($A92,'Données projet'!$A$330:$I$350,6,0)),0%,VLOOKUP($A92,'Données projet'!$A$330:$I$350,6,0)*VLOOKUP('Données projet'!$B$20,Paramètres!$A$1:$I$89,7,0))</f>
        <v>0</v>
      </c>
      <c r="IV92" s="16">
        <f>IF(ISNA(VLOOKUP($A92,'Données projet'!$A$330:$I$350,7,0)),0%,VLOOKUP($A92,'Données projet'!$A$330:$I$350,7,0))</f>
        <v>0</v>
      </c>
      <c r="IW92" s="21">
        <f>EXP(-LN(2)/35)*IW91+(1-EXP(-LN(2)/35))/(LN(2)/35)*IS92*IT92*VLOOKUP('Données projet'!$B$20,Paramètres!$A$1:$I$89,3,0)*0.475*44/12</f>
        <v>15.335020560889276</v>
      </c>
      <c r="IX92" s="21">
        <f>EXP(-LN(2)/25)*IX91+(1-EXP(-LN(2)/25))/(LN(2)/25)*Calculateur!IS92*Calculateur!IU92*VLOOKUP('Données projet'!$B$20,Paramètres!$A$1:$I$89,3,0)*0.475*44/12</f>
        <v>1.8948750166666941</v>
      </c>
      <c r="IY92" s="21">
        <f>EXP(-LN(2)/2)*IY91+(1-EXP(-LN(2)/2))/(LN(2)/2)*IS92*IV92*VLOOKUP('Données projet'!$B$20,Paramètres!$A$1:$I$89,3,0)*0.475*44/12</f>
        <v>7.54497487568402E-10</v>
      </c>
      <c r="IZ92" s="22">
        <f t="shared" si="155"/>
        <v>17.229895578310469</v>
      </c>
      <c r="JA92" s="74">
        <f>('Scénario référence'!$F$8+'Scénario référence'!$F$9+'Scénario référence'!$B$17+'Scénario référence'!$B$9+'Scénario référence'!$B$10)*70+IF((45+25*(1-EXP(-0.0175*$A92)))&lt;70,'Scénario référence'!$B$16*(45+25*(1-EXP(-0.0175*$A92))),70*'Scénario référence'!$B$16)+IF((32+38*(1-EXP(-0.0175*$A92)))&lt;70,'Scénario référence'!$B$18*(32+38*(1-EXP(-0.0175*$A92))),70*'Scénario référence'!$B$18)</f>
        <v>70</v>
      </c>
      <c r="JB92" s="12">
        <f>IF($A92&gt;30,10,('Scénario référence'!$B$16+'Scénario référence'!$B$17+'Scénario référence'!$B$18+'Scénario référence'!$B$9+'Scénario référence'!$B$10)*$A92*10/30+('Scénario référence'!$F$8+'Scénario référence'!$F$9)*10)</f>
        <v>10</v>
      </c>
      <c r="JC92" s="12" t="e">
        <f>VLOOKUP($A92,'Données projet'!$A$356:$I$376,2,0)</f>
        <v>#N/A</v>
      </c>
      <c r="JD92" s="12" t="e">
        <f>VLOOKUP($A92,'Données projet'!$A$356:$I$376,9,0)</f>
        <v>#N/A</v>
      </c>
      <c r="JE92" s="12">
        <f t="array" ref="JE92">INDEX(JD:JD,MIN(IF(ISNUMBER(JD92:JD288),ROW(JD92:JD288),"")))</f>
        <v>5.4</v>
      </c>
      <c r="JF92" s="12">
        <f>IF('Données projet'!$A$356&gt;35,JF91+JE92-JN91,IF($A92&lt;'Données projet'!$A$356,$CQ$205^$A92,IF($A92='Données projet'!$A$356,'Données projet'!$B$356,JF91+JE92-JN91)))</f>
        <v>371.59999999999974</v>
      </c>
      <c r="JG92" s="17">
        <f>JF92*VLOOKUP('Données projet'!$B$21,Paramètres!$A$1:$I$89,3,0)*VLOOKUP('Données projet'!$B$21,Paramètres!$A$1:$I$89,5,0)</f>
        <v>301.44191999999981</v>
      </c>
      <c r="JH92" s="13">
        <f t="shared" si="206"/>
        <v>71.478660885263054</v>
      </c>
      <c r="JI92" s="20">
        <f t="shared" si="156"/>
        <v>649.50334504183286</v>
      </c>
      <c r="JJ92" s="59">
        <f t="shared" si="157"/>
        <v>942.83667837516623</v>
      </c>
      <c r="JK92" s="59">
        <f ca="1">AVERAGE(OFFSET($JJ$3,0,0,'Données projet'!$E$22+1,1))-AVERAGE(OFFSET($H$3,0,0,'Données projet'!$E$22+1,1))</f>
        <v>353.35574633294613</v>
      </c>
      <c r="JL92" s="59">
        <f t="shared" si="207"/>
        <v>170.36796666474726</v>
      </c>
      <c r="JM92" s="15">
        <f>IF(ISNA(VLOOKUP($A92,'Données projet'!$A$356:$I$376,3,0)),0,VLOOKUP($A92,'Données projet'!$A$356:$I$376,3,0))</f>
        <v>0</v>
      </c>
      <c r="JN92" s="15">
        <f>IF(ISNA(VLOOKUP($A92,'Données projet'!$A$356:$I$376,4,0)),0,VLOOKUP($A92,'Données projet'!$A$356:$I$376,4,0))</f>
        <v>0</v>
      </c>
      <c r="JO92" s="16">
        <f>IF(ISNA(VLOOKUP($A92,'Données projet'!$A$356:$I$376,5,0)),0%,VLOOKUP($A92,'Données projet'!$A$356:$I$376,5,0)*VLOOKUP('Données projet'!$B$21,Paramètres!$A$1:$I$89,7,0))</f>
        <v>0</v>
      </c>
      <c r="JP92" s="16">
        <f>IF(ISNA(VLOOKUP($A92,'Données projet'!$A$356:$I$376,6,0)),0%,VLOOKUP($A92,'Données projet'!$A$356:$I$376,6,0)*VLOOKUP('Données projet'!$B$21,Paramètres!$A$1:$I$89,7,0))</f>
        <v>0</v>
      </c>
      <c r="JQ92" s="16">
        <f>IF(ISNA(VLOOKUP($A92,'Données projet'!$A$356:$I$376,7,0)),0%,VLOOKUP($A92,'Données projet'!$A$356:$I$376,7,0))</f>
        <v>0</v>
      </c>
      <c r="JR92" s="21">
        <f>EXP(-LN(2)/35)*JR91+(1-EXP(-LN(2)/35))/(LN(2)/35)*JN92*JO92*VLOOKUP('Données projet'!$B$21,Paramètres!$A$1:$I$89,3,0)*0.475*44/12</f>
        <v>1.7216852269082685</v>
      </c>
      <c r="JS92" s="21">
        <f>EXP(-LN(2)/25)*JS91+(1-EXP(-LN(2)/25))/(LN(2)/25)*Calculateur!JN92*Calculateur!JP92*VLOOKUP('Données projet'!$B$21,Paramètres!$A$1:$I$89,3,0)*0.475*44/12</f>
        <v>13.733426690867987</v>
      </c>
      <c r="JT92" s="21">
        <f>EXP(-LN(2)/2)*JT91+(1-EXP(-LN(2)/2))/(LN(2)/2)*JN92*JQ92*VLOOKUP('Données projet'!$B$21,Paramètres!$A$1:$I$89,3,0)*0.475*44/12</f>
        <v>0.34515079815432476</v>
      </c>
      <c r="JU92" s="18">
        <f t="shared" si="158"/>
        <v>15.800262715930581</v>
      </c>
      <c r="JV92" s="74">
        <f>('Scénario référence'!$F$8+'Scénario référence'!$F$9+'Scénario référence'!$B$17+'Scénario référence'!$B$9+'Scénario référence'!$B$10)*70+IF((45+25*(1-EXP(-0.0175*$A92)))&lt;70,'Scénario référence'!$B$16*(45+25*(1-EXP(-0.0175*$A92))),70*'Scénario référence'!$B$16)+IF((32+38*(1-EXP(-0.0175*$A92)))&lt;70,'Scénario référence'!$B$18*(32+38*(1-EXP(-0.0175*$A92))),70*'Scénario référence'!$B$18)</f>
        <v>70</v>
      </c>
      <c r="JW92" s="12">
        <f>IF($A92&gt;30,10,('Scénario référence'!$B$16+'Scénario référence'!$B$17+'Scénario référence'!$B$18+'Scénario référence'!$B$9+'Scénario référence'!$B$10)*$A92*10/30+('Scénario référence'!$F$8+'Scénario référence'!$F$9)*10)</f>
        <v>10</v>
      </c>
      <c r="JX92" s="12">
        <f>VLOOKUP($A92,'Données projet'!$A$382:$I$402,2,0)</f>
        <v>295.85897435897436</v>
      </c>
      <c r="JY92" s="12">
        <f>VLOOKUP($A92,'Données projet'!$A$382:$I$402,9,0)</f>
        <v>7.4950142450142421</v>
      </c>
      <c r="JZ92" s="12">
        <f t="array" ref="JZ92">INDEX(JY:JY,MIN(IF(ISNUMBER(JY92:JY288),ROW(JY92:JY288),"")))</f>
        <v>7.4950142450142421</v>
      </c>
      <c r="KA92" s="12">
        <f>IF('Données projet'!$A$382&gt;35,KA91+JZ92-KI91,IF($A92&lt;'Données projet'!$A$382,$CQ$205^$A92,IF($A92='Données projet'!$A$382,'Données projet'!$B$382,KA91+JZ92-KI91)))</f>
        <v>295.85897435897459</v>
      </c>
      <c r="KB92" s="17">
        <f>KA92*VLOOKUP('Données projet'!$B$22,Paramètres!$A$1:$I$89,3,0)*VLOOKUP('Données projet'!$B$22,Paramètres!$A$1:$I$89,5,0)</f>
        <v>198.46220000000017</v>
      </c>
      <c r="KC92" s="13">
        <f t="shared" si="208"/>
        <v>49.406054157567723</v>
      </c>
      <c r="KD92" s="20">
        <f t="shared" si="159"/>
        <v>431.70387599109739</v>
      </c>
      <c r="KE92" s="59">
        <f t="shared" si="160"/>
        <v>725.03720932443071</v>
      </c>
      <c r="KF92" s="59">
        <f ca="1">AVERAGE(OFFSET($KE$3,0,0,'Données projet'!$E$22+1,1))-AVERAGE(OFFSET($H$3,0,0,'Données projet'!$E$22+1,1))</f>
        <v>193.91714772848269</v>
      </c>
      <c r="KG92" s="59">
        <f t="shared" si="209"/>
        <v>159.20429420478047</v>
      </c>
      <c r="KH92" s="15">
        <f>IF(ISNA(VLOOKUP($A92,'Données projet'!$A$382:$I$402,3,0)),0,VLOOKUP($A92,'Données projet'!$A$382:$I$402,3,0))</f>
        <v>8</v>
      </c>
      <c r="KI92" s="15">
        <f>IF(ISNA(VLOOKUP($A92,'Données projet'!$A$382:$I$402,4,0)),0,VLOOKUP($A92,'Données projet'!$A$382:$I$402,4,0))</f>
        <v>49.391025641025635</v>
      </c>
      <c r="KJ92" s="16">
        <f>IF(ISNA(VLOOKUP($A92,'Données projet'!$A$382:$I$402,5,0)),0%,VLOOKUP($A92,'Données projet'!$A$382:$I$402,5,0)*VLOOKUP('Données projet'!$B$22,Paramètres!$A$1:$I$89,7,0))</f>
        <v>0.371</v>
      </c>
      <c r="KK92" s="16">
        <f>IF(ISNA(VLOOKUP($A92,'Données projet'!$A$382:$I$402,6,0)),0%,VLOOKUP($A92,'Données projet'!$A$382:$I$402,6,0)*VLOOKUP('Données projet'!$B$22,Paramètres!$A$1:$I$89,7,0))</f>
        <v>0</v>
      </c>
      <c r="KL92" s="16">
        <f>IF(ISNA(VLOOKUP($A92,'Données projet'!$A$382:$I$402,7,0)),0%,VLOOKUP($A92,'Données projet'!$A$382:$I$402,7,0))</f>
        <v>0</v>
      </c>
      <c r="KM92" s="21">
        <f>EXP(-LN(2)/35)*KM91+(1-EXP(-LN(2)/35))/(LN(2)/35)*KI92*KJ92*VLOOKUP('Données projet'!$B$22,Paramètres!$A$1:$I$89,3,0)*0.475*44/12</f>
        <v>38.639147483431429</v>
      </c>
      <c r="KN92" s="21">
        <f>EXP(-LN(2)/25)*KN91+(1-EXP(-LN(2)/25))/(LN(2)/25)*Calculateur!KI92*Calculateur!KK92*VLOOKUP('Données projet'!$B$22,Paramètres!$A$1:$I$89,3,0)*0.475*44/12</f>
        <v>0</v>
      </c>
      <c r="KO92" s="21">
        <f>EXP(-LN(2)/2)*KO91+(1-EXP(-LN(2)/2))/(LN(2)/2)*KI92*KL92*VLOOKUP('Données projet'!$B$22,Paramètres!$A$1:$I$89,3,0)*0.475*44/12</f>
        <v>0</v>
      </c>
      <c r="KP92" s="22">
        <f t="shared" si="161"/>
        <v>38.639147483431429</v>
      </c>
      <c r="KQ92" s="74">
        <f>('Scénario référence'!$F$8+'Scénario référence'!$F$9+'Scénario référence'!$B$17+'Scénario référence'!$B$9+'Scénario référence'!$B$10)*70+IF((45+25*(1-EXP(-0.0175*$A92)))&lt;70,'Scénario référence'!$B$16*(45+25*(1-EXP(-0.0175*$A92))),70*'Scénario référence'!$B$16)+IF((32+38*(1-EXP(-0.0175*$A92)))&lt;70,'Scénario référence'!$B$18*(32+38*(1-EXP(-0.0175*$A92))),70*'Scénario référence'!$B$18)</f>
        <v>70</v>
      </c>
      <c r="KR92" s="12">
        <f>IF($A92&gt;30,10,('Scénario référence'!$B$16+'Scénario référence'!$B$17+'Scénario référence'!$B$18+'Scénario référence'!$B$9+'Scénario référence'!$B$10)*$A92*10/30+('Scénario référence'!$F$8+'Scénario référence'!$F$9)*10)</f>
        <v>10</v>
      </c>
      <c r="KS92" s="12" t="e">
        <f>VLOOKUP($A92,'Données projet'!$A$408:$I$428,2,0)</f>
        <v>#N/A</v>
      </c>
      <c r="KT92" s="12" t="e">
        <f>VLOOKUP($A92,'Données projet'!$A$408:$I$428,9,0)</f>
        <v>#N/A</v>
      </c>
      <c r="KU92" s="12">
        <f t="array" ref="KU92">INDEX(KT:KT,MIN(IF(ISNUMBER(KT92:KT288),ROW(KT92:KT288),"")))</f>
        <v>0</v>
      </c>
      <c r="KV92" s="12">
        <f>IF('Données projet'!$A$408&gt;35,KV91+KU92-LD91,IF($A92&lt;'Données projet'!$A$408,$CQ$205^$A92,IF($A92='Données projet'!$A$408,'Données projet'!$B$408,KV91+KU92-LD91)))</f>
        <v>-1.1368683772161603E-13</v>
      </c>
      <c r="KW92" s="17">
        <f>KV92*VLOOKUP('Données projet'!$B$23,Paramètres!$A$1:$I$89,3,0)*VLOOKUP('Données projet'!$B$23,Paramètres!$A$1:$I$89,5,0)</f>
        <v>-9.9316821433603781E-14</v>
      </c>
      <c r="KX92" s="13" t="e">
        <f t="shared" si="210"/>
        <v>#NUM!</v>
      </c>
      <c r="KY92" s="14" t="e">
        <f t="shared" si="162"/>
        <v>#NUM!</v>
      </c>
      <c r="KZ92" s="59" t="e">
        <f t="shared" si="163"/>
        <v>#NUM!</v>
      </c>
      <c r="LA92" s="59">
        <f ca="1">AVERAGE(OFFSET($KZ$3,0,0,'Données projet'!$E$23+1,1))-AVERAGE(OFFSET($H$3,0,0,'Données projet'!$E$23+1,1))</f>
        <v>248.33596943633819</v>
      </c>
      <c r="LB92" s="59">
        <f t="shared" si="211"/>
        <v>242.34010522344573</v>
      </c>
      <c r="LC92" s="15">
        <f>IF(ISNA(VLOOKUP($A92,'Données projet'!$A$408:$I$428,3,0)),0,VLOOKUP($A92,'Données projet'!$A$408:$I$428,3,0))</f>
        <v>0</v>
      </c>
      <c r="LD92" s="15">
        <f>IF(ISNA(VLOOKUP($A92,'Données projet'!$A$408:$I$428,4,0)),0,VLOOKUP($A92,'Données projet'!$A$408:$I$428,4,0))</f>
        <v>0</v>
      </c>
      <c r="LE92" s="16">
        <f>IF(ISNA(VLOOKUP($A92,'Données projet'!$A$408:$I$428,5,0)),0%,VLOOKUP($A92,'Données projet'!$A$408:$I$428,5,0)*VLOOKUP('Données projet'!$B$23,Paramètres!$A$1:$I$89,7,0))</f>
        <v>0</v>
      </c>
      <c r="LF92" s="16">
        <f>IF(ISNA(VLOOKUP($A92,'Données projet'!$A$408:$I$428,6,0)),0%,VLOOKUP($A92,'Données projet'!$A$408:$I$428,6,0)*VLOOKUP('Données projet'!$B$23,Paramètres!$A$1:$I$89,7,0))</f>
        <v>0</v>
      </c>
      <c r="LG92" s="16">
        <f>IF(ISNA(VLOOKUP($A92,'Données projet'!$A$408:$I$428,7,0)),0%,VLOOKUP($A92,'Données projet'!$A$408:$I$428,7,0))</f>
        <v>0</v>
      </c>
      <c r="LH92" s="21">
        <f>EXP(-LN(2)/35)*LH91+(1-EXP(-LN(2)/35))/(LN(2)/35)*LD92*LE92*VLOOKUP('Données projet'!$B$23,Paramètres!$A$1:$I$89,3,0)*0.475*44/12</f>
        <v>103.10385644400674</v>
      </c>
      <c r="LI92" s="21">
        <f>EXP(-LN(2)/25)*LI91+(1-EXP(-LN(2)/25))/(LN(2)/25)*Calculateur!LD92*Calculateur!LF92*VLOOKUP('Données projet'!$B$23,Paramètres!$A$1:$I$89,3,0)*0.475*44/12</f>
        <v>16.967951616372016</v>
      </c>
      <c r="LJ92" s="21">
        <f>EXP(-LN(2)/2)*LJ91+(1-EXP(-LN(2)/2))/(LN(2)/2)*LD92*LG92*VLOOKUP('Données projet'!$B$23,Paramètres!$A$1:$I$89,3,0)*0.475*44/12</f>
        <v>0</v>
      </c>
      <c r="LK92" s="22">
        <f t="shared" si="164"/>
        <v>120.07180806037876</v>
      </c>
      <c r="LL92" s="74">
        <f>('Scénario référence'!$F$8+'Scénario référence'!$F$9+'Scénario référence'!$B$17+'Scénario référence'!$B$9+'Scénario référence'!$B$10)*70+IF((45+25*(1-EXP(-0.0175*$A92)))&lt;70,'Scénario référence'!$B$16*(45+25*(1-EXP(-0.0175*$A92))),70*'Scénario référence'!$B$16)+IF((32+38*(1-EXP(-0.0175*$A92)))&lt;70,'Scénario référence'!$B$18*(32+38*(1-EXP(-0.0175*$A92))),70*'Scénario référence'!$B$18)</f>
        <v>70</v>
      </c>
      <c r="LM92" s="12">
        <f>IF($A92&gt;30,10,('Scénario référence'!$B$16+'Scénario référence'!$B$17+'Scénario référence'!$B$18+'Scénario référence'!$B$9+'Scénario référence'!$B$10)*$A92*10/30+('Scénario référence'!$F$8+'Scénario référence'!$F$9)*10)</f>
        <v>10</v>
      </c>
      <c r="LN92" s="12" t="e">
        <f>VLOOKUP($A92,'Données projet'!$A$434:$I$454,2,0)</f>
        <v>#N/A</v>
      </c>
      <c r="LO92" s="12" t="e">
        <f>VLOOKUP($A92,'Données projet'!$A$434:$I$454,9,0)</f>
        <v>#N/A</v>
      </c>
      <c r="LP92" s="12">
        <f t="array" ref="LP92">INDEX(LO:LO,MIN(IF(ISNUMBER(LO92:LO288),ROW(LO92:LO288),"")))</f>
        <v>5.2606837606837598</v>
      </c>
      <c r="LQ92" s="12">
        <f>IF('Données projet'!$A$434&gt;35,LQ91+LP92-LY91,IF($A92&lt;'Données projet'!$A$434,$CQ$205^$A92,IF($A92='Données projet'!$A$434,'Données projet'!$B$434,LQ91+LP92-LY91)))</f>
        <v>191.22649572649556</v>
      </c>
      <c r="LR92" s="17">
        <f>LQ92*VLOOKUP('Données projet'!$B$24,Paramètres!$A$1:$I$89,3,0)*VLOOKUP('Données projet'!$B$24,Paramètres!$A$1:$I$89,5,0)</f>
        <v>193.90366666666651</v>
      </c>
      <c r="LS92" s="13">
        <f t="shared" si="212"/>
        <v>48.401973941265673</v>
      </c>
      <c r="LT92" s="14">
        <f t="shared" si="165"/>
        <v>422.01565739214857</v>
      </c>
      <c r="LU92" s="59">
        <f t="shared" si="166"/>
        <v>715.34899072548183</v>
      </c>
      <c r="LV92" s="59">
        <f ca="1">AVERAGE(OFFSET($LU$3,0,0,'Données projet'!$E$24+1,1))-AVERAGE(OFFSET($H$3,0,0,'Données projet'!$E$24+1,1))</f>
        <v>260.52627655062872</v>
      </c>
      <c r="LW92" s="59">
        <f t="shared" si="213"/>
        <v>159.20429420478047</v>
      </c>
      <c r="LX92" s="15">
        <f>IF(ISNA(VLOOKUP($A92,'Données projet'!$A$434:$I$454,3,0)),0,VLOOKUP($A92,'Données projet'!$A$434:$I$454,3,0))</f>
        <v>0</v>
      </c>
      <c r="LY92" s="15">
        <f>IF(ISNA(VLOOKUP($A92,'Données projet'!$A$434:$I$454,4,0)),0,VLOOKUP($A92,'Données projet'!$A$434:$I$454,4,0))</f>
        <v>0</v>
      </c>
      <c r="LZ92" s="16">
        <f>IF(ISNA(VLOOKUP($A92,'Données projet'!$A$434:$I$454,5,0)),0%,VLOOKUP($A92,'Données projet'!$A$434:$I$454,5,0)*VLOOKUP('Données projet'!$B$24,Paramètres!$A$1:$I$89,7,0))</f>
        <v>0</v>
      </c>
      <c r="MA92" s="16">
        <f>IF(ISNA(VLOOKUP($A92,'Données projet'!$A$434:$I$454,6,0)),0%,VLOOKUP($A92,'Données projet'!$A$434:$I$454,6,0)*VLOOKUP('Données projet'!$B$24,Paramètres!$A$1:$I$89,7,0))</f>
        <v>0</v>
      </c>
      <c r="MB92" s="16">
        <f>IF(ISNA(VLOOKUP($A92,'Données projet'!$A$434:$I$454,7,0)),0%,VLOOKUP($A92,'Données projet'!$A$434:$I$454,7,0))</f>
        <v>0</v>
      </c>
      <c r="MC92" s="21">
        <f>EXP(-LN(2)/35)*MC91+(1-EXP(-LN(2)/35))/(LN(2)/35)*LY92*LZ92*VLOOKUP('Données projet'!$B$24,Paramètres!$A$1:$I$89,3,0)*0.475*44/12</f>
        <v>18.626869202630949</v>
      </c>
      <c r="MD92" s="21">
        <f>EXP(-LN(2)/25)*MD91+(1-EXP(-LN(2)/25))/(LN(2)/25)*Calculateur!LY92*Calculateur!MA92*VLOOKUP('Données projet'!$B$24,Paramètres!$A$1:$I$89,3,0)*0.475*44/12</f>
        <v>0</v>
      </c>
      <c r="ME92" s="21">
        <f>EXP(-LN(2)/2)*ME91+(1-EXP(-LN(2)/2))/(LN(2)/2)*LY92*MB92*VLOOKUP('Données projet'!$B$24,Paramètres!$A$1:$I$89,3,0)*0.475*44/12</f>
        <v>0</v>
      </c>
      <c r="MF92" s="22">
        <f t="shared" si="167"/>
        <v>18.626869202630949</v>
      </c>
      <c r="MG92" s="74">
        <f>('Scénario référence'!$F$8+'Scénario référence'!$F$9+'Scénario référence'!$B$17+'Scénario référence'!$B$9+'Scénario référence'!$B$10)*70+IF((45+25*(1-EXP(-0.0175*$A92)))&lt;70,'Scénario référence'!$B$16*(45+25*(1-EXP(-0.0175*$A92))),70*'Scénario référence'!$B$16)+IF((32+38*(1-EXP(-0.0175*$A92)))&lt;70,'Scénario référence'!$B$18*(32+38*(1-EXP(-0.0175*$A92))),70*'Scénario référence'!$B$18)</f>
        <v>70</v>
      </c>
      <c r="MH92" s="12">
        <f>IF($A92&gt;30,10,('Scénario référence'!$B$16+'Scénario référence'!$B$17+'Scénario référence'!$B$18+'Scénario référence'!$B$9+'Scénario référence'!$B$10)*$A92*10/30+('Scénario référence'!$F$8+'Scénario référence'!$F$9)*10)</f>
        <v>10</v>
      </c>
      <c r="MI92" s="12" t="e">
        <f>VLOOKUP($A92,'Données projet'!$A$460:$I$480,2,0)</f>
        <v>#N/A</v>
      </c>
      <c r="MJ92" s="12" t="e">
        <f>VLOOKUP($A92,'Données projet'!$A$460:$I$480,9,0)</f>
        <v>#N/A</v>
      </c>
      <c r="MK92" s="12">
        <f t="array" ref="MK92">INDEX(MJ:MJ,MIN(IF(ISNUMBER(MJ92:MJ288),ROW(MJ92:MJ288),"")))</f>
        <v>0</v>
      </c>
      <c r="ML92" s="12">
        <f>IF('Données projet'!$A$460&gt;35,ML91+MK92-MT91,IF($A92&lt;'Données projet'!$A$460,$CQ$205^$A92,IF($A92='Données projet'!$A$460,'Données projet'!$B$460,ML91+MK92-MT91)))</f>
        <v>0</v>
      </c>
      <c r="MM92" s="17" t="e">
        <f>ML92*VLOOKUP('Données projet'!$B$25,Paramètres!$A$1:$I$89,3,0)*VLOOKUP('Données projet'!$B$25,Paramètres!$A$1:$I$89,5,0)</f>
        <v>#N/A</v>
      </c>
      <c r="MN92" s="13" t="e">
        <f t="shared" si="214"/>
        <v>#N/A</v>
      </c>
      <c r="MO92" s="14" t="e">
        <f t="shared" si="168"/>
        <v>#N/A</v>
      </c>
      <c r="MP92" s="59" t="e">
        <f t="shared" si="169"/>
        <v>#N/A</v>
      </c>
      <c r="MQ92" s="20" t="e">
        <f ca="1">AVERAGE(OFFSET($MP$3,0,0,'Données projet'!$E$25+1,1))-AVERAGE(OFFSET($H$3,0,0,'Données projet'!$E$25+1,1))</f>
        <v>#N/A</v>
      </c>
      <c r="MR92" s="59" t="e">
        <f t="shared" si="215"/>
        <v>#N/A</v>
      </c>
      <c r="MS92" s="15">
        <f>IF(ISNA(VLOOKUP($A92,'Données projet'!$A$460:$I$480,3,0)),0,VLOOKUP($A92,'Données projet'!$A$460:$I$480,3,0))</f>
        <v>0</v>
      </c>
      <c r="MT92" s="15">
        <f>IF(ISNA(VLOOKUP($A92,'Données projet'!$A$460:$I$480,4,0)),0,VLOOKUP($A92,'Données projet'!$A$460:$I$480,4,0))</f>
        <v>0</v>
      </c>
      <c r="MU92" s="16">
        <f>IF(ISNA(VLOOKUP($A92,'Données projet'!$A$460:$I$480,5,0)),0%,VLOOKUP($A92,'Données projet'!$A$460:$I$480,5,0)*VLOOKUP('Données projet'!$B$25,Paramètres!$A$1:$I$89,7,0))</f>
        <v>0</v>
      </c>
      <c r="MV92" s="16">
        <f>IF(ISNA(VLOOKUP($A92,'Données projet'!$A$460:$I$480,6,0)),0%,VLOOKUP($A92,'Données projet'!$A$460:$I$480,6,0)*VLOOKUP('Données projet'!$B$25,Paramètres!$A$1:$I$89,7,0))</f>
        <v>0</v>
      </c>
      <c r="MW92" s="16">
        <f>IF(ISNA(VLOOKUP($A92,'Données projet'!$A$460:$I$480,7,0)),0%,VLOOKUP($A92,'Données projet'!$A$460:$I$480,7,0))</f>
        <v>0</v>
      </c>
      <c r="MX92" s="21" t="e">
        <f>EXP(-LN(2)/35)*MX91+(1-EXP(-LN(2)/35))/(LN(2)/35)*MT92*MU92*VLOOKUP('Données projet'!$B$25,Paramètres!$A$1:$I$89,3,0)*0.475*44/12</f>
        <v>#N/A</v>
      </c>
      <c r="MY92" s="21" t="e">
        <f>EXP(-LN(2)/25)*MY91+(1-EXP(-LN(2)/25))/(LN(2)/25)*Calculateur!MT92*Calculateur!MV92*VLOOKUP('Données projet'!$B$25,Paramètres!$A$1:$I$89,3,0)*0.475*44/12</f>
        <v>#N/A</v>
      </c>
      <c r="MZ92" s="21" t="e">
        <f>EXP(-LN(2)/2)*MZ91+(1-EXP(-LN(2)/2))/(LN(2)/2)*MT92*MW92*VLOOKUP('Données projet'!$B$25,Paramètres!$A$1:$I$89,3,0)*0.475*44/12</f>
        <v>#N/A</v>
      </c>
      <c r="NA92" s="22" t="e">
        <f t="shared" si="170"/>
        <v>#N/A</v>
      </c>
      <c r="NB92" s="74">
        <f>('Scénario référence'!$F$8+'Scénario référence'!$F$9+'Scénario référence'!$B$17+'Scénario référence'!$B$9+'Scénario référence'!$B$10)*70+IF((45+25*(1-EXP(-0.0175*$A92)))&lt;70,'Scénario référence'!$B$16*(45+25*(1-EXP(-0.0175*$A92))),70*'Scénario référence'!$B$16)+IF((32+38*(1-EXP(-0.0175*$A92)))&lt;70,'Scénario référence'!$B$18*(32+38*(1-EXP(-0.0175*$A92))),70*'Scénario référence'!$B$18)</f>
        <v>70</v>
      </c>
      <c r="NC92" s="12">
        <f>IF($A92&gt;30,10,('Scénario référence'!$B$16+'Scénario référence'!$B$17+'Scénario référence'!$B$18+'Scénario référence'!$B$9+'Scénario référence'!$B$10)*$A92*10/30+('Scénario référence'!$F$8+'Scénario référence'!$F$9)*10)</f>
        <v>10</v>
      </c>
      <c r="ND92" s="12" t="e">
        <f>VLOOKUP($A92,'Données projet'!$A$486:$I$506,2,0)</f>
        <v>#N/A</v>
      </c>
      <c r="NE92" s="12" t="e">
        <f>VLOOKUP($A92,'Données projet'!$A$486:$I$506,9,0)</f>
        <v>#N/A</v>
      </c>
      <c r="NF92" s="12">
        <f t="array" ref="NF92">INDEX(NE:NE,MIN(IF(ISNUMBER(NE92:NE288),ROW(NE92:NE288),"")))</f>
        <v>0</v>
      </c>
      <c r="NG92" s="12">
        <f>IF('Données projet'!$A$486&gt;35,NG91+NF92-NO91,IF($A92&lt;'Données projet'!$A$486,$CQ$205^$A92,IF($A92='Données projet'!$A$486,'Données projet'!$B$486,NG91+NF92-NO91)))</f>
        <v>0</v>
      </c>
      <c r="NH92" s="17" t="e">
        <f>NG92*VLOOKUP('Données projet'!$B$26,Paramètres!$A$1:$I$89,3,0)*VLOOKUP('Données projet'!$B$26,Paramètres!$A$1:$I$89,5,0)</f>
        <v>#N/A</v>
      </c>
      <c r="NI92" s="13" t="e">
        <f t="shared" si="216"/>
        <v>#N/A</v>
      </c>
      <c r="NJ92" s="14" t="e">
        <f t="shared" si="171"/>
        <v>#N/A</v>
      </c>
      <c r="NK92" s="59" t="e">
        <f t="shared" si="172"/>
        <v>#N/A</v>
      </c>
      <c r="NL92" s="20" t="e">
        <f ca="1">AVERAGE(OFFSET($NK$3,0,0,'Données projet'!$E$26+1,1))-AVERAGE(OFFSET($H$3,0,0,'Données projet'!$E$26+1,1))</f>
        <v>#N/A</v>
      </c>
      <c r="NM92" s="59" t="e">
        <f t="shared" si="217"/>
        <v>#N/A</v>
      </c>
      <c r="NN92" s="15">
        <f>IF(ISNA(VLOOKUP($A92,'Données projet'!$A$486:$I$506,3,0)),0,VLOOKUP($A92,'Données projet'!$A$486:$I$506,3,0))</f>
        <v>0</v>
      </c>
      <c r="NO92" s="15">
        <f>IF(ISNA(VLOOKUP($A92,'Données projet'!$A$486:$I$506,4,0)),0,VLOOKUP($A92,'Données projet'!$A$486:$I$506,4,0))</f>
        <v>0</v>
      </c>
      <c r="NP92" s="16">
        <f>IF(ISNA(VLOOKUP($A92,'Données projet'!$A$486:$I$506,5,0)),0%,VLOOKUP($A92,'Données projet'!$A$486:$I$506,5,0)*VLOOKUP('Données projet'!$B$26,Paramètres!$A$1:$I$89,7,0))</f>
        <v>0</v>
      </c>
      <c r="NQ92" s="16">
        <f>IF(ISNA(VLOOKUP($A92,'Données projet'!$A$486:$I$506,6,0)),0%,VLOOKUP($A92,'Données projet'!$A$486:$I$506,6,0)*VLOOKUP('Données projet'!$B$26,Paramètres!$A$1:$I$89,7,0))</f>
        <v>0</v>
      </c>
      <c r="NR92" s="16">
        <f>IF(ISNA(VLOOKUP($A92,'Données projet'!$A$486:$I$506,7,0)),0%,VLOOKUP($A92,'Données projet'!$A$486:$I$506,7,0))</f>
        <v>0</v>
      </c>
      <c r="NS92" s="21" t="e">
        <f>EXP(-LN(2)/35)*NS91+(1-EXP(-LN(2)/35))/(LN(2)/35)*NO92*NP92*VLOOKUP('Données projet'!$B$26,Paramètres!$A$1:$I$89,3,0)*0.475*44/12</f>
        <v>#N/A</v>
      </c>
      <c r="NT92" s="21" t="e">
        <f>EXP(-LN(2)/25)*NT91+(1-EXP(-LN(2)/25))/(LN(2)/25)*Calculateur!NO92*Calculateur!NQ92*VLOOKUP('Données projet'!$B$26,Paramètres!$A$1:$I$89,3,0)*0.475*44/12</f>
        <v>#N/A</v>
      </c>
      <c r="NU92" s="21" t="e">
        <f>EXP(-LN(2)/2)*NU91+(1-EXP(-LN(2)/2))/(LN(2)/2)*NO92*NR92*VLOOKUP('Données projet'!$B$26,Paramètres!$A$1:$I$89,3,0)*0.475*44/12</f>
        <v>#N/A</v>
      </c>
      <c r="NV92" s="22" t="e">
        <f t="shared" si="173"/>
        <v>#N/A</v>
      </c>
      <c r="NW92" s="74">
        <f>('Scénario référence'!$F$8+'Scénario référence'!$F$9+'Scénario référence'!$B$17+'Scénario référence'!$B$9+'Scénario référence'!$B$10)*70+IF((45+25*(1-EXP(-0.0175*$A92)))&lt;70,'Scénario référence'!$B$16*(45+25*(1-EXP(-0.0175*$A92))),70*'Scénario référence'!$B$16)+IF((32+38*(1-EXP(-0.0175*$A92)))&lt;70,'Scénario référence'!$B$18*(32+38*(1-EXP(-0.0175*$A92))),70*'Scénario référence'!$B$18)</f>
        <v>70</v>
      </c>
      <c r="NX92" s="12">
        <f>IF($A92&gt;30,10,('Scénario référence'!$B$16+'Scénario référence'!$B$17+'Scénario référence'!$B$18+'Scénario référence'!$B$9+'Scénario référence'!$B$10)*$A92*10/30+('Scénario référence'!$F$8+'Scénario référence'!$F$9)*10)</f>
        <v>10</v>
      </c>
      <c r="NY92" s="12" t="e">
        <f>VLOOKUP($A92,'Données projet'!$A$512:$I$532,2,0)</f>
        <v>#N/A</v>
      </c>
      <c r="NZ92" s="12" t="e">
        <f>VLOOKUP($A92,'Données projet'!$A$512:$I$532,9,0)</f>
        <v>#N/A</v>
      </c>
      <c r="OA92" s="12">
        <f t="array" ref="OA92">INDEX(NZ:NZ,MIN(IF(ISNUMBER(NZ92:NZ288),ROW(NZ92:NZ288),"")))</f>
        <v>0</v>
      </c>
      <c r="OB92" s="12">
        <f>IF('Données projet'!$A$512&gt;35,OB91+OA92-OJ91,IF($A92&lt;'Données projet'!$A$512,$CQ$205^$A92,IF($A92='Données projet'!$A$512,'Données projet'!$B$512,OB91+OA92-OJ91)))</f>
        <v>0</v>
      </c>
      <c r="OC92" s="17" t="e">
        <f>OB92*VLOOKUP('Données projet'!$B$27,Paramètres!$A$1:$I$89,3,0)*VLOOKUP('Données projet'!$B$27,Paramètres!$A$1:$I$89,5,0)</f>
        <v>#N/A</v>
      </c>
      <c r="OD92" s="13" t="e">
        <f t="shared" si="218"/>
        <v>#N/A</v>
      </c>
      <c r="OE92" s="14" t="e">
        <f t="shared" si="174"/>
        <v>#N/A</v>
      </c>
      <c r="OF92" s="59" t="e">
        <f t="shared" si="175"/>
        <v>#N/A</v>
      </c>
      <c r="OG92" s="20" t="e">
        <f ca="1">AVERAGE(OFFSET($OF$3,0,0,'Données projet'!$E$27+1,1))-AVERAGE(OFFSET($H$3,0,0,'Données projet'!$E$27+1,1))</f>
        <v>#N/A</v>
      </c>
      <c r="OH92" s="59" t="e">
        <f t="shared" si="219"/>
        <v>#N/A</v>
      </c>
      <c r="OI92" s="15">
        <f>IF(ISNA(VLOOKUP($A92,'Données projet'!$A$512:$I$532,3,0)),0,VLOOKUP($A92,'Données projet'!$A$512:$I$532,3,0))</f>
        <v>0</v>
      </c>
      <c r="OJ92" s="15">
        <f>IF(ISNA(VLOOKUP($A92,'Données projet'!$A$512:$I$532,4,0)),0,VLOOKUP($A92,'Données projet'!$A$512:$I$532,4,0))</f>
        <v>0</v>
      </c>
      <c r="OK92" s="16">
        <f>IF(ISNA(VLOOKUP($A92,'Données projet'!$A$512:$I$532,5,0)),0%,VLOOKUP($A92,'Données projet'!$A$512:$I$532,5,0)*VLOOKUP('Données projet'!$B$27,Paramètres!$A$1:$I$89,7,0))</f>
        <v>0</v>
      </c>
      <c r="OL92" s="16">
        <f>IF(ISNA(VLOOKUP($A92,'Données projet'!$A$512:$I$532,6,0)),0%,VLOOKUP($A92,'Données projet'!$A$512:$I$532,6,0)*VLOOKUP('Données projet'!$B$27,Paramètres!$A$1:$I$89,7,0))</f>
        <v>0</v>
      </c>
      <c r="OM92" s="16">
        <f>IF(ISNA(VLOOKUP($A92,'Données projet'!$A$512:$I$532,7,0)),0%,VLOOKUP($A92,'Données projet'!$A$512:$I$532,7,0))</f>
        <v>0</v>
      </c>
      <c r="ON92" s="21" t="e">
        <f>EXP(-LN(2)/35)*ON91+(1-EXP(-LN(2)/35))/(LN(2)/35)*OJ92*OK92*VLOOKUP('Données projet'!$B$27,Paramètres!$A$1:$I$89,3,0)*0.475*44/12</f>
        <v>#N/A</v>
      </c>
      <c r="OO92" s="21" t="e">
        <f>EXP(-LN(2)/25)*OO91+(1-EXP(-LN(2)/25))/(LN(2)/25)*Calculateur!OJ92*Calculateur!OL92*VLOOKUP('Données projet'!$B$27,Paramètres!$A$1:$I$89,3,0)*0.475*44/12</f>
        <v>#N/A</v>
      </c>
      <c r="OP92" s="21" t="e">
        <f>EXP(-LN(2)/2)*OP91+(1-EXP(-LN(2)/2))/(LN(2)/2)*OJ92*OM92*VLOOKUP('Données projet'!$B$27,Paramètres!$A$1:$I$89,3,0)*0.475*44/12</f>
        <v>#N/A</v>
      </c>
      <c r="OQ92" s="22" t="e">
        <f t="shared" si="176"/>
        <v>#N/A</v>
      </c>
      <c r="OR92" s="74">
        <f>('Scénario référence'!$F$8+'Scénario référence'!$F$9+'Scénario référence'!$B$17+'Scénario référence'!$B$9+'Scénario référence'!$B$10)*70+IF((45+25*(1-EXP(-0.0175*$A92)))&lt;70,'Scénario référence'!$B$16*(45+25*(1-EXP(-0.0175*$A92))),70*'Scénario référence'!$B$16)+IF((32+38*(1-EXP(-0.0175*$A92)))&lt;70,'Scénario référence'!$B$18*(32+38*(1-EXP(-0.0175*$A92))),70*'Scénario référence'!$B$18)</f>
        <v>70</v>
      </c>
      <c r="OS92" s="12">
        <f>IF($A92&gt;30,10,('Scénario référence'!$B$16+'Scénario référence'!$B$17+'Scénario référence'!$B$18+'Scénario référence'!$B$9+'Scénario référence'!$B$10)*$A92*10/30+('Scénario référence'!$F$8+'Scénario référence'!$F$9)*10)</f>
        <v>10</v>
      </c>
      <c r="OT92" s="12" t="e">
        <f>VLOOKUP($A92,'Données projet'!$A$538:$I$558,2,0)</f>
        <v>#N/A</v>
      </c>
      <c r="OU92" s="12" t="e">
        <f>VLOOKUP($A92,'Données projet'!$A$538:$I$558,9,0)</f>
        <v>#N/A</v>
      </c>
      <c r="OV92" s="12">
        <f t="array" ref="OV92">INDEX(OU:OU,MIN(IF(ISNUMBER(OU92:OU288),ROW(OU92:OU288),"")))</f>
        <v>0</v>
      </c>
      <c r="OW92" s="12">
        <f>IF('Données projet'!$A$538&gt;35,OW91+OV92-PE91,IF($A92&lt;'Données projet'!$A$538,$CQ$205^$A92,IF($A92='Données projet'!$A$538,'Données projet'!$B$538,OW91+OV92-PE91)))</f>
        <v>0</v>
      </c>
      <c r="OX92" s="17" t="e">
        <f>OW92*VLOOKUP('Données projet'!$B$28,Paramètres!$A$1:$I$89,3,0)*VLOOKUP('Données projet'!$B$28,Paramètres!$A$1:$I$89,5,0)</f>
        <v>#N/A</v>
      </c>
      <c r="OY92" s="13" t="e">
        <f t="shared" si="220"/>
        <v>#N/A</v>
      </c>
      <c r="OZ92" s="14" t="e">
        <f t="shared" si="177"/>
        <v>#N/A</v>
      </c>
      <c r="PA92" s="59" t="e">
        <f t="shared" si="178"/>
        <v>#N/A</v>
      </c>
      <c r="PB92" s="20" t="e">
        <f ca="1">AVERAGE(OFFSET($PA$3,0,0,'Données projet'!$E$28+1,1))-AVERAGE(OFFSET($H$3,0,0,'Données projet'!$E$28+1,1))</f>
        <v>#N/A</v>
      </c>
      <c r="PC92" s="59" t="e">
        <f t="shared" si="221"/>
        <v>#N/A</v>
      </c>
      <c r="PD92" s="15">
        <f>IF(ISNA(VLOOKUP($A92,'Données projet'!$A$538:$I$558,3,0)),0,VLOOKUP($A92,'Données projet'!$A$538:$I$558,3,0))</f>
        <v>0</v>
      </c>
      <c r="PE92" s="15">
        <f>IF(ISNA(VLOOKUP($A92,'Données projet'!$A$538:$I$558,4,0)),0,VLOOKUP($A92,'Données projet'!$A$538:$I$558,4,0))</f>
        <v>0</v>
      </c>
      <c r="PF92" s="16">
        <f>IF(ISNA(VLOOKUP($A92,'Données projet'!$A$538:$I$558,5,0)),0%,VLOOKUP($A92,'Données projet'!$A$538:$I$558,5,0)*VLOOKUP('Données projet'!$B$28,Paramètres!$A$1:$I$89,7,0))</f>
        <v>0</v>
      </c>
      <c r="PG92" s="16">
        <f>IF(ISNA(VLOOKUP($A92,'Données projet'!$A$538:$I$558,6,0)),0%,VLOOKUP($A92,'Données projet'!$A$538:$I$558,6,0)*VLOOKUP('Données projet'!$B$28,Paramètres!$A$1:$I$89,7,0))</f>
        <v>0</v>
      </c>
      <c r="PH92" s="16">
        <f>IF(ISNA(VLOOKUP($A92,'Données projet'!$A$538:$I$558,7,0)),0%,VLOOKUP($A92,'Données projet'!$A$538:$I$558,7,0))</f>
        <v>0</v>
      </c>
      <c r="PI92" s="21" t="e">
        <f>EXP(-LN(2)/35)*PI91+(1-EXP(-LN(2)/35))/(LN(2)/35)*PE92*PF92*VLOOKUP('Données projet'!$B$28,Paramètres!$A$1:$I$89,3,0)*0.475*44/12</f>
        <v>#N/A</v>
      </c>
      <c r="PJ92" s="21" t="e">
        <f>EXP(-LN(2)/25)*PJ91+(1-EXP(-LN(2)/25))/(LN(2)/25)*Calculateur!PE92*Calculateur!PG92*VLOOKUP('Données projet'!$B$28,Paramètres!$A$1:$I$89,3,0)*0.475*44/12</f>
        <v>#N/A</v>
      </c>
      <c r="PK92" s="21" t="e">
        <f>EXP(-LN(2)/2)*PK91+(1-EXP(-LN(2)/2))/(LN(2)/2)*PE92*PH92*VLOOKUP('Données projet'!$B$28,Paramètres!$A$1:$I$89,3,0)*0.475*44/12</f>
        <v>#N/A</v>
      </c>
      <c r="PL92" s="22" t="e">
        <f t="shared" si="179"/>
        <v>#N/A</v>
      </c>
    </row>
    <row r="93" spans="1:428" x14ac:dyDescent="0.35">
      <c r="A93" s="10">
        <f t="shared" si="180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181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121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projet'!$A$45:$I$65,2,0)</f>
        <v>#N/A</v>
      </c>
      <c r="L93" s="12" t="e">
        <f>VLOOKUP(A93,'Données projet'!$A$45:$I$65,9,0)</f>
        <v>#N/A</v>
      </c>
      <c r="M93" s="12">
        <f t="array" ref="M93">INDEX(L:L,MIN(IF(ISNUMBER(L93:L289),ROW(L93:L289),"")))</f>
        <v>0</v>
      </c>
      <c r="N93" s="13">
        <f>IF('Données projet'!$A$46&gt;35,N92+M93-V92,IF(A93&lt;'Données projet'!$A$46,$K$205^A93,IF(A93='Données projet'!$A$46,'Données projet'!$B$46,N92+M93-V92)))</f>
        <v>-1.1368683772161603E-13</v>
      </c>
      <c r="O93" s="13">
        <f>N93*VLOOKUP('Données projet'!$B$9,Paramètres!$A$1:$I$89,3,0)*VLOOKUP('Données projet'!$B$9,Paramètres!$A$1:$I$89,5,0)</f>
        <v>-6.3550942286383367E-14</v>
      </c>
      <c r="P93" s="13" t="e">
        <f t="shared" si="182"/>
        <v>#NUM!</v>
      </c>
      <c r="Q93" s="20" t="e">
        <f t="shared" si="119"/>
        <v>#NUM!</v>
      </c>
      <c r="R93" s="59" t="e">
        <f t="shared" si="120"/>
        <v>#NUM!</v>
      </c>
      <c r="S93" s="59">
        <f ca="1">AVERAGE(OFFSET($R$3,0,0,'Données projet'!$E$9+1,1))-AVERAGE(OFFSET($H$3,0,0,'Données projet'!$E$9+1,1))</f>
        <v>274.57619581652199</v>
      </c>
      <c r="T93" s="59">
        <f t="shared" si="183"/>
        <v>366.15117322598775</v>
      </c>
      <c r="U93" s="15">
        <f>IF(ISNA(VLOOKUP(A93,'Données projet'!$A$45:$I$65,3,0)),0,VLOOKUP(A93,'Données projet'!$A$45:$I$65,3,0))</f>
        <v>0</v>
      </c>
      <c r="V93" s="15">
        <f>IF(ISNA(VLOOKUP(A93,'Données projet'!$A$45:$I$65,4,0)),0,VLOOKUP(A93,'Données projet'!$A$45:$I$65,4,0))</f>
        <v>0</v>
      </c>
      <c r="W93" s="16">
        <f>IF(ISNA(VLOOKUP(A93,'Données projet'!$A$45:$I$65,5,0)),0%,VLOOKUP(A93,'Données projet'!$A$45:$I$65,5,0)*VLOOKUP('Données projet'!$B$9,Paramètres!$A$1:$I$89,7,0))</f>
        <v>0</v>
      </c>
      <c r="X93" s="16">
        <f>IF(ISNA(VLOOKUP(A93,'Données projet'!$A$45:$I$65,6,0)),0%,VLOOKUP(A93,'Données projet'!$A$45:$I$65,6,0)*VLOOKUP('Données projet'!$B$9,Paramètres!$A$1:$I$89,7,0))</f>
        <v>0</v>
      </c>
      <c r="Y93" s="16">
        <f>IF(ISNA(VLOOKUP(A93,'Données projet'!$A$45:$I$65,7,0)),0%,VLOOKUP(A93,'Données projet'!$A$45:$I$65,7,0))</f>
        <v>0</v>
      </c>
      <c r="Z93" s="21">
        <f>EXP(-LN(2)/35)*Z92+(1-EXP(-LN(2)/35))/(LN(2)/35)*V93*W93*VLOOKUP('Données projet'!$B$9,Paramètres!$A$1:$I$89,3,0)*0.475*44/12</f>
        <v>113.32854098128254</v>
      </c>
      <c r="AA93" s="21">
        <f>EXP(-LN(2)/25)*AA92+(1-EXP(-LN(2)/25))/(LN(2)/25)*Calculateur!V93*Calculateur!X93*VLOOKUP('Données projet'!$B$9,Paramètres!$A$1:$I$89,3,0)*0.475*44/12</f>
        <v>21.829228880672847</v>
      </c>
      <c r="AB93" s="21">
        <f>EXP(-LN(2)/2)*AB92+(1-EXP(-LN(2)/2))/(LN(2)/2)*V93*Y93*VLOOKUP('Données projet'!$B$9,Paramètres!$A$1:$I$89,3,0)*0.475*44/12</f>
        <v>1.8429328701387854E-4</v>
      </c>
      <c r="AC93" s="22">
        <f t="shared" si="122"/>
        <v>135.15795415524241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projet'!$A$71:$I$91,2,0)</f>
        <v>#N/A</v>
      </c>
      <c r="AG93" s="12" t="e">
        <f>VLOOKUP(A93,'Données projet'!$A$71:$I$91,9,0)</f>
        <v>#N/A</v>
      </c>
      <c r="AH93" s="12">
        <f t="array" ref="AH93">INDEX(AG:AG,MIN(IF(ISNUMBER(AG93:AG289),ROW(AG93:AG289),"")))</f>
        <v>7.1782051282051267</v>
      </c>
      <c r="AI93" s="13">
        <f>IF('Données projet'!$A$72&gt;35,AI92+AH93-AQ92,IF(A93&lt;'Données projet'!$A$72,$AF$205^A93,IF(A93='Données projet'!$A$72,'Données projet'!$B$72,AI92+AH93-AQ92)))</f>
        <v>253.64615384615416</v>
      </c>
      <c r="AJ93" s="13">
        <f>AI93*VLOOKUP('Données projet'!$B$10,Paramètres!$A$1:$I$89,3,0)*VLOOKUP('Données projet'!$B$10,Paramètres!$A$1:$I$89,5,0)</f>
        <v>229.49904000000029</v>
      </c>
      <c r="AK93" s="13">
        <f t="shared" si="184"/>
        <v>56.174348524497042</v>
      </c>
      <c r="AL93" s="20">
        <f t="shared" si="123"/>
        <v>497.54781834683286</v>
      </c>
      <c r="AM93" s="59">
        <f t="shared" si="124"/>
        <v>790.88115168016611</v>
      </c>
      <c r="AN93" s="59">
        <f ca="1">AVERAGE(OFFSET($AM$3,0,0,'Données projet'!$E$10+1,1))-AVERAGE(OFFSET($H$3,0,0,'Données projet'!$E$10+1,1))</f>
        <v>270.87836509222456</v>
      </c>
      <c r="AO93" s="59">
        <f t="shared" si="185"/>
        <v>205.24998237949734</v>
      </c>
      <c r="AP93" s="15">
        <f>IF(ISNA(VLOOKUP(A93,'Données projet'!$A$71:$I$91,3,0)),0,VLOOKUP(A93,'Données projet'!$A$71:$I$91,3,0))</f>
        <v>0</v>
      </c>
      <c r="AQ93" s="15">
        <f>IF(ISNA(VLOOKUP(A93,'Données projet'!$A$71:$I$91,4,0)),0,VLOOKUP(A93,'Données projet'!$A$71:$I$91,4,0))</f>
        <v>0</v>
      </c>
      <c r="AR93" s="16">
        <f>IF(ISNA(VLOOKUP(A93,'Données projet'!$A$71:$I$91,5,0)),0%,VLOOKUP(A93,'Données projet'!$A$71:$I$91,5,0)*VLOOKUP('Données projet'!$B$10,Paramètres!$A$1:$I$89,7,0))</f>
        <v>0</v>
      </c>
      <c r="AS93" s="16">
        <f>IF(ISNA(VLOOKUP(A93,'Données projet'!$A$71:$I$91,6,0)),0%,VLOOKUP(A93,'Données projet'!$A$71:$I$91,6,0)*VLOOKUP('Données projet'!$B$10,Paramètres!$A$1:$I$89,7,0))</f>
        <v>0</v>
      </c>
      <c r="AT93" s="16">
        <f>IF(ISNA(VLOOKUP(A93,'Données projet'!$A$71:$I$91,7,0)),0%,VLOOKUP(A93,'Données projet'!$A$71:$I$91,7,0))</f>
        <v>0</v>
      </c>
      <c r="AU93" s="21">
        <f>EXP(-LN(2)/35)*AU92+(1-EXP(-LN(2)/35))/(LN(2)/35)*AQ93*AR93*VLOOKUP('Données projet'!$B$10,Paramètres!$A$1:$I$89,3,0)*0.475*44/12</f>
        <v>41.45517976212043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125"/>
        <v>41.45517976212043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projet'!$A$97:$I$117,2,0)</f>
        <v>#N/A</v>
      </c>
      <c r="BB93" s="12" t="e">
        <f>VLOOKUP(A93,'Données projet'!$A$97:$I$117,9,0)</f>
        <v>#N/A</v>
      </c>
      <c r="BC93" s="12">
        <f t="array" ref="BC93">INDEX(BB:BB,MIN(IF(ISNUMBER(BB93:BB289),ROW(BB93:BB289),"")))</f>
        <v>0</v>
      </c>
      <c r="BD93" s="12">
        <f>IF('Données projet'!$A$98&gt;35,BD92+BC93-BL92,IF(A93&lt;'Données projet'!$A$98,$BA$205^A93,IF(A93='Données projet'!$A$98,'Données projet'!$B$98,BD92+BC93-BL92)))</f>
        <v>-1.1368683772161603E-13</v>
      </c>
      <c r="BE93" s="13">
        <f>BD93*VLOOKUP('Données projet'!$B$11,Paramètres!$A$1:$I$89,3,0)*VLOOKUP('Données projet'!$B$11,Paramètres!$A$1:$I$89,5,0)</f>
        <v>-5.0249582272954292E-14</v>
      </c>
      <c r="BF93" s="13" t="e">
        <f t="shared" si="186"/>
        <v>#NUM!</v>
      </c>
      <c r="BG93" s="20" t="e">
        <f t="shared" si="126"/>
        <v>#NUM!</v>
      </c>
      <c r="BH93" s="59" t="e">
        <f t="shared" si="127"/>
        <v>#NUM!</v>
      </c>
      <c r="BI93" s="59">
        <f ca="1">AVERAGE(OFFSET($BH$3,0,0,'Données projet'!$E$11+1,1))-AVERAGE(OFFSET($H$3,0,0,'Données projet'!$E$11+1,1))</f>
        <v>211.31057120485542</v>
      </c>
      <c r="BJ93" s="59">
        <f t="shared" si="187"/>
        <v>283.33292006714777</v>
      </c>
      <c r="BK93" s="15">
        <f>IF(ISNA(VLOOKUP(A93,'Données projet'!$A$97:$I$117,3,0)),0,VLOOKUP(A93,'Données projet'!$A$97:$I$117,3,0))</f>
        <v>0</v>
      </c>
      <c r="BL93" s="15">
        <f>IF(ISNA(VLOOKUP(A93,'Données projet'!$A$97:$I$117,4,0)),0,VLOOKUP(A93,'Données projet'!$A$97:$I$117,4,0))</f>
        <v>0</v>
      </c>
      <c r="BM93" s="16">
        <f>IF(ISNA(VLOOKUP(A93,'Données projet'!$A$97:$I$117,5,0)),0%,VLOOKUP(A93,'Données projet'!$A$97:$I$117,5,0)*VLOOKUP('Données projet'!$B$11,Paramètres!$A$1:$I$89,7,0))</f>
        <v>0</v>
      </c>
      <c r="BN93" s="16">
        <f>IF(ISNA(VLOOKUP(A93,'Données projet'!$A$97:$I$117,6,0)),0%,VLOOKUP(A93,'Données projet'!$A$97:$I$117,6,0)*VLOOKUP('Données projet'!$B$11,Paramètres!$A$1:$I$89,7,0))</f>
        <v>0</v>
      </c>
      <c r="BO93" s="16">
        <f>IF(ISNA(VLOOKUP(A93,'Données projet'!$A$97:$I$117,7,0)),0%,VLOOKUP(A93,'Données projet'!$A$97:$I$117,7,0))</f>
        <v>0</v>
      </c>
      <c r="BP93" s="21">
        <f>EXP(-LN(2)/35)*BP92+(1-EXP(-LN(2)/35))/(LN(2)/35)*BL93*BM93*VLOOKUP('Données projet'!$B$11,Paramètres!$A$1:$I$89,3,0)*0.475*44/12</f>
        <v>89.608613799153659</v>
      </c>
      <c r="BQ93" s="21">
        <f>EXP(-LN(2)/25)*BQ92+(1-EXP(-LN(2)/25))/(LN(2)/25)*Calculateur!BL93*Calculateur!BN93*VLOOKUP('Données projet'!$B$11,Paramètres!$A$1:$I$89,3,0)*0.475*44/12</f>
        <v>17.260320510299454</v>
      </c>
      <c r="BR93" s="21">
        <f>EXP(-LN(2)/2)*BR92+(1-EXP(-LN(2)/2))/(LN(2)/2)*BL93*BO93*VLOOKUP('Données projet'!$B$11,Paramètres!$A$1:$I$89,3,0)*0.475*44/12</f>
        <v>1.4572027345283417E-4</v>
      </c>
      <c r="BS93" s="22">
        <f t="shared" si="128"/>
        <v>106.86908002972656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projet'!$A$123:$I$143,2,0)</f>
        <v>249</v>
      </c>
      <c r="BW93" s="12">
        <f>VLOOKUP(A93,'Données projet'!$A$123:$I$143,9,0)</f>
        <v>3</v>
      </c>
      <c r="BX93" s="12">
        <f t="array" ref="BX93">INDEX(BW:BW,MIN(IF(ISNUMBER(BW93:BW289),ROW(BW93:BW289),"")))</f>
        <v>3</v>
      </c>
      <c r="BY93" s="12">
        <f>IF('Données projet'!$A$124&gt;35,BY92+BX93-CG92,IF(A93&lt;'Données projet'!$A$124,$BV$205^A93,IF(A93='Données projet'!$A$124,'Données projet'!$B$124,BY92+BX93-CG92)))</f>
        <v>249</v>
      </c>
      <c r="BZ93" s="13">
        <f>BY93*VLOOKUP('Données projet'!$B$12,Paramètres!$A$1:$I$89,3,0)*VLOOKUP('Données projet'!$B$12,Paramètres!$A$1:$I$89,5,0)</f>
        <v>260.25480000000005</v>
      </c>
      <c r="CA93" s="13">
        <f t="shared" si="188"/>
        <v>62.776687922790821</v>
      </c>
      <c r="CB93" s="20">
        <f t="shared" si="129"/>
        <v>562.61317479886077</v>
      </c>
      <c r="CC93" s="59">
        <f t="shared" si="130"/>
        <v>855.94650813219414</v>
      </c>
      <c r="CD93" s="59">
        <f ca="1">AVERAGE(OFFSET($CC$3,0,0,'Données projet'!$E$12+1,1))-AVERAGE(OFFSET($H$3,0,0,'Données projet'!$E$12+1,1))</f>
        <v>322.93502595881938</v>
      </c>
      <c r="CE93" s="59">
        <f t="shared" si="189"/>
        <v>302.67072119588164</v>
      </c>
      <c r="CF93" s="15">
        <f>IF(ISNA(VLOOKUP(A93,'Données projet'!$A$123:$I$143,3,0)),0,VLOOKUP(A93,'Données projet'!$A$123:$I$143,3,0))</f>
        <v>15</v>
      </c>
      <c r="CG93" s="15" t="str">
        <f>IF(ISNA(VLOOKUP(A93,'Données projet'!$A$123:$I$143,4,0)),0,VLOOKUP(A93,'Données projet'!$A$123:$I$143,4,0))</f>
        <v>12</v>
      </c>
      <c r="CH93" s="16">
        <f>IF(ISNA(VLOOKUP(A93,'Données projet'!$A$123:$I$143,5,0)),0%,VLOOKUP(A93,'Données projet'!$A$123:$I$143,5,0)*VLOOKUP('Données projet'!$B$12,Paramètres!$A$1:$I$89,7,0))</f>
        <v>0.25800000000000001</v>
      </c>
      <c r="CI93" s="16">
        <f>IF(ISNA(VLOOKUP(A93,'Données projet'!$A$123:$I$143,6,0)),0%,VLOOKUP(A93,'Données projet'!$A$123:$I$143,6,0)*VLOOKUP('Données projet'!$B$12,Paramètres!$A$1:$I$89,7,0))</f>
        <v>0.129</v>
      </c>
      <c r="CJ93" s="16">
        <f>IF(ISNA(VLOOKUP(A93,'Données projet'!$A$123:$I$143,7,0)),0%,VLOOKUP(A93,'Données projet'!$A$123:$I$143,7,0))</f>
        <v>0</v>
      </c>
      <c r="CK93" s="21">
        <f>EXP(-LN(2)/35)*CK92+(1-EXP(-LN(2)/35))/(LN(2)/35)*CG93*CH93*VLOOKUP('Données projet'!$B$12,Paramètres!$A$1:$I$89,3,0)*0.475*44/12</f>
        <v>30.051345140980899</v>
      </c>
      <c r="CL93" s="21">
        <f>EXP(-LN(2)/25)*CL92+(1-EXP(-LN(2)/25))/(LN(2)/25)*Calculateur!CG93*Calculateur!CI93*VLOOKUP('Données projet'!$B$12,Paramètres!$A$1:$I$89,3,0)*0.475*44/12</f>
        <v>20.576107961702572</v>
      </c>
      <c r="CM93" s="21">
        <f>EXP(-LN(2)/2)*CM92+(1-EXP(-LN(2)/2))/(LN(2)/2)*CG93*CJ93*VLOOKUP('Données projet'!$B$12,Paramètres!$A$1:$I$89,3,0)*0.475*44/12</f>
        <v>0</v>
      </c>
      <c r="CN93" s="22">
        <f t="shared" si="131"/>
        <v>50.627453102683475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projet'!$A$149:$I$169,2,0)</f>
        <v>#N/A</v>
      </c>
      <c r="CR93" s="12" t="e">
        <f>VLOOKUP(A93,'Données projet'!$A$149:$I$169,9,0)</f>
        <v>#N/A</v>
      </c>
      <c r="CS93" s="12">
        <f t="array" ref="CS93">INDEX(CR:CR,MIN(IF(ISNUMBER(CR93:CR289),ROW(CR93:CR289),"")))</f>
        <v>5.2606837606837598</v>
      </c>
      <c r="CT93" s="12">
        <f>IF('Données projet'!$A$150&gt;35,CT92+CS93-DB92,IF(A93&lt;'Données projet'!$A$150,$CQ$205^A93,IF(A93='Données projet'!$A$150,'Données projet'!$B$150,CT92+CS93-DB92)))</f>
        <v>196.4871794871793</v>
      </c>
      <c r="CU93" s="17">
        <f>CT93*VLOOKUP('Données projet'!$B$13,Paramètres!$A$1:$I$89,3,0)*VLOOKUP('Données projet'!$B$13,Paramètres!$A$1:$I$89,5,0)</f>
        <v>199.23799999999983</v>
      </c>
      <c r="CV93" s="13">
        <f t="shared" si="190"/>
        <v>49.576666002151768</v>
      </c>
      <c r="CW93" s="20">
        <f t="shared" si="132"/>
        <v>433.35220995374738</v>
      </c>
      <c r="CX93" s="59">
        <f t="shared" si="133"/>
        <v>726.68554328708069</v>
      </c>
      <c r="CY93" s="59">
        <f ca="1">AVERAGE(OFFSET($CX$3,0,0,'Données projet'!$E$13+1,1))-AVERAGE(OFFSET($H$3,0,0,'Données projet'!$E$13+1,1))</f>
        <v>250.31277422753283</v>
      </c>
      <c r="CZ93" s="59">
        <f t="shared" si="191"/>
        <v>159.20429420478047</v>
      </c>
      <c r="DA93" s="15">
        <f>IF(ISNA(VLOOKUP(A93,'Données projet'!$A$149:$I$169,3,0)),0,VLOOKUP(A93,'Données projet'!$A$149:$I$169,3,0))</f>
        <v>0</v>
      </c>
      <c r="DB93" s="15">
        <f>IF(ISNA(VLOOKUP(A93,'Données projet'!$A$149:$I$169,4,0)),0,VLOOKUP(A93,'Données projet'!$A$149:$I$169,4,0))</f>
        <v>0</v>
      </c>
      <c r="DC93" s="16">
        <f>IF(ISNA(VLOOKUP(A93,'Données projet'!$A$149:$I$169,5,0)),0%,VLOOKUP(A93,'Données projet'!$A$149:$I$169,5,0)*VLOOKUP('Données projet'!$B$13,Paramètres!$A$1:$I$89,7,0))</f>
        <v>0</v>
      </c>
      <c r="DD93" s="16">
        <f>IF(ISNA(VLOOKUP(A93,'Données projet'!$A$149:$I$169,6,0)),0%,VLOOKUP(A93,'Données projet'!$A$149:$I$169,6,0)*VLOOKUP('Données projet'!$B$13,Paramètres!$A$1:$I$89,7,0))</f>
        <v>0</v>
      </c>
      <c r="DE93" s="16">
        <f>IF(ISNA(VLOOKUP(A93,'Données projet'!$A$149:$I$169,7,0)),0%,VLOOKUP(A93,'Données projet'!$A$149:$I$169,7,0))</f>
        <v>0</v>
      </c>
      <c r="DF93" s="21">
        <f>EXP(-LN(2)/35)*DF92+(1-EXP(-LN(2)/35))/(LN(2)/35)*DB93*DC93*VLOOKUP('Données projet'!$B$13,Paramètres!$A$1:$I$89,3,0)*0.475*44/12</f>
        <v>18.261607658835739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134"/>
        <v>18.261607658835739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projet'!$A$175:$I$195,2,0)</f>
        <v>#N/A</v>
      </c>
      <c r="DM93" s="12" t="e">
        <f>VLOOKUP(A93,'Données projet'!$A$175:$I$195,9,0)</f>
        <v>#N/A</v>
      </c>
      <c r="DN93" s="12">
        <f t="array" ref="DN93">INDEX(DM:DM,MIN(IF(ISNUMBER(DM93:DM289),ROW(DM93:DM289),"")))</f>
        <v>0</v>
      </c>
      <c r="DO93" s="12">
        <f>IF('Données projet'!$A$176&gt;35,DO92+DN93-DW92,IF(A93&lt;'Données projet'!$A$176,$DL$205^A93,IF(A93='Données projet'!$A$176,'Données projet'!$B$176,DO92+DN93-DW92)))</f>
        <v>-2.8421709430404007E-13</v>
      </c>
      <c r="DP93" s="17">
        <f>DO93*VLOOKUP('Données projet'!$B$14,Paramètres!$A$1:$I$89,3,0)*VLOOKUP('Données projet'!$B$14,Paramètres!$A$1:$I$89,5,0)</f>
        <v>-2.0838797354372215E-13</v>
      </c>
      <c r="DQ93" s="13" t="e">
        <f t="shared" si="192"/>
        <v>#NUM!</v>
      </c>
      <c r="DR93" s="20" t="e">
        <f t="shared" si="135"/>
        <v>#NUM!</v>
      </c>
      <c r="DS93" s="59" t="e">
        <f t="shared" si="136"/>
        <v>#NUM!</v>
      </c>
      <c r="DT93" s="59">
        <f ca="1">AVERAGE(OFFSET($DS$3,0,0,'Données projet'!$E$14+1,1))-AVERAGE(OFFSET($H$3,0,0,'Données projet'!$E$14+1,1))</f>
        <v>296.91321813251051</v>
      </c>
      <c r="DU93" s="59">
        <f t="shared" si="193"/>
        <v>291.0718079639509</v>
      </c>
      <c r="DV93" s="15">
        <f>IF(ISNA(VLOOKUP(A93,'Données projet'!$A$175:$I$195,3,0)),0,VLOOKUP(A93,'Données projet'!$A$175:$I$195,3,0))</f>
        <v>0</v>
      </c>
      <c r="DW93" s="15">
        <f>IF(ISNA(VLOOKUP(A93,'Données projet'!$A$175:$I$195,4,0)),0,VLOOKUP(A93,'Données projet'!$A$175:$I$195,4,0))</f>
        <v>0</v>
      </c>
      <c r="DX93" s="16">
        <f>IF(ISNA(VLOOKUP(A93,'Données projet'!$A$175:$I$195,5,0)),0%,VLOOKUP(A93,'Données projet'!$A$175:$I$195,5,0)*VLOOKUP('Données projet'!$B$14,Paramètres!$A$1:$I$89,7,0))</f>
        <v>0</v>
      </c>
      <c r="DY93" s="16">
        <f>IF(ISNA(VLOOKUP(A93,'Données projet'!$A$175:$I$195,6,0)),0%,VLOOKUP(A93,'Données projet'!$A$175:$I$195,6,0)*VLOOKUP('Données projet'!$B$14,Paramètres!$A$1:$I$89,7,0))</f>
        <v>0</v>
      </c>
      <c r="DZ93" s="16">
        <f>IF(ISNA(VLOOKUP(A93,'Données projet'!$A$175:$I$195,7,0)),0%,VLOOKUP(A93,'Données projet'!$A$175:$I$195,7,0))</f>
        <v>0</v>
      </c>
      <c r="EA93" s="21">
        <f>EXP(-LN(2)/35)*EA92+(1-EXP(-LN(2)/35))/(LN(2)/35)*DW93*DX93*VLOOKUP('Données projet'!$B$14,Paramètres!$A$1:$I$89,3,0)*0.475*44/12</f>
        <v>142.29403505062143</v>
      </c>
      <c r="EB93" s="21">
        <f>EXP(-LN(2)/25)*EB92+(1-EXP(-LN(2)/25))/(LN(2)/25)*Calculateur!DW93*Calculateur!DY93*VLOOKUP('Données projet'!$B$14,Paramètres!$A$1:$I$89,3,0)*0.475*44/12</f>
        <v>4.0582353208308355</v>
      </c>
      <c r="EC93" s="21">
        <f>EXP(-LN(2)/2)*EC92+(1-EXP(-LN(2)/2))/(LN(2)/2)*DW93*DZ93*VLOOKUP('Données projet'!$B$14,Paramètres!$A$1:$I$89,3,0)*0.475*44/12</f>
        <v>0</v>
      </c>
      <c r="ED93" s="22">
        <f t="shared" si="137"/>
        <v>146.35227037145228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projet'!$A$201:$I$221,2,0)</f>
        <v>#N/A</v>
      </c>
      <c r="EH93" s="12" t="e">
        <f>VLOOKUP(A93,'Données projet'!$A$201:$I$221,9,0)</f>
        <v>#N/A</v>
      </c>
      <c r="EI93" s="12">
        <f t="array" ref="EI93">INDEX(EH:EH,MIN(IF(ISNUMBER(EH93:EH289),ROW(EH93:EH289),"")))</f>
        <v>8.1391025641025667</v>
      </c>
      <c r="EJ93" s="12">
        <f>IF('Données projet'!$A$202&gt;35,EJ92+EI93-ER92,IF(A93&lt;'Données projet'!$A$202,$EG$205^A93,IF(A93='Données projet'!$A$202,'Données projet'!$B$202,EJ92+EI93-ER92)))</f>
        <v>324.61730769230792</v>
      </c>
      <c r="EK93" s="17">
        <f>EJ93*VLOOKUP('Données projet'!$B$15,Paramètres!$A$1:$I$89,3,0)*VLOOKUP('Données projet'!$B$15,Paramètres!$A$1:$I$89,5,0)</f>
        <v>151.9209000000001</v>
      </c>
      <c r="EL93" s="13">
        <f t="shared" si="194"/>
        <v>39.014793227910218</v>
      </c>
      <c r="EM93" s="20">
        <f t="shared" si="138"/>
        <v>332.54633237194383</v>
      </c>
      <c r="EN93" s="59">
        <f t="shared" si="139"/>
        <v>625.87966570527715</v>
      </c>
      <c r="EO93" s="59">
        <f ca="1">AVERAGE(OFFSET($EN$3,0,0,'Données projet'!$E$15+1,1))-AVERAGE(OFFSET($H$3,0,0,'Données projet'!$E$15+1,1))</f>
        <v>147.64256291235483</v>
      </c>
      <c r="EP93" s="59">
        <f t="shared" si="195"/>
        <v>70.859031694091868</v>
      </c>
      <c r="EQ93" s="15">
        <f>IF(ISNA(VLOOKUP(A93,'Données projet'!$A$201:$I$221,3,0)),0,VLOOKUP(A93,'Données projet'!$A$201:$I$221,3,0))</f>
        <v>0</v>
      </c>
      <c r="ER93" s="15">
        <f>IF(ISNA(VLOOKUP(A93,'Données projet'!$A$201:$I$221,4,0)),0,VLOOKUP(A93,'Données projet'!$A$201:$I$221,4,0))</f>
        <v>0</v>
      </c>
      <c r="ES93" s="16">
        <f>IF(ISNA(VLOOKUP(A93,'Données projet'!$A$201:$I$221,5,0)),0%,VLOOKUP(A93,'Données projet'!$A$201:$I$221,5,0)*VLOOKUP('Données projet'!$B$15,Paramètres!$A$1:$I$89,7,0))</f>
        <v>0</v>
      </c>
      <c r="ET93" s="16">
        <f>IF(ISNA(VLOOKUP(A93,'Données projet'!$A$201:$I$221,6,0)),0%,VLOOKUP(A93,'Données projet'!$A$201:$I$221,6,0)*VLOOKUP('Données projet'!$B$15,Paramètres!$A$1:$I$89,7,0))</f>
        <v>0</v>
      </c>
      <c r="EU93" s="16">
        <f>IF(ISNA(VLOOKUP(A93,'Données projet'!$A$201:$I$221,7,0)),0%,VLOOKUP(A93,'Données projet'!$A$201:$I$221,7,0))</f>
        <v>0</v>
      </c>
      <c r="EV93" s="21">
        <f>EXP(-LN(2)/35)*EV92+(1-EXP(-LN(2)/35))/(LN(2)/35)*ER93*ES93*VLOOKUP('Données projet'!$B$15,Paramètres!$A$1:$I$89,3,0)*0.475*44/12</f>
        <v>48.974738832756657</v>
      </c>
      <c r="EW93" s="21">
        <f>EXP(-LN(2)/25)*EW92+(1-EXP(-LN(2)/25))/(LN(2)/25)*Calculateur!ER93*Calculateur!ET93*VLOOKUP('Données projet'!$B$15,Paramètres!$A$1:$I$89,3,0)*0.475*44/12</f>
        <v>16.979541522442414</v>
      </c>
      <c r="EX93" s="21">
        <f>EXP(-LN(2)/2)*EX92+(1-EXP(-LN(2)/2))/(LN(2)/2)*ER93*EU93*VLOOKUP('Données projet'!$B$15,Paramètres!$A$1:$I$89,3,0)*0.475*44/12</f>
        <v>2.0846703223773622</v>
      </c>
      <c r="EY93" s="22">
        <f t="shared" si="140"/>
        <v>68.038950677576437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>
        <f>VLOOKUP(A93,'Données projet'!$A$227:$I$247,2,0)</f>
        <v>215</v>
      </c>
      <c r="FC93" s="12">
        <f>VLOOKUP(A93,'Données projet'!$A$227:$I$247,9,0)</f>
        <v>2.8</v>
      </c>
      <c r="FD93" s="12">
        <f t="array" ref="FD93">INDEX(FC:FC,MIN(IF(ISNUMBER(FC93:FC289),ROW(FC93:FC289),"")))</f>
        <v>2.8</v>
      </c>
      <c r="FE93" s="12">
        <f>IF('Données projet'!$A$228&gt;35,FE92+FD93-FM92,IF(A93&lt;'Données projet'!$A$228,$FB$205^A93,IF(A93='Données projet'!$A$228,'Données projet'!$B$228,FE92+FD93-FM92)))</f>
        <v>215.00000000000003</v>
      </c>
      <c r="FF93" s="17">
        <f>FE93*VLOOKUP('Données projet'!$B$16,Paramètres!$A$1:$I$89,3,0)*VLOOKUP('Données projet'!$B$16,Paramètres!$A$1:$I$89,5,0)</f>
        <v>224.71800000000007</v>
      </c>
      <c r="FG93" s="13">
        <f t="shared" si="196"/>
        <v>55.13904993933199</v>
      </c>
      <c r="FH93" s="20">
        <f t="shared" si="141"/>
        <v>487.41769531100323</v>
      </c>
      <c r="FI93" s="59">
        <f t="shared" si="142"/>
        <v>780.75102864433654</v>
      </c>
      <c r="FJ93" s="59">
        <f ca="1">AVERAGE(OFFSET($FI$3,0,0,'Données projet'!$E$16+1,1))-AVERAGE(OFFSET($H$3,0,0,'Données projet'!$E$16+1,1))</f>
        <v>259.03906550253788</v>
      </c>
      <c r="FK93" s="59">
        <f t="shared" si="197"/>
        <v>235.54542903570831</v>
      </c>
      <c r="FL93" s="15">
        <f>IF(ISNA(VLOOKUP(A93,'Données projet'!$A$227:$I$247,3,0)),0,VLOOKUP(A93,'Données projet'!$A$227:$I$247,3,0))</f>
        <v>15</v>
      </c>
      <c r="FM93" s="15" t="str">
        <f>IF(ISNA(VLOOKUP(A93,'Données projet'!$A$227:$I$247,4,0)),0,VLOOKUP(A93,'Données projet'!$A$227:$I$247,4,0))</f>
        <v>10</v>
      </c>
      <c r="FN93" s="16">
        <f>IF(ISNA(VLOOKUP(A93,'Données projet'!$A$227:$I$247,5,0)),0%,VLOOKUP(A93,'Données projet'!$A$227:$I$247,5,0)*VLOOKUP('Données projet'!$B$16,Paramètres!$A$1:$I$89,7,0))</f>
        <v>0.215</v>
      </c>
      <c r="FO93" s="16">
        <f>IF(ISNA(VLOOKUP(A93,'Données projet'!$A$227:$I$247,6,0)),0%,VLOOKUP(A93,'Données projet'!$A$227:$I$247,6,0)*VLOOKUP('Données projet'!$B$16,Paramètres!$A$1:$I$89,7,0))</f>
        <v>0.17200000000000001</v>
      </c>
      <c r="FP93" s="16">
        <f>IF(ISNA(VLOOKUP(A93,'Données projet'!$A$227:$I$247,7,0)),0%,VLOOKUP(A93,'Données projet'!$A$227:$I$247,7,0))</f>
        <v>0</v>
      </c>
      <c r="FQ93" s="21">
        <f>EXP(-LN(2)/35)*FQ92+(1-EXP(-LN(2)/35))/(LN(2)/35)*FM93*FN93*VLOOKUP('Données projet'!$B$16,Paramètres!$A$1:$I$89,3,0)*0.475*44/12</f>
        <v>15.433348214651005</v>
      </c>
      <c r="FR93" s="21">
        <f>EXP(-LN(2)/25)*FR92+(1-EXP(-LN(2)/25))/(LN(2)/25)*Calculateur!FM93*Calculateur!FO93*VLOOKUP('Données projet'!$B$16,Paramètres!$A$1:$I$89,3,0)*0.475*44/12</f>
        <v>16.706959295197468</v>
      </c>
      <c r="FS93" s="21">
        <f>EXP(-LN(2)/2)*FS92+(1-EXP(-LN(2)/2))/(LN(2)/2)*FM93*FP93*VLOOKUP('Données projet'!$B$16,Paramètres!$A$1:$I$89,3,0)*0.475*44/12</f>
        <v>0</v>
      </c>
      <c r="FT93" s="22">
        <f t="shared" si="143"/>
        <v>32.140307509848469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projet'!$A$253:$I$273,2,0)</f>
        <v>#N/A</v>
      </c>
      <c r="FX93" s="12" t="e">
        <f>VLOOKUP(A93,'Données projet'!$A$253:$I$273,9,0)</f>
        <v>#N/A</v>
      </c>
      <c r="FY93" s="12">
        <f t="array" ref="FY93">INDEX(FX:FX,MIN(IF(ISNUMBER(FX93:FX289),ROW(FX93:FX289),"")))</f>
        <v>0</v>
      </c>
      <c r="FZ93" s="12">
        <f>IF('Données projet'!$A$254&gt;35,FZ92+FY93-GH92,IF(A93&lt;'Données projet'!$A$254,$FW$205^A93,IF(A93='Données projet'!$A$254,'Données projet'!$B$254,FZ92+FY93-GH92)))</f>
        <v>-1.7053025658242404E-13</v>
      </c>
      <c r="GA93" s="17">
        <f>FZ93*VLOOKUP('Données projet'!$B$17,Paramètres!$A$1:$I$89,3,0)*VLOOKUP('Données projet'!$B$17,Paramètres!$A$1:$I$89,5,0)</f>
        <v>-1.4897523215040567E-13</v>
      </c>
      <c r="GB93" s="13" t="e">
        <f t="shared" si="198"/>
        <v>#NUM!</v>
      </c>
      <c r="GC93" s="20" t="e">
        <f t="shared" si="144"/>
        <v>#NUM!</v>
      </c>
      <c r="GD93" s="59" t="e">
        <f t="shared" si="145"/>
        <v>#NUM!</v>
      </c>
      <c r="GE93" s="59">
        <f ca="1">AVERAGE(OFFSET($GD$3,0,0,'Données projet'!$E$17+1,1))-AVERAGE(OFFSET($H$3,0,0,'Données projet'!$E$17+1,1))</f>
        <v>245.1983232777614</v>
      </c>
      <c r="GF93" s="59">
        <f t="shared" si="199"/>
        <v>242.34010522344573</v>
      </c>
      <c r="GG93" s="15">
        <f>IF(ISNA(VLOOKUP(A93,'Données projet'!$A$253:$I$273,3,0)),0,VLOOKUP(A93,'Données projet'!$A$253:$I$273,3,0))</f>
        <v>0</v>
      </c>
      <c r="GH93" s="15">
        <f>IF(ISNA(VLOOKUP(A93,'Données projet'!$A$253:$I$273,4,0)),0,VLOOKUP(A93,'Données projet'!$A$253:$I$273,4,0))</f>
        <v>0</v>
      </c>
      <c r="GI93" s="16">
        <f>IF(ISNA(VLOOKUP(A93,'Données projet'!$A$253:$I$273,5,0)),0%,VLOOKUP(A93,'Données projet'!$A$253:$I$273,5,0)*VLOOKUP('Données projet'!$B$17,Paramètres!$A$1:$I$89,7,0))</f>
        <v>0</v>
      </c>
      <c r="GJ93" s="16">
        <f>IF(ISNA(VLOOKUP(A93,'Données projet'!$A$253:$I$273,6,0)),0%,VLOOKUP(A93,'Données projet'!$A$253:$I$273,6,0)*VLOOKUP('Données projet'!$B$17,Paramètres!$A$1:$I$89,7,0))</f>
        <v>0</v>
      </c>
      <c r="GK93" s="16">
        <f>IF(ISNA(VLOOKUP(A93,'Données projet'!$A$253:$I$273,7,0)),0%,VLOOKUP(A93,'Données projet'!$A$253:$I$273,7,0))</f>
        <v>0</v>
      </c>
      <c r="GL93" s="21">
        <f>EXP(-LN(2)/35)*GL92+(1-EXP(-LN(2)/35))/(LN(2)/35)*GH93*GI93*VLOOKUP('Données projet'!$B$17,Paramètres!$A$1:$I$89,3,0)*0.475*44/12</f>
        <v>101.08205270628261</v>
      </c>
      <c r="GM93" s="21">
        <f>EXP(-LN(2)/25)*GM92+(1-EXP(-LN(2)/25))/(LN(2)/25)*Calculateur!GH93*Calculateur!GJ93*VLOOKUP('Données projet'!$B$17,Paramètres!$A$1:$I$89,3,0)*0.475*44/12</f>
        <v>16.503962087116527</v>
      </c>
      <c r="GN93" s="21">
        <f>EXP(-LN(2)/2)*GN92+(1-EXP(-LN(2)/2))/(LN(2)/2)*GH93*GK93*VLOOKUP('Données projet'!$B$17,Paramètres!$A$1:$I$89,3,0)*0.475*44/12</f>
        <v>0</v>
      </c>
      <c r="GO93" s="21">
        <f t="shared" si="146"/>
        <v>117.58601479339913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projet'!$A$279:$I$299,2,0)</f>
        <v>#N/A</v>
      </c>
      <c r="GS93" s="12" t="e">
        <f>VLOOKUP(A93,'Données projet'!$A$279:$I$299,9,0)</f>
        <v>#N/A</v>
      </c>
      <c r="GT93" s="12">
        <f t="array" ref="GT93">INDEX(GS:GS,MIN(IF(ISNUMBER(GS93:GS289),ROW(GS93:GS289),"")))</f>
        <v>0</v>
      </c>
      <c r="GU93" s="12">
        <f>IF('Données projet'!$A$280&gt;35,GU92+GT93-HC92,IF(A93&lt;'Données projet'!$A$280,$GR$205^A93,IF(A93='Données projet'!$A$280,'Données projet'!$B$280,GU92+GT93-HC92)))</f>
        <v>-1.1368683772161603E-13</v>
      </c>
      <c r="GV93" s="17">
        <f>GU93*VLOOKUP('Données projet'!$B$18,Paramètres!$A$1:$I$89,3,0)*VLOOKUP('Données projet'!$B$18,Paramètres!$A$1:$I$89,5,0)</f>
        <v>-4.5815795601811263E-14</v>
      </c>
      <c r="GW93" s="13" t="e">
        <f t="shared" si="200"/>
        <v>#NUM!</v>
      </c>
      <c r="GX93" s="20" t="e">
        <f t="shared" si="147"/>
        <v>#NUM!</v>
      </c>
      <c r="GY93" s="59" t="e">
        <f t="shared" si="148"/>
        <v>#NUM!</v>
      </c>
      <c r="GZ93" s="59">
        <f ca="1">AVERAGE(OFFSET($GY$3,0,0,'Données projet'!$E$18+1,1))-AVERAGE(OFFSET($H$3,0,0,'Données projet'!$E$18+1,1))</f>
        <v>324.36162935850876</v>
      </c>
      <c r="HA93" s="59">
        <f t="shared" si="201"/>
        <v>265.23571072429735</v>
      </c>
      <c r="HB93" s="15">
        <f>IF(ISNA(VLOOKUP(A93,'Données projet'!$A$279:$I$299,3,0)),0,VLOOKUP(A93,'Données projet'!$A$279:$I$299,3,0))</f>
        <v>0</v>
      </c>
      <c r="HC93" s="15">
        <f>IF(ISNA(VLOOKUP(A93,'Données projet'!$A$279:$I$299,4,0)),0,VLOOKUP(A93,'Données projet'!$A$279:$I$299,4,0))</f>
        <v>0</v>
      </c>
      <c r="HD93" s="16">
        <f>IF(ISNA(VLOOKUP(A93,'Données projet'!$A$279:$I$299,5,0)),0%,VLOOKUP(A93,'Données projet'!$A$279:$I$299,5,0)*VLOOKUP('Données projet'!$B$18,Paramètres!$A$1:$I$89,7,0))</f>
        <v>0</v>
      </c>
      <c r="HE93" s="16">
        <f>IF(ISNA(VLOOKUP(A93,'Données projet'!$A$279:$I$299,6,0)),0%,VLOOKUP(A93,'Données projet'!$A$279:$I$299,6,0)*VLOOKUP('Données projet'!$B$18,Paramètres!$A$1:$I$89,7,0))</f>
        <v>0</v>
      </c>
      <c r="HF93" s="16">
        <f>IF(ISNA(VLOOKUP($A93,'Données projet'!$A$279:$I$299,7,0)),0%,VLOOKUP($A93,'Données projet'!$A$279:$I$299,7,0))</f>
        <v>0</v>
      </c>
      <c r="HG93" s="21">
        <f>EXP(-LN(2)/35)*HG92+(1-EXP(-LN(2)/35))/(LN(2)/35)*HC93*HD93*VLOOKUP('Données projet'!$B$18,Paramètres!$A$1:$I$89,3,0)*0.475*44/12</f>
        <v>193.69963773518444</v>
      </c>
      <c r="HH93" s="21">
        <f>EXP(-LN(2)/25)*HH92+(1-EXP(-LN(2)/25))/(LN(2)/25)*Calculateur!HC93*Calculateur!HE93*VLOOKUP('Données projet'!$B$18,Paramètres!$A$1:$I$89,3,0)*0.475*44/12</f>
        <v>18.355357839456683</v>
      </c>
      <c r="HI93" s="21">
        <f>EXP(-LN(2)/2)*HI92+(1-EXP(-LN(2)/2))/(LN(2)/2)*HC93*HF93*VLOOKUP('Données projet'!$B$18,Paramètres!$A$1:$I$89,3,0)*0.475*44/12</f>
        <v>0.26710030341812274</v>
      </c>
      <c r="HJ93" s="22">
        <f t="shared" si="149"/>
        <v>212.32209587805923</v>
      </c>
      <c r="HK93" s="74">
        <f>('Scénario référence'!$F$8+'Scénario référence'!$F$9+'Scénario référence'!$B$17+'Scénario référence'!$B$9+'Scénario référence'!$B$10)*70+IF((45+25*(1-EXP(-0.0175*$A93)))&lt;70,'Scénario référence'!$B$16*(45+25*(1-EXP(-0.0175*$A93))),70*'Scénario référence'!$B$16)+IF((32+38*(1-EXP(-0.0175*$A93)))&lt;70,'Scénario référence'!$B$18*(32+38*(1-EXP(-0.0175*$A93))),70*'Scénario référence'!$B$18)</f>
        <v>70</v>
      </c>
      <c r="HL93" s="12">
        <f>IF($A93&gt;30,10,('Scénario référence'!$B$16+'Scénario référence'!$B$17+'Scénario référence'!$B$18+'Scénario référence'!$B$9+'Scénario référence'!$B$10)*$A93*10/30+('Scénario référence'!$F$8+'Scénario référence'!$F$9)*10)</f>
        <v>10</v>
      </c>
      <c r="HM93" s="12" t="e">
        <f>VLOOKUP($A93,'Données projet'!$A$304:$I$324,2,0)</f>
        <v>#N/A</v>
      </c>
      <c r="HN93" s="12" t="e">
        <f>VLOOKUP($A93,'Données projet'!$A$304:$I$324,9,0)</f>
        <v>#N/A</v>
      </c>
      <c r="HO93" s="12">
        <f t="array" ref="HO93">INDEX(HN:HN,MIN(IF(ISNUMBER(HN93:HN289),ROW(HN93:HN289),"")))</f>
        <v>0</v>
      </c>
      <c r="HP93" s="12">
        <f>IF('Données projet'!$A$304&gt;35,HP92+HO93-HX92,IF($A93&lt;'Données projet'!$A$304,$CQ$205^$A93,IF($A93='Données projet'!$A$304,'Données projet'!$B$304,HP92+HO93-HX92)))</f>
        <v>0</v>
      </c>
      <c r="HQ93" s="17">
        <f>HP93*VLOOKUP('Données projet'!$B$19,Paramètres!$A$1:$I$89,3,0)*VLOOKUP('Données projet'!$B$19,Paramètres!$A$1:$I$89,5,0)</f>
        <v>0</v>
      </c>
      <c r="HR93" s="13" t="e">
        <f t="shared" si="202"/>
        <v>#NUM!</v>
      </c>
      <c r="HS93" s="14" t="e">
        <f t="shared" si="150"/>
        <v>#NUM!</v>
      </c>
      <c r="HT93" s="59" t="e">
        <f t="shared" si="151"/>
        <v>#NUM!</v>
      </c>
      <c r="HU93" s="59">
        <f ca="1">AVERAGE(OFFSET(HT$3,0,0,'Données projet'!$E$19+1,1))-AVERAGE(OFFSET($H$3,0,0,'Données projet'!$E$19+1,1))</f>
        <v>91.60721429656013</v>
      </c>
      <c r="HV93" s="59">
        <f t="shared" si="203"/>
        <v>258.94957804210856</v>
      </c>
      <c r="HW93" s="15">
        <f>IF(ISNA(VLOOKUP($A93,'Données projet'!$A$304:$I$324,3,0)),0,VLOOKUP($A93,'Données projet'!$A$304:$I$324,3,0))</f>
        <v>0</v>
      </c>
      <c r="HX93" s="15">
        <f>IF(ISNA(VLOOKUP($A93,'Données projet'!$A$304:$I$324,4,0)),0,VLOOKUP($A93,'Données projet'!$A$304:$I$324,4,0))</f>
        <v>0</v>
      </c>
      <c r="HY93" s="16">
        <f>IF(ISNA(VLOOKUP($A93,'Données projet'!$A$304:$I$324,5,0)),0%,VLOOKUP($A93,'Données projet'!$A$304:$I$324,5,0)*VLOOKUP('Données projet'!$B$19,Paramètres!$A$1:$I$89,7,0))</f>
        <v>0</v>
      </c>
      <c r="HZ93" s="16">
        <f>IF(ISNA(VLOOKUP($A93,'Données projet'!$A$304:$I$324,6,0)),0%,VLOOKUP($A93,'Données projet'!$A$304:$I$324,6,0)*VLOOKUP('Données projet'!$B$19,Paramètres!$A$1:$I$89,7,0))</f>
        <v>0</v>
      </c>
      <c r="IA93" s="16">
        <f>IF(ISNA(VLOOKUP($A93,'Données projet'!$A$304:$I$324,7,0)),0%,VLOOKUP($A93,'Données projet'!$A$304:$I$324,7,0))</f>
        <v>0</v>
      </c>
      <c r="IB93" s="21">
        <f>EXP(-LN(2)/35)*IB92+(1-EXP(-LN(2)/35))/(LN(2)/35)*HX93*HY93*VLOOKUP('Données projet'!$B$19,Paramètres!$A$1:$I$89,3,0)*0.475*44/12</f>
        <v>15.034310161129204</v>
      </c>
      <c r="IC93" s="21">
        <f>EXP(-LN(2)/25)*IC92+(1-EXP(-LN(2)/25))/(LN(2)/25)*Calculateur!HX93*Calculateur!HZ93*VLOOKUP('Données projet'!$B$19,Paramètres!$A$1:$I$89,3,0)*0.475*44/12</f>
        <v>1.8430595596887971</v>
      </c>
      <c r="ID93" s="21">
        <f>EXP(-LN(2)/2)*ID92+(1-EXP(-LN(2)/2))/(LN(2)/2)*HX93*IA93*VLOOKUP('Données projet'!$B$19,Paramètres!$A$1:$I$89,3,0)*0.475*44/12</f>
        <v>5.3351028984782989E-10</v>
      </c>
      <c r="IE93" s="22">
        <f t="shared" si="152"/>
        <v>16.877369721351513</v>
      </c>
      <c r="IF93" s="74">
        <f>('Scénario référence'!$F$8+'Scénario référence'!$F$9+'Scénario référence'!$B$17+'Scénario référence'!$B$9+'Scénario référence'!$B$10)*70+IF((45+25*(1-EXP(-0.0175*$A93)))&lt;70,'Scénario référence'!$B$16*(45+25*(1-EXP(-0.0175*$A93))),70*'Scénario référence'!$B$16)+IF((32+38*(1-EXP(-0.0175*$A93)))&lt;70,'Scénario référence'!$B$18*(32+38*(1-EXP(-0.0175*$A93))),70*'Scénario référence'!$B$18)</f>
        <v>70</v>
      </c>
      <c r="IG93" s="12">
        <f>IF($A93&gt;30,10,('Scénario référence'!$B$16+'Scénario référence'!$B$17+'Scénario référence'!$B$18+'Scénario référence'!$B$9+'Scénario référence'!$B$10)*$A93*10/30+('Scénario référence'!$F$8+'Scénario référence'!$F$9)*10)</f>
        <v>10</v>
      </c>
      <c r="IH93" s="12" t="e">
        <f>VLOOKUP($A93,'Données projet'!$A$330:$I$350,2,0)</f>
        <v>#N/A</v>
      </c>
      <c r="II93" s="12" t="e">
        <f>VLOOKUP($A93,'Données projet'!$A$330:$I$350,9,0)</f>
        <v>#N/A</v>
      </c>
      <c r="IJ93" s="12">
        <f t="array" ref="IJ93">INDEX(II:II,MIN(IF(ISNUMBER(II93:II289),ROW(II93:II289),"")))</f>
        <v>0</v>
      </c>
      <c r="IK93" s="12">
        <f>IF('Données projet'!$A$330&gt;35,IK92+IJ93-IS92,IF($A93&lt;'Données projet'!$A$330,$CQ$205^$A93,IF($A93='Données projet'!$A$330,'Données projet'!$B$330,IK92+IJ93-IS92)))</f>
        <v>0</v>
      </c>
      <c r="IL93" s="17">
        <f>IK93*VLOOKUP('Données projet'!$B$20,Paramètres!$A$1:$I$89,3,0)*VLOOKUP('Données projet'!$B$20,Paramètres!$A$1:$I$89,5,0)</f>
        <v>0</v>
      </c>
      <c r="IM93" s="13" t="e">
        <f t="shared" si="204"/>
        <v>#NUM!</v>
      </c>
      <c r="IN93" s="20" t="e">
        <f t="shared" si="153"/>
        <v>#NUM!</v>
      </c>
      <c r="IO93" s="59" t="e">
        <f t="shared" si="154"/>
        <v>#NUM!</v>
      </c>
      <c r="IP93" s="59">
        <f ca="1">AVERAGE(OFFSET(IO$3,0,0,'Données projet'!$E$20+1,1))-AVERAGE(OFFSET($H$3,0,0,'Données projet'!$E$20+1,1))</f>
        <v>91.60721429656013</v>
      </c>
      <c r="IQ93" s="59">
        <f t="shared" si="205"/>
        <v>258.94957804210856</v>
      </c>
      <c r="IR93" s="15">
        <f>IF(ISNA(VLOOKUP($A93,'Données projet'!$A$330:$I$350,3,0)),0,VLOOKUP($A93,'Données projet'!$A$330:$I$350,3,0))</f>
        <v>0</v>
      </c>
      <c r="IS93" s="15">
        <f>IF(ISNA(VLOOKUP($A93,'Données projet'!$A$330:$I$350,4,0)),0,VLOOKUP($A93,'Données projet'!$A$330:$I$350,4,0))</f>
        <v>0</v>
      </c>
      <c r="IT93" s="16">
        <f>IF(ISNA(VLOOKUP($A93,'Données projet'!$A$330:$I$350,5,0)),0%,VLOOKUP($A93,'Données projet'!$A$330:$I$350,5,0)*VLOOKUP('Données projet'!$B$20,Paramètres!$A$1:$I$89,7,0))</f>
        <v>0</v>
      </c>
      <c r="IU93" s="16">
        <f>IF(ISNA(VLOOKUP($A93,'Données projet'!$A$330:$I$350,6,0)),0%,VLOOKUP($A93,'Données projet'!$A$330:$I$350,6,0)*VLOOKUP('Données projet'!$B$20,Paramètres!$A$1:$I$89,7,0))</f>
        <v>0</v>
      </c>
      <c r="IV93" s="16">
        <f>IF(ISNA(VLOOKUP($A93,'Données projet'!$A$330:$I$350,7,0)),0%,VLOOKUP($A93,'Données projet'!$A$330:$I$350,7,0))</f>
        <v>0</v>
      </c>
      <c r="IW93" s="21">
        <f>EXP(-LN(2)/35)*IW92+(1-EXP(-LN(2)/35))/(LN(2)/35)*IS93*IT93*VLOOKUP('Données projet'!$B$20,Paramètres!$A$1:$I$89,3,0)*0.475*44/12</f>
        <v>15.034310161129204</v>
      </c>
      <c r="IX93" s="21">
        <f>EXP(-LN(2)/25)*IX92+(1-EXP(-LN(2)/25))/(LN(2)/25)*Calculateur!IS93*Calculateur!IU93*VLOOKUP('Données projet'!$B$20,Paramètres!$A$1:$I$89,3,0)*0.475*44/12</f>
        <v>1.8430595596887971</v>
      </c>
      <c r="IY93" s="21">
        <f>EXP(-LN(2)/2)*IY92+(1-EXP(-LN(2)/2))/(LN(2)/2)*IS93*IV93*VLOOKUP('Données projet'!$B$20,Paramètres!$A$1:$I$89,3,0)*0.475*44/12</f>
        <v>5.3351028984782989E-10</v>
      </c>
      <c r="IZ93" s="22">
        <f t="shared" si="155"/>
        <v>16.877369721351513</v>
      </c>
      <c r="JA93" s="74">
        <f>('Scénario référence'!$F$8+'Scénario référence'!$F$9+'Scénario référence'!$B$17+'Scénario référence'!$B$9+'Scénario référence'!$B$10)*70+IF((45+25*(1-EXP(-0.0175*$A93)))&lt;70,'Scénario référence'!$B$16*(45+25*(1-EXP(-0.0175*$A93))),70*'Scénario référence'!$B$16)+IF((32+38*(1-EXP(-0.0175*$A93)))&lt;70,'Scénario référence'!$B$18*(32+38*(1-EXP(-0.0175*$A93))),70*'Scénario référence'!$B$18)</f>
        <v>70</v>
      </c>
      <c r="JB93" s="12">
        <f>IF($A93&gt;30,10,('Scénario référence'!$B$16+'Scénario référence'!$B$17+'Scénario référence'!$B$18+'Scénario référence'!$B$9+'Scénario référence'!$B$10)*$A93*10/30+('Scénario référence'!$F$8+'Scénario référence'!$F$9)*10)</f>
        <v>10</v>
      </c>
      <c r="JC93" s="12">
        <f>VLOOKUP($A93,'Données projet'!$A$356:$I$376,2,0)</f>
        <v>377</v>
      </c>
      <c r="JD93" s="12">
        <f>VLOOKUP($A93,'Données projet'!$A$356:$I$376,9,0)</f>
        <v>5.4</v>
      </c>
      <c r="JE93" s="12">
        <f t="array" ref="JE93">INDEX(JD:JD,MIN(IF(ISNUMBER(JD93:JD289),ROW(JD93:JD289),"")))</f>
        <v>5.4</v>
      </c>
      <c r="JF93" s="12">
        <f>IF('Données projet'!$A$356&gt;35,JF92+JE93-JN92,IF($A93&lt;'Données projet'!$A$356,$CQ$205^$A93,IF($A93='Données projet'!$A$356,'Données projet'!$B$356,JF92+JE93-JN92)))</f>
        <v>376.99999999999972</v>
      </c>
      <c r="JG93" s="17">
        <f>JF93*VLOOKUP('Données projet'!$B$21,Paramètres!$A$1:$I$89,3,0)*VLOOKUP('Données projet'!$B$21,Paramètres!$A$1:$I$89,5,0)</f>
        <v>305.82239999999979</v>
      </c>
      <c r="JH93" s="13">
        <f t="shared" si="206"/>
        <v>72.39569329126887</v>
      </c>
      <c r="JI93" s="20">
        <f t="shared" si="156"/>
        <v>658.72984581562616</v>
      </c>
      <c r="JJ93" s="59">
        <f t="shared" si="157"/>
        <v>952.06317914895953</v>
      </c>
      <c r="JK93" s="59">
        <f ca="1">AVERAGE(OFFSET($JJ$3,0,0,'Données projet'!$E$22+1,1))-AVERAGE(OFFSET($H$3,0,0,'Données projet'!$E$22+1,1))</f>
        <v>353.35574633294613</v>
      </c>
      <c r="JL93" s="59">
        <f t="shared" si="207"/>
        <v>170.36796666474726</v>
      </c>
      <c r="JM93" s="15">
        <f>IF(ISNA(VLOOKUP($A93,'Données projet'!$A$356:$I$376,3,0)),0,VLOOKUP($A93,'Données projet'!$A$356:$I$376,3,0))</f>
        <v>13</v>
      </c>
      <c r="JN93" s="15">
        <f>IF(ISNA(VLOOKUP($A93,'Données projet'!$A$356:$I$376,4,0)),0,VLOOKUP($A93,'Données projet'!$A$356:$I$376,4,0))</f>
        <v>26</v>
      </c>
      <c r="JO93" s="16">
        <f>IF(ISNA(VLOOKUP($A93,'Données projet'!$A$356:$I$376,5,0)),0%,VLOOKUP($A93,'Données projet'!$A$356:$I$376,5,0)*VLOOKUP('Données projet'!$B$21,Paramètres!$A$1:$I$89,7,0))</f>
        <v>4.3000000000000003E-2</v>
      </c>
      <c r="JP93" s="16">
        <f>IF(ISNA(VLOOKUP($A93,'Données projet'!$A$356:$I$376,6,0)),0%,VLOOKUP($A93,'Données projet'!$A$356:$I$376,6,0)*VLOOKUP('Données projet'!$B$21,Paramètres!$A$1:$I$89,7,0))</f>
        <v>0.17200000000000001</v>
      </c>
      <c r="JQ93" s="16">
        <f>IF(ISNA(VLOOKUP($A93,'Données projet'!$A$356:$I$376,7,0)),0%,VLOOKUP($A93,'Données projet'!$A$356:$I$376,7,0))</f>
        <v>0.3</v>
      </c>
      <c r="JR93" s="21">
        <f>EXP(-LN(2)/35)*JR92+(1-EXP(-LN(2)/35))/(LN(2)/35)*JN93*JO93*VLOOKUP('Données projet'!$B$21,Paramètres!$A$1:$I$89,3,0)*0.475*44/12</f>
        <v>2.690498995091525</v>
      </c>
      <c r="JS93" s="21">
        <f>EXP(-LN(2)/25)*JS92+(1-EXP(-LN(2)/25))/(LN(2)/25)*Calculateur!JN93*Calculateur!JP93*VLOOKUP('Données projet'!$B$21,Paramètres!$A$1:$I$89,3,0)*0.475*44/12</f>
        <v>17.352395198632692</v>
      </c>
      <c r="JT93" s="21">
        <f>EXP(-LN(2)/2)*JT92+(1-EXP(-LN(2)/2))/(LN(2)/2)*JN93*JQ93*VLOOKUP('Données projet'!$B$21,Paramètres!$A$1:$I$89,3,0)*0.475*44/12</f>
        <v>6.2140929283044208</v>
      </c>
      <c r="JU93" s="18">
        <f t="shared" si="158"/>
        <v>26.256987122028637</v>
      </c>
      <c r="JV93" s="74">
        <f>('Scénario référence'!$F$8+'Scénario référence'!$F$9+'Scénario référence'!$B$17+'Scénario référence'!$B$9+'Scénario référence'!$B$10)*70+IF((45+25*(1-EXP(-0.0175*$A93)))&lt;70,'Scénario référence'!$B$16*(45+25*(1-EXP(-0.0175*$A93))),70*'Scénario référence'!$B$16)+IF((32+38*(1-EXP(-0.0175*$A93)))&lt;70,'Scénario référence'!$B$18*(32+38*(1-EXP(-0.0175*$A93))),70*'Scénario référence'!$B$18)</f>
        <v>70</v>
      </c>
      <c r="JW93" s="12">
        <f>IF($A93&gt;30,10,('Scénario référence'!$B$16+'Scénario référence'!$B$17+'Scénario référence'!$B$18+'Scénario référence'!$B$9+'Scénario référence'!$B$10)*$A93*10/30+('Scénario référence'!$F$8+'Scénario référence'!$F$9)*10)</f>
        <v>10</v>
      </c>
      <c r="JX93" s="12" t="e">
        <f>VLOOKUP($A93,'Données projet'!$A$382:$I$402,2,0)</f>
        <v>#N/A</v>
      </c>
      <c r="JY93" s="12" t="e">
        <f>VLOOKUP($A93,'Données projet'!$A$382:$I$402,9,0)</f>
        <v>#N/A</v>
      </c>
      <c r="JZ93" s="12">
        <f t="array" ref="JZ93">INDEX(JY:JY,MIN(IF(ISNUMBER(JY93:JY289),ROW(JY93:JY289),"")))</f>
        <v>7.1782051282051267</v>
      </c>
      <c r="KA93" s="12">
        <f>IF('Données projet'!$A$382&gt;35,KA92+JZ93-KI92,IF($A93&lt;'Données projet'!$A$382,$CQ$205^$A93,IF($A93='Données projet'!$A$382,'Données projet'!$B$382,KA92+JZ93-KI92)))</f>
        <v>253.64615384615411</v>
      </c>
      <c r="KB93" s="17">
        <f>KA93*VLOOKUP('Données projet'!$B$22,Paramètres!$A$1:$I$89,3,0)*VLOOKUP('Données projet'!$B$22,Paramètres!$A$1:$I$89,5,0)</f>
        <v>170.14584000000016</v>
      </c>
      <c r="KC93" s="13">
        <f t="shared" si="208"/>
        <v>43.122685263532333</v>
      </c>
      <c r="KD93" s="20">
        <f t="shared" si="159"/>
        <v>371.44268150065244</v>
      </c>
      <c r="KE93" s="59">
        <f t="shared" si="160"/>
        <v>664.77601483398576</v>
      </c>
      <c r="KF93" s="59">
        <f ca="1">AVERAGE(OFFSET($KE$3,0,0,'Données projet'!$E$22+1,1))-AVERAGE(OFFSET($H$3,0,0,'Données projet'!$E$22+1,1))</f>
        <v>193.91714772848269</v>
      </c>
      <c r="KG93" s="59">
        <f t="shared" si="209"/>
        <v>159.20429420478047</v>
      </c>
      <c r="KH93" s="15">
        <f>IF(ISNA(VLOOKUP($A93,'Données projet'!$A$382:$I$402,3,0)),0,VLOOKUP($A93,'Données projet'!$A$382:$I$402,3,0))</f>
        <v>0</v>
      </c>
      <c r="KI93" s="15">
        <f>IF(ISNA(VLOOKUP($A93,'Données projet'!$A$382:$I$402,4,0)),0,VLOOKUP($A93,'Données projet'!$A$382:$I$402,4,0))</f>
        <v>0</v>
      </c>
      <c r="KJ93" s="16">
        <f>IF(ISNA(VLOOKUP($A93,'Données projet'!$A$382:$I$402,5,0)),0%,VLOOKUP($A93,'Données projet'!$A$382:$I$402,5,0)*VLOOKUP('Données projet'!$B$22,Paramètres!$A$1:$I$89,7,0))</f>
        <v>0</v>
      </c>
      <c r="KK93" s="16">
        <f>IF(ISNA(VLOOKUP($A93,'Données projet'!$A$382:$I$402,6,0)),0%,VLOOKUP($A93,'Données projet'!$A$382:$I$402,6,0)*VLOOKUP('Données projet'!$B$22,Paramètres!$A$1:$I$89,7,0))</f>
        <v>0</v>
      </c>
      <c r="KL93" s="16">
        <f>IF(ISNA(VLOOKUP($A93,'Données projet'!$A$382:$I$402,7,0)),0%,VLOOKUP($A93,'Données projet'!$A$382:$I$402,7,0))</f>
        <v>0</v>
      </c>
      <c r="KM93" s="21">
        <f>EXP(-LN(2)/35)*KM92+(1-EXP(-LN(2)/35))/(LN(2)/35)*KI93*KJ93*VLOOKUP('Données projet'!$B$22,Paramètres!$A$1:$I$89,3,0)*0.475*44/12</f>
        <v>37.881457368834198</v>
      </c>
      <c r="KN93" s="21">
        <f>EXP(-LN(2)/25)*KN92+(1-EXP(-LN(2)/25))/(LN(2)/25)*Calculateur!KI93*Calculateur!KK93*VLOOKUP('Données projet'!$B$22,Paramètres!$A$1:$I$89,3,0)*0.475*44/12</f>
        <v>0</v>
      </c>
      <c r="KO93" s="21">
        <f>EXP(-LN(2)/2)*KO92+(1-EXP(-LN(2)/2))/(LN(2)/2)*KI93*KL93*VLOOKUP('Données projet'!$B$22,Paramètres!$A$1:$I$89,3,0)*0.475*44/12</f>
        <v>0</v>
      </c>
      <c r="KP93" s="22">
        <f t="shared" si="161"/>
        <v>37.881457368834198</v>
      </c>
      <c r="KQ93" s="74">
        <f>('Scénario référence'!$F$8+'Scénario référence'!$F$9+'Scénario référence'!$B$17+'Scénario référence'!$B$9+'Scénario référence'!$B$10)*70+IF((45+25*(1-EXP(-0.0175*$A93)))&lt;70,'Scénario référence'!$B$16*(45+25*(1-EXP(-0.0175*$A93))),70*'Scénario référence'!$B$16)+IF((32+38*(1-EXP(-0.0175*$A93)))&lt;70,'Scénario référence'!$B$18*(32+38*(1-EXP(-0.0175*$A93))),70*'Scénario référence'!$B$18)</f>
        <v>70</v>
      </c>
      <c r="KR93" s="12">
        <f>IF($A93&gt;30,10,('Scénario référence'!$B$16+'Scénario référence'!$B$17+'Scénario référence'!$B$18+'Scénario référence'!$B$9+'Scénario référence'!$B$10)*$A93*10/30+('Scénario référence'!$F$8+'Scénario référence'!$F$9)*10)</f>
        <v>10</v>
      </c>
      <c r="KS93" s="12" t="e">
        <f>VLOOKUP($A93,'Données projet'!$A$408:$I$428,2,0)</f>
        <v>#N/A</v>
      </c>
      <c r="KT93" s="12" t="e">
        <f>VLOOKUP($A93,'Données projet'!$A$408:$I$428,9,0)</f>
        <v>#N/A</v>
      </c>
      <c r="KU93" s="12">
        <f t="array" ref="KU93">INDEX(KT:KT,MIN(IF(ISNUMBER(KT93:KT289),ROW(KT93:KT289),"")))</f>
        <v>0</v>
      </c>
      <c r="KV93" s="12">
        <f>IF('Données projet'!$A$408&gt;35,KV92+KU93-LD92,IF($A93&lt;'Données projet'!$A$408,$CQ$205^$A93,IF($A93='Données projet'!$A$408,'Données projet'!$B$408,KV92+KU93-LD92)))</f>
        <v>-1.1368683772161603E-13</v>
      </c>
      <c r="KW93" s="17">
        <f>KV93*VLOOKUP('Données projet'!$B$23,Paramètres!$A$1:$I$89,3,0)*VLOOKUP('Données projet'!$B$23,Paramètres!$A$1:$I$89,5,0)</f>
        <v>-9.9316821433603781E-14</v>
      </c>
      <c r="KX93" s="13" t="e">
        <f t="shared" si="210"/>
        <v>#NUM!</v>
      </c>
      <c r="KY93" s="14" t="e">
        <f t="shared" si="162"/>
        <v>#NUM!</v>
      </c>
      <c r="KZ93" s="59" t="e">
        <f t="shared" si="163"/>
        <v>#NUM!</v>
      </c>
      <c r="LA93" s="59">
        <f ca="1">AVERAGE(OFFSET($KZ$3,0,0,'Données projet'!$E$23+1,1))-AVERAGE(OFFSET($H$3,0,0,'Données projet'!$E$23+1,1))</f>
        <v>248.33596943633819</v>
      </c>
      <c r="LB93" s="59">
        <f t="shared" si="211"/>
        <v>242.34010522344573</v>
      </c>
      <c r="LC93" s="15">
        <f>IF(ISNA(VLOOKUP($A93,'Données projet'!$A$408:$I$428,3,0)),0,VLOOKUP($A93,'Données projet'!$A$408:$I$428,3,0))</f>
        <v>0</v>
      </c>
      <c r="LD93" s="15">
        <f>IF(ISNA(VLOOKUP($A93,'Données projet'!$A$408:$I$428,4,0)),0,VLOOKUP($A93,'Données projet'!$A$408:$I$428,4,0))</f>
        <v>0</v>
      </c>
      <c r="LE93" s="16">
        <f>IF(ISNA(VLOOKUP($A93,'Données projet'!$A$408:$I$428,5,0)),0%,VLOOKUP($A93,'Données projet'!$A$408:$I$428,5,0)*VLOOKUP('Données projet'!$B$23,Paramètres!$A$1:$I$89,7,0))</f>
        <v>0</v>
      </c>
      <c r="LF93" s="16">
        <f>IF(ISNA(VLOOKUP($A93,'Données projet'!$A$408:$I$428,6,0)),0%,VLOOKUP($A93,'Données projet'!$A$408:$I$428,6,0)*VLOOKUP('Données projet'!$B$23,Paramètres!$A$1:$I$89,7,0))</f>
        <v>0</v>
      </c>
      <c r="LG93" s="16">
        <f>IF(ISNA(VLOOKUP($A93,'Données projet'!$A$408:$I$428,7,0)),0%,VLOOKUP($A93,'Données projet'!$A$408:$I$428,7,0))</f>
        <v>0</v>
      </c>
      <c r="LH93" s="21">
        <f>EXP(-LN(2)/35)*LH92+(1-EXP(-LN(2)/35))/(LN(2)/35)*LD93*LE93*VLOOKUP('Données projet'!$B$23,Paramètres!$A$1:$I$89,3,0)*0.475*44/12</f>
        <v>101.08205270628261</v>
      </c>
      <c r="LI93" s="21">
        <f>EXP(-LN(2)/25)*LI92+(1-EXP(-LN(2)/25))/(LN(2)/25)*Calculateur!LD93*Calculateur!LF93*VLOOKUP('Données projet'!$B$23,Paramètres!$A$1:$I$89,3,0)*0.475*44/12</f>
        <v>16.503962087116527</v>
      </c>
      <c r="LJ93" s="21">
        <f>EXP(-LN(2)/2)*LJ92+(1-EXP(-LN(2)/2))/(LN(2)/2)*LD93*LG93*VLOOKUP('Données projet'!$B$23,Paramètres!$A$1:$I$89,3,0)*0.475*44/12</f>
        <v>0</v>
      </c>
      <c r="LK93" s="22">
        <f t="shared" si="164"/>
        <v>117.58601479339913</v>
      </c>
      <c r="LL93" s="74">
        <f>('Scénario référence'!$F$8+'Scénario référence'!$F$9+'Scénario référence'!$B$17+'Scénario référence'!$B$9+'Scénario référence'!$B$10)*70+IF((45+25*(1-EXP(-0.0175*$A93)))&lt;70,'Scénario référence'!$B$16*(45+25*(1-EXP(-0.0175*$A93))),70*'Scénario référence'!$B$16)+IF((32+38*(1-EXP(-0.0175*$A93)))&lt;70,'Scénario référence'!$B$18*(32+38*(1-EXP(-0.0175*$A93))),70*'Scénario référence'!$B$18)</f>
        <v>70</v>
      </c>
      <c r="LM93" s="12">
        <f>IF($A93&gt;30,10,('Scénario référence'!$B$16+'Scénario référence'!$B$17+'Scénario référence'!$B$18+'Scénario référence'!$B$9+'Scénario référence'!$B$10)*$A93*10/30+('Scénario référence'!$F$8+'Scénario référence'!$F$9)*10)</f>
        <v>10</v>
      </c>
      <c r="LN93" s="12" t="e">
        <f>VLOOKUP($A93,'Données projet'!$A$434:$I$454,2,0)</f>
        <v>#N/A</v>
      </c>
      <c r="LO93" s="12" t="e">
        <f>VLOOKUP($A93,'Données projet'!$A$434:$I$454,9,0)</f>
        <v>#N/A</v>
      </c>
      <c r="LP93" s="12">
        <f t="array" ref="LP93">INDEX(LO:LO,MIN(IF(ISNUMBER(LO93:LO289),ROW(LO93:LO289),"")))</f>
        <v>5.2606837606837598</v>
      </c>
      <c r="LQ93" s="12">
        <f>IF('Données projet'!$A$434&gt;35,LQ92+LP93-LY92,IF($A93&lt;'Données projet'!$A$434,$CQ$205^$A93,IF($A93='Données projet'!$A$434,'Données projet'!$B$434,LQ92+LP93-LY92)))</f>
        <v>196.4871794871793</v>
      </c>
      <c r="LR93" s="17">
        <f>LQ93*VLOOKUP('Données projet'!$B$24,Paramètres!$A$1:$I$89,3,0)*VLOOKUP('Données projet'!$B$24,Paramètres!$A$1:$I$89,5,0)</f>
        <v>199.23799999999983</v>
      </c>
      <c r="LS93" s="13">
        <f t="shared" si="212"/>
        <v>49.576666002151768</v>
      </c>
      <c r="LT93" s="14">
        <f t="shared" si="165"/>
        <v>433.35220995374738</v>
      </c>
      <c r="LU93" s="59">
        <f t="shared" si="166"/>
        <v>726.68554328708069</v>
      </c>
      <c r="LV93" s="59">
        <f ca="1">AVERAGE(OFFSET($LU$3,0,0,'Données projet'!$E$24+1,1))-AVERAGE(OFFSET($H$3,0,0,'Données projet'!$E$24+1,1))</f>
        <v>260.52627655062872</v>
      </c>
      <c r="LW93" s="59">
        <f t="shared" si="213"/>
        <v>159.20429420478047</v>
      </c>
      <c r="LX93" s="15">
        <f>IF(ISNA(VLOOKUP($A93,'Données projet'!$A$434:$I$454,3,0)),0,VLOOKUP($A93,'Données projet'!$A$434:$I$454,3,0))</f>
        <v>0</v>
      </c>
      <c r="LY93" s="15">
        <f>IF(ISNA(VLOOKUP($A93,'Données projet'!$A$434:$I$454,4,0)),0,VLOOKUP($A93,'Données projet'!$A$434:$I$454,4,0))</f>
        <v>0</v>
      </c>
      <c r="LZ93" s="16">
        <f>IF(ISNA(VLOOKUP($A93,'Données projet'!$A$434:$I$454,5,0)),0%,VLOOKUP($A93,'Données projet'!$A$434:$I$454,5,0)*VLOOKUP('Données projet'!$B$24,Paramètres!$A$1:$I$89,7,0))</f>
        <v>0</v>
      </c>
      <c r="MA93" s="16">
        <f>IF(ISNA(VLOOKUP($A93,'Données projet'!$A$434:$I$454,6,0)),0%,VLOOKUP($A93,'Données projet'!$A$434:$I$454,6,0)*VLOOKUP('Données projet'!$B$24,Paramètres!$A$1:$I$89,7,0))</f>
        <v>0</v>
      </c>
      <c r="MB93" s="16">
        <f>IF(ISNA(VLOOKUP($A93,'Données projet'!$A$434:$I$454,7,0)),0%,VLOOKUP($A93,'Données projet'!$A$434:$I$454,7,0))</f>
        <v>0</v>
      </c>
      <c r="MC93" s="21">
        <f>EXP(-LN(2)/35)*MC92+(1-EXP(-LN(2)/35))/(LN(2)/35)*LY93*LZ93*VLOOKUP('Données projet'!$B$24,Paramètres!$A$1:$I$89,3,0)*0.475*44/12</f>
        <v>18.261607658835739</v>
      </c>
      <c r="MD93" s="21">
        <f>EXP(-LN(2)/25)*MD92+(1-EXP(-LN(2)/25))/(LN(2)/25)*Calculateur!LY93*Calculateur!MA93*VLOOKUP('Données projet'!$B$24,Paramètres!$A$1:$I$89,3,0)*0.475*44/12</f>
        <v>0</v>
      </c>
      <c r="ME93" s="21">
        <f>EXP(-LN(2)/2)*ME92+(1-EXP(-LN(2)/2))/(LN(2)/2)*LY93*MB93*VLOOKUP('Données projet'!$B$24,Paramètres!$A$1:$I$89,3,0)*0.475*44/12</f>
        <v>0</v>
      </c>
      <c r="MF93" s="22">
        <f t="shared" si="167"/>
        <v>18.261607658835739</v>
      </c>
      <c r="MG93" s="74">
        <f>('Scénario référence'!$F$8+'Scénario référence'!$F$9+'Scénario référence'!$B$17+'Scénario référence'!$B$9+'Scénario référence'!$B$10)*70+IF((45+25*(1-EXP(-0.0175*$A93)))&lt;70,'Scénario référence'!$B$16*(45+25*(1-EXP(-0.0175*$A93))),70*'Scénario référence'!$B$16)+IF((32+38*(1-EXP(-0.0175*$A93)))&lt;70,'Scénario référence'!$B$18*(32+38*(1-EXP(-0.0175*$A93))),70*'Scénario référence'!$B$18)</f>
        <v>70</v>
      </c>
      <c r="MH93" s="12">
        <f>IF($A93&gt;30,10,('Scénario référence'!$B$16+'Scénario référence'!$B$17+'Scénario référence'!$B$18+'Scénario référence'!$B$9+'Scénario référence'!$B$10)*$A93*10/30+('Scénario référence'!$F$8+'Scénario référence'!$F$9)*10)</f>
        <v>10</v>
      </c>
      <c r="MI93" s="12" t="e">
        <f>VLOOKUP($A93,'Données projet'!$A$460:$I$480,2,0)</f>
        <v>#N/A</v>
      </c>
      <c r="MJ93" s="12" t="e">
        <f>VLOOKUP($A93,'Données projet'!$A$460:$I$480,9,0)</f>
        <v>#N/A</v>
      </c>
      <c r="MK93" s="12">
        <f t="array" ref="MK93">INDEX(MJ:MJ,MIN(IF(ISNUMBER(MJ93:MJ289),ROW(MJ93:MJ289),"")))</f>
        <v>0</v>
      </c>
      <c r="ML93" s="12">
        <f>IF('Données projet'!$A$460&gt;35,ML92+MK93-MT92,IF($A93&lt;'Données projet'!$A$460,$CQ$205^$A93,IF($A93='Données projet'!$A$460,'Données projet'!$B$460,ML92+MK93-MT92)))</f>
        <v>0</v>
      </c>
      <c r="MM93" s="17" t="e">
        <f>ML93*VLOOKUP('Données projet'!$B$25,Paramètres!$A$1:$I$89,3,0)*VLOOKUP('Données projet'!$B$25,Paramètres!$A$1:$I$89,5,0)</f>
        <v>#N/A</v>
      </c>
      <c r="MN93" s="13" t="e">
        <f t="shared" si="214"/>
        <v>#N/A</v>
      </c>
      <c r="MO93" s="14" t="e">
        <f t="shared" si="168"/>
        <v>#N/A</v>
      </c>
      <c r="MP93" s="59" t="e">
        <f t="shared" si="169"/>
        <v>#N/A</v>
      </c>
      <c r="MQ93" s="20" t="e">
        <f ca="1">AVERAGE(OFFSET($MP$3,0,0,'Données projet'!$E$25+1,1))-AVERAGE(OFFSET($H$3,0,0,'Données projet'!$E$25+1,1))</f>
        <v>#N/A</v>
      </c>
      <c r="MR93" s="59" t="e">
        <f t="shared" si="215"/>
        <v>#N/A</v>
      </c>
      <c r="MS93" s="15">
        <f>IF(ISNA(VLOOKUP($A93,'Données projet'!$A$460:$I$480,3,0)),0,VLOOKUP($A93,'Données projet'!$A$460:$I$480,3,0))</f>
        <v>0</v>
      </c>
      <c r="MT93" s="15">
        <f>IF(ISNA(VLOOKUP($A93,'Données projet'!$A$460:$I$480,4,0)),0,VLOOKUP($A93,'Données projet'!$A$460:$I$480,4,0))</f>
        <v>0</v>
      </c>
      <c r="MU93" s="16">
        <f>IF(ISNA(VLOOKUP($A93,'Données projet'!$A$460:$I$480,5,0)),0%,VLOOKUP($A93,'Données projet'!$A$460:$I$480,5,0)*VLOOKUP('Données projet'!$B$25,Paramètres!$A$1:$I$89,7,0))</f>
        <v>0</v>
      </c>
      <c r="MV93" s="16">
        <f>IF(ISNA(VLOOKUP($A93,'Données projet'!$A$460:$I$480,6,0)),0%,VLOOKUP($A93,'Données projet'!$A$460:$I$480,6,0)*VLOOKUP('Données projet'!$B$25,Paramètres!$A$1:$I$89,7,0))</f>
        <v>0</v>
      </c>
      <c r="MW93" s="16">
        <f>IF(ISNA(VLOOKUP($A93,'Données projet'!$A$460:$I$480,7,0)),0%,VLOOKUP($A93,'Données projet'!$A$460:$I$480,7,0))</f>
        <v>0</v>
      </c>
      <c r="MX93" s="21" t="e">
        <f>EXP(-LN(2)/35)*MX92+(1-EXP(-LN(2)/35))/(LN(2)/35)*MT93*MU93*VLOOKUP('Données projet'!$B$25,Paramètres!$A$1:$I$89,3,0)*0.475*44/12</f>
        <v>#N/A</v>
      </c>
      <c r="MY93" s="21" t="e">
        <f>EXP(-LN(2)/25)*MY92+(1-EXP(-LN(2)/25))/(LN(2)/25)*Calculateur!MT93*Calculateur!MV93*VLOOKUP('Données projet'!$B$25,Paramètres!$A$1:$I$89,3,0)*0.475*44/12</f>
        <v>#N/A</v>
      </c>
      <c r="MZ93" s="21" t="e">
        <f>EXP(-LN(2)/2)*MZ92+(1-EXP(-LN(2)/2))/(LN(2)/2)*MT93*MW93*VLOOKUP('Données projet'!$B$25,Paramètres!$A$1:$I$89,3,0)*0.475*44/12</f>
        <v>#N/A</v>
      </c>
      <c r="NA93" s="22" t="e">
        <f t="shared" si="170"/>
        <v>#N/A</v>
      </c>
      <c r="NB93" s="74">
        <f>('Scénario référence'!$F$8+'Scénario référence'!$F$9+'Scénario référence'!$B$17+'Scénario référence'!$B$9+'Scénario référence'!$B$10)*70+IF((45+25*(1-EXP(-0.0175*$A93)))&lt;70,'Scénario référence'!$B$16*(45+25*(1-EXP(-0.0175*$A93))),70*'Scénario référence'!$B$16)+IF((32+38*(1-EXP(-0.0175*$A93)))&lt;70,'Scénario référence'!$B$18*(32+38*(1-EXP(-0.0175*$A93))),70*'Scénario référence'!$B$18)</f>
        <v>70</v>
      </c>
      <c r="NC93" s="12">
        <f>IF($A93&gt;30,10,('Scénario référence'!$B$16+'Scénario référence'!$B$17+'Scénario référence'!$B$18+'Scénario référence'!$B$9+'Scénario référence'!$B$10)*$A93*10/30+('Scénario référence'!$F$8+'Scénario référence'!$F$9)*10)</f>
        <v>10</v>
      </c>
      <c r="ND93" s="12" t="e">
        <f>VLOOKUP($A93,'Données projet'!$A$486:$I$506,2,0)</f>
        <v>#N/A</v>
      </c>
      <c r="NE93" s="12" t="e">
        <f>VLOOKUP($A93,'Données projet'!$A$486:$I$506,9,0)</f>
        <v>#N/A</v>
      </c>
      <c r="NF93" s="12">
        <f t="array" ref="NF93">INDEX(NE:NE,MIN(IF(ISNUMBER(NE93:NE289),ROW(NE93:NE289),"")))</f>
        <v>0</v>
      </c>
      <c r="NG93" s="12">
        <f>IF('Données projet'!$A$486&gt;35,NG92+NF93-NO92,IF($A93&lt;'Données projet'!$A$486,$CQ$205^$A93,IF($A93='Données projet'!$A$486,'Données projet'!$B$486,NG92+NF93-NO92)))</f>
        <v>0</v>
      </c>
      <c r="NH93" s="17" t="e">
        <f>NG93*VLOOKUP('Données projet'!$B$26,Paramètres!$A$1:$I$89,3,0)*VLOOKUP('Données projet'!$B$26,Paramètres!$A$1:$I$89,5,0)</f>
        <v>#N/A</v>
      </c>
      <c r="NI93" s="13" t="e">
        <f t="shared" si="216"/>
        <v>#N/A</v>
      </c>
      <c r="NJ93" s="14" t="e">
        <f t="shared" si="171"/>
        <v>#N/A</v>
      </c>
      <c r="NK93" s="59" t="e">
        <f t="shared" si="172"/>
        <v>#N/A</v>
      </c>
      <c r="NL93" s="20" t="e">
        <f ca="1">AVERAGE(OFFSET($NK$3,0,0,'Données projet'!$E$26+1,1))-AVERAGE(OFFSET($H$3,0,0,'Données projet'!$E$26+1,1))</f>
        <v>#N/A</v>
      </c>
      <c r="NM93" s="59" t="e">
        <f t="shared" si="217"/>
        <v>#N/A</v>
      </c>
      <c r="NN93" s="15">
        <f>IF(ISNA(VLOOKUP($A93,'Données projet'!$A$486:$I$506,3,0)),0,VLOOKUP($A93,'Données projet'!$A$486:$I$506,3,0))</f>
        <v>0</v>
      </c>
      <c r="NO93" s="15">
        <f>IF(ISNA(VLOOKUP($A93,'Données projet'!$A$486:$I$506,4,0)),0,VLOOKUP($A93,'Données projet'!$A$486:$I$506,4,0))</f>
        <v>0</v>
      </c>
      <c r="NP93" s="16">
        <f>IF(ISNA(VLOOKUP($A93,'Données projet'!$A$486:$I$506,5,0)),0%,VLOOKUP($A93,'Données projet'!$A$486:$I$506,5,0)*VLOOKUP('Données projet'!$B$26,Paramètres!$A$1:$I$89,7,0))</f>
        <v>0</v>
      </c>
      <c r="NQ93" s="16">
        <f>IF(ISNA(VLOOKUP($A93,'Données projet'!$A$486:$I$506,6,0)),0%,VLOOKUP($A93,'Données projet'!$A$486:$I$506,6,0)*VLOOKUP('Données projet'!$B$26,Paramètres!$A$1:$I$89,7,0))</f>
        <v>0</v>
      </c>
      <c r="NR93" s="16">
        <f>IF(ISNA(VLOOKUP($A93,'Données projet'!$A$486:$I$506,7,0)),0%,VLOOKUP($A93,'Données projet'!$A$486:$I$506,7,0))</f>
        <v>0</v>
      </c>
      <c r="NS93" s="21" t="e">
        <f>EXP(-LN(2)/35)*NS92+(1-EXP(-LN(2)/35))/(LN(2)/35)*NO93*NP93*VLOOKUP('Données projet'!$B$26,Paramètres!$A$1:$I$89,3,0)*0.475*44/12</f>
        <v>#N/A</v>
      </c>
      <c r="NT93" s="21" t="e">
        <f>EXP(-LN(2)/25)*NT92+(1-EXP(-LN(2)/25))/(LN(2)/25)*Calculateur!NO93*Calculateur!NQ93*VLOOKUP('Données projet'!$B$26,Paramètres!$A$1:$I$89,3,0)*0.475*44/12</f>
        <v>#N/A</v>
      </c>
      <c r="NU93" s="21" t="e">
        <f>EXP(-LN(2)/2)*NU92+(1-EXP(-LN(2)/2))/(LN(2)/2)*NO93*NR93*VLOOKUP('Données projet'!$B$26,Paramètres!$A$1:$I$89,3,0)*0.475*44/12</f>
        <v>#N/A</v>
      </c>
      <c r="NV93" s="22" t="e">
        <f t="shared" si="173"/>
        <v>#N/A</v>
      </c>
      <c r="NW93" s="74">
        <f>('Scénario référence'!$F$8+'Scénario référence'!$F$9+'Scénario référence'!$B$17+'Scénario référence'!$B$9+'Scénario référence'!$B$10)*70+IF((45+25*(1-EXP(-0.0175*$A93)))&lt;70,'Scénario référence'!$B$16*(45+25*(1-EXP(-0.0175*$A93))),70*'Scénario référence'!$B$16)+IF((32+38*(1-EXP(-0.0175*$A93)))&lt;70,'Scénario référence'!$B$18*(32+38*(1-EXP(-0.0175*$A93))),70*'Scénario référence'!$B$18)</f>
        <v>70</v>
      </c>
      <c r="NX93" s="12">
        <f>IF($A93&gt;30,10,('Scénario référence'!$B$16+'Scénario référence'!$B$17+'Scénario référence'!$B$18+'Scénario référence'!$B$9+'Scénario référence'!$B$10)*$A93*10/30+('Scénario référence'!$F$8+'Scénario référence'!$F$9)*10)</f>
        <v>10</v>
      </c>
      <c r="NY93" s="12" t="e">
        <f>VLOOKUP($A93,'Données projet'!$A$512:$I$532,2,0)</f>
        <v>#N/A</v>
      </c>
      <c r="NZ93" s="12" t="e">
        <f>VLOOKUP($A93,'Données projet'!$A$512:$I$532,9,0)</f>
        <v>#N/A</v>
      </c>
      <c r="OA93" s="12">
        <f t="array" ref="OA93">INDEX(NZ:NZ,MIN(IF(ISNUMBER(NZ93:NZ289),ROW(NZ93:NZ289),"")))</f>
        <v>0</v>
      </c>
      <c r="OB93" s="12">
        <f>IF('Données projet'!$A$512&gt;35,OB92+OA93-OJ92,IF($A93&lt;'Données projet'!$A$512,$CQ$205^$A93,IF($A93='Données projet'!$A$512,'Données projet'!$B$512,OB92+OA93-OJ92)))</f>
        <v>0</v>
      </c>
      <c r="OC93" s="17" t="e">
        <f>OB93*VLOOKUP('Données projet'!$B$27,Paramètres!$A$1:$I$89,3,0)*VLOOKUP('Données projet'!$B$27,Paramètres!$A$1:$I$89,5,0)</f>
        <v>#N/A</v>
      </c>
      <c r="OD93" s="13" t="e">
        <f t="shared" si="218"/>
        <v>#N/A</v>
      </c>
      <c r="OE93" s="14" t="e">
        <f t="shared" si="174"/>
        <v>#N/A</v>
      </c>
      <c r="OF93" s="59" t="e">
        <f t="shared" si="175"/>
        <v>#N/A</v>
      </c>
      <c r="OG93" s="20" t="e">
        <f ca="1">AVERAGE(OFFSET($OF$3,0,0,'Données projet'!$E$27+1,1))-AVERAGE(OFFSET($H$3,0,0,'Données projet'!$E$27+1,1))</f>
        <v>#N/A</v>
      </c>
      <c r="OH93" s="59" t="e">
        <f t="shared" si="219"/>
        <v>#N/A</v>
      </c>
      <c r="OI93" s="15">
        <f>IF(ISNA(VLOOKUP($A93,'Données projet'!$A$512:$I$532,3,0)),0,VLOOKUP($A93,'Données projet'!$A$512:$I$532,3,0))</f>
        <v>0</v>
      </c>
      <c r="OJ93" s="15">
        <f>IF(ISNA(VLOOKUP($A93,'Données projet'!$A$512:$I$532,4,0)),0,VLOOKUP($A93,'Données projet'!$A$512:$I$532,4,0))</f>
        <v>0</v>
      </c>
      <c r="OK93" s="16">
        <f>IF(ISNA(VLOOKUP($A93,'Données projet'!$A$512:$I$532,5,0)),0%,VLOOKUP($A93,'Données projet'!$A$512:$I$532,5,0)*VLOOKUP('Données projet'!$B$27,Paramètres!$A$1:$I$89,7,0))</f>
        <v>0</v>
      </c>
      <c r="OL93" s="16">
        <f>IF(ISNA(VLOOKUP($A93,'Données projet'!$A$512:$I$532,6,0)),0%,VLOOKUP($A93,'Données projet'!$A$512:$I$532,6,0)*VLOOKUP('Données projet'!$B$27,Paramètres!$A$1:$I$89,7,0))</f>
        <v>0</v>
      </c>
      <c r="OM93" s="16">
        <f>IF(ISNA(VLOOKUP($A93,'Données projet'!$A$512:$I$532,7,0)),0%,VLOOKUP($A93,'Données projet'!$A$512:$I$532,7,0))</f>
        <v>0</v>
      </c>
      <c r="ON93" s="21" t="e">
        <f>EXP(-LN(2)/35)*ON92+(1-EXP(-LN(2)/35))/(LN(2)/35)*OJ93*OK93*VLOOKUP('Données projet'!$B$27,Paramètres!$A$1:$I$89,3,0)*0.475*44/12</f>
        <v>#N/A</v>
      </c>
      <c r="OO93" s="21" t="e">
        <f>EXP(-LN(2)/25)*OO92+(1-EXP(-LN(2)/25))/(LN(2)/25)*Calculateur!OJ93*Calculateur!OL93*VLOOKUP('Données projet'!$B$27,Paramètres!$A$1:$I$89,3,0)*0.475*44/12</f>
        <v>#N/A</v>
      </c>
      <c r="OP93" s="21" t="e">
        <f>EXP(-LN(2)/2)*OP92+(1-EXP(-LN(2)/2))/(LN(2)/2)*OJ93*OM93*VLOOKUP('Données projet'!$B$27,Paramètres!$A$1:$I$89,3,0)*0.475*44/12</f>
        <v>#N/A</v>
      </c>
      <c r="OQ93" s="22" t="e">
        <f t="shared" si="176"/>
        <v>#N/A</v>
      </c>
      <c r="OR93" s="74">
        <f>('Scénario référence'!$F$8+'Scénario référence'!$F$9+'Scénario référence'!$B$17+'Scénario référence'!$B$9+'Scénario référence'!$B$10)*70+IF((45+25*(1-EXP(-0.0175*$A93)))&lt;70,'Scénario référence'!$B$16*(45+25*(1-EXP(-0.0175*$A93))),70*'Scénario référence'!$B$16)+IF((32+38*(1-EXP(-0.0175*$A93)))&lt;70,'Scénario référence'!$B$18*(32+38*(1-EXP(-0.0175*$A93))),70*'Scénario référence'!$B$18)</f>
        <v>70</v>
      </c>
      <c r="OS93" s="12">
        <f>IF($A93&gt;30,10,('Scénario référence'!$B$16+'Scénario référence'!$B$17+'Scénario référence'!$B$18+'Scénario référence'!$B$9+'Scénario référence'!$B$10)*$A93*10/30+('Scénario référence'!$F$8+'Scénario référence'!$F$9)*10)</f>
        <v>10</v>
      </c>
      <c r="OT93" s="12" t="e">
        <f>VLOOKUP($A93,'Données projet'!$A$538:$I$558,2,0)</f>
        <v>#N/A</v>
      </c>
      <c r="OU93" s="12" t="e">
        <f>VLOOKUP($A93,'Données projet'!$A$538:$I$558,9,0)</f>
        <v>#N/A</v>
      </c>
      <c r="OV93" s="12">
        <f t="array" ref="OV93">INDEX(OU:OU,MIN(IF(ISNUMBER(OU93:OU289),ROW(OU93:OU289),"")))</f>
        <v>0</v>
      </c>
      <c r="OW93" s="12">
        <f>IF('Données projet'!$A$538&gt;35,OW92+OV93-PE92,IF($A93&lt;'Données projet'!$A$538,$CQ$205^$A93,IF($A93='Données projet'!$A$538,'Données projet'!$B$538,OW92+OV93-PE92)))</f>
        <v>0</v>
      </c>
      <c r="OX93" s="17" t="e">
        <f>OW93*VLOOKUP('Données projet'!$B$28,Paramètres!$A$1:$I$89,3,0)*VLOOKUP('Données projet'!$B$28,Paramètres!$A$1:$I$89,5,0)</f>
        <v>#N/A</v>
      </c>
      <c r="OY93" s="13" t="e">
        <f t="shared" si="220"/>
        <v>#N/A</v>
      </c>
      <c r="OZ93" s="14" t="e">
        <f t="shared" si="177"/>
        <v>#N/A</v>
      </c>
      <c r="PA93" s="59" t="e">
        <f t="shared" si="178"/>
        <v>#N/A</v>
      </c>
      <c r="PB93" s="20" t="e">
        <f ca="1">AVERAGE(OFFSET($PA$3,0,0,'Données projet'!$E$28+1,1))-AVERAGE(OFFSET($H$3,0,0,'Données projet'!$E$28+1,1))</f>
        <v>#N/A</v>
      </c>
      <c r="PC93" s="59" t="e">
        <f t="shared" si="221"/>
        <v>#N/A</v>
      </c>
      <c r="PD93" s="15">
        <f>IF(ISNA(VLOOKUP($A93,'Données projet'!$A$538:$I$558,3,0)),0,VLOOKUP($A93,'Données projet'!$A$538:$I$558,3,0))</f>
        <v>0</v>
      </c>
      <c r="PE93" s="15">
        <f>IF(ISNA(VLOOKUP($A93,'Données projet'!$A$538:$I$558,4,0)),0,VLOOKUP($A93,'Données projet'!$A$538:$I$558,4,0))</f>
        <v>0</v>
      </c>
      <c r="PF93" s="16">
        <f>IF(ISNA(VLOOKUP($A93,'Données projet'!$A$538:$I$558,5,0)),0%,VLOOKUP($A93,'Données projet'!$A$538:$I$558,5,0)*VLOOKUP('Données projet'!$B$28,Paramètres!$A$1:$I$89,7,0))</f>
        <v>0</v>
      </c>
      <c r="PG93" s="16">
        <f>IF(ISNA(VLOOKUP($A93,'Données projet'!$A$538:$I$558,6,0)),0%,VLOOKUP($A93,'Données projet'!$A$538:$I$558,6,0)*VLOOKUP('Données projet'!$B$28,Paramètres!$A$1:$I$89,7,0))</f>
        <v>0</v>
      </c>
      <c r="PH93" s="16">
        <f>IF(ISNA(VLOOKUP($A93,'Données projet'!$A$538:$I$558,7,0)),0%,VLOOKUP($A93,'Données projet'!$A$538:$I$558,7,0))</f>
        <v>0</v>
      </c>
      <c r="PI93" s="21" t="e">
        <f>EXP(-LN(2)/35)*PI92+(1-EXP(-LN(2)/35))/(LN(2)/35)*PE93*PF93*VLOOKUP('Données projet'!$B$28,Paramètres!$A$1:$I$89,3,0)*0.475*44/12</f>
        <v>#N/A</v>
      </c>
      <c r="PJ93" s="21" t="e">
        <f>EXP(-LN(2)/25)*PJ92+(1-EXP(-LN(2)/25))/(LN(2)/25)*Calculateur!PE93*Calculateur!PG93*VLOOKUP('Données projet'!$B$28,Paramètres!$A$1:$I$89,3,0)*0.475*44/12</f>
        <v>#N/A</v>
      </c>
      <c r="PK93" s="21" t="e">
        <f>EXP(-LN(2)/2)*PK92+(1-EXP(-LN(2)/2))/(LN(2)/2)*PE93*PH93*VLOOKUP('Données projet'!$B$28,Paramètres!$A$1:$I$89,3,0)*0.475*44/12</f>
        <v>#N/A</v>
      </c>
      <c r="PL93" s="22" t="e">
        <f t="shared" si="179"/>
        <v>#N/A</v>
      </c>
    </row>
    <row r="94" spans="1:428" x14ac:dyDescent="0.35">
      <c r="A94" s="10">
        <f t="shared" si="180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181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121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projet'!$A$45:$I$65,2,0)</f>
        <v>#N/A</v>
      </c>
      <c r="L94" s="12" t="e">
        <f>VLOOKUP(A94,'Données projet'!$A$45:$I$65,9,0)</f>
        <v>#N/A</v>
      </c>
      <c r="M94" s="12">
        <f t="array" ref="M94">INDEX(L:L,MIN(IF(ISNUMBER(L94:L290),ROW(L94:L290),"")))</f>
        <v>0</v>
      </c>
      <c r="N94" s="13">
        <f>IF('Données projet'!$A$46&gt;35,N93+M94-V93,IF(A94&lt;'Données projet'!$A$46,$K$205^A94,IF(A94='Données projet'!$A$46,'Données projet'!$B$46,N93+M94-V93)))</f>
        <v>-1.1368683772161603E-13</v>
      </c>
      <c r="O94" s="13">
        <f>N94*VLOOKUP('Données projet'!$B$9,Paramètres!$A$1:$I$89,3,0)*VLOOKUP('Données projet'!$B$9,Paramètres!$A$1:$I$89,5,0)</f>
        <v>-6.3550942286383367E-14</v>
      </c>
      <c r="P94" s="13" t="e">
        <f t="shared" si="182"/>
        <v>#NUM!</v>
      </c>
      <c r="Q94" s="20" t="e">
        <f t="shared" si="119"/>
        <v>#NUM!</v>
      </c>
      <c r="R94" s="59" t="e">
        <f t="shared" si="120"/>
        <v>#NUM!</v>
      </c>
      <c r="S94" s="59">
        <f ca="1">AVERAGE(OFFSET($R$3,0,0,'Données projet'!$E$9+1,1))-AVERAGE(OFFSET($H$3,0,0,'Données projet'!$E$9+1,1))</f>
        <v>274.57619581652199</v>
      </c>
      <c r="T94" s="59">
        <f t="shared" si="183"/>
        <v>366.15117322598775</v>
      </c>
      <c r="U94" s="15">
        <f>IF(ISNA(VLOOKUP(A94,'Données projet'!$A$45:$I$65,3,0)),0,VLOOKUP(A94,'Données projet'!$A$45:$I$65,3,0))</f>
        <v>0</v>
      </c>
      <c r="V94" s="15">
        <f>IF(ISNA(VLOOKUP(A94,'Données projet'!$A$45:$I$65,4,0)),0,VLOOKUP(A94,'Données projet'!$A$45:$I$65,4,0))</f>
        <v>0</v>
      </c>
      <c r="W94" s="16">
        <f>IF(ISNA(VLOOKUP(A94,'Données projet'!$A$45:$I$65,5,0)),0%,VLOOKUP(A94,'Données projet'!$A$45:$I$65,5,0)*VLOOKUP('Données projet'!$B$9,Paramètres!$A$1:$I$89,7,0))</f>
        <v>0</v>
      </c>
      <c r="X94" s="16">
        <f>IF(ISNA(VLOOKUP(A94,'Données projet'!$A$45:$I$65,6,0)),0%,VLOOKUP(A94,'Données projet'!$A$45:$I$65,6,0)*VLOOKUP('Données projet'!$B$9,Paramètres!$A$1:$I$89,7,0))</f>
        <v>0</v>
      </c>
      <c r="Y94" s="16">
        <f>IF(ISNA(VLOOKUP(A94,'Données projet'!$A$45:$I$65,7,0)),0%,VLOOKUP(A94,'Données projet'!$A$45:$I$65,7,0))</f>
        <v>0</v>
      </c>
      <c r="Z94" s="21">
        <f>EXP(-LN(2)/35)*Z93+(1-EXP(-LN(2)/35))/(LN(2)/35)*V94*W94*VLOOKUP('Données projet'!$B$9,Paramètres!$A$1:$I$89,3,0)*0.475*44/12</f>
        <v>111.1062374162242</v>
      </c>
      <c r="AA94" s="21">
        <f>EXP(-LN(2)/25)*AA93+(1-EXP(-LN(2)/25))/(LN(2)/25)*Calculateur!V94*Calculateur!X94*VLOOKUP('Données projet'!$B$9,Paramètres!$A$1:$I$89,3,0)*0.475*44/12</f>
        <v>21.232307468981592</v>
      </c>
      <c r="AB94" s="21">
        <f>EXP(-LN(2)/2)*AB93+(1-EXP(-LN(2)/2))/(LN(2)/2)*V94*Y94*VLOOKUP('Données projet'!$B$9,Paramètres!$A$1:$I$89,3,0)*0.475*44/12</f>
        <v>1.3031503297467222E-4</v>
      </c>
      <c r="AC94" s="22">
        <f t="shared" si="122"/>
        <v>132.33867520023878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projet'!$A$71:$I$91,2,0)</f>
        <v>#N/A</v>
      </c>
      <c r="AG94" s="12" t="e">
        <f>VLOOKUP(A94,'Données projet'!$A$71:$I$91,9,0)</f>
        <v>#N/A</v>
      </c>
      <c r="AH94" s="12">
        <f t="array" ref="AH94">INDEX(AG:AG,MIN(IF(ISNUMBER(AG94:AG290),ROW(AG94:AG290),"")))</f>
        <v>7.1782051282051267</v>
      </c>
      <c r="AI94" s="13">
        <f>IF('Données projet'!$A$72&gt;35,AI93+AH94-AQ93,IF(A94&lt;'Données projet'!$A$72,$AF$205^A94,IF(A94='Données projet'!$A$72,'Données projet'!$B$72,AI93+AH94-AQ93)))</f>
        <v>260.82435897435931</v>
      </c>
      <c r="AJ94" s="13">
        <f>AI94*VLOOKUP('Données projet'!$B$10,Paramètres!$A$1:$I$89,3,0)*VLOOKUP('Données projet'!$B$10,Paramètres!$A$1:$I$89,5,0)</f>
        <v>235.99388000000027</v>
      </c>
      <c r="AK94" s="13">
        <f t="shared" si="184"/>
        <v>57.57675164364376</v>
      </c>
      <c r="AL94" s="20">
        <f t="shared" si="123"/>
        <v>511.30218344601343</v>
      </c>
      <c r="AM94" s="59">
        <f t="shared" si="124"/>
        <v>804.63551677934674</v>
      </c>
      <c r="AN94" s="59">
        <f ca="1">AVERAGE(OFFSET($AM$3,0,0,'Données projet'!$E$10+1,1))-AVERAGE(OFFSET($H$3,0,0,'Données projet'!$E$10+1,1))</f>
        <v>270.87836509222456</v>
      </c>
      <c r="AO94" s="59">
        <f t="shared" si="185"/>
        <v>205.24998237949734</v>
      </c>
      <c r="AP94" s="15">
        <f>IF(ISNA(VLOOKUP(A94,'Données projet'!$A$71:$I$91,3,0)),0,VLOOKUP(A94,'Données projet'!$A$71:$I$91,3,0))</f>
        <v>0</v>
      </c>
      <c r="AQ94" s="15">
        <f>IF(ISNA(VLOOKUP(A94,'Données projet'!$A$71:$I$91,4,0)),0,VLOOKUP(A94,'Données projet'!$A$71:$I$91,4,0))</f>
        <v>0</v>
      </c>
      <c r="AR94" s="16">
        <f>IF(ISNA(VLOOKUP(A94,'Données projet'!$A$71:$I$91,5,0)),0%,VLOOKUP(A94,'Données projet'!$A$71:$I$91,5,0)*VLOOKUP('Données projet'!$B$10,Paramètres!$A$1:$I$89,7,0))</f>
        <v>0</v>
      </c>
      <c r="AS94" s="16">
        <f>IF(ISNA(VLOOKUP(A94,'Données projet'!$A$71:$I$91,6,0)),0%,VLOOKUP(A94,'Données projet'!$A$71:$I$91,6,0)*VLOOKUP('Données projet'!$B$10,Paramètres!$A$1:$I$89,7,0))</f>
        <v>0</v>
      </c>
      <c r="AT94" s="16">
        <f>IF(ISNA(VLOOKUP(A94,'Données projet'!$A$71:$I$91,7,0)),0%,VLOOKUP(A94,'Données projet'!$A$71:$I$91,7,0))</f>
        <v>0</v>
      </c>
      <c r="AU94" s="21">
        <f>EXP(-LN(2)/35)*AU93+(1-EXP(-LN(2)/35))/(LN(2)/35)*AQ94*AR94*VLOOKUP('Données projet'!$B$10,Paramètres!$A$1:$I$89,3,0)*0.475*44/12</f>
        <v>40.642268972148202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125"/>
        <v>40.642268972148202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projet'!$A$97:$I$117,2,0)</f>
        <v>#N/A</v>
      </c>
      <c r="BB94" s="12" t="e">
        <f>VLOOKUP(A94,'Données projet'!$A$97:$I$117,9,0)</f>
        <v>#N/A</v>
      </c>
      <c r="BC94" s="12">
        <f t="array" ref="BC94">INDEX(BB:BB,MIN(IF(ISNUMBER(BB94:BB290),ROW(BB94:BB290),"")))</f>
        <v>0</v>
      </c>
      <c r="BD94" s="12">
        <f>IF('Données projet'!$A$98&gt;35,BD93+BC94-BL93,IF(A94&lt;'Données projet'!$A$98,$BA$205^A94,IF(A94='Données projet'!$A$98,'Données projet'!$B$98,BD93+BC94-BL93)))</f>
        <v>-1.1368683772161603E-13</v>
      </c>
      <c r="BE94" s="13">
        <f>BD94*VLOOKUP('Données projet'!$B$11,Paramètres!$A$1:$I$89,3,0)*VLOOKUP('Données projet'!$B$11,Paramètres!$A$1:$I$89,5,0)</f>
        <v>-5.0249582272954292E-14</v>
      </c>
      <c r="BF94" s="13" t="e">
        <f t="shared" si="186"/>
        <v>#NUM!</v>
      </c>
      <c r="BG94" s="20" t="e">
        <f t="shared" si="126"/>
        <v>#NUM!</v>
      </c>
      <c r="BH94" s="59" t="e">
        <f t="shared" si="127"/>
        <v>#NUM!</v>
      </c>
      <c r="BI94" s="59">
        <f ca="1">AVERAGE(OFFSET($BH$3,0,0,'Données projet'!$E$11+1,1))-AVERAGE(OFFSET($H$3,0,0,'Données projet'!$E$11+1,1))</f>
        <v>211.31057120485542</v>
      </c>
      <c r="BJ94" s="59">
        <f t="shared" si="187"/>
        <v>283.33292006714777</v>
      </c>
      <c r="BK94" s="15">
        <f>IF(ISNA(VLOOKUP(A94,'Données projet'!$A$97:$I$117,3,0)),0,VLOOKUP(A94,'Données projet'!$A$97:$I$117,3,0))</f>
        <v>0</v>
      </c>
      <c r="BL94" s="15">
        <f>IF(ISNA(VLOOKUP(A94,'Données projet'!$A$97:$I$117,4,0)),0,VLOOKUP(A94,'Données projet'!$A$97:$I$117,4,0))</f>
        <v>0</v>
      </c>
      <c r="BM94" s="16">
        <f>IF(ISNA(VLOOKUP(A94,'Données projet'!$A$97:$I$117,5,0)),0%,VLOOKUP(A94,'Données projet'!$A$97:$I$117,5,0)*VLOOKUP('Données projet'!$B$11,Paramètres!$A$1:$I$89,7,0))</f>
        <v>0</v>
      </c>
      <c r="BN94" s="16">
        <f>IF(ISNA(VLOOKUP(A94,'Données projet'!$A$97:$I$117,6,0)),0%,VLOOKUP(A94,'Données projet'!$A$97:$I$117,6,0)*VLOOKUP('Données projet'!$B$11,Paramètres!$A$1:$I$89,7,0))</f>
        <v>0</v>
      </c>
      <c r="BO94" s="16">
        <f>IF(ISNA(VLOOKUP(A94,'Données projet'!$A$97:$I$117,7,0)),0%,VLOOKUP(A94,'Données projet'!$A$97:$I$117,7,0))</f>
        <v>0</v>
      </c>
      <c r="BP94" s="21">
        <f>EXP(-LN(2)/35)*BP93+(1-EXP(-LN(2)/35))/(LN(2)/35)*BL94*BM94*VLOOKUP('Données projet'!$B$11,Paramètres!$A$1:$I$89,3,0)*0.475*44/12</f>
        <v>87.851443538409853</v>
      </c>
      <c r="BQ94" s="21">
        <f>EXP(-LN(2)/25)*BQ93+(1-EXP(-LN(2)/25))/(LN(2)/25)*Calculateur!BL94*Calculateur!BN94*VLOOKUP('Données projet'!$B$11,Paramètres!$A$1:$I$89,3,0)*0.475*44/12</f>
        <v>16.788336138264508</v>
      </c>
      <c r="BR94" s="21">
        <f>EXP(-LN(2)/2)*BR93+(1-EXP(-LN(2)/2))/(LN(2)/2)*BL94*BO94*VLOOKUP('Données projet'!$B$11,Paramètres!$A$1:$I$89,3,0)*0.475*44/12</f>
        <v>1.0303979351485708E-4</v>
      </c>
      <c r="BS94" s="22">
        <f t="shared" si="128"/>
        <v>104.63988271646788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projet'!$A$123:$I$143,2,0)</f>
        <v>#N/A</v>
      </c>
      <c r="BW94" s="12" t="e">
        <f>VLOOKUP(A94,'Données projet'!$A$123:$I$143,9,0)</f>
        <v>#N/A</v>
      </c>
      <c r="BX94" s="12">
        <f t="array" ref="BX94">INDEX(BW:BW,MIN(IF(ISNUMBER(BW94:BW290),ROW(BW94:BW290),"")))</f>
        <v>3</v>
      </c>
      <c r="BY94" s="12">
        <f>IF('Données projet'!$A$124&gt;35,BY93+BX94-CG93,IF(A94&lt;'Données projet'!$A$124,$BV$205^A94,IF(A94='Données projet'!$A$124,'Données projet'!$B$124,BY93+BX94-CG93)))</f>
        <v>240</v>
      </c>
      <c r="BZ94" s="13">
        <f>BY94*VLOOKUP('Données projet'!$B$12,Paramètres!$A$1:$I$89,3,0)*VLOOKUP('Données projet'!$B$12,Paramètres!$A$1:$I$89,5,0)</f>
        <v>250.84800000000001</v>
      </c>
      <c r="CA94" s="13">
        <f t="shared" si="188"/>
        <v>60.767491486783541</v>
      </c>
      <c r="CB94" s="20">
        <f t="shared" si="129"/>
        <v>542.7303143394812</v>
      </c>
      <c r="CC94" s="59">
        <f t="shared" si="130"/>
        <v>836.06364767281457</v>
      </c>
      <c r="CD94" s="59">
        <f ca="1">AVERAGE(OFFSET($CC$3,0,0,'Données projet'!$E$12+1,1))-AVERAGE(OFFSET($H$3,0,0,'Données projet'!$E$12+1,1))</f>
        <v>322.93502595881938</v>
      </c>
      <c r="CE94" s="59">
        <f t="shared" si="189"/>
        <v>302.67072119588164</v>
      </c>
      <c r="CF94" s="15">
        <f>IF(ISNA(VLOOKUP(A94,'Données projet'!$A$123:$I$143,3,0)),0,VLOOKUP(A94,'Données projet'!$A$123:$I$143,3,0))</f>
        <v>0</v>
      </c>
      <c r="CG94" s="15">
        <f>IF(ISNA(VLOOKUP(A94,'Données projet'!$A$123:$I$143,4,0)),0,VLOOKUP(A94,'Données projet'!$A$123:$I$143,4,0))</f>
        <v>0</v>
      </c>
      <c r="CH94" s="16">
        <f>IF(ISNA(VLOOKUP(A94,'Données projet'!$A$123:$I$143,5,0)),0%,VLOOKUP(A94,'Données projet'!$A$123:$I$143,5,0)*VLOOKUP('Données projet'!$B$12,Paramètres!$A$1:$I$89,7,0))</f>
        <v>0</v>
      </c>
      <c r="CI94" s="16">
        <f>IF(ISNA(VLOOKUP(A94,'Données projet'!$A$123:$I$143,6,0)),0%,VLOOKUP(A94,'Données projet'!$A$123:$I$143,6,0)*VLOOKUP('Données projet'!$B$12,Paramètres!$A$1:$I$89,7,0))</f>
        <v>0</v>
      </c>
      <c r="CJ94" s="16">
        <f>IF(ISNA(VLOOKUP(A94,'Données projet'!$A$123:$I$143,7,0)),0%,VLOOKUP(A94,'Données projet'!$A$123:$I$143,7,0))</f>
        <v>0</v>
      </c>
      <c r="CK94" s="21">
        <f>EXP(-LN(2)/35)*CK93+(1-EXP(-LN(2)/35))/(LN(2)/35)*CG94*CH94*VLOOKUP('Données projet'!$B$12,Paramètres!$A$1:$I$89,3,0)*0.475*44/12</f>
        <v>29.462056592276912</v>
      </c>
      <c r="CL94" s="21">
        <f>EXP(-LN(2)/25)*CL93+(1-EXP(-LN(2)/25))/(LN(2)/25)*Calculateur!CG94*Calculateur!CI94*VLOOKUP('Données projet'!$B$12,Paramètres!$A$1:$I$89,3,0)*0.475*44/12</f>
        <v>20.013453207439326</v>
      </c>
      <c r="CM94" s="21">
        <f>EXP(-LN(2)/2)*CM93+(1-EXP(-LN(2)/2))/(LN(2)/2)*CG94*CJ94*VLOOKUP('Données projet'!$B$12,Paramètres!$A$1:$I$89,3,0)*0.475*44/12</f>
        <v>0</v>
      </c>
      <c r="CN94" s="22">
        <f t="shared" si="131"/>
        <v>49.475509799716235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projet'!$A$149:$I$169,2,0)</f>
        <v>#N/A</v>
      </c>
      <c r="CR94" s="12" t="e">
        <f>VLOOKUP(A94,'Données projet'!$A$149:$I$169,9,0)</f>
        <v>#N/A</v>
      </c>
      <c r="CS94" s="12">
        <f t="array" ref="CS94">INDEX(CR:CR,MIN(IF(ISNUMBER(CR94:CR290),ROW(CR94:CR290),"")))</f>
        <v>5.2606837606837598</v>
      </c>
      <c r="CT94" s="12">
        <f>IF('Données projet'!$A$150&gt;35,CT93+CS94-DB93,IF(A94&lt;'Données projet'!$A$150,$CQ$205^A94,IF(A94='Données projet'!$A$150,'Données projet'!$B$150,CT93+CS94-DB93)))</f>
        <v>201.74786324786305</v>
      </c>
      <c r="CU94" s="17">
        <f>CT94*VLOOKUP('Données projet'!$B$13,Paramètres!$A$1:$I$89,3,0)*VLOOKUP('Données projet'!$B$13,Paramètres!$A$1:$I$89,5,0)</f>
        <v>204.57233333333312</v>
      </c>
      <c r="CV94" s="13">
        <f t="shared" si="190"/>
        <v>50.747702424306688</v>
      </c>
      <c r="CW94" s="20">
        <f t="shared" si="132"/>
        <v>444.6823956112226</v>
      </c>
      <c r="CX94" s="59">
        <f t="shared" si="133"/>
        <v>738.01572894455592</v>
      </c>
      <c r="CY94" s="59">
        <f ca="1">AVERAGE(OFFSET($CX$3,0,0,'Données projet'!$E$13+1,1))-AVERAGE(OFFSET($H$3,0,0,'Données projet'!$E$13+1,1))</f>
        <v>250.31277422753283</v>
      </c>
      <c r="CZ94" s="59">
        <f t="shared" si="191"/>
        <v>159.20429420478047</v>
      </c>
      <c r="DA94" s="15">
        <f>IF(ISNA(VLOOKUP(A94,'Données projet'!$A$149:$I$169,3,0)),0,VLOOKUP(A94,'Données projet'!$A$149:$I$169,3,0))</f>
        <v>0</v>
      </c>
      <c r="DB94" s="15">
        <f>IF(ISNA(VLOOKUP(A94,'Données projet'!$A$149:$I$169,4,0)),0,VLOOKUP(A94,'Données projet'!$A$149:$I$169,4,0))</f>
        <v>0</v>
      </c>
      <c r="DC94" s="16">
        <f>IF(ISNA(VLOOKUP(A94,'Données projet'!$A$149:$I$169,5,0)),0%,VLOOKUP(A94,'Données projet'!$A$149:$I$169,5,0)*VLOOKUP('Données projet'!$B$13,Paramètres!$A$1:$I$89,7,0))</f>
        <v>0</v>
      </c>
      <c r="DD94" s="16">
        <f>IF(ISNA(VLOOKUP(A94,'Données projet'!$A$149:$I$169,6,0)),0%,VLOOKUP(A94,'Données projet'!$A$149:$I$169,6,0)*VLOOKUP('Données projet'!$B$13,Paramètres!$A$1:$I$89,7,0))</f>
        <v>0</v>
      </c>
      <c r="DE94" s="16">
        <f>IF(ISNA(VLOOKUP(A94,'Données projet'!$A$149:$I$169,7,0)),0%,VLOOKUP(A94,'Données projet'!$A$149:$I$169,7,0))</f>
        <v>0</v>
      </c>
      <c r="DF94" s="21">
        <f>EXP(-LN(2)/35)*DF93+(1-EXP(-LN(2)/35))/(LN(2)/35)*DB94*DC94*VLOOKUP('Données projet'!$B$13,Paramètres!$A$1:$I$89,3,0)*0.475*44/12</f>
        <v>17.903508671126808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134"/>
        <v>17.903508671126808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projet'!$A$175:$I$195,2,0)</f>
        <v>#N/A</v>
      </c>
      <c r="DM94" s="12" t="e">
        <f>VLOOKUP(A94,'Données projet'!$A$175:$I$195,9,0)</f>
        <v>#N/A</v>
      </c>
      <c r="DN94" s="12">
        <f t="array" ref="DN94">INDEX(DM:DM,MIN(IF(ISNUMBER(DM94:DM290),ROW(DM94:DM290),"")))</f>
        <v>0</v>
      </c>
      <c r="DO94" s="12">
        <f>IF('Données projet'!$A$176&gt;35,DO93+DN94-DW93,IF(A94&lt;'Données projet'!$A$176,$DL$205^A94,IF(A94='Données projet'!$A$176,'Données projet'!$B$176,DO93+DN94-DW93)))</f>
        <v>-2.8421709430404007E-13</v>
      </c>
      <c r="DP94" s="17">
        <f>DO94*VLOOKUP('Données projet'!$B$14,Paramètres!$A$1:$I$89,3,0)*VLOOKUP('Données projet'!$B$14,Paramètres!$A$1:$I$89,5,0)</f>
        <v>-2.0838797354372215E-13</v>
      </c>
      <c r="DQ94" s="13" t="e">
        <f t="shared" si="192"/>
        <v>#NUM!</v>
      </c>
      <c r="DR94" s="20" t="e">
        <f t="shared" si="135"/>
        <v>#NUM!</v>
      </c>
      <c r="DS94" s="59" t="e">
        <f t="shared" si="136"/>
        <v>#NUM!</v>
      </c>
      <c r="DT94" s="59">
        <f ca="1">AVERAGE(OFFSET($DS$3,0,0,'Données projet'!$E$14+1,1))-AVERAGE(OFFSET($H$3,0,0,'Données projet'!$E$14+1,1))</f>
        <v>296.91321813251051</v>
      </c>
      <c r="DU94" s="59">
        <f t="shared" si="193"/>
        <v>291.0718079639509</v>
      </c>
      <c r="DV94" s="15">
        <f>IF(ISNA(VLOOKUP(A94,'Données projet'!$A$175:$I$195,3,0)),0,VLOOKUP(A94,'Données projet'!$A$175:$I$195,3,0))</f>
        <v>0</v>
      </c>
      <c r="DW94" s="15">
        <f>IF(ISNA(VLOOKUP(A94,'Données projet'!$A$175:$I$195,4,0)),0,VLOOKUP(A94,'Données projet'!$A$175:$I$195,4,0))</f>
        <v>0</v>
      </c>
      <c r="DX94" s="16">
        <f>IF(ISNA(VLOOKUP(A94,'Données projet'!$A$175:$I$195,5,0)),0%,VLOOKUP(A94,'Données projet'!$A$175:$I$195,5,0)*VLOOKUP('Données projet'!$B$14,Paramètres!$A$1:$I$89,7,0))</f>
        <v>0</v>
      </c>
      <c r="DY94" s="16">
        <f>IF(ISNA(VLOOKUP(A94,'Données projet'!$A$175:$I$195,6,0)),0%,VLOOKUP(A94,'Données projet'!$A$175:$I$195,6,0)*VLOOKUP('Données projet'!$B$14,Paramètres!$A$1:$I$89,7,0))</f>
        <v>0</v>
      </c>
      <c r="DZ94" s="16">
        <f>IF(ISNA(VLOOKUP(A94,'Données projet'!$A$175:$I$195,7,0)),0%,VLOOKUP(A94,'Données projet'!$A$175:$I$195,7,0))</f>
        <v>0</v>
      </c>
      <c r="EA94" s="21">
        <f>EXP(-LN(2)/35)*EA93+(1-EXP(-LN(2)/35))/(LN(2)/35)*DW94*DX94*VLOOKUP('Données projet'!$B$14,Paramètres!$A$1:$I$89,3,0)*0.475*44/12</f>
        <v>139.50373581407024</v>
      </c>
      <c r="EB94" s="21">
        <f>EXP(-LN(2)/25)*EB93+(1-EXP(-LN(2)/25))/(LN(2)/25)*Calculateur!DW94*Calculateur!DY94*VLOOKUP('Données projet'!$B$14,Paramètres!$A$1:$I$89,3,0)*0.475*44/12</f>
        <v>3.9472626625693961</v>
      </c>
      <c r="EC94" s="21">
        <f>EXP(-LN(2)/2)*EC93+(1-EXP(-LN(2)/2))/(LN(2)/2)*DW94*DZ94*VLOOKUP('Données projet'!$B$14,Paramètres!$A$1:$I$89,3,0)*0.475*44/12</f>
        <v>0</v>
      </c>
      <c r="ED94" s="22">
        <f t="shared" si="137"/>
        <v>143.45099847663963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projet'!$A$201:$I$221,2,0)</f>
        <v>#N/A</v>
      </c>
      <c r="EH94" s="12" t="e">
        <f>VLOOKUP(A94,'Données projet'!$A$201:$I$221,9,0)</f>
        <v>#N/A</v>
      </c>
      <c r="EI94" s="12">
        <f t="array" ref="EI94">INDEX(EH:EH,MIN(IF(ISNUMBER(EH94:EH290),ROW(EH94:EH290),"")))</f>
        <v>8.1391025641025667</v>
      </c>
      <c r="EJ94" s="12">
        <f>IF('Données projet'!$A$202&gt;35,EJ93+EI94-ER93,IF(A94&lt;'Données projet'!$A$202,$EG$205^A94,IF(A94='Données projet'!$A$202,'Données projet'!$B$202,EJ93+EI94-ER93)))</f>
        <v>332.7564102564105</v>
      </c>
      <c r="EK94" s="17">
        <f>EJ94*VLOOKUP('Données projet'!$B$15,Paramètres!$A$1:$I$89,3,0)*VLOOKUP('Données projet'!$B$15,Paramètres!$A$1:$I$89,5,0)</f>
        <v>155.7300000000001</v>
      </c>
      <c r="EL94" s="13">
        <f t="shared" si="194"/>
        <v>39.877894002833592</v>
      </c>
      <c r="EM94" s="20">
        <f t="shared" si="138"/>
        <v>340.68374872160194</v>
      </c>
      <c r="EN94" s="59">
        <f t="shared" si="139"/>
        <v>634.01708205493526</v>
      </c>
      <c r="EO94" s="59">
        <f ca="1">AVERAGE(OFFSET($EN$3,0,0,'Données projet'!$E$15+1,1))-AVERAGE(OFFSET($H$3,0,0,'Données projet'!$E$15+1,1))</f>
        <v>147.64256291235483</v>
      </c>
      <c r="EP94" s="59">
        <f t="shared" si="195"/>
        <v>70.859031694091868</v>
      </c>
      <c r="EQ94" s="15">
        <f>IF(ISNA(VLOOKUP(A94,'Données projet'!$A$201:$I$221,3,0)),0,VLOOKUP(A94,'Données projet'!$A$201:$I$221,3,0))</f>
        <v>0</v>
      </c>
      <c r="ER94" s="15">
        <f>IF(ISNA(VLOOKUP(A94,'Données projet'!$A$201:$I$221,4,0)),0,VLOOKUP(A94,'Données projet'!$A$201:$I$221,4,0))</f>
        <v>0</v>
      </c>
      <c r="ES94" s="16">
        <f>IF(ISNA(VLOOKUP(A94,'Données projet'!$A$201:$I$221,5,0)),0%,VLOOKUP(A94,'Données projet'!$A$201:$I$221,5,0)*VLOOKUP('Données projet'!$B$15,Paramètres!$A$1:$I$89,7,0))</f>
        <v>0</v>
      </c>
      <c r="ET94" s="16">
        <f>IF(ISNA(VLOOKUP(A94,'Données projet'!$A$201:$I$221,6,0)),0%,VLOOKUP(A94,'Données projet'!$A$201:$I$221,6,0)*VLOOKUP('Données projet'!$B$15,Paramètres!$A$1:$I$89,7,0))</f>
        <v>0</v>
      </c>
      <c r="EU94" s="16">
        <f>IF(ISNA(VLOOKUP(A94,'Données projet'!$A$201:$I$221,7,0)),0%,VLOOKUP(A94,'Données projet'!$A$201:$I$221,7,0))</f>
        <v>0</v>
      </c>
      <c r="EV94" s="21">
        <f>EXP(-LN(2)/35)*EV93+(1-EXP(-LN(2)/35))/(LN(2)/35)*ER94*ES94*VLOOKUP('Données projet'!$B$15,Paramètres!$A$1:$I$89,3,0)*0.475*44/12</f>
        <v>48.01437407588741</v>
      </c>
      <c r="EW94" s="21">
        <f>EXP(-LN(2)/25)*EW93+(1-EXP(-LN(2)/25))/(LN(2)/25)*Calculateur!ER94*Calculateur!ET94*VLOOKUP('Données projet'!$B$15,Paramètres!$A$1:$I$89,3,0)*0.475*44/12</f>
        <v>16.515235066595945</v>
      </c>
      <c r="EX94" s="21">
        <f>EXP(-LN(2)/2)*EX93+(1-EXP(-LN(2)/2))/(LN(2)/2)*ER94*EU94*VLOOKUP('Données projet'!$B$15,Paramètres!$A$1:$I$89,3,0)*0.475*44/12</f>
        <v>1.4740845214913789</v>
      </c>
      <c r="EY94" s="22">
        <f t="shared" si="140"/>
        <v>66.00369366397473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projet'!$A$227:$I$247,2,0)</f>
        <v>#N/A</v>
      </c>
      <c r="FC94" s="12" t="e">
        <f>VLOOKUP(A94,'Données projet'!$A$227:$I$247,9,0)</f>
        <v>#N/A</v>
      </c>
      <c r="FD94" s="12">
        <f t="array" ref="FD94">INDEX(FC:FC,MIN(IF(ISNUMBER(FC94:FC290),ROW(FC94:FC290),"")))</f>
        <v>2.8</v>
      </c>
      <c r="FE94" s="12">
        <f>IF('Données projet'!$A$228&gt;35,FE93+FD94-FM93,IF(A94&lt;'Données projet'!$A$228,$FB$205^A94,IF(A94='Données projet'!$A$228,'Données projet'!$B$228,FE93+FD94-FM93)))</f>
        <v>207.80000000000004</v>
      </c>
      <c r="FF94" s="17">
        <f>FE94*VLOOKUP('Données projet'!$B$16,Paramètres!$A$1:$I$89,3,0)*VLOOKUP('Données projet'!$B$16,Paramètres!$A$1:$I$89,5,0)</f>
        <v>217.19256000000004</v>
      </c>
      <c r="FG94" s="13">
        <f t="shared" si="196"/>
        <v>53.504247160568738</v>
      </c>
      <c r="FH94" s="20">
        <f t="shared" si="141"/>
        <v>471.46360580465716</v>
      </c>
      <c r="FI94" s="59">
        <f t="shared" si="142"/>
        <v>764.79693913799042</v>
      </c>
      <c r="FJ94" s="59">
        <f ca="1">AVERAGE(OFFSET($FI$3,0,0,'Données projet'!$E$16+1,1))-AVERAGE(OFFSET($H$3,0,0,'Données projet'!$E$16+1,1))</f>
        <v>259.03906550253788</v>
      </c>
      <c r="FK94" s="59">
        <f t="shared" si="197"/>
        <v>235.54542903570831</v>
      </c>
      <c r="FL94" s="15">
        <f>IF(ISNA(VLOOKUP(A94,'Données projet'!$A$227:$I$247,3,0)),0,VLOOKUP(A94,'Données projet'!$A$227:$I$247,3,0))</f>
        <v>0</v>
      </c>
      <c r="FM94" s="15">
        <f>IF(ISNA(VLOOKUP(A94,'Données projet'!$A$227:$I$247,4,0)),0,VLOOKUP(A94,'Données projet'!$A$227:$I$247,4,0))</f>
        <v>0</v>
      </c>
      <c r="FN94" s="16">
        <f>IF(ISNA(VLOOKUP(A94,'Données projet'!$A$227:$I$247,5,0)),0%,VLOOKUP(A94,'Données projet'!$A$227:$I$247,5,0)*VLOOKUP('Données projet'!$B$16,Paramètres!$A$1:$I$89,7,0))</f>
        <v>0</v>
      </c>
      <c r="FO94" s="16">
        <f>IF(ISNA(VLOOKUP(A94,'Données projet'!$A$227:$I$247,6,0)),0%,VLOOKUP(A94,'Données projet'!$A$227:$I$247,6,0)*VLOOKUP('Données projet'!$B$16,Paramètres!$A$1:$I$89,7,0))</f>
        <v>0</v>
      </c>
      <c r="FP94" s="16">
        <f>IF(ISNA(VLOOKUP(A94,'Données projet'!$A$227:$I$247,7,0)),0%,VLOOKUP(A94,'Données projet'!$A$227:$I$247,7,0))</f>
        <v>0</v>
      </c>
      <c r="FQ94" s="21">
        <f>EXP(-LN(2)/35)*FQ93+(1-EXP(-LN(2)/35))/(LN(2)/35)*FM94*FN94*VLOOKUP('Données projet'!$B$16,Paramètres!$A$1:$I$89,3,0)*0.475*44/12</f>
        <v>15.130709669574612</v>
      </c>
      <c r="FR94" s="21">
        <f>EXP(-LN(2)/25)*FR93+(1-EXP(-LN(2)/25))/(LN(2)/25)*Calculateur!FM94*Calculateur!FO94*VLOOKUP('Données projet'!$B$16,Paramètres!$A$1:$I$89,3,0)*0.475*44/12</f>
        <v>16.250106614689489</v>
      </c>
      <c r="FS94" s="21">
        <f>EXP(-LN(2)/2)*FS93+(1-EXP(-LN(2)/2))/(LN(2)/2)*FM94*FP94*VLOOKUP('Données projet'!$B$16,Paramètres!$A$1:$I$89,3,0)*0.475*44/12</f>
        <v>0</v>
      </c>
      <c r="FT94" s="22">
        <f t="shared" si="143"/>
        <v>31.3808162842641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projet'!$A$253:$I$273,2,0)</f>
        <v>#N/A</v>
      </c>
      <c r="FX94" s="12" t="e">
        <f>VLOOKUP(A94,'Données projet'!$A$253:$I$273,9,0)</f>
        <v>#N/A</v>
      </c>
      <c r="FY94" s="12">
        <f t="array" ref="FY94">INDEX(FX:FX,MIN(IF(ISNUMBER(FX94:FX290),ROW(FX94:FX290),"")))</f>
        <v>0</v>
      </c>
      <c r="FZ94" s="12">
        <f>IF('Données projet'!$A$254&gt;35,FZ93+FY94-GH93,IF(A94&lt;'Données projet'!$A$254,$FW$205^A94,IF(A94='Données projet'!$A$254,'Données projet'!$B$254,FZ93+FY94-GH93)))</f>
        <v>-1.7053025658242404E-13</v>
      </c>
      <c r="GA94" s="17">
        <f>FZ94*VLOOKUP('Données projet'!$B$17,Paramètres!$A$1:$I$89,3,0)*VLOOKUP('Données projet'!$B$17,Paramètres!$A$1:$I$89,5,0)</f>
        <v>-1.4897523215040567E-13</v>
      </c>
      <c r="GB94" s="13" t="e">
        <f t="shared" si="198"/>
        <v>#NUM!</v>
      </c>
      <c r="GC94" s="20" t="e">
        <f t="shared" si="144"/>
        <v>#NUM!</v>
      </c>
      <c r="GD94" s="59" t="e">
        <f t="shared" si="145"/>
        <v>#NUM!</v>
      </c>
      <c r="GE94" s="59">
        <f ca="1">AVERAGE(OFFSET($GD$3,0,0,'Données projet'!$E$17+1,1))-AVERAGE(OFFSET($H$3,0,0,'Données projet'!$E$17+1,1))</f>
        <v>245.1983232777614</v>
      </c>
      <c r="GF94" s="59">
        <f t="shared" si="199"/>
        <v>242.34010522344573</v>
      </c>
      <c r="GG94" s="15">
        <f>IF(ISNA(VLOOKUP(A94,'Données projet'!$A$253:$I$273,3,0)),0,VLOOKUP(A94,'Données projet'!$A$253:$I$273,3,0))</f>
        <v>0</v>
      </c>
      <c r="GH94" s="15">
        <f>IF(ISNA(VLOOKUP(A94,'Données projet'!$A$253:$I$273,4,0)),0,VLOOKUP(A94,'Données projet'!$A$253:$I$273,4,0))</f>
        <v>0</v>
      </c>
      <c r="GI94" s="16">
        <f>IF(ISNA(VLOOKUP(A94,'Données projet'!$A$253:$I$273,5,0)),0%,VLOOKUP(A94,'Données projet'!$A$253:$I$273,5,0)*VLOOKUP('Données projet'!$B$17,Paramètres!$A$1:$I$89,7,0))</f>
        <v>0</v>
      </c>
      <c r="GJ94" s="16">
        <f>IF(ISNA(VLOOKUP(A94,'Données projet'!$A$253:$I$273,6,0)),0%,VLOOKUP(A94,'Données projet'!$A$253:$I$273,6,0)*VLOOKUP('Données projet'!$B$17,Paramètres!$A$1:$I$89,7,0))</f>
        <v>0</v>
      </c>
      <c r="GK94" s="16">
        <f>IF(ISNA(VLOOKUP(A94,'Données projet'!$A$253:$I$273,7,0)),0%,VLOOKUP(A94,'Données projet'!$A$253:$I$273,7,0))</f>
        <v>0</v>
      </c>
      <c r="GL94" s="21">
        <f>EXP(-LN(2)/35)*GL93+(1-EXP(-LN(2)/35))/(LN(2)/35)*GH94*GI94*VLOOKUP('Données projet'!$B$17,Paramètres!$A$1:$I$89,3,0)*0.475*44/12</f>
        <v>99.099895306676743</v>
      </c>
      <c r="GM94" s="21">
        <f>EXP(-LN(2)/25)*GM93+(1-EXP(-LN(2)/25))/(LN(2)/25)*Calculateur!GH94*Calculateur!GJ94*VLOOKUP('Données projet'!$B$17,Paramètres!$A$1:$I$89,3,0)*0.475*44/12</f>
        <v>16.052660375938679</v>
      </c>
      <c r="GN94" s="21">
        <f>EXP(-LN(2)/2)*GN93+(1-EXP(-LN(2)/2))/(LN(2)/2)*GH94*GK94*VLOOKUP('Données projet'!$B$17,Paramètres!$A$1:$I$89,3,0)*0.475*44/12</f>
        <v>0</v>
      </c>
      <c r="GO94" s="21">
        <f t="shared" si="146"/>
        <v>115.15255568261543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projet'!$A$279:$I$299,2,0)</f>
        <v>#N/A</v>
      </c>
      <c r="GS94" s="12" t="e">
        <f>VLOOKUP(A94,'Données projet'!$A$279:$I$299,9,0)</f>
        <v>#N/A</v>
      </c>
      <c r="GT94" s="12">
        <f t="array" ref="GT94">INDEX(GS:GS,MIN(IF(ISNUMBER(GS94:GS290),ROW(GS94:GS290),"")))</f>
        <v>0</v>
      </c>
      <c r="GU94" s="12">
        <f>IF('Données projet'!$A$280&gt;35,GU93+GT94-HC93,IF(A94&lt;'Données projet'!$A$280,$GR$205^A94,IF(A94='Données projet'!$A$280,'Données projet'!$B$280,GU93+GT94-HC93)))</f>
        <v>-1.1368683772161603E-13</v>
      </c>
      <c r="GV94" s="17">
        <f>GU94*VLOOKUP('Données projet'!$B$18,Paramètres!$A$1:$I$89,3,0)*VLOOKUP('Données projet'!$B$18,Paramètres!$A$1:$I$89,5,0)</f>
        <v>-4.5815795601811263E-14</v>
      </c>
      <c r="GW94" s="13" t="e">
        <f t="shared" si="200"/>
        <v>#NUM!</v>
      </c>
      <c r="GX94" s="20" t="e">
        <f t="shared" si="147"/>
        <v>#NUM!</v>
      </c>
      <c r="GY94" s="59" t="e">
        <f t="shared" si="148"/>
        <v>#NUM!</v>
      </c>
      <c r="GZ94" s="59">
        <f ca="1">AVERAGE(OFFSET($GY$3,0,0,'Données projet'!$E$18+1,1))-AVERAGE(OFFSET($H$3,0,0,'Données projet'!$E$18+1,1))</f>
        <v>324.36162935850876</v>
      </c>
      <c r="HA94" s="59">
        <f t="shared" si="201"/>
        <v>265.23571072429735</v>
      </c>
      <c r="HB94" s="15">
        <f>IF(ISNA(VLOOKUP(A94,'Données projet'!$A$279:$I$299,3,0)),0,VLOOKUP(A94,'Données projet'!$A$279:$I$299,3,0))</f>
        <v>0</v>
      </c>
      <c r="HC94" s="15">
        <f>IF(ISNA(VLOOKUP(A94,'Données projet'!$A$279:$I$299,4,0)),0,VLOOKUP(A94,'Données projet'!$A$279:$I$299,4,0))</f>
        <v>0</v>
      </c>
      <c r="HD94" s="16">
        <f>IF(ISNA(VLOOKUP(A94,'Données projet'!$A$279:$I$299,5,0)),0%,VLOOKUP(A94,'Données projet'!$A$279:$I$299,5,0)*VLOOKUP('Données projet'!$B$18,Paramètres!$A$1:$I$89,7,0))</f>
        <v>0</v>
      </c>
      <c r="HE94" s="16">
        <f>IF(ISNA(VLOOKUP(A94,'Données projet'!$A$279:$I$299,6,0)),0%,VLOOKUP(A94,'Données projet'!$A$279:$I$299,6,0)*VLOOKUP('Données projet'!$B$18,Paramètres!$A$1:$I$89,7,0))</f>
        <v>0</v>
      </c>
      <c r="HF94" s="16">
        <f>IF(ISNA(VLOOKUP($A94,'Données projet'!$A$279:$I$299,7,0)),0%,VLOOKUP($A94,'Données projet'!$A$279:$I$299,7,0))</f>
        <v>0</v>
      </c>
      <c r="HG94" s="21">
        <f>EXP(-LN(2)/35)*HG93+(1-EXP(-LN(2)/35))/(LN(2)/35)*HC94*HD94*VLOOKUP('Données projet'!$B$18,Paramètres!$A$1:$I$89,3,0)*0.475*44/12</f>
        <v>189.90130598431062</v>
      </c>
      <c r="HH94" s="21">
        <f>EXP(-LN(2)/25)*HH93+(1-EXP(-LN(2)/25))/(LN(2)/25)*Calculateur!HC94*Calculateur!HE94*VLOOKUP('Données projet'!$B$18,Paramètres!$A$1:$I$89,3,0)*0.475*44/12</f>
        <v>17.853429614070425</v>
      </c>
      <c r="HI94" s="21">
        <f>EXP(-LN(2)/2)*HI93+(1-EXP(-LN(2)/2))/(LN(2)/2)*HC94*HF94*VLOOKUP('Données projet'!$B$18,Paramètres!$A$1:$I$89,3,0)*0.475*44/12</f>
        <v>0.18886843580393897</v>
      </c>
      <c r="HJ94" s="22">
        <f t="shared" si="149"/>
        <v>207.94360403418497</v>
      </c>
      <c r="HK94" s="74">
        <f>('Scénario référence'!$F$8+'Scénario référence'!$F$9+'Scénario référence'!$B$17+'Scénario référence'!$B$9+'Scénario référence'!$B$10)*70+IF((45+25*(1-EXP(-0.0175*$A94)))&lt;70,'Scénario référence'!$B$16*(45+25*(1-EXP(-0.0175*$A94))),70*'Scénario référence'!$B$16)+IF((32+38*(1-EXP(-0.0175*$A94)))&lt;70,'Scénario référence'!$B$18*(32+38*(1-EXP(-0.0175*$A94))),70*'Scénario référence'!$B$18)</f>
        <v>70</v>
      </c>
      <c r="HL94" s="12">
        <f>IF($A94&gt;30,10,('Scénario référence'!$B$16+'Scénario référence'!$B$17+'Scénario référence'!$B$18+'Scénario référence'!$B$9+'Scénario référence'!$B$10)*$A94*10/30+('Scénario référence'!$F$8+'Scénario référence'!$F$9)*10)</f>
        <v>10</v>
      </c>
      <c r="HM94" s="12" t="e">
        <f>VLOOKUP($A94,'Données projet'!$A$304:$I$324,2,0)</f>
        <v>#N/A</v>
      </c>
      <c r="HN94" s="12" t="e">
        <f>VLOOKUP($A94,'Données projet'!$A$304:$I$324,9,0)</f>
        <v>#N/A</v>
      </c>
      <c r="HO94" s="12">
        <f t="array" ref="HO94">INDEX(HN:HN,MIN(IF(ISNUMBER(HN94:HN290),ROW(HN94:HN290),"")))</f>
        <v>0</v>
      </c>
      <c r="HP94" s="12">
        <f>IF('Données projet'!$A$304&gt;35,HP93+HO94-HX93,IF($A94&lt;'Données projet'!$A$304,$CQ$205^$A94,IF($A94='Données projet'!$A$304,'Données projet'!$B$304,HP93+HO94-HX93)))</f>
        <v>0</v>
      </c>
      <c r="HQ94" s="17">
        <f>HP94*VLOOKUP('Données projet'!$B$19,Paramètres!$A$1:$I$89,3,0)*VLOOKUP('Données projet'!$B$19,Paramètres!$A$1:$I$89,5,0)</f>
        <v>0</v>
      </c>
      <c r="HR94" s="13" t="e">
        <f t="shared" si="202"/>
        <v>#NUM!</v>
      </c>
      <c r="HS94" s="14" t="e">
        <f t="shared" si="150"/>
        <v>#NUM!</v>
      </c>
      <c r="HT94" s="59" t="e">
        <f t="shared" si="151"/>
        <v>#NUM!</v>
      </c>
      <c r="HU94" s="59">
        <f ca="1">AVERAGE(OFFSET(HT$3,0,0,'Données projet'!$E$19+1,1))-AVERAGE(OFFSET($H$3,0,0,'Données projet'!$E$19+1,1))</f>
        <v>91.60721429656013</v>
      </c>
      <c r="HV94" s="59">
        <f t="shared" si="203"/>
        <v>258.94957804210856</v>
      </c>
      <c r="HW94" s="15">
        <f>IF(ISNA(VLOOKUP($A94,'Données projet'!$A$304:$I$324,3,0)),0,VLOOKUP($A94,'Données projet'!$A$304:$I$324,3,0))</f>
        <v>0</v>
      </c>
      <c r="HX94" s="15">
        <f>IF(ISNA(VLOOKUP($A94,'Données projet'!$A$304:$I$324,4,0)),0,VLOOKUP($A94,'Données projet'!$A$304:$I$324,4,0))</f>
        <v>0</v>
      </c>
      <c r="HY94" s="16">
        <f>IF(ISNA(VLOOKUP($A94,'Données projet'!$A$304:$I$324,5,0)),0%,VLOOKUP($A94,'Données projet'!$A$304:$I$324,5,0)*VLOOKUP('Données projet'!$B$19,Paramètres!$A$1:$I$89,7,0))</f>
        <v>0</v>
      </c>
      <c r="HZ94" s="16">
        <f>IF(ISNA(VLOOKUP($A94,'Données projet'!$A$304:$I$324,6,0)),0%,VLOOKUP($A94,'Données projet'!$A$304:$I$324,6,0)*VLOOKUP('Données projet'!$B$19,Paramètres!$A$1:$I$89,7,0))</f>
        <v>0</v>
      </c>
      <c r="IA94" s="16">
        <f>IF(ISNA(VLOOKUP($A94,'Données projet'!$A$304:$I$324,7,0)),0%,VLOOKUP($A94,'Données projet'!$A$304:$I$324,7,0))</f>
        <v>0</v>
      </c>
      <c r="IB94" s="21">
        <f>EXP(-LN(2)/35)*IB93+(1-EXP(-LN(2)/35))/(LN(2)/35)*HX94*HY94*VLOOKUP('Données projet'!$B$19,Paramètres!$A$1:$I$89,3,0)*0.475*44/12</f>
        <v>14.739496508893193</v>
      </c>
      <c r="IC94" s="21">
        <f>EXP(-LN(2)/25)*IC93+(1-EXP(-LN(2)/25))/(LN(2)/25)*Calculateur!HX94*Calculateur!HZ94*VLOOKUP('Données projet'!$B$19,Paramètres!$A$1:$I$89,3,0)*0.475*44/12</f>
        <v>1.792660999106817</v>
      </c>
      <c r="ID94" s="21">
        <f>EXP(-LN(2)/2)*ID93+(1-EXP(-LN(2)/2))/(LN(2)/2)*HX94*IA94*VLOOKUP('Données projet'!$B$19,Paramètres!$A$1:$I$89,3,0)*0.475*44/12</f>
        <v>3.77248743784201E-10</v>
      </c>
      <c r="IE94" s="22">
        <f t="shared" si="152"/>
        <v>16.53215750837726</v>
      </c>
      <c r="IF94" s="74">
        <f>('Scénario référence'!$F$8+'Scénario référence'!$F$9+'Scénario référence'!$B$17+'Scénario référence'!$B$9+'Scénario référence'!$B$10)*70+IF((45+25*(1-EXP(-0.0175*$A94)))&lt;70,'Scénario référence'!$B$16*(45+25*(1-EXP(-0.0175*$A94))),70*'Scénario référence'!$B$16)+IF((32+38*(1-EXP(-0.0175*$A94)))&lt;70,'Scénario référence'!$B$18*(32+38*(1-EXP(-0.0175*$A94))),70*'Scénario référence'!$B$18)</f>
        <v>70</v>
      </c>
      <c r="IG94" s="12">
        <f>IF($A94&gt;30,10,('Scénario référence'!$B$16+'Scénario référence'!$B$17+'Scénario référence'!$B$18+'Scénario référence'!$B$9+'Scénario référence'!$B$10)*$A94*10/30+('Scénario référence'!$F$8+'Scénario référence'!$F$9)*10)</f>
        <v>10</v>
      </c>
      <c r="IH94" s="12" t="e">
        <f>VLOOKUP($A94,'Données projet'!$A$330:$I$350,2,0)</f>
        <v>#N/A</v>
      </c>
      <c r="II94" s="12" t="e">
        <f>VLOOKUP($A94,'Données projet'!$A$330:$I$350,9,0)</f>
        <v>#N/A</v>
      </c>
      <c r="IJ94" s="12">
        <f t="array" ref="IJ94">INDEX(II:II,MIN(IF(ISNUMBER(II94:II290),ROW(II94:II290),"")))</f>
        <v>0</v>
      </c>
      <c r="IK94" s="12">
        <f>IF('Données projet'!$A$330&gt;35,IK93+IJ94-IS93,IF($A94&lt;'Données projet'!$A$330,$CQ$205^$A94,IF($A94='Données projet'!$A$330,'Données projet'!$B$330,IK93+IJ94-IS93)))</f>
        <v>0</v>
      </c>
      <c r="IL94" s="17">
        <f>IK94*VLOOKUP('Données projet'!$B$20,Paramètres!$A$1:$I$89,3,0)*VLOOKUP('Données projet'!$B$20,Paramètres!$A$1:$I$89,5,0)</f>
        <v>0</v>
      </c>
      <c r="IM94" s="13" t="e">
        <f t="shared" si="204"/>
        <v>#NUM!</v>
      </c>
      <c r="IN94" s="20" t="e">
        <f t="shared" si="153"/>
        <v>#NUM!</v>
      </c>
      <c r="IO94" s="59" t="e">
        <f t="shared" si="154"/>
        <v>#NUM!</v>
      </c>
      <c r="IP94" s="59">
        <f ca="1">AVERAGE(OFFSET(IO$3,0,0,'Données projet'!$E$20+1,1))-AVERAGE(OFFSET($H$3,0,0,'Données projet'!$E$20+1,1))</f>
        <v>91.60721429656013</v>
      </c>
      <c r="IQ94" s="59">
        <f t="shared" si="205"/>
        <v>258.94957804210856</v>
      </c>
      <c r="IR94" s="15">
        <f>IF(ISNA(VLOOKUP($A94,'Données projet'!$A$330:$I$350,3,0)),0,VLOOKUP($A94,'Données projet'!$A$330:$I$350,3,0))</f>
        <v>0</v>
      </c>
      <c r="IS94" s="15">
        <f>IF(ISNA(VLOOKUP($A94,'Données projet'!$A$330:$I$350,4,0)),0,VLOOKUP($A94,'Données projet'!$A$330:$I$350,4,0))</f>
        <v>0</v>
      </c>
      <c r="IT94" s="16">
        <f>IF(ISNA(VLOOKUP($A94,'Données projet'!$A$330:$I$350,5,0)),0%,VLOOKUP($A94,'Données projet'!$A$330:$I$350,5,0)*VLOOKUP('Données projet'!$B$20,Paramètres!$A$1:$I$89,7,0))</f>
        <v>0</v>
      </c>
      <c r="IU94" s="16">
        <f>IF(ISNA(VLOOKUP($A94,'Données projet'!$A$330:$I$350,6,0)),0%,VLOOKUP($A94,'Données projet'!$A$330:$I$350,6,0)*VLOOKUP('Données projet'!$B$20,Paramètres!$A$1:$I$89,7,0))</f>
        <v>0</v>
      </c>
      <c r="IV94" s="16">
        <f>IF(ISNA(VLOOKUP($A94,'Données projet'!$A$330:$I$350,7,0)),0%,VLOOKUP($A94,'Données projet'!$A$330:$I$350,7,0))</f>
        <v>0</v>
      </c>
      <c r="IW94" s="21">
        <f>EXP(-LN(2)/35)*IW93+(1-EXP(-LN(2)/35))/(LN(2)/35)*IS94*IT94*VLOOKUP('Données projet'!$B$20,Paramètres!$A$1:$I$89,3,0)*0.475*44/12</f>
        <v>14.739496508893193</v>
      </c>
      <c r="IX94" s="21">
        <f>EXP(-LN(2)/25)*IX93+(1-EXP(-LN(2)/25))/(LN(2)/25)*Calculateur!IS94*Calculateur!IU94*VLOOKUP('Données projet'!$B$20,Paramètres!$A$1:$I$89,3,0)*0.475*44/12</f>
        <v>1.792660999106817</v>
      </c>
      <c r="IY94" s="21">
        <f>EXP(-LN(2)/2)*IY93+(1-EXP(-LN(2)/2))/(LN(2)/2)*IS94*IV94*VLOOKUP('Données projet'!$B$20,Paramètres!$A$1:$I$89,3,0)*0.475*44/12</f>
        <v>3.77248743784201E-10</v>
      </c>
      <c r="IZ94" s="22">
        <f t="shared" si="155"/>
        <v>16.53215750837726</v>
      </c>
      <c r="JA94" s="74">
        <f>('Scénario référence'!$F$8+'Scénario référence'!$F$9+'Scénario référence'!$B$17+'Scénario référence'!$B$9+'Scénario référence'!$B$10)*70+IF((45+25*(1-EXP(-0.0175*$A94)))&lt;70,'Scénario référence'!$B$16*(45+25*(1-EXP(-0.0175*$A94))),70*'Scénario référence'!$B$16)+IF((32+38*(1-EXP(-0.0175*$A94)))&lt;70,'Scénario référence'!$B$18*(32+38*(1-EXP(-0.0175*$A94))),70*'Scénario référence'!$B$18)</f>
        <v>70</v>
      </c>
      <c r="JB94" s="12">
        <f>IF($A94&gt;30,10,('Scénario référence'!$B$16+'Scénario référence'!$B$17+'Scénario référence'!$B$18+'Scénario référence'!$B$9+'Scénario référence'!$B$10)*$A94*10/30+('Scénario référence'!$F$8+'Scénario référence'!$F$9)*10)</f>
        <v>10</v>
      </c>
      <c r="JC94" s="12" t="e">
        <f>VLOOKUP($A94,'Données projet'!$A$356:$I$376,2,0)</f>
        <v>#N/A</v>
      </c>
      <c r="JD94" s="12" t="e">
        <f>VLOOKUP($A94,'Données projet'!$A$356:$I$376,9,0)</f>
        <v>#N/A</v>
      </c>
      <c r="JE94" s="12">
        <f t="array" ref="JE94">INDEX(JD:JD,MIN(IF(ISNUMBER(JD94:JD290),ROW(JD94:JD290),"")))</f>
        <v>4.9000000000000004</v>
      </c>
      <c r="JF94" s="12">
        <f>IF('Données projet'!$A$356&gt;35,JF93+JE94-JN93,IF($A94&lt;'Données projet'!$A$356,$CQ$205^$A94,IF($A94='Données projet'!$A$356,'Données projet'!$B$356,JF93+JE94-JN93)))</f>
        <v>355.89999999999969</v>
      </c>
      <c r="JG94" s="17">
        <f>JF94*VLOOKUP('Données projet'!$B$21,Paramètres!$A$1:$I$89,3,0)*VLOOKUP('Données projet'!$B$21,Paramètres!$A$1:$I$89,5,0)</f>
        <v>288.70607999999976</v>
      </c>
      <c r="JH94" s="13">
        <f t="shared" si="206"/>
        <v>68.803562335653311</v>
      </c>
      <c r="JI94" s="20">
        <f t="shared" si="156"/>
        <v>622.66262706792907</v>
      </c>
      <c r="JJ94" s="59">
        <f t="shared" si="157"/>
        <v>915.99596040126244</v>
      </c>
      <c r="JK94" s="59">
        <f ca="1">AVERAGE(OFFSET($JJ$3,0,0,'Données projet'!$E$22+1,1))-AVERAGE(OFFSET($H$3,0,0,'Données projet'!$E$22+1,1))</f>
        <v>353.35574633294613</v>
      </c>
      <c r="JL94" s="59">
        <f t="shared" si="207"/>
        <v>170.36796666474726</v>
      </c>
      <c r="JM94" s="15">
        <f>IF(ISNA(VLOOKUP($A94,'Données projet'!$A$356:$I$376,3,0)),0,VLOOKUP($A94,'Données projet'!$A$356:$I$376,3,0))</f>
        <v>0</v>
      </c>
      <c r="JN94" s="15">
        <f>IF(ISNA(VLOOKUP($A94,'Données projet'!$A$356:$I$376,4,0)),0,VLOOKUP($A94,'Données projet'!$A$356:$I$376,4,0))</f>
        <v>0</v>
      </c>
      <c r="JO94" s="16">
        <f>IF(ISNA(VLOOKUP($A94,'Données projet'!$A$356:$I$376,5,0)),0%,VLOOKUP($A94,'Données projet'!$A$356:$I$376,5,0)*VLOOKUP('Données projet'!$B$21,Paramètres!$A$1:$I$89,7,0))</f>
        <v>0</v>
      </c>
      <c r="JP94" s="16">
        <f>IF(ISNA(VLOOKUP($A94,'Données projet'!$A$356:$I$376,6,0)),0%,VLOOKUP($A94,'Données projet'!$A$356:$I$376,6,0)*VLOOKUP('Données projet'!$B$21,Paramètres!$A$1:$I$89,7,0))</f>
        <v>0</v>
      </c>
      <c r="JQ94" s="16">
        <f>IF(ISNA(VLOOKUP($A94,'Données projet'!$A$356:$I$376,7,0)),0%,VLOOKUP($A94,'Données projet'!$A$356:$I$376,7,0))</f>
        <v>0</v>
      </c>
      <c r="JR94" s="21">
        <f>EXP(-LN(2)/35)*JR93+(1-EXP(-LN(2)/35))/(LN(2)/35)*JN94*JO94*VLOOKUP('Données projet'!$B$21,Paramètres!$A$1:$I$89,3,0)*0.475*44/12</f>
        <v>2.6377399508401278</v>
      </c>
      <c r="JS94" s="21">
        <f>EXP(-LN(2)/25)*JS93+(1-EXP(-LN(2)/25))/(LN(2)/25)*Calculateur!JN94*Calculateur!JP94*VLOOKUP('Données projet'!$B$21,Paramètres!$A$1:$I$89,3,0)*0.475*44/12</f>
        <v>16.877893039403276</v>
      </c>
      <c r="JT94" s="21">
        <f>EXP(-LN(2)/2)*JT93+(1-EXP(-LN(2)/2))/(LN(2)/2)*JN94*JQ94*VLOOKUP('Données projet'!$B$21,Paramètres!$A$1:$I$89,3,0)*0.475*44/12</f>
        <v>4.3940272485274265</v>
      </c>
      <c r="JU94" s="18">
        <f t="shared" si="158"/>
        <v>23.909660238770829</v>
      </c>
      <c r="JV94" s="74">
        <f>('Scénario référence'!$F$8+'Scénario référence'!$F$9+'Scénario référence'!$B$17+'Scénario référence'!$B$9+'Scénario référence'!$B$10)*70+IF((45+25*(1-EXP(-0.0175*$A94)))&lt;70,'Scénario référence'!$B$16*(45+25*(1-EXP(-0.0175*$A94))),70*'Scénario référence'!$B$16)+IF((32+38*(1-EXP(-0.0175*$A94)))&lt;70,'Scénario référence'!$B$18*(32+38*(1-EXP(-0.0175*$A94))),70*'Scénario référence'!$B$18)</f>
        <v>70</v>
      </c>
      <c r="JW94" s="12">
        <f>IF($A94&gt;30,10,('Scénario référence'!$B$16+'Scénario référence'!$B$17+'Scénario référence'!$B$18+'Scénario référence'!$B$9+'Scénario référence'!$B$10)*$A94*10/30+('Scénario référence'!$F$8+'Scénario référence'!$F$9)*10)</f>
        <v>10</v>
      </c>
      <c r="JX94" s="12" t="e">
        <f>VLOOKUP($A94,'Données projet'!$A$382:$I$402,2,0)</f>
        <v>#N/A</v>
      </c>
      <c r="JY94" s="12" t="e">
        <f>VLOOKUP($A94,'Données projet'!$A$382:$I$402,9,0)</f>
        <v>#N/A</v>
      </c>
      <c r="JZ94" s="12">
        <f t="array" ref="JZ94">INDEX(JY:JY,MIN(IF(ISNUMBER(JY94:JY290),ROW(JY94:JY290),"")))</f>
        <v>7.1782051282051267</v>
      </c>
      <c r="KA94" s="12">
        <f>IF('Données projet'!$A$382&gt;35,KA93+JZ94-KI93,IF($A94&lt;'Données projet'!$A$382,$CQ$205^$A94,IF($A94='Données projet'!$A$382,'Données projet'!$B$382,KA93+JZ94-KI93)))</f>
        <v>260.82435897435926</v>
      </c>
      <c r="KB94" s="17">
        <f>KA94*VLOOKUP('Données projet'!$B$22,Paramètres!$A$1:$I$89,3,0)*VLOOKUP('Données projet'!$B$22,Paramètres!$A$1:$I$89,5,0)</f>
        <v>174.96098000000021</v>
      </c>
      <c r="KC94" s="13">
        <f t="shared" si="208"/>
        <v>44.199251167864752</v>
      </c>
      <c r="KD94" s="20">
        <f t="shared" si="159"/>
        <v>381.70406928403145</v>
      </c>
      <c r="KE94" s="59">
        <f t="shared" si="160"/>
        <v>675.03740261736471</v>
      </c>
      <c r="KF94" s="59">
        <f ca="1">AVERAGE(OFFSET($KE$3,0,0,'Données projet'!$E$22+1,1))-AVERAGE(OFFSET($H$3,0,0,'Données projet'!$E$22+1,1))</f>
        <v>193.91714772848269</v>
      </c>
      <c r="KG94" s="59">
        <f t="shared" si="209"/>
        <v>159.20429420478047</v>
      </c>
      <c r="KH94" s="15">
        <f>IF(ISNA(VLOOKUP($A94,'Données projet'!$A$382:$I$402,3,0)),0,VLOOKUP($A94,'Données projet'!$A$382:$I$402,3,0))</f>
        <v>0</v>
      </c>
      <c r="KI94" s="15">
        <f>IF(ISNA(VLOOKUP($A94,'Données projet'!$A$382:$I$402,4,0)),0,VLOOKUP($A94,'Données projet'!$A$382:$I$402,4,0))</f>
        <v>0</v>
      </c>
      <c r="KJ94" s="16">
        <f>IF(ISNA(VLOOKUP($A94,'Données projet'!$A$382:$I$402,5,0)),0%,VLOOKUP($A94,'Données projet'!$A$382:$I$402,5,0)*VLOOKUP('Données projet'!$B$22,Paramètres!$A$1:$I$89,7,0))</f>
        <v>0</v>
      </c>
      <c r="KK94" s="16">
        <f>IF(ISNA(VLOOKUP($A94,'Données projet'!$A$382:$I$402,6,0)),0%,VLOOKUP($A94,'Données projet'!$A$382:$I$402,6,0)*VLOOKUP('Données projet'!$B$22,Paramètres!$A$1:$I$89,7,0))</f>
        <v>0</v>
      </c>
      <c r="KL94" s="16">
        <f>IF(ISNA(VLOOKUP($A94,'Données projet'!$A$382:$I$402,7,0)),0%,VLOOKUP($A94,'Données projet'!$A$382:$I$402,7,0))</f>
        <v>0</v>
      </c>
      <c r="KM94" s="21">
        <f>EXP(-LN(2)/35)*KM93+(1-EXP(-LN(2)/35))/(LN(2)/35)*KI94*KJ94*VLOOKUP('Données projet'!$B$22,Paramètres!$A$1:$I$89,3,0)*0.475*44/12</f>
        <v>37.138625095238886</v>
      </c>
      <c r="KN94" s="21">
        <f>EXP(-LN(2)/25)*KN93+(1-EXP(-LN(2)/25))/(LN(2)/25)*Calculateur!KI94*Calculateur!KK94*VLOOKUP('Données projet'!$B$22,Paramètres!$A$1:$I$89,3,0)*0.475*44/12</f>
        <v>0</v>
      </c>
      <c r="KO94" s="21">
        <f>EXP(-LN(2)/2)*KO93+(1-EXP(-LN(2)/2))/(LN(2)/2)*KI94*KL94*VLOOKUP('Données projet'!$B$22,Paramètres!$A$1:$I$89,3,0)*0.475*44/12</f>
        <v>0</v>
      </c>
      <c r="KP94" s="22">
        <f t="shared" si="161"/>
        <v>37.138625095238886</v>
      </c>
      <c r="KQ94" s="74">
        <f>('Scénario référence'!$F$8+'Scénario référence'!$F$9+'Scénario référence'!$B$17+'Scénario référence'!$B$9+'Scénario référence'!$B$10)*70+IF((45+25*(1-EXP(-0.0175*$A94)))&lt;70,'Scénario référence'!$B$16*(45+25*(1-EXP(-0.0175*$A94))),70*'Scénario référence'!$B$16)+IF((32+38*(1-EXP(-0.0175*$A94)))&lt;70,'Scénario référence'!$B$18*(32+38*(1-EXP(-0.0175*$A94))),70*'Scénario référence'!$B$18)</f>
        <v>70</v>
      </c>
      <c r="KR94" s="12">
        <f>IF($A94&gt;30,10,('Scénario référence'!$B$16+'Scénario référence'!$B$17+'Scénario référence'!$B$18+'Scénario référence'!$B$9+'Scénario référence'!$B$10)*$A94*10/30+('Scénario référence'!$F$8+'Scénario référence'!$F$9)*10)</f>
        <v>10</v>
      </c>
      <c r="KS94" s="12" t="e">
        <f>VLOOKUP($A94,'Données projet'!$A$408:$I$428,2,0)</f>
        <v>#N/A</v>
      </c>
      <c r="KT94" s="12" t="e">
        <f>VLOOKUP($A94,'Données projet'!$A$408:$I$428,9,0)</f>
        <v>#N/A</v>
      </c>
      <c r="KU94" s="12">
        <f t="array" ref="KU94">INDEX(KT:KT,MIN(IF(ISNUMBER(KT94:KT290),ROW(KT94:KT290),"")))</f>
        <v>0</v>
      </c>
      <c r="KV94" s="12">
        <f>IF('Données projet'!$A$408&gt;35,KV93+KU94-LD93,IF($A94&lt;'Données projet'!$A$408,$CQ$205^$A94,IF($A94='Données projet'!$A$408,'Données projet'!$B$408,KV93+KU94-LD93)))</f>
        <v>-1.1368683772161603E-13</v>
      </c>
      <c r="KW94" s="17">
        <f>KV94*VLOOKUP('Données projet'!$B$23,Paramètres!$A$1:$I$89,3,0)*VLOOKUP('Données projet'!$B$23,Paramètres!$A$1:$I$89,5,0)</f>
        <v>-9.9316821433603781E-14</v>
      </c>
      <c r="KX94" s="13" t="e">
        <f t="shared" si="210"/>
        <v>#NUM!</v>
      </c>
      <c r="KY94" s="14" t="e">
        <f t="shared" si="162"/>
        <v>#NUM!</v>
      </c>
      <c r="KZ94" s="59" t="e">
        <f t="shared" si="163"/>
        <v>#NUM!</v>
      </c>
      <c r="LA94" s="59">
        <f ca="1">AVERAGE(OFFSET($KZ$3,0,0,'Données projet'!$E$23+1,1))-AVERAGE(OFFSET($H$3,0,0,'Données projet'!$E$23+1,1))</f>
        <v>248.33596943633819</v>
      </c>
      <c r="LB94" s="59">
        <f t="shared" si="211"/>
        <v>242.34010522344573</v>
      </c>
      <c r="LC94" s="15">
        <f>IF(ISNA(VLOOKUP($A94,'Données projet'!$A$408:$I$428,3,0)),0,VLOOKUP($A94,'Données projet'!$A$408:$I$428,3,0))</f>
        <v>0</v>
      </c>
      <c r="LD94" s="15">
        <f>IF(ISNA(VLOOKUP($A94,'Données projet'!$A$408:$I$428,4,0)),0,VLOOKUP($A94,'Données projet'!$A$408:$I$428,4,0))</f>
        <v>0</v>
      </c>
      <c r="LE94" s="16">
        <f>IF(ISNA(VLOOKUP($A94,'Données projet'!$A$408:$I$428,5,0)),0%,VLOOKUP($A94,'Données projet'!$A$408:$I$428,5,0)*VLOOKUP('Données projet'!$B$23,Paramètres!$A$1:$I$89,7,0))</f>
        <v>0</v>
      </c>
      <c r="LF94" s="16">
        <f>IF(ISNA(VLOOKUP($A94,'Données projet'!$A$408:$I$428,6,0)),0%,VLOOKUP($A94,'Données projet'!$A$408:$I$428,6,0)*VLOOKUP('Données projet'!$B$23,Paramètres!$A$1:$I$89,7,0))</f>
        <v>0</v>
      </c>
      <c r="LG94" s="16">
        <f>IF(ISNA(VLOOKUP($A94,'Données projet'!$A$408:$I$428,7,0)),0%,VLOOKUP($A94,'Données projet'!$A$408:$I$428,7,0))</f>
        <v>0</v>
      </c>
      <c r="LH94" s="21">
        <f>EXP(-LN(2)/35)*LH93+(1-EXP(-LN(2)/35))/(LN(2)/35)*LD94*LE94*VLOOKUP('Données projet'!$B$23,Paramètres!$A$1:$I$89,3,0)*0.475*44/12</f>
        <v>99.099895306676743</v>
      </c>
      <c r="LI94" s="21">
        <f>EXP(-LN(2)/25)*LI93+(1-EXP(-LN(2)/25))/(LN(2)/25)*Calculateur!LD94*Calculateur!LF94*VLOOKUP('Données projet'!$B$23,Paramètres!$A$1:$I$89,3,0)*0.475*44/12</f>
        <v>16.052660375938679</v>
      </c>
      <c r="LJ94" s="21">
        <f>EXP(-LN(2)/2)*LJ93+(1-EXP(-LN(2)/2))/(LN(2)/2)*LD94*LG94*VLOOKUP('Données projet'!$B$23,Paramètres!$A$1:$I$89,3,0)*0.475*44/12</f>
        <v>0</v>
      </c>
      <c r="LK94" s="22">
        <f t="shared" si="164"/>
        <v>115.15255568261543</v>
      </c>
      <c r="LL94" s="74">
        <f>('Scénario référence'!$F$8+'Scénario référence'!$F$9+'Scénario référence'!$B$17+'Scénario référence'!$B$9+'Scénario référence'!$B$10)*70+IF((45+25*(1-EXP(-0.0175*$A94)))&lt;70,'Scénario référence'!$B$16*(45+25*(1-EXP(-0.0175*$A94))),70*'Scénario référence'!$B$16)+IF((32+38*(1-EXP(-0.0175*$A94)))&lt;70,'Scénario référence'!$B$18*(32+38*(1-EXP(-0.0175*$A94))),70*'Scénario référence'!$B$18)</f>
        <v>70</v>
      </c>
      <c r="LM94" s="12">
        <f>IF($A94&gt;30,10,('Scénario référence'!$B$16+'Scénario référence'!$B$17+'Scénario référence'!$B$18+'Scénario référence'!$B$9+'Scénario référence'!$B$10)*$A94*10/30+('Scénario référence'!$F$8+'Scénario référence'!$F$9)*10)</f>
        <v>10</v>
      </c>
      <c r="LN94" s="12" t="e">
        <f>VLOOKUP($A94,'Données projet'!$A$434:$I$454,2,0)</f>
        <v>#N/A</v>
      </c>
      <c r="LO94" s="12" t="e">
        <f>VLOOKUP($A94,'Données projet'!$A$434:$I$454,9,0)</f>
        <v>#N/A</v>
      </c>
      <c r="LP94" s="12">
        <f t="array" ref="LP94">INDEX(LO:LO,MIN(IF(ISNUMBER(LO94:LO290),ROW(LO94:LO290),"")))</f>
        <v>5.2606837606837598</v>
      </c>
      <c r="LQ94" s="12">
        <f>IF('Données projet'!$A$434&gt;35,LQ93+LP94-LY93,IF($A94&lt;'Données projet'!$A$434,$CQ$205^$A94,IF($A94='Données projet'!$A$434,'Données projet'!$B$434,LQ93+LP94-LY93)))</f>
        <v>201.74786324786305</v>
      </c>
      <c r="LR94" s="17">
        <f>LQ94*VLOOKUP('Données projet'!$B$24,Paramètres!$A$1:$I$89,3,0)*VLOOKUP('Données projet'!$B$24,Paramètres!$A$1:$I$89,5,0)</f>
        <v>204.57233333333312</v>
      </c>
      <c r="LS94" s="13">
        <f t="shared" si="212"/>
        <v>50.747702424306688</v>
      </c>
      <c r="LT94" s="14">
        <f t="shared" si="165"/>
        <v>444.6823956112226</v>
      </c>
      <c r="LU94" s="59">
        <f t="shared" si="166"/>
        <v>738.01572894455592</v>
      </c>
      <c r="LV94" s="59">
        <f ca="1">AVERAGE(OFFSET($LU$3,0,0,'Données projet'!$E$24+1,1))-AVERAGE(OFFSET($H$3,0,0,'Données projet'!$E$24+1,1))</f>
        <v>260.52627655062872</v>
      </c>
      <c r="LW94" s="59">
        <f t="shared" si="213"/>
        <v>159.20429420478047</v>
      </c>
      <c r="LX94" s="15">
        <f>IF(ISNA(VLOOKUP($A94,'Données projet'!$A$434:$I$454,3,0)),0,VLOOKUP($A94,'Données projet'!$A$434:$I$454,3,0))</f>
        <v>0</v>
      </c>
      <c r="LY94" s="15">
        <f>IF(ISNA(VLOOKUP($A94,'Données projet'!$A$434:$I$454,4,0)),0,VLOOKUP($A94,'Données projet'!$A$434:$I$454,4,0))</f>
        <v>0</v>
      </c>
      <c r="LZ94" s="16">
        <f>IF(ISNA(VLOOKUP($A94,'Données projet'!$A$434:$I$454,5,0)),0%,VLOOKUP($A94,'Données projet'!$A$434:$I$454,5,0)*VLOOKUP('Données projet'!$B$24,Paramètres!$A$1:$I$89,7,0))</f>
        <v>0</v>
      </c>
      <c r="MA94" s="16">
        <f>IF(ISNA(VLOOKUP($A94,'Données projet'!$A$434:$I$454,6,0)),0%,VLOOKUP($A94,'Données projet'!$A$434:$I$454,6,0)*VLOOKUP('Données projet'!$B$24,Paramètres!$A$1:$I$89,7,0))</f>
        <v>0</v>
      </c>
      <c r="MB94" s="16">
        <f>IF(ISNA(VLOOKUP($A94,'Données projet'!$A$434:$I$454,7,0)),0%,VLOOKUP($A94,'Données projet'!$A$434:$I$454,7,0))</f>
        <v>0</v>
      </c>
      <c r="MC94" s="21">
        <f>EXP(-LN(2)/35)*MC93+(1-EXP(-LN(2)/35))/(LN(2)/35)*LY94*LZ94*VLOOKUP('Données projet'!$B$24,Paramètres!$A$1:$I$89,3,0)*0.475*44/12</f>
        <v>17.903508671126808</v>
      </c>
      <c r="MD94" s="21">
        <f>EXP(-LN(2)/25)*MD93+(1-EXP(-LN(2)/25))/(LN(2)/25)*Calculateur!LY94*Calculateur!MA94*VLOOKUP('Données projet'!$B$24,Paramètres!$A$1:$I$89,3,0)*0.475*44/12</f>
        <v>0</v>
      </c>
      <c r="ME94" s="21">
        <f>EXP(-LN(2)/2)*ME93+(1-EXP(-LN(2)/2))/(LN(2)/2)*LY94*MB94*VLOOKUP('Données projet'!$B$24,Paramètres!$A$1:$I$89,3,0)*0.475*44/12</f>
        <v>0</v>
      </c>
      <c r="MF94" s="22">
        <f t="shared" si="167"/>
        <v>17.903508671126808</v>
      </c>
      <c r="MG94" s="74">
        <f>('Scénario référence'!$F$8+'Scénario référence'!$F$9+'Scénario référence'!$B$17+'Scénario référence'!$B$9+'Scénario référence'!$B$10)*70+IF((45+25*(1-EXP(-0.0175*$A94)))&lt;70,'Scénario référence'!$B$16*(45+25*(1-EXP(-0.0175*$A94))),70*'Scénario référence'!$B$16)+IF((32+38*(1-EXP(-0.0175*$A94)))&lt;70,'Scénario référence'!$B$18*(32+38*(1-EXP(-0.0175*$A94))),70*'Scénario référence'!$B$18)</f>
        <v>70</v>
      </c>
      <c r="MH94" s="12">
        <f>IF($A94&gt;30,10,('Scénario référence'!$B$16+'Scénario référence'!$B$17+'Scénario référence'!$B$18+'Scénario référence'!$B$9+'Scénario référence'!$B$10)*$A94*10/30+('Scénario référence'!$F$8+'Scénario référence'!$F$9)*10)</f>
        <v>10</v>
      </c>
      <c r="MI94" s="12" t="e">
        <f>VLOOKUP($A94,'Données projet'!$A$460:$I$480,2,0)</f>
        <v>#N/A</v>
      </c>
      <c r="MJ94" s="12" t="e">
        <f>VLOOKUP($A94,'Données projet'!$A$460:$I$480,9,0)</f>
        <v>#N/A</v>
      </c>
      <c r="MK94" s="12">
        <f t="array" ref="MK94">INDEX(MJ:MJ,MIN(IF(ISNUMBER(MJ94:MJ290),ROW(MJ94:MJ290),"")))</f>
        <v>0</v>
      </c>
      <c r="ML94" s="12">
        <f>IF('Données projet'!$A$460&gt;35,ML93+MK94-MT93,IF($A94&lt;'Données projet'!$A$460,$CQ$205^$A94,IF($A94='Données projet'!$A$460,'Données projet'!$B$460,ML93+MK94-MT93)))</f>
        <v>0</v>
      </c>
      <c r="MM94" s="17" t="e">
        <f>ML94*VLOOKUP('Données projet'!$B$25,Paramètres!$A$1:$I$89,3,0)*VLOOKUP('Données projet'!$B$25,Paramètres!$A$1:$I$89,5,0)</f>
        <v>#N/A</v>
      </c>
      <c r="MN94" s="13" t="e">
        <f t="shared" si="214"/>
        <v>#N/A</v>
      </c>
      <c r="MO94" s="14" t="e">
        <f t="shared" si="168"/>
        <v>#N/A</v>
      </c>
      <c r="MP94" s="59" t="e">
        <f t="shared" si="169"/>
        <v>#N/A</v>
      </c>
      <c r="MQ94" s="20" t="e">
        <f ca="1">AVERAGE(OFFSET($MP$3,0,0,'Données projet'!$E$25+1,1))-AVERAGE(OFFSET($H$3,0,0,'Données projet'!$E$25+1,1))</f>
        <v>#N/A</v>
      </c>
      <c r="MR94" s="59" t="e">
        <f t="shared" si="215"/>
        <v>#N/A</v>
      </c>
      <c r="MS94" s="15">
        <f>IF(ISNA(VLOOKUP($A94,'Données projet'!$A$460:$I$480,3,0)),0,VLOOKUP($A94,'Données projet'!$A$460:$I$480,3,0))</f>
        <v>0</v>
      </c>
      <c r="MT94" s="15">
        <f>IF(ISNA(VLOOKUP($A94,'Données projet'!$A$460:$I$480,4,0)),0,VLOOKUP($A94,'Données projet'!$A$460:$I$480,4,0))</f>
        <v>0</v>
      </c>
      <c r="MU94" s="16">
        <f>IF(ISNA(VLOOKUP($A94,'Données projet'!$A$460:$I$480,5,0)),0%,VLOOKUP($A94,'Données projet'!$A$460:$I$480,5,0)*VLOOKUP('Données projet'!$B$25,Paramètres!$A$1:$I$89,7,0))</f>
        <v>0</v>
      </c>
      <c r="MV94" s="16">
        <f>IF(ISNA(VLOOKUP($A94,'Données projet'!$A$460:$I$480,6,0)),0%,VLOOKUP($A94,'Données projet'!$A$460:$I$480,6,0)*VLOOKUP('Données projet'!$B$25,Paramètres!$A$1:$I$89,7,0))</f>
        <v>0</v>
      </c>
      <c r="MW94" s="16">
        <f>IF(ISNA(VLOOKUP($A94,'Données projet'!$A$460:$I$480,7,0)),0%,VLOOKUP($A94,'Données projet'!$A$460:$I$480,7,0))</f>
        <v>0</v>
      </c>
      <c r="MX94" s="21" t="e">
        <f>EXP(-LN(2)/35)*MX93+(1-EXP(-LN(2)/35))/(LN(2)/35)*MT94*MU94*VLOOKUP('Données projet'!$B$25,Paramètres!$A$1:$I$89,3,0)*0.475*44/12</f>
        <v>#N/A</v>
      </c>
      <c r="MY94" s="21" t="e">
        <f>EXP(-LN(2)/25)*MY93+(1-EXP(-LN(2)/25))/(LN(2)/25)*Calculateur!MT94*Calculateur!MV94*VLOOKUP('Données projet'!$B$25,Paramètres!$A$1:$I$89,3,0)*0.475*44/12</f>
        <v>#N/A</v>
      </c>
      <c r="MZ94" s="21" t="e">
        <f>EXP(-LN(2)/2)*MZ93+(1-EXP(-LN(2)/2))/(LN(2)/2)*MT94*MW94*VLOOKUP('Données projet'!$B$25,Paramètres!$A$1:$I$89,3,0)*0.475*44/12</f>
        <v>#N/A</v>
      </c>
      <c r="NA94" s="22" t="e">
        <f t="shared" si="170"/>
        <v>#N/A</v>
      </c>
      <c r="NB94" s="74">
        <f>('Scénario référence'!$F$8+'Scénario référence'!$F$9+'Scénario référence'!$B$17+'Scénario référence'!$B$9+'Scénario référence'!$B$10)*70+IF((45+25*(1-EXP(-0.0175*$A94)))&lt;70,'Scénario référence'!$B$16*(45+25*(1-EXP(-0.0175*$A94))),70*'Scénario référence'!$B$16)+IF((32+38*(1-EXP(-0.0175*$A94)))&lt;70,'Scénario référence'!$B$18*(32+38*(1-EXP(-0.0175*$A94))),70*'Scénario référence'!$B$18)</f>
        <v>70</v>
      </c>
      <c r="NC94" s="12">
        <f>IF($A94&gt;30,10,('Scénario référence'!$B$16+'Scénario référence'!$B$17+'Scénario référence'!$B$18+'Scénario référence'!$B$9+'Scénario référence'!$B$10)*$A94*10/30+('Scénario référence'!$F$8+'Scénario référence'!$F$9)*10)</f>
        <v>10</v>
      </c>
      <c r="ND94" s="12" t="e">
        <f>VLOOKUP($A94,'Données projet'!$A$486:$I$506,2,0)</f>
        <v>#N/A</v>
      </c>
      <c r="NE94" s="12" t="e">
        <f>VLOOKUP($A94,'Données projet'!$A$486:$I$506,9,0)</f>
        <v>#N/A</v>
      </c>
      <c r="NF94" s="12">
        <f t="array" ref="NF94">INDEX(NE:NE,MIN(IF(ISNUMBER(NE94:NE290),ROW(NE94:NE290),"")))</f>
        <v>0</v>
      </c>
      <c r="NG94" s="12">
        <f>IF('Données projet'!$A$486&gt;35,NG93+NF94-NO93,IF($A94&lt;'Données projet'!$A$486,$CQ$205^$A94,IF($A94='Données projet'!$A$486,'Données projet'!$B$486,NG93+NF94-NO93)))</f>
        <v>0</v>
      </c>
      <c r="NH94" s="17" t="e">
        <f>NG94*VLOOKUP('Données projet'!$B$26,Paramètres!$A$1:$I$89,3,0)*VLOOKUP('Données projet'!$B$26,Paramètres!$A$1:$I$89,5,0)</f>
        <v>#N/A</v>
      </c>
      <c r="NI94" s="13" t="e">
        <f t="shared" si="216"/>
        <v>#N/A</v>
      </c>
      <c r="NJ94" s="14" t="e">
        <f t="shared" si="171"/>
        <v>#N/A</v>
      </c>
      <c r="NK94" s="59" t="e">
        <f t="shared" si="172"/>
        <v>#N/A</v>
      </c>
      <c r="NL94" s="20" t="e">
        <f ca="1">AVERAGE(OFFSET($NK$3,0,0,'Données projet'!$E$26+1,1))-AVERAGE(OFFSET($H$3,0,0,'Données projet'!$E$26+1,1))</f>
        <v>#N/A</v>
      </c>
      <c r="NM94" s="59" t="e">
        <f t="shared" si="217"/>
        <v>#N/A</v>
      </c>
      <c r="NN94" s="15">
        <f>IF(ISNA(VLOOKUP($A94,'Données projet'!$A$486:$I$506,3,0)),0,VLOOKUP($A94,'Données projet'!$A$486:$I$506,3,0))</f>
        <v>0</v>
      </c>
      <c r="NO94" s="15">
        <f>IF(ISNA(VLOOKUP($A94,'Données projet'!$A$486:$I$506,4,0)),0,VLOOKUP($A94,'Données projet'!$A$486:$I$506,4,0))</f>
        <v>0</v>
      </c>
      <c r="NP94" s="16">
        <f>IF(ISNA(VLOOKUP($A94,'Données projet'!$A$486:$I$506,5,0)),0%,VLOOKUP($A94,'Données projet'!$A$486:$I$506,5,0)*VLOOKUP('Données projet'!$B$26,Paramètres!$A$1:$I$89,7,0))</f>
        <v>0</v>
      </c>
      <c r="NQ94" s="16">
        <f>IF(ISNA(VLOOKUP($A94,'Données projet'!$A$486:$I$506,6,0)),0%,VLOOKUP($A94,'Données projet'!$A$486:$I$506,6,0)*VLOOKUP('Données projet'!$B$26,Paramètres!$A$1:$I$89,7,0))</f>
        <v>0</v>
      </c>
      <c r="NR94" s="16">
        <f>IF(ISNA(VLOOKUP($A94,'Données projet'!$A$486:$I$506,7,0)),0%,VLOOKUP($A94,'Données projet'!$A$486:$I$506,7,0))</f>
        <v>0</v>
      </c>
      <c r="NS94" s="21" t="e">
        <f>EXP(-LN(2)/35)*NS93+(1-EXP(-LN(2)/35))/(LN(2)/35)*NO94*NP94*VLOOKUP('Données projet'!$B$26,Paramètres!$A$1:$I$89,3,0)*0.475*44/12</f>
        <v>#N/A</v>
      </c>
      <c r="NT94" s="21" t="e">
        <f>EXP(-LN(2)/25)*NT93+(1-EXP(-LN(2)/25))/(LN(2)/25)*Calculateur!NO94*Calculateur!NQ94*VLOOKUP('Données projet'!$B$26,Paramètres!$A$1:$I$89,3,0)*0.475*44/12</f>
        <v>#N/A</v>
      </c>
      <c r="NU94" s="21" t="e">
        <f>EXP(-LN(2)/2)*NU93+(1-EXP(-LN(2)/2))/(LN(2)/2)*NO94*NR94*VLOOKUP('Données projet'!$B$26,Paramètres!$A$1:$I$89,3,0)*0.475*44/12</f>
        <v>#N/A</v>
      </c>
      <c r="NV94" s="22" t="e">
        <f t="shared" si="173"/>
        <v>#N/A</v>
      </c>
      <c r="NW94" s="74">
        <f>('Scénario référence'!$F$8+'Scénario référence'!$F$9+'Scénario référence'!$B$17+'Scénario référence'!$B$9+'Scénario référence'!$B$10)*70+IF((45+25*(1-EXP(-0.0175*$A94)))&lt;70,'Scénario référence'!$B$16*(45+25*(1-EXP(-0.0175*$A94))),70*'Scénario référence'!$B$16)+IF((32+38*(1-EXP(-0.0175*$A94)))&lt;70,'Scénario référence'!$B$18*(32+38*(1-EXP(-0.0175*$A94))),70*'Scénario référence'!$B$18)</f>
        <v>70</v>
      </c>
      <c r="NX94" s="12">
        <f>IF($A94&gt;30,10,('Scénario référence'!$B$16+'Scénario référence'!$B$17+'Scénario référence'!$B$18+'Scénario référence'!$B$9+'Scénario référence'!$B$10)*$A94*10/30+('Scénario référence'!$F$8+'Scénario référence'!$F$9)*10)</f>
        <v>10</v>
      </c>
      <c r="NY94" s="12" t="e">
        <f>VLOOKUP($A94,'Données projet'!$A$512:$I$532,2,0)</f>
        <v>#N/A</v>
      </c>
      <c r="NZ94" s="12" t="e">
        <f>VLOOKUP($A94,'Données projet'!$A$512:$I$532,9,0)</f>
        <v>#N/A</v>
      </c>
      <c r="OA94" s="12">
        <f t="array" ref="OA94">INDEX(NZ:NZ,MIN(IF(ISNUMBER(NZ94:NZ290),ROW(NZ94:NZ290),"")))</f>
        <v>0</v>
      </c>
      <c r="OB94" s="12">
        <f>IF('Données projet'!$A$512&gt;35,OB93+OA94-OJ93,IF($A94&lt;'Données projet'!$A$512,$CQ$205^$A94,IF($A94='Données projet'!$A$512,'Données projet'!$B$512,OB93+OA94-OJ93)))</f>
        <v>0</v>
      </c>
      <c r="OC94" s="17" t="e">
        <f>OB94*VLOOKUP('Données projet'!$B$27,Paramètres!$A$1:$I$89,3,0)*VLOOKUP('Données projet'!$B$27,Paramètres!$A$1:$I$89,5,0)</f>
        <v>#N/A</v>
      </c>
      <c r="OD94" s="13" t="e">
        <f t="shared" si="218"/>
        <v>#N/A</v>
      </c>
      <c r="OE94" s="14" t="e">
        <f t="shared" si="174"/>
        <v>#N/A</v>
      </c>
      <c r="OF94" s="59" t="e">
        <f t="shared" si="175"/>
        <v>#N/A</v>
      </c>
      <c r="OG94" s="20" t="e">
        <f ca="1">AVERAGE(OFFSET($OF$3,0,0,'Données projet'!$E$27+1,1))-AVERAGE(OFFSET($H$3,0,0,'Données projet'!$E$27+1,1))</f>
        <v>#N/A</v>
      </c>
      <c r="OH94" s="59" t="e">
        <f t="shared" si="219"/>
        <v>#N/A</v>
      </c>
      <c r="OI94" s="15">
        <f>IF(ISNA(VLOOKUP($A94,'Données projet'!$A$512:$I$532,3,0)),0,VLOOKUP($A94,'Données projet'!$A$512:$I$532,3,0))</f>
        <v>0</v>
      </c>
      <c r="OJ94" s="15">
        <f>IF(ISNA(VLOOKUP($A94,'Données projet'!$A$512:$I$532,4,0)),0,VLOOKUP($A94,'Données projet'!$A$512:$I$532,4,0))</f>
        <v>0</v>
      </c>
      <c r="OK94" s="16">
        <f>IF(ISNA(VLOOKUP($A94,'Données projet'!$A$512:$I$532,5,0)),0%,VLOOKUP($A94,'Données projet'!$A$512:$I$532,5,0)*VLOOKUP('Données projet'!$B$27,Paramètres!$A$1:$I$89,7,0))</f>
        <v>0</v>
      </c>
      <c r="OL94" s="16">
        <f>IF(ISNA(VLOOKUP($A94,'Données projet'!$A$512:$I$532,6,0)),0%,VLOOKUP($A94,'Données projet'!$A$512:$I$532,6,0)*VLOOKUP('Données projet'!$B$27,Paramètres!$A$1:$I$89,7,0))</f>
        <v>0</v>
      </c>
      <c r="OM94" s="16">
        <f>IF(ISNA(VLOOKUP($A94,'Données projet'!$A$512:$I$532,7,0)),0%,VLOOKUP($A94,'Données projet'!$A$512:$I$532,7,0))</f>
        <v>0</v>
      </c>
      <c r="ON94" s="21" t="e">
        <f>EXP(-LN(2)/35)*ON93+(1-EXP(-LN(2)/35))/(LN(2)/35)*OJ94*OK94*VLOOKUP('Données projet'!$B$27,Paramètres!$A$1:$I$89,3,0)*0.475*44/12</f>
        <v>#N/A</v>
      </c>
      <c r="OO94" s="21" t="e">
        <f>EXP(-LN(2)/25)*OO93+(1-EXP(-LN(2)/25))/(LN(2)/25)*Calculateur!OJ94*Calculateur!OL94*VLOOKUP('Données projet'!$B$27,Paramètres!$A$1:$I$89,3,0)*0.475*44/12</f>
        <v>#N/A</v>
      </c>
      <c r="OP94" s="21" t="e">
        <f>EXP(-LN(2)/2)*OP93+(1-EXP(-LN(2)/2))/(LN(2)/2)*OJ94*OM94*VLOOKUP('Données projet'!$B$27,Paramètres!$A$1:$I$89,3,0)*0.475*44/12</f>
        <v>#N/A</v>
      </c>
      <c r="OQ94" s="22" t="e">
        <f t="shared" si="176"/>
        <v>#N/A</v>
      </c>
      <c r="OR94" s="74">
        <f>('Scénario référence'!$F$8+'Scénario référence'!$F$9+'Scénario référence'!$B$17+'Scénario référence'!$B$9+'Scénario référence'!$B$10)*70+IF((45+25*(1-EXP(-0.0175*$A94)))&lt;70,'Scénario référence'!$B$16*(45+25*(1-EXP(-0.0175*$A94))),70*'Scénario référence'!$B$16)+IF((32+38*(1-EXP(-0.0175*$A94)))&lt;70,'Scénario référence'!$B$18*(32+38*(1-EXP(-0.0175*$A94))),70*'Scénario référence'!$B$18)</f>
        <v>70</v>
      </c>
      <c r="OS94" s="12">
        <f>IF($A94&gt;30,10,('Scénario référence'!$B$16+'Scénario référence'!$B$17+'Scénario référence'!$B$18+'Scénario référence'!$B$9+'Scénario référence'!$B$10)*$A94*10/30+('Scénario référence'!$F$8+'Scénario référence'!$F$9)*10)</f>
        <v>10</v>
      </c>
      <c r="OT94" s="12" t="e">
        <f>VLOOKUP($A94,'Données projet'!$A$538:$I$558,2,0)</f>
        <v>#N/A</v>
      </c>
      <c r="OU94" s="12" t="e">
        <f>VLOOKUP($A94,'Données projet'!$A$538:$I$558,9,0)</f>
        <v>#N/A</v>
      </c>
      <c r="OV94" s="12">
        <f t="array" ref="OV94">INDEX(OU:OU,MIN(IF(ISNUMBER(OU94:OU290),ROW(OU94:OU290),"")))</f>
        <v>0</v>
      </c>
      <c r="OW94" s="12">
        <f>IF('Données projet'!$A$538&gt;35,OW93+OV94-PE93,IF($A94&lt;'Données projet'!$A$538,$CQ$205^$A94,IF($A94='Données projet'!$A$538,'Données projet'!$B$538,OW93+OV94-PE93)))</f>
        <v>0</v>
      </c>
      <c r="OX94" s="17" t="e">
        <f>OW94*VLOOKUP('Données projet'!$B$28,Paramètres!$A$1:$I$89,3,0)*VLOOKUP('Données projet'!$B$28,Paramètres!$A$1:$I$89,5,0)</f>
        <v>#N/A</v>
      </c>
      <c r="OY94" s="13" t="e">
        <f t="shared" si="220"/>
        <v>#N/A</v>
      </c>
      <c r="OZ94" s="14" t="e">
        <f t="shared" si="177"/>
        <v>#N/A</v>
      </c>
      <c r="PA94" s="59" t="e">
        <f t="shared" si="178"/>
        <v>#N/A</v>
      </c>
      <c r="PB94" s="20" t="e">
        <f ca="1">AVERAGE(OFFSET($PA$3,0,0,'Données projet'!$E$28+1,1))-AVERAGE(OFFSET($H$3,0,0,'Données projet'!$E$28+1,1))</f>
        <v>#N/A</v>
      </c>
      <c r="PC94" s="59" t="e">
        <f t="shared" si="221"/>
        <v>#N/A</v>
      </c>
      <c r="PD94" s="15">
        <f>IF(ISNA(VLOOKUP($A94,'Données projet'!$A$538:$I$558,3,0)),0,VLOOKUP($A94,'Données projet'!$A$538:$I$558,3,0))</f>
        <v>0</v>
      </c>
      <c r="PE94" s="15">
        <f>IF(ISNA(VLOOKUP($A94,'Données projet'!$A$538:$I$558,4,0)),0,VLOOKUP($A94,'Données projet'!$A$538:$I$558,4,0))</f>
        <v>0</v>
      </c>
      <c r="PF94" s="16">
        <f>IF(ISNA(VLOOKUP($A94,'Données projet'!$A$538:$I$558,5,0)),0%,VLOOKUP($A94,'Données projet'!$A$538:$I$558,5,0)*VLOOKUP('Données projet'!$B$28,Paramètres!$A$1:$I$89,7,0))</f>
        <v>0</v>
      </c>
      <c r="PG94" s="16">
        <f>IF(ISNA(VLOOKUP($A94,'Données projet'!$A$538:$I$558,6,0)),0%,VLOOKUP($A94,'Données projet'!$A$538:$I$558,6,0)*VLOOKUP('Données projet'!$B$28,Paramètres!$A$1:$I$89,7,0))</f>
        <v>0</v>
      </c>
      <c r="PH94" s="16">
        <f>IF(ISNA(VLOOKUP($A94,'Données projet'!$A$538:$I$558,7,0)),0%,VLOOKUP($A94,'Données projet'!$A$538:$I$558,7,0))</f>
        <v>0</v>
      </c>
      <c r="PI94" s="21" t="e">
        <f>EXP(-LN(2)/35)*PI93+(1-EXP(-LN(2)/35))/(LN(2)/35)*PE94*PF94*VLOOKUP('Données projet'!$B$28,Paramètres!$A$1:$I$89,3,0)*0.475*44/12</f>
        <v>#N/A</v>
      </c>
      <c r="PJ94" s="21" t="e">
        <f>EXP(-LN(2)/25)*PJ93+(1-EXP(-LN(2)/25))/(LN(2)/25)*Calculateur!PE94*Calculateur!PG94*VLOOKUP('Données projet'!$B$28,Paramètres!$A$1:$I$89,3,0)*0.475*44/12</f>
        <v>#N/A</v>
      </c>
      <c r="PK94" s="21" t="e">
        <f>EXP(-LN(2)/2)*PK93+(1-EXP(-LN(2)/2))/(LN(2)/2)*PE94*PH94*VLOOKUP('Données projet'!$B$28,Paramètres!$A$1:$I$89,3,0)*0.475*44/12</f>
        <v>#N/A</v>
      </c>
      <c r="PL94" s="22" t="e">
        <f t="shared" si="179"/>
        <v>#N/A</v>
      </c>
    </row>
    <row r="95" spans="1:428" x14ac:dyDescent="0.35">
      <c r="A95" s="10">
        <f t="shared" si="180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181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121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projet'!$A$45:$I$65,2,0)</f>
        <v>#N/A</v>
      </c>
      <c r="L95" s="12" t="e">
        <f>VLOOKUP(A95,'Données projet'!$A$45:$I$65,9,0)</f>
        <v>#N/A</v>
      </c>
      <c r="M95" s="12">
        <f t="array" ref="M95">INDEX(L:L,MIN(IF(ISNUMBER(L95:L291),ROW(L95:L291),"")))</f>
        <v>0</v>
      </c>
      <c r="N95" s="13">
        <f>IF('Données projet'!$A$46&gt;35,N94+M95-V94,IF(A95&lt;'Données projet'!$A$46,$K$205^A95,IF(A95='Données projet'!$A$46,'Données projet'!$B$46,N94+M95-V94)))</f>
        <v>-1.1368683772161603E-13</v>
      </c>
      <c r="O95" s="13">
        <f>N95*VLOOKUP('Données projet'!$B$9,Paramètres!$A$1:$I$89,3,0)*VLOOKUP('Données projet'!$B$9,Paramètres!$A$1:$I$89,5,0)</f>
        <v>-6.3550942286383367E-14</v>
      </c>
      <c r="P95" s="13" t="e">
        <f t="shared" si="182"/>
        <v>#NUM!</v>
      </c>
      <c r="Q95" s="20" t="e">
        <f t="shared" si="119"/>
        <v>#NUM!</v>
      </c>
      <c r="R95" s="59" t="e">
        <f t="shared" si="120"/>
        <v>#NUM!</v>
      </c>
      <c r="S95" s="59">
        <f ca="1">AVERAGE(OFFSET($R$3,0,0,'Données projet'!$E$9+1,1))-AVERAGE(OFFSET($H$3,0,0,'Données projet'!$E$9+1,1))</f>
        <v>274.57619581652199</v>
      </c>
      <c r="T95" s="59">
        <f t="shared" si="183"/>
        <v>366.15117322598775</v>
      </c>
      <c r="U95" s="15">
        <f>IF(ISNA(VLOOKUP(A95,'Données projet'!$A$45:$I$65,3,0)),0,VLOOKUP(A95,'Données projet'!$A$45:$I$65,3,0))</f>
        <v>0</v>
      </c>
      <c r="V95" s="15">
        <f>IF(ISNA(VLOOKUP(A95,'Données projet'!$A$45:$I$65,4,0)),0,VLOOKUP(A95,'Données projet'!$A$45:$I$65,4,0))</f>
        <v>0</v>
      </c>
      <c r="W95" s="16">
        <f>IF(ISNA(VLOOKUP(A95,'Données projet'!$A$45:$I$65,5,0)),0%,VLOOKUP(A95,'Données projet'!$A$45:$I$65,5,0)*VLOOKUP('Données projet'!$B$9,Paramètres!$A$1:$I$89,7,0))</f>
        <v>0</v>
      </c>
      <c r="X95" s="16">
        <f>IF(ISNA(VLOOKUP(A95,'Données projet'!$A$45:$I$65,6,0)),0%,VLOOKUP(A95,'Données projet'!$A$45:$I$65,6,0)*VLOOKUP('Données projet'!$B$9,Paramètres!$A$1:$I$89,7,0))</f>
        <v>0</v>
      </c>
      <c r="Y95" s="16">
        <f>IF(ISNA(VLOOKUP(A95,'Données projet'!$A$45:$I$65,7,0)),0%,VLOOKUP(A95,'Données projet'!$A$45:$I$65,7,0))</f>
        <v>0</v>
      </c>
      <c r="Z95" s="21">
        <f>EXP(-LN(2)/35)*Z94+(1-EXP(-LN(2)/35))/(LN(2)/35)*V95*W95*VLOOKUP('Données projet'!$B$9,Paramètres!$A$1:$I$89,3,0)*0.475*44/12</f>
        <v>108.92751186860532</v>
      </c>
      <c r="AA95" s="21">
        <f>EXP(-LN(2)/25)*AA94+(1-EXP(-LN(2)/25))/(LN(2)/25)*Calculateur!V95*Calculateur!X95*VLOOKUP('Données projet'!$B$9,Paramètres!$A$1:$I$89,3,0)*0.475*44/12</f>
        <v>20.651708904683769</v>
      </c>
      <c r="AB95" s="21">
        <f>EXP(-LN(2)/2)*AB94+(1-EXP(-LN(2)/2))/(LN(2)/2)*V95*Y95*VLOOKUP('Données projet'!$B$9,Paramètres!$A$1:$I$89,3,0)*0.475*44/12</f>
        <v>9.2146643506939272E-5</v>
      </c>
      <c r="AC95" s="22">
        <f t="shared" si="122"/>
        <v>129.57931291993259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projet'!$A$71:$I$91,2,0)</f>
        <v>#N/A</v>
      </c>
      <c r="AG95" s="12" t="e">
        <f>VLOOKUP(A95,'Données projet'!$A$71:$I$91,9,0)</f>
        <v>#N/A</v>
      </c>
      <c r="AH95" s="12">
        <f t="array" ref="AH95">INDEX(AG:AG,MIN(IF(ISNUMBER(AG95:AG291),ROW(AG95:AG291),"")))</f>
        <v>7.1782051282051267</v>
      </c>
      <c r="AI95" s="13">
        <f>IF('Données projet'!$A$72&gt;35,AI94+AH95-AQ94,IF(A95&lt;'Données projet'!$A$72,$AF$205^A95,IF(A95='Données projet'!$A$72,'Données projet'!$B$72,AI94+AH95-AQ94)))</f>
        <v>268.00256410256446</v>
      </c>
      <c r="AJ95" s="13">
        <f>AI95*VLOOKUP('Données projet'!$B$10,Paramètres!$A$1:$I$89,3,0)*VLOOKUP('Données projet'!$B$10,Paramètres!$A$1:$I$89,5,0)</f>
        <v>242.48872000000031</v>
      </c>
      <c r="AK95" s="13">
        <f t="shared" si="184"/>
        <v>58.974668795914049</v>
      </c>
      <c r="AL95" s="20">
        <f t="shared" si="123"/>
        <v>525.04873548621742</v>
      </c>
      <c r="AM95" s="59">
        <f t="shared" si="124"/>
        <v>818.3820688195508</v>
      </c>
      <c r="AN95" s="59">
        <f ca="1">AVERAGE(OFFSET($AM$3,0,0,'Données projet'!$E$10+1,1))-AVERAGE(OFFSET($H$3,0,0,'Données projet'!$E$10+1,1))</f>
        <v>270.87836509222456</v>
      </c>
      <c r="AO95" s="59">
        <f t="shared" si="185"/>
        <v>205.24998237949734</v>
      </c>
      <c r="AP95" s="15">
        <f>IF(ISNA(VLOOKUP(A95,'Données projet'!$A$71:$I$91,3,0)),0,VLOOKUP(A95,'Données projet'!$A$71:$I$91,3,0))</f>
        <v>0</v>
      </c>
      <c r="AQ95" s="15">
        <f>IF(ISNA(VLOOKUP(A95,'Données projet'!$A$71:$I$91,4,0)),0,VLOOKUP(A95,'Données projet'!$A$71:$I$91,4,0))</f>
        <v>0</v>
      </c>
      <c r="AR95" s="16">
        <f>IF(ISNA(VLOOKUP(A95,'Données projet'!$A$71:$I$91,5,0)),0%,VLOOKUP(A95,'Données projet'!$A$71:$I$91,5,0)*VLOOKUP('Données projet'!$B$10,Paramètres!$A$1:$I$89,7,0))</f>
        <v>0</v>
      </c>
      <c r="AS95" s="16">
        <f>IF(ISNA(VLOOKUP(A95,'Données projet'!$A$71:$I$91,6,0)),0%,VLOOKUP(A95,'Données projet'!$A$71:$I$91,6,0)*VLOOKUP('Données projet'!$B$10,Paramètres!$A$1:$I$89,7,0))</f>
        <v>0</v>
      </c>
      <c r="AT95" s="16">
        <f>IF(ISNA(VLOOKUP(A95,'Données projet'!$A$71:$I$91,7,0)),0%,VLOOKUP(A95,'Données projet'!$A$71:$I$91,7,0))</f>
        <v>0</v>
      </c>
      <c r="AU95" s="21">
        <f>EXP(-LN(2)/35)*AU94+(1-EXP(-LN(2)/35))/(LN(2)/35)*AQ95*AR95*VLOOKUP('Données projet'!$B$10,Paramètres!$A$1:$I$89,3,0)*0.475*44/12</f>
        <v>39.845298866940702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125"/>
        <v>39.845298866940702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projet'!$A$97:$I$117,2,0)</f>
        <v>#N/A</v>
      </c>
      <c r="BB95" s="12" t="e">
        <f>VLOOKUP(A95,'Données projet'!$A$97:$I$117,9,0)</f>
        <v>#N/A</v>
      </c>
      <c r="BC95" s="12">
        <f t="array" ref="BC95">INDEX(BB:BB,MIN(IF(ISNUMBER(BB95:BB291),ROW(BB95:BB291),"")))</f>
        <v>0</v>
      </c>
      <c r="BD95" s="12">
        <f>IF('Données projet'!$A$98&gt;35,BD94+BC95-BL94,IF(A95&lt;'Données projet'!$A$98,$BA$205^A95,IF(A95='Données projet'!$A$98,'Données projet'!$B$98,BD94+BC95-BL94)))</f>
        <v>-1.1368683772161603E-13</v>
      </c>
      <c r="BE95" s="13">
        <f>BD95*VLOOKUP('Données projet'!$B$11,Paramètres!$A$1:$I$89,3,0)*VLOOKUP('Données projet'!$B$11,Paramètres!$A$1:$I$89,5,0)</f>
        <v>-5.0249582272954292E-14</v>
      </c>
      <c r="BF95" s="13" t="e">
        <f t="shared" si="186"/>
        <v>#NUM!</v>
      </c>
      <c r="BG95" s="20" t="e">
        <f t="shared" si="126"/>
        <v>#NUM!</v>
      </c>
      <c r="BH95" s="59" t="e">
        <f t="shared" si="127"/>
        <v>#NUM!</v>
      </c>
      <c r="BI95" s="59">
        <f ca="1">AVERAGE(OFFSET($BH$3,0,0,'Données projet'!$E$11+1,1))-AVERAGE(OFFSET($H$3,0,0,'Données projet'!$E$11+1,1))</f>
        <v>211.31057120485542</v>
      </c>
      <c r="BJ95" s="59">
        <f t="shared" si="187"/>
        <v>283.33292006714777</v>
      </c>
      <c r="BK95" s="15">
        <f>IF(ISNA(VLOOKUP(A95,'Données projet'!$A$97:$I$117,3,0)),0,VLOOKUP(A95,'Données projet'!$A$97:$I$117,3,0))</f>
        <v>0</v>
      </c>
      <c r="BL95" s="15">
        <f>IF(ISNA(VLOOKUP(A95,'Données projet'!$A$97:$I$117,4,0)),0,VLOOKUP(A95,'Données projet'!$A$97:$I$117,4,0))</f>
        <v>0</v>
      </c>
      <c r="BM95" s="16">
        <f>IF(ISNA(VLOOKUP(A95,'Données projet'!$A$97:$I$117,5,0)),0%,VLOOKUP(A95,'Données projet'!$A$97:$I$117,5,0)*VLOOKUP('Données projet'!$B$11,Paramètres!$A$1:$I$89,7,0))</f>
        <v>0</v>
      </c>
      <c r="BN95" s="16">
        <f>IF(ISNA(VLOOKUP(A95,'Données projet'!$A$97:$I$117,6,0)),0%,VLOOKUP(A95,'Données projet'!$A$97:$I$117,6,0)*VLOOKUP('Données projet'!$B$11,Paramètres!$A$1:$I$89,7,0))</f>
        <v>0</v>
      </c>
      <c r="BO95" s="16">
        <f>IF(ISNA(VLOOKUP(A95,'Données projet'!$A$97:$I$117,7,0)),0%,VLOOKUP(A95,'Données projet'!$A$97:$I$117,7,0))</f>
        <v>0</v>
      </c>
      <c r="BP95" s="21">
        <f>EXP(-LN(2)/35)*BP94+(1-EXP(-LN(2)/35))/(LN(2)/35)*BL95*BM95*VLOOKUP('Données projet'!$B$11,Paramètres!$A$1:$I$89,3,0)*0.475*44/12</f>
        <v>86.128730314711206</v>
      </c>
      <c r="BQ95" s="21">
        <f>EXP(-LN(2)/25)*BQ94+(1-EXP(-LN(2)/25))/(LN(2)/25)*Calculateur!BL95*Calculateur!BN95*VLOOKUP('Données projet'!$B$11,Paramètres!$A$1:$I$89,3,0)*0.475*44/12</f>
        <v>16.329258203703439</v>
      </c>
      <c r="BR95" s="21">
        <f>EXP(-LN(2)/2)*BR94+(1-EXP(-LN(2)/2))/(LN(2)/2)*BL95*BO95*VLOOKUP('Données projet'!$B$11,Paramètres!$A$1:$I$89,3,0)*0.475*44/12</f>
        <v>7.2860136726417084E-5</v>
      </c>
      <c r="BS95" s="22">
        <f t="shared" si="128"/>
        <v>102.45806137855138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projet'!$A$123:$I$143,2,0)</f>
        <v>#N/A</v>
      </c>
      <c r="BW95" s="12" t="e">
        <f>VLOOKUP(A95,'Données projet'!$A$123:$I$143,9,0)</f>
        <v>#N/A</v>
      </c>
      <c r="BX95" s="12">
        <f t="array" ref="BX95">INDEX(BW:BW,MIN(IF(ISNUMBER(BW95:BW291),ROW(BW95:BW291),"")))</f>
        <v>3</v>
      </c>
      <c r="BY95" s="12">
        <f>IF('Données projet'!$A$124&gt;35,BY94+BX95-CG94,IF(A95&lt;'Données projet'!$A$124,$BV$205^A95,IF(A95='Données projet'!$A$124,'Données projet'!$B$124,BY94+BX95-CG94)))</f>
        <v>243</v>
      </c>
      <c r="BZ95" s="13">
        <f>BY95*VLOOKUP('Données projet'!$B$12,Paramètres!$A$1:$I$89,3,0)*VLOOKUP('Données projet'!$B$12,Paramètres!$A$1:$I$89,5,0)</f>
        <v>253.98360000000002</v>
      </c>
      <c r="CA95" s="13">
        <f t="shared" si="188"/>
        <v>61.438182405444294</v>
      </c>
      <c r="CB95" s="20">
        <f t="shared" si="129"/>
        <v>549.35960435614891</v>
      </c>
      <c r="CC95" s="59">
        <f t="shared" si="130"/>
        <v>842.69293768948228</v>
      </c>
      <c r="CD95" s="59">
        <f ca="1">AVERAGE(OFFSET($CC$3,0,0,'Données projet'!$E$12+1,1))-AVERAGE(OFFSET($H$3,0,0,'Données projet'!$E$12+1,1))</f>
        <v>322.93502595881938</v>
      </c>
      <c r="CE95" s="59">
        <f t="shared" si="189"/>
        <v>302.67072119588164</v>
      </c>
      <c r="CF95" s="15">
        <f>IF(ISNA(VLOOKUP(A95,'Données projet'!$A$123:$I$143,3,0)),0,VLOOKUP(A95,'Données projet'!$A$123:$I$143,3,0))</f>
        <v>0</v>
      </c>
      <c r="CG95" s="15">
        <f>IF(ISNA(VLOOKUP(A95,'Données projet'!$A$123:$I$143,4,0)),0,VLOOKUP(A95,'Données projet'!$A$123:$I$143,4,0))</f>
        <v>0</v>
      </c>
      <c r="CH95" s="16">
        <f>IF(ISNA(VLOOKUP(A95,'Données projet'!$A$123:$I$143,5,0)),0%,VLOOKUP(A95,'Données projet'!$A$123:$I$143,5,0)*VLOOKUP('Données projet'!$B$12,Paramètres!$A$1:$I$89,7,0))</f>
        <v>0</v>
      </c>
      <c r="CI95" s="16">
        <f>IF(ISNA(VLOOKUP(A95,'Données projet'!$A$123:$I$143,6,0)),0%,VLOOKUP(A95,'Données projet'!$A$123:$I$143,6,0)*VLOOKUP('Données projet'!$B$12,Paramètres!$A$1:$I$89,7,0))</f>
        <v>0</v>
      </c>
      <c r="CJ95" s="16">
        <f>IF(ISNA(VLOOKUP(A95,'Données projet'!$A$123:$I$143,7,0)),0%,VLOOKUP(A95,'Données projet'!$A$123:$I$143,7,0))</f>
        <v>0</v>
      </c>
      <c r="CK95" s="21">
        <f>EXP(-LN(2)/35)*CK94+(1-EXP(-LN(2)/35))/(LN(2)/35)*CG95*CH95*VLOOKUP('Données projet'!$B$12,Paramètres!$A$1:$I$89,3,0)*0.475*44/12</f>
        <v>28.884323632582486</v>
      </c>
      <c r="CL95" s="21">
        <f>EXP(-LN(2)/25)*CL94+(1-EXP(-LN(2)/25))/(LN(2)/25)*Calculateur!CG95*Calculateur!CI95*VLOOKUP('Données projet'!$B$12,Paramètres!$A$1:$I$89,3,0)*0.475*44/12</f>
        <v>19.466184277020137</v>
      </c>
      <c r="CM95" s="21">
        <f>EXP(-LN(2)/2)*CM94+(1-EXP(-LN(2)/2))/(LN(2)/2)*CG95*CJ95*VLOOKUP('Données projet'!$B$12,Paramètres!$A$1:$I$89,3,0)*0.475*44/12</f>
        <v>0</v>
      </c>
      <c r="CN95" s="22">
        <f t="shared" si="131"/>
        <v>48.350507909602626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projet'!$A$149:$I$169,2,0)</f>
        <v>#N/A</v>
      </c>
      <c r="CR95" s="12" t="e">
        <f>VLOOKUP(A95,'Données projet'!$A$149:$I$169,9,0)</f>
        <v>#N/A</v>
      </c>
      <c r="CS95" s="12">
        <f t="array" ref="CS95">INDEX(CR:CR,MIN(IF(ISNUMBER(CR95:CR291),ROW(CR95:CR291),"")))</f>
        <v>5.2606837606837598</v>
      </c>
      <c r="CT95" s="12">
        <f>IF('Données projet'!$A$150&gt;35,CT94+CS95-DB94,IF(A95&lt;'Données projet'!$A$150,$CQ$205^A95,IF(A95='Données projet'!$A$150,'Données projet'!$B$150,CT94+CS95-DB94)))</f>
        <v>207.0085470085468</v>
      </c>
      <c r="CU95" s="17">
        <f>CT95*VLOOKUP('Données projet'!$B$13,Paramètres!$A$1:$I$89,3,0)*VLOOKUP('Données projet'!$B$13,Paramètres!$A$1:$I$89,5,0)</f>
        <v>209.90666666666647</v>
      </c>
      <c r="CV95" s="13">
        <f t="shared" si="190"/>
        <v>51.915189489079573</v>
      </c>
      <c r="CW95" s="20">
        <f t="shared" si="132"/>
        <v>456.00639947125768</v>
      </c>
      <c r="CX95" s="59">
        <f t="shared" si="133"/>
        <v>749.33973280459099</v>
      </c>
      <c r="CY95" s="59">
        <f ca="1">AVERAGE(OFFSET($CX$3,0,0,'Données projet'!$E$13+1,1))-AVERAGE(OFFSET($H$3,0,0,'Données projet'!$E$13+1,1))</f>
        <v>250.31277422753283</v>
      </c>
      <c r="CZ95" s="59">
        <f t="shared" si="191"/>
        <v>159.20429420478047</v>
      </c>
      <c r="DA95" s="15">
        <f>IF(ISNA(VLOOKUP(A95,'Données projet'!$A$149:$I$169,3,0)),0,VLOOKUP(A95,'Données projet'!$A$149:$I$169,3,0))</f>
        <v>0</v>
      </c>
      <c r="DB95" s="15">
        <f>IF(ISNA(VLOOKUP(A95,'Données projet'!$A$149:$I$169,4,0)),0,VLOOKUP(A95,'Données projet'!$A$149:$I$169,4,0))</f>
        <v>0</v>
      </c>
      <c r="DC95" s="16">
        <f>IF(ISNA(VLOOKUP(A95,'Données projet'!$A$149:$I$169,5,0)),0%,VLOOKUP(A95,'Données projet'!$A$149:$I$169,5,0)*VLOOKUP('Données projet'!$B$13,Paramètres!$A$1:$I$89,7,0))</f>
        <v>0</v>
      </c>
      <c r="DD95" s="16">
        <f>IF(ISNA(VLOOKUP(A95,'Données projet'!$A$149:$I$169,6,0)),0%,VLOOKUP(A95,'Données projet'!$A$149:$I$169,6,0)*VLOOKUP('Données projet'!$B$13,Paramètres!$A$1:$I$89,7,0))</f>
        <v>0</v>
      </c>
      <c r="DE95" s="16">
        <f>IF(ISNA(VLOOKUP(A95,'Données projet'!$A$149:$I$169,7,0)),0%,VLOOKUP(A95,'Données projet'!$A$149:$I$169,7,0))</f>
        <v>0</v>
      </c>
      <c r="DF95" s="21">
        <f>EXP(-LN(2)/35)*DF94+(1-EXP(-LN(2)/35))/(LN(2)/35)*DB95*DC95*VLOOKUP('Données projet'!$B$13,Paramètres!$A$1:$I$89,3,0)*0.475*44/12</f>
        <v>17.552431786148034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134"/>
        <v>17.552431786148034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projet'!$A$175:$I$195,2,0)</f>
        <v>#N/A</v>
      </c>
      <c r="DM95" s="12" t="e">
        <f>VLOOKUP(A95,'Données projet'!$A$175:$I$195,9,0)</f>
        <v>#N/A</v>
      </c>
      <c r="DN95" s="12">
        <f t="array" ref="DN95">INDEX(DM:DM,MIN(IF(ISNUMBER(DM95:DM291),ROW(DM95:DM291),"")))</f>
        <v>0</v>
      </c>
      <c r="DO95" s="12">
        <f>IF('Données projet'!$A$176&gt;35,DO94+DN95-DW94,IF(A95&lt;'Données projet'!$A$176,$DL$205^A95,IF(A95='Données projet'!$A$176,'Données projet'!$B$176,DO94+DN95-DW94)))</f>
        <v>-2.8421709430404007E-13</v>
      </c>
      <c r="DP95" s="17">
        <f>DO95*VLOOKUP('Données projet'!$B$14,Paramètres!$A$1:$I$89,3,0)*VLOOKUP('Données projet'!$B$14,Paramètres!$A$1:$I$89,5,0)</f>
        <v>-2.0838797354372215E-13</v>
      </c>
      <c r="DQ95" s="13" t="e">
        <f t="shared" si="192"/>
        <v>#NUM!</v>
      </c>
      <c r="DR95" s="20" t="e">
        <f t="shared" si="135"/>
        <v>#NUM!</v>
      </c>
      <c r="DS95" s="59" t="e">
        <f t="shared" si="136"/>
        <v>#NUM!</v>
      </c>
      <c r="DT95" s="59">
        <f ca="1">AVERAGE(OFFSET($DS$3,0,0,'Données projet'!$E$14+1,1))-AVERAGE(OFFSET($H$3,0,0,'Données projet'!$E$14+1,1))</f>
        <v>296.91321813251051</v>
      </c>
      <c r="DU95" s="59">
        <f t="shared" si="193"/>
        <v>291.0718079639509</v>
      </c>
      <c r="DV95" s="15">
        <f>IF(ISNA(VLOOKUP(A95,'Données projet'!$A$175:$I$195,3,0)),0,VLOOKUP(A95,'Données projet'!$A$175:$I$195,3,0))</f>
        <v>0</v>
      </c>
      <c r="DW95" s="15">
        <f>IF(ISNA(VLOOKUP(A95,'Données projet'!$A$175:$I$195,4,0)),0,VLOOKUP(A95,'Données projet'!$A$175:$I$195,4,0))</f>
        <v>0</v>
      </c>
      <c r="DX95" s="16">
        <f>IF(ISNA(VLOOKUP(A95,'Données projet'!$A$175:$I$195,5,0)),0%,VLOOKUP(A95,'Données projet'!$A$175:$I$195,5,0)*VLOOKUP('Données projet'!$B$14,Paramètres!$A$1:$I$89,7,0))</f>
        <v>0</v>
      </c>
      <c r="DY95" s="16">
        <f>IF(ISNA(VLOOKUP(A95,'Données projet'!$A$175:$I$195,6,0)),0%,VLOOKUP(A95,'Données projet'!$A$175:$I$195,6,0)*VLOOKUP('Données projet'!$B$14,Paramètres!$A$1:$I$89,7,0))</f>
        <v>0</v>
      </c>
      <c r="DZ95" s="16">
        <f>IF(ISNA(VLOOKUP(A95,'Données projet'!$A$175:$I$195,7,0)),0%,VLOOKUP(A95,'Données projet'!$A$175:$I$195,7,0))</f>
        <v>0</v>
      </c>
      <c r="EA95" s="21">
        <f>EXP(-LN(2)/35)*EA94+(1-EXP(-LN(2)/35))/(LN(2)/35)*DW95*DX95*VLOOKUP('Données projet'!$B$14,Paramètres!$A$1:$I$89,3,0)*0.475*44/12</f>
        <v>136.76815264363333</v>
      </c>
      <c r="EB95" s="21">
        <f>EXP(-LN(2)/25)*EB94+(1-EXP(-LN(2)/25))/(LN(2)/25)*Calculateur!DW95*Calculateur!DY95*VLOOKUP('Données projet'!$B$14,Paramètres!$A$1:$I$89,3,0)*0.475*44/12</f>
        <v>3.8393245574839141</v>
      </c>
      <c r="EC95" s="21">
        <f>EXP(-LN(2)/2)*EC94+(1-EXP(-LN(2)/2))/(LN(2)/2)*DW95*DZ95*VLOOKUP('Données projet'!$B$14,Paramètres!$A$1:$I$89,3,0)*0.475*44/12</f>
        <v>0</v>
      </c>
      <c r="ED95" s="22">
        <f t="shared" si="137"/>
        <v>140.60747720111723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projet'!$A$201:$I$221,2,0)</f>
        <v>#N/A</v>
      </c>
      <c r="EH95" s="12" t="e">
        <f>VLOOKUP(A95,'Données projet'!$A$201:$I$221,9,0)</f>
        <v>#N/A</v>
      </c>
      <c r="EI95" s="12">
        <f t="array" ref="EI95">INDEX(EH:EH,MIN(IF(ISNUMBER(EH95:EH291),ROW(EH95:EH291),"")))</f>
        <v>8.1391025641025667</v>
      </c>
      <c r="EJ95" s="12">
        <f>IF('Données projet'!$A$202&gt;35,EJ94+EI95-ER94,IF(A95&lt;'Données projet'!$A$202,$EG$205^A95,IF(A95='Données projet'!$A$202,'Données projet'!$B$202,EJ94+EI95-ER94)))</f>
        <v>340.89551282051309</v>
      </c>
      <c r="EK95" s="17">
        <f>EJ95*VLOOKUP('Données projet'!$B$15,Paramètres!$A$1:$I$89,3,0)*VLOOKUP('Données projet'!$B$15,Paramètres!$A$1:$I$89,5,0)</f>
        <v>159.53910000000013</v>
      </c>
      <c r="EL95" s="13">
        <f t="shared" si="194"/>
        <v>40.73854067777345</v>
      </c>
      <c r="EM95" s="20">
        <f t="shared" si="138"/>
        <v>348.81689084712229</v>
      </c>
      <c r="EN95" s="59">
        <f t="shared" si="139"/>
        <v>642.15022418045555</v>
      </c>
      <c r="EO95" s="59">
        <f ca="1">AVERAGE(OFFSET($EN$3,0,0,'Données projet'!$E$15+1,1))-AVERAGE(OFFSET($H$3,0,0,'Données projet'!$E$15+1,1))</f>
        <v>147.64256291235483</v>
      </c>
      <c r="EP95" s="59">
        <f t="shared" si="195"/>
        <v>70.859031694091868</v>
      </c>
      <c r="EQ95" s="15">
        <f>IF(ISNA(VLOOKUP(A95,'Données projet'!$A$201:$I$221,3,0)),0,VLOOKUP(A95,'Données projet'!$A$201:$I$221,3,0))</f>
        <v>0</v>
      </c>
      <c r="ER95" s="15">
        <f>IF(ISNA(VLOOKUP(A95,'Données projet'!$A$201:$I$221,4,0)),0,VLOOKUP(A95,'Données projet'!$A$201:$I$221,4,0))</f>
        <v>0</v>
      </c>
      <c r="ES95" s="16">
        <f>IF(ISNA(VLOOKUP(A95,'Données projet'!$A$201:$I$221,5,0)),0%,VLOOKUP(A95,'Données projet'!$A$201:$I$221,5,0)*VLOOKUP('Données projet'!$B$15,Paramètres!$A$1:$I$89,7,0))</f>
        <v>0</v>
      </c>
      <c r="ET95" s="16">
        <f>IF(ISNA(VLOOKUP(A95,'Données projet'!$A$201:$I$221,6,0)),0%,VLOOKUP(A95,'Données projet'!$A$201:$I$221,6,0)*VLOOKUP('Données projet'!$B$15,Paramètres!$A$1:$I$89,7,0))</f>
        <v>0</v>
      </c>
      <c r="EU95" s="16">
        <f>IF(ISNA(VLOOKUP(A95,'Données projet'!$A$201:$I$221,7,0)),0%,VLOOKUP(A95,'Données projet'!$A$201:$I$221,7,0))</f>
        <v>0</v>
      </c>
      <c r="EV95" s="21">
        <f>EXP(-LN(2)/35)*EV94+(1-EXP(-LN(2)/35))/(LN(2)/35)*ER95*ES95*VLOOKUP('Données projet'!$B$15,Paramètres!$A$1:$I$89,3,0)*0.475*44/12</f>
        <v>47.072841486135701</v>
      </c>
      <c r="EW95" s="21">
        <f>EXP(-LN(2)/25)*EW94+(1-EXP(-LN(2)/25))/(LN(2)/25)*Calculateur!ER95*Calculateur!ET95*VLOOKUP('Données projet'!$B$15,Paramètres!$A$1:$I$89,3,0)*0.475*44/12</f>
        <v>16.063625095201413</v>
      </c>
      <c r="EX95" s="21">
        <f>EXP(-LN(2)/2)*EX94+(1-EXP(-LN(2)/2))/(LN(2)/2)*ER95*EU95*VLOOKUP('Données projet'!$B$15,Paramètres!$A$1:$I$89,3,0)*0.475*44/12</f>
        <v>1.0423351611886811</v>
      </c>
      <c r="EY95" s="22">
        <f t="shared" si="140"/>
        <v>64.178801742525792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projet'!$A$227:$I$247,2,0)</f>
        <v>#N/A</v>
      </c>
      <c r="FC95" s="12" t="e">
        <f>VLOOKUP(A95,'Données projet'!$A$227:$I$247,9,0)</f>
        <v>#N/A</v>
      </c>
      <c r="FD95" s="12">
        <f t="array" ref="FD95">INDEX(FC:FC,MIN(IF(ISNUMBER(FC95:FC291),ROW(FC95:FC291),"")))</f>
        <v>2.8</v>
      </c>
      <c r="FE95" s="12">
        <f>IF('Données projet'!$A$228&gt;35,FE94+FD95-FM94,IF(A95&lt;'Données projet'!$A$228,$FB$205^A95,IF(A95='Données projet'!$A$228,'Données projet'!$B$228,FE94+FD95-FM94)))</f>
        <v>210.60000000000005</v>
      </c>
      <c r="FF95" s="17">
        <f>FE95*VLOOKUP('Données projet'!$B$16,Paramètres!$A$1:$I$89,3,0)*VLOOKUP('Données projet'!$B$16,Paramètres!$A$1:$I$89,5,0)</f>
        <v>220.11912000000007</v>
      </c>
      <c r="FG95" s="13">
        <f t="shared" si="196"/>
        <v>54.140775048344437</v>
      </c>
      <c r="FH95" s="20">
        <f t="shared" si="141"/>
        <v>477.66931720920002</v>
      </c>
      <c r="FI95" s="59">
        <f t="shared" si="142"/>
        <v>771.00265054253327</v>
      </c>
      <c r="FJ95" s="59">
        <f ca="1">AVERAGE(OFFSET($FI$3,0,0,'Données projet'!$E$16+1,1))-AVERAGE(OFFSET($H$3,0,0,'Données projet'!$E$16+1,1))</f>
        <v>259.03906550253788</v>
      </c>
      <c r="FK95" s="59">
        <f t="shared" si="197"/>
        <v>235.54542903570831</v>
      </c>
      <c r="FL95" s="15">
        <f>IF(ISNA(VLOOKUP(A95,'Données projet'!$A$227:$I$247,3,0)),0,VLOOKUP(A95,'Données projet'!$A$227:$I$247,3,0))</f>
        <v>0</v>
      </c>
      <c r="FM95" s="15">
        <f>IF(ISNA(VLOOKUP(A95,'Données projet'!$A$227:$I$247,4,0)),0,VLOOKUP(A95,'Données projet'!$A$227:$I$247,4,0))</f>
        <v>0</v>
      </c>
      <c r="FN95" s="16">
        <f>IF(ISNA(VLOOKUP(A95,'Données projet'!$A$227:$I$247,5,0)),0%,VLOOKUP(A95,'Données projet'!$A$227:$I$247,5,0)*VLOOKUP('Données projet'!$B$16,Paramètres!$A$1:$I$89,7,0))</f>
        <v>0</v>
      </c>
      <c r="FO95" s="16">
        <f>IF(ISNA(VLOOKUP(A95,'Données projet'!$A$227:$I$247,6,0)),0%,VLOOKUP(A95,'Données projet'!$A$227:$I$247,6,0)*VLOOKUP('Données projet'!$B$16,Paramètres!$A$1:$I$89,7,0))</f>
        <v>0</v>
      </c>
      <c r="FP95" s="16">
        <f>IF(ISNA(VLOOKUP(A95,'Données projet'!$A$227:$I$247,7,0)),0%,VLOOKUP(A95,'Données projet'!$A$227:$I$247,7,0))</f>
        <v>0</v>
      </c>
      <c r="FQ95" s="21">
        <f>EXP(-LN(2)/35)*FQ94+(1-EXP(-LN(2)/35))/(LN(2)/35)*FM95*FN95*VLOOKUP('Données projet'!$B$16,Paramètres!$A$1:$I$89,3,0)*0.475*44/12</f>
        <v>14.834005681775881</v>
      </c>
      <c r="FR95" s="21">
        <f>EXP(-LN(2)/25)*FR94+(1-EXP(-LN(2)/25))/(LN(2)/25)*Calculateur!FM95*Calculateur!FO95*VLOOKUP('Données projet'!$B$16,Paramètres!$A$1:$I$89,3,0)*0.475*44/12</f>
        <v>15.805746594754838</v>
      </c>
      <c r="FS95" s="21">
        <f>EXP(-LN(2)/2)*FS94+(1-EXP(-LN(2)/2))/(LN(2)/2)*FM95*FP95*VLOOKUP('Données projet'!$B$16,Paramètres!$A$1:$I$89,3,0)*0.475*44/12</f>
        <v>0</v>
      </c>
      <c r="FT95" s="22">
        <f t="shared" si="143"/>
        <v>30.639752276530722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projet'!$A$253:$I$273,2,0)</f>
        <v>#N/A</v>
      </c>
      <c r="FX95" s="12" t="e">
        <f>VLOOKUP(A95,'Données projet'!$A$253:$I$273,9,0)</f>
        <v>#N/A</v>
      </c>
      <c r="FY95" s="12">
        <f t="array" ref="FY95">INDEX(FX:FX,MIN(IF(ISNUMBER(FX95:FX291),ROW(FX95:FX291),"")))</f>
        <v>0</v>
      </c>
      <c r="FZ95" s="12">
        <f>IF('Données projet'!$A$254&gt;35,FZ94+FY95-GH94,IF(A95&lt;'Données projet'!$A$254,$FW$205^A95,IF(A95='Données projet'!$A$254,'Données projet'!$B$254,FZ94+FY95-GH94)))</f>
        <v>-1.7053025658242404E-13</v>
      </c>
      <c r="GA95" s="17">
        <f>FZ95*VLOOKUP('Données projet'!$B$17,Paramètres!$A$1:$I$89,3,0)*VLOOKUP('Données projet'!$B$17,Paramètres!$A$1:$I$89,5,0)</f>
        <v>-1.4897523215040567E-13</v>
      </c>
      <c r="GB95" s="13" t="e">
        <f t="shared" si="198"/>
        <v>#NUM!</v>
      </c>
      <c r="GC95" s="20" t="e">
        <f t="shared" si="144"/>
        <v>#NUM!</v>
      </c>
      <c r="GD95" s="59" t="e">
        <f t="shared" si="145"/>
        <v>#NUM!</v>
      </c>
      <c r="GE95" s="59">
        <f ca="1">AVERAGE(OFFSET($GD$3,0,0,'Données projet'!$E$17+1,1))-AVERAGE(OFFSET($H$3,0,0,'Données projet'!$E$17+1,1))</f>
        <v>245.1983232777614</v>
      </c>
      <c r="GF95" s="59">
        <f t="shared" si="199"/>
        <v>242.34010522344573</v>
      </c>
      <c r="GG95" s="15">
        <f>IF(ISNA(VLOOKUP(A95,'Données projet'!$A$253:$I$273,3,0)),0,VLOOKUP(A95,'Données projet'!$A$253:$I$273,3,0))</f>
        <v>0</v>
      </c>
      <c r="GH95" s="15">
        <f>IF(ISNA(VLOOKUP(A95,'Données projet'!$A$253:$I$273,4,0)),0,VLOOKUP(A95,'Données projet'!$A$253:$I$273,4,0))</f>
        <v>0</v>
      </c>
      <c r="GI95" s="16">
        <f>IF(ISNA(VLOOKUP(A95,'Données projet'!$A$253:$I$273,5,0)),0%,VLOOKUP(A95,'Données projet'!$A$253:$I$273,5,0)*VLOOKUP('Données projet'!$B$17,Paramètres!$A$1:$I$89,7,0))</f>
        <v>0</v>
      </c>
      <c r="GJ95" s="16">
        <f>IF(ISNA(VLOOKUP(A95,'Données projet'!$A$253:$I$273,6,0)),0%,VLOOKUP(A95,'Données projet'!$A$253:$I$273,6,0)*VLOOKUP('Données projet'!$B$17,Paramètres!$A$1:$I$89,7,0))</f>
        <v>0</v>
      </c>
      <c r="GK95" s="16">
        <f>IF(ISNA(VLOOKUP(A95,'Données projet'!$A$253:$I$273,7,0)),0%,VLOOKUP(A95,'Données projet'!$A$253:$I$273,7,0))</f>
        <v>0</v>
      </c>
      <c r="GL95" s="21">
        <f>EXP(-LN(2)/35)*GL94+(1-EXP(-LN(2)/35))/(LN(2)/35)*GH95*GI95*VLOOKUP('Données projet'!$B$17,Paramètres!$A$1:$I$89,3,0)*0.475*44/12</f>
        <v>97.156606804680507</v>
      </c>
      <c r="GM95" s="21">
        <f>EXP(-LN(2)/25)*GM94+(1-EXP(-LN(2)/25))/(LN(2)/25)*Calculateur!GH95*Calculateur!GJ95*VLOOKUP('Données projet'!$B$17,Paramètres!$A$1:$I$89,3,0)*0.475*44/12</f>
        <v>15.613699533785915</v>
      </c>
      <c r="GN95" s="21">
        <f>EXP(-LN(2)/2)*GN94+(1-EXP(-LN(2)/2))/(LN(2)/2)*GH95*GK95*VLOOKUP('Données projet'!$B$17,Paramètres!$A$1:$I$89,3,0)*0.475*44/12</f>
        <v>0</v>
      </c>
      <c r="GO95" s="21">
        <f t="shared" si="146"/>
        <v>112.77030633846643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projet'!$A$279:$I$299,2,0)</f>
        <v>#N/A</v>
      </c>
      <c r="GS95" s="12" t="e">
        <f>VLOOKUP(A95,'Données projet'!$A$279:$I$299,9,0)</f>
        <v>#N/A</v>
      </c>
      <c r="GT95" s="12">
        <f t="array" ref="GT95">INDEX(GS:GS,MIN(IF(ISNUMBER(GS95:GS291),ROW(GS95:GS291),"")))</f>
        <v>0</v>
      </c>
      <c r="GU95" s="12">
        <f>IF('Données projet'!$A$280&gt;35,GU94+GT95-HC94,IF(A95&lt;'Données projet'!$A$280,$GR$205^A95,IF(A95='Données projet'!$A$280,'Données projet'!$B$280,GU94+GT95-HC94)))</f>
        <v>-1.1368683772161603E-13</v>
      </c>
      <c r="GV95" s="17">
        <f>GU95*VLOOKUP('Données projet'!$B$18,Paramètres!$A$1:$I$89,3,0)*VLOOKUP('Données projet'!$B$18,Paramètres!$A$1:$I$89,5,0)</f>
        <v>-4.5815795601811263E-14</v>
      </c>
      <c r="GW95" s="13" t="e">
        <f t="shared" si="200"/>
        <v>#NUM!</v>
      </c>
      <c r="GX95" s="20" t="e">
        <f t="shared" si="147"/>
        <v>#NUM!</v>
      </c>
      <c r="GY95" s="59" t="e">
        <f t="shared" si="148"/>
        <v>#NUM!</v>
      </c>
      <c r="GZ95" s="59">
        <f ca="1">AVERAGE(OFFSET($GY$3,0,0,'Données projet'!$E$18+1,1))-AVERAGE(OFFSET($H$3,0,0,'Données projet'!$E$18+1,1))</f>
        <v>324.36162935850876</v>
      </c>
      <c r="HA95" s="59">
        <f t="shared" si="201"/>
        <v>265.23571072429735</v>
      </c>
      <c r="HB95" s="15">
        <f>IF(ISNA(VLOOKUP(A95,'Données projet'!$A$279:$I$299,3,0)),0,VLOOKUP(A95,'Données projet'!$A$279:$I$299,3,0))</f>
        <v>0</v>
      </c>
      <c r="HC95" s="15">
        <f>IF(ISNA(VLOOKUP(A95,'Données projet'!$A$279:$I$299,4,0)),0,VLOOKUP(A95,'Données projet'!$A$279:$I$299,4,0))</f>
        <v>0</v>
      </c>
      <c r="HD95" s="16">
        <f>IF(ISNA(VLOOKUP(A95,'Données projet'!$A$279:$I$299,5,0)),0%,VLOOKUP(A95,'Données projet'!$A$279:$I$299,5,0)*VLOOKUP('Données projet'!$B$18,Paramètres!$A$1:$I$89,7,0))</f>
        <v>0</v>
      </c>
      <c r="HE95" s="16">
        <f>IF(ISNA(VLOOKUP(A95,'Données projet'!$A$279:$I$299,6,0)),0%,VLOOKUP(A95,'Données projet'!$A$279:$I$299,6,0)*VLOOKUP('Données projet'!$B$18,Paramètres!$A$1:$I$89,7,0))</f>
        <v>0</v>
      </c>
      <c r="HF95" s="16">
        <f>IF(ISNA(VLOOKUP($A95,'Données projet'!$A$279:$I$299,7,0)),0%,VLOOKUP($A95,'Données projet'!$A$279:$I$299,7,0))</f>
        <v>0</v>
      </c>
      <c r="HG95" s="21">
        <f>EXP(-LN(2)/35)*HG94+(1-EXP(-LN(2)/35))/(LN(2)/35)*HC95*HD95*VLOOKUP('Données projet'!$B$18,Paramètres!$A$1:$I$89,3,0)*0.475*44/12</f>
        <v>186.17745720231784</v>
      </c>
      <c r="HH95" s="21">
        <f>EXP(-LN(2)/25)*HH94+(1-EXP(-LN(2)/25))/(LN(2)/25)*Calculateur!HC95*Calculateur!HE95*VLOOKUP('Données projet'!$B$18,Paramètres!$A$1:$I$89,3,0)*0.475*44/12</f>
        <v>17.365226642402611</v>
      </c>
      <c r="HI95" s="21">
        <f>EXP(-LN(2)/2)*HI94+(1-EXP(-LN(2)/2))/(LN(2)/2)*HC95*HF95*VLOOKUP('Données projet'!$B$18,Paramètres!$A$1:$I$89,3,0)*0.475*44/12</f>
        <v>0.13355015170906137</v>
      </c>
      <c r="HJ95" s="22">
        <f t="shared" si="149"/>
        <v>203.67623399642952</v>
      </c>
      <c r="HK95" s="74">
        <f>('Scénario référence'!$F$8+'Scénario référence'!$F$9+'Scénario référence'!$B$17+'Scénario référence'!$B$9+'Scénario référence'!$B$10)*70+IF((45+25*(1-EXP(-0.0175*$A95)))&lt;70,'Scénario référence'!$B$16*(45+25*(1-EXP(-0.0175*$A95))),70*'Scénario référence'!$B$16)+IF((32+38*(1-EXP(-0.0175*$A95)))&lt;70,'Scénario référence'!$B$18*(32+38*(1-EXP(-0.0175*$A95))),70*'Scénario référence'!$B$18)</f>
        <v>70</v>
      </c>
      <c r="HL95" s="12">
        <f>IF($A95&gt;30,10,('Scénario référence'!$B$16+'Scénario référence'!$B$17+'Scénario référence'!$B$18+'Scénario référence'!$B$9+'Scénario référence'!$B$10)*$A95*10/30+('Scénario référence'!$F$8+'Scénario référence'!$F$9)*10)</f>
        <v>10</v>
      </c>
      <c r="HM95" s="12" t="e">
        <f>VLOOKUP($A95,'Données projet'!$A$304:$I$324,2,0)</f>
        <v>#N/A</v>
      </c>
      <c r="HN95" s="12" t="e">
        <f>VLOOKUP($A95,'Données projet'!$A$304:$I$324,9,0)</f>
        <v>#N/A</v>
      </c>
      <c r="HO95" s="12">
        <f t="array" ref="HO95">INDEX(HN:HN,MIN(IF(ISNUMBER(HN95:HN291),ROW(HN95:HN291),"")))</f>
        <v>0</v>
      </c>
      <c r="HP95" s="12">
        <f>IF('Données projet'!$A$304&gt;35,HP94+HO95-HX94,IF($A95&lt;'Données projet'!$A$304,$CQ$205^$A95,IF($A95='Données projet'!$A$304,'Données projet'!$B$304,HP94+HO95-HX94)))</f>
        <v>0</v>
      </c>
      <c r="HQ95" s="17">
        <f>HP95*VLOOKUP('Données projet'!$B$19,Paramètres!$A$1:$I$89,3,0)*VLOOKUP('Données projet'!$B$19,Paramètres!$A$1:$I$89,5,0)</f>
        <v>0</v>
      </c>
      <c r="HR95" s="13" t="e">
        <f t="shared" si="202"/>
        <v>#NUM!</v>
      </c>
      <c r="HS95" s="14" t="e">
        <f t="shared" si="150"/>
        <v>#NUM!</v>
      </c>
      <c r="HT95" s="59" t="e">
        <f t="shared" si="151"/>
        <v>#NUM!</v>
      </c>
      <c r="HU95" s="59">
        <f ca="1">AVERAGE(OFFSET(HT$3,0,0,'Données projet'!$E$19+1,1))-AVERAGE(OFFSET($H$3,0,0,'Données projet'!$E$19+1,1))</f>
        <v>91.60721429656013</v>
      </c>
      <c r="HV95" s="59">
        <f t="shared" si="203"/>
        <v>258.94957804210856</v>
      </c>
      <c r="HW95" s="15">
        <f>IF(ISNA(VLOOKUP($A95,'Données projet'!$A$304:$I$324,3,0)),0,VLOOKUP($A95,'Données projet'!$A$304:$I$324,3,0))</f>
        <v>0</v>
      </c>
      <c r="HX95" s="15">
        <f>IF(ISNA(VLOOKUP($A95,'Données projet'!$A$304:$I$324,4,0)),0,VLOOKUP($A95,'Données projet'!$A$304:$I$324,4,0))</f>
        <v>0</v>
      </c>
      <c r="HY95" s="16">
        <f>IF(ISNA(VLOOKUP($A95,'Données projet'!$A$304:$I$324,5,0)),0%,VLOOKUP($A95,'Données projet'!$A$304:$I$324,5,0)*VLOOKUP('Données projet'!$B$19,Paramètres!$A$1:$I$89,7,0))</f>
        <v>0</v>
      </c>
      <c r="HZ95" s="16">
        <f>IF(ISNA(VLOOKUP($A95,'Données projet'!$A$304:$I$324,6,0)),0%,VLOOKUP($A95,'Données projet'!$A$304:$I$324,6,0)*VLOOKUP('Données projet'!$B$19,Paramètres!$A$1:$I$89,7,0))</f>
        <v>0</v>
      </c>
      <c r="IA95" s="16">
        <f>IF(ISNA(VLOOKUP($A95,'Données projet'!$A$304:$I$324,7,0)),0%,VLOOKUP($A95,'Données projet'!$A$304:$I$324,7,0))</f>
        <v>0</v>
      </c>
      <c r="IB95" s="21">
        <f>EXP(-LN(2)/35)*IB94+(1-EXP(-LN(2)/35))/(LN(2)/35)*HX95*HY95*VLOOKUP('Données projet'!$B$19,Paramètres!$A$1:$I$89,3,0)*0.475*44/12</f>
        <v>14.450463972558959</v>
      </c>
      <c r="IC95" s="21">
        <f>EXP(-LN(2)/25)*IC94+(1-EXP(-LN(2)/25))/(LN(2)/25)*Calculateur!HX95*Calculateur!HZ95*VLOOKUP('Données projet'!$B$19,Paramètres!$A$1:$I$89,3,0)*0.475*44/12</f>
        <v>1.7436405898142964</v>
      </c>
      <c r="ID95" s="21">
        <f>EXP(-LN(2)/2)*ID94+(1-EXP(-LN(2)/2))/(LN(2)/2)*HX95*IA95*VLOOKUP('Données projet'!$B$19,Paramètres!$A$1:$I$89,3,0)*0.475*44/12</f>
        <v>2.6675514492391495E-10</v>
      </c>
      <c r="IE95" s="22">
        <f t="shared" si="152"/>
        <v>16.19410456264001</v>
      </c>
      <c r="IF95" s="74">
        <f>('Scénario référence'!$F$8+'Scénario référence'!$F$9+'Scénario référence'!$B$17+'Scénario référence'!$B$9+'Scénario référence'!$B$10)*70+IF((45+25*(1-EXP(-0.0175*$A95)))&lt;70,'Scénario référence'!$B$16*(45+25*(1-EXP(-0.0175*$A95))),70*'Scénario référence'!$B$16)+IF((32+38*(1-EXP(-0.0175*$A95)))&lt;70,'Scénario référence'!$B$18*(32+38*(1-EXP(-0.0175*$A95))),70*'Scénario référence'!$B$18)</f>
        <v>70</v>
      </c>
      <c r="IG95" s="12">
        <f>IF($A95&gt;30,10,('Scénario référence'!$B$16+'Scénario référence'!$B$17+'Scénario référence'!$B$18+'Scénario référence'!$B$9+'Scénario référence'!$B$10)*$A95*10/30+('Scénario référence'!$F$8+'Scénario référence'!$F$9)*10)</f>
        <v>10</v>
      </c>
      <c r="IH95" s="12" t="e">
        <f>VLOOKUP($A95,'Données projet'!$A$330:$I$350,2,0)</f>
        <v>#N/A</v>
      </c>
      <c r="II95" s="12" t="e">
        <f>VLOOKUP($A95,'Données projet'!$A$330:$I$350,9,0)</f>
        <v>#N/A</v>
      </c>
      <c r="IJ95" s="12">
        <f t="array" ref="IJ95">INDEX(II:II,MIN(IF(ISNUMBER(II95:II291),ROW(II95:II291),"")))</f>
        <v>0</v>
      </c>
      <c r="IK95" s="12">
        <f>IF('Données projet'!$A$330&gt;35,IK94+IJ95-IS94,IF($A95&lt;'Données projet'!$A$330,$CQ$205^$A95,IF($A95='Données projet'!$A$330,'Données projet'!$B$330,IK94+IJ95-IS94)))</f>
        <v>0</v>
      </c>
      <c r="IL95" s="17">
        <f>IK95*VLOOKUP('Données projet'!$B$20,Paramètres!$A$1:$I$89,3,0)*VLOOKUP('Données projet'!$B$20,Paramètres!$A$1:$I$89,5,0)</f>
        <v>0</v>
      </c>
      <c r="IM95" s="13" t="e">
        <f t="shared" si="204"/>
        <v>#NUM!</v>
      </c>
      <c r="IN95" s="20" t="e">
        <f t="shared" si="153"/>
        <v>#NUM!</v>
      </c>
      <c r="IO95" s="59" t="e">
        <f t="shared" si="154"/>
        <v>#NUM!</v>
      </c>
      <c r="IP95" s="59">
        <f ca="1">AVERAGE(OFFSET(IO$3,0,0,'Données projet'!$E$20+1,1))-AVERAGE(OFFSET($H$3,0,0,'Données projet'!$E$20+1,1))</f>
        <v>91.60721429656013</v>
      </c>
      <c r="IQ95" s="59">
        <f t="shared" si="205"/>
        <v>258.94957804210856</v>
      </c>
      <c r="IR95" s="15">
        <f>IF(ISNA(VLOOKUP($A95,'Données projet'!$A$330:$I$350,3,0)),0,VLOOKUP($A95,'Données projet'!$A$330:$I$350,3,0))</f>
        <v>0</v>
      </c>
      <c r="IS95" s="15">
        <f>IF(ISNA(VLOOKUP($A95,'Données projet'!$A$330:$I$350,4,0)),0,VLOOKUP($A95,'Données projet'!$A$330:$I$350,4,0))</f>
        <v>0</v>
      </c>
      <c r="IT95" s="16">
        <f>IF(ISNA(VLOOKUP($A95,'Données projet'!$A$330:$I$350,5,0)),0%,VLOOKUP($A95,'Données projet'!$A$330:$I$350,5,0)*VLOOKUP('Données projet'!$B$20,Paramètres!$A$1:$I$89,7,0))</f>
        <v>0</v>
      </c>
      <c r="IU95" s="16">
        <f>IF(ISNA(VLOOKUP($A95,'Données projet'!$A$330:$I$350,6,0)),0%,VLOOKUP($A95,'Données projet'!$A$330:$I$350,6,0)*VLOOKUP('Données projet'!$B$20,Paramètres!$A$1:$I$89,7,0))</f>
        <v>0</v>
      </c>
      <c r="IV95" s="16">
        <f>IF(ISNA(VLOOKUP($A95,'Données projet'!$A$330:$I$350,7,0)),0%,VLOOKUP($A95,'Données projet'!$A$330:$I$350,7,0))</f>
        <v>0</v>
      </c>
      <c r="IW95" s="21">
        <f>EXP(-LN(2)/35)*IW94+(1-EXP(-LN(2)/35))/(LN(2)/35)*IS95*IT95*VLOOKUP('Données projet'!$B$20,Paramètres!$A$1:$I$89,3,0)*0.475*44/12</f>
        <v>14.450463972558959</v>
      </c>
      <c r="IX95" s="21">
        <f>EXP(-LN(2)/25)*IX94+(1-EXP(-LN(2)/25))/(LN(2)/25)*Calculateur!IS95*Calculateur!IU95*VLOOKUP('Données projet'!$B$20,Paramètres!$A$1:$I$89,3,0)*0.475*44/12</f>
        <v>1.7436405898142964</v>
      </c>
      <c r="IY95" s="21">
        <f>EXP(-LN(2)/2)*IY94+(1-EXP(-LN(2)/2))/(LN(2)/2)*IS95*IV95*VLOOKUP('Données projet'!$B$20,Paramètres!$A$1:$I$89,3,0)*0.475*44/12</f>
        <v>2.6675514492391495E-10</v>
      </c>
      <c r="IZ95" s="22">
        <f t="shared" si="155"/>
        <v>16.19410456264001</v>
      </c>
      <c r="JA95" s="74">
        <f>('Scénario référence'!$F$8+'Scénario référence'!$F$9+'Scénario référence'!$B$17+'Scénario référence'!$B$9+'Scénario référence'!$B$10)*70+IF((45+25*(1-EXP(-0.0175*$A95)))&lt;70,'Scénario référence'!$B$16*(45+25*(1-EXP(-0.0175*$A95))),70*'Scénario référence'!$B$16)+IF((32+38*(1-EXP(-0.0175*$A95)))&lt;70,'Scénario référence'!$B$18*(32+38*(1-EXP(-0.0175*$A95))),70*'Scénario référence'!$B$18)</f>
        <v>70</v>
      </c>
      <c r="JB95" s="12">
        <f>IF($A95&gt;30,10,('Scénario référence'!$B$16+'Scénario référence'!$B$17+'Scénario référence'!$B$18+'Scénario référence'!$B$9+'Scénario référence'!$B$10)*$A95*10/30+('Scénario référence'!$F$8+'Scénario référence'!$F$9)*10)</f>
        <v>10</v>
      </c>
      <c r="JC95" s="12" t="e">
        <f>VLOOKUP($A95,'Données projet'!$A$356:$I$376,2,0)</f>
        <v>#N/A</v>
      </c>
      <c r="JD95" s="12" t="e">
        <f>VLOOKUP($A95,'Données projet'!$A$356:$I$376,9,0)</f>
        <v>#N/A</v>
      </c>
      <c r="JE95" s="12">
        <f t="array" ref="JE95">INDEX(JD:JD,MIN(IF(ISNUMBER(JD95:JD291),ROW(JD95:JD291),"")))</f>
        <v>4.9000000000000004</v>
      </c>
      <c r="JF95" s="12">
        <f>IF('Données projet'!$A$356&gt;35,JF94+JE95-JN94,IF($A95&lt;'Données projet'!$A$356,$CQ$205^$A95,IF($A95='Données projet'!$A$356,'Données projet'!$B$356,JF94+JE95-JN94)))</f>
        <v>360.79999999999967</v>
      </c>
      <c r="JG95" s="17">
        <f>JF95*VLOOKUP('Données projet'!$B$21,Paramètres!$A$1:$I$89,3,0)*VLOOKUP('Données projet'!$B$21,Paramètres!$A$1:$I$89,5,0)</f>
        <v>292.68095999999974</v>
      </c>
      <c r="JH95" s="13">
        <f t="shared" si="206"/>
        <v>69.639912908926974</v>
      </c>
      <c r="JI95" s="20">
        <f t="shared" si="156"/>
        <v>631.04218698304737</v>
      </c>
      <c r="JJ95" s="59">
        <f t="shared" si="157"/>
        <v>924.37552031638074</v>
      </c>
      <c r="JK95" s="59">
        <f ca="1">AVERAGE(OFFSET($JJ$3,0,0,'Données projet'!$E$22+1,1))-AVERAGE(OFFSET($H$3,0,0,'Données projet'!$E$22+1,1))</f>
        <v>353.35574633294613</v>
      </c>
      <c r="JL95" s="59">
        <f t="shared" si="207"/>
        <v>170.36796666474726</v>
      </c>
      <c r="JM95" s="15">
        <f>IF(ISNA(VLOOKUP($A95,'Données projet'!$A$356:$I$376,3,0)),0,VLOOKUP($A95,'Données projet'!$A$356:$I$376,3,0))</f>
        <v>0</v>
      </c>
      <c r="JN95" s="15">
        <f>IF(ISNA(VLOOKUP($A95,'Données projet'!$A$356:$I$376,4,0)),0,VLOOKUP($A95,'Données projet'!$A$356:$I$376,4,0))</f>
        <v>0</v>
      </c>
      <c r="JO95" s="16">
        <f>IF(ISNA(VLOOKUP($A95,'Données projet'!$A$356:$I$376,5,0)),0%,VLOOKUP($A95,'Données projet'!$A$356:$I$376,5,0)*VLOOKUP('Données projet'!$B$21,Paramètres!$A$1:$I$89,7,0))</f>
        <v>0</v>
      </c>
      <c r="JP95" s="16">
        <f>IF(ISNA(VLOOKUP($A95,'Données projet'!$A$356:$I$376,6,0)),0%,VLOOKUP($A95,'Données projet'!$A$356:$I$376,6,0)*VLOOKUP('Données projet'!$B$21,Paramètres!$A$1:$I$89,7,0))</f>
        <v>0</v>
      </c>
      <c r="JQ95" s="16">
        <f>IF(ISNA(VLOOKUP($A95,'Données projet'!$A$356:$I$376,7,0)),0%,VLOOKUP($A95,'Données projet'!$A$356:$I$376,7,0))</f>
        <v>0</v>
      </c>
      <c r="JR95" s="21">
        <f>EXP(-LN(2)/35)*JR94+(1-EXP(-LN(2)/35))/(LN(2)/35)*JN95*JO95*VLOOKUP('Données projet'!$B$21,Paramètres!$A$1:$I$89,3,0)*0.475*44/12</f>
        <v>2.5860154792666608</v>
      </c>
      <c r="JS95" s="21">
        <f>EXP(-LN(2)/25)*JS94+(1-EXP(-LN(2)/25))/(LN(2)/25)*Calculateur!JN95*Calculateur!JP95*VLOOKUP('Données projet'!$B$21,Paramètres!$A$1:$I$89,3,0)*0.475*44/12</f>
        <v>16.416366166670972</v>
      </c>
      <c r="JT95" s="21">
        <f>EXP(-LN(2)/2)*JT94+(1-EXP(-LN(2)/2))/(LN(2)/2)*JN95*JQ95*VLOOKUP('Données projet'!$B$21,Paramètres!$A$1:$I$89,3,0)*0.475*44/12</f>
        <v>3.1070464641522109</v>
      </c>
      <c r="JU95" s="18">
        <f t="shared" si="158"/>
        <v>22.109428110089844</v>
      </c>
      <c r="JV95" s="74">
        <f>('Scénario référence'!$F$8+'Scénario référence'!$F$9+'Scénario référence'!$B$17+'Scénario référence'!$B$9+'Scénario référence'!$B$10)*70+IF((45+25*(1-EXP(-0.0175*$A95)))&lt;70,'Scénario référence'!$B$16*(45+25*(1-EXP(-0.0175*$A95))),70*'Scénario référence'!$B$16)+IF((32+38*(1-EXP(-0.0175*$A95)))&lt;70,'Scénario référence'!$B$18*(32+38*(1-EXP(-0.0175*$A95))),70*'Scénario référence'!$B$18)</f>
        <v>70</v>
      </c>
      <c r="JW95" s="12">
        <f>IF($A95&gt;30,10,('Scénario référence'!$B$16+'Scénario référence'!$B$17+'Scénario référence'!$B$18+'Scénario référence'!$B$9+'Scénario référence'!$B$10)*$A95*10/30+('Scénario référence'!$F$8+'Scénario référence'!$F$9)*10)</f>
        <v>10</v>
      </c>
      <c r="JX95" s="12" t="e">
        <f>VLOOKUP($A95,'Données projet'!$A$382:$I$402,2,0)</f>
        <v>#N/A</v>
      </c>
      <c r="JY95" s="12" t="e">
        <f>VLOOKUP($A95,'Données projet'!$A$382:$I$402,9,0)</f>
        <v>#N/A</v>
      </c>
      <c r="JZ95" s="12">
        <f t="array" ref="JZ95">INDEX(JY:JY,MIN(IF(ISNUMBER(JY95:JY291),ROW(JY95:JY291),"")))</f>
        <v>7.1782051282051267</v>
      </c>
      <c r="KA95" s="12">
        <f>IF('Données projet'!$A$382&gt;35,KA94+JZ95-KI94,IF($A95&lt;'Données projet'!$A$382,$CQ$205^$A95,IF($A95='Données projet'!$A$382,'Données projet'!$B$382,KA94+JZ95-KI94)))</f>
        <v>268.00256410256441</v>
      </c>
      <c r="KB95" s="17">
        <f>KA95*VLOOKUP('Données projet'!$B$22,Paramètres!$A$1:$I$89,3,0)*VLOOKUP('Données projet'!$B$22,Paramètres!$A$1:$I$89,5,0)</f>
        <v>179.77612000000019</v>
      </c>
      <c r="KC95" s="13">
        <f t="shared" si="208"/>
        <v>45.272373384058447</v>
      </c>
      <c r="KD95" s="20">
        <f t="shared" si="159"/>
        <v>391.95945931056877</v>
      </c>
      <c r="KE95" s="59">
        <f t="shared" si="160"/>
        <v>685.29279264390209</v>
      </c>
      <c r="KF95" s="59">
        <f ca="1">AVERAGE(OFFSET($KE$3,0,0,'Données projet'!$E$22+1,1))-AVERAGE(OFFSET($H$3,0,0,'Données projet'!$E$22+1,1))</f>
        <v>193.91714772848269</v>
      </c>
      <c r="KG95" s="59">
        <f t="shared" si="209"/>
        <v>159.20429420478047</v>
      </c>
      <c r="KH95" s="15">
        <f>IF(ISNA(VLOOKUP($A95,'Données projet'!$A$382:$I$402,3,0)),0,VLOOKUP($A95,'Données projet'!$A$382:$I$402,3,0))</f>
        <v>0</v>
      </c>
      <c r="KI95" s="15">
        <f>IF(ISNA(VLOOKUP($A95,'Données projet'!$A$382:$I$402,4,0)),0,VLOOKUP($A95,'Données projet'!$A$382:$I$402,4,0))</f>
        <v>0</v>
      </c>
      <c r="KJ95" s="16">
        <f>IF(ISNA(VLOOKUP($A95,'Données projet'!$A$382:$I$402,5,0)),0%,VLOOKUP($A95,'Données projet'!$A$382:$I$402,5,0)*VLOOKUP('Données projet'!$B$22,Paramètres!$A$1:$I$89,7,0))</f>
        <v>0</v>
      </c>
      <c r="KK95" s="16">
        <f>IF(ISNA(VLOOKUP($A95,'Données projet'!$A$382:$I$402,6,0)),0%,VLOOKUP($A95,'Données projet'!$A$382:$I$402,6,0)*VLOOKUP('Données projet'!$B$22,Paramètres!$A$1:$I$89,7,0))</f>
        <v>0</v>
      </c>
      <c r="KL95" s="16">
        <f>IF(ISNA(VLOOKUP($A95,'Données projet'!$A$382:$I$402,7,0)),0%,VLOOKUP($A95,'Données projet'!$A$382:$I$402,7,0))</f>
        <v>0</v>
      </c>
      <c r="KM95" s="21">
        <f>EXP(-LN(2)/35)*KM94+(1-EXP(-LN(2)/35))/(LN(2)/35)*KI95*KJ95*VLOOKUP('Données projet'!$B$22,Paramètres!$A$1:$I$89,3,0)*0.475*44/12</f>
        <v>36.41035930944583</v>
      </c>
      <c r="KN95" s="21">
        <f>EXP(-LN(2)/25)*KN94+(1-EXP(-LN(2)/25))/(LN(2)/25)*Calculateur!KI95*Calculateur!KK95*VLOOKUP('Données projet'!$B$22,Paramètres!$A$1:$I$89,3,0)*0.475*44/12</f>
        <v>0</v>
      </c>
      <c r="KO95" s="21">
        <f>EXP(-LN(2)/2)*KO94+(1-EXP(-LN(2)/2))/(LN(2)/2)*KI95*KL95*VLOOKUP('Données projet'!$B$22,Paramètres!$A$1:$I$89,3,0)*0.475*44/12</f>
        <v>0</v>
      </c>
      <c r="KP95" s="22">
        <f t="shared" si="161"/>
        <v>36.41035930944583</v>
      </c>
      <c r="KQ95" s="74">
        <f>('Scénario référence'!$F$8+'Scénario référence'!$F$9+'Scénario référence'!$B$17+'Scénario référence'!$B$9+'Scénario référence'!$B$10)*70+IF((45+25*(1-EXP(-0.0175*$A95)))&lt;70,'Scénario référence'!$B$16*(45+25*(1-EXP(-0.0175*$A95))),70*'Scénario référence'!$B$16)+IF((32+38*(1-EXP(-0.0175*$A95)))&lt;70,'Scénario référence'!$B$18*(32+38*(1-EXP(-0.0175*$A95))),70*'Scénario référence'!$B$18)</f>
        <v>70</v>
      </c>
      <c r="KR95" s="12">
        <f>IF($A95&gt;30,10,('Scénario référence'!$B$16+'Scénario référence'!$B$17+'Scénario référence'!$B$18+'Scénario référence'!$B$9+'Scénario référence'!$B$10)*$A95*10/30+('Scénario référence'!$F$8+'Scénario référence'!$F$9)*10)</f>
        <v>10</v>
      </c>
      <c r="KS95" s="12" t="e">
        <f>VLOOKUP($A95,'Données projet'!$A$408:$I$428,2,0)</f>
        <v>#N/A</v>
      </c>
      <c r="KT95" s="12" t="e">
        <f>VLOOKUP($A95,'Données projet'!$A$408:$I$428,9,0)</f>
        <v>#N/A</v>
      </c>
      <c r="KU95" s="12">
        <f t="array" ref="KU95">INDEX(KT:KT,MIN(IF(ISNUMBER(KT95:KT291),ROW(KT95:KT291),"")))</f>
        <v>0</v>
      </c>
      <c r="KV95" s="12">
        <f>IF('Données projet'!$A$408&gt;35,KV94+KU95-LD94,IF($A95&lt;'Données projet'!$A$408,$CQ$205^$A95,IF($A95='Données projet'!$A$408,'Données projet'!$B$408,KV94+KU95-LD94)))</f>
        <v>-1.1368683772161603E-13</v>
      </c>
      <c r="KW95" s="17">
        <f>KV95*VLOOKUP('Données projet'!$B$23,Paramètres!$A$1:$I$89,3,0)*VLOOKUP('Données projet'!$B$23,Paramètres!$A$1:$I$89,5,0)</f>
        <v>-9.9316821433603781E-14</v>
      </c>
      <c r="KX95" s="13" t="e">
        <f t="shared" si="210"/>
        <v>#NUM!</v>
      </c>
      <c r="KY95" s="14" t="e">
        <f t="shared" si="162"/>
        <v>#NUM!</v>
      </c>
      <c r="KZ95" s="59" t="e">
        <f t="shared" si="163"/>
        <v>#NUM!</v>
      </c>
      <c r="LA95" s="59">
        <f ca="1">AVERAGE(OFFSET($KZ$3,0,0,'Données projet'!$E$23+1,1))-AVERAGE(OFFSET($H$3,0,0,'Données projet'!$E$23+1,1))</f>
        <v>248.33596943633819</v>
      </c>
      <c r="LB95" s="59">
        <f t="shared" si="211"/>
        <v>242.34010522344573</v>
      </c>
      <c r="LC95" s="15">
        <f>IF(ISNA(VLOOKUP($A95,'Données projet'!$A$408:$I$428,3,0)),0,VLOOKUP($A95,'Données projet'!$A$408:$I$428,3,0))</f>
        <v>0</v>
      </c>
      <c r="LD95" s="15">
        <f>IF(ISNA(VLOOKUP($A95,'Données projet'!$A$408:$I$428,4,0)),0,VLOOKUP($A95,'Données projet'!$A$408:$I$428,4,0))</f>
        <v>0</v>
      </c>
      <c r="LE95" s="16">
        <f>IF(ISNA(VLOOKUP($A95,'Données projet'!$A$408:$I$428,5,0)),0%,VLOOKUP($A95,'Données projet'!$A$408:$I$428,5,0)*VLOOKUP('Données projet'!$B$23,Paramètres!$A$1:$I$89,7,0))</f>
        <v>0</v>
      </c>
      <c r="LF95" s="16">
        <f>IF(ISNA(VLOOKUP($A95,'Données projet'!$A$408:$I$428,6,0)),0%,VLOOKUP($A95,'Données projet'!$A$408:$I$428,6,0)*VLOOKUP('Données projet'!$B$23,Paramètres!$A$1:$I$89,7,0))</f>
        <v>0</v>
      </c>
      <c r="LG95" s="16">
        <f>IF(ISNA(VLOOKUP($A95,'Données projet'!$A$408:$I$428,7,0)),0%,VLOOKUP($A95,'Données projet'!$A$408:$I$428,7,0))</f>
        <v>0</v>
      </c>
      <c r="LH95" s="21">
        <f>EXP(-LN(2)/35)*LH94+(1-EXP(-LN(2)/35))/(LN(2)/35)*LD95*LE95*VLOOKUP('Données projet'!$B$23,Paramètres!$A$1:$I$89,3,0)*0.475*44/12</f>
        <v>97.156606804680507</v>
      </c>
      <c r="LI95" s="21">
        <f>EXP(-LN(2)/25)*LI94+(1-EXP(-LN(2)/25))/(LN(2)/25)*Calculateur!LD95*Calculateur!LF95*VLOOKUP('Données projet'!$B$23,Paramètres!$A$1:$I$89,3,0)*0.475*44/12</f>
        <v>15.613699533785915</v>
      </c>
      <c r="LJ95" s="21">
        <f>EXP(-LN(2)/2)*LJ94+(1-EXP(-LN(2)/2))/(LN(2)/2)*LD95*LG95*VLOOKUP('Données projet'!$B$23,Paramètres!$A$1:$I$89,3,0)*0.475*44/12</f>
        <v>0</v>
      </c>
      <c r="LK95" s="22">
        <f t="shared" si="164"/>
        <v>112.77030633846643</v>
      </c>
      <c r="LL95" s="74">
        <f>('Scénario référence'!$F$8+'Scénario référence'!$F$9+'Scénario référence'!$B$17+'Scénario référence'!$B$9+'Scénario référence'!$B$10)*70+IF((45+25*(1-EXP(-0.0175*$A95)))&lt;70,'Scénario référence'!$B$16*(45+25*(1-EXP(-0.0175*$A95))),70*'Scénario référence'!$B$16)+IF((32+38*(1-EXP(-0.0175*$A95)))&lt;70,'Scénario référence'!$B$18*(32+38*(1-EXP(-0.0175*$A95))),70*'Scénario référence'!$B$18)</f>
        <v>70</v>
      </c>
      <c r="LM95" s="12">
        <f>IF($A95&gt;30,10,('Scénario référence'!$B$16+'Scénario référence'!$B$17+'Scénario référence'!$B$18+'Scénario référence'!$B$9+'Scénario référence'!$B$10)*$A95*10/30+('Scénario référence'!$F$8+'Scénario référence'!$F$9)*10)</f>
        <v>10</v>
      </c>
      <c r="LN95" s="12" t="e">
        <f>VLOOKUP($A95,'Données projet'!$A$434:$I$454,2,0)</f>
        <v>#N/A</v>
      </c>
      <c r="LO95" s="12" t="e">
        <f>VLOOKUP($A95,'Données projet'!$A$434:$I$454,9,0)</f>
        <v>#N/A</v>
      </c>
      <c r="LP95" s="12">
        <f t="array" ref="LP95">INDEX(LO:LO,MIN(IF(ISNUMBER(LO95:LO291),ROW(LO95:LO291),"")))</f>
        <v>5.2606837606837598</v>
      </c>
      <c r="LQ95" s="12">
        <f>IF('Données projet'!$A$434&gt;35,LQ94+LP95-LY94,IF($A95&lt;'Données projet'!$A$434,$CQ$205^$A95,IF($A95='Données projet'!$A$434,'Données projet'!$B$434,LQ94+LP95-LY94)))</f>
        <v>207.0085470085468</v>
      </c>
      <c r="LR95" s="17">
        <f>LQ95*VLOOKUP('Données projet'!$B$24,Paramètres!$A$1:$I$89,3,0)*VLOOKUP('Données projet'!$B$24,Paramètres!$A$1:$I$89,5,0)</f>
        <v>209.90666666666647</v>
      </c>
      <c r="LS95" s="13">
        <f t="shared" si="212"/>
        <v>51.915189489079573</v>
      </c>
      <c r="LT95" s="14">
        <f t="shared" si="165"/>
        <v>456.00639947125768</v>
      </c>
      <c r="LU95" s="59">
        <f t="shared" si="166"/>
        <v>749.33973280459099</v>
      </c>
      <c r="LV95" s="59">
        <f ca="1">AVERAGE(OFFSET($LU$3,0,0,'Données projet'!$E$24+1,1))-AVERAGE(OFFSET($H$3,0,0,'Données projet'!$E$24+1,1))</f>
        <v>260.52627655062872</v>
      </c>
      <c r="LW95" s="59">
        <f t="shared" si="213"/>
        <v>159.20429420478047</v>
      </c>
      <c r="LX95" s="15">
        <f>IF(ISNA(VLOOKUP($A95,'Données projet'!$A$434:$I$454,3,0)),0,VLOOKUP($A95,'Données projet'!$A$434:$I$454,3,0))</f>
        <v>0</v>
      </c>
      <c r="LY95" s="15">
        <f>IF(ISNA(VLOOKUP($A95,'Données projet'!$A$434:$I$454,4,0)),0,VLOOKUP($A95,'Données projet'!$A$434:$I$454,4,0))</f>
        <v>0</v>
      </c>
      <c r="LZ95" s="16">
        <f>IF(ISNA(VLOOKUP($A95,'Données projet'!$A$434:$I$454,5,0)),0%,VLOOKUP($A95,'Données projet'!$A$434:$I$454,5,0)*VLOOKUP('Données projet'!$B$24,Paramètres!$A$1:$I$89,7,0))</f>
        <v>0</v>
      </c>
      <c r="MA95" s="16">
        <f>IF(ISNA(VLOOKUP($A95,'Données projet'!$A$434:$I$454,6,0)),0%,VLOOKUP($A95,'Données projet'!$A$434:$I$454,6,0)*VLOOKUP('Données projet'!$B$24,Paramètres!$A$1:$I$89,7,0))</f>
        <v>0</v>
      </c>
      <c r="MB95" s="16">
        <f>IF(ISNA(VLOOKUP($A95,'Données projet'!$A$434:$I$454,7,0)),0%,VLOOKUP($A95,'Données projet'!$A$434:$I$454,7,0))</f>
        <v>0</v>
      </c>
      <c r="MC95" s="21">
        <f>EXP(-LN(2)/35)*MC94+(1-EXP(-LN(2)/35))/(LN(2)/35)*LY95*LZ95*VLOOKUP('Données projet'!$B$24,Paramètres!$A$1:$I$89,3,0)*0.475*44/12</f>
        <v>17.552431786148034</v>
      </c>
      <c r="MD95" s="21">
        <f>EXP(-LN(2)/25)*MD94+(1-EXP(-LN(2)/25))/(LN(2)/25)*Calculateur!LY95*Calculateur!MA95*VLOOKUP('Données projet'!$B$24,Paramètres!$A$1:$I$89,3,0)*0.475*44/12</f>
        <v>0</v>
      </c>
      <c r="ME95" s="21">
        <f>EXP(-LN(2)/2)*ME94+(1-EXP(-LN(2)/2))/(LN(2)/2)*LY95*MB95*VLOOKUP('Données projet'!$B$24,Paramètres!$A$1:$I$89,3,0)*0.475*44/12</f>
        <v>0</v>
      </c>
      <c r="MF95" s="22">
        <f t="shared" si="167"/>
        <v>17.552431786148034</v>
      </c>
      <c r="MG95" s="74">
        <f>('Scénario référence'!$F$8+'Scénario référence'!$F$9+'Scénario référence'!$B$17+'Scénario référence'!$B$9+'Scénario référence'!$B$10)*70+IF((45+25*(1-EXP(-0.0175*$A95)))&lt;70,'Scénario référence'!$B$16*(45+25*(1-EXP(-0.0175*$A95))),70*'Scénario référence'!$B$16)+IF((32+38*(1-EXP(-0.0175*$A95)))&lt;70,'Scénario référence'!$B$18*(32+38*(1-EXP(-0.0175*$A95))),70*'Scénario référence'!$B$18)</f>
        <v>70</v>
      </c>
      <c r="MH95" s="12">
        <f>IF($A95&gt;30,10,('Scénario référence'!$B$16+'Scénario référence'!$B$17+'Scénario référence'!$B$18+'Scénario référence'!$B$9+'Scénario référence'!$B$10)*$A95*10/30+('Scénario référence'!$F$8+'Scénario référence'!$F$9)*10)</f>
        <v>10</v>
      </c>
      <c r="MI95" s="12" t="e">
        <f>VLOOKUP($A95,'Données projet'!$A$460:$I$480,2,0)</f>
        <v>#N/A</v>
      </c>
      <c r="MJ95" s="12" t="e">
        <f>VLOOKUP($A95,'Données projet'!$A$460:$I$480,9,0)</f>
        <v>#N/A</v>
      </c>
      <c r="MK95" s="12">
        <f t="array" ref="MK95">INDEX(MJ:MJ,MIN(IF(ISNUMBER(MJ95:MJ291),ROW(MJ95:MJ291),"")))</f>
        <v>0</v>
      </c>
      <c r="ML95" s="12">
        <f>IF('Données projet'!$A$460&gt;35,ML94+MK95-MT94,IF($A95&lt;'Données projet'!$A$460,$CQ$205^$A95,IF($A95='Données projet'!$A$460,'Données projet'!$B$460,ML94+MK95-MT94)))</f>
        <v>0</v>
      </c>
      <c r="MM95" s="17" t="e">
        <f>ML95*VLOOKUP('Données projet'!$B$25,Paramètres!$A$1:$I$89,3,0)*VLOOKUP('Données projet'!$B$25,Paramètres!$A$1:$I$89,5,0)</f>
        <v>#N/A</v>
      </c>
      <c r="MN95" s="13" t="e">
        <f t="shared" si="214"/>
        <v>#N/A</v>
      </c>
      <c r="MO95" s="14" t="e">
        <f t="shared" si="168"/>
        <v>#N/A</v>
      </c>
      <c r="MP95" s="59" t="e">
        <f t="shared" si="169"/>
        <v>#N/A</v>
      </c>
      <c r="MQ95" s="20" t="e">
        <f ca="1">AVERAGE(OFFSET($MP$3,0,0,'Données projet'!$E$25+1,1))-AVERAGE(OFFSET($H$3,0,0,'Données projet'!$E$25+1,1))</f>
        <v>#N/A</v>
      </c>
      <c r="MR95" s="59" t="e">
        <f t="shared" si="215"/>
        <v>#N/A</v>
      </c>
      <c r="MS95" s="15">
        <f>IF(ISNA(VLOOKUP($A95,'Données projet'!$A$460:$I$480,3,0)),0,VLOOKUP($A95,'Données projet'!$A$460:$I$480,3,0))</f>
        <v>0</v>
      </c>
      <c r="MT95" s="15">
        <f>IF(ISNA(VLOOKUP($A95,'Données projet'!$A$460:$I$480,4,0)),0,VLOOKUP($A95,'Données projet'!$A$460:$I$480,4,0))</f>
        <v>0</v>
      </c>
      <c r="MU95" s="16">
        <f>IF(ISNA(VLOOKUP($A95,'Données projet'!$A$460:$I$480,5,0)),0%,VLOOKUP($A95,'Données projet'!$A$460:$I$480,5,0)*VLOOKUP('Données projet'!$B$25,Paramètres!$A$1:$I$89,7,0))</f>
        <v>0</v>
      </c>
      <c r="MV95" s="16">
        <f>IF(ISNA(VLOOKUP($A95,'Données projet'!$A$460:$I$480,6,0)),0%,VLOOKUP($A95,'Données projet'!$A$460:$I$480,6,0)*VLOOKUP('Données projet'!$B$25,Paramètres!$A$1:$I$89,7,0))</f>
        <v>0</v>
      </c>
      <c r="MW95" s="16">
        <f>IF(ISNA(VLOOKUP($A95,'Données projet'!$A$460:$I$480,7,0)),0%,VLOOKUP($A95,'Données projet'!$A$460:$I$480,7,0))</f>
        <v>0</v>
      </c>
      <c r="MX95" s="21" t="e">
        <f>EXP(-LN(2)/35)*MX94+(1-EXP(-LN(2)/35))/(LN(2)/35)*MT95*MU95*VLOOKUP('Données projet'!$B$25,Paramètres!$A$1:$I$89,3,0)*0.475*44/12</f>
        <v>#N/A</v>
      </c>
      <c r="MY95" s="21" t="e">
        <f>EXP(-LN(2)/25)*MY94+(1-EXP(-LN(2)/25))/(LN(2)/25)*Calculateur!MT95*Calculateur!MV95*VLOOKUP('Données projet'!$B$25,Paramètres!$A$1:$I$89,3,0)*0.475*44/12</f>
        <v>#N/A</v>
      </c>
      <c r="MZ95" s="21" t="e">
        <f>EXP(-LN(2)/2)*MZ94+(1-EXP(-LN(2)/2))/(LN(2)/2)*MT95*MW95*VLOOKUP('Données projet'!$B$25,Paramètres!$A$1:$I$89,3,0)*0.475*44/12</f>
        <v>#N/A</v>
      </c>
      <c r="NA95" s="22" t="e">
        <f t="shared" si="170"/>
        <v>#N/A</v>
      </c>
      <c r="NB95" s="74">
        <f>('Scénario référence'!$F$8+'Scénario référence'!$F$9+'Scénario référence'!$B$17+'Scénario référence'!$B$9+'Scénario référence'!$B$10)*70+IF((45+25*(1-EXP(-0.0175*$A95)))&lt;70,'Scénario référence'!$B$16*(45+25*(1-EXP(-0.0175*$A95))),70*'Scénario référence'!$B$16)+IF((32+38*(1-EXP(-0.0175*$A95)))&lt;70,'Scénario référence'!$B$18*(32+38*(1-EXP(-0.0175*$A95))),70*'Scénario référence'!$B$18)</f>
        <v>70</v>
      </c>
      <c r="NC95" s="12">
        <f>IF($A95&gt;30,10,('Scénario référence'!$B$16+'Scénario référence'!$B$17+'Scénario référence'!$B$18+'Scénario référence'!$B$9+'Scénario référence'!$B$10)*$A95*10/30+('Scénario référence'!$F$8+'Scénario référence'!$F$9)*10)</f>
        <v>10</v>
      </c>
      <c r="ND95" s="12" t="e">
        <f>VLOOKUP($A95,'Données projet'!$A$486:$I$506,2,0)</f>
        <v>#N/A</v>
      </c>
      <c r="NE95" s="12" t="e">
        <f>VLOOKUP($A95,'Données projet'!$A$486:$I$506,9,0)</f>
        <v>#N/A</v>
      </c>
      <c r="NF95" s="12">
        <f t="array" ref="NF95">INDEX(NE:NE,MIN(IF(ISNUMBER(NE95:NE291),ROW(NE95:NE291),"")))</f>
        <v>0</v>
      </c>
      <c r="NG95" s="12">
        <f>IF('Données projet'!$A$486&gt;35,NG94+NF95-NO94,IF($A95&lt;'Données projet'!$A$486,$CQ$205^$A95,IF($A95='Données projet'!$A$486,'Données projet'!$B$486,NG94+NF95-NO94)))</f>
        <v>0</v>
      </c>
      <c r="NH95" s="17" t="e">
        <f>NG95*VLOOKUP('Données projet'!$B$26,Paramètres!$A$1:$I$89,3,0)*VLOOKUP('Données projet'!$B$26,Paramètres!$A$1:$I$89,5,0)</f>
        <v>#N/A</v>
      </c>
      <c r="NI95" s="13" t="e">
        <f t="shared" si="216"/>
        <v>#N/A</v>
      </c>
      <c r="NJ95" s="14" t="e">
        <f t="shared" si="171"/>
        <v>#N/A</v>
      </c>
      <c r="NK95" s="59" t="e">
        <f t="shared" si="172"/>
        <v>#N/A</v>
      </c>
      <c r="NL95" s="20" t="e">
        <f ca="1">AVERAGE(OFFSET($NK$3,0,0,'Données projet'!$E$26+1,1))-AVERAGE(OFFSET($H$3,0,0,'Données projet'!$E$26+1,1))</f>
        <v>#N/A</v>
      </c>
      <c r="NM95" s="59" t="e">
        <f t="shared" si="217"/>
        <v>#N/A</v>
      </c>
      <c r="NN95" s="15">
        <f>IF(ISNA(VLOOKUP($A95,'Données projet'!$A$486:$I$506,3,0)),0,VLOOKUP($A95,'Données projet'!$A$486:$I$506,3,0))</f>
        <v>0</v>
      </c>
      <c r="NO95" s="15">
        <f>IF(ISNA(VLOOKUP($A95,'Données projet'!$A$486:$I$506,4,0)),0,VLOOKUP($A95,'Données projet'!$A$486:$I$506,4,0))</f>
        <v>0</v>
      </c>
      <c r="NP95" s="16">
        <f>IF(ISNA(VLOOKUP($A95,'Données projet'!$A$486:$I$506,5,0)),0%,VLOOKUP($A95,'Données projet'!$A$486:$I$506,5,0)*VLOOKUP('Données projet'!$B$26,Paramètres!$A$1:$I$89,7,0))</f>
        <v>0</v>
      </c>
      <c r="NQ95" s="16">
        <f>IF(ISNA(VLOOKUP($A95,'Données projet'!$A$486:$I$506,6,0)),0%,VLOOKUP($A95,'Données projet'!$A$486:$I$506,6,0)*VLOOKUP('Données projet'!$B$26,Paramètres!$A$1:$I$89,7,0))</f>
        <v>0</v>
      </c>
      <c r="NR95" s="16">
        <f>IF(ISNA(VLOOKUP($A95,'Données projet'!$A$486:$I$506,7,0)),0%,VLOOKUP($A95,'Données projet'!$A$486:$I$506,7,0))</f>
        <v>0</v>
      </c>
      <c r="NS95" s="21" t="e">
        <f>EXP(-LN(2)/35)*NS94+(1-EXP(-LN(2)/35))/(LN(2)/35)*NO95*NP95*VLOOKUP('Données projet'!$B$26,Paramètres!$A$1:$I$89,3,0)*0.475*44/12</f>
        <v>#N/A</v>
      </c>
      <c r="NT95" s="21" t="e">
        <f>EXP(-LN(2)/25)*NT94+(1-EXP(-LN(2)/25))/(LN(2)/25)*Calculateur!NO95*Calculateur!NQ95*VLOOKUP('Données projet'!$B$26,Paramètres!$A$1:$I$89,3,0)*0.475*44/12</f>
        <v>#N/A</v>
      </c>
      <c r="NU95" s="21" t="e">
        <f>EXP(-LN(2)/2)*NU94+(1-EXP(-LN(2)/2))/(LN(2)/2)*NO95*NR95*VLOOKUP('Données projet'!$B$26,Paramètres!$A$1:$I$89,3,0)*0.475*44/12</f>
        <v>#N/A</v>
      </c>
      <c r="NV95" s="22" t="e">
        <f t="shared" si="173"/>
        <v>#N/A</v>
      </c>
      <c r="NW95" s="74">
        <f>('Scénario référence'!$F$8+'Scénario référence'!$F$9+'Scénario référence'!$B$17+'Scénario référence'!$B$9+'Scénario référence'!$B$10)*70+IF((45+25*(1-EXP(-0.0175*$A95)))&lt;70,'Scénario référence'!$B$16*(45+25*(1-EXP(-0.0175*$A95))),70*'Scénario référence'!$B$16)+IF((32+38*(1-EXP(-0.0175*$A95)))&lt;70,'Scénario référence'!$B$18*(32+38*(1-EXP(-0.0175*$A95))),70*'Scénario référence'!$B$18)</f>
        <v>70</v>
      </c>
      <c r="NX95" s="12">
        <f>IF($A95&gt;30,10,('Scénario référence'!$B$16+'Scénario référence'!$B$17+'Scénario référence'!$B$18+'Scénario référence'!$B$9+'Scénario référence'!$B$10)*$A95*10/30+('Scénario référence'!$F$8+'Scénario référence'!$F$9)*10)</f>
        <v>10</v>
      </c>
      <c r="NY95" s="12" t="e">
        <f>VLOOKUP($A95,'Données projet'!$A$512:$I$532,2,0)</f>
        <v>#N/A</v>
      </c>
      <c r="NZ95" s="12" t="e">
        <f>VLOOKUP($A95,'Données projet'!$A$512:$I$532,9,0)</f>
        <v>#N/A</v>
      </c>
      <c r="OA95" s="12">
        <f t="array" ref="OA95">INDEX(NZ:NZ,MIN(IF(ISNUMBER(NZ95:NZ291),ROW(NZ95:NZ291),"")))</f>
        <v>0</v>
      </c>
      <c r="OB95" s="12">
        <f>IF('Données projet'!$A$512&gt;35,OB94+OA95-OJ94,IF($A95&lt;'Données projet'!$A$512,$CQ$205^$A95,IF($A95='Données projet'!$A$512,'Données projet'!$B$512,OB94+OA95-OJ94)))</f>
        <v>0</v>
      </c>
      <c r="OC95" s="17" t="e">
        <f>OB95*VLOOKUP('Données projet'!$B$27,Paramètres!$A$1:$I$89,3,0)*VLOOKUP('Données projet'!$B$27,Paramètres!$A$1:$I$89,5,0)</f>
        <v>#N/A</v>
      </c>
      <c r="OD95" s="13" t="e">
        <f t="shared" si="218"/>
        <v>#N/A</v>
      </c>
      <c r="OE95" s="14" t="e">
        <f t="shared" si="174"/>
        <v>#N/A</v>
      </c>
      <c r="OF95" s="59" t="e">
        <f t="shared" si="175"/>
        <v>#N/A</v>
      </c>
      <c r="OG95" s="20" t="e">
        <f ca="1">AVERAGE(OFFSET($OF$3,0,0,'Données projet'!$E$27+1,1))-AVERAGE(OFFSET($H$3,0,0,'Données projet'!$E$27+1,1))</f>
        <v>#N/A</v>
      </c>
      <c r="OH95" s="59" t="e">
        <f t="shared" si="219"/>
        <v>#N/A</v>
      </c>
      <c r="OI95" s="15">
        <f>IF(ISNA(VLOOKUP($A95,'Données projet'!$A$512:$I$532,3,0)),0,VLOOKUP($A95,'Données projet'!$A$512:$I$532,3,0))</f>
        <v>0</v>
      </c>
      <c r="OJ95" s="15">
        <f>IF(ISNA(VLOOKUP($A95,'Données projet'!$A$512:$I$532,4,0)),0,VLOOKUP($A95,'Données projet'!$A$512:$I$532,4,0))</f>
        <v>0</v>
      </c>
      <c r="OK95" s="16">
        <f>IF(ISNA(VLOOKUP($A95,'Données projet'!$A$512:$I$532,5,0)),0%,VLOOKUP($A95,'Données projet'!$A$512:$I$532,5,0)*VLOOKUP('Données projet'!$B$27,Paramètres!$A$1:$I$89,7,0))</f>
        <v>0</v>
      </c>
      <c r="OL95" s="16">
        <f>IF(ISNA(VLOOKUP($A95,'Données projet'!$A$512:$I$532,6,0)),0%,VLOOKUP($A95,'Données projet'!$A$512:$I$532,6,0)*VLOOKUP('Données projet'!$B$27,Paramètres!$A$1:$I$89,7,0))</f>
        <v>0</v>
      </c>
      <c r="OM95" s="16">
        <f>IF(ISNA(VLOOKUP($A95,'Données projet'!$A$512:$I$532,7,0)),0%,VLOOKUP($A95,'Données projet'!$A$512:$I$532,7,0))</f>
        <v>0</v>
      </c>
      <c r="ON95" s="21" t="e">
        <f>EXP(-LN(2)/35)*ON94+(1-EXP(-LN(2)/35))/(LN(2)/35)*OJ95*OK95*VLOOKUP('Données projet'!$B$27,Paramètres!$A$1:$I$89,3,0)*0.475*44/12</f>
        <v>#N/A</v>
      </c>
      <c r="OO95" s="21" t="e">
        <f>EXP(-LN(2)/25)*OO94+(1-EXP(-LN(2)/25))/(LN(2)/25)*Calculateur!OJ95*Calculateur!OL95*VLOOKUP('Données projet'!$B$27,Paramètres!$A$1:$I$89,3,0)*0.475*44/12</f>
        <v>#N/A</v>
      </c>
      <c r="OP95" s="21" t="e">
        <f>EXP(-LN(2)/2)*OP94+(1-EXP(-LN(2)/2))/(LN(2)/2)*OJ95*OM95*VLOOKUP('Données projet'!$B$27,Paramètres!$A$1:$I$89,3,0)*0.475*44/12</f>
        <v>#N/A</v>
      </c>
      <c r="OQ95" s="22" t="e">
        <f t="shared" si="176"/>
        <v>#N/A</v>
      </c>
      <c r="OR95" s="74">
        <f>('Scénario référence'!$F$8+'Scénario référence'!$F$9+'Scénario référence'!$B$17+'Scénario référence'!$B$9+'Scénario référence'!$B$10)*70+IF((45+25*(1-EXP(-0.0175*$A95)))&lt;70,'Scénario référence'!$B$16*(45+25*(1-EXP(-0.0175*$A95))),70*'Scénario référence'!$B$16)+IF((32+38*(1-EXP(-0.0175*$A95)))&lt;70,'Scénario référence'!$B$18*(32+38*(1-EXP(-0.0175*$A95))),70*'Scénario référence'!$B$18)</f>
        <v>70</v>
      </c>
      <c r="OS95" s="12">
        <f>IF($A95&gt;30,10,('Scénario référence'!$B$16+'Scénario référence'!$B$17+'Scénario référence'!$B$18+'Scénario référence'!$B$9+'Scénario référence'!$B$10)*$A95*10/30+('Scénario référence'!$F$8+'Scénario référence'!$F$9)*10)</f>
        <v>10</v>
      </c>
      <c r="OT95" s="12" t="e">
        <f>VLOOKUP($A95,'Données projet'!$A$538:$I$558,2,0)</f>
        <v>#N/A</v>
      </c>
      <c r="OU95" s="12" t="e">
        <f>VLOOKUP($A95,'Données projet'!$A$538:$I$558,9,0)</f>
        <v>#N/A</v>
      </c>
      <c r="OV95" s="12">
        <f t="array" ref="OV95">INDEX(OU:OU,MIN(IF(ISNUMBER(OU95:OU291),ROW(OU95:OU291),"")))</f>
        <v>0</v>
      </c>
      <c r="OW95" s="12">
        <f>IF('Données projet'!$A$538&gt;35,OW94+OV95-PE94,IF($A95&lt;'Données projet'!$A$538,$CQ$205^$A95,IF($A95='Données projet'!$A$538,'Données projet'!$B$538,OW94+OV95-PE94)))</f>
        <v>0</v>
      </c>
      <c r="OX95" s="17" t="e">
        <f>OW95*VLOOKUP('Données projet'!$B$28,Paramètres!$A$1:$I$89,3,0)*VLOOKUP('Données projet'!$B$28,Paramètres!$A$1:$I$89,5,0)</f>
        <v>#N/A</v>
      </c>
      <c r="OY95" s="13" t="e">
        <f t="shared" si="220"/>
        <v>#N/A</v>
      </c>
      <c r="OZ95" s="14" t="e">
        <f t="shared" si="177"/>
        <v>#N/A</v>
      </c>
      <c r="PA95" s="59" t="e">
        <f t="shared" si="178"/>
        <v>#N/A</v>
      </c>
      <c r="PB95" s="20" t="e">
        <f ca="1">AVERAGE(OFFSET($PA$3,0,0,'Données projet'!$E$28+1,1))-AVERAGE(OFFSET($H$3,0,0,'Données projet'!$E$28+1,1))</f>
        <v>#N/A</v>
      </c>
      <c r="PC95" s="59" t="e">
        <f t="shared" si="221"/>
        <v>#N/A</v>
      </c>
      <c r="PD95" s="15">
        <f>IF(ISNA(VLOOKUP($A95,'Données projet'!$A$538:$I$558,3,0)),0,VLOOKUP($A95,'Données projet'!$A$538:$I$558,3,0))</f>
        <v>0</v>
      </c>
      <c r="PE95" s="15">
        <f>IF(ISNA(VLOOKUP($A95,'Données projet'!$A$538:$I$558,4,0)),0,VLOOKUP($A95,'Données projet'!$A$538:$I$558,4,0))</f>
        <v>0</v>
      </c>
      <c r="PF95" s="16">
        <f>IF(ISNA(VLOOKUP($A95,'Données projet'!$A$538:$I$558,5,0)),0%,VLOOKUP($A95,'Données projet'!$A$538:$I$558,5,0)*VLOOKUP('Données projet'!$B$28,Paramètres!$A$1:$I$89,7,0))</f>
        <v>0</v>
      </c>
      <c r="PG95" s="16">
        <f>IF(ISNA(VLOOKUP($A95,'Données projet'!$A$538:$I$558,6,0)),0%,VLOOKUP($A95,'Données projet'!$A$538:$I$558,6,0)*VLOOKUP('Données projet'!$B$28,Paramètres!$A$1:$I$89,7,0))</f>
        <v>0</v>
      </c>
      <c r="PH95" s="16">
        <f>IF(ISNA(VLOOKUP($A95,'Données projet'!$A$538:$I$558,7,0)),0%,VLOOKUP($A95,'Données projet'!$A$538:$I$558,7,0))</f>
        <v>0</v>
      </c>
      <c r="PI95" s="21" t="e">
        <f>EXP(-LN(2)/35)*PI94+(1-EXP(-LN(2)/35))/(LN(2)/35)*PE95*PF95*VLOOKUP('Données projet'!$B$28,Paramètres!$A$1:$I$89,3,0)*0.475*44/12</f>
        <v>#N/A</v>
      </c>
      <c r="PJ95" s="21" t="e">
        <f>EXP(-LN(2)/25)*PJ94+(1-EXP(-LN(2)/25))/(LN(2)/25)*Calculateur!PE95*Calculateur!PG95*VLOOKUP('Données projet'!$B$28,Paramètres!$A$1:$I$89,3,0)*0.475*44/12</f>
        <v>#N/A</v>
      </c>
      <c r="PK95" s="21" t="e">
        <f>EXP(-LN(2)/2)*PK94+(1-EXP(-LN(2)/2))/(LN(2)/2)*PE95*PH95*VLOOKUP('Données projet'!$B$28,Paramètres!$A$1:$I$89,3,0)*0.475*44/12</f>
        <v>#N/A</v>
      </c>
      <c r="PL95" s="22" t="e">
        <f t="shared" si="179"/>
        <v>#N/A</v>
      </c>
    </row>
    <row r="96" spans="1:428" x14ac:dyDescent="0.35">
      <c r="A96" s="10">
        <f t="shared" si="180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181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121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projet'!$A$45:$I$65,2,0)</f>
        <v>#N/A</v>
      </c>
      <c r="L96" s="12" t="e">
        <f>VLOOKUP(A96,'Données projet'!$A$45:$I$65,9,0)</f>
        <v>#N/A</v>
      </c>
      <c r="M96" s="12">
        <f t="array" ref="M96">INDEX(L:L,MIN(IF(ISNUMBER(L96:L292),ROW(L96:L292),"")))</f>
        <v>0</v>
      </c>
      <c r="N96" s="13">
        <f>IF('Données projet'!$A$46&gt;35,N95+M96-V95,IF(A96&lt;'Données projet'!$A$46,$K$205^A96,IF(A96='Données projet'!$A$46,'Données projet'!$B$46,N95+M96-V95)))</f>
        <v>-1.1368683772161603E-13</v>
      </c>
      <c r="O96" s="13">
        <f>N96*VLOOKUP('Données projet'!$B$9,Paramètres!$A$1:$I$89,3,0)*VLOOKUP('Données projet'!$B$9,Paramètres!$A$1:$I$89,5,0)</f>
        <v>-6.3550942286383367E-14</v>
      </c>
      <c r="P96" s="13" t="e">
        <f t="shared" si="182"/>
        <v>#NUM!</v>
      </c>
      <c r="Q96" s="20" t="e">
        <f t="shared" si="119"/>
        <v>#NUM!</v>
      </c>
      <c r="R96" s="59" t="e">
        <f t="shared" si="120"/>
        <v>#NUM!</v>
      </c>
      <c r="S96" s="59">
        <f ca="1">AVERAGE(OFFSET($R$3,0,0,'Données projet'!$E$9+1,1))-AVERAGE(OFFSET($H$3,0,0,'Données projet'!$E$9+1,1))</f>
        <v>274.57619581652199</v>
      </c>
      <c r="T96" s="59">
        <f t="shared" si="183"/>
        <v>366.15117322598775</v>
      </c>
      <c r="U96" s="15">
        <f>IF(ISNA(VLOOKUP(A96,'Données projet'!$A$45:$I$65,3,0)),0,VLOOKUP(A96,'Données projet'!$A$45:$I$65,3,0))</f>
        <v>0</v>
      </c>
      <c r="V96" s="15">
        <f>IF(ISNA(VLOOKUP(A96,'Données projet'!$A$45:$I$65,4,0)),0,VLOOKUP(A96,'Données projet'!$A$45:$I$65,4,0))</f>
        <v>0</v>
      </c>
      <c r="W96" s="16">
        <f>IF(ISNA(VLOOKUP(A96,'Données projet'!$A$45:$I$65,5,0)),0%,VLOOKUP(A96,'Données projet'!$A$45:$I$65,5,0)*VLOOKUP('Données projet'!$B$9,Paramètres!$A$1:$I$89,7,0))</f>
        <v>0</v>
      </c>
      <c r="X96" s="16">
        <f>IF(ISNA(VLOOKUP(A96,'Données projet'!$A$45:$I$65,6,0)),0%,VLOOKUP(A96,'Données projet'!$A$45:$I$65,6,0)*VLOOKUP('Données projet'!$B$9,Paramètres!$A$1:$I$89,7,0))</f>
        <v>0</v>
      </c>
      <c r="Y96" s="16">
        <f>IF(ISNA(VLOOKUP(A96,'Données projet'!$A$45:$I$65,7,0)),0%,VLOOKUP(A96,'Données projet'!$A$45:$I$65,7,0))</f>
        <v>0</v>
      </c>
      <c r="Z96" s="21">
        <f>EXP(-LN(2)/35)*Z95+(1-EXP(-LN(2)/35))/(LN(2)/35)*V96*W96*VLOOKUP('Données projet'!$B$9,Paramètres!$A$1:$I$89,3,0)*0.475*44/12</f>
        <v>106.79150980008389</v>
      </c>
      <c r="AA96" s="21">
        <f>EXP(-LN(2)/25)*AA95+(1-EXP(-LN(2)/25))/(LN(2)/25)*Calculateur!V96*Calculateur!X96*VLOOKUP('Données projet'!$B$9,Paramètres!$A$1:$I$89,3,0)*0.475*44/12</f>
        <v>20.086986838659019</v>
      </c>
      <c r="AB96" s="21">
        <f>EXP(-LN(2)/2)*AB95+(1-EXP(-LN(2)/2))/(LN(2)/2)*V96*Y96*VLOOKUP('Données projet'!$B$9,Paramètres!$A$1:$I$89,3,0)*0.475*44/12</f>
        <v>6.5157516487336108E-5</v>
      </c>
      <c r="AC96" s="22">
        <f t="shared" si="122"/>
        <v>126.87856179625939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projet'!$A$71:$I$91,2,0)</f>
        <v>#N/A</v>
      </c>
      <c r="AG96" s="12" t="e">
        <f>VLOOKUP(A96,'Données projet'!$A$71:$I$91,9,0)</f>
        <v>#N/A</v>
      </c>
      <c r="AH96" s="12">
        <f t="array" ref="AH96">INDEX(AG:AG,MIN(IF(ISNUMBER(AG96:AG292),ROW(AG96:AG292),"")))</f>
        <v>7.1782051282051267</v>
      </c>
      <c r="AI96" s="13">
        <f>IF('Données projet'!$A$72&gt;35,AI95+AH96-AQ95,IF(A96&lt;'Données projet'!$A$72,$AF$205^A96,IF(A96='Données projet'!$A$72,'Données projet'!$B$72,AI95+AH96-AQ95)))</f>
        <v>275.18076923076961</v>
      </c>
      <c r="AJ96" s="13">
        <f>AI96*VLOOKUP('Données projet'!$B$10,Paramètres!$A$1:$I$89,3,0)*VLOOKUP('Données projet'!$B$10,Paramètres!$A$1:$I$89,5,0)</f>
        <v>248.98356000000032</v>
      </c>
      <c r="AK96" s="13">
        <f t="shared" si="184"/>
        <v>60.368233943158614</v>
      </c>
      <c r="AL96" s="20">
        <f t="shared" si="123"/>
        <v>538.78770778433511</v>
      </c>
      <c r="AM96" s="59">
        <f t="shared" si="124"/>
        <v>832.12104111766848</v>
      </c>
      <c r="AN96" s="59">
        <f ca="1">AVERAGE(OFFSET($AM$3,0,0,'Données projet'!$E$10+1,1))-AVERAGE(OFFSET($H$3,0,0,'Données projet'!$E$10+1,1))</f>
        <v>270.87836509222456</v>
      </c>
      <c r="AO96" s="59">
        <f t="shared" si="185"/>
        <v>205.24998237949734</v>
      </c>
      <c r="AP96" s="15">
        <f>IF(ISNA(VLOOKUP(A96,'Données projet'!$A$71:$I$91,3,0)),0,VLOOKUP(A96,'Données projet'!$A$71:$I$91,3,0))</f>
        <v>0</v>
      </c>
      <c r="AQ96" s="15">
        <f>IF(ISNA(VLOOKUP(A96,'Données projet'!$A$71:$I$91,4,0)),0,VLOOKUP(A96,'Données projet'!$A$71:$I$91,4,0))</f>
        <v>0</v>
      </c>
      <c r="AR96" s="16">
        <f>IF(ISNA(VLOOKUP(A96,'Données projet'!$A$71:$I$91,5,0)),0%,VLOOKUP(A96,'Données projet'!$A$71:$I$91,5,0)*VLOOKUP('Données projet'!$B$10,Paramètres!$A$1:$I$89,7,0))</f>
        <v>0</v>
      </c>
      <c r="AS96" s="16">
        <f>IF(ISNA(VLOOKUP(A96,'Données projet'!$A$71:$I$91,6,0)),0%,VLOOKUP(A96,'Données projet'!$A$71:$I$91,6,0)*VLOOKUP('Données projet'!$B$10,Paramètres!$A$1:$I$89,7,0))</f>
        <v>0</v>
      </c>
      <c r="AT96" s="16">
        <f>IF(ISNA(VLOOKUP(A96,'Données projet'!$A$71:$I$91,7,0)),0%,VLOOKUP(A96,'Données projet'!$A$71:$I$91,7,0))</f>
        <v>0</v>
      </c>
      <c r="AU96" s="21">
        <f>EXP(-LN(2)/35)*AU95+(1-EXP(-LN(2)/35))/(LN(2)/35)*AQ96*AR96*VLOOKUP('Données projet'!$B$10,Paramètres!$A$1:$I$89,3,0)*0.475*44/12</f>
        <v>39.063956859392562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125"/>
        <v>39.063956859392562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projet'!$A$97:$I$117,2,0)</f>
        <v>#N/A</v>
      </c>
      <c r="BB96" s="12" t="e">
        <f>VLOOKUP(A96,'Données projet'!$A$97:$I$117,9,0)</f>
        <v>#N/A</v>
      </c>
      <c r="BC96" s="12">
        <f t="array" ref="BC96">INDEX(BB:BB,MIN(IF(ISNUMBER(BB96:BB292),ROW(BB96:BB292),"")))</f>
        <v>0</v>
      </c>
      <c r="BD96" s="12">
        <f>IF('Données projet'!$A$98&gt;35,BD95+BC96-BL95,IF(A96&lt;'Données projet'!$A$98,$BA$205^A96,IF(A96='Données projet'!$A$98,'Données projet'!$B$98,BD95+BC96-BL95)))</f>
        <v>-1.1368683772161603E-13</v>
      </c>
      <c r="BE96" s="13">
        <f>BD96*VLOOKUP('Données projet'!$B$11,Paramètres!$A$1:$I$89,3,0)*VLOOKUP('Données projet'!$B$11,Paramètres!$A$1:$I$89,5,0)</f>
        <v>-5.0249582272954292E-14</v>
      </c>
      <c r="BF96" s="13" t="e">
        <f t="shared" si="186"/>
        <v>#NUM!</v>
      </c>
      <c r="BG96" s="20" t="e">
        <f t="shared" si="126"/>
        <v>#NUM!</v>
      </c>
      <c r="BH96" s="59" t="e">
        <f t="shared" si="127"/>
        <v>#NUM!</v>
      </c>
      <c r="BI96" s="59">
        <f ca="1">AVERAGE(OFFSET($BH$3,0,0,'Données projet'!$E$11+1,1))-AVERAGE(OFFSET($H$3,0,0,'Données projet'!$E$11+1,1))</f>
        <v>211.31057120485542</v>
      </c>
      <c r="BJ96" s="59">
        <f t="shared" si="187"/>
        <v>283.33292006714777</v>
      </c>
      <c r="BK96" s="15">
        <f>IF(ISNA(VLOOKUP(A96,'Données projet'!$A$97:$I$117,3,0)),0,VLOOKUP(A96,'Données projet'!$A$97:$I$117,3,0))</f>
        <v>0</v>
      </c>
      <c r="BL96" s="15">
        <f>IF(ISNA(VLOOKUP(A96,'Données projet'!$A$97:$I$117,4,0)),0,VLOOKUP(A96,'Données projet'!$A$97:$I$117,4,0))</f>
        <v>0</v>
      </c>
      <c r="BM96" s="16">
        <f>IF(ISNA(VLOOKUP(A96,'Données projet'!$A$97:$I$117,5,0)),0%,VLOOKUP(A96,'Données projet'!$A$97:$I$117,5,0)*VLOOKUP('Données projet'!$B$11,Paramètres!$A$1:$I$89,7,0))</f>
        <v>0</v>
      </c>
      <c r="BN96" s="16">
        <f>IF(ISNA(VLOOKUP(A96,'Données projet'!$A$97:$I$117,6,0)),0%,VLOOKUP(A96,'Données projet'!$A$97:$I$117,6,0)*VLOOKUP('Données projet'!$B$11,Paramètres!$A$1:$I$89,7,0))</f>
        <v>0</v>
      </c>
      <c r="BO96" s="16">
        <f>IF(ISNA(VLOOKUP(A96,'Données projet'!$A$97:$I$117,7,0)),0%,VLOOKUP(A96,'Données projet'!$A$97:$I$117,7,0))</f>
        <v>0</v>
      </c>
      <c r="BP96" s="21">
        <f>EXP(-LN(2)/35)*BP95+(1-EXP(-LN(2)/35))/(LN(2)/35)*BL96*BM96*VLOOKUP('Données projet'!$B$11,Paramètres!$A$1:$I$89,3,0)*0.475*44/12</f>
        <v>84.439798446577981</v>
      </c>
      <c r="BQ96" s="21">
        <f>EXP(-LN(2)/25)*BQ95+(1-EXP(-LN(2)/25))/(LN(2)/25)*Calculateur!BL96*Calculateur!BN96*VLOOKUP('Données projet'!$B$11,Paramètres!$A$1:$I$89,3,0)*0.475*44/12</f>
        <v>15.8827337794048</v>
      </c>
      <c r="BR96" s="21">
        <f>EXP(-LN(2)/2)*BR95+(1-EXP(-LN(2)/2))/(LN(2)/2)*BL96*BO96*VLOOKUP('Données projet'!$B$11,Paramètres!$A$1:$I$89,3,0)*0.475*44/12</f>
        <v>5.1519896757428541E-5</v>
      </c>
      <c r="BS96" s="22">
        <f t="shared" si="128"/>
        <v>100.32258374587954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projet'!$A$123:$I$143,2,0)</f>
        <v>#N/A</v>
      </c>
      <c r="BW96" s="12" t="e">
        <f>VLOOKUP(A96,'Données projet'!$A$123:$I$143,9,0)</f>
        <v>#N/A</v>
      </c>
      <c r="BX96" s="12">
        <f t="array" ref="BX96">INDEX(BW:BW,MIN(IF(ISNUMBER(BW96:BW292),ROW(BW96:BW292),"")))</f>
        <v>3</v>
      </c>
      <c r="BY96" s="12">
        <f>IF('Données projet'!$A$124&gt;35,BY95+BX96-CG95,IF(A96&lt;'Données projet'!$A$124,$BV$205^A96,IF(A96='Données projet'!$A$124,'Données projet'!$B$124,BY95+BX96-CG95)))</f>
        <v>246</v>
      </c>
      <c r="BZ96" s="13">
        <f>BY96*VLOOKUP('Données projet'!$B$12,Paramètres!$A$1:$I$89,3,0)*VLOOKUP('Données projet'!$B$12,Paramètres!$A$1:$I$89,5,0)</f>
        <v>257.11920000000003</v>
      </c>
      <c r="CA96" s="13">
        <f t="shared" si="188"/>
        <v>62.107910182723955</v>
      </c>
      <c r="CB96" s="20">
        <f t="shared" si="129"/>
        <v>555.98721690157754</v>
      </c>
      <c r="CC96" s="59">
        <f t="shared" si="130"/>
        <v>849.3205502349108</v>
      </c>
      <c r="CD96" s="59">
        <f ca="1">AVERAGE(OFFSET($CC$3,0,0,'Données projet'!$E$12+1,1))-AVERAGE(OFFSET($H$3,0,0,'Données projet'!$E$12+1,1))</f>
        <v>322.93502595881938</v>
      </c>
      <c r="CE96" s="59">
        <f t="shared" si="189"/>
        <v>302.67072119588164</v>
      </c>
      <c r="CF96" s="15">
        <f>IF(ISNA(VLOOKUP(A96,'Données projet'!$A$123:$I$143,3,0)),0,VLOOKUP(A96,'Données projet'!$A$123:$I$143,3,0))</f>
        <v>0</v>
      </c>
      <c r="CG96" s="15">
        <f>IF(ISNA(VLOOKUP(A96,'Données projet'!$A$123:$I$143,4,0)),0,VLOOKUP(A96,'Données projet'!$A$123:$I$143,4,0))</f>
        <v>0</v>
      </c>
      <c r="CH96" s="16">
        <f>IF(ISNA(VLOOKUP(A96,'Données projet'!$A$123:$I$143,5,0)),0%,VLOOKUP(A96,'Données projet'!$A$123:$I$143,5,0)*VLOOKUP('Données projet'!$B$12,Paramètres!$A$1:$I$89,7,0))</f>
        <v>0</v>
      </c>
      <c r="CI96" s="16">
        <f>IF(ISNA(VLOOKUP(A96,'Données projet'!$A$123:$I$143,6,0)),0%,VLOOKUP(A96,'Données projet'!$A$123:$I$143,6,0)*VLOOKUP('Données projet'!$B$12,Paramètres!$A$1:$I$89,7,0))</f>
        <v>0</v>
      </c>
      <c r="CJ96" s="16">
        <f>IF(ISNA(VLOOKUP(A96,'Données projet'!$A$123:$I$143,7,0)),0%,VLOOKUP(A96,'Données projet'!$A$123:$I$143,7,0))</f>
        <v>0</v>
      </c>
      <c r="CK96" s="21">
        <f>EXP(-LN(2)/35)*CK95+(1-EXP(-LN(2)/35))/(LN(2)/35)*CG96*CH96*VLOOKUP('Données projet'!$B$12,Paramètres!$A$1:$I$89,3,0)*0.475*44/12</f>
        <v>28.317919663845355</v>
      </c>
      <c r="CL96" s="21">
        <f>EXP(-LN(2)/25)*CL95+(1-EXP(-LN(2)/25))/(LN(2)/25)*Calculateur!CG96*Calculateur!CI96*VLOOKUP('Données projet'!$B$12,Paramètres!$A$1:$I$89,3,0)*0.475*44/12</f>
        <v>18.933880444282881</v>
      </c>
      <c r="CM96" s="21">
        <f>EXP(-LN(2)/2)*CM95+(1-EXP(-LN(2)/2))/(LN(2)/2)*CG96*CJ96*VLOOKUP('Données projet'!$B$12,Paramètres!$A$1:$I$89,3,0)*0.475*44/12</f>
        <v>0</v>
      </c>
      <c r="CN96" s="22">
        <f t="shared" si="131"/>
        <v>47.251800108128236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>
        <f>VLOOKUP(A96,'Données projet'!$A$149:$I$169,2,0)</f>
        <v>212.26923076923075</v>
      </c>
      <c r="CR96" s="12">
        <f>VLOOKUP(A96,'Données projet'!$A$149:$I$169,9,0)</f>
        <v>5.2606837606837598</v>
      </c>
      <c r="CS96" s="12">
        <f t="array" ref="CS96">INDEX(CR:CR,MIN(IF(ISNUMBER(CR96:CR292),ROW(CR96:CR292),"")))</f>
        <v>5.2606837606837598</v>
      </c>
      <c r="CT96" s="12">
        <f>IF('Données projet'!$A$150&gt;35,CT95+CS96-DB95,IF(A96&lt;'Données projet'!$A$150,$CQ$205^A96,IF(A96='Données projet'!$A$150,'Données projet'!$B$150,CT95+CS96-DB95)))</f>
        <v>212.26923076923055</v>
      </c>
      <c r="CU96" s="17">
        <f>CT96*VLOOKUP('Données projet'!$B$13,Paramètres!$A$1:$I$89,3,0)*VLOOKUP('Données projet'!$B$13,Paramètres!$A$1:$I$89,5,0)</f>
        <v>215.24099999999979</v>
      </c>
      <c r="CV96" s="13">
        <f t="shared" si="190"/>
        <v>53.079227768194642</v>
      </c>
      <c r="CW96" s="20">
        <f t="shared" si="132"/>
        <v>467.32439669627183</v>
      </c>
      <c r="CX96" s="59">
        <f t="shared" si="133"/>
        <v>760.65773002960509</v>
      </c>
      <c r="CY96" s="59">
        <f ca="1">AVERAGE(OFFSET($CX$3,0,0,'Données projet'!$E$13+1,1))-AVERAGE(OFFSET($H$3,0,0,'Données projet'!$E$13+1,1))</f>
        <v>250.31277422753283</v>
      </c>
      <c r="CZ96" s="59">
        <f t="shared" si="191"/>
        <v>159.20429420478047</v>
      </c>
      <c r="DA96" s="15">
        <f>IF(ISNA(VLOOKUP(A96,'Données projet'!$A$149:$I$169,3,0)),0,VLOOKUP(A96,'Données projet'!$A$149:$I$169,3,0))</f>
        <v>7</v>
      </c>
      <c r="DB96" s="15">
        <f>IF(ISNA(VLOOKUP(A96,'Données projet'!$A$149:$I$169,4,0)),0,VLOOKUP(A96,'Données projet'!$A$149:$I$169,4,0))</f>
        <v>30.083333333333332</v>
      </c>
      <c r="DC96" s="16">
        <f>IF(ISNA(VLOOKUP(A96,'Données projet'!$A$149:$I$169,5,0)),0%,VLOOKUP(A96,'Données projet'!$A$149:$I$169,5,0)*VLOOKUP('Données projet'!$B$13,Paramètres!$A$1:$I$89,7,0))</f>
        <v>0.30099999999999999</v>
      </c>
      <c r="DD96" s="16">
        <f>IF(ISNA(VLOOKUP(A96,'Données projet'!$A$149:$I$169,6,0)),0%,VLOOKUP(A96,'Données projet'!$A$149:$I$169,6,0)*VLOOKUP('Données projet'!$B$13,Paramètres!$A$1:$I$89,7,0))</f>
        <v>0</v>
      </c>
      <c r="DE96" s="16">
        <f>IF(ISNA(VLOOKUP(A96,'Données projet'!$A$149:$I$169,7,0)),0%,VLOOKUP(A96,'Données projet'!$A$149:$I$169,7,0))</f>
        <v>0</v>
      </c>
      <c r="DF96" s="21">
        <f>EXP(-LN(2)/35)*DF95+(1-EXP(-LN(2)/35))/(LN(2)/35)*DB96*DC96*VLOOKUP('Données projet'!$B$13,Paramètres!$A$1:$I$89,3,0)*0.475*44/12</f>
        <v>27.358507483679265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134"/>
        <v>27.358507483679265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projet'!$A$175:$I$195,2,0)</f>
        <v>#N/A</v>
      </c>
      <c r="DM96" s="12" t="e">
        <f>VLOOKUP(A96,'Données projet'!$A$175:$I$195,9,0)</f>
        <v>#N/A</v>
      </c>
      <c r="DN96" s="12">
        <f t="array" ref="DN96">INDEX(DM:DM,MIN(IF(ISNUMBER(DM96:DM292),ROW(DM96:DM292),"")))</f>
        <v>0</v>
      </c>
      <c r="DO96" s="12">
        <f>IF('Données projet'!$A$176&gt;35,DO95+DN96-DW95,IF(A96&lt;'Données projet'!$A$176,$DL$205^A96,IF(A96='Données projet'!$A$176,'Données projet'!$B$176,DO95+DN96-DW95)))</f>
        <v>-2.8421709430404007E-13</v>
      </c>
      <c r="DP96" s="17">
        <f>DO96*VLOOKUP('Données projet'!$B$14,Paramètres!$A$1:$I$89,3,0)*VLOOKUP('Données projet'!$B$14,Paramètres!$A$1:$I$89,5,0)</f>
        <v>-2.0838797354372215E-13</v>
      </c>
      <c r="DQ96" s="13" t="e">
        <f t="shared" si="192"/>
        <v>#NUM!</v>
      </c>
      <c r="DR96" s="20" t="e">
        <f t="shared" si="135"/>
        <v>#NUM!</v>
      </c>
      <c r="DS96" s="59" t="e">
        <f t="shared" si="136"/>
        <v>#NUM!</v>
      </c>
      <c r="DT96" s="59">
        <f ca="1">AVERAGE(OFFSET($DS$3,0,0,'Données projet'!$E$14+1,1))-AVERAGE(OFFSET($H$3,0,0,'Données projet'!$E$14+1,1))</f>
        <v>296.91321813251051</v>
      </c>
      <c r="DU96" s="59">
        <f t="shared" si="193"/>
        <v>291.0718079639509</v>
      </c>
      <c r="DV96" s="15">
        <f>IF(ISNA(VLOOKUP(A96,'Données projet'!$A$175:$I$195,3,0)),0,VLOOKUP(A96,'Données projet'!$A$175:$I$195,3,0))</f>
        <v>0</v>
      </c>
      <c r="DW96" s="15">
        <f>IF(ISNA(VLOOKUP(A96,'Données projet'!$A$175:$I$195,4,0)),0,VLOOKUP(A96,'Données projet'!$A$175:$I$195,4,0))</f>
        <v>0</v>
      </c>
      <c r="DX96" s="16">
        <f>IF(ISNA(VLOOKUP(A96,'Données projet'!$A$175:$I$195,5,0)),0%,VLOOKUP(A96,'Données projet'!$A$175:$I$195,5,0)*VLOOKUP('Données projet'!$B$14,Paramètres!$A$1:$I$89,7,0))</f>
        <v>0</v>
      </c>
      <c r="DY96" s="16">
        <f>IF(ISNA(VLOOKUP(A96,'Données projet'!$A$175:$I$195,6,0)),0%,VLOOKUP(A96,'Données projet'!$A$175:$I$195,6,0)*VLOOKUP('Données projet'!$B$14,Paramètres!$A$1:$I$89,7,0))</f>
        <v>0</v>
      </c>
      <c r="DZ96" s="16">
        <f>IF(ISNA(VLOOKUP(A96,'Données projet'!$A$175:$I$195,7,0)),0%,VLOOKUP(A96,'Données projet'!$A$175:$I$195,7,0))</f>
        <v>0</v>
      </c>
      <c r="EA96" s="21">
        <f>EXP(-LN(2)/35)*EA95+(1-EXP(-LN(2)/35))/(LN(2)/35)*DW96*DX96*VLOOKUP('Données projet'!$B$14,Paramètres!$A$1:$I$89,3,0)*0.475*44/12</f>
        <v>134.08621259062772</v>
      </c>
      <c r="EB96" s="21">
        <f>EXP(-LN(2)/25)*EB95+(1-EXP(-LN(2)/25))/(LN(2)/25)*Calculateur!DW96*Calculateur!DY96*VLOOKUP('Données projet'!$B$14,Paramètres!$A$1:$I$89,3,0)*0.475*44/12</f>
        <v>3.734338025558213</v>
      </c>
      <c r="EC96" s="21">
        <f>EXP(-LN(2)/2)*EC95+(1-EXP(-LN(2)/2))/(LN(2)/2)*DW96*DZ96*VLOOKUP('Données projet'!$B$14,Paramètres!$A$1:$I$89,3,0)*0.475*44/12</f>
        <v>0</v>
      </c>
      <c r="ED96" s="22">
        <f t="shared" si="137"/>
        <v>137.82055061618593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projet'!$A$201:$I$221,2,0)</f>
        <v>#N/A</v>
      </c>
      <c r="EH96" s="12" t="e">
        <f>VLOOKUP(A96,'Données projet'!$A$201:$I$221,9,0)</f>
        <v>#N/A</v>
      </c>
      <c r="EI96" s="12">
        <f t="array" ref="EI96">INDEX(EH:EH,MIN(IF(ISNUMBER(EH96:EH292),ROW(EH96:EH292),"")))</f>
        <v>8.1391025641025667</v>
      </c>
      <c r="EJ96" s="12">
        <f>IF('Données projet'!$A$202&gt;35,EJ95+EI96-ER95,IF(A96&lt;'Données projet'!$A$202,$EG$205^A96,IF(A96='Données projet'!$A$202,'Données projet'!$B$202,EJ95+EI96-ER95)))</f>
        <v>349.03461538461568</v>
      </c>
      <c r="EK96" s="17">
        <f>EJ96*VLOOKUP('Données projet'!$B$15,Paramètres!$A$1:$I$89,3,0)*VLOOKUP('Données projet'!$B$15,Paramètres!$A$1:$I$89,5,0)</f>
        <v>163.34820000000013</v>
      </c>
      <c r="EL96" s="13">
        <f t="shared" si="194"/>
        <v>41.596798587958098</v>
      </c>
      <c r="EM96" s="20">
        <f t="shared" si="138"/>
        <v>356.94587254069387</v>
      </c>
      <c r="EN96" s="59">
        <f t="shared" si="139"/>
        <v>650.27920587402718</v>
      </c>
      <c r="EO96" s="59">
        <f ca="1">AVERAGE(OFFSET($EN$3,0,0,'Données projet'!$E$15+1,1))-AVERAGE(OFFSET($H$3,0,0,'Données projet'!$E$15+1,1))</f>
        <v>147.64256291235483</v>
      </c>
      <c r="EP96" s="59">
        <f t="shared" si="195"/>
        <v>70.859031694091868</v>
      </c>
      <c r="EQ96" s="15">
        <f>IF(ISNA(VLOOKUP(A96,'Données projet'!$A$201:$I$221,3,0)),0,VLOOKUP(A96,'Données projet'!$A$201:$I$221,3,0))</f>
        <v>0</v>
      </c>
      <c r="ER96" s="15">
        <f>IF(ISNA(VLOOKUP(A96,'Données projet'!$A$201:$I$221,4,0)),0,VLOOKUP(A96,'Données projet'!$A$201:$I$221,4,0))</f>
        <v>0</v>
      </c>
      <c r="ES96" s="16">
        <f>IF(ISNA(VLOOKUP(A96,'Données projet'!$A$201:$I$221,5,0)),0%,VLOOKUP(A96,'Données projet'!$A$201:$I$221,5,0)*VLOOKUP('Données projet'!$B$15,Paramètres!$A$1:$I$89,7,0))</f>
        <v>0</v>
      </c>
      <c r="ET96" s="16">
        <f>IF(ISNA(VLOOKUP(A96,'Données projet'!$A$201:$I$221,6,0)),0%,VLOOKUP(A96,'Données projet'!$A$201:$I$221,6,0)*VLOOKUP('Données projet'!$B$15,Paramètres!$A$1:$I$89,7,0))</f>
        <v>0</v>
      </c>
      <c r="EU96" s="16">
        <f>IF(ISNA(VLOOKUP(A96,'Données projet'!$A$201:$I$221,7,0)),0%,VLOOKUP(A96,'Données projet'!$A$201:$I$221,7,0))</f>
        <v>0</v>
      </c>
      <c r="EV96" s="21">
        <f>EXP(-LN(2)/35)*EV95+(1-EXP(-LN(2)/35))/(LN(2)/35)*ER96*ES96*VLOOKUP('Données projet'!$B$15,Paramètres!$A$1:$I$89,3,0)*0.475*44/12</f>
        <v>46.149771776190853</v>
      </c>
      <c r="EW96" s="21">
        <f>EXP(-LN(2)/25)*EW95+(1-EXP(-LN(2)/25))/(LN(2)/25)*Calculateur!ER96*Calculateur!ET96*VLOOKUP('Données projet'!$B$15,Paramètres!$A$1:$I$89,3,0)*0.475*44/12</f>
        <v>15.624364422223801</v>
      </c>
      <c r="EX96" s="21">
        <f>EXP(-LN(2)/2)*EX95+(1-EXP(-LN(2)/2))/(LN(2)/2)*ER96*EU96*VLOOKUP('Données projet'!$B$15,Paramètres!$A$1:$I$89,3,0)*0.475*44/12</f>
        <v>0.73704226074568946</v>
      </c>
      <c r="EY96" s="22">
        <f t="shared" si="140"/>
        <v>62.511178459160341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projet'!$A$227:$I$247,2,0)</f>
        <v>#N/A</v>
      </c>
      <c r="FC96" s="12" t="e">
        <f>VLOOKUP(A96,'Données projet'!$A$227:$I$247,9,0)</f>
        <v>#N/A</v>
      </c>
      <c r="FD96" s="12">
        <f t="array" ref="FD96">INDEX(FC:FC,MIN(IF(ISNUMBER(FC96:FC292),ROW(FC96:FC292),"")))</f>
        <v>2.8</v>
      </c>
      <c r="FE96" s="12">
        <f>IF('Données projet'!$A$228&gt;35,FE95+FD96-FM95,IF(A96&lt;'Données projet'!$A$228,$FB$205^A96,IF(A96='Données projet'!$A$228,'Données projet'!$B$228,FE95+FD96-FM95)))</f>
        <v>213.40000000000006</v>
      </c>
      <c r="FF96" s="17">
        <f>FE96*VLOOKUP('Données projet'!$B$16,Paramètres!$A$1:$I$89,3,0)*VLOOKUP('Données projet'!$B$16,Paramètres!$A$1:$I$89,5,0)</f>
        <v>223.04568000000006</v>
      </c>
      <c r="FG96" s="13">
        <f t="shared" si="196"/>
        <v>54.776318590526813</v>
      </c>
      <c r="FH96" s="20">
        <f t="shared" si="141"/>
        <v>483.87331421183421</v>
      </c>
      <c r="FI96" s="59">
        <f t="shared" si="142"/>
        <v>777.20664754516747</v>
      </c>
      <c r="FJ96" s="59">
        <f ca="1">AVERAGE(OFFSET($FI$3,0,0,'Données projet'!$E$16+1,1))-AVERAGE(OFFSET($H$3,0,0,'Données projet'!$E$16+1,1))</f>
        <v>259.03906550253788</v>
      </c>
      <c r="FK96" s="59">
        <f t="shared" si="197"/>
        <v>235.54542903570831</v>
      </c>
      <c r="FL96" s="15">
        <f>IF(ISNA(VLOOKUP(A96,'Données projet'!$A$227:$I$247,3,0)),0,VLOOKUP(A96,'Données projet'!$A$227:$I$247,3,0))</f>
        <v>0</v>
      </c>
      <c r="FM96" s="15">
        <f>IF(ISNA(VLOOKUP(A96,'Données projet'!$A$227:$I$247,4,0)),0,VLOOKUP(A96,'Données projet'!$A$227:$I$247,4,0))</f>
        <v>0</v>
      </c>
      <c r="FN96" s="16">
        <f>IF(ISNA(VLOOKUP(A96,'Données projet'!$A$227:$I$247,5,0)),0%,VLOOKUP(A96,'Données projet'!$A$227:$I$247,5,0)*VLOOKUP('Données projet'!$B$16,Paramètres!$A$1:$I$89,7,0))</f>
        <v>0</v>
      </c>
      <c r="FO96" s="16">
        <f>IF(ISNA(VLOOKUP(A96,'Données projet'!$A$227:$I$247,6,0)),0%,VLOOKUP(A96,'Données projet'!$A$227:$I$247,6,0)*VLOOKUP('Données projet'!$B$16,Paramètres!$A$1:$I$89,7,0))</f>
        <v>0</v>
      </c>
      <c r="FP96" s="16">
        <f>IF(ISNA(VLOOKUP(A96,'Données projet'!$A$227:$I$247,7,0)),0%,VLOOKUP(A96,'Données projet'!$A$227:$I$247,7,0))</f>
        <v>0</v>
      </c>
      <c r="FQ96" s="21">
        <f>EXP(-LN(2)/35)*FQ95+(1-EXP(-LN(2)/35))/(LN(2)/35)*FM96*FN96*VLOOKUP('Données projet'!$B$16,Paramètres!$A$1:$I$89,3,0)*0.475*44/12</f>
        <v>14.543119878206321</v>
      </c>
      <c r="FR96" s="21">
        <f>EXP(-LN(2)/25)*FR95+(1-EXP(-LN(2)/25))/(LN(2)/25)*Calculateur!FM96*Calculateur!FO96*VLOOKUP('Données projet'!$B$16,Paramètres!$A$1:$I$89,3,0)*0.475*44/12</f>
        <v>15.373537622933178</v>
      </c>
      <c r="FS96" s="21">
        <f>EXP(-LN(2)/2)*FS95+(1-EXP(-LN(2)/2))/(LN(2)/2)*FM96*FP96*VLOOKUP('Données projet'!$B$16,Paramètres!$A$1:$I$89,3,0)*0.475*44/12</f>
        <v>0</v>
      </c>
      <c r="FT96" s="22">
        <f t="shared" si="143"/>
        <v>29.916657501139497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projet'!$A$253:$I$273,2,0)</f>
        <v>#N/A</v>
      </c>
      <c r="FX96" s="12" t="e">
        <f>VLOOKUP(A96,'Données projet'!$A$253:$I$273,9,0)</f>
        <v>#N/A</v>
      </c>
      <c r="FY96" s="12">
        <f t="array" ref="FY96">INDEX(FX:FX,MIN(IF(ISNUMBER(FX96:FX292),ROW(FX96:FX292),"")))</f>
        <v>0</v>
      </c>
      <c r="FZ96" s="12">
        <f>IF('Données projet'!$A$254&gt;35,FZ95+FY96-GH95,IF(A96&lt;'Données projet'!$A$254,$FW$205^A96,IF(A96='Données projet'!$A$254,'Données projet'!$B$254,FZ95+FY96-GH95)))</f>
        <v>-1.7053025658242404E-13</v>
      </c>
      <c r="GA96" s="17">
        <f>FZ96*VLOOKUP('Données projet'!$B$17,Paramètres!$A$1:$I$89,3,0)*VLOOKUP('Données projet'!$B$17,Paramètres!$A$1:$I$89,5,0)</f>
        <v>-1.4897523215040567E-13</v>
      </c>
      <c r="GB96" s="13" t="e">
        <f t="shared" si="198"/>
        <v>#NUM!</v>
      </c>
      <c r="GC96" s="20" t="e">
        <f t="shared" si="144"/>
        <v>#NUM!</v>
      </c>
      <c r="GD96" s="59" t="e">
        <f t="shared" si="145"/>
        <v>#NUM!</v>
      </c>
      <c r="GE96" s="59">
        <f ca="1">AVERAGE(OFFSET($GD$3,0,0,'Données projet'!$E$17+1,1))-AVERAGE(OFFSET($H$3,0,0,'Données projet'!$E$17+1,1))</f>
        <v>245.1983232777614</v>
      </c>
      <c r="GF96" s="59">
        <f t="shared" si="199"/>
        <v>242.34010522344573</v>
      </c>
      <c r="GG96" s="15">
        <f>IF(ISNA(VLOOKUP(A96,'Données projet'!$A$253:$I$273,3,0)),0,VLOOKUP(A96,'Données projet'!$A$253:$I$273,3,0))</f>
        <v>0</v>
      </c>
      <c r="GH96" s="15">
        <f>IF(ISNA(VLOOKUP(A96,'Données projet'!$A$253:$I$273,4,0)),0,VLOOKUP(A96,'Données projet'!$A$253:$I$273,4,0))</f>
        <v>0</v>
      </c>
      <c r="GI96" s="16">
        <f>IF(ISNA(VLOOKUP(A96,'Données projet'!$A$253:$I$273,5,0)),0%,VLOOKUP(A96,'Données projet'!$A$253:$I$273,5,0)*VLOOKUP('Données projet'!$B$17,Paramètres!$A$1:$I$89,7,0))</f>
        <v>0</v>
      </c>
      <c r="GJ96" s="16">
        <f>IF(ISNA(VLOOKUP(A96,'Données projet'!$A$253:$I$273,6,0)),0%,VLOOKUP(A96,'Données projet'!$A$253:$I$273,6,0)*VLOOKUP('Données projet'!$B$17,Paramètres!$A$1:$I$89,7,0))</f>
        <v>0</v>
      </c>
      <c r="GK96" s="16">
        <f>IF(ISNA(VLOOKUP(A96,'Données projet'!$A$253:$I$273,7,0)),0%,VLOOKUP(A96,'Données projet'!$A$253:$I$273,7,0))</f>
        <v>0</v>
      </c>
      <c r="GL96" s="21">
        <f>EXP(-LN(2)/35)*GL95+(1-EXP(-LN(2)/35))/(LN(2)/35)*GH96*GI96*VLOOKUP('Données projet'!$B$17,Paramètres!$A$1:$I$89,3,0)*0.475*44/12</f>
        <v>95.251425004919469</v>
      </c>
      <c r="GM96" s="21">
        <f>EXP(-LN(2)/25)*GM95+(1-EXP(-LN(2)/25))/(LN(2)/25)*Calculateur!GH96*Calculateur!GJ96*VLOOKUP('Données projet'!$B$17,Paramètres!$A$1:$I$89,3,0)*0.475*44/12</f>
        <v>15.186742098945766</v>
      </c>
      <c r="GN96" s="21">
        <f>EXP(-LN(2)/2)*GN95+(1-EXP(-LN(2)/2))/(LN(2)/2)*GH96*GK96*VLOOKUP('Données projet'!$B$17,Paramètres!$A$1:$I$89,3,0)*0.475*44/12</f>
        <v>0</v>
      </c>
      <c r="GO96" s="21">
        <f t="shared" si="146"/>
        <v>110.43816710386524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projet'!$A$279:$I$299,2,0)</f>
        <v>#N/A</v>
      </c>
      <c r="GS96" s="12" t="e">
        <f>VLOOKUP(A96,'Données projet'!$A$279:$I$299,9,0)</f>
        <v>#N/A</v>
      </c>
      <c r="GT96" s="12">
        <f t="array" ref="GT96">INDEX(GS:GS,MIN(IF(ISNUMBER(GS96:GS292),ROW(GS96:GS292),"")))</f>
        <v>0</v>
      </c>
      <c r="GU96" s="12">
        <f>IF('Données projet'!$A$280&gt;35,GU95+GT96-HC95,IF(A96&lt;'Données projet'!$A$280,$GR$205^A96,IF(A96='Données projet'!$A$280,'Données projet'!$B$280,GU95+GT96-HC95)))</f>
        <v>-1.1368683772161603E-13</v>
      </c>
      <c r="GV96" s="17">
        <f>GU96*VLOOKUP('Données projet'!$B$18,Paramètres!$A$1:$I$89,3,0)*VLOOKUP('Données projet'!$B$18,Paramètres!$A$1:$I$89,5,0)</f>
        <v>-4.5815795601811263E-14</v>
      </c>
      <c r="GW96" s="13" t="e">
        <f t="shared" si="200"/>
        <v>#NUM!</v>
      </c>
      <c r="GX96" s="20" t="e">
        <f t="shared" si="147"/>
        <v>#NUM!</v>
      </c>
      <c r="GY96" s="59" t="e">
        <f t="shared" si="148"/>
        <v>#NUM!</v>
      </c>
      <c r="GZ96" s="59">
        <f ca="1">AVERAGE(OFFSET($GY$3,0,0,'Données projet'!$E$18+1,1))-AVERAGE(OFFSET($H$3,0,0,'Données projet'!$E$18+1,1))</f>
        <v>324.36162935850876</v>
      </c>
      <c r="HA96" s="59">
        <f t="shared" si="201"/>
        <v>265.23571072429735</v>
      </c>
      <c r="HB96" s="15">
        <f>IF(ISNA(VLOOKUP(A96,'Données projet'!$A$279:$I$299,3,0)),0,VLOOKUP(A96,'Données projet'!$A$279:$I$299,3,0))</f>
        <v>0</v>
      </c>
      <c r="HC96" s="15">
        <f>IF(ISNA(VLOOKUP(A96,'Données projet'!$A$279:$I$299,4,0)),0,VLOOKUP(A96,'Données projet'!$A$279:$I$299,4,0))</f>
        <v>0</v>
      </c>
      <c r="HD96" s="16">
        <f>IF(ISNA(VLOOKUP(A96,'Données projet'!$A$279:$I$299,5,0)),0%,VLOOKUP(A96,'Données projet'!$A$279:$I$299,5,0)*VLOOKUP('Données projet'!$B$18,Paramètres!$A$1:$I$89,7,0))</f>
        <v>0</v>
      </c>
      <c r="HE96" s="16">
        <f>IF(ISNA(VLOOKUP(A96,'Données projet'!$A$279:$I$299,6,0)),0%,VLOOKUP(A96,'Données projet'!$A$279:$I$299,6,0)*VLOOKUP('Données projet'!$B$18,Paramètres!$A$1:$I$89,7,0))</f>
        <v>0</v>
      </c>
      <c r="HF96" s="16">
        <f>IF(ISNA(VLOOKUP($A96,'Données projet'!$A$279:$I$299,7,0)),0%,VLOOKUP($A96,'Données projet'!$A$279:$I$299,7,0))</f>
        <v>0</v>
      </c>
      <c r="HG96" s="21">
        <f>EXP(-LN(2)/35)*HG95+(1-EXP(-LN(2)/35))/(LN(2)/35)*HC96*HD96*VLOOKUP('Données projet'!$B$18,Paramètres!$A$1:$I$89,3,0)*0.475*44/12</f>
        <v>182.52663082361644</v>
      </c>
      <c r="HH96" s="21">
        <f>EXP(-LN(2)/25)*HH95+(1-EXP(-LN(2)/25))/(LN(2)/25)*Calculateur!HC96*Calculateur!HE96*VLOOKUP('Données projet'!$B$18,Paramètres!$A$1:$I$89,3,0)*0.475*44/12</f>
        <v>16.890373606668533</v>
      </c>
      <c r="HI96" s="21">
        <f>EXP(-LN(2)/2)*HI95+(1-EXP(-LN(2)/2))/(LN(2)/2)*HC96*HF96*VLOOKUP('Données projet'!$B$18,Paramètres!$A$1:$I$89,3,0)*0.475*44/12</f>
        <v>9.4434217901969486E-2</v>
      </c>
      <c r="HJ96" s="22">
        <f t="shared" si="149"/>
        <v>199.51143864818695</v>
      </c>
      <c r="HK96" s="74">
        <f>('Scénario référence'!$F$8+'Scénario référence'!$F$9+'Scénario référence'!$B$17+'Scénario référence'!$B$9+'Scénario référence'!$B$10)*70+IF((45+25*(1-EXP(-0.0175*$A96)))&lt;70,'Scénario référence'!$B$16*(45+25*(1-EXP(-0.0175*$A96))),70*'Scénario référence'!$B$16)+IF((32+38*(1-EXP(-0.0175*$A96)))&lt;70,'Scénario référence'!$B$18*(32+38*(1-EXP(-0.0175*$A96))),70*'Scénario référence'!$B$18)</f>
        <v>70</v>
      </c>
      <c r="HL96" s="12">
        <f>IF($A96&gt;30,10,('Scénario référence'!$B$16+'Scénario référence'!$B$17+'Scénario référence'!$B$18+'Scénario référence'!$B$9+'Scénario référence'!$B$10)*$A96*10/30+('Scénario référence'!$F$8+'Scénario référence'!$F$9)*10)</f>
        <v>10</v>
      </c>
      <c r="HM96" s="12" t="e">
        <f>VLOOKUP($A96,'Données projet'!$A$304:$I$324,2,0)</f>
        <v>#N/A</v>
      </c>
      <c r="HN96" s="12" t="e">
        <f>VLOOKUP($A96,'Données projet'!$A$304:$I$324,9,0)</f>
        <v>#N/A</v>
      </c>
      <c r="HO96" s="12">
        <f t="array" ref="HO96">INDEX(HN:HN,MIN(IF(ISNUMBER(HN96:HN292),ROW(HN96:HN292),"")))</f>
        <v>0</v>
      </c>
      <c r="HP96" s="12">
        <f>IF('Données projet'!$A$304&gt;35,HP95+HO96-HX95,IF($A96&lt;'Données projet'!$A$304,$CQ$205^$A96,IF($A96='Données projet'!$A$304,'Données projet'!$B$304,HP95+HO96-HX95)))</f>
        <v>0</v>
      </c>
      <c r="HQ96" s="17">
        <f>HP96*VLOOKUP('Données projet'!$B$19,Paramètres!$A$1:$I$89,3,0)*VLOOKUP('Données projet'!$B$19,Paramètres!$A$1:$I$89,5,0)</f>
        <v>0</v>
      </c>
      <c r="HR96" s="13" t="e">
        <f t="shared" si="202"/>
        <v>#NUM!</v>
      </c>
      <c r="HS96" s="14" t="e">
        <f t="shared" si="150"/>
        <v>#NUM!</v>
      </c>
      <c r="HT96" s="59" t="e">
        <f t="shared" si="151"/>
        <v>#NUM!</v>
      </c>
      <c r="HU96" s="59">
        <f ca="1">AVERAGE(OFFSET(HT$3,0,0,'Données projet'!$E$19+1,1))-AVERAGE(OFFSET($H$3,0,0,'Données projet'!$E$19+1,1))</f>
        <v>91.60721429656013</v>
      </c>
      <c r="HV96" s="59">
        <f t="shared" si="203"/>
        <v>258.94957804210856</v>
      </c>
      <c r="HW96" s="15">
        <f>IF(ISNA(VLOOKUP($A96,'Données projet'!$A$304:$I$324,3,0)),0,VLOOKUP($A96,'Données projet'!$A$304:$I$324,3,0))</f>
        <v>0</v>
      </c>
      <c r="HX96" s="15">
        <f>IF(ISNA(VLOOKUP($A96,'Données projet'!$A$304:$I$324,4,0)),0,VLOOKUP($A96,'Données projet'!$A$304:$I$324,4,0))</f>
        <v>0</v>
      </c>
      <c r="HY96" s="16">
        <f>IF(ISNA(VLOOKUP($A96,'Données projet'!$A$304:$I$324,5,0)),0%,VLOOKUP($A96,'Données projet'!$A$304:$I$324,5,0)*VLOOKUP('Données projet'!$B$19,Paramètres!$A$1:$I$89,7,0))</f>
        <v>0</v>
      </c>
      <c r="HZ96" s="16">
        <f>IF(ISNA(VLOOKUP($A96,'Données projet'!$A$304:$I$324,6,0)),0%,VLOOKUP($A96,'Données projet'!$A$304:$I$324,6,0)*VLOOKUP('Données projet'!$B$19,Paramètres!$A$1:$I$89,7,0))</f>
        <v>0</v>
      </c>
      <c r="IA96" s="16">
        <f>IF(ISNA(VLOOKUP($A96,'Données projet'!$A$304:$I$324,7,0)),0%,VLOOKUP($A96,'Données projet'!$A$304:$I$324,7,0))</f>
        <v>0</v>
      </c>
      <c r="IB96" s="21">
        <f>EXP(-LN(2)/35)*IB95+(1-EXP(-LN(2)/35))/(LN(2)/35)*HX96*HY96*VLOOKUP('Données projet'!$B$19,Paramètres!$A$1:$I$89,3,0)*0.475*44/12</f>
        <v>14.1670991879698</v>
      </c>
      <c r="IC96" s="21">
        <f>EXP(-LN(2)/25)*IC95+(1-EXP(-LN(2)/25))/(LN(2)/25)*Calculateur!HX96*Calculateur!HZ96*VLOOKUP('Données projet'!$B$19,Paramètres!$A$1:$I$89,3,0)*0.475*44/12</f>
        <v>1.6959606461917509</v>
      </c>
      <c r="ID96" s="21">
        <f>EXP(-LN(2)/2)*ID95+(1-EXP(-LN(2)/2))/(LN(2)/2)*HX96*IA96*VLOOKUP('Données projet'!$B$19,Paramètres!$A$1:$I$89,3,0)*0.475*44/12</f>
        <v>1.886243718921005E-10</v>
      </c>
      <c r="IE96" s="22">
        <f t="shared" si="152"/>
        <v>15.863059834350175</v>
      </c>
      <c r="IF96" s="74">
        <f>('Scénario référence'!$F$8+'Scénario référence'!$F$9+'Scénario référence'!$B$17+'Scénario référence'!$B$9+'Scénario référence'!$B$10)*70+IF((45+25*(1-EXP(-0.0175*$A96)))&lt;70,'Scénario référence'!$B$16*(45+25*(1-EXP(-0.0175*$A96))),70*'Scénario référence'!$B$16)+IF((32+38*(1-EXP(-0.0175*$A96)))&lt;70,'Scénario référence'!$B$18*(32+38*(1-EXP(-0.0175*$A96))),70*'Scénario référence'!$B$18)</f>
        <v>70</v>
      </c>
      <c r="IG96" s="12">
        <f>IF($A96&gt;30,10,('Scénario référence'!$B$16+'Scénario référence'!$B$17+'Scénario référence'!$B$18+'Scénario référence'!$B$9+'Scénario référence'!$B$10)*$A96*10/30+('Scénario référence'!$F$8+'Scénario référence'!$F$9)*10)</f>
        <v>10</v>
      </c>
      <c r="IH96" s="12" t="e">
        <f>VLOOKUP($A96,'Données projet'!$A$330:$I$350,2,0)</f>
        <v>#N/A</v>
      </c>
      <c r="II96" s="12" t="e">
        <f>VLOOKUP($A96,'Données projet'!$A$330:$I$350,9,0)</f>
        <v>#N/A</v>
      </c>
      <c r="IJ96" s="12">
        <f t="array" ref="IJ96">INDEX(II:II,MIN(IF(ISNUMBER(II96:II292),ROW(II96:II292),"")))</f>
        <v>0</v>
      </c>
      <c r="IK96" s="12">
        <f>IF('Données projet'!$A$330&gt;35,IK95+IJ96-IS95,IF($A96&lt;'Données projet'!$A$330,$CQ$205^$A96,IF($A96='Données projet'!$A$330,'Données projet'!$B$330,IK95+IJ96-IS95)))</f>
        <v>0</v>
      </c>
      <c r="IL96" s="17">
        <f>IK96*VLOOKUP('Données projet'!$B$20,Paramètres!$A$1:$I$89,3,0)*VLOOKUP('Données projet'!$B$20,Paramètres!$A$1:$I$89,5,0)</f>
        <v>0</v>
      </c>
      <c r="IM96" s="13" t="e">
        <f t="shared" si="204"/>
        <v>#NUM!</v>
      </c>
      <c r="IN96" s="20" t="e">
        <f t="shared" si="153"/>
        <v>#NUM!</v>
      </c>
      <c r="IO96" s="59" t="e">
        <f t="shared" si="154"/>
        <v>#NUM!</v>
      </c>
      <c r="IP96" s="59">
        <f ca="1">AVERAGE(OFFSET(IO$3,0,0,'Données projet'!$E$20+1,1))-AVERAGE(OFFSET($H$3,0,0,'Données projet'!$E$20+1,1))</f>
        <v>91.60721429656013</v>
      </c>
      <c r="IQ96" s="59">
        <f t="shared" si="205"/>
        <v>258.94957804210856</v>
      </c>
      <c r="IR96" s="15">
        <f>IF(ISNA(VLOOKUP($A96,'Données projet'!$A$330:$I$350,3,0)),0,VLOOKUP($A96,'Données projet'!$A$330:$I$350,3,0))</f>
        <v>0</v>
      </c>
      <c r="IS96" s="15">
        <f>IF(ISNA(VLOOKUP($A96,'Données projet'!$A$330:$I$350,4,0)),0,VLOOKUP($A96,'Données projet'!$A$330:$I$350,4,0))</f>
        <v>0</v>
      </c>
      <c r="IT96" s="16">
        <f>IF(ISNA(VLOOKUP($A96,'Données projet'!$A$330:$I$350,5,0)),0%,VLOOKUP($A96,'Données projet'!$A$330:$I$350,5,0)*VLOOKUP('Données projet'!$B$20,Paramètres!$A$1:$I$89,7,0))</f>
        <v>0</v>
      </c>
      <c r="IU96" s="16">
        <f>IF(ISNA(VLOOKUP($A96,'Données projet'!$A$330:$I$350,6,0)),0%,VLOOKUP($A96,'Données projet'!$A$330:$I$350,6,0)*VLOOKUP('Données projet'!$B$20,Paramètres!$A$1:$I$89,7,0))</f>
        <v>0</v>
      </c>
      <c r="IV96" s="16">
        <f>IF(ISNA(VLOOKUP($A96,'Données projet'!$A$330:$I$350,7,0)),0%,VLOOKUP($A96,'Données projet'!$A$330:$I$350,7,0))</f>
        <v>0</v>
      </c>
      <c r="IW96" s="21">
        <f>EXP(-LN(2)/35)*IW95+(1-EXP(-LN(2)/35))/(LN(2)/35)*IS96*IT96*VLOOKUP('Données projet'!$B$20,Paramètres!$A$1:$I$89,3,0)*0.475*44/12</f>
        <v>14.1670991879698</v>
      </c>
      <c r="IX96" s="21">
        <f>EXP(-LN(2)/25)*IX95+(1-EXP(-LN(2)/25))/(LN(2)/25)*Calculateur!IS96*Calculateur!IU96*VLOOKUP('Données projet'!$B$20,Paramètres!$A$1:$I$89,3,0)*0.475*44/12</f>
        <v>1.6959606461917509</v>
      </c>
      <c r="IY96" s="21">
        <f>EXP(-LN(2)/2)*IY95+(1-EXP(-LN(2)/2))/(LN(2)/2)*IS96*IV96*VLOOKUP('Données projet'!$B$20,Paramètres!$A$1:$I$89,3,0)*0.475*44/12</f>
        <v>1.886243718921005E-10</v>
      </c>
      <c r="IZ96" s="22">
        <f t="shared" si="155"/>
        <v>15.863059834350175</v>
      </c>
      <c r="JA96" s="74">
        <f>('Scénario référence'!$F$8+'Scénario référence'!$F$9+'Scénario référence'!$B$17+'Scénario référence'!$B$9+'Scénario référence'!$B$10)*70+IF((45+25*(1-EXP(-0.0175*$A96)))&lt;70,'Scénario référence'!$B$16*(45+25*(1-EXP(-0.0175*$A96))),70*'Scénario référence'!$B$16)+IF((32+38*(1-EXP(-0.0175*$A96)))&lt;70,'Scénario référence'!$B$18*(32+38*(1-EXP(-0.0175*$A96))),70*'Scénario référence'!$B$18)</f>
        <v>70</v>
      </c>
      <c r="JB96" s="12">
        <f>IF($A96&gt;30,10,('Scénario référence'!$B$16+'Scénario référence'!$B$17+'Scénario référence'!$B$18+'Scénario référence'!$B$9+'Scénario référence'!$B$10)*$A96*10/30+('Scénario référence'!$F$8+'Scénario référence'!$F$9)*10)</f>
        <v>10</v>
      </c>
      <c r="JC96" s="12" t="e">
        <f>VLOOKUP($A96,'Données projet'!$A$356:$I$376,2,0)</f>
        <v>#N/A</v>
      </c>
      <c r="JD96" s="12" t="e">
        <f>VLOOKUP($A96,'Données projet'!$A$356:$I$376,9,0)</f>
        <v>#N/A</v>
      </c>
      <c r="JE96" s="12">
        <f t="array" ref="JE96">INDEX(JD:JD,MIN(IF(ISNUMBER(JD96:JD292),ROW(JD96:JD292),"")))</f>
        <v>4.9000000000000004</v>
      </c>
      <c r="JF96" s="12">
        <f>IF('Données projet'!$A$356&gt;35,JF95+JE96-JN95,IF($A96&lt;'Données projet'!$A$356,$CQ$205^$A96,IF($A96='Données projet'!$A$356,'Données projet'!$B$356,JF95+JE96-JN95)))</f>
        <v>365.69999999999965</v>
      </c>
      <c r="JG96" s="17">
        <f>JF96*VLOOKUP('Données projet'!$B$21,Paramètres!$A$1:$I$89,3,0)*VLOOKUP('Données projet'!$B$21,Paramètres!$A$1:$I$89,5,0)</f>
        <v>296.65583999999973</v>
      </c>
      <c r="JH96" s="13">
        <f t="shared" si="206"/>
        <v>70.474942363677172</v>
      </c>
      <c r="JI96" s="20">
        <f t="shared" si="156"/>
        <v>639.41944595007055</v>
      </c>
      <c r="JJ96" s="59">
        <f t="shared" si="157"/>
        <v>932.75277928340392</v>
      </c>
      <c r="JK96" s="59">
        <f ca="1">AVERAGE(OFFSET($JJ$3,0,0,'Données projet'!$E$22+1,1))-AVERAGE(OFFSET($H$3,0,0,'Données projet'!$E$22+1,1))</f>
        <v>353.35574633294613</v>
      </c>
      <c r="JL96" s="59">
        <f t="shared" si="207"/>
        <v>170.36796666474726</v>
      </c>
      <c r="JM96" s="15">
        <f>IF(ISNA(VLOOKUP($A96,'Données projet'!$A$356:$I$376,3,0)),0,VLOOKUP($A96,'Données projet'!$A$356:$I$376,3,0))</f>
        <v>0</v>
      </c>
      <c r="JN96" s="15">
        <f>IF(ISNA(VLOOKUP($A96,'Données projet'!$A$356:$I$376,4,0)),0,VLOOKUP($A96,'Données projet'!$A$356:$I$376,4,0))</f>
        <v>0</v>
      </c>
      <c r="JO96" s="16">
        <f>IF(ISNA(VLOOKUP($A96,'Données projet'!$A$356:$I$376,5,0)),0%,VLOOKUP($A96,'Données projet'!$A$356:$I$376,5,0)*VLOOKUP('Données projet'!$B$21,Paramètres!$A$1:$I$89,7,0))</f>
        <v>0</v>
      </c>
      <c r="JP96" s="16">
        <f>IF(ISNA(VLOOKUP($A96,'Données projet'!$A$356:$I$376,6,0)),0%,VLOOKUP($A96,'Données projet'!$A$356:$I$376,6,0)*VLOOKUP('Données projet'!$B$21,Paramètres!$A$1:$I$89,7,0))</f>
        <v>0</v>
      </c>
      <c r="JQ96" s="16">
        <f>IF(ISNA(VLOOKUP($A96,'Données projet'!$A$356:$I$376,7,0)),0%,VLOOKUP($A96,'Données projet'!$A$356:$I$376,7,0))</f>
        <v>0</v>
      </c>
      <c r="JR96" s="21">
        <f>EXP(-LN(2)/35)*JR95+(1-EXP(-LN(2)/35))/(LN(2)/35)*JN96*JO96*VLOOKUP('Données projet'!$B$21,Paramètres!$A$1:$I$89,3,0)*0.475*44/12</f>
        <v>2.5353052930319371</v>
      </c>
      <c r="JS96" s="21">
        <f>EXP(-LN(2)/25)*JS95+(1-EXP(-LN(2)/25))/(LN(2)/25)*Calculateur!JN96*Calculateur!JP96*VLOOKUP('Données projet'!$B$21,Paramètres!$A$1:$I$89,3,0)*0.475*44/12</f>
        <v>15.967459770544178</v>
      </c>
      <c r="JT96" s="21">
        <f>EXP(-LN(2)/2)*JT95+(1-EXP(-LN(2)/2))/(LN(2)/2)*JN96*JQ96*VLOOKUP('Données projet'!$B$21,Paramètres!$A$1:$I$89,3,0)*0.475*44/12</f>
        <v>2.1970136242637137</v>
      </c>
      <c r="JU96" s="18">
        <f t="shared" si="158"/>
        <v>20.699778687839828</v>
      </c>
      <c r="JV96" s="74">
        <f>('Scénario référence'!$F$8+'Scénario référence'!$F$9+'Scénario référence'!$B$17+'Scénario référence'!$B$9+'Scénario référence'!$B$10)*70+IF((45+25*(1-EXP(-0.0175*$A96)))&lt;70,'Scénario référence'!$B$16*(45+25*(1-EXP(-0.0175*$A96))),70*'Scénario référence'!$B$16)+IF((32+38*(1-EXP(-0.0175*$A96)))&lt;70,'Scénario référence'!$B$18*(32+38*(1-EXP(-0.0175*$A96))),70*'Scénario référence'!$B$18)</f>
        <v>70</v>
      </c>
      <c r="JW96" s="12">
        <f>IF($A96&gt;30,10,('Scénario référence'!$B$16+'Scénario référence'!$B$17+'Scénario référence'!$B$18+'Scénario référence'!$B$9+'Scénario référence'!$B$10)*$A96*10/30+('Scénario référence'!$F$8+'Scénario référence'!$F$9)*10)</f>
        <v>10</v>
      </c>
      <c r="JX96" s="12" t="e">
        <f>VLOOKUP($A96,'Données projet'!$A$382:$I$402,2,0)</f>
        <v>#N/A</v>
      </c>
      <c r="JY96" s="12" t="e">
        <f>VLOOKUP($A96,'Données projet'!$A$382:$I$402,9,0)</f>
        <v>#N/A</v>
      </c>
      <c r="JZ96" s="12">
        <f t="array" ref="JZ96">INDEX(JY:JY,MIN(IF(ISNUMBER(JY96:JY292),ROW(JY96:JY292),"")))</f>
        <v>7.1782051282051267</v>
      </c>
      <c r="KA96" s="12">
        <f>IF('Données projet'!$A$382&gt;35,KA95+JZ96-KI95,IF($A96&lt;'Données projet'!$A$382,$CQ$205^$A96,IF($A96='Données projet'!$A$382,'Données projet'!$B$382,KA95+JZ96-KI95)))</f>
        <v>275.18076923076956</v>
      </c>
      <c r="KB96" s="17">
        <f>KA96*VLOOKUP('Données projet'!$B$22,Paramètres!$A$1:$I$89,3,0)*VLOOKUP('Données projet'!$B$22,Paramètres!$A$1:$I$89,5,0)</f>
        <v>184.59126000000023</v>
      </c>
      <c r="KC96" s="13">
        <f t="shared" si="208"/>
        <v>46.342154748993174</v>
      </c>
      <c r="KD96" s="20">
        <f t="shared" si="159"/>
        <v>402.20903068783014</v>
      </c>
      <c r="KE96" s="59">
        <f t="shared" si="160"/>
        <v>695.54236402116339</v>
      </c>
      <c r="KF96" s="59">
        <f ca="1">AVERAGE(OFFSET($KE$3,0,0,'Données projet'!$E$22+1,1))-AVERAGE(OFFSET($H$3,0,0,'Données projet'!$E$22+1,1))</f>
        <v>193.91714772848269</v>
      </c>
      <c r="KG96" s="59">
        <f t="shared" si="209"/>
        <v>159.20429420478047</v>
      </c>
      <c r="KH96" s="15">
        <f>IF(ISNA(VLOOKUP($A96,'Données projet'!$A$382:$I$402,3,0)),0,VLOOKUP($A96,'Données projet'!$A$382:$I$402,3,0))</f>
        <v>0</v>
      </c>
      <c r="KI96" s="15">
        <f>IF(ISNA(VLOOKUP($A96,'Données projet'!$A$382:$I$402,4,0)),0,VLOOKUP($A96,'Données projet'!$A$382:$I$402,4,0))</f>
        <v>0</v>
      </c>
      <c r="KJ96" s="16">
        <f>IF(ISNA(VLOOKUP($A96,'Données projet'!$A$382:$I$402,5,0)),0%,VLOOKUP($A96,'Données projet'!$A$382:$I$402,5,0)*VLOOKUP('Données projet'!$B$22,Paramètres!$A$1:$I$89,7,0))</f>
        <v>0</v>
      </c>
      <c r="KK96" s="16">
        <f>IF(ISNA(VLOOKUP($A96,'Données projet'!$A$382:$I$402,6,0)),0%,VLOOKUP($A96,'Données projet'!$A$382:$I$402,6,0)*VLOOKUP('Données projet'!$B$22,Paramètres!$A$1:$I$89,7,0))</f>
        <v>0</v>
      </c>
      <c r="KL96" s="16">
        <f>IF(ISNA(VLOOKUP($A96,'Données projet'!$A$382:$I$402,7,0)),0%,VLOOKUP($A96,'Données projet'!$A$382:$I$402,7,0))</f>
        <v>0</v>
      </c>
      <c r="KM96" s="21">
        <f>EXP(-LN(2)/35)*KM95+(1-EXP(-LN(2)/35))/(LN(2)/35)*KI96*KJ96*VLOOKUP('Données projet'!$B$22,Paramètres!$A$1:$I$89,3,0)*0.475*44/12</f>
        <v>35.696374371513905</v>
      </c>
      <c r="KN96" s="21">
        <f>EXP(-LN(2)/25)*KN95+(1-EXP(-LN(2)/25))/(LN(2)/25)*Calculateur!KI96*Calculateur!KK96*VLOOKUP('Données projet'!$B$22,Paramètres!$A$1:$I$89,3,0)*0.475*44/12</f>
        <v>0</v>
      </c>
      <c r="KO96" s="21">
        <f>EXP(-LN(2)/2)*KO95+(1-EXP(-LN(2)/2))/(LN(2)/2)*KI96*KL96*VLOOKUP('Données projet'!$B$22,Paramètres!$A$1:$I$89,3,0)*0.475*44/12</f>
        <v>0</v>
      </c>
      <c r="KP96" s="22">
        <f t="shared" si="161"/>
        <v>35.696374371513905</v>
      </c>
      <c r="KQ96" s="74">
        <f>('Scénario référence'!$F$8+'Scénario référence'!$F$9+'Scénario référence'!$B$17+'Scénario référence'!$B$9+'Scénario référence'!$B$10)*70+IF((45+25*(1-EXP(-0.0175*$A96)))&lt;70,'Scénario référence'!$B$16*(45+25*(1-EXP(-0.0175*$A96))),70*'Scénario référence'!$B$16)+IF((32+38*(1-EXP(-0.0175*$A96)))&lt;70,'Scénario référence'!$B$18*(32+38*(1-EXP(-0.0175*$A96))),70*'Scénario référence'!$B$18)</f>
        <v>70</v>
      </c>
      <c r="KR96" s="12">
        <f>IF($A96&gt;30,10,('Scénario référence'!$B$16+'Scénario référence'!$B$17+'Scénario référence'!$B$18+'Scénario référence'!$B$9+'Scénario référence'!$B$10)*$A96*10/30+('Scénario référence'!$F$8+'Scénario référence'!$F$9)*10)</f>
        <v>10</v>
      </c>
      <c r="KS96" s="12" t="e">
        <f>VLOOKUP($A96,'Données projet'!$A$408:$I$428,2,0)</f>
        <v>#N/A</v>
      </c>
      <c r="KT96" s="12" t="e">
        <f>VLOOKUP($A96,'Données projet'!$A$408:$I$428,9,0)</f>
        <v>#N/A</v>
      </c>
      <c r="KU96" s="12">
        <f t="array" ref="KU96">INDEX(KT:KT,MIN(IF(ISNUMBER(KT96:KT292),ROW(KT96:KT292),"")))</f>
        <v>0</v>
      </c>
      <c r="KV96" s="12">
        <f>IF('Données projet'!$A$408&gt;35,KV95+KU96-LD95,IF($A96&lt;'Données projet'!$A$408,$CQ$205^$A96,IF($A96='Données projet'!$A$408,'Données projet'!$B$408,KV95+KU96-LD95)))</f>
        <v>-1.1368683772161603E-13</v>
      </c>
      <c r="KW96" s="17">
        <f>KV96*VLOOKUP('Données projet'!$B$23,Paramètres!$A$1:$I$89,3,0)*VLOOKUP('Données projet'!$B$23,Paramètres!$A$1:$I$89,5,0)</f>
        <v>-9.9316821433603781E-14</v>
      </c>
      <c r="KX96" s="13" t="e">
        <f t="shared" si="210"/>
        <v>#NUM!</v>
      </c>
      <c r="KY96" s="14" t="e">
        <f t="shared" si="162"/>
        <v>#NUM!</v>
      </c>
      <c r="KZ96" s="59" t="e">
        <f t="shared" si="163"/>
        <v>#NUM!</v>
      </c>
      <c r="LA96" s="59">
        <f ca="1">AVERAGE(OFFSET($KZ$3,0,0,'Données projet'!$E$23+1,1))-AVERAGE(OFFSET($H$3,0,0,'Données projet'!$E$23+1,1))</f>
        <v>248.33596943633819</v>
      </c>
      <c r="LB96" s="59">
        <f t="shared" si="211"/>
        <v>242.34010522344573</v>
      </c>
      <c r="LC96" s="15">
        <f>IF(ISNA(VLOOKUP($A96,'Données projet'!$A$408:$I$428,3,0)),0,VLOOKUP($A96,'Données projet'!$A$408:$I$428,3,0))</f>
        <v>0</v>
      </c>
      <c r="LD96" s="15">
        <f>IF(ISNA(VLOOKUP($A96,'Données projet'!$A$408:$I$428,4,0)),0,VLOOKUP($A96,'Données projet'!$A$408:$I$428,4,0))</f>
        <v>0</v>
      </c>
      <c r="LE96" s="16">
        <f>IF(ISNA(VLOOKUP($A96,'Données projet'!$A$408:$I$428,5,0)),0%,VLOOKUP($A96,'Données projet'!$A$408:$I$428,5,0)*VLOOKUP('Données projet'!$B$23,Paramètres!$A$1:$I$89,7,0))</f>
        <v>0</v>
      </c>
      <c r="LF96" s="16">
        <f>IF(ISNA(VLOOKUP($A96,'Données projet'!$A$408:$I$428,6,0)),0%,VLOOKUP($A96,'Données projet'!$A$408:$I$428,6,0)*VLOOKUP('Données projet'!$B$23,Paramètres!$A$1:$I$89,7,0))</f>
        <v>0</v>
      </c>
      <c r="LG96" s="16">
        <f>IF(ISNA(VLOOKUP($A96,'Données projet'!$A$408:$I$428,7,0)),0%,VLOOKUP($A96,'Données projet'!$A$408:$I$428,7,0))</f>
        <v>0</v>
      </c>
      <c r="LH96" s="21">
        <f>EXP(-LN(2)/35)*LH95+(1-EXP(-LN(2)/35))/(LN(2)/35)*LD96*LE96*VLOOKUP('Données projet'!$B$23,Paramètres!$A$1:$I$89,3,0)*0.475*44/12</f>
        <v>95.251425004919469</v>
      </c>
      <c r="LI96" s="21">
        <f>EXP(-LN(2)/25)*LI95+(1-EXP(-LN(2)/25))/(LN(2)/25)*Calculateur!LD96*Calculateur!LF96*VLOOKUP('Données projet'!$B$23,Paramètres!$A$1:$I$89,3,0)*0.475*44/12</f>
        <v>15.186742098945766</v>
      </c>
      <c r="LJ96" s="21">
        <f>EXP(-LN(2)/2)*LJ95+(1-EXP(-LN(2)/2))/(LN(2)/2)*LD96*LG96*VLOOKUP('Données projet'!$B$23,Paramètres!$A$1:$I$89,3,0)*0.475*44/12</f>
        <v>0</v>
      </c>
      <c r="LK96" s="22">
        <f t="shared" si="164"/>
        <v>110.43816710386524</v>
      </c>
      <c r="LL96" s="74">
        <f>('Scénario référence'!$F$8+'Scénario référence'!$F$9+'Scénario référence'!$B$17+'Scénario référence'!$B$9+'Scénario référence'!$B$10)*70+IF((45+25*(1-EXP(-0.0175*$A96)))&lt;70,'Scénario référence'!$B$16*(45+25*(1-EXP(-0.0175*$A96))),70*'Scénario référence'!$B$16)+IF((32+38*(1-EXP(-0.0175*$A96)))&lt;70,'Scénario référence'!$B$18*(32+38*(1-EXP(-0.0175*$A96))),70*'Scénario référence'!$B$18)</f>
        <v>70</v>
      </c>
      <c r="LM96" s="12">
        <f>IF($A96&gt;30,10,('Scénario référence'!$B$16+'Scénario référence'!$B$17+'Scénario référence'!$B$18+'Scénario référence'!$B$9+'Scénario référence'!$B$10)*$A96*10/30+('Scénario référence'!$F$8+'Scénario référence'!$F$9)*10)</f>
        <v>10</v>
      </c>
      <c r="LN96" s="12">
        <f>VLOOKUP($A96,'Données projet'!$A$434:$I$454,2,0)</f>
        <v>212.26923076923075</v>
      </c>
      <c r="LO96" s="12">
        <f>VLOOKUP($A96,'Données projet'!$A$434:$I$454,9,0)</f>
        <v>5.2606837606837598</v>
      </c>
      <c r="LP96" s="12">
        <f t="array" ref="LP96">INDEX(LO:LO,MIN(IF(ISNUMBER(LO96:LO292),ROW(LO96:LO292),"")))</f>
        <v>5.2606837606837598</v>
      </c>
      <c r="LQ96" s="12">
        <f>IF('Données projet'!$A$434&gt;35,LQ95+LP96-LY95,IF($A96&lt;'Données projet'!$A$434,$CQ$205^$A96,IF($A96='Données projet'!$A$434,'Données projet'!$B$434,LQ95+LP96-LY95)))</f>
        <v>212.26923076923055</v>
      </c>
      <c r="LR96" s="17">
        <f>LQ96*VLOOKUP('Données projet'!$B$24,Paramètres!$A$1:$I$89,3,0)*VLOOKUP('Données projet'!$B$24,Paramètres!$A$1:$I$89,5,0)</f>
        <v>215.24099999999979</v>
      </c>
      <c r="LS96" s="13">
        <f t="shared" si="212"/>
        <v>53.079227768194642</v>
      </c>
      <c r="LT96" s="14">
        <f t="shared" si="165"/>
        <v>467.32439669627183</v>
      </c>
      <c r="LU96" s="59">
        <f t="shared" si="166"/>
        <v>760.65773002960509</v>
      </c>
      <c r="LV96" s="59">
        <f ca="1">AVERAGE(OFFSET($LU$3,0,0,'Données projet'!$E$24+1,1))-AVERAGE(OFFSET($H$3,0,0,'Données projet'!$E$24+1,1))</f>
        <v>260.52627655062872</v>
      </c>
      <c r="LW96" s="59">
        <f t="shared" si="213"/>
        <v>159.20429420478047</v>
      </c>
      <c r="LX96" s="15">
        <f>IF(ISNA(VLOOKUP($A96,'Données projet'!$A$434:$I$454,3,0)),0,VLOOKUP($A96,'Données projet'!$A$434:$I$454,3,0))</f>
        <v>7</v>
      </c>
      <c r="LY96" s="15">
        <f>IF(ISNA(VLOOKUP($A96,'Données projet'!$A$434:$I$454,4,0)),0,VLOOKUP($A96,'Données projet'!$A$434:$I$454,4,0))</f>
        <v>30.083333333333332</v>
      </c>
      <c r="LZ96" s="16">
        <f>IF(ISNA(VLOOKUP($A96,'Données projet'!$A$434:$I$454,5,0)),0%,VLOOKUP($A96,'Données projet'!$A$434:$I$454,5,0)*VLOOKUP('Données projet'!$B$24,Paramètres!$A$1:$I$89,7,0))</f>
        <v>0.30099999999999999</v>
      </c>
      <c r="MA96" s="16">
        <f>IF(ISNA(VLOOKUP($A96,'Données projet'!$A$434:$I$454,6,0)),0%,VLOOKUP($A96,'Données projet'!$A$434:$I$454,6,0)*VLOOKUP('Données projet'!$B$24,Paramètres!$A$1:$I$89,7,0))</f>
        <v>0</v>
      </c>
      <c r="MB96" s="16">
        <f>IF(ISNA(VLOOKUP($A96,'Données projet'!$A$434:$I$454,7,0)),0%,VLOOKUP($A96,'Données projet'!$A$434:$I$454,7,0))</f>
        <v>0</v>
      </c>
      <c r="MC96" s="21">
        <f>EXP(-LN(2)/35)*MC95+(1-EXP(-LN(2)/35))/(LN(2)/35)*LY96*LZ96*VLOOKUP('Données projet'!$B$24,Paramètres!$A$1:$I$89,3,0)*0.475*44/12</f>
        <v>27.358507483679265</v>
      </c>
      <c r="MD96" s="21">
        <f>EXP(-LN(2)/25)*MD95+(1-EXP(-LN(2)/25))/(LN(2)/25)*Calculateur!LY96*Calculateur!MA96*VLOOKUP('Données projet'!$B$24,Paramètres!$A$1:$I$89,3,0)*0.475*44/12</f>
        <v>0</v>
      </c>
      <c r="ME96" s="21">
        <f>EXP(-LN(2)/2)*ME95+(1-EXP(-LN(2)/2))/(LN(2)/2)*LY96*MB96*VLOOKUP('Données projet'!$B$24,Paramètres!$A$1:$I$89,3,0)*0.475*44/12</f>
        <v>0</v>
      </c>
      <c r="MF96" s="22">
        <f t="shared" si="167"/>
        <v>27.358507483679265</v>
      </c>
      <c r="MG96" s="74">
        <f>('Scénario référence'!$F$8+'Scénario référence'!$F$9+'Scénario référence'!$B$17+'Scénario référence'!$B$9+'Scénario référence'!$B$10)*70+IF((45+25*(1-EXP(-0.0175*$A96)))&lt;70,'Scénario référence'!$B$16*(45+25*(1-EXP(-0.0175*$A96))),70*'Scénario référence'!$B$16)+IF((32+38*(1-EXP(-0.0175*$A96)))&lt;70,'Scénario référence'!$B$18*(32+38*(1-EXP(-0.0175*$A96))),70*'Scénario référence'!$B$18)</f>
        <v>70</v>
      </c>
      <c r="MH96" s="12">
        <f>IF($A96&gt;30,10,('Scénario référence'!$B$16+'Scénario référence'!$B$17+'Scénario référence'!$B$18+'Scénario référence'!$B$9+'Scénario référence'!$B$10)*$A96*10/30+('Scénario référence'!$F$8+'Scénario référence'!$F$9)*10)</f>
        <v>10</v>
      </c>
      <c r="MI96" s="12" t="e">
        <f>VLOOKUP($A96,'Données projet'!$A$460:$I$480,2,0)</f>
        <v>#N/A</v>
      </c>
      <c r="MJ96" s="12" t="e">
        <f>VLOOKUP($A96,'Données projet'!$A$460:$I$480,9,0)</f>
        <v>#N/A</v>
      </c>
      <c r="MK96" s="12">
        <f t="array" ref="MK96">INDEX(MJ:MJ,MIN(IF(ISNUMBER(MJ96:MJ292),ROW(MJ96:MJ292),"")))</f>
        <v>0</v>
      </c>
      <c r="ML96" s="12">
        <f>IF('Données projet'!$A$460&gt;35,ML95+MK96-MT95,IF($A96&lt;'Données projet'!$A$460,$CQ$205^$A96,IF($A96='Données projet'!$A$460,'Données projet'!$B$460,ML95+MK96-MT95)))</f>
        <v>0</v>
      </c>
      <c r="MM96" s="17" t="e">
        <f>ML96*VLOOKUP('Données projet'!$B$25,Paramètres!$A$1:$I$89,3,0)*VLOOKUP('Données projet'!$B$25,Paramètres!$A$1:$I$89,5,0)</f>
        <v>#N/A</v>
      </c>
      <c r="MN96" s="13" t="e">
        <f t="shared" si="214"/>
        <v>#N/A</v>
      </c>
      <c r="MO96" s="14" t="e">
        <f t="shared" si="168"/>
        <v>#N/A</v>
      </c>
      <c r="MP96" s="59" t="e">
        <f t="shared" si="169"/>
        <v>#N/A</v>
      </c>
      <c r="MQ96" s="20" t="e">
        <f ca="1">AVERAGE(OFFSET($MP$3,0,0,'Données projet'!$E$25+1,1))-AVERAGE(OFFSET($H$3,0,0,'Données projet'!$E$25+1,1))</f>
        <v>#N/A</v>
      </c>
      <c r="MR96" s="59" t="e">
        <f t="shared" si="215"/>
        <v>#N/A</v>
      </c>
      <c r="MS96" s="15">
        <f>IF(ISNA(VLOOKUP($A96,'Données projet'!$A$460:$I$480,3,0)),0,VLOOKUP($A96,'Données projet'!$A$460:$I$480,3,0))</f>
        <v>0</v>
      </c>
      <c r="MT96" s="15">
        <f>IF(ISNA(VLOOKUP($A96,'Données projet'!$A$460:$I$480,4,0)),0,VLOOKUP($A96,'Données projet'!$A$460:$I$480,4,0))</f>
        <v>0</v>
      </c>
      <c r="MU96" s="16">
        <f>IF(ISNA(VLOOKUP($A96,'Données projet'!$A$460:$I$480,5,0)),0%,VLOOKUP($A96,'Données projet'!$A$460:$I$480,5,0)*VLOOKUP('Données projet'!$B$25,Paramètres!$A$1:$I$89,7,0))</f>
        <v>0</v>
      </c>
      <c r="MV96" s="16">
        <f>IF(ISNA(VLOOKUP($A96,'Données projet'!$A$460:$I$480,6,0)),0%,VLOOKUP($A96,'Données projet'!$A$460:$I$480,6,0)*VLOOKUP('Données projet'!$B$25,Paramètres!$A$1:$I$89,7,0))</f>
        <v>0</v>
      </c>
      <c r="MW96" s="16">
        <f>IF(ISNA(VLOOKUP($A96,'Données projet'!$A$460:$I$480,7,0)),0%,VLOOKUP($A96,'Données projet'!$A$460:$I$480,7,0))</f>
        <v>0</v>
      </c>
      <c r="MX96" s="21" t="e">
        <f>EXP(-LN(2)/35)*MX95+(1-EXP(-LN(2)/35))/(LN(2)/35)*MT96*MU96*VLOOKUP('Données projet'!$B$25,Paramètres!$A$1:$I$89,3,0)*0.475*44/12</f>
        <v>#N/A</v>
      </c>
      <c r="MY96" s="21" t="e">
        <f>EXP(-LN(2)/25)*MY95+(1-EXP(-LN(2)/25))/(LN(2)/25)*Calculateur!MT96*Calculateur!MV96*VLOOKUP('Données projet'!$B$25,Paramètres!$A$1:$I$89,3,0)*0.475*44/12</f>
        <v>#N/A</v>
      </c>
      <c r="MZ96" s="21" t="e">
        <f>EXP(-LN(2)/2)*MZ95+(1-EXP(-LN(2)/2))/(LN(2)/2)*MT96*MW96*VLOOKUP('Données projet'!$B$25,Paramètres!$A$1:$I$89,3,0)*0.475*44/12</f>
        <v>#N/A</v>
      </c>
      <c r="NA96" s="22" t="e">
        <f t="shared" si="170"/>
        <v>#N/A</v>
      </c>
      <c r="NB96" s="74">
        <f>('Scénario référence'!$F$8+'Scénario référence'!$F$9+'Scénario référence'!$B$17+'Scénario référence'!$B$9+'Scénario référence'!$B$10)*70+IF((45+25*(1-EXP(-0.0175*$A96)))&lt;70,'Scénario référence'!$B$16*(45+25*(1-EXP(-0.0175*$A96))),70*'Scénario référence'!$B$16)+IF((32+38*(1-EXP(-0.0175*$A96)))&lt;70,'Scénario référence'!$B$18*(32+38*(1-EXP(-0.0175*$A96))),70*'Scénario référence'!$B$18)</f>
        <v>70</v>
      </c>
      <c r="NC96" s="12">
        <f>IF($A96&gt;30,10,('Scénario référence'!$B$16+'Scénario référence'!$B$17+'Scénario référence'!$B$18+'Scénario référence'!$B$9+'Scénario référence'!$B$10)*$A96*10/30+('Scénario référence'!$F$8+'Scénario référence'!$F$9)*10)</f>
        <v>10</v>
      </c>
      <c r="ND96" s="12" t="e">
        <f>VLOOKUP($A96,'Données projet'!$A$486:$I$506,2,0)</f>
        <v>#N/A</v>
      </c>
      <c r="NE96" s="12" t="e">
        <f>VLOOKUP($A96,'Données projet'!$A$486:$I$506,9,0)</f>
        <v>#N/A</v>
      </c>
      <c r="NF96" s="12">
        <f t="array" ref="NF96">INDEX(NE:NE,MIN(IF(ISNUMBER(NE96:NE292),ROW(NE96:NE292),"")))</f>
        <v>0</v>
      </c>
      <c r="NG96" s="12">
        <f>IF('Données projet'!$A$486&gt;35,NG95+NF96-NO95,IF($A96&lt;'Données projet'!$A$486,$CQ$205^$A96,IF($A96='Données projet'!$A$486,'Données projet'!$B$486,NG95+NF96-NO95)))</f>
        <v>0</v>
      </c>
      <c r="NH96" s="17" t="e">
        <f>NG96*VLOOKUP('Données projet'!$B$26,Paramètres!$A$1:$I$89,3,0)*VLOOKUP('Données projet'!$B$26,Paramètres!$A$1:$I$89,5,0)</f>
        <v>#N/A</v>
      </c>
      <c r="NI96" s="13" t="e">
        <f t="shared" si="216"/>
        <v>#N/A</v>
      </c>
      <c r="NJ96" s="14" t="e">
        <f t="shared" si="171"/>
        <v>#N/A</v>
      </c>
      <c r="NK96" s="59" t="e">
        <f t="shared" si="172"/>
        <v>#N/A</v>
      </c>
      <c r="NL96" s="20" t="e">
        <f ca="1">AVERAGE(OFFSET($NK$3,0,0,'Données projet'!$E$26+1,1))-AVERAGE(OFFSET($H$3,0,0,'Données projet'!$E$26+1,1))</f>
        <v>#N/A</v>
      </c>
      <c r="NM96" s="59" t="e">
        <f t="shared" si="217"/>
        <v>#N/A</v>
      </c>
      <c r="NN96" s="15">
        <f>IF(ISNA(VLOOKUP($A96,'Données projet'!$A$486:$I$506,3,0)),0,VLOOKUP($A96,'Données projet'!$A$486:$I$506,3,0))</f>
        <v>0</v>
      </c>
      <c r="NO96" s="15">
        <f>IF(ISNA(VLOOKUP($A96,'Données projet'!$A$486:$I$506,4,0)),0,VLOOKUP($A96,'Données projet'!$A$486:$I$506,4,0))</f>
        <v>0</v>
      </c>
      <c r="NP96" s="16">
        <f>IF(ISNA(VLOOKUP($A96,'Données projet'!$A$486:$I$506,5,0)),0%,VLOOKUP($A96,'Données projet'!$A$486:$I$506,5,0)*VLOOKUP('Données projet'!$B$26,Paramètres!$A$1:$I$89,7,0))</f>
        <v>0</v>
      </c>
      <c r="NQ96" s="16">
        <f>IF(ISNA(VLOOKUP($A96,'Données projet'!$A$486:$I$506,6,0)),0%,VLOOKUP($A96,'Données projet'!$A$486:$I$506,6,0)*VLOOKUP('Données projet'!$B$26,Paramètres!$A$1:$I$89,7,0))</f>
        <v>0</v>
      </c>
      <c r="NR96" s="16">
        <f>IF(ISNA(VLOOKUP($A96,'Données projet'!$A$486:$I$506,7,0)),0%,VLOOKUP($A96,'Données projet'!$A$486:$I$506,7,0))</f>
        <v>0</v>
      </c>
      <c r="NS96" s="21" t="e">
        <f>EXP(-LN(2)/35)*NS95+(1-EXP(-LN(2)/35))/(LN(2)/35)*NO96*NP96*VLOOKUP('Données projet'!$B$26,Paramètres!$A$1:$I$89,3,0)*0.475*44/12</f>
        <v>#N/A</v>
      </c>
      <c r="NT96" s="21" t="e">
        <f>EXP(-LN(2)/25)*NT95+(1-EXP(-LN(2)/25))/(LN(2)/25)*Calculateur!NO96*Calculateur!NQ96*VLOOKUP('Données projet'!$B$26,Paramètres!$A$1:$I$89,3,0)*0.475*44/12</f>
        <v>#N/A</v>
      </c>
      <c r="NU96" s="21" t="e">
        <f>EXP(-LN(2)/2)*NU95+(1-EXP(-LN(2)/2))/(LN(2)/2)*NO96*NR96*VLOOKUP('Données projet'!$B$26,Paramètres!$A$1:$I$89,3,0)*0.475*44/12</f>
        <v>#N/A</v>
      </c>
      <c r="NV96" s="22" t="e">
        <f t="shared" si="173"/>
        <v>#N/A</v>
      </c>
      <c r="NW96" s="74">
        <f>('Scénario référence'!$F$8+'Scénario référence'!$F$9+'Scénario référence'!$B$17+'Scénario référence'!$B$9+'Scénario référence'!$B$10)*70+IF((45+25*(1-EXP(-0.0175*$A96)))&lt;70,'Scénario référence'!$B$16*(45+25*(1-EXP(-0.0175*$A96))),70*'Scénario référence'!$B$16)+IF((32+38*(1-EXP(-0.0175*$A96)))&lt;70,'Scénario référence'!$B$18*(32+38*(1-EXP(-0.0175*$A96))),70*'Scénario référence'!$B$18)</f>
        <v>70</v>
      </c>
      <c r="NX96" s="12">
        <f>IF($A96&gt;30,10,('Scénario référence'!$B$16+'Scénario référence'!$B$17+'Scénario référence'!$B$18+'Scénario référence'!$B$9+'Scénario référence'!$B$10)*$A96*10/30+('Scénario référence'!$F$8+'Scénario référence'!$F$9)*10)</f>
        <v>10</v>
      </c>
      <c r="NY96" s="12" t="e">
        <f>VLOOKUP($A96,'Données projet'!$A$512:$I$532,2,0)</f>
        <v>#N/A</v>
      </c>
      <c r="NZ96" s="12" t="e">
        <f>VLOOKUP($A96,'Données projet'!$A$512:$I$532,9,0)</f>
        <v>#N/A</v>
      </c>
      <c r="OA96" s="12">
        <f t="array" ref="OA96">INDEX(NZ:NZ,MIN(IF(ISNUMBER(NZ96:NZ292),ROW(NZ96:NZ292),"")))</f>
        <v>0</v>
      </c>
      <c r="OB96" s="12">
        <f>IF('Données projet'!$A$512&gt;35,OB95+OA96-OJ95,IF($A96&lt;'Données projet'!$A$512,$CQ$205^$A96,IF($A96='Données projet'!$A$512,'Données projet'!$B$512,OB95+OA96-OJ95)))</f>
        <v>0</v>
      </c>
      <c r="OC96" s="17" t="e">
        <f>OB96*VLOOKUP('Données projet'!$B$27,Paramètres!$A$1:$I$89,3,0)*VLOOKUP('Données projet'!$B$27,Paramètres!$A$1:$I$89,5,0)</f>
        <v>#N/A</v>
      </c>
      <c r="OD96" s="13" t="e">
        <f t="shared" si="218"/>
        <v>#N/A</v>
      </c>
      <c r="OE96" s="14" t="e">
        <f t="shared" si="174"/>
        <v>#N/A</v>
      </c>
      <c r="OF96" s="59" t="e">
        <f t="shared" si="175"/>
        <v>#N/A</v>
      </c>
      <c r="OG96" s="20" t="e">
        <f ca="1">AVERAGE(OFFSET($OF$3,0,0,'Données projet'!$E$27+1,1))-AVERAGE(OFFSET($H$3,0,0,'Données projet'!$E$27+1,1))</f>
        <v>#N/A</v>
      </c>
      <c r="OH96" s="59" t="e">
        <f t="shared" si="219"/>
        <v>#N/A</v>
      </c>
      <c r="OI96" s="15">
        <f>IF(ISNA(VLOOKUP($A96,'Données projet'!$A$512:$I$532,3,0)),0,VLOOKUP($A96,'Données projet'!$A$512:$I$532,3,0))</f>
        <v>0</v>
      </c>
      <c r="OJ96" s="15">
        <f>IF(ISNA(VLOOKUP($A96,'Données projet'!$A$512:$I$532,4,0)),0,VLOOKUP($A96,'Données projet'!$A$512:$I$532,4,0))</f>
        <v>0</v>
      </c>
      <c r="OK96" s="16">
        <f>IF(ISNA(VLOOKUP($A96,'Données projet'!$A$512:$I$532,5,0)),0%,VLOOKUP($A96,'Données projet'!$A$512:$I$532,5,0)*VLOOKUP('Données projet'!$B$27,Paramètres!$A$1:$I$89,7,0))</f>
        <v>0</v>
      </c>
      <c r="OL96" s="16">
        <f>IF(ISNA(VLOOKUP($A96,'Données projet'!$A$512:$I$532,6,0)),0%,VLOOKUP($A96,'Données projet'!$A$512:$I$532,6,0)*VLOOKUP('Données projet'!$B$27,Paramètres!$A$1:$I$89,7,0))</f>
        <v>0</v>
      </c>
      <c r="OM96" s="16">
        <f>IF(ISNA(VLOOKUP($A96,'Données projet'!$A$512:$I$532,7,0)),0%,VLOOKUP($A96,'Données projet'!$A$512:$I$532,7,0))</f>
        <v>0</v>
      </c>
      <c r="ON96" s="21" t="e">
        <f>EXP(-LN(2)/35)*ON95+(1-EXP(-LN(2)/35))/(LN(2)/35)*OJ96*OK96*VLOOKUP('Données projet'!$B$27,Paramètres!$A$1:$I$89,3,0)*0.475*44/12</f>
        <v>#N/A</v>
      </c>
      <c r="OO96" s="21" t="e">
        <f>EXP(-LN(2)/25)*OO95+(1-EXP(-LN(2)/25))/(LN(2)/25)*Calculateur!OJ96*Calculateur!OL96*VLOOKUP('Données projet'!$B$27,Paramètres!$A$1:$I$89,3,0)*0.475*44/12</f>
        <v>#N/A</v>
      </c>
      <c r="OP96" s="21" t="e">
        <f>EXP(-LN(2)/2)*OP95+(1-EXP(-LN(2)/2))/(LN(2)/2)*OJ96*OM96*VLOOKUP('Données projet'!$B$27,Paramètres!$A$1:$I$89,3,0)*0.475*44/12</f>
        <v>#N/A</v>
      </c>
      <c r="OQ96" s="22" t="e">
        <f t="shared" si="176"/>
        <v>#N/A</v>
      </c>
      <c r="OR96" s="74">
        <f>('Scénario référence'!$F$8+'Scénario référence'!$F$9+'Scénario référence'!$B$17+'Scénario référence'!$B$9+'Scénario référence'!$B$10)*70+IF((45+25*(1-EXP(-0.0175*$A96)))&lt;70,'Scénario référence'!$B$16*(45+25*(1-EXP(-0.0175*$A96))),70*'Scénario référence'!$B$16)+IF((32+38*(1-EXP(-0.0175*$A96)))&lt;70,'Scénario référence'!$B$18*(32+38*(1-EXP(-0.0175*$A96))),70*'Scénario référence'!$B$18)</f>
        <v>70</v>
      </c>
      <c r="OS96" s="12">
        <f>IF($A96&gt;30,10,('Scénario référence'!$B$16+'Scénario référence'!$B$17+'Scénario référence'!$B$18+'Scénario référence'!$B$9+'Scénario référence'!$B$10)*$A96*10/30+('Scénario référence'!$F$8+'Scénario référence'!$F$9)*10)</f>
        <v>10</v>
      </c>
      <c r="OT96" s="12" t="e">
        <f>VLOOKUP($A96,'Données projet'!$A$538:$I$558,2,0)</f>
        <v>#N/A</v>
      </c>
      <c r="OU96" s="12" t="e">
        <f>VLOOKUP($A96,'Données projet'!$A$538:$I$558,9,0)</f>
        <v>#N/A</v>
      </c>
      <c r="OV96" s="12">
        <f t="array" ref="OV96">INDEX(OU:OU,MIN(IF(ISNUMBER(OU96:OU292),ROW(OU96:OU292),"")))</f>
        <v>0</v>
      </c>
      <c r="OW96" s="12">
        <f>IF('Données projet'!$A$538&gt;35,OW95+OV96-PE95,IF($A96&lt;'Données projet'!$A$538,$CQ$205^$A96,IF($A96='Données projet'!$A$538,'Données projet'!$B$538,OW95+OV96-PE95)))</f>
        <v>0</v>
      </c>
      <c r="OX96" s="17" t="e">
        <f>OW96*VLOOKUP('Données projet'!$B$28,Paramètres!$A$1:$I$89,3,0)*VLOOKUP('Données projet'!$B$28,Paramètres!$A$1:$I$89,5,0)</f>
        <v>#N/A</v>
      </c>
      <c r="OY96" s="13" t="e">
        <f t="shared" si="220"/>
        <v>#N/A</v>
      </c>
      <c r="OZ96" s="14" t="e">
        <f t="shared" si="177"/>
        <v>#N/A</v>
      </c>
      <c r="PA96" s="59" t="e">
        <f t="shared" si="178"/>
        <v>#N/A</v>
      </c>
      <c r="PB96" s="20" t="e">
        <f ca="1">AVERAGE(OFFSET($PA$3,0,0,'Données projet'!$E$28+1,1))-AVERAGE(OFFSET($H$3,0,0,'Données projet'!$E$28+1,1))</f>
        <v>#N/A</v>
      </c>
      <c r="PC96" s="59" t="e">
        <f t="shared" si="221"/>
        <v>#N/A</v>
      </c>
      <c r="PD96" s="15">
        <f>IF(ISNA(VLOOKUP($A96,'Données projet'!$A$538:$I$558,3,0)),0,VLOOKUP($A96,'Données projet'!$A$538:$I$558,3,0))</f>
        <v>0</v>
      </c>
      <c r="PE96" s="15">
        <f>IF(ISNA(VLOOKUP($A96,'Données projet'!$A$538:$I$558,4,0)),0,VLOOKUP($A96,'Données projet'!$A$538:$I$558,4,0))</f>
        <v>0</v>
      </c>
      <c r="PF96" s="16">
        <f>IF(ISNA(VLOOKUP($A96,'Données projet'!$A$538:$I$558,5,0)),0%,VLOOKUP($A96,'Données projet'!$A$538:$I$558,5,0)*VLOOKUP('Données projet'!$B$28,Paramètres!$A$1:$I$89,7,0))</f>
        <v>0</v>
      </c>
      <c r="PG96" s="16">
        <f>IF(ISNA(VLOOKUP($A96,'Données projet'!$A$538:$I$558,6,0)),0%,VLOOKUP($A96,'Données projet'!$A$538:$I$558,6,0)*VLOOKUP('Données projet'!$B$28,Paramètres!$A$1:$I$89,7,0))</f>
        <v>0</v>
      </c>
      <c r="PH96" s="16">
        <f>IF(ISNA(VLOOKUP($A96,'Données projet'!$A$538:$I$558,7,0)),0%,VLOOKUP($A96,'Données projet'!$A$538:$I$558,7,0))</f>
        <v>0</v>
      </c>
      <c r="PI96" s="21" t="e">
        <f>EXP(-LN(2)/35)*PI95+(1-EXP(-LN(2)/35))/(LN(2)/35)*PE96*PF96*VLOOKUP('Données projet'!$B$28,Paramètres!$A$1:$I$89,3,0)*0.475*44/12</f>
        <v>#N/A</v>
      </c>
      <c r="PJ96" s="21" t="e">
        <f>EXP(-LN(2)/25)*PJ95+(1-EXP(-LN(2)/25))/(LN(2)/25)*Calculateur!PE96*Calculateur!PG96*VLOOKUP('Données projet'!$B$28,Paramètres!$A$1:$I$89,3,0)*0.475*44/12</f>
        <v>#N/A</v>
      </c>
      <c r="PK96" s="21" t="e">
        <f>EXP(-LN(2)/2)*PK95+(1-EXP(-LN(2)/2))/(LN(2)/2)*PE96*PH96*VLOOKUP('Données projet'!$B$28,Paramètres!$A$1:$I$89,3,0)*0.475*44/12</f>
        <v>#N/A</v>
      </c>
      <c r="PL96" s="22" t="e">
        <f t="shared" si="179"/>
        <v>#N/A</v>
      </c>
    </row>
    <row r="97" spans="1:428" x14ac:dyDescent="0.35">
      <c r="A97" s="10">
        <f t="shared" si="180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181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121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projet'!$A$45:$I$65,2,0)</f>
        <v>#N/A</v>
      </c>
      <c r="L97" s="12" t="e">
        <f>VLOOKUP(A97,'Données projet'!$A$45:$I$65,9,0)</f>
        <v>#N/A</v>
      </c>
      <c r="M97" s="12">
        <f t="array" ref="M97">INDEX(L:L,MIN(IF(ISNUMBER(L97:L293),ROW(L97:L293),"")))</f>
        <v>0</v>
      </c>
      <c r="N97" s="13">
        <f>IF('Données projet'!$A$46&gt;35,N96+M97-V96,IF(A97&lt;'Données projet'!$A$46,$K$205^A97,IF(A97='Données projet'!$A$46,'Données projet'!$B$46,N96+M97-V96)))</f>
        <v>-1.1368683772161603E-13</v>
      </c>
      <c r="O97" s="13">
        <f>N97*VLOOKUP('Données projet'!$B$9,Paramètres!$A$1:$I$89,3,0)*VLOOKUP('Données projet'!$B$9,Paramètres!$A$1:$I$89,5,0)</f>
        <v>-6.3550942286383367E-14</v>
      </c>
      <c r="P97" s="13" t="e">
        <f t="shared" si="182"/>
        <v>#NUM!</v>
      </c>
      <c r="Q97" s="20" t="e">
        <f t="shared" si="119"/>
        <v>#NUM!</v>
      </c>
      <c r="R97" s="59" t="e">
        <f t="shared" si="120"/>
        <v>#NUM!</v>
      </c>
      <c r="S97" s="59">
        <f ca="1">AVERAGE(OFFSET($R$3,0,0,'Données projet'!$E$9+1,1))-AVERAGE(OFFSET($H$3,0,0,'Données projet'!$E$9+1,1))</f>
        <v>274.57619581652199</v>
      </c>
      <c r="T97" s="59">
        <f t="shared" si="183"/>
        <v>366.15117322598775</v>
      </c>
      <c r="U97" s="15">
        <f>IF(ISNA(VLOOKUP(A97,'Données projet'!$A$45:$I$65,3,0)),0,VLOOKUP(A97,'Données projet'!$A$45:$I$65,3,0))</f>
        <v>0</v>
      </c>
      <c r="V97" s="15">
        <f>IF(ISNA(VLOOKUP(A97,'Données projet'!$A$45:$I$65,4,0)),0,VLOOKUP(A97,'Données projet'!$A$45:$I$65,4,0))</f>
        <v>0</v>
      </c>
      <c r="W97" s="16">
        <f>IF(ISNA(VLOOKUP(A97,'Données projet'!$A$45:$I$65,5,0)),0%,VLOOKUP(A97,'Données projet'!$A$45:$I$65,5,0)*VLOOKUP('Données projet'!$B$9,Paramètres!$A$1:$I$89,7,0))</f>
        <v>0</v>
      </c>
      <c r="X97" s="16">
        <f>IF(ISNA(VLOOKUP(A97,'Données projet'!$A$45:$I$65,6,0)),0%,VLOOKUP(A97,'Données projet'!$A$45:$I$65,6,0)*VLOOKUP('Données projet'!$B$9,Paramètres!$A$1:$I$89,7,0))</f>
        <v>0</v>
      </c>
      <c r="Y97" s="16">
        <f>IF(ISNA(VLOOKUP(A97,'Données projet'!$A$45:$I$65,7,0)),0%,VLOOKUP(A97,'Données projet'!$A$45:$I$65,7,0))</f>
        <v>0</v>
      </c>
      <c r="Z97" s="21">
        <f>EXP(-LN(2)/35)*Z96+(1-EXP(-LN(2)/35))/(LN(2)/35)*V97*W97*VLOOKUP('Données projet'!$B$9,Paramètres!$A$1:$I$89,3,0)*0.475*44/12</f>
        <v>104.69739342929354</v>
      </c>
      <c r="AA97" s="21">
        <f>EXP(-LN(2)/25)*AA96+(1-EXP(-LN(2)/25))/(LN(2)/25)*Calculateur!V97*Calculateur!X97*VLOOKUP('Données projet'!$B$9,Paramètres!$A$1:$I$89,3,0)*0.475*44/12</f>
        <v>19.537707127227161</v>
      </c>
      <c r="AB97" s="21">
        <f>EXP(-LN(2)/2)*AB96+(1-EXP(-LN(2)/2))/(LN(2)/2)*V97*Y97*VLOOKUP('Données projet'!$B$9,Paramètres!$A$1:$I$89,3,0)*0.475*44/12</f>
        <v>4.6073321753469636E-5</v>
      </c>
      <c r="AC97" s="22">
        <f t="shared" si="122"/>
        <v>124.23514662984246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projet'!$A$71:$I$91,2,0)</f>
        <v>#N/A</v>
      </c>
      <c r="AG97" s="12" t="e">
        <f>VLOOKUP(A97,'Données projet'!$A$71:$I$91,9,0)</f>
        <v>#N/A</v>
      </c>
      <c r="AH97" s="12">
        <f t="array" ref="AH97">INDEX(AG:AG,MIN(IF(ISNUMBER(AG97:AG293),ROW(AG97:AG293),"")))</f>
        <v>7.1782051282051267</v>
      </c>
      <c r="AI97" s="13">
        <f>IF('Données projet'!$A$72&gt;35,AI96+AH97-AQ96,IF(A97&lt;'Données projet'!$A$72,$AF$205^A97,IF(A97='Données projet'!$A$72,'Données projet'!$B$72,AI96+AH97-AQ96)))</f>
        <v>282.35897435897476</v>
      </c>
      <c r="AJ97" s="13">
        <f>AI97*VLOOKUP('Données projet'!$B$10,Paramètres!$A$1:$I$89,3,0)*VLOOKUP('Données projet'!$B$10,Paramètres!$A$1:$I$89,5,0)</f>
        <v>255.47840000000036</v>
      </c>
      <c r="AK97" s="13">
        <f t="shared" si="184"/>
        <v>61.757573660260803</v>
      </c>
      <c r="AL97" s="20">
        <f t="shared" si="123"/>
        <v>552.51932079162145</v>
      </c>
      <c r="AM97" s="59">
        <f t="shared" si="124"/>
        <v>845.85265412495482</v>
      </c>
      <c r="AN97" s="59">
        <f ca="1">AVERAGE(OFFSET($AM$3,0,0,'Données projet'!$E$10+1,1))-AVERAGE(OFFSET($H$3,0,0,'Données projet'!$E$10+1,1))</f>
        <v>270.87836509222456</v>
      </c>
      <c r="AO97" s="59">
        <f t="shared" si="185"/>
        <v>205.24998237949734</v>
      </c>
      <c r="AP97" s="15">
        <f>IF(ISNA(VLOOKUP(A97,'Données projet'!$A$71:$I$91,3,0)),0,VLOOKUP(A97,'Données projet'!$A$71:$I$91,3,0))</f>
        <v>0</v>
      </c>
      <c r="AQ97" s="15">
        <f>IF(ISNA(VLOOKUP(A97,'Données projet'!$A$71:$I$91,4,0)),0,VLOOKUP(A97,'Données projet'!$A$71:$I$91,4,0))</f>
        <v>0</v>
      </c>
      <c r="AR97" s="16">
        <f>IF(ISNA(VLOOKUP(A97,'Données projet'!$A$71:$I$91,5,0)),0%,VLOOKUP(A97,'Données projet'!$A$71:$I$91,5,0)*VLOOKUP('Données projet'!$B$10,Paramètres!$A$1:$I$89,7,0))</f>
        <v>0</v>
      </c>
      <c r="AS97" s="16">
        <f>IF(ISNA(VLOOKUP(A97,'Données projet'!$A$71:$I$91,6,0)),0%,VLOOKUP(A97,'Données projet'!$A$71:$I$91,6,0)*VLOOKUP('Données projet'!$B$10,Paramètres!$A$1:$I$89,7,0))</f>
        <v>0</v>
      </c>
      <c r="AT97" s="16">
        <f>IF(ISNA(VLOOKUP(A97,'Données projet'!$A$71:$I$91,7,0)),0%,VLOOKUP(A97,'Données projet'!$A$71:$I$91,7,0))</f>
        <v>0</v>
      </c>
      <c r="AU97" s="21">
        <f>EXP(-LN(2)/35)*AU96+(1-EXP(-LN(2)/35))/(LN(2)/35)*AQ97*AR97*VLOOKUP('Données projet'!$B$10,Paramètres!$A$1:$I$89,3,0)*0.475*44/12</f>
        <v>38.297936492040868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125"/>
        <v>38.297936492040868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projet'!$A$97:$I$117,2,0)</f>
        <v>#N/A</v>
      </c>
      <c r="BB97" s="12" t="e">
        <f>VLOOKUP(A97,'Données projet'!$A$97:$I$117,9,0)</f>
        <v>#N/A</v>
      </c>
      <c r="BC97" s="12">
        <f t="array" ref="BC97">INDEX(BB:BB,MIN(IF(ISNUMBER(BB97:BB293),ROW(BB97:BB293),"")))</f>
        <v>0</v>
      </c>
      <c r="BD97" s="12">
        <f>IF('Données projet'!$A$98&gt;35,BD96+BC97-BL96,IF(A97&lt;'Données projet'!$A$98,$BA$205^A97,IF(A97='Données projet'!$A$98,'Données projet'!$B$98,BD96+BC97-BL96)))</f>
        <v>-1.1368683772161603E-13</v>
      </c>
      <c r="BE97" s="13">
        <f>BD97*VLOOKUP('Données projet'!$B$11,Paramètres!$A$1:$I$89,3,0)*VLOOKUP('Données projet'!$B$11,Paramètres!$A$1:$I$89,5,0)</f>
        <v>-5.0249582272954292E-14</v>
      </c>
      <c r="BF97" s="13" t="e">
        <f t="shared" si="186"/>
        <v>#NUM!</v>
      </c>
      <c r="BG97" s="20" t="e">
        <f t="shared" si="126"/>
        <v>#NUM!</v>
      </c>
      <c r="BH97" s="59" t="e">
        <f t="shared" si="127"/>
        <v>#NUM!</v>
      </c>
      <c r="BI97" s="59">
        <f ca="1">AVERAGE(OFFSET($BH$3,0,0,'Données projet'!$E$11+1,1))-AVERAGE(OFFSET($H$3,0,0,'Données projet'!$E$11+1,1))</f>
        <v>211.31057120485542</v>
      </c>
      <c r="BJ97" s="59">
        <f t="shared" si="187"/>
        <v>283.33292006714777</v>
      </c>
      <c r="BK97" s="15">
        <f>IF(ISNA(VLOOKUP(A97,'Données projet'!$A$97:$I$117,3,0)),0,VLOOKUP(A97,'Données projet'!$A$97:$I$117,3,0))</f>
        <v>0</v>
      </c>
      <c r="BL97" s="15">
        <f>IF(ISNA(VLOOKUP(A97,'Données projet'!$A$97:$I$117,4,0)),0,VLOOKUP(A97,'Données projet'!$A$97:$I$117,4,0))</f>
        <v>0</v>
      </c>
      <c r="BM97" s="16">
        <f>IF(ISNA(VLOOKUP(A97,'Données projet'!$A$97:$I$117,5,0)),0%,VLOOKUP(A97,'Données projet'!$A$97:$I$117,5,0)*VLOOKUP('Données projet'!$B$11,Paramètres!$A$1:$I$89,7,0))</f>
        <v>0</v>
      </c>
      <c r="BN97" s="16">
        <f>IF(ISNA(VLOOKUP(A97,'Données projet'!$A$97:$I$117,6,0)),0%,VLOOKUP(A97,'Données projet'!$A$97:$I$117,6,0)*VLOOKUP('Données projet'!$B$11,Paramètres!$A$1:$I$89,7,0))</f>
        <v>0</v>
      </c>
      <c r="BO97" s="16">
        <f>IF(ISNA(VLOOKUP(A97,'Données projet'!$A$97:$I$117,7,0)),0%,VLOOKUP(A97,'Données projet'!$A$97:$I$117,7,0))</f>
        <v>0</v>
      </c>
      <c r="BP97" s="21">
        <f>EXP(-LN(2)/35)*BP96+(1-EXP(-LN(2)/35))/(LN(2)/35)*BL97*BM97*VLOOKUP('Données projet'!$B$11,Paramètres!$A$1:$I$89,3,0)*0.475*44/12</f>
        <v>82.783985502232127</v>
      </c>
      <c r="BQ97" s="21">
        <f>EXP(-LN(2)/25)*BQ96+(1-EXP(-LN(2)/25))/(LN(2)/25)*Calculateur!BL97*Calculateur!BN97*VLOOKUP('Données projet'!$B$11,Paramètres!$A$1:$I$89,3,0)*0.475*44/12</f>
        <v>15.448419588970307</v>
      </c>
      <c r="BR97" s="21">
        <f>EXP(-LN(2)/2)*BR96+(1-EXP(-LN(2)/2))/(LN(2)/2)*BL97*BO97*VLOOKUP('Données projet'!$B$11,Paramètres!$A$1:$I$89,3,0)*0.475*44/12</f>
        <v>3.6430068363208542E-5</v>
      </c>
      <c r="BS97" s="22">
        <f t="shared" si="128"/>
        <v>98.2324415212708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projet'!$A$123:$I$143,2,0)</f>
        <v>#N/A</v>
      </c>
      <c r="BW97" s="12" t="e">
        <f>VLOOKUP(A97,'Données projet'!$A$123:$I$143,9,0)</f>
        <v>#N/A</v>
      </c>
      <c r="BX97" s="12">
        <f t="array" ref="BX97">INDEX(BW:BW,MIN(IF(ISNUMBER(BW97:BW293),ROW(BW97:BW293),"")))</f>
        <v>3</v>
      </c>
      <c r="BY97" s="12">
        <f>IF('Données projet'!$A$124&gt;35,BY96+BX97-CG96,IF(A97&lt;'Données projet'!$A$124,$BV$205^A97,IF(A97='Données projet'!$A$124,'Données projet'!$B$124,BY96+BX97-CG96)))</f>
        <v>249</v>
      </c>
      <c r="BZ97" s="13">
        <f>BY97*VLOOKUP('Données projet'!$B$12,Paramètres!$A$1:$I$89,3,0)*VLOOKUP('Données projet'!$B$12,Paramètres!$A$1:$I$89,5,0)</f>
        <v>260.25480000000005</v>
      </c>
      <c r="CA97" s="13">
        <f t="shared" si="188"/>
        <v>62.776687922790821</v>
      </c>
      <c r="CB97" s="20">
        <f t="shared" si="129"/>
        <v>562.61317479886077</v>
      </c>
      <c r="CC97" s="59">
        <f t="shared" si="130"/>
        <v>855.94650813219414</v>
      </c>
      <c r="CD97" s="59">
        <f ca="1">AVERAGE(OFFSET($CC$3,0,0,'Données projet'!$E$12+1,1))-AVERAGE(OFFSET($H$3,0,0,'Données projet'!$E$12+1,1))</f>
        <v>322.93502595881938</v>
      </c>
      <c r="CE97" s="59">
        <f t="shared" si="189"/>
        <v>302.67072119588164</v>
      </c>
      <c r="CF97" s="15">
        <f>IF(ISNA(VLOOKUP(A97,'Données projet'!$A$123:$I$143,3,0)),0,VLOOKUP(A97,'Données projet'!$A$123:$I$143,3,0))</f>
        <v>0</v>
      </c>
      <c r="CG97" s="15">
        <f>IF(ISNA(VLOOKUP(A97,'Données projet'!$A$123:$I$143,4,0)),0,VLOOKUP(A97,'Données projet'!$A$123:$I$143,4,0))</f>
        <v>0</v>
      </c>
      <c r="CH97" s="16">
        <f>IF(ISNA(VLOOKUP(A97,'Données projet'!$A$123:$I$143,5,0)),0%,VLOOKUP(A97,'Données projet'!$A$123:$I$143,5,0)*VLOOKUP('Données projet'!$B$12,Paramètres!$A$1:$I$89,7,0))</f>
        <v>0</v>
      </c>
      <c r="CI97" s="16">
        <f>IF(ISNA(VLOOKUP(A97,'Données projet'!$A$123:$I$143,6,0)),0%,VLOOKUP(A97,'Données projet'!$A$123:$I$143,6,0)*VLOOKUP('Données projet'!$B$12,Paramètres!$A$1:$I$89,7,0))</f>
        <v>0</v>
      </c>
      <c r="CJ97" s="16">
        <f>IF(ISNA(VLOOKUP(A97,'Données projet'!$A$123:$I$143,7,0)),0%,VLOOKUP(A97,'Données projet'!$A$123:$I$143,7,0))</f>
        <v>0</v>
      </c>
      <c r="CK97" s="21">
        <f>EXP(-LN(2)/35)*CK96+(1-EXP(-LN(2)/35))/(LN(2)/35)*CG97*CH97*VLOOKUP('Données projet'!$B$12,Paramètres!$A$1:$I$89,3,0)*0.475*44/12</f>
        <v>27.762622531462853</v>
      </c>
      <c r="CL97" s="21">
        <f>EXP(-LN(2)/25)*CL96+(1-EXP(-LN(2)/25))/(LN(2)/25)*Calculateur!CG97*Calculateur!CI97*VLOOKUP('Données projet'!$B$12,Paramètres!$A$1:$I$89,3,0)*0.475*44/12</f>
        <v>18.416132487844468</v>
      </c>
      <c r="CM97" s="21">
        <f>EXP(-LN(2)/2)*CM96+(1-EXP(-LN(2)/2))/(LN(2)/2)*CG97*CJ97*VLOOKUP('Données projet'!$B$12,Paramètres!$A$1:$I$89,3,0)*0.475*44/12</f>
        <v>0</v>
      </c>
      <c r="CN97" s="22">
        <f t="shared" si="131"/>
        <v>46.178755019307317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projet'!$A$149:$I$169,2,0)</f>
        <v>#N/A</v>
      </c>
      <c r="CR97" s="12" t="e">
        <f>VLOOKUP(A97,'Données projet'!$A$149:$I$169,9,0)</f>
        <v>#N/A</v>
      </c>
      <c r="CS97" s="12">
        <f t="array" ref="CS97">INDEX(CR:CR,MIN(IF(ISNUMBER(CR97:CR293),ROW(CR97:CR293),"")))</f>
        <v>5.2583333333333373</v>
      </c>
      <c r="CT97" s="12">
        <f>IF('Données projet'!$A$150&gt;35,CT96+CS97-DB96,IF(A97&lt;'Données projet'!$A$150,$CQ$205^A97,IF(A97='Données projet'!$A$150,'Données projet'!$B$150,CT96+CS97-DB96)))</f>
        <v>187.44423076923053</v>
      </c>
      <c r="CU97" s="17">
        <f>CT97*VLOOKUP('Données projet'!$B$13,Paramètres!$A$1:$I$89,3,0)*VLOOKUP('Données projet'!$B$13,Paramètres!$A$1:$I$89,5,0)</f>
        <v>190.06844999999976</v>
      </c>
      <c r="CV97" s="13">
        <f t="shared" si="190"/>
        <v>47.555085857097623</v>
      </c>
      <c r="CW97" s="20">
        <f t="shared" si="132"/>
        <v>413.86099161777793</v>
      </c>
      <c r="CX97" s="59">
        <f t="shared" si="133"/>
        <v>707.19432495111118</v>
      </c>
      <c r="CY97" s="59">
        <f ca="1">AVERAGE(OFFSET($CX$3,0,0,'Données projet'!$E$13+1,1))-AVERAGE(OFFSET($H$3,0,0,'Données projet'!$E$13+1,1))</f>
        <v>250.31277422753283</v>
      </c>
      <c r="CZ97" s="59">
        <f t="shared" si="191"/>
        <v>159.20429420478047</v>
      </c>
      <c r="DA97" s="15">
        <f>IF(ISNA(VLOOKUP(A97,'Données projet'!$A$149:$I$169,3,0)),0,VLOOKUP(A97,'Données projet'!$A$149:$I$169,3,0))</f>
        <v>0</v>
      </c>
      <c r="DB97" s="15">
        <f>IF(ISNA(VLOOKUP(A97,'Données projet'!$A$149:$I$169,4,0)),0,VLOOKUP(A97,'Données projet'!$A$149:$I$169,4,0))</f>
        <v>0</v>
      </c>
      <c r="DC97" s="16">
        <f>IF(ISNA(VLOOKUP(A97,'Données projet'!$A$149:$I$169,5,0)),0%,VLOOKUP(A97,'Données projet'!$A$149:$I$169,5,0)*VLOOKUP('Données projet'!$B$13,Paramètres!$A$1:$I$89,7,0))</f>
        <v>0</v>
      </c>
      <c r="DD97" s="16">
        <f>IF(ISNA(VLOOKUP(A97,'Données projet'!$A$149:$I$169,6,0)),0%,VLOOKUP(A97,'Données projet'!$A$149:$I$169,6,0)*VLOOKUP('Données projet'!$B$13,Paramètres!$A$1:$I$89,7,0))</f>
        <v>0</v>
      </c>
      <c r="DE97" s="16">
        <f>IF(ISNA(VLOOKUP(A97,'Données projet'!$A$149:$I$169,7,0)),0%,VLOOKUP(A97,'Données projet'!$A$149:$I$169,7,0))</f>
        <v>0</v>
      </c>
      <c r="DF97" s="21">
        <f>EXP(-LN(2)/35)*DF96+(1-EXP(-LN(2)/35))/(LN(2)/35)*DB97*DC97*VLOOKUP('Données projet'!$B$13,Paramètres!$A$1:$I$89,3,0)*0.475*44/12</f>
        <v>26.822023838966171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134"/>
        <v>26.822023838966171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projet'!$A$175:$I$195,2,0)</f>
        <v>#N/A</v>
      </c>
      <c r="DM97" s="12" t="e">
        <f>VLOOKUP(A97,'Données projet'!$A$175:$I$195,9,0)</f>
        <v>#N/A</v>
      </c>
      <c r="DN97" s="12">
        <f t="array" ref="DN97">INDEX(DM:DM,MIN(IF(ISNUMBER(DM97:DM293),ROW(DM97:DM293),"")))</f>
        <v>0</v>
      </c>
      <c r="DO97" s="12">
        <f>IF('Données projet'!$A$176&gt;35,DO96+DN97-DW96,IF(A97&lt;'Données projet'!$A$176,$DL$205^A97,IF(A97='Données projet'!$A$176,'Données projet'!$B$176,DO96+DN97-DW96)))</f>
        <v>-2.8421709430404007E-13</v>
      </c>
      <c r="DP97" s="17">
        <f>DO97*VLOOKUP('Données projet'!$B$14,Paramètres!$A$1:$I$89,3,0)*VLOOKUP('Données projet'!$B$14,Paramètres!$A$1:$I$89,5,0)</f>
        <v>-2.0838797354372215E-13</v>
      </c>
      <c r="DQ97" s="13" t="e">
        <f t="shared" si="192"/>
        <v>#NUM!</v>
      </c>
      <c r="DR97" s="20" t="e">
        <f t="shared" si="135"/>
        <v>#NUM!</v>
      </c>
      <c r="DS97" s="59" t="e">
        <f t="shared" si="136"/>
        <v>#NUM!</v>
      </c>
      <c r="DT97" s="59">
        <f ca="1">AVERAGE(OFFSET($DS$3,0,0,'Données projet'!$E$14+1,1))-AVERAGE(OFFSET($H$3,0,0,'Données projet'!$E$14+1,1))</f>
        <v>296.91321813251051</v>
      </c>
      <c r="DU97" s="59">
        <f t="shared" si="193"/>
        <v>291.0718079639509</v>
      </c>
      <c r="DV97" s="15">
        <f>IF(ISNA(VLOOKUP(A97,'Données projet'!$A$175:$I$195,3,0)),0,VLOOKUP(A97,'Données projet'!$A$175:$I$195,3,0))</f>
        <v>0</v>
      </c>
      <c r="DW97" s="15">
        <f>IF(ISNA(VLOOKUP(A97,'Données projet'!$A$175:$I$195,4,0)),0,VLOOKUP(A97,'Données projet'!$A$175:$I$195,4,0))</f>
        <v>0</v>
      </c>
      <c r="DX97" s="16">
        <f>IF(ISNA(VLOOKUP(A97,'Données projet'!$A$175:$I$195,5,0)),0%,VLOOKUP(A97,'Données projet'!$A$175:$I$195,5,0)*VLOOKUP('Données projet'!$B$14,Paramètres!$A$1:$I$89,7,0))</f>
        <v>0</v>
      </c>
      <c r="DY97" s="16">
        <f>IF(ISNA(VLOOKUP(A97,'Données projet'!$A$175:$I$195,6,0)),0%,VLOOKUP(A97,'Données projet'!$A$175:$I$195,6,0)*VLOOKUP('Données projet'!$B$14,Paramètres!$A$1:$I$89,7,0))</f>
        <v>0</v>
      </c>
      <c r="DZ97" s="16">
        <f>IF(ISNA(VLOOKUP(A97,'Données projet'!$A$175:$I$195,7,0)),0%,VLOOKUP(A97,'Données projet'!$A$175:$I$195,7,0))</f>
        <v>0</v>
      </c>
      <c r="EA97" s="21">
        <f>EXP(-LN(2)/35)*EA96+(1-EXP(-LN(2)/35))/(LN(2)/35)*DW97*DX97*VLOOKUP('Données projet'!$B$14,Paramètres!$A$1:$I$89,3,0)*0.475*44/12</f>
        <v>131.45686374623963</v>
      </c>
      <c r="EB97" s="21">
        <f>EXP(-LN(2)/25)*EB96+(1-EXP(-LN(2)/25))/(LN(2)/25)*Calculateur!DW97*Calculateur!DY97*VLOOKUP('Données projet'!$B$14,Paramètres!$A$1:$I$89,3,0)*0.475*44/12</f>
        <v>3.6322223558690219</v>
      </c>
      <c r="EC97" s="21">
        <f>EXP(-LN(2)/2)*EC96+(1-EXP(-LN(2)/2))/(LN(2)/2)*DW97*DZ97*VLOOKUP('Données projet'!$B$14,Paramètres!$A$1:$I$89,3,0)*0.475*44/12</f>
        <v>0</v>
      </c>
      <c r="ED97" s="22">
        <f t="shared" si="137"/>
        <v>135.08908610210867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projet'!$A$201:$I$221,2,0)</f>
        <v>#N/A</v>
      </c>
      <c r="EH97" s="12" t="e">
        <f>VLOOKUP(A97,'Données projet'!$A$201:$I$221,9,0)</f>
        <v>#N/A</v>
      </c>
      <c r="EI97" s="12">
        <f t="array" ref="EI97">INDEX(EH:EH,MIN(IF(ISNUMBER(EH97:EH293),ROW(EH97:EH293),"")))</f>
        <v>8.1391025641025667</v>
      </c>
      <c r="EJ97" s="12">
        <f>IF('Données projet'!$A$202&gt;35,EJ96+EI97-ER96,IF(A97&lt;'Données projet'!$A$202,$EG$205^A97,IF(A97='Données projet'!$A$202,'Données projet'!$B$202,EJ96+EI97-ER96)))</f>
        <v>357.17371794871826</v>
      </c>
      <c r="EK97" s="17">
        <f>EJ97*VLOOKUP('Données projet'!$B$15,Paramètres!$A$1:$I$89,3,0)*VLOOKUP('Données projet'!$B$15,Paramètres!$A$1:$I$89,5,0)</f>
        <v>167.15730000000016</v>
      </c>
      <c r="EL97" s="13">
        <f t="shared" si="194"/>
        <v>42.452729847677681</v>
      </c>
      <c r="EM97" s="20">
        <f t="shared" si="138"/>
        <v>365.07080198470561</v>
      </c>
      <c r="EN97" s="59">
        <f t="shared" si="139"/>
        <v>658.40413531803893</v>
      </c>
      <c r="EO97" s="59">
        <f ca="1">AVERAGE(OFFSET($EN$3,0,0,'Données projet'!$E$15+1,1))-AVERAGE(OFFSET($H$3,0,0,'Données projet'!$E$15+1,1))</f>
        <v>147.64256291235483</v>
      </c>
      <c r="EP97" s="59">
        <f t="shared" si="195"/>
        <v>70.859031694091868</v>
      </c>
      <c r="EQ97" s="15">
        <f>IF(ISNA(VLOOKUP(A97,'Données projet'!$A$201:$I$221,3,0)),0,VLOOKUP(A97,'Données projet'!$A$201:$I$221,3,0))</f>
        <v>0</v>
      </c>
      <c r="ER97" s="15">
        <f>IF(ISNA(VLOOKUP(A97,'Données projet'!$A$201:$I$221,4,0)),0,VLOOKUP(A97,'Données projet'!$A$201:$I$221,4,0))</f>
        <v>0</v>
      </c>
      <c r="ES97" s="16">
        <f>IF(ISNA(VLOOKUP(A97,'Données projet'!$A$201:$I$221,5,0)),0%,VLOOKUP(A97,'Données projet'!$A$201:$I$221,5,0)*VLOOKUP('Données projet'!$B$15,Paramètres!$A$1:$I$89,7,0))</f>
        <v>0</v>
      </c>
      <c r="ET97" s="16">
        <f>IF(ISNA(VLOOKUP(A97,'Données projet'!$A$201:$I$221,6,0)),0%,VLOOKUP(A97,'Données projet'!$A$201:$I$221,6,0)*VLOOKUP('Données projet'!$B$15,Paramètres!$A$1:$I$89,7,0))</f>
        <v>0</v>
      </c>
      <c r="EU97" s="16">
        <f>IF(ISNA(VLOOKUP(A97,'Données projet'!$A$201:$I$221,7,0)),0%,VLOOKUP(A97,'Données projet'!$A$201:$I$221,7,0))</f>
        <v>0</v>
      </c>
      <c r="EV97" s="21">
        <f>EXP(-LN(2)/35)*EV96+(1-EXP(-LN(2)/35))/(LN(2)/35)*ER97*ES97*VLOOKUP('Données projet'!$B$15,Paramètres!$A$1:$I$89,3,0)*0.475*44/12</f>
        <v>45.244802900241091</v>
      </c>
      <c r="EW97" s="21">
        <f>EXP(-LN(2)/25)*EW96+(1-EXP(-LN(2)/25))/(LN(2)/25)*Calculateur!ER97*Calculateur!ET97*VLOOKUP('Données projet'!$B$15,Paramètres!$A$1:$I$89,3,0)*0.475*44/12</f>
        <v>15.197115355448476</v>
      </c>
      <c r="EX97" s="21">
        <f>EXP(-LN(2)/2)*EX96+(1-EXP(-LN(2)/2))/(LN(2)/2)*ER97*EU97*VLOOKUP('Données projet'!$B$15,Paramètres!$A$1:$I$89,3,0)*0.475*44/12</f>
        <v>0.52116758059434054</v>
      </c>
      <c r="EY97" s="22">
        <f t="shared" si="140"/>
        <v>60.963085836283902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projet'!$A$227:$I$247,2,0)</f>
        <v>#N/A</v>
      </c>
      <c r="FC97" s="12" t="e">
        <f>VLOOKUP(A97,'Données projet'!$A$227:$I$247,9,0)</f>
        <v>#N/A</v>
      </c>
      <c r="FD97" s="12">
        <f t="array" ref="FD97">INDEX(FC:FC,MIN(IF(ISNUMBER(FC97:FC293),ROW(FC97:FC293),"")))</f>
        <v>2.8</v>
      </c>
      <c r="FE97" s="12">
        <f>IF('Données projet'!$A$228&gt;35,FE96+FD97-FM96,IF(A97&lt;'Données projet'!$A$228,$FB$205^A97,IF(A97='Données projet'!$A$228,'Données projet'!$B$228,FE96+FD97-FM96)))</f>
        <v>216.20000000000007</v>
      </c>
      <c r="FF97" s="17">
        <f>FE97*VLOOKUP('Données projet'!$B$16,Paramètres!$A$1:$I$89,3,0)*VLOOKUP('Données projet'!$B$16,Paramètres!$A$1:$I$89,5,0)</f>
        <v>225.97224000000011</v>
      </c>
      <c r="FG97" s="13">
        <f t="shared" si="196"/>
        <v>55.410892195806532</v>
      </c>
      <c r="FH97" s="20">
        <f t="shared" si="141"/>
        <v>490.07562190769653</v>
      </c>
      <c r="FI97" s="59">
        <f t="shared" si="142"/>
        <v>783.40895524102984</v>
      </c>
      <c r="FJ97" s="59">
        <f ca="1">AVERAGE(OFFSET($FI$3,0,0,'Données projet'!$E$16+1,1))-AVERAGE(OFFSET($H$3,0,0,'Données projet'!$E$16+1,1))</f>
        <v>259.03906550253788</v>
      </c>
      <c r="FK97" s="59">
        <f t="shared" si="197"/>
        <v>235.54542903570831</v>
      </c>
      <c r="FL97" s="15">
        <f>IF(ISNA(VLOOKUP(A97,'Données projet'!$A$227:$I$247,3,0)),0,VLOOKUP(A97,'Données projet'!$A$227:$I$247,3,0))</f>
        <v>0</v>
      </c>
      <c r="FM97" s="15">
        <f>IF(ISNA(VLOOKUP(A97,'Données projet'!$A$227:$I$247,4,0)),0,VLOOKUP(A97,'Données projet'!$A$227:$I$247,4,0))</f>
        <v>0</v>
      </c>
      <c r="FN97" s="16">
        <f>IF(ISNA(VLOOKUP(A97,'Données projet'!$A$227:$I$247,5,0)),0%,VLOOKUP(A97,'Données projet'!$A$227:$I$247,5,0)*VLOOKUP('Données projet'!$B$16,Paramètres!$A$1:$I$89,7,0))</f>
        <v>0</v>
      </c>
      <c r="FO97" s="16">
        <f>IF(ISNA(VLOOKUP(A97,'Données projet'!$A$227:$I$247,6,0)),0%,VLOOKUP(A97,'Données projet'!$A$227:$I$247,6,0)*VLOOKUP('Données projet'!$B$16,Paramètres!$A$1:$I$89,7,0))</f>
        <v>0</v>
      </c>
      <c r="FP97" s="16">
        <f>IF(ISNA(VLOOKUP(A97,'Données projet'!$A$227:$I$247,7,0)),0%,VLOOKUP(A97,'Données projet'!$A$227:$I$247,7,0))</f>
        <v>0</v>
      </c>
      <c r="FQ97" s="21">
        <f>EXP(-LN(2)/35)*FQ96+(1-EXP(-LN(2)/35))/(LN(2)/35)*FM97*FN97*VLOOKUP('Données projet'!$B$16,Paramètres!$A$1:$I$89,3,0)*0.475*44/12</f>
        <v>14.257938167821939</v>
      </c>
      <c r="FR97" s="21">
        <f>EXP(-LN(2)/25)*FR96+(1-EXP(-LN(2)/25))/(LN(2)/25)*Calculateur!FM97*Calculateur!FO97*VLOOKUP('Données projet'!$B$16,Paramètres!$A$1:$I$89,3,0)*0.475*44/12</f>
        <v>14.953147428174862</v>
      </c>
      <c r="FS97" s="21">
        <f>EXP(-LN(2)/2)*FS96+(1-EXP(-LN(2)/2))/(LN(2)/2)*FM97*FP97*VLOOKUP('Données projet'!$B$16,Paramètres!$A$1:$I$89,3,0)*0.475*44/12</f>
        <v>0</v>
      </c>
      <c r="FT97" s="22">
        <f t="shared" si="143"/>
        <v>29.211085595996799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projet'!$A$253:$I$273,2,0)</f>
        <v>#N/A</v>
      </c>
      <c r="FX97" s="12" t="e">
        <f>VLOOKUP(A97,'Données projet'!$A$253:$I$273,9,0)</f>
        <v>#N/A</v>
      </c>
      <c r="FY97" s="12">
        <f t="array" ref="FY97">INDEX(FX:FX,MIN(IF(ISNUMBER(FX97:FX293),ROW(FX97:FX293),"")))</f>
        <v>0</v>
      </c>
      <c r="FZ97" s="12">
        <f>IF('Données projet'!$A$254&gt;35,FZ96+FY97-GH96,IF(A97&lt;'Données projet'!$A$254,$FW$205^A97,IF(A97='Données projet'!$A$254,'Données projet'!$B$254,FZ96+FY97-GH96)))</f>
        <v>-1.7053025658242404E-13</v>
      </c>
      <c r="GA97" s="17">
        <f>FZ97*VLOOKUP('Données projet'!$B$17,Paramètres!$A$1:$I$89,3,0)*VLOOKUP('Données projet'!$B$17,Paramètres!$A$1:$I$89,5,0)</f>
        <v>-1.4897523215040567E-13</v>
      </c>
      <c r="GB97" s="13" t="e">
        <f t="shared" si="198"/>
        <v>#NUM!</v>
      </c>
      <c r="GC97" s="20" t="e">
        <f t="shared" si="144"/>
        <v>#NUM!</v>
      </c>
      <c r="GD97" s="59" t="e">
        <f t="shared" si="145"/>
        <v>#NUM!</v>
      </c>
      <c r="GE97" s="59">
        <f ca="1">AVERAGE(OFFSET($GD$3,0,0,'Données projet'!$E$17+1,1))-AVERAGE(OFFSET($H$3,0,0,'Données projet'!$E$17+1,1))</f>
        <v>245.1983232777614</v>
      </c>
      <c r="GF97" s="59">
        <f t="shared" si="199"/>
        <v>242.34010522344573</v>
      </c>
      <c r="GG97" s="15">
        <f>IF(ISNA(VLOOKUP(A97,'Données projet'!$A$253:$I$273,3,0)),0,VLOOKUP(A97,'Données projet'!$A$253:$I$273,3,0))</f>
        <v>0</v>
      </c>
      <c r="GH97" s="15">
        <f>IF(ISNA(VLOOKUP(A97,'Données projet'!$A$253:$I$273,4,0)),0,VLOOKUP(A97,'Données projet'!$A$253:$I$273,4,0))</f>
        <v>0</v>
      </c>
      <c r="GI97" s="16">
        <f>IF(ISNA(VLOOKUP(A97,'Données projet'!$A$253:$I$273,5,0)),0%,VLOOKUP(A97,'Données projet'!$A$253:$I$273,5,0)*VLOOKUP('Données projet'!$B$17,Paramètres!$A$1:$I$89,7,0))</f>
        <v>0</v>
      </c>
      <c r="GJ97" s="16">
        <f>IF(ISNA(VLOOKUP(A97,'Données projet'!$A$253:$I$273,6,0)),0%,VLOOKUP(A97,'Données projet'!$A$253:$I$273,6,0)*VLOOKUP('Données projet'!$B$17,Paramètres!$A$1:$I$89,7,0))</f>
        <v>0</v>
      </c>
      <c r="GK97" s="16">
        <f>IF(ISNA(VLOOKUP(A97,'Données projet'!$A$253:$I$273,7,0)),0%,VLOOKUP(A97,'Données projet'!$A$253:$I$273,7,0))</f>
        <v>0</v>
      </c>
      <c r="GL97" s="21">
        <f>EXP(-LN(2)/35)*GL96+(1-EXP(-LN(2)/35))/(LN(2)/35)*GH97*GI97*VLOOKUP('Données projet'!$B$17,Paramètres!$A$1:$I$89,3,0)*0.475*44/12</f>
        <v>93.383602658205589</v>
      </c>
      <c r="GM97" s="21">
        <f>EXP(-LN(2)/25)*GM96+(1-EXP(-LN(2)/25))/(LN(2)/25)*Calculateur!GH97*Calculateur!GJ97*VLOOKUP('Données projet'!$B$17,Paramètres!$A$1:$I$89,3,0)*0.475*44/12</f>
        <v>14.771459837614037</v>
      </c>
      <c r="GN97" s="21">
        <f>EXP(-LN(2)/2)*GN96+(1-EXP(-LN(2)/2))/(LN(2)/2)*GH97*GK97*VLOOKUP('Données projet'!$B$17,Paramètres!$A$1:$I$89,3,0)*0.475*44/12</f>
        <v>0</v>
      </c>
      <c r="GO97" s="21">
        <f t="shared" si="146"/>
        <v>108.15506249581962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projet'!$A$279:$I$299,2,0)</f>
        <v>#N/A</v>
      </c>
      <c r="GS97" s="12" t="e">
        <f>VLOOKUP(A97,'Données projet'!$A$279:$I$299,9,0)</f>
        <v>#N/A</v>
      </c>
      <c r="GT97" s="12">
        <f t="array" ref="GT97">INDEX(GS:GS,MIN(IF(ISNUMBER(GS97:GS293),ROW(GS97:GS293),"")))</f>
        <v>0</v>
      </c>
      <c r="GU97" s="12">
        <f>IF('Données projet'!$A$280&gt;35,GU96+GT97-HC96,IF(A97&lt;'Données projet'!$A$280,$GR$205^A97,IF(A97='Données projet'!$A$280,'Données projet'!$B$280,GU96+GT97-HC96)))</f>
        <v>-1.1368683772161603E-13</v>
      </c>
      <c r="GV97" s="17">
        <f>GU97*VLOOKUP('Données projet'!$B$18,Paramètres!$A$1:$I$89,3,0)*VLOOKUP('Données projet'!$B$18,Paramètres!$A$1:$I$89,5,0)</f>
        <v>-4.5815795601811263E-14</v>
      </c>
      <c r="GW97" s="13" t="e">
        <f t="shared" si="200"/>
        <v>#NUM!</v>
      </c>
      <c r="GX97" s="20" t="e">
        <f t="shared" si="147"/>
        <v>#NUM!</v>
      </c>
      <c r="GY97" s="59" t="e">
        <f t="shared" si="148"/>
        <v>#NUM!</v>
      </c>
      <c r="GZ97" s="59">
        <f ca="1">AVERAGE(OFFSET($GY$3,0,0,'Données projet'!$E$18+1,1))-AVERAGE(OFFSET($H$3,0,0,'Données projet'!$E$18+1,1))</f>
        <v>324.36162935850876</v>
      </c>
      <c r="HA97" s="59">
        <f t="shared" si="201"/>
        <v>265.23571072429735</v>
      </c>
      <c r="HB97" s="15">
        <f>IF(ISNA(VLOOKUP(A97,'Données projet'!$A$279:$I$299,3,0)),0,VLOOKUP(A97,'Données projet'!$A$279:$I$299,3,0))</f>
        <v>0</v>
      </c>
      <c r="HC97" s="15">
        <f>IF(ISNA(VLOOKUP(A97,'Données projet'!$A$279:$I$299,4,0)),0,VLOOKUP(A97,'Données projet'!$A$279:$I$299,4,0))</f>
        <v>0</v>
      </c>
      <c r="HD97" s="16">
        <f>IF(ISNA(VLOOKUP(A97,'Données projet'!$A$279:$I$299,5,0)),0%,VLOOKUP(A97,'Données projet'!$A$279:$I$299,5,0)*VLOOKUP('Données projet'!$B$18,Paramètres!$A$1:$I$89,7,0))</f>
        <v>0</v>
      </c>
      <c r="HE97" s="16">
        <f>IF(ISNA(VLOOKUP(A97,'Données projet'!$A$279:$I$299,6,0)),0%,VLOOKUP(A97,'Données projet'!$A$279:$I$299,6,0)*VLOOKUP('Données projet'!$B$18,Paramètres!$A$1:$I$89,7,0))</f>
        <v>0</v>
      </c>
      <c r="HF97" s="16">
        <f>IF(ISNA(VLOOKUP($A97,'Données projet'!$A$279:$I$299,7,0)),0%,VLOOKUP($A97,'Données projet'!$A$279:$I$299,7,0))</f>
        <v>0</v>
      </c>
      <c r="HG97" s="21">
        <f>EXP(-LN(2)/35)*HG96+(1-EXP(-LN(2)/35))/(LN(2)/35)*HC97*HD97*VLOOKUP('Données projet'!$B$18,Paramètres!$A$1:$I$89,3,0)*0.475*44/12</f>
        <v>178.94739492341716</v>
      </c>
      <c r="HH97" s="21">
        <f>EXP(-LN(2)/25)*HH96+(1-EXP(-LN(2)/25))/(LN(2)/25)*Calculateur!HC97*Calculateur!HE97*VLOOKUP('Données projet'!$B$18,Paramètres!$A$1:$I$89,3,0)*0.475*44/12</f>
        <v>16.428505452168036</v>
      </c>
      <c r="HI97" s="21">
        <f>EXP(-LN(2)/2)*HI96+(1-EXP(-LN(2)/2))/(LN(2)/2)*HC97*HF97*VLOOKUP('Données projet'!$B$18,Paramètres!$A$1:$I$89,3,0)*0.475*44/12</f>
        <v>6.6775075854530686E-2</v>
      </c>
      <c r="HJ97" s="22">
        <f t="shared" si="149"/>
        <v>195.44267545143973</v>
      </c>
      <c r="HK97" s="74">
        <f>('Scénario référence'!$F$8+'Scénario référence'!$F$9+'Scénario référence'!$B$17+'Scénario référence'!$B$9+'Scénario référence'!$B$10)*70+IF((45+25*(1-EXP(-0.0175*$A97)))&lt;70,'Scénario référence'!$B$16*(45+25*(1-EXP(-0.0175*$A97))),70*'Scénario référence'!$B$16)+IF((32+38*(1-EXP(-0.0175*$A97)))&lt;70,'Scénario référence'!$B$18*(32+38*(1-EXP(-0.0175*$A97))),70*'Scénario référence'!$B$18)</f>
        <v>70</v>
      </c>
      <c r="HL97" s="12">
        <f>IF($A97&gt;30,10,('Scénario référence'!$B$16+'Scénario référence'!$B$17+'Scénario référence'!$B$18+'Scénario référence'!$B$9+'Scénario référence'!$B$10)*$A97*10/30+('Scénario référence'!$F$8+'Scénario référence'!$F$9)*10)</f>
        <v>10</v>
      </c>
      <c r="HM97" s="12" t="e">
        <f>VLOOKUP($A97,'Données projet'!$A$304:$I$324,2,0)</f>
        <v>#N/A</v>
      </c>
      <c r="HN97" s="12" t="e">
        <f>VLOOKUP($A97,'Données projet'!$A$304:$I$324,9,0)</f>
        <v>#N/A</v>
      </c>
      <c r="HO97" s="12">
        <f t="array" ref="HO97">INDEX(HN:HN,MIN(IF(ISNUMBER(HN97:HN293),ROW(HN97:HN293),"")))</f>
        <v>0</v>
      </c>
      <c r="HP97" s="12">
        <f>IF('Données projet'!$A$304&gt;35,HP96+HO97-HX96,IF($A97&lt;'Données projet'!$A$304,$CQ$205^$A97,IF($A97='Données projet'!$A$304,'Données projet'!$B$304,HP96+HO97-HX96)))</f>
        <v>0</v>
      </c>
      <c r="HQ97" s="17">
        <f>HP97*VLOOKUP('Données projet'!$B$19,Paramètres!$A$1:$I$89,3,0)*VLOOKUP('Données projet'!$B$19,Paramètres!$A$1:$I$89,5,0)</f>
        <v>0</v>
      </c>
      <c r="HR97" s="13" t="e">
        <f t="shared" si="202"/>
        <v>#NUM!</v>
      </c>
      <c r="HS97" s="14" t="e">
        <f t="shared" si="150"/>
        <v>#NUM!</v>
      </c>
      <c r="HT97" s="59" t="e">
        <f t="shared" si="151"/>
        <v>#NUM!</v>
      </c>
      <c r="HU97" s="59">
        <f ca="1">AVERAGE(OFFSET(HT$3,0,0,'Données projet'!$E$19+1,1))-AVERAGE(OFFSET($H$3,0,0,'Données projet'!$E$19+1,1))</f>
        <v>91.60721429656013</v>
      </c>
      <c r="HV97" s="59">
        <f t="shared" si="203"/>
        <v>258.94957804210856</v>
      </c>
      <c r="HW97" s="15">
        <f>IF(ISNA(VLOOKUP($A97,'Données projet'!$A$304:$I$324,3,0)),0,VLOOKUP($A97,'Données projet'!$A$304:$I$324,3,0))</f>
        <v>0</v>
      </c>
      <c r="HX97" s="15">
        <f>IF(ISNA(VLOOKUP($A97,'Données projet'!$A$304:$I$324,4,0)),0,VLOOKUP($A97,'Données projet'!$A$304:$I$324,4,0))</f>
        <v>0</v>
      </c>
      <c r="HY97" s="16">
        <f>IF(ISNA(VLOOKUP($A97,'Données projet'!$A$304:$I$324,5,0)),0%,VLOOKUP($A97,'Données projet'!$A$304:$I$324,5,0)*VLOOKUP('Données projet'!$B$19,Paramètres!$A$1:$I$89,7,0))</f>
        <v>0</v>
      </c>
      <c r="HZ97" s="16">
        <f>IF(ISNA(VLOOKUP($A97,'Données projet'!$A$304:$I$324,6,0)),0%,VLOOKUP($A97,'Données projet'!$A$304:$I$324,6,0)*VLOOKUP('Données projet'!$B$19,Paramètres!$A$1:$I$89,7,0))</f>
        <v>0</v>
      </c>
      <c r="IA97" s="16">
        <f>IF(ISNA(VLOOKUP($A97,'Données projet'!$A$304:$I$324,7,0)),0%,VLOOKUP($A97,'Données projet'!$A$304:$I$324,7,0))</f>
        <v>0</v>
      </c>
      <c r="IB97" s="21">
        <f>EXP(-LN(2)/35)*IB96+(1-EXP(-LN(2)/35))/(LN(2)/35)*HX97*HY97*VLOOKUP('Données projet'!$B$19,Paramètres!$A$1:$I$89,3,0)*0.475*44/12</f>
        <v>13.889291013970981</v>
      </c>
      <c r="IC97" s="21">
        <f>EXP(-LN(2)/25)*IC96+(1-EXP(-LN(2)/25))/(LN(2)/25)*Calculateur!HX97*Calculateur!HZ97*VLOOKUP('Données projet'!$B$19,Paramètres!$A$1:$I$89,3,0)*0.475*44/12</f>
        <v>1.6495845131349434</v>
      </c>
      <c r="ID97" s="21">
        <f>EXP(-LN(2)/2)*ID96+(1-EXP(-LN(2)/2))/(LN(2)/2)*HX97*IA97*VLOOKUP('Données projet'!$B$19,Paramètres!$A$1:$I$89,3,0)*0.475*44/12</f>
        <v>1.3337757246195747E-10</v>
      </c>
      <c r="IE97" s="22">
        <f t="shared" si="152"/>
        <v>15.538875527239302</v>
      </c>
      <c r="IF97" s="74">
        <f>('Scénario référence'!$F$8+'Scénario référence'!$F$9+'Scénario référence'!$B$17+'Scénario référence'!$B$9+'Scénario référence'!$B$10)*70+IF((45+25*(1-EXP(-0.0175*$A97)))&lt;70,'Scénario référence'!$B$16*(45+25*(1-EXP(-0.0175*$A97))),70*'Scénario référence'!$B$16)+IF((32+38*(1-EXP(-0.0175*$A97)))&lt;70,'Scénario référence'!$B$18*(32+38*(1-EXP(-0.0175*$A97))),70*'Scénario référence'!$B$18)</f>
        <v>70</v>
      </c>
      <c r="IG97" s="12">
        <f>IF($A97&gt;30,10,('Scénario référence'!$B$16+'Scénario référence'!$B$17+'Scénario référence'!$B$18+'Scénario référence'!$B$9+'Scénario référence'!$B$10)*$A97*10/30+('Scénario référence'!$F$8+'Scénario référence'!$F$9)*10)</f>
        <v>10</v>
      </c>
      <c r="IH97" s="12" t="e">
        <f>VLOOKUP($A97,'Données projet'!$A$330:$I$350,2,0)</f>
        <v>#N/A</v>
      </c>
      <c r="II97" s="12" t="e">
        <f>VLOOKUP($A97,'Données projet'!$A$330:$I$350,9,0)</f>
        <v>#N/A</v>
      </c>
      <c r="IJ97" s="12">
        <f t="array" ref="IJ97">INDEX(II:II,MIN(IF(ISNUMBER(II97:II293),ROW(II97:II293),"")))</f>
        <v>0</v>
      </c>
      <c r="IK97" s="12">
        <f>IF('Données projet'!$A$330&gt;35,IK96+IJ97-IS96,IF($A97&lt;'Données projet'!$A$330,$CQ$205^$A97,IF($A97='Données projet'!$A$330,'Données projet'!$B$330,IK96+IJ97-IS96)))</f>
        <v>0</v>
      </c>
      <c r="IL97" s="17">
        <f>IK97*VLOOKUP('Données projet'!$B$20,Paramètres!$A$1:$I$89,3,0)*VLOOKUP('Données projet'!$B$20,Paramètres!$A$1:$I$89,5,0)</f>
        <v>0</v>
      </c>
      <c r="IM97" s="13" t="e">
        <f t="shared" si="204"/>
        <v>#NUM!</v>
      </c>
      <c r="IN97" s="20" t="e">
        <f t="shared" si="153"/>
        <v>#NUM!</v>
      </c>
      <c r="IO97" s="59" t="e">
        <f t="shared" si="154"/>
        <v>#NUM!</v>
      </c>
      <c r="IP97" s="59">
        <f ca="1">AVERAGE(OFFSET(IO$3,0,0,'Données projet'!$E$20+1,1))-AVERAGE(OFFSET($H$3,0,0,'Données projet'!$E$20+1,1))</f>
        <v>91.60721429656013</v>
      </c>
      <c r="IQ97" s="59">
        <f t="shared" si="205"/>
        <v>258.94957804210856</v>
      </c>
      <c r="IR97" s="15">
        <f>IF(ISNA(VLOOKUP($A97,'Données projet'!$A$330:$I$350,3,0)),0,VLOOKUP($A97,'Données projet'!$A$330:$I$350,3,0))</f>
        <v>0</v>
      </c>
      <c r="IS97" s="15">
        <f>IF(ISNA(VLOOKUP($A97,'Données projet'!$A$330:$I$350,4,0)),0,VLOOKUP($A97,'Données projet'!$A$330:$I$350,4,0))</f>
        <v>0</v>
      </c>
      <c r="IT97" s="16">
        <f>IF(ISNA(VLOOKUP($A97,'Données projet'!$A$330:$I$350,5,0)),0%,VLOOKUP($A97,'Données projet'!$A$330:$I$350,5,0)*VLOOKUP('Données projet'!$B$20,Paramètres!$A$1:$I$89,7,0))</f>
        <v>0</v>
      </c>
      <c r="IU97" s="16">
        <f>IF(ISNA(VLOOKUP($A97,'Données projet'!$A$330:$I$350,6,0)),0%,VLOOKUP($A97,'Données projet'!$A$330:$I$350,6,0)*VLOOKUP('Données projet'!$B$20,Paramètres!$A$1:$I$89,7,0))</f>
        <v>0</v>
      </c>
      <c r="IV97" s="16">
        <f>IF(ISNA(VLOOKUP($A97,'Données projet'!$A$330:$I$350,7,0)),0%,VLOOKUP($A97,'Données projet'!$A$330:$I$350,7,0))</f>
        <v>0</v>
      </c>
      <c r="IW97" s="21">
        <f>EXP(-LN(2)/35)*IW96+(1-EXP(-LN(2)/35))/(LN(2)/35)*IS97*IT97*VLOOKUP('Données projet'!$B$20,Paramètres!$A$1:$I$89,3,0)*0.475*44/12</f>
        <v>13.889291013970981</v>
      </c>
      <c r="IX97" s="21">
        <f>EXP(-LN(2)/25)*IX96+(1-EXP(-LN(2)/25))/(LN(2)/25)*Calculateur!IS97*Calculateur!IU97*VLOOKUP('Données projet'!$B$20,Paramètres!$A$1:$I$89,3,0)*0.475*44/12</f>
        <v>1.6495845131349434</v>
      </c>
      <c r="IY97" s="21">
        <f>EXP(-LN(2)/2)*IY96+(1-EXP(-LN(2)/2))/(LN(2)/2)*IS97*IV97*VLOOKUP('Données projet'!$B$20,Paramètres!$A$1:$I$89,3,0)*0.475*44/12</f>
        <v>1.3337757246195747E-10</v>
      </c>
      <c r="IZ97" s="22">
        <f t="shared" si="155"/>
        <v>15.538875527239302</v>
      </c>
      <c r="JA97" s="74">
        <f>('Scénario référence'!$F$8+'Scénario référence'!$F$9+'Scénario référence'!$B$17+'Scénario référence'!$B$9+'Scénario référence'!$B$10)*70+IF((45+25*(1-EXP(-0.0175*$A97)))&lt;70,'Scénario référence'!$B$16*(45+25*(1-EXP(-0.0175*$A97))),70*'Scénario référence'!$B$16)+IF((32+38*(1-EXP(-0.0175*$A97)))&lt;70,'Scénario référence'!$B$18*(32+38*(1-EXP(-0.0175*$A97))),70*'Scénario référence'!$B$18)</f>
        <v>70</v>
      </c>
      <c r="JB97" s="12">
        <f>IF($A97&gt;30,10,('Scénario référence'!$B$16+'Scénario référence'!$B$17+'Scénario référence'!$B$18+'Scénario référence'!$B$9+'Scénario référence'!$B$10)*$A97*10/30+('Scénario référence'!$F$8+'Scénario référence'!$F$9)*10)</f>
        <v>10</v>
      </c>
      <c r="JC97" s="12" t="e">
        <f>VLOOKUP($A97,'Données projet'!$A$356:$I$376,2,0)</f>
        <v>#N/A</v>
      </c>
      <c r="JD97" s="12" t="e">
        <f>VLOOKUP($A97,'Données projet'!$A$356:$I$376,9,0)</f>
        <v>#N/A</v>
      </c>
      <c r="JE97" s="12">
        <f t="array" ref="JE97">INDEX(JD:JD,MIN(IF(ISNUMBER(JD97:JD293),ROW(JD97:JD293),"")))</f>
        <v>4.9000000000000004</v>
      </c>
      <c r="JF97" s="12">
        <f>IF('Données projet'!$A$356&gt;35,JF96+JE97-JN96,IF($A97&lt;'Données projet'!$A$356,$CQ$205^$A97,IF($A97='Données projet'!$A$356,'Données projet'!$B$356,JF96+JE97-JN96)))</f>
        <v>370.59999999999962</v>
      </c>
      <c r="JG97" s="17">
        <f>JF97*VLOOKUP('Données projet'!$B$21,Paramètres!$A$1:$I$89,3,0)*VLOOKUP('Données projet'!$B$21,Paramètres!$A$1:$I$89,5,0)</f>
        <v>300.63071999999971</v>
      </c>
      <c r="JH97" s="13">
        <f t="shared" si="206"/>
        <v>71.308670447773551</v>
      </c>
      <c r="JI97" s="20">
        <f t="shared" si="156"/>
        <v>647.79443836320502</v>
      </c>
      <c r="JJ97" s="59">
        <f t="shared" si="157"/>
        <v>941.12777169653828</v>
      </c>
      <c r="JK97" s="59">
        <f ca="1">AVERAGE(OFFSET($JJ$3,0,0,'Données projet'!$E$22+1,1))-AVERAGE(OFFSET($H$3,0,0,'Données projet'!$E$22+1,1))</f>
        <v>353.35574633294613</v>
      </c>
      <c r="JL97" s="59">
        <f t="shared" si="207"/>
        <v>170.36796666474726</v>
      </c>
      <c r="JM97" s="15">
        <f>IF(ISNA(VLOOKUP($A97,'Données projet'!$A$356:$I$376,3,0)),0,VLOOKUP($A97,'Données projet'!$A$356:$I$376,3,0))</f>
        <v>0</v>
      </c>
      <c r="JN97" s="15">
        <f>IF(ISNA(VLOOKUP($A97,'Données projet'!$A$356:$I$376,4,0)),0,VLOOKUP($A97,'Données projet'!$A$356:$I$376,4,0))</f>
        <v>0</v>
      </c>
      <c r="JO97" s="16">
        <f>IF(ISNA(VLOOKUP($A97,'Données projet'!$A$356:$I$376,5,0)),0%,VLOOKUP($A97,'Données projet'!$A$356:$I$376,5,0)*VLOOKUP('Données projet'!$B$21,Paramètres!$A$1:$I$89,7,0))</f>
        <v>0</v>
      </c>
      <c r="JP97" s="16">
        <f>IF(ISNA(VLOOKUP($A97,'Données projet'!$A$356:$I$376,6,0)),0%,VLOOKUP($A97,'Données projet'!$A$356:$I$376,6,0)*VLOOKUP('Données projet'!$B$21,Paramètres!$A$1:$I$89,7,0))</f>
        <v>0</v>
      </c>
      <c r="JQ97" s="16">
        <f>IF(ISNA(VLOOKUP($A97,'Données projet'!$A$356:$I$376,7,0)),0%,VLOOKUP($A97,'Données projet'!$A$356:$I$376,7,0))</f>
        <v>0</v>
      </c>
      <c r="JR97" s="21">
        <f>EXP(-LN(2)/35)*JR96+(1-EXP(-LN(2)/35))/(LN(2)/35)*JN97*JO97*VLOOKUP('Données projet'!$B$21,Paramètres!$A$1:$I$89,3,0)*0.475*44/12</f>
        <v>2.485589502619117</v>
      </c>
      <c r="JS97" s="21">
        <f>EXP(-LN(2)/25)*JS96+(1-EXP(-LN(2)/25))/(LN(2)/25)*Calculateur!JN97*Calculateur!JP97*VLOOKUP('Données projet'!$B$21,Paramètres!$A$1:$I$89,3,0)*0.475*44/12</f>
        <v>15.530828743426431</v>
      </c>
      <c r="JT97" s="21">
        <f>EXP(-LN(2)/2)*JT96+(1-EXP(-LN(2)/2))/(LN(2)/2)*JN97*JQ97*VLOOKUP('Données projet'!$B$21,Paramètres!$A$1:$I$89,3,0)*0.475*44/12</f>
        <v>1.5535232320761057</v>
      </c>
      <c r="JU97" s="18">
        <f t="shared" si="158"/>
        <v>19.569941478121653</v>
      </c>
      <c r="JV97" s="74">
        <f>('Scénario référence'!$F$8+'Scénario référence'!$F$9+'Scénario référence'!$B$17+'Scénario référence'!$B$9+'Scénario référence'!$B$10)*70+IF((45+25*(1-EXP(-0.0175*$A97)))&lt;70,'Scénario référence'!$B$16*(45+25*(1-EXP(-0.0175*$A97))),70*'Scénario référence'!$B$16)+IF((32+38*(1-EXP(-0.0175*$A97)))&lt;70,'Scénario référence'!$B$18*(32+38*(1-EXP(-0.0175*$A97))),70*'Scénario référence'!$B$18)</f>
        <v>70</v>
      </c>
      <c r="JW97" s="12">
        <f>IF($A97&gt;30,10,('Scénario référence'!$B$16+'Scénario référence'!$B$17+'Scénario référence'!$B$18+'Scénario référence'!$B$9+'Scénario référence'!$B$10)*$A97*10/30+('Scénario référence'!$F$8+'Scénario référence'!$F$9)*10)</f>
        <v>10</v>
      </c>
      <c r="JX97" s="12" t="e">
        <f>VLOOKUP($A97,'Données projet'!$A$382:$I$402,2,0)</f>
        <v>#N/A</v>
      </c>
      <c r="JY97" s="12" t="e">
        <f>VLOOKUP($A97,'Données projet'!$A$382:$I$402,9,0)</f>
        <v>#N/A</v>
      </c>
      <c r="JZ97" s="12">
        <f t="array" ref="JZ97">INDEX(JY:JY,MIN(IF(ISNUMBER(JY97:JY293),ROW(JY97:JY293),"")))</f>
        <v>7.1782051282051267</v>
      </c>
      <c r="KA97" s="12">
        <f>IF('Données projet'!$A$382&gt;35,KA96+JZ97-KI96,IF($A97&lt;'Données projet'!$A$382,$CQ$205^$A97,IF($A97='Données projet'!$A$382,'Données projet'!$B$382,KA96+JZ97-KI96)))</f>
        <v>282.35897435897471</v>
      </c>
      <c r="KB97" s="17">
        <f>KA97*VLOOKUP('Données projet'!$B$22,Paramètres!$A$1:$I$89,3,0)*VLOOKUP('Données projet'!$B$22,Paramètres!$A$1:$I$89,5,0)</f>
        <v>189.40640000000022</v>
      </c>
      <c r="KC97" s="13">
        <f t="shared" si="208"/>
        <v>47.408692428884478</v>
      </c>
      <c r="KD97" s="20">
        <f t="shared" si="159"/>
        <v>412.45295264697415</v>
      </c>
      <c r="KE97" s="59">
        <f t="shared" si="160"/>
        <v>705.78628598030741</v>
      </c>
      <c r="KF97" s="59">
        <f ca="1">AVERAGE(OFFSET($KE$3,0,0,'Données projet'!$E$22+1,1))-AVERAGE(OFFSET($H$3,0,0,'Données projet'!$E$22+1,1))</f>
        <v>193.91714772848269</v>
      </c>
      <c r="KG97" s="59">
        <f t="shared" si="209"/>
        <v>159.20429420478047</v>
      </c>
      <c r="KH97" s="15">
        <f>IF(ISNA(VLOOKUP($A97,'Données projet'!$A$382:$I$402,3,0)),0,VLOOKUP($A97,'Données projet'!$A$382:$I$402,3,0))</f>
        <v>0</v>
      </c>
      <c r="KI97" s="15">
        <f>IF(ISNA(VLOOKUP($A97,'Données projet'!$A$382:$I$402,4,0)),0,VLOOKUP($A97,'Données projet'!$A$382:$I$402,4,0))</f>
        <v>0</v>
      </c>
      <c r="KJ97" s="16">
        <f>IF(ISNA(VLOOKUP($A97,'Données projet'!$A$382:$I$402,5,0)),0%,VLOOKUP($A97,'Données projet'!$A$382:$I$402,5,0)*VLOOKUP('Données projet'!$B$22,Paramètres!$A$1:$I$89,7,0))</f>
        <v>0</v>
      </c>
      <c r="KK97" s="16">
        <f>IF(ISNA(VLOOKUP($A97,'Données projet'!$A$382:$I$402,6,0)),0%,VLOOKUP($A97,'Données projet'!$A$382:$I$402,6,0)*VLOOKUP('Données projet'!$B$22,Paramètres!$A$1:$I$89,7,0))</f>
        <v>0</v>
      </c>
      <c r="KL97" s="16">
        <f>IF(ISNA(VLOOKUP($A97,'Données projet'!$A$382:$I$402,7,0)),0%,VLOOKUP($A97,'Données projet'!$A$382:$I$402,7,0))</f>
        <v>0</v>
      </c>
      <c r="KM97" s="21">
        <f>EXP(-LN(2)/35)*KM96+(1-EXP(-LN(2)/35))/(LN(2)/35)*KI97*KJ97*VLOOKUP('Données projet'!$B$22,Paramètres!$A$1:$I$89,3,0)*0.475*44/12</f>
        <v>34.996390242727017</v>
      </c>
      <c r="KN97" s="21">
        <f>EXP(-LN(2)/25)*KN96+(1-EXP(-LN(2)/25))/(LN(2)/25)*Calculateur!KI97*Calculateur!KK97*VLOOKUP('Données projet'!$B$22,Paramètres!$A$1:$I$89,3,0)*0.475*44/12</f>
        <v>0</v>
      </c>
      <c r="KO97" s="21">
        <f>EXP(-LN(2)/2)*KO96+(1-EXP(-LN(2)/2))/(LN(2)/2)*KI97*KL97*VLOOKUP('Données projet'!$B$22,Paramètres!$A$1:$I$89,3,0)*0.475*44/12</f>
        <v>0</v>
      </c>
      <c r="KP97" s="22">
        <f t="shared" si="161"/>
        <v>34.996390242727017</v>
      </c>
      <c r="KQ97" s="74">
        <f>('Scénario référence'!$F$8+'Scénario référence'!$F$9+'Scénario référence'!$B$17+'Scénario référence'!$B$9+'Scénario référence'!$B$10)*70+IF((45+25*(1-EXP(-0.0175*$A97)))&lt;70,'Scénario référence'!$B$16*(45+25*(1-EXP(-0.0175*$A97))),70*'Scénario référence'!$B$16)+IF((32+38*(1-EXP(-0.0175*$A97)))&lt;70,'Scénario référence'!$B$18*(32+38*(1-EXP(-0.0175*$A97))),70*'Scénario référence'!$B$18)</f>
        <v>70</v>
      </c>
      <c r="KR97" s="12">
        <f>IF($A97&gt;30,10,('Scénario référence'!$B$16+'Scénario référence'!$B$17+'Scénario référence'!$B$18+'Scénario référence'!$B$9+'Scénario référence'!$B$10)*$A97*10/30+('Scénario référence'!$F$8+'Scénario référence'!$F$9)*10)</f>
        <v>10</v>
      </c>
      <c r="KS97" s="12" t="e">
        <f>VLOOKUP($A97,'Données projet'!$A$408:$I$428,2,0)</f>
        <v>#N/A</v>
      </c>
      <c r="KT97" s="12" t="e">
        <f>VLOOKUP($A97,'Données projet'!$A$408:$I$428,9,0)</f>
        <v>#N/A</v>
      </c>
      <c r="KU97" s="12">
        <f t="array" ref="KU97">INDEX(KT:KT,MIN(IF(ISNUMBER(KT97:KT293),ROW(KT97:KT293),"")))</f>
        <v>0</v>
      </c>
      <c r="KV97" s="12">
        <f>IF('Données projet'!$A$408&gt;35,KV96+KU97-LD96,IF($A97&lt;'Données projet'!$A$408,$CQ$205^$A97,IF($A97='Données projet'!$A$408,'Données projet'!$B$408,KV96+KU97-LD96)))</f>
        <v>-1.1368683772161603E-13</v>
      </c>
      <c r="KW97" s="17">
        <f>KV97*VLOOKUP('Données projet'!$B$23,Paramètres!$A$1:$I$89,3,0)*VLOOKUP('Données projet'!$B$23,Paramètres!$A$1:$I$89,5,0)</f>
        <v>-9.9316821433603781E-14</v>
      </c>
      <c r="KX97" s="13" t="e">
        <f t="shared" si="210"/>
        <v>#NUM!</v>
      </c>
      <c r="KY97" s="14" t="e">
        <f t="shared" si="162"/>
        <v>#NUM!</v>
      </c>
      <c r="KZ97" s="59" t="e">
        <f t="shared" si="163"/>
        <v>#NUM!</v>
      </c>
      <c r="LA97" s="59">
        <f ca="1">AVERAGE(OFFSET($KZ$3,0,0,'Données projet'!$E$23+1,1))-AVERAGE(OFFSET($H$3,0,0,'Données projet'!$E$23+1,1))</f>
        <v>248.33596943633819</v>
      </c>
      <c r="LB97" s="59">
        <f t="shared" si="211"/>
        <v>242.34010522344573</v>
      </c>
      <c r="LC97" s="15">
        <f>IF(ISNA(VLOOKUP($A97,'Données projet'!$A$408:$I$428,3,0)),0,VLOOKUP($A97,'Données projet'!$A$408:$I$428,3,0))</f>
        <v>0</v>
      </c>
      <c r="LD97" s="15">
        <f>IF(ISNA(VLOOKUP($A97,'Données projet'!$A$408:$I$428,4,0)),0,VLOOKUP($A97,'Données projet'!$A$408:$I$428,4,0))</f>
        <v>0</v>
      </c>
      <c r="LE97" s="16">
        <f>IF(ISNA(VLOOKUP($A97,'Données projet'!$A$408:$I$428,5,0)),0%,VLOOKUP($A97,'Données projet'!$A$408:$I$428,5,0)*VLOOKUP('Données projet'!$B$23,Paramètres!$A$1:$I$89,7,0))</f>
        <v>0</v>
      </c>
      <c r="LF97" s="16">
        <f>IF(ISNA(VLOOKUP($A97,'Données projet'!$A$408:$I$428,6,0)),0%,VLOOKUP($A97,'Données projet'!$A$408:$I$428,6,0)*VLOOKUP('Données projet'!$B$23,Paramètres!$A$1:$I$89,7,0))</f>
        <v>0</v>
      </c>
      <c r="LG97" s="16">
        <f>IF(ISNA(VLOOKUP($A97,'Données projet'!$A$408:$I$428,7,0)),0%,VLOOKUP($A97,'Données projet'!$A$408:$I$428,7,0))</f>
        <v>0</v>
      </c>
      <c r="LH97" s="21">
        <f>EXP(-LN(2)/35)*LH96+(1-EXP(-LN(2)/35))/(LN(2)/35)*LD97*LE97*VLOOKUP('Données projet'!$B$23,Paramètres!$A$1:$I$89,3,0)*0.475*44/12</f>
        <v>93.383602658205589</v>
      </c>
      <c r="LI97" s="21">
        <f>EXP(-LN(2)/25)*LI96+(1-EXP(-LN(2)/25))/(LN(2)/25)*Calculateur!LD97*Calculateur!LF97*VLOOKUP('Données projet'!$B$23,Paramètres!$A$1:$I$89,3,0)*0.475*44/12</f>
        <v>14.771459837614037</v>
      </c>
      <c r="LJ97" s="21">
        <f>EXP(-LN(2)/2)*LJ96+(1-EXP(-LN(2)/2))/(LN(2)/2)*LD97*LG97*VLOOKUP('Données projet'!$B$23,Paramètres!$A$1:$I$89,3,0)*0.475*44/12</f>
        <v>0</v>
      </c>
      <c r="LK97" s="22">
        <f t="shared" si="164"/>
        <v>108.15506249581962</v>
      </c>
      <c r="LL97" s="74">
        <f>('Scénario référence'!$F$8+'Scénario référence'!$F$9+'Scénario référence'!$B$17+'Scénario référence'!$B$9+'Scénario référence'!$B$10)*70+IF((45+25*(1-EXP(-0.0175*$A97)))&lt;70,'Scénario référence'!$B$16*(45+25*(1-EXP(-0.0175*$A97))),70*'Scénario référence'!$B$16)+IF((32+38*(1-EXP(-0.0175*$A97)))&lt;70,'Scénario référence'!$B$18*(32+38*(1-EXP(-0.0175*$A97))),70*'Scénario référence'!$B$18)</f>
        <v>70</v>
      </c>
      <c r="LM97" s="12">
        <f>IF($A97&gt;30,10,('Scénario référence'!$B$16+'Scénario référence'!$B$17+'Scénario référence'!$B$18+'Scénario référence'!$B$9+'Scénario référence'!$B$10)*$A97*10/30+('Scénario référence'!$F$8+'Scénario référence'!$F$9)*10)</f>
        <v>10</v>
      </c>
      <c r="LN97" s="12" t="e">
        <f>VLOOKUP($A97,'Données projet'!$A$434:$I$454,2,0)</f>
        <v>#N/A</v>
      </c>
      <c r="LO97" s="12" t="e">
        <f>VLOOKUP($A97,'Données projet'!$A$434:$I$454,9,0)</f>
        <v>#N/A</v>
      </c>
      <c r="LP97" s="12">
        <f t="array" ref="LP97">INDEX(LO:LO,MIN(IF(ISNUMBER(LO97:LO293),ROW(LO97:LO293),"")))</f>
        <v>5.2583333333333373</v>
      </c>
      <c r="LQ97" s="12">
        <f>IF('Données projet'!$A$434&gt;35,LQ96+LP97-LY96,IF($A97&lt;'Données projet'!$A$434,$CQ$205^$A97,IF($A97='Données projet'!$A$434,'Données projet'!$B$434,LQ96+LP97-LY96)))</f>
        <v>187.44423076923053</v>
      </c>
      <c r="LR97" s="17">
        <f>LQ97*VLOOKUP('Données projet'!$B$24,Paramètres!$A$1:$I$89,3,0)*VLOOKUP('Données projet'!$B$24,Paramètres!$A$1:$I$89,5,0)</f>
        <v>190.06844999999976</v>
      </c>
      <c r="LS97" s="13">
        <f t="shared" si="212"/>
        <v>47.555085857097623</v>
      </c>
      <c r="LT97" s="14">
        <f t="shared" si="165"/>
        <v>413.86099161777793</v>
      </c>
      <c r="LU97" s="59">
        <f t="shared" si="166"/>
        <v>707.19432495111118</v>
      </c>
      <c r="LV97" s="59">
        <f ca="1">AVERAGE(OFFSET($LU$3,0,0,'Données projet'!$E$24+1,1))-AVERAGE(OFFSET($H$3,0,0,'Données projet'!$E$24+1,1))</f>
        <v>260.52627655062872</v>
      </c>
      <c r="LW97" s="59">
        <f t="shared" si="213"/>
        <v>159.20429420478047</v>
      </c>
      <c r="LX97" s="15">
        <f>IF(ISNA(VLOOKUP($A97,'Données projet'!$A$434:$I$454,3,0)),0,VLOOKUP($A97,'Données projet'!$A$434:$I$454,3,0))</f>
        <v>0</v>
      </c>
      <c r="LY97" s="15">
        <f>IF(ISNA(VLOOKUP($A97,'Données projet'!$A$434:$I$454,4,0)),0,VLOOKUP($A97,'Données projet'!$A$434:$I$454,4,0))</f>
        <v>0</v>
      </c>
      <c r="LZ97" s="16">
        <f>IF(ISNA(VLOOKUP($A97,'Données projet'!$A$434:$I$454,5,0)),0%,VLOOKUP($A97,'Données projet'!$A$434:$I$454,5,0)*VLOOKUP('Données projet'!$B$24,Paramètres!$A$1:$I$89,7,0))</f>
        <v>0</v>
      </c>
      <c r="MA97" s="16">
        <f>IF(ISNA(VLOOKUP($A97,'Données projet'!$A$434:$I$454,6,0)),0%,VLOOKUP($A97,'Données projet'!$A$434:$I$454,6,0)*VLOOKUP('Données projet'!$B$24,Paramètres!$A$1:$I$89,7,0))</f>
        <v>0</v>
      </c>
      <c r="MB97" s="16">
        <f>IF(ISNA(VLOOKUP($A97,'Données projet'!$A$434:$I$454,7,0)),0%,VLOOKUP($A97,'Données projet'!$A$434:$I$454,7,0))</f>
        <v>0</v>
      </c>
      <c r="MC97" s="21">
        <f>EXP(-LN(2)/35)*MC96+(1-EXP(-LN(2)/35))/(LN(2)/35)*LY97*LZ97*VLOOKUP('Données projet'!$B$24,Paramètres!$A$1:$I$89,3,0)*0.475*44/12</f>
        <v>26.822023838966171</v>
      </c>
      <c r="MD97" s="21">
        <f>EXP(-LN(2)/25)*MD96+(1-EXP(-LN(2)/25))/(LN(2)/25)*Calculateur!LY97*Calculateur!MA97*VLOOKUP('Données projet'!$B$24,Paramètres!$A$1:$I$89,3,0)*0.475*44/12</f>
        <v>0</v>
      </c>
      <c r="ME97" s="21">
        <f>EXP(-LN(2)/2)*ME96+(1-EXP(-LN(2)/2))/(LN(2)/2)*LY97*MB97*VLOOKUP('Données projet'!$B$24,Paramètres!$A$1:$I$89,3,0)*0.475*44/12</f>
        <v>0</v>
      </c>
      <c r="MF97" s="22">
        <f t="shared" si="167"/>
        <v>26.822023838966171</v>
      </c>
      <c r="MG97" s="74">
        <f>('Scénario référence'!$F$8+'Scénario référence'!$F$9+'Scénario référence'!$B$17+'Scénario référence'!$B$9+'Scénario référence'!$B$10)*70+IF((45+25*(1-EXP(-0.0175*$A97)))&lt;70,'Scénario référence'!$B$16*(45+25*(1-EXP(-0.0175*$A97))),70*'Scénario référence'!$B$16)+IF((32+38*(1-EXP(-0.0175*$A97)))&lt;70,'Scénario référence'!$B$18*(32+38*(1-EXP(-0.0175*$A97))),70*'Scénario référence'!$B$18)</f>
        <v>70</v>
      </c>
      <c r="MH97" s="12">
        <f>IF($A97&gt;30,10,('Scénario référence'!$B$16+'Scénario référence'!$B$17+'Scénario référence'!$B$18+'Scénario référence'!$B$9+'Scénario référence'!$B$10)*$A97*10/30+('Scénario référence'!$F$8+'Scénario référence'!$F$9)*10)</f>
        <v>10</v>
      </c>
      <c r="MI97" s="12" t="e">
        <f>VLOOKUP($A97,'Données projet'!$A$460:$I$480,2,0)</f>
        <v>#N/A</v>
      </c>
      <c r="MJ97" s="12" t="e">
        <f>VLOOKUP($A97,'Données projet'!$A$460:$I$480,9,0)</f>
        <v>#N/A</v>
      </c>
      <c r="MK97" s="12">
        <f t="array" ref="MK97">INDEX(MJ:MJ,MIN(IF(ISNUMBER(MJ97:MJ293),ROW(MJ97:MJ293),"")))</f>
        <v>0</v>
      </c>
      <c r="ML97" s="12">
        <f>IF('Données projet'!$A$460&gt;35,ML96+MK97-MT96,IF($A97&lt;'Données projet'!$A$460,$CQ$205^$A97,IF($A97='Données projet'!$A$460,'Données projet'!$B$460,ML96+MK97-MT96)))</f>
        <v>0</v>
      </c>
      <c r="MM97" s="17" t="e">
        <f>ML97*VLOOKUP('Données projet'!$B$25,Paramètres!$A$1:$I$89,3,0)*VLOOKUP('Données projet'!$B$25,Paramètres!$A$1:$I$89,5,0)</f>
        <v>#N/A</v>
      </c>
      <c r="MN97" s="13" t="e">
        <f t="shared" si="214"/>
        <v>#N/A</v>
      </c>
      <c r="MO97" s="14" t="e">
        <f t="shared" si="168"/>
        <v>#N/A</v>
      </c>
      <c r="MP97" s="59" t="e">
        <f t="shared" si="169"/>
        <v>#N/A</v>
      </c>
      <c r="MQ97" s="20" t="e">
        <f ca="1">AVERAGE(OFFSET($MP$3,0,0,'Données projet'!$E$25+1,1))-AVERAGE(OFFSET($H$3,0,0,'Données projet'!$E$25+1,1))</f>
        <v>#N/A</v>
      </c>
      <c r="MR97" s="59" t="e">
        <f t="shared" si="215"/>
        <v>#N/A</v>
      </c>
      <c r="MS97" s="15">
        <f>IF(ISNA(VLOOKUP($A97,'Données projet'!$A$460:$I$480,3,0)),0,VLOOKUP($A97,'Données projet'!$A$460:$I$480,3,0))</f>
        <v>0</v>
      </c>
      <c r="MT97" s="15">
        <f>IF(ISNA(VLOOKUP($A97,'Données projet'!$A$460:$I$480,4,0)),0,VLOOKUP($A97,'Données projet'!$A$460:$I$480,4,0))</f>
        <v>0</v>
      </c>
      <c r="MU97" s="16">
        <f>IF(ISNA(VLOOKUP($A97,'Données projet'!$A$460:$I$480,5,0)),0%,VLOOKUP($A97,'Données projet'!$A$460:$I$480,5,0)*VLOOKUP('Données projet'!$B$25,Paramètres!$A$1:$I$89,7,0))</f>
        <v>0</v>
      </c>
      <c r="MV97" s="16">
        <f>IF(ISNA(VLOOKUP($A97,'Données projet'!$A$460:$I$480,6,0)),0%,VLOOKUP($A97,'Données projet'!$A$460:$I$480,6,0)*VLOOKUP('Données projet'!$B$25,Paramètres!$A$1:$I$89,7,0))</f>
        <v>0</v>
      </c>
      <c r="MW97" s="16">
        <f>IF(ISNA(VLOOKUP($A97,'Données projet'!$A$460:$I$480,7,0)),0%,VLOOKUP($A97,'Données projet'!$A$460:$I$480,7,0))</f>
        <v>0</v>
      </c>
      <c r="MX97" s="21" t="e">
        <f>EXP(-LN(2)/35)*MX96+(1-EXP(-LN(2)/35))/(LN(2)/35)*MT97*MU97*VLOOKUP('Données projet'!$B$25,Paramètres!$A$1:$I$89,3,0)*0.475*44/12</f>
        <v>#N/A</v>
      </c>
      <c r="MY97" s="21" t="e">
        <f>EXP(-LN(2)/25)*MY96+(1-EXP(-LN(2)/25))/(LN(2)/25)*Calculateur!MT97*Calculateur!MV97*VLOOKUP('Données projet'!$B$25,Paramètres!$A$1:$I$89,3,0)*0.475*44/12</f>
        <v>#N/A</v>
      </c>
      <c r="MZ97" s="21" t="e">
        <f>EXP(-LN(2)/2)*MZ96+(1-EXP(-LN(2)/2))/(LN(2)/2)*MT97*MW97*VLOOKUP('Données projet'!$B$25,Paramètres!$A$1:$I$89,3,0)*0.475*44/12</f>
        <v>#N/A</v>
      </c>
      <c r="NA97" s="22" t="e">
        <f t="shared" si="170"/>
        <v>#N/A</v>
      </c>
      <c r="NB97" s="74">
        <f>('Scénario référence'!$F$8+'Scénario référence'!$F$9+'Scénario référence'!$B$17+'Scénario référence'!$B$9+'Scénario référence'!$B$10)*70+IF((45+25*(1-EXP(-0.0175*$A97)))&lt;70,'Scénario référence'!$B$16*(45+25*(1-EXP(-0.0175*$A97))),70*'Scénario référence'!$B$16)+IF((32+38*(1-EXP(-0.0175*$A97)))&lt;70,'Scénario référence'!$B$18*(32+38*(1-EXP(-0.0175*$A97))),70*'Scénario référence'!$B$18)</f>
        <v>70</v>
      </c>
      <c r="NC97" s="12">
        <f>IF($A97&gt;30,10,('Scénario référence'!$B$16+'Scénario référence'!$B$17+'Scénario référence'!$B$18+'Scénario référence'!$B$9+'Scénario référence'!$B$10)*$A97*10/30+('Scénario référence'!$F$8+'Scénario référence'!$F$9)*10)</f>
        <v>10</v>
      </c>
      <c r="ND97" s="12" t="e">
        <f>VLOOKUP($A97,'Données projet'!$A$486:$I$506,2,0)</f>
        <v>#N/A</v>
      </c>
      <c r="NE97" s="12" t="e">
        <f>VLOOKUP($A97,'Données projet'!$A$486:$I$506,9,0)</f>
        <v>#N/A</v>
      </c>
      <c r="NF97" s="12">
        <f t="array" ref="NF97">INDEX(NE:NE,MIN(IF(ISNUMBER(NE97:NE293),ROW(NE97:NE293),"")))</f>
        <v>0</v>
      </c>
      <c r="NG97" s="12">
        <f>IF('Données projet'!$A$486&gt;35,NG96+NF97-NO96,IF($A97&lt;'Données projet'!$A$486,$CQ$205^$A97,IF($A97='Données projet'!$A$486,'Données projet'!$B$486,NG96+NF97-NO96)))</f>
        <v>0</v>
      </c>
      <c r="NH97" s="17" t="e">
        <f>NG97*VLOOKUP('Données projet'!$B$26,Paramètres!$A$1:$I$89,3,0)*VLOOKUP('Données projet'!$B$26,Paramètres!$A$1:$I$89,5,0)</f>
        <v>#N/A</v>
      </c>
      <c r="NI97" s="13" t="e">
        <f t="shared" si="216"/>
        <v>#N/A</v>
      </c>
      <c r="NJ97" s="14" t="e">
        <f t="shared" si="171"/>
        <v>#N/A</v>
      </c>
      <c r="NK97" s="59" t="e">
        <f t="shared" si="172"/>
        <v>#N/A</v>
      </c>
      <c r="NL97" s="20" t="e">
        <f ca="1">AVERAGE(OFFSET($NK$3,0,0,'Données projet'!$E$26+1,1))-AVERAGE(OFFSET($H$3,0,0,'Données projet'!$E$26+1,1))</f>
        <v>#N/A</v>
      </c>
      <c r="NM97" s="59" t="e">
        <f t="shared" si="217"/>
        <v>#N/A</v>
      </c>
      <c r="NN97" s="15">
        <f>IF(ISNA(VLOOKUP($A97,'Données projet'!$A$486:$I$506,3,0)),0,VLOOKUP($A97,'Données projet'!$A$486:$I$506,3,0))</f>
        <v>0</v>
      </c>
      <c r="NO97" s="15">
        <f>IF(ISNA(VLOOKUP($A97,'Données projet'!$A$486:$I$506,4,0)),0,VLOOKUP($A97,'Données projet'!$A$486:$I$506,4,0))</f>
        <v>0</v>
      </c>
      <c r="NP97" s="16">
        <f>IF(ISNA(VLOOKUP($A97,'Données projet'!$A$486:$I$506,5,0)),0%,VLOOKUP($A97,'Données projet'!$A$486:$I$506,5,0)*VLOOKUP('Données projet'!$B$26,Paramètres!$A$1:$I$89,7,0))</f>
        <v>0</v>
      </c>
      <c r="NQ97" s="16">
        <f>IF(ISNA(VLOOKUP($A97,'Données projet'!$A$486:$I$506,6,0)),0%,VLOOKUP($A97,'Données projet'!$A$486:$I$506,6,0)*VLOOKUP('Données projet'!$B$26,Paramètres!$A$1:$I$89,7,0))</f>
        <v>0</v>
      </c>
      <c r="NR97" s="16">
        <f>IF(ISNA(VLOOKUP($A97,'Données projet'!$A$486:$I$506,7,0)),0%,VLOOKUP($A97,'Données projet'!$A$486:$I$506,7,0))</f>
        <v>0</v>
      </c>
      <c r="NS97" s="21" t="e">
        <f>EXP(-LN(2)/35)*NS96+(1-EXP(-LN(2)/35))/(LN(2)/35)*NO97*NP97*VLOOKUP('Données projet'!$B$26,Paramètres!$A$1:$I$89,3,0)*0.475*44/12</f>
        <v>#N/A</v>
      </c>
      <c r="NT97" s="21" t="e">
        <f>EXP(-LN(2)/25)*NT96+(1-EXP(-LN(2)/25))/(LN(2)/25)*Calculateur!NO97*Calculateur!NQ97*VLOOKUP('Données projet'!$B$26,Paramètres!$A$1:$I$89,3,0)*0.475*44/12</f>
        <v>#N/A</v>
      </c>
      <c r="NU97" s="21" t="e">
        <f>EXP(-LN(2)/2)*NU96+(1-EXP(-LN(2)/2))/(LN(2)/2)*NO97*NR97*VLOOKUP('Données projet'!$B$26,Paramètres!$A$1:$I$89,3,0)*0.475*44/12</f>
        <v>#N/A</v>
      </c>
      <c r="NV97" s="22" t="e">
        <f t="shared" si="173"/>
        <v>#N/A</v>
      </c>
      <c r="NW97" s="74">
        <f>('Scénario référence'!$F$8+'Scénario référence'!$F$9+'Scénario référence'!$B$17+'Scénario référence'!$B$9+'Scénario référence'!$B$10)*70+IF((45+25*(1-EXP(-0.0175*$A97)))&lt;70,'Scénario référence'!$B$16*(45+25*(1-EXP(-0.0175*$A97))),70*'Scénario référence'!$B$16)+IF((32+38*(1-EXP(-0.0175*$A97)))&lt;70,'Scénario référence'!$B$18*(32+38*(1-EXP(-0.0175*$A97))),70*'Scénario référence'!$B$18)</f>
        <v>70</v>
      </c>
      <c r="NX97" s="12">
        <f>IF($A97&gt;30,10,('Scénario référence'!$B$16+'Scénario référence'!$B$17+'Scénario référence'!$B$18+'Scénario référence'!$B$9+'Scénario référence'!$B$10)*$A97*10/30+('Scénario référence'!$F$8+'Scénario référence'!$F$9)*10)</f>
        <v>10</v>
      </c>
      <c r="NY97" s="12" t="e">
        <f>VLOOKUP($A97,'Données projet'!$A$512:$I$532,2,0)</f>
        <v>#N/A</v>
      </c>
      <c r="NZ97" s="12" t="e">
        <f>VLOOKUP($A97,'Données projet'!$A$512:$I$532,9,0)</f>
        <v>#N/A</v>
      </c>
      <c r="OA97" s="12">
        <f t="array" ref="OA97">INDEX(NZ:NZ,MIN(IF(ISNUMBER(NZ97:NZ293),ROW(NZ97:NZ293),"")))</f>
        <v>0</v>
      </c>
      <c r="OB97" s="12">
        <f>IF('Données projet'!$A$512&gt;35,OB96+OA97-OJ96,IF($A97&lt;'Données projet'!$A$512,$CQ$205^$A97,IF($A97='Données projet'!$A$512,'Données projet'!$B$512,OB96+OA97-OJ96)))</f>
        <v>0</v>
      </c>
      <c r="OC97" s="17" t="e">
        <f>OB97*VLOOKUP('Données projet'!$B$27,Paramètres!$A$1:$I$89,3,0)*VLOOKUP('Données projet'!$B$27,Paramètres!$A$1:$I$89,5,0)</f>
        <v>#N/A</v>
      </c>
      <c r="OD97" s="13" t="e">
        <f t="shared" si="218"/>
        <v>#N/A</v>
      </c>
      <c r="OE97" s="14" t="e">
        <f t="shared" si="174"/>
        <v>#N/A</v>
      </c>
      <c r="OF97" s="59" t="e">
        <f t="shared" si="175"/>
        <v>#N/A</v>
      </c>
      <c r="OG97" s="20" t="e">
        <f ca="1">AVERAGE(OFFSET($OF$3,0,0,'Données projet'!$E$27+1,1))-AVERAGE(OFFSET($H$3,0,0,'Données projet'!$E$27+1,1))</f>
        <v>#N/A</v>
      </c>
      <c r="OH97" s="59" t="e">
        <f t="shared" si="219"/>
        <v>#N/A</v>
      </c>
      <c r="OI97" s="15">
        <f>IF(ISNA(VLOOKUP($A97,'Données projet'!$A$512:$I$532,3,0)),0,VLOOKUP($A97,'Données projet'!$A$512:$I$532,3,0))</f>
        <v>0</v>
      </c>
      <c r="OJ97" s="15">
        <f>IF(ISNA(VLOOKUP($A97,'Données projet'!$A$512:$I$532,4,0)),0,VLOOKUP($A97,'Données projet'!$A$512:$I$532,4,0))</f>
        <v>0</v>
      </c>
      <c r="OK97" s="16">
        <f>IF(ISNA(VLOOKUP($A97,'Données projet'!$A$512:$I$532,5,0)),0%,VLOOKUP($A97,'Données projet'!$A$512:$I$532,5,0)*VLOOKUP('Données projet'!$B$27,Paramètres!$A$1:$I$89,7,0))</f>
        <v>0</v>
      </c>
      <c r="OL97" s="16">
        <f>IF(ISNA(VLOOKUP($A97,'Données projet'!$A$512:$I$532,6,0)),0%,VLOOKUP($A97,'Données projet'!$A$512:$I$532,6,0)*VLOOKUP('Données projet'!$B$27,Paramètres!$A$1:$I$89,7,0))</f>
        <v>0</v>
      </c>
      <c r="OM97" s="16">
        <f>IF(ISNA(VLOOKUP($A97,'Données projet'!$A$512:$I$532,7,0)),0%,VLOOKUP($A97,'Données projet'!$A$512:$I$532,7,0))</f>
        <v>0</v>
      </c>
      <c r="ON97" s="21" t="e">
        <f>EXP(-LN(2)/35)*ON96+(1-EXP(-LN(2)/35))/(LN(2)/35)*OJ97*OK97*VLOOKUP('Données projet'!$B$27,Paramètres!$A$1:$I$89,3,0)*0.475*44/12</f>
        <v>#N/A</v>
      </c>
      <c r="OO97" s="21" t="e">
        <f>EXP(-LN(2)/25)*OO96+(1-EXP(-LN(2)/25))/(LN(2)/25)*Calculateur!OJ97*Calculateur!OL97*VLOOKUP('Données projet'!$B$27,Paramètres!$A$1:$I$89,3,0)*0.475*44/12</f>
        <v>#N/A</v>
      </c>
      <c r="OP97" s="21" t="e">
        <f>EXP(-LN(2)/2)*OP96+(1-EXP(-LN(2)/2))/(LN(2)/2)*OJ97*OM97*VLOOKUP('Données projet'!$B$27,Paramètres!$A$1:$I$89,3,0)*0.475*44/12</f>
        <v>#N/A</v>
      </c>
      <c r="OQ97" s="22" t="e">
        <f t="shared" si="176"/>
        <v>#N/A</v>
      </c>
      <c r="OR97" s="74">
        <f>('Scénario référence'!$F$8+'Scénario référence'!$F$9+'Scénario référence'!$B$17+'Scénario référence'!$B$9+'Scénario référence'!$B$10)*70+IF((45+25*(1-EXP(-0.0175*$A97)))&lt;70,'Scénario référence'!$B$16*(45+25*(1-EXP(-0.0175*$A97))),70*'Scénario référence'!$B$16)+IF((32+38*(1-EXP(-0.0175*$A97)))&lt;70,'Scénario référence'!$B$18*(32+38*(1-EXP(-0.0175*$A97))),70*'Scénario référence'!$B$18)</f>
        <v>70</v>
      </c>
      <c r="OS97" s="12">
        <f>IF($A97&gt;30,10,('Scénario référence'!$B$16+'Scénario référence'!$B$17+'Scénario référence'!$B$18+'Scénario référence'!$B$9+'Scénario référence'!$B$10)*$A97*10/30+('Scénario référence'!$F$8+'Scénario référence'!$F$9)*10)</f>
        <v>10</v>
      </c>
      <c r="OT97" s="12" t="e">
        <f>VLOOKUP($A97,'Données projet'!$A$538:$I$558,2,0)</f>
        <v>#N/A</v>
      </c>
      <c r="OU97" s="12" t="e">
        <f>VLOOKUP($A97,'Données projet'!$A$538:$I$558,9,0)</f>
        <v>#N/A</v>
      </c>
      <c r="OV97" s="12">
        <f t="array" ref="OV97">INDEX(OU:OU,MIN(IF(ISNUMBER(OU97:OU293),ROW(OU97:OU293),"")))</f>
        <v>0</v>
      </c>
      <c r="OW97" s="12">
        <f>IF('Données projet'!$A$538&gt;35,OW96+OV97-PE96,IF($A97&lt;'Données projet'!$A$538,$CQ$205^$A97,IF($A97='Données projet'!$A$538,'Données projet'!$B$538,OW96+OV97-PE96)))</f>
        <v>0</v>
      </c>
      <c r="OX97" s="17" t="e">
        <f>OW97*VLOOKUP('Données projet'!$B$28,Paramètres!$A$1:$I$89,3,0)*VLOOKUP('Données projet'!$B$28,Paramètres!$A$1:$I$89,5,0)</f>
        <v>#N/A</v>
      </c>
      <c r="OY97" s="13" t="e">
        <f t="shared" si="220"/>
        <v>#N/A</v>
      </c>
      <c r="OZ97" s="14" t="e">
        <f t="shared" si="177"/>
        <v>#N/A</v>
      </c>
      <c r="PA97" s="59" t="e">
        <f t="shared" si="178"/>
        <v>#N/A</v>
      </c>
      <c r="PB97" s="20" t="e">
        <f ca="1">AVERAGE(OFFSET($PA$3,0,0,'Données projet'!$E$28+1,1))-AVERAGE(OFFSET($H$3,0,0,'Données projet'!$E$28+1,1))</f>
        <v>#N/A</v>
      </c>
      <c r="PC97" s="59" t="e">
        <f t="shared" si="221"/>
        <v>#N/A</v>
      </c>
      <c r="PD97" s="15">
        <f>IF(ISNA(VLOOKUP($A97,'Données projet'!$A$538:$I$558,3,0)),0,VLOOKUP($A97,'Données projet'!$A$538:$I$558,3,0))</f>
        <v>0</v>
      </c>
      <c r="PE97" s="15">
        <f>IF(ISNA(VLOOKUP($A97,'Données projet'!$A$538:$I$558,4,0)),0,VLOOKUP($A97,'Données projet'!$A$538:$I$558,4,0))</f>
        <v>0</v>
      </c>
      <c r="PF97" s="16">
        <f>IF(ISNA(VLOOKUP($A97,'Données projet'!$A$538:$I$558,5,0)),0%,VLOOKUP($A97,'Données projet'!$A$538:$I$558,5,0)*VLOOKUP('Données projet'!$B$28,Paramètres!$A$1:$I$89,7,0))</f>
        <v>0</v>
      </c>
      <c r="PG97" s="16">
        <f>IF(ISNA(VLOOKUP($A97,'Données projet'!$A$538:$I$558,6,0)),0%,VLOOKUP($A97,'Données projet'!$A$538:$I$558,6,0)*VLOOKUP('Données projet'!$B$28,Paramètres!$A$1:$I$89,7,0))</f>
        <v>0</v>
      </c>
      <c r="PH97" s="16">
        <f>IF(ISNA(VLOOKUP($A97,'Données projet'!$A$538:$I$558,7,0)),0%,VLOOKUP($A97,'Données projet'!$A$538:$I$558,7,0))</f>
        <v>0</v>
      </c>
      <c r="PI97" s="21" t="e">
        <f>EXP(-LN(2)/35)*PI96+(1-EXP(-LN(2)/35))/(LN(2)/35)*PE97*PF97*VLOOKUP('Données projet'!$B$28,Paramètres!$A$1:$I$89,3,0)*0.475*44/12</f>
        <v>#N/A</v>
      </c>
      <c r="PJ97" s="21" t="e">
        <f>EXP(-LN(2)/25)*PJ96+(1-EXP(-LN(2)/25))/(LN(2)/25)*Calculateur!PE97*Calculateur!PG97*VLOOKUP('Données projet'!$B$28,Paramètres!$A$1:$I$89,3,0)*0.475*44/12</f>
        <v>#N/A</v>
      </c>
      <c r="PK97" s="21" t="e">
        <f>EXP(-LN(2)/2)*PK96+(1-EXP(-LN(2)/2))/(LN(2)/2)*PE97*PH97*VLOOKUP('Données projet'!$B$28,Paramètres!$A$1:$I$89,3,0)*0.475*44/12</f>
        <v>#N/A</v>
      </c>
      <c r="PL97" s="22" t="e">
        <f t="shared" si="179"/>
        <v>#N/A</v>
      </c>
    </row>
    <row r="98" spans="1:428" x14ac:dyDescent="0.35">
      <c r="A98" s="10">
        <f t="shared" si="180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181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121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projet'!$A$45:$I$65,2,0)</f>
        <v>#N/A</v>
      </c>
      <c r="L98" s="12" t="e">
        <f>VLOOKUP(A98,'Données projet'!$A$45:$I$65,9,0)</f>
        <v>#N/A</v>
      </c>
      <c r="M98" s="12">
        <f t="array" ref="M98">INDEX(L:L,MIN(IF(ISNUMBER(L98:L294),ROW(L98:L294),"")))</f>
        <v>0</v>
      </c>
      <c r="N98" s="13">
        <f>IF('Données projet'!$A$46&gt;35,N97+M98-V97,IF(A98&lt;'Données projet'!$A$46,$K$205^A98,IF(A98='Données projet'!$A$46,'Données projet'!$B$46,N97+M98-V97)))</f>
        <v>-1.1368683772161603E-13</v>
      </c>
      <c r="O98" s="13">
        <f>N98*VLOOKUP('Données projet'!$B$9,Paramètres!$A$1:$I$89,3,0)*VLOOKUP('Données projet'!$B$9,Paramètres!$A$1:$I$89,5,0)</f>
        <v>-6.3550942286383367E-14</v>
      </c>
      <c r="P98" s="13" t="e">
        <f t="shared" si="182"/>
        <v>#NUM!</v>
      </c>
      <c r="Q98" s="20" t="e">
        <f t="shared" si="119"/>
        <v>#NUM!</v>
      </c>
      <c r="R98" s="59" t="e">
        <f t="shared" si="120"/>
        <v>#NUM!</v>
      </c>
      <c r="S98" s="59">
        <f ca="1">AVERAGE(OFFSET($R$3,0,0,'Données projet'!$E$9+1,1))-AVERAGE(OFFSET($H$3,0,0,'Données projet'!$E$9+1,1))</f>
        <v>274.57619581652199</v>
      </c>
      <c r="T98" s="59">
        <f t="shared" si="183"/>
        <v>366.15117322598775</v>
      </c>
      <c r="U98" s="15">
        <f>IF(ISNA(VLOOKUP(A98,'Données projet'!$A$45:$I$65,3,0)),0,VLOOKUP(A98,'Données projet'!$A$45:$I$65,3,0))</f>
        <v>0</v>
      </c>
      <c r="V98" s="15">
        <f>IF(ISNA(VLOOKUP(A98,'Données projet'!$A$45:$I$65,4,0)),0,VLOOKUP(A98,'Données projet'!$A$45:$I$65,4,0))</f>
        <v>0</v>
      </c>
      <c r="W98" s="16">
        <f>IF(ISNA(VLOOKUP(A98,'Données projet'!$A$45:$I$65,5,0)),0%,VLOOKUP(A98,'Données projet'!$A$45:$I$65,5,0)*VLOOKUP('Données projet'!$B$9,Paramètres!$A$1:$I$89,7,0))</f>
        <v>0</v>
      </c>
      <c r="X98" s="16">
        <f>IF(ISNA(VLOOKUP(A98,'Données projet'!$A$45:$I$65,6,0)),0%,VLOOKUP(A98,'Données projet'!$A$45:$I$65,6,0)*VLOOKUP('Données projet'!$B$9,Paramètres!$A$1:$I$89,7,0))</f>
        <v>0</v>
      </c>
      <c r="Y98" s="16">
        <f>IF(ISNA(VLOOKUP(A98,'Données projet'!$A$45:$I$65,7,0)),0%,VLOOKUP(A98,'Données projet'!$A$45:$I$65,7,0))</f>
        <v>0</v>
      </c>
      <c r="Z98" s="21">
        <f>EXP(-LN(2)/35)*Z97+(1-EXP(-LN(2)/35))/(LN(2)/35)*V98*W98*VLOOKUP('Données projet'!$B$9,Paramètres!$A$1:$I$89,3,0)*0.475*44/12</f>
        <v>102.64434140324953</v>
      </c>
      <c r="AA98" s="21">
        <f>EXP(-LN(2)/25)*AA97+(1-EXP(-LN(2)/25))/(LN(2)/25)*Calculateur!V98*Calculateur!X98*VLOOKUP('Données projet'!$B$9,Paramètres!$A$1:$I$89,3,0)*0.475*44/12</f>
        <v>19.003447498389772</v>
      </c>
      <c r="AB98" s="21">
        <f>EXP(-LN(2)/2)*AB97+(1-EXP(-LN(2)/2))/(LN(2)/2)*V98*Y98*VLOOKUP('Données projet'!$B$9,Paramètres!$A$1:$I$89,3,0)*0.475*44/12</f>
        <v>3.2578758243668054E-5</v>
      </c>
      <c r="AC98" s="22">
        <f t="shared" si="122"/>
        <v>121.64782148039754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projet'!$A$71:$I$91,2,0)</f>
        <v>#N/A</v>
      </c>
      <c r="AG98" s="12" t="e">
        <f>VLOOKUP(A98,'Données projet'!$A$71:$I$91,9,0)</f>
        <v>#N/A</v>
      </c>
      <c r="AH98" s="12">
        <f t="array" ref="AH98">INDEX(AG:AG,MIN(IF(ISNUMBER(AG98:AG294),ROW(AG98:AG294),"")))</f>
        <v>7.1782051282051267</v>
      </c>
      <c r="AI98" s="13">
        <f>IF('Données projet'!$A$72&gt;35,AI97+AH98-AQ97,IF(A98&lt;'Données projet'!$A$72,$AF$205^A98,IF(A98='Données projet'!$A$72,'Données projet'!$B$72,AI97+AH98-AQ97)))</f>
        <v>289.53717948717991</v>
      </c>
      <c r="AJ98" s="13">
        <f>AI98*VLOOKUP('Données projet'!$B$10,Paramètres!$A$1:$I$89,3,0)*VLOOKUP('Données projet'!$B$10,Paramètres!$A$1:$I$89,5,0)</f>
        <v>261.97324000000037</v>
      </c>
      <c r="AK98" s="13">
        <f t="shared" si="184"/>
        <v>63.142807719765102</v>
      </c>
      <c r="AL98" s="20">
        <f t="shared" si="123"/>
        <v>566.24378311192481</v>
      </c>
      <c r="AM98" s="59">
        <f t="shared" si="124"/>
        <v>859.57711644525807</v>
      </c>
      <c r="AN98" s="59">
        <f ca="1">AVERAGE(OFFSET($AM$3,0,0,'Données projet'!$E$10+1,1))-AVERAGE(OFFSET($H$3,0,0,'Données projet'!$E$10+1,1))</f>
        <v>270.87836509222456</v>
      </c>
      <c r="AO98" s="59">
        <f t="shared" si="185"/>
        <v>205.24998237949734</v>
      </c>
      <c r="AP98" s="15">
        <f>IF(ISNA(VLOOKUP(A98,'Données projet'!$A$71:$I$91,3,0)),0,VLOOKUP(A98,'Données projet'!$A$71:$I$91,3,0))</f>
        <v>0</v>
      </c>
      <c r="AQ98" s="15">
        <f>IF(ISNA(VLOOKUP(A98,'Données projet'!$A$71:$I$91,4,0)),0,VLOOKUP(A98,'Données projet'!$A$71:$I$91,4,0))</f>
        <v>0</v>
      </c>
      <c r="AR98" s="16">
        <f>IF(ISNA(VLOOKUP(A98,'Données projet'!$A$71:$I$91,5,0)),0%,VLOOKUP(A98,'Données projet'!$A$71:$I$91,5,0)*VLOOKUP('Données projet'!$B$10,Paramètres!$A$1:$I$89,7,0))</f>
        <v>0</v>
      </c>
      <c r="AS98" s="16">
        <f>IF(ISNA(VLOOKUP(A98,'Données projet'!$A$71:$I$91,6,0)),0%,VLOOKUP(A98,'Données projet'!$A$71:$I$91,6,0)*VLOOKUP('Données projet'!$B$10,Paramètres!$A$1:$I$89,7,0))</f>
        <v>0</v>
      </c>
      <c r="AT98" s="16">
        <f>IF(ISNA(VLOOKUP(A98,'Données projet'!$A$71:$I$91,7,0)),0%,VLOOKUP(A98,'Données projet'!$A$71:$I$91,7,0))</f>
        <v>0</v>
      </c>
      <c r="AU98" s="21">
        <f>EXP(-LN(2)/35)*AU97+(1-EXP(-LN(2)/35))/(LN(2)/35)*AQ98*AR98*VLOOKUP('Données projet'!$B$10,Paramètres!$A$1:$I$89,3,0)*0.475*44/12</f>
        <v>37.546937316866654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125"/>
        <v>37.546937316866654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projet'!$A$97:$I$117,2,0)</f>
        <v>#N/A</v>
      </c>
      <c r="BB98" s="12" t="e">
        <f>VLOOKUP(A98,'Données projet'!$A$97:$I$117,9,0)</f>
        <v>#N/A</v>
      </c>
      <c r="BC98" s="12">
        <f t="array" ref="BC98">INDEX(BB:BB,MIN(IF(ISNUMBER(BB98:BB294),ROW(BB98:BB294),"")))</f>
        <v>0</v>
      </c>
      <c r="BD98" s="12">
        <f>IF('Données projet'!$A$98&gt;35,BD97+BC98-BL97,IF(A98&lt;'Données projet'!$A$98,$BA$205^A98,IF(A98='Données projet'!$A$98,'Données projet'!$B$98,BD97+BC98-BL97)))</f>
        <v>-1.1368683772161603E-13</v>
      </c>
      <c r="BE98" s="13">
        <f>BD98*VLOOKUP('Données projet'!$B$11,Paramètres!$A$1:$I$89,3,0)*VLOOKUP('Données projet'!$B$11,Paramètres!$A$1:$I$89,5,0)</f>
        <v>-5.0249582272954292E-14</v>
      </c>
      <c r="BF98" s="13" t="e">
        <f t="shared" si="186"/>
        <v>#NUM!</v>
      </c>
      <c r="BG98" s="20" t="e">
        <f t="shared" si="126"/>
        <v>#NUM!</v>
      </c>
      <c r="BH98" s="59" t="e">
        <f t="shared" si="127"/>
        <v>#NUM!</v>
      </c>
      <c r="BI98" s="59">
        <f ca="1">AVERAGE(OFFSET($BH$3,0,0,'Données projet'!$E$11+1,1))-AVERAGE(OFFSET($H$3,0,0,'Données projet'!$E$11+1,1))</f>
        <v>211.31057120485542</v>
      </c>
      <c r="BJ98" s="59">
        <f t="shared" si="187"/>
        <v>283.33292006714777</v>
      </c>
      <c r="BK98" s="15">
        <f>IF(ISNA(VLOOKUP(A98,'Données projet'!$A$97:$I$117,3,0)),0,VLOOKUP(A98,'Données projet'!$A$97:$I$117,3,0))</f>
        <v>0</v>
      </c>
      <c r="BL98" s="15">
        <f>IF(ISNA(VLOOKUP(A98,'Données projet'!$A$97:$I$117,4,0)),0,VLOOKUP(A98,'Données projet'!$A$97:$I$117,4,0))</f>
        <v>0</v>
      </c>
      <c r="BM98" s="16">
        <f>IF(ISNA(VLOOKUP(A98,'Données projet'!$A$97:$I$117,5,0)),0%,VLOOKUP(A98,'Données projet'!$A$97:$I$117,5,0)*VLOOKUP('Données projet'!$B$11,Paramètres!$A$1:$I$89,7,0))</f>
        <v>0</v>
      </c>
      <c r="BN98" s="16">
        <f>IF(ISNA(VLOOKUP(A98,'Données projet'!$A$97:$I$117,6,0)),0%,VLOOKUP(A98,'Données projet'!$A$97:$I$117,6,0)*VLOOKUP('Données projet'!$B$11,Paramètres!$A$1:$I$89,7,0))</f>
        <v>0</v>
      </c>
      <c r="BO98" s="16">
        <f>IF(ISNA(VLOOKUP(A98,'Données projet'!$A$97:$I$117,7,0)),0%,VLOOKUP(A98,'Données projet'!$A$97:$I$117,7,0))</f>
        <v>0</v>
      </c>
      <c r="BP98" s="21">
        <f>EXP(-LN(2)/35)*BP97+(1-EXP(-LN(2)/35))/(LN(2)/35)*BL98*BM98*VLOOKUP('Données projet'!$B$11,Paramètres!$A$1:$I$89,3,0)*0.475*44/12</f>
        <v>81.160642039778722</v>
      </c>
      <c r="BQ98" s="21">
        <f>EXP(-LN(2)/25)*BQ97+(1-EXP(-LN(2)/25))/(LN(2)/25)*Calculateur!BL98*Calculateur!BN98*VLOOKUP('Données projet'!$B$11,Paramètres!$A$1:$I$89,3,0)*0.475*44/12</f>
        <v>15.025981742912835</v>
      </c>
      <c r="BR98" s="21">
        <f>EXP(-LN(2)/2)*BR97+(1-EXP(-LN(2)/2))/(LN(2)/2)*BL98*BO98*VLOOKUP('Données projet'!$B$11,Paramètres!$A$1:$I$89,3,0)*0.475*44/12</f>
        <v>2.575994837871427E-5</v>
      </c>
      <c r="BS98" s="22">
        <f t="shared" si="128"/>
        <v>96.186649542639927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projet'!$A$123:$I$143,2,0)</f>
        <v>252</v>
      </c>
      <c r="BW98" s="12">
        <f>VLOOKUP(A98,'Données projet'!$A$123:$I$143,9,0)</f>
        <v>3</v>
      </c>
      <c r="BX98" s="12">
        <f t="array" ref="BX98">INDEX(BW:BW,MIN(IF(ISNUMBER(BW98:BW294),ROW(BW98:BW294),"")))</f>
        <v>3</v>
      </c>
      <c r="BY98" s="12">
        <f>IF('Données projet'!$A$124&gt;35,BY97+BX98-CG97,IF(A98&lt;'Données projet'!$A$124,$BV$205^A98,IF(A98='Données projet'!$A$124,'Données projet'!$B$124,BY97+BX98-CG97)))</f>
        <v>252</v>
      </c>
      <c r="BZ98" s="13">
        <f>BY98*VLOOKUP('Données projet'!$B$12,Paramètres!$A$1:$I$89,3,0)*VLOOKUP('Données projet'!$B$12,Paramètres!$A$1:$I$89,5,0)</f>
        <v>263.3904</v>
      </c>
      <c r="CA98" s="13">
        <f t="shared" si="188"/>
        <v>63.444528395882578</v>
      </c>
      <c r="CB98" s="20">
        <f t="shared" si="129"/>
        <v>569.23750028949542</v>
      </c>
      <c r="CC98" s="59">
        <f t="shared" si="130"/>
        <v>862.57083362282879</v>
      </c>
      <c r="CD98" s="59">
        <f ca="1">AVERAGE(OFFSET($CC$3,0,0,'Données projet'!$E$12+1,1))-AVERAGE(OFFSET($H$3,0,0,'Données projet'!$E$12+1,1))</f>
        <v>322.93502595881938</v>
      </c>
      <c r="CE98" s="59">
        <f t="shared" si="189"/>
        <v>302.67072119588164</v>
      </c>
      <c r="CF98" s="15">
        <f>IF(ISNA(VLOOKUP(A98,'Données projet'!$A$123:$I$143,3,0)),0,VLOOKUP(A98,'Données projet'!$A$123:$I$143,3,0))</f>
        <v>16</v>
      </c>
      <c r="CG98" s="15" t="str">
        <f>IF(ISNA(VLOOKUP(A98,'Données projet'!$A$123:$I$143,4,0)),0,VLOOKUP(A98,'Données projet'!$A$123:$I$143,4,0))</f>
        <v>12</v>
      </c>
      <c r="CH98" s="16">
        <f>IF(ISNA(VLOOKUP(A98,'Données projet'!$A$123:$I$143,5,0)),0%,VLOOKUP(A98,'Données projet'!$A$123:$I$143,5,0)*VLOOKUP('Données projet'!$B$12,Paramètres!$A$1:$I$89,7,0))</f>
        <v>0.30099999999999999</v>
      </c>
      <c r="CI98" s="16">
        <f>IF(ISNA(VLOOKUP(A98,'Données projet'!$A$123:$I$143,6,0)),0%,VLOOKUP(A98,'Données projet'!$A$123:$I$143,6,0)*VLOOKUP('Données projet'!$B$12,Paramètres!$A$1:$I$89,7,0))</f>
        <v>8.6000000000000007E-2</v>
      </c>
      <c r="CJ98" s="16">
        <f>IF(ISNA(VLOOKUP(A98,'Données projet'!$A$123:$I$143,7,0)),0%,VLOOKUP(A98,'Données projet'!$A$123:$I$143,7,0))</f>
        <v>0</v>
      </c>
      <c r="CK98" s="21">
        <f>EXP(-LN(2)/35)*CK97+(1-EXP(-LN(2)/35))/(LN(2)/35)*CG98*CH98*VLOOKUP('Données projet'!$B$12,Paramètres!$A$1:$I$89,3,0)*0.475*44/12</f>
        <v>31.391655195313042</v>
      </c>
      <c r="CL98" s="21">
        <f>EXP(-LN(2)/25)*CL97+(1-EXP(-LN(2)/25))/(LN(2)/25)*Calculateur!CG98*Calculateur!CI98*VLOOKUP('Données projet'!$B$12,Paramètres!$A$1:$I$89,3,0)*0.475*44/12</f>
        <v>19.100259042700326</v>
      </c>
      <c r="CM98" s="21">
        <f>EXP(-LN(2)/2)*CM97+(1-EXP(-LN(2)/2))/(LN(2)/2)*CG98*CJ98*VLOOKUP('Données projet'!$B$12,Paramètres!$A$1:$I$89,3,0)*0.475*44/12</f>
        <v>0</v>
      </c>
      <c r="CN98" s="22">
        <f t="shared" si="131"/>
        <v>50.491914238013365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projet'!$A$149:$I$169,2,0)</f>
        <v>#N/A</v>
      </c>
      <c r="CR98" s="12" t="e">
        <f>VLOOKUP(A98,'Données projet'!$A$149:$I$169,9,0)</f>
        <v>#N/A</v>
      </c>
      <c r="CS98" s="12">
        <f t="array" ref="CS98">INDEX(CR:CR,MIN(IF(ISNUMBER(CR98:CR294),ROW(CR98:CR294),"")))</f>
        <v>5.2583333333333373</v>
      </c>
      <c r="CT98" s="12">
        <f>IF('Données projet'!$A$150&gt;35,CT97+CS98-DB97,IF(A98&lt;'Données projet'!$A$150,$CQ$205^A98,IF(A98='Données projet'!$A$150,'Données projet'!$B$150,CT97+CS98-DB97)))</f>
        <v>192.70256410256385</v>
      </c>
      <c r="CU98" s="17">
        <f>CT98*VLOOKUP('Données projet'!$B$13,Paramètres!$A$1:$I$89,3,0)*VLOOKUP('Données projet'!$B$13,Paramètres!$A$1:$I$89,5,0)</f>
        <v>195.40039999999976</v>
      </c>
      <c r="CV98" s="13">
        <f t="shared" si="190"/>
        <v>48.73195012899663</v>
      </c>
      <c r="CW98" s="20">
        <f t="shared" si="132"/>
        <v>425.19717647466877</v>
      </c>
      <c r="CX98" s="59">
        <f t="shared" si="133"/>
        <v>718.53050980800208</v>
      </c>
      <c r="CY98" s="59">
        <f ca="1">AVERAGE(OFFSET($CX$3,0,0,'Données projet'!$E$13+1,1))-AVERAGE(OFFSET($H$3,0,0,'Données projet'!$E$13+1,1))</f>
        <v>250.31277422753283</v>
      </c>
      <c r="CZ98" s="59">
        <f t="shared" si="191"/>
        <v>159.20429420478047</v>
      </c>
      <c r="DA98" s="15">
        <f>IF(ISNA(VLOOKUP(A98,'Données projet'!$A$149:$I$169,3,0)),0,VLOOKUP(A98,'Données projet'!$A$149:$I$169,3,0))</f>
        <v>0</v>
      </c>
      <c r="DB98" s="15">
        <f>IF(ISNA(VLOOKUP(A98,'Données projet'!$A$149:$I$169,4,0)),0,VLOOKUP(A98,'Données projet'!$A$149:$I$169,4,0))</f>
        <v>0</v>
      </c>
      <c r="DC98" s="16">
        <f>IF(ISNA(VLOOKUP(A98,'Données projet'!$A$149:$I$169,5,0)),0%,VLOOKUP(A98,'Données projet'!$A$149:$I$169,5,0)*VLOOKUP('Données projet'!$B$13,Paramètres!$A$1:$I$89,7,0))</f>
        <v>0</v>
      </c>
      <c r="DD98" s="16">
        <f>IF(ISNA(VLOOKUP(A98,'Données projet'!$A$149:$I$169,6,0)),0%,VLOOKUP(A98,'Données projet'!$A$149:$I$169,6,0)*VLOOKUP('Données projet'!$B$13,Paramètres!$A$1:$I$89,7,0))</f>
        <v>0</v>
      </c>
      <c r="DE98" s="16">
        <f>IF(ISNA(VLOOKUP(A98,'Données projet'!$A$149:$I$169,7,0)),0%,VLOOKUP(A98,'Données projet'!$A$149:$I$169,7,0))</f>
        <v>0</v>
      </c>
      <c r="DF98" s="21">
        <f>EXP(-LN(2)/35)*DF97+(1-EXP(-LN(2)/35))/(LN(2)/35)*DB98*DC98*VLOOKUP('Données projet'!$B$13,Paramètres!$A$1:$I$89,3,0)*0.475*44/12</f>
        <v>26.296060311303187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134"/>
        <v>26.296060311303187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projet'!$A$175:$I$195,2,0)</f>
        <v>#N/A</v>
      </c>
      <c r="DM98" s="12" t="e">
        <f>VLOOKUP(A98,'Données projet'!$A$175:$I$195,9,0)</f>
        <v>#N/A</v>
      </c>
      <c r="DN98" s="12">
        <f t="array" ref="DN98">INDEX(DM:DM,MIN(IF(ISNUMBER(DM98:DM294),ROW(DM98:DM294),"")))</f>
        <v>0</v>
      </c>
      <c r="DO98" s="12">
        <f>IF('Données projet'!$A$176&gt;35,DO97+DN98-DW97,IF(A98&lt;'Données projet'!$A$176,$DL$205^A98,IF(A98='Données projet'!$A$176,'Données projet'!$B$176,DO97+DN98-DW97)))</f>
        <v>-2.8421709430404007E-13</v>
      </c>
      <c r="DP98" s="17">
        <f>DO98*VLOOKUP('Données projet'!$B$14,Paramètres!$A$1:$I$89,3,0)*VLOOKUP('Données projet'!$B$14,Paramètres!$A$1:$I$89,5,0)</f>
        <v>-2.0838797354372215E-13</v>
      </c>
      <c r="DQ98" s="13" t="e">
        <f t="shared" si="192"/>
        <v>#NUM!</v>
      </c>
      <c r="DR98" s="20" t="e">
        <f t="shared" si="135"/>
        <v>#NUM!</v>
      </c>
      <c r="DS98" s="59" t="e">
        <f t="shared" si="136"/>
        <v>#NUM!</v>
      </c>
      <c r="DT98" s="59">
        <f ca="1">AVERAGE(OFFSET($DS$3,0,0,'Données projet'!$E$14+1,1))-AVERAGE(OFFSET($H$3,0,0,'Données projet'!$E$14+1,1))</f>
        <v>296.91321813251051</v>
      </c>
      <c r="DU98" s="59">
        <f t="shared" si="193"/>
        <v>291.0718079639509</v>
      </c>
      <c r="DV98" s="15">
        <f>IF(ISNA(VLOOKUP(A98,'Données projet'!$A$175:$I$195,3,0)),0,VLOOKUP(A98,'Données projet'!$A$175:$I$195,3,0))</f>
        <v>0</v>
      </c>
      <c r="DW98" s="15">
        <f>IF(ISNA(VLOOKUP(A98,'Données projet'!$A$175:$I$195,4,0)),0,VLOOKUP(A98,'Données projet'!$A$175:$I$195,4,0))</f>
        <v>0</v>
      </c>
      <c r="DX98" s="16">
        <f>IF(ISNA(VLOOKUP(A98,'Données projet'!$A$175:$I$195,5,0)),0%,VLOOKUP(A98,'Données projet'!$A$175:$I$195,5,0)*VLOOKUP('Données projet'!$B$14,Paramètres!$A$1:$I$89,7,0))</f>
        <v>0</v>
      </c>
      <c r="DY98" s="16">
        <f>IF(ISNA(VLOOKUP(A98,'Données projet'!$A$175:$I$195,6,0)),0%,VLOOKUP(A98,'Données projet'!$A$175:$I$195,6,0)*VLOOKUP('Données projet'!$B$14,Paramètres!$A$1:$I$89,7,0))</f>
        <v>0</v>
      </c>
      <c r="DZ98" s="16">
        <f>IF(ISNA(VLOOKUP(A98,'Données projet'!$A$175:$I$195,7,0)),0%,VLOOKUP(A98,'Données projet'!$A$175:$I$195,7,0))</f>
        <v>0</v>
      </c>
      <c r="EA98" s="21">
        <f>EXP(-LN(2)/35)*EA97+(1-EXP(-LN(2)/35))/(LN(2)/35)*DW98*DX98*VLOOKUP('Données projet'!$B$14,Paramètres!$A$1:$I$89,3,0)*0.475*44/12</f>
        <v>128.87907482894556</v>
      </c>
      <c r="EB98" s="21">
        <f>EXP(-LN(2)/25)*EB97+(1-EXP(-LN(2)/25))/(LN(2)/25)*Calculateur!DW98*Calculateur!DY98*VLOOKUP('Données projet'!$B$14,Paramètres!$A$1:$I$89,3,0)*0.475*44/12</f>
        <v>3.5328990445375115</v>
      </c>
      <c r="EC98" s="21">
        <f>EXP(-LN(2)/2)*EC97+(1-EXP(-LN(2)/2))/(LN(2)/2)*DW98*DZ98*VLOOKUP('Données projet'!$B$14,Paramètres!$A$1:$I$89,3,0)*0.475*44/12</f>
        <v>0</v>
      </c>
      <c r="ED98" s="22">
        <f t="shared" si="137"/>
        <v>132.41197387348308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projet'!$A$201:$I$221,2,0)</f>
        <v>#N/A</v>
      </c>
      <c r="EH98" s="12" t="e">
        <f>VLOOKUP(A98,'Données projet'!$A$201:$I$221,9,0)</f>
        <v>#N/A</v>
      </c>
      <c r="EI98" s="12">
        <f t="array" ref="EI98">INDEX(EH:EH,MIN(IF(ISNUMBER(EH98:EH294),ROW(EH98:EH294),"")))</f>
        <v>8.1391025641025667</v>
      </c>
      <c r="EJ98" s="12">
        <f>IF('Données projet'!$A$202&gt;35,EJ97+EI98-ER97,IF(A98&lt;'Données projet'!$A$202,$EG$205^A98,IF(A98='Données projet'!$A$202,'Données projet'!$B$202,EJ97+EI98-ER97)))</f>
        <v>365.31282051282085</v>
      </c>
      <c r="EK98" s="17">
        <f>EJ98*VLOOKUP('Données projet'!$B$15,Paramètres!$A$1:$I$89,3,0)*VLOOKUP('Données projet'!$B$15,Paramètres!$A$1:$I$89,5,0)</f>
        <v>170.96640000000016</v>
      </c>
      <c r="EL98" s="13">
        <f t="shared" si="194"/>
        <v>43.306393578795678</v>
      </c>
      <c r="EM98" s="20">
        <f t="shared" si="138"/>
        <v>373.19178214973607</v>
      </c>
      <c r="EN98" s="59">
        <f t="shared" si="139"/>
        <v>666.52511548306938</v>
      </c>
      <c r="EO98" s="59">
        <f ca="1">AVERAGE(OFFSET($EN$3,0,0,'Données projet'!$E$15+1,1))-AVERAGE(OFFSET($H$3,0,0,'Données projet'!$E$15+1,1))</f>
        <v>147.64256291235483</v>
      </c>
      <c r="EP98" s="59">
        <f t="shared" si="195"/>
        <v>70.859031694091868</v>
      </c>
      <c r="EQ98" s="15">
        <f>IF(ISNA(VLOOKUP(A98,'Données projet'!$A$201:$I$221,3,0)),0,VLOOKUP(A98,'Données projet'!$A$201:$I$221,3,0))</f>
        <v>0</v>
      </c>
      <c r="ER98" s="15">
        <f>IF(ISNA(VLOOKUP(A98,'Données projet'!$A$201:$I$221,4,0)),0,VLOOKUP(A98,'Données projet'!$A$201:$I$221,4,0))</f>
        <v>0</v>
      </c>
      <c r="ES98" s="16">
        <f>IF(ISNA(VLOOKUP(A98,'Données projet'!$A$201:$I$221,5,0)),0%,VLOOKUP(A98,'Données projet'!$A$201:$I$221,5,0)*VLOOKUP('Données projet'!$B$15,Paramètres!$A$1:$I$89,7,0))</f>
        <v>0</v>
      </c>
      <c r="ET98" s="16">
        <f>IF(ISNA(VLOOKUP(A98,'Données projet'!$A$201:$I$221,6,0)),0%,VLOOKUP(A98,'Données projet'!$A$201:$I$221,6,0)*VLOOKUP('Données projet'!$B$15,Paramètres!$A$1:$I$89,7,0))</f>
        <v>0</v>
      </c>
      <c r="EU98" s="16">
        <f>IF(ISNA(VLOOKUP(A98,'Données projet'!$A$201:$I$221,7,0)),0%,VLOOKUP(A98,'Données projet'!$A$201:$I$221,7,0))</f>
        <v>0</v>
      </c>
      <c r="EV98" s="21">
        <f>EXP(-LN(2)/35)*EV97+(1-EXP(-LN(2)/35))/(LN(2)/35)*ER98*ES98*VLOOKUP('Données projet'!$B$15,Paramètres!$A$1:$I$89,3,0)*0.475*44/12</f>
        <v>44.357579911972195</v>
      </c>
      <c r="EW98" s="21">
        <f>EXP(-LN(2)/25)*EW97+(1-EXP(-LN(2)/25))/(LN(2)/25)*Calculateur!ER98*Calculateur!ET98*VLOOKUP('Données projet'!$B$15,Paramètres!$A$1:$I$89,3,0)*0.475*44/12</f>
        <v>14.781549436872174</v>
      </c>
      <c r="EX98" s="21">
        <f>EXP(-LN(2)/2)*EX97+(1-EXP(-LN(2)/2))/(LN(2)/2)*ER98*EU98*VLOOKUP('Données projet'!$B$15,Paramètres!$A$1:$I$89,3,0)*0.475*44/12</f>
        <v>0.36852113037284473</v>
      </c>
      <c r="EY98" s="22">
        <f t="shared" si="140"/>
        <v>59.507650479217219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>
        <f>VLOOKUP(A98,'Données projet'!$A$227:$I$247,2,0)</f>
        <v>219</v>
      </c>
      <c r="FC98" s="12">
        <f>VLOOKUP(A98,'Données projet'!$A$227:$I$247,9,0)</f>
        <v>2.8</v>
      </c>
      <c r="FD98" s="12">
        <f t="array" ref="FD98">INDEX(FC:FC,MIN(IF(ISNUMBER(FC98:FC294),ROW(FC98:FC294),"")))</f>
        <v>2.8</v>
      </c>
      <c r="FE98" s="12">
        <f>IF('Données projet'!$A$228&gt;35,FE97+FD98-FM97,IF(A98&lt;'Données projet'!$A$228,$FB$205^A98,IF(A98='Données projet'!$A$228,'Données projet'!$B$228,FE97+FD98-FM97)))</f>
        <v>219.00000000000009</v>
      </c>
      <c r="FF98" s="17">
        <f>FE98*VLOOKUP('Données projet'!$B$16,Paramètres!$A$1:$I$89,3,0)*VLOOKUP('Données projet'!$B$16,Paramètres!$A$1:$I$89,5,0)</f>
        <v>228.89880000000014</v>
      </c>
      <c r="FG98" s="13">
        <f t="shared" si="196"/>
        <v>56.044509878204714</v>
      </c>
      <c r="FH98" s="20">
        <f t="shared" si="141"/>
        <v>496.2762647045401</v>
      </c>
      <c r="FI98" s="59">
        <f t="shared" si="142"/>
        <v>789.60959803787341</v>
      </c>
      <c r="FJ98" s="59">
        <f ca="1">AVERAGE(OFFSET($FI$3,0,0,'Données projet'!$E$16+1,1))-AVERAGE(OFFSET($H$3,0,0,'Données projet'!$E$16+1,1))</f>
        <v>259.03906550253788</v>
      </c>
      <c r="FK98" s="59">
        <f t="shared" si="197"/>
        <v>235.54542903570831</v>
      </c>
      <c r="FL98" s="15">
        <f>IF(ISNA(VLOOKUP(A98,'Données projet'!$A$227:$I$247,3,0)),0,VLOOKUP(A98,'Données projet'!$A$227:$I$247,3,0))</f>
        <v>16</v>
      </c>
      <c r="FM98" s="15" t="str">
        <f>IF(ISNA(VLOOKUP(A98,'Données projet'!$A$227:$I$247,4,0)),0,VLOOKUP(A98,'Données projet'!$A$227:$I$247,4,0))</f>
        <v>11</v>
      </c>
      <c r="FN98" s="16">
        <f>IF(ISNA(VLOOKUP(A98,'Données projet'!$A$227:$I$247,5,0)),0%,VLOOKUP(A98,'Données projet'!$A$227:$I$247,5,0)*VLOOKUP('Données projet'!$B$16,Paramètres!$A$1:$I$89,7,0))</f>
        <v>0.215</v>
      </c>
      <c r="FO98" s="16">
        <f>IF(ISNA(VLOOKUP(A98,'Données projet'!$A$227:$I$247,6,0)),0%,VLOOKUP(A98,'Données projet'!$A$227:$I$247,6,0)*VLOOKUP('Données projet'!$B$16,Paramètres!$A$1:$I$89,7,0))</f>
        <v>0.17200000000000001</v>
      </c>
      <c r="FP98" s="16">
        <f>IF(ISNA(VLOOKUP(A98,'Données projet'!$A$227:$I$247,7,0)),0%,VLOOKUP(A98,'Données projet'!$A$227:$I$247,7,0))</f>
        <v>0</v>
      </c>
      <c r="FQ98" s="21">
        <f>EXP(-LN(2)/35)*FQ97+(1-EXP(-LN(2)/35))/(LN(2)/35)*FM98*FN98*VLOOKUP('Données projet'!$B$16,Paramètres!$A$1:$I$89,3,0)*0.475*44/12</f>
        <v>16.710958717061267</v>
      </c>
      <c r="FR98" s="21">
        <f>EXP(-LN(2)/25)*FR97+(1-EXP(-LN(2)/25))/(LN(2)/25)*Calculateur!FM98*Calculateur!FO98*VLOOKUP('Données projet'!$B$16,Paramètres!$A$1:$I$89,3,0)*0.475*44/12</f>
        <v>16.721733380096424</v>
      </c>
      <c r="FS98" s="21">
        <f>EXP(-LN(2)/2)*FS97+(1-EXP(-LN(2)/2))/(LN(2)/2)*FM98*FP98*VLOOKUP('Données projet'!$B$16,Paramètres!$A$1:$I$89,3,0)*0.475*44/12</f>
        <v>0</v>
      </c>
      <c r="FT98" s="22">
        <f t="shared" si="143"/>
        <v>33.432692097157691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projet'!$A$253:$I$273,2,0)</f>
        <v>#N/A</v>
      </c>
      <c r="FX98" s="12" t="e">
        <f>VLOOKUP(A98,'Données projet'!$A$253:$I$273,9,0)</f>
        <v>#N/A</v>
      </c>
      <c r="FY98" s="12">
        <f t="array" ref="FY98">INDEX(FX:FX,MIN(IF(ISNUMBER(FX98:FX294),ROW(FX98:FX294),"")))</f>
        <v>0</v>
      </c>
      <c r="FZ98" s="12">
        <f>IF('Données projet'!$A$254&gt;35,FZ97+FY98-GH97,IF(A98&lt;'Données projet'!$A$254,$FW$205^A98,IF(A98='Données projet'!$A$254,'Données projet'!$B$254,FZ97+FY98-GH97)))</f>
        <v>-1.7053025658242404E-13</v>
      </c>
      <c r="GA98" s="17">
        <f>FZ98*VLOOKUP('Données projet'!$B$17,Paramètres!$A$1:$I$89,3,0)*VLOOKUP('Données projet'!$B$17,Paramètres!$A$1:$I$89,5,0)</f>
        <v>-1.4897523215040567E-13</v>
      </c>
      <c r="GB98" s="13" t="e">
        <f t="shared" si="198"/>
        <v>#NUM!</v>
      </c>
      <c r="GC98" s="20" t="e">
        <f t="shared" si="144"/>
        <v>#NUM!</v>
      </c>
      <c r="GD98" s="59" t="e">
        <f t="shared" si="145"/>
        <v>#NUM!</v>
      </c>
      <c r="GE98" s="59">
        <f ca="1">AVERAGE(OFFSET($GD$3,0,0,'Données projet'!$E$17+1,1))-AVERAGE(OFFSET($H$3,0,0,'Données projet'!$E$17+1,1))</f>
        <v>245.1983232777614</v>
      </c>
      <c r="GF98" s="59">
        <f t="shared" si="199"/>
        <v>242.34010522344573</v>
      </c>
      <c r="GG98" s="15">
        <f>IF(ISNA(VLOOKUP(A98,'Données projet'!$A$253:$I$273,3,0)),0,VLOOKUP(A98,'Données projet'!$A$253:$I$273,3,0))</f>
        <v>0</v>
      </c>
      <c r="GH98" s="15">
        <f>IF(ISNA(VLOOKUP(A98,'Données projet'!$A$253:$I$273,4,0)),0,VLOOKUP(A98,'Données projet'!$A$253:$I$273,4,0))</f>
        <v>0</v>
      </c>
      <c r="GI98" s="16">
        <f>IF(ISNA(VLOOKUP(A98,'Données projet'!$A$253:$I$273,5,0)),0%,VLOOKUP(A98,'Données projet'!$A$253:$I$273,5,0)*VLOOKUP('Données projet'!$B$17,Paramètres!$A$1:$I$89,7,0))</f>
        <v>0</v>
      </c>
      <c r="GJ98" s="16">
        <f>IF(ISNA(VLOOKUP(A98,'Données projet'!$A$253:$I$273,6,0)),0%,VLOOKUP(A98,'Données projet'!$A$253:$I$273,6,0)*VLOOKUP('Données projet'!$B$17,Paramètres!$A$1:$I$89,7,0))</f>
        <v>0</v>
      </c>
      <c r="GK98" s="16">
        <f>IF(ISNA(VLOOKUP(A98,'Données projet'!$A$253:$I$273,7,0)),0%,VLOOKUP(A98,'Données projet'!$A$253:$I$273,7,0))</f>
        <v>0</v>
      </c>
      <c r="GL98" s="21">
        <f>EXP(-LN(2)/35)*GL97+(1-EXP(-LN(2)/35))/(LN(2)/35)*GH98*GI98*VLOOKUP('Données projet'!$B$17,Paramètres!$A$1:$I$89,3,0)*0.475*44/12</f>
        <v>91.552407168451623</v>
      </c>
      <c r="GM98" s="21">
        <f>EXP(-LN(2)/25)*GM97+(1-EXP(-LN(2)/25))/(LN(2)/25)*Calculateur!GH98*Calculateur!GJ98*VLOOKUP('Données projet'!$B$17,Paramètres!$A$1:$I$89,3,0)*0.475*44/12</f>
        <v>14.367533491557168</v>
      </c>
      <c r="GN98" s="21">
        <f>EXP(-LN(2)/2)*GN97+(1-EXP(-LN(2)/2))/(LN(2)/2)*GH98*GK98*VLOOKUP('Données projet'!$B$17,Paramètres!$A$1:$I$89,3,0)*0.475*44/12</f>
        <v>0</v>
      </c>
      <c r="GO98" s="21">
        <f t="shared" si="146"/>
        <v>105.91994066000879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projet'!$A$279:$I$299,2,0)</f>
        <v>#N/A</v>
      </c>
      <c r="GS98" s="12" t="e">
        <f>VLOOKUP(A98,'Données projet'!$A$279:$I$299,9,0)</f>
        <v>#N/A</v>
      </c>
      <c r="GT98" s="12">
        <f t="array" ref="GT98">INDEX(GS:GS,MIN(IF(ISNUMBER(GS98:GS294),ROW(GS98:GS294),"")))</f>
        <v>0</v>
      </c>
      <c r="GU98" s="12">
        <f>IF('Données projet'!$A$280&gt;35,GU97+GT98-HC97,IF(A98&lt;'Données projet'!$A$280,$GR$205^A98,IF(A98='Données projet'!$A$280,'Données projet'!$B$280,GU97+GT98-HC97)))</f>
        <v>-1.1368683772161603E-13</v>
      </c>
      <c r="GV98" s="17">
        <f>GU98*VLOOKUP('Données projet'!$B$18,Paramètres!$A$1:$I$89,3,0)*VLOOKUP('Données projet'!$B$18,Paramètres!$A$1:$I$89,5,0)</f>
        <v>-4.5815795601811263E-14</v>
      </c>
      <c r="GW98" s="13" t="e">
        <f t="shared" si="200"/>
        <v>#NUM!</v>
      </c>
      <c r="GX98" s="20" t="e">
        <f t="shared" si="147"/>
        <v>#NUM!</v>
      </c>
      <c r="GY98" s="59" t="e">
        <f t="shared" si="148"/>
        <v>#NUM!</v>
      </c>
      <c r="GZ98" s="59">
        <f ca="1">AVERAGE(OFFSET($GY$3,0,0,'Données projet'!$E$18+1,1))-AVERAGE(OFFSET($H$3,0,0,'Données projet'!$E$18+1,1))</f>
        <v>324.36162935850876</v>
      </c>
      <c r="HA98" s="59">
        <f t="shared" si="201"/>
        <v>265.23571072429735</v>
      </c>
      <c r="HB98" s="15">
        <f>IF(ISNA(VLOOKUP(A98,'Données projet'!$A$279:$I$299,3,0)),0,VLOOKUP(A98,'Données projet'!$A$279:$I$299,3,0))</f>
        <v>0</v>
      </c>
      <c r="HC98" s="15">
        <f>IF(ISNA(VLOOKUP(A98,'Données projet'!$A$279:$I$299,4,0)),0,VLOOKUP(A98,'Données projet'!$A$279:$I$299,4,0))</f>
        <v>0</v>
      </c>
      <c r="HD98" s="16">
        <f>IF(ISNA(VLOOKUP(A98,'Données projet'!$A$279:$I$299,5,0)),0%,VLOOKUP(A98,'Données projet'!$A$279:$I$299,5,0)*VLOOKUP('Données projet'!$B$18,Paramètres!$A$1:$I$89,7,0))</f>
        <v>0</v>
      </c>
      <c r="HE98" s="16">
        <f>IF(ISNA(VLOOKUP(A98,'Données projet'!$A$279:$I$299,6,0)),0%,VLOOKUP(A98,'Données projet'!$A$279:$I$299,6,0)*VLOOKUP('Données projet'!$B$18,Paramètres!$A$1:$I$89,7,0))</f>
        <v>0</v>
      </c>
      <c r="HF98" s="16">
        <f>IF(ISNA(VLOOKUP($A98,'Données projet'!$A$279:$I$299,7,0)),0%,VLOOKUP($A98,'Données projet'!$A$279:$I$299,7,0))</f>
        <v>0</v>
      </c>
      <c r="HG98" s="21">
        <f>EXP(-LN(2)/35)*HG97+(1-EXP(-LN(2)/35))/(LN(2)/35)*HC98*HD98*VLOOKUP('Données projet'!$B$18,Paramètres!$A$1:$I$89,3,0)*0.475*44/12</f>
        <v>175.43834565610248</v>
      </c>
      <c r="HH98" s="21">
        <f>EXP(-LN(2)/25)*HH97+(1-EXP(-LN(2)/25))/(LN(2)/25)*Calculateur!HC98*Calculateur!HE98*VLOOKUP('Données projet'!$B$18,Paramètres!$A$1:$I$89,3,0)*0.475*44/12</f>
        <v>15.979267106640947</v>
      </c>
      <c r="HI98" s="21">
        <f>EXP(-LN(2)/2)*HI97+(1-EXP(-LN(2)/2))/(LN(2)/2)*HC98*HF98*VLOOKUP('Données projet'!$B$18,Paramètres!$A$1:$I$89,3,0)*0.475*44/12</f>
        <v>4.7217108950984743E-2</v>
      </c>
      <c r="HJ98" s="22">
        <f t="shared" si="149"/>
        <v>191.46482987169441</v>
      </c>
      <c r="HK98" s="74">
        <f>('Scénario référence'!$F$8+'Scénario référence'!$F$9+'Scénario référence'!$B$17+'Scénario référence'!$B$9+'Scénario référence'!$B$10)*70+IF((45+25*(1-EXP(-0.0175*$A98)))&lt;70,'Scénario référence'!$B$16*(45+25*(1-EXP(-0.0175*$A98))),70*'Scénario référence'!$B$16)+IF((32+38*(1-EXP(-0.0175*$A98)))&lt;70,'Scénario référence'!$B$18*(32+38*(1-EXP(-0.0175*$A98))),70*'Scénario référence'!$B$18)</f>
        <v>70</v>
      </c>
      <c r="HL98" s="12">
        <f>IF($A98&gt;30,10,('Scénario référence'!$B$16+'Scénario référence'!$B$17+'Scénario référence'!$B$18+'Scénario référence'!$B$9+'Scénario référence'!$B$10)*$A98*10/30+('Scénario référence'!$F$8+'Scénario référence'!$F$9)*10)</f>
        <v>10</v>
      </c>
      <c r="HM98" s="12" t="e">
        <f>VLOOKUP($A98,'Données projet'!$A$304:$I$324,2,0)</f>
        <v>#N/A</v>
      </c>
      <c r="HN98" s="12" t="e">
        <f>VLOOKUP($A98,'Données projet'!$A$304:$I$324,9,0)</f>
        <v>#N/A</v>
      </c>
      <c r="HO98" s="12">
        <f t="array" ref="HO98">INDEX(HN:HN,MIN(IF(ISNUMBER(HN98:HN294),ROW(HN98:HN294),"")))</f>
        <v>0</v>
      </c>
      <c r="HP98" s="12">
        <f>IF('Données projet'!$A$304&gt;35,HP97+HO98-HX97,IF($A98&lt;'Données projet'!$A$304,$CQ$205^$A98,IF($A98='Données projet'!$A$304,'Données projet'!$B$304,HP97+HO98-HX97)))</f>
        <v>0</v>
      </c>
      <c r="HQ98" s="17">
        <f>HP98*VLOOKUP('Données projet'!$B$19,Paramètres!$A$1:$I$89,3,0)*VLOOKUP('Données projet'!$B$19,Paramètres!$A$1:$I$89,5,0)</f>
        <v>0</v>
      </c>
      <c r="HR98" s="13" t="e">
        <f t="shared" si="202"/>
        <v>#NUM!</v>
      </c>
      <c r="HS98" s="14" t="e">
        <f t="shared" si="150"/>
        <v>#NUM!</v>
      </c>
      <c r="HT98" s="59" t="e">
        <f t="shared" si="151"/>
        <v>#NUM!</v>
      </c>
      <c r="HU98" s="59">
        <f ca="1">AVERAGE(OFFSET(HT$3,0,0,'Données projet'!$E$19+1,1))-AVERAGE(OFFSET($H$3,0,0,'Données projet'!$E$19+1,1))</f>
        <v>91.60721429656013</v>
      </c>
      <c r="HV98" s="59">
        <f t="shared" si="203"/>
        <v>258.94957804210856</v>
      </c>
      <c r="HW98" s="15">
        <f>IF(ISNA(VLOOKUP($A98,'Données projet'!$A$304:$I$324,3,0)),0,VLOOKUP($A98,'Données projet'!$A$304:$I$324,3,0))</f>
        <v>0</v>
      </c>
      <c r="HX98" s="15">
        <f>IF(ISNA(VLOOKUP($A98,'Données projet'!$A$304:$I$324,4,0)),0,VLOOKUP($A98,'Données projet'!$A$304:$I$324,4,0))</f>
        <v>0</v>
      </c>
      <c r="HY98" s="16">
        <f>IF(ISNA(VLOOKUP($A98,'Données projet'!$A$304:$I$324,5,0)),0%,VLOOKUP($A98,'Données projet'!$A$304:$I$324,5,0)*VLOOKUP('Données projet'!$B$19,Paramètres!$A$1:$I$89,7,0))</f>
        <v>0</v>
      </c>
      <c r="HZ98" s="16">
        <f>IF(ISNA(VLOOKUP($A98,'Données projet'!$A$304:$I$324,6,0)),0%,VLOOKUP($A98,'Données projet'!$A$304:$I$324,6,0)*VLOOKUP('Données projet'!$B$19,Paramètres!$A$1:$I$89,7,0))</f>
        <v>0</v>
      </c>
      <c r="IA98" s="16">
        <f>IF(ISNA(VLOOKUP($A98,'Données projet'!$A$304:$I$324,7,0)),0%,VLOOKUP($A98,'Données projet'!$A$304:$I$324,7,0))</f>
        <v>0</v>
      </c>
      <c r="IB98" s="21">
        <f>EXP(-LN(2)/35)*IB97+(1-EXP(-LN(2)/35))/(LN(2)/35)*HX98*HY98*VLOOKUP('Données projet'!$B$19,Paramètres!$A$1:$I$89,3,0)*0.475*44/12</f>
        <v>13.616930488818024</v>
      </c>
      <c r="IC98" s="21">
        <f>EXP(-LN(2)/25)*IC97+(1-EXP(-LN(2)/25))/(LN(2)/25)*Calculateur!HX98*Calculateur!HZ98*VLOOKUP('Données projet'!$B$19,Paramètres!$A$1:$I$89,3,0)*0.475*44/12</f>
        <v>1.6044765378753889</v>
      </c>
      <c r="ID98" s="21">
        <f>EXP(-LN(2)/2)*ID97+(1-EXP(-LN(2)/2))/(LN(2)/2)*HX98*IA98*VLOOKUP('Données projet'!$B$19,Paramètres!$A$1:$I$89,3,0)*0.475*44/12</f>
        <v>9.431218594605025E-11</v>
      </c>
      <c r="IE98" s="22">
        <f t="shared" si="152"/>
        <v>15.221407026787725</v>
      </c>
      <c r="IF98" s="74">
        <f>('Scénario référence'!$F$8+'Scénario référence'!$F$9+'Scénario référence'!$B$17+'Scénario référence'!$B$9+'Scénario référence'!$B$10)*70+IF((45+25*(1-EXP(-0.0175*$A98)))&lt;70,'Scénario référence'!$B$16*(45+25*(1-EXP(-0.0175*$A98))),70*'Scénario référence'!$B$16)+IF((32+38*(1-EXP(-0.0175*$A98)))&lt;70,'Scénario référence'!$B$18*(32+38*(1-EXP(-0.0175*$A98))),70*'Scénario référence'!$B$18)</f>
        <v>70</v>
      </c>
      <c r="IG98" s="12">
        <f>IF($A98&gt;30,10,('Scénario référence'!$B$16+'Scénario référence'!$B$17+'Scénario référence'!$B$18+'Scénario référence'!$B$9+'Scénario référence'!$B$10)*$A98*10/30+('Scénario référence'!$F$8+'Scénario référence'!$F$9)*10)</f>
        <v>10</v>
      </c>
      <c r="IH98" s="12" t="e">
        <f>VLOOKUP($A98,'Données projet'!$A$330:$I$350,2,0)</f>
        <v>#N/A</v>
      </c>
      <c r="II98" s="12" t="e">
        <f>VLOOKUP($A98,'Données projet'!$A$330:$I$350,9,0)</f>
        <v>#N/A</v>
      </c>
      <c r="IJ98" s="12">
        <f t="array" ref="IJ98">INDEX(II:II,MIN(IF(ISNUMBER(II98:II294),ROW(II98:II294),"")))</f>
        <v>0</v>
      </c>
      <c r="IK98" s="12">
        <f>IF('Données projet'!$A$330&gt;35,IK97+IJ98-IS97,IF($A98&lt;'Données projet'!$A$330,$CQ$205^$A98,IF($A98='Données projet'!$A$330,'Données projet'!$B$330,IK97+IJ98-IS97)))</f>
        <v>0</v>
      </c>
      <c r="IL98" s="17">
        <f>IK98*VLOOKUP('Données projet'!$B$20,Paramètres!$A$1:$I$89,3,0)*VLOOKUP('Données projet'!$B$20,Paramètres!$A$1:$I$89,5,0)</f>
        <v>0</v>
      </c>
      <c r="IM98" s="13" t="e">
        <f t="shared" si="204"/>
        <v>#NUM!</v>
      </c>
      <c r="IN98" s="20" t="e">
        <f t="shared" si="153"/>
        <v>#NUM!</v>
      </c>
      <c r="IO98" s="59" t="e">
        <f t="shared" si="154"/>
        <v>#NUM!</v>
      </c>
      <c r="IP98" s="59">
        <f ca="1">AVERAGE(OFFSET(IO$3,0,0,'Données projet'!$E$20+1,1))-AVERAGE(OFFSET($H$3,0,0,'Données projet'!$E$20+1,1))</f>
        <v>91.60721429656013</v>
      </c>
      <c r="IQ98" s="59">
        <f t="shared" si="205"/>
        <v>258.94957804210856</v>
      </c>
      <c r="IR98" s="15">
        <f>IF(ISNA(VLOOKUP($A98,'Données projet'!$A$330:$I$350,3,0)),0,VLOOKUP($A98,'Données projet'!$A$330:$I$350,3,0))</f>
        <v>0</v>
      </c>
      <c r="IS98" s="15">
        <f>IF(ISNA(VLOOKUP($A98,'Données projet'!$A$330:$I$350,4,0)),0,VLOOKUP($A98,'Données projet'!$A$330:$I$350,4,0))</f>
        <v>0</v>
      </c>
      <c r="IT98" s="16">
        <f>IF(ISNA(VLOOKUP($A98,'Données projet'!$A$330:$I$350,5,0)),0%,VLOOKUP($A98,'Données projet'!$A$330:$I$350,5,0)*VLOOKUP('Données projet'!$B$20,Paramètres!$A$1:$I$89,7,0))</f>
        <v>0</v>
      </c>
      <c r="IU98" s="16">
        <f>IF(ISNA(VLOOKUP($A98,'Données projet'!$A$330:$I$350,6,0)),0%,VLOOKUP($A98,'Données projet'!$A$330:$I$350,6,0)*VLOOKUP('Données projet'!$B$20,Paramètres!$A$1:$I$89,7,0))</f>
        <v>0</v>
      </c>
      <c r="IV98" s="16">
        <f>IF(ISNA(VLOOKUP($A98,'Données projet'!$A$330:$I$350,7,0)),0%,VLOOKUP($A98,'Données projet'!$A$330:$I$350,7,0))</f>
        <v>0</v>
      </c>
      <c r="IW98" s="21">
        <f>EXP(-LN(2)/35)*IW97+(1-EXP(-LN(2)/35))/(LN(2)/35)*IS98*IT98*VLOOKUP('Données projet'!$B$20,Paramètres!$A$1:$I$89,3,0)*0.475*44/12</f>
        <v>13.616930488818024</v>
      </c>
      <c r="IX98" s="21">
        <f>EXP(-LN(2)/25)*IX97+(1-EXP(-LN(2)/25))/(LN(2)/25)*Calculateur!IS98*Calculateur!IU98*VLOOKUP('Données projet'!$B$20,Paramètres!$A$1:$I$89,3,0)*0.475*44/12</f>
        <v>1.6044765378753889</v>
      </c>
      <c r="IY98" s="21">
        <f>EXP(-LN(2)/2)*IY97+(1-EXP(-LN(2)/2))/(LN(2)/2)*IS98*IV98*VLOOKUP('Données projet'!$B$20,Paramètres!$A$1:$I$89,3,0)*0.475*44/12</f>
        <v>9.431218594605025E-11</v>
      </c>
      <c r="IZ98" s="22">
        <f t="shared" si="155"/>
        <v>15.221407026787725</v>
      </c>
      <c r="JA98" s="74">
        <f>('Scénario référence'!$F$8+'Scénario référence'!$F$9+'Scénario référence'!$B$17+'Scénario référence'!$B$9+'Scénario référence'!$B$10)*70+IF((45+25*(1-EXP(-0.0175*$A98)))&lt;70,'Scénario référence'!$B$16*(45+25*(1-EXP(-0.0175*$A98))),70*'Scénario référence'!$B$16)+IF((32+38*(1-EXP(-0.0175*$A98)))&lt;70,'Scénario référence'!$B$18*(32+38*(1-EXP(-0.0175*$A98))),70*'Scénario référence'!$B$18)</f>
        <v>70</v>
      </c>
      <c r="JB98" s="12">
        <f>IF($A98&gt;30,10,('Scénario référence'!$B$16+'Scénario référence'!$B$17+'Scénario référence'!$B$18+'Scénario référence'!$B$9+'Scénario référence'!$B$10)*$A98*10/30+('Scénario référence'!$F$8+'Scénario référence'!$F$9)*10)</f>
        <v>10</v>
      </c>
      <c r="JC98" s="12" t="e">
        <f>VLOOKUP($A98,'Données projet'!$A$356:$I$376,2,0)</f>
        <v>#N/A</v>
      </c>
      <c r="JD98" s="12" t="e">
        <f>VLOOKUP($A98,'Données projet'!$A$356:$I$376,9,0)</f>
        <v>#N/A</v>
      </c>
      <c r="JE98" s="12">
        <f t="array" ref="JE98">INDEX(JD:JD,MIN(IF(ISNUMBER(JD98:JD294),ROW(JD98:JD294),"")))</f>
        <v>4.9000000000000004</v>
      </c>
      <c r="JF98" s="12">
        <f>IF('Données projet'!$A$356&gt;35,JF97+JE98-JN97,IF($A98&lt;'Données projet'!$A$356,$CQ$205^$A98,IF($A98='Données projet'!$A$356,'Données projet'!$B$356,JF97+JE98-JN97)))</f>
        <v>375.4999999999996</v>
      </c>
      <c r="JG98" s="17">
        <f>JF98*VLOOKUP('Données projet'!$B$21,Paramètres!$A$1:$I$89,3,0)*VLOOKUP('Données projet'!$B$21,Paramètres!$A$1:$I$89,5,0)</f>
        <v>304.6055999999997</v>
      </c>
      <c r="JH98" s="13">
        <f t="shared" si="206"/>
        <v>72.141116356865567</v>
      </c>
      <c r="JI98" s="20">
        <f t="shared" si="156"/>
        <v>656.16719765487358</v>
      </c>
      <c r="JJ98" s="59">
        <f t="shared" si="157"/>
        <v>949.50053098820695</v>
      </c>
      <c r="JK98" s="59">
        <f ca="1">AVERAGE(OFFSET($JJ$3,0,0,'Données projet'!$E$22+1,1))-AVERAGE(OFFSET($H$3,0,0,'Données projet'!$E$22+1,1))</f>
        <v>353.35574633294613</v>
      </c>
      <c r="JL98" s="59">
        <f t="shared" si="207"/>
        <v>170.36796666474726</v>
      </c>
      <c r="JM98" s="15">
        <f>IF(ISNA(VLOOKUP($A98,'Données projet'!$A$356:$I$376,3,0)),0,VLOOKUP($A98,'Données projet'!$A$356:$I$376,3,0))</f>
        <v>0</v>
      </c>
      <c r="JN98" s="15">
        <f>IF(ISNA(VLOOKUP($A98,'Données projet'!$A$356:$I$376,4,0)),0,VLOOKUP($A98,'Données projet'!$A$356:$I$376,4,0))</f>
        <v>0</v>
      </c>
      <c r="JO98" s="16">
        <f>IF(ISNA(VLOOKUP($A98,'Données projet'!$A$356:$I$376,5,0)),0%,VLOOKUP($A98,'Données projet'!$A$356:$I$376,5,0)*VLOOKUP('Données projet'!$B$21,Paramètres!$A$1:$I$89,7,0))</f>
        <v>0</v>
      </c>
      <c r="JP98" s="16">
        <f>IF(ISNA(VLOOKUP($A98,'Données projet'!$A$356:$I$376,6,0)),0%,VLOOKUP($A98,'Données projet'!$A$356:$I$376,6,0)*VLOOKUP('Données projet'!$B$21,Paramètres!$A$1:$I$89,7,0))</f>
        <v>0</v>
      </c>
      <c r="JQ98" s="16">
        <f>IF(ISNA(VLOOKUP($A98,'Données projet'!$A$356:$I$376,7,0)),0%,VLOOKUP($A98,'Données projet'!$A$356:$I$376,7,0))</f>
        <v>0</v>
      </c>
      <c r="JR98" s="21">
        <f>EXP(-LN(2)/35)*JR97+(1-EXP(-LN(2)/35))/(LN(2)/35)*JN98*JO98*VLOOKUP('Données projet'!$B$21,Paramètres!$A$1:$I$89,3,0)*0.475*44/12</f>
        <v>2.4368486085326544</v>
      </c>
      <c r="JS98" s="21">
        <f>EXP(-LN(2)/25)*JS97+(1-EXP(-LN(2)/25))/(LN(2)/25)*Calculateur!JN98*Calculateur!JP98*VLOOKUP('Données projet'!$B$21,Paramètres!$A$1:$I$89,3,0)*0.475*44/12</f>
        <v>15.106137414706648</v>
      </c>
      <c r="JT98" s="21">
        <f>EXP(-LN(2)/2)*JT97+(1-EXP(-LN(2)/2))/(LN(2)/2)*JN98*JQ98*VLOOKUP('Données projet'!$B$21,Paramètres!$A$1:$I$89,3,0)*0.475*44/12</f>
        <v>1.0985068121318571</v>
      </c>
      <c r="JU98" s="18">
        <f t="shared" si="158"/>
        <v>18.641492835371157</v>
      </c>
      <c r="JV98" s="74">
        <f>('Scénario référence'!$F$8+'Scénario référence'!$F$9+'Scénario référence'!$B$17+'Scénario référence'!$B$9+'Scénario référence'!$B$10)*70+IF((45+25*(1-EXP(-0.0175*$A98)))&lt;70,'Scénario référence'!$B$16*(45+25*(1-EXP(-0.0175*$A98))),70*'Scénario référence'!$B$16)+IF((32+38*(1-EXP(-0.0175*$A98)))&lt;70,'Scénario référence'!$B$18*(32+38*(1-EXP(-0.0175*$A98))),70*'Scénario référence'!$B$18)</f>
        <v>70</v>
      </c>
      <c r="JW98" s="12">
        <f>IF($A98&gt;30,10,('Scénario référence'!$B$16+'Scénario référence'!$B$17+'Scénario référence'!$B$18+'Scénario référence'!$B$9+'Scénario référence'!$B$10)*$A98*10/30+('Scénario référence'!$F$8+'Scénario référence'!$F$9)*10)</f>
        <v>10</v>
      </c>
      <c r="JX98" s="12" t="e">
        <f>VLOOKUP($A98,'Données projet'!$A$382:$I$402,2,0)</f>
        <v>#N/A</v>
      </c>
      <c r="JY98" s="12" t="e">
        <f>VLOOKUP($A98,'Données projet'!$A$382:$I$402,9,0)</f>
        <v>#N/A</v>
      </c>
      <c r="JZ98" s="12">
        <f t="array" ref="JZ98">INDEX(JY:JY,MIN(IF(ISNUMBER(JY98:JY294),ROW(JY98:JY294),"")))</f>
        <v>7.1782051282051267</v>
      </c>
      <c r="KA98" s="12">
        <f>IF('Données projet'!$A$382&gt;35,KA97+JZ98-KI97,IF($A98&lt;'Données projet'!$A$382,$CQ$205^$A98,IF($A98='Données projet'!$A$382,'Données projet'!$B$382,KA97+JZ98-KI97)))</f>
        <v>289.53717948717986</v>
      </c>
      <c r="KB98" s="17">
        <f>KA98*VLOOKUP('Données projet'!$B$22,Paramètres!$A$1:$I$89,3,0)*VLOOKUP('Données projet'!$B$22,Paramètres!$A$1:$I$89,5,0)</f>
        <v>194.22154000000026</v>
      </c>
      <c r="KC98" s="13">
        <f t="shared" si="208"/>
        <v>48.472078368078407</v>
      </c>
      <c r="KD98" s="20">
        <f t="shared" si="159"/>
        <v>422.69138532440365</v>
      </c>
      <c r="KE98" s="59">
        <f t="shared" si="160"/>
        <v>716.02471865773691</v>
      </c>
      <c r="KF98" s="59">
        <f ca="1">AVERAGE(OFFSET($KE$3,0,0,'Données projet'!$E$22+1,1))-AVERAGE(OFFSET($H$3,0,0,'Données projet'!$E$22+1,1))</f>
        <v>193.91714772848269</v>
      </c>
      <c r="KG98" s="59">
        <f t="shared" si="209"/>
        <v>159.20429420478047</v>
      </c>
      <c r="KH98" s="15">
        <f>IF(ISNA(VLOOKUP($A98,'Données projet'!$A$382:$I$402,3,0)),0,VLOOKUP($A98,'Données projet'!$A$382:$I$402,3,0))</f>
        <v>0</v>
      </c>
      <c r="KI98" s="15">
        <f>IF(ISNA(VLOOKUP($A98,'Données projet'!$A$382:$I$402,4,0)),0,VLOOKUP($A98,'Données projet'!$A$382:$I$402,4,0))</f>
        <v>0</v>
      </c>
      <c r="KJ98" s="16">
        <f>IF(ISNA(VLOOKUP($A98,'Données projet'!$A$382:$I$402,5,0)),0%,VLOOKUP($A98,'Données projet'!$A$382:$I$402,5,0)*VLOOKUP('Données projet'!$B$22,Paramètres!$A$1:$I$89,7,0))</f>
        <v>0</v>
      </c>
      <c r="KK98" s="16">
        <f>IF(ISNA(VLOOKUP($A98,'Données projet'!$A$382:$I$402,6,0)),0%,VLOOKUP($A98,'Données projet'!$A$382:$I$402,6,0)*VLOOKUP('Données projet'!$B$22,Paramètres!$A$1:$I$89,7,0))</f>
        <v>0</v>
      </c>
      <c r="KL98" s="16">
        <f>IF(ISNA(VLOOKUP($A98,'Données projet'!$A$382:$I$402,7,0)),0%,VLOOKUP($A98,'Données projet'!$A$382:$I$402,7,0))</f>
        <v>0</v>
      </c>
      <c r="KM98" s="21">
        <f>EXP(-LN(2)/35)*KM97+(1-EXP(-LN(2)/35))/(LN(2)/35)*KI98*KJ98*VLOOKUP('Données projet'!$B$22,Paramètres!$A$1:$I$89,3,0)*0.475*44/12</f>
        <v>34.310132375757476</v>
      </c>
      <c r="KN98" s="21">
        <f>EXP(-LN(2)/25)*KN97+(1-EXP(-LN(2)/25))/(LN(2)/25)*Calculateur!KI98*Calculateur!KK98*VLOOKUP('Données projet'!$B$22,Paramètres!$A$1:$I$89,3,0)*0.475*44/12</f>
        <v>0</v>
      </c>
      <c r="KO98" s="21">
        <f>EXP(-LN(2)/2)*KO97+(1-EXP(-LN(2)/2))/(LN(2)/2)*KI98*KL98*VLOOKUP('Données projet'!$B$22,Paramètres!$A$1:$I$89,3,0)*0.475*44/12</f>
        <v>0</v>
      </c>
      <c r="KP98" s="22">
        <f t="shared" si="161"/>
        <v>34.310132375757476</v>
      </c>
      <c r="KQ98" s="74">
        <f>('Scénario référence'!$F$8+'Scénario référence'!$F$9+'Scénario référence'!$B$17+'Scénario référence'!$B$9+'Scénario référence'!$B$10)*70+IF((45+25*(1-EXP(-0.0175*$A98)))&lt;70,'Scénario référence'!$B$16*(45+25*(1-EXP(-0.0175*$A98))),70*'Scénario référence'!$B$16)+IF((32+38*(1-EXP(-0.0175*$A98)))&lt;70,'Scénario référence'!$B$18*(32+38*(1-EXP(-0.0175*$A98))),70*'Scénario référence'!$B$18)</f>
        <v>70</v>
      </c>
      <c r="KR98" s="12">
        <f>IF($A98&gt;30,10,('Scénario référence'!$B$16+'Scénario référence'!$B$17+'Scénario référence'!$B$18+'Scénario référence'!$B$9+'Scénario référence'!$B$10)*$A98*10/30+('Scénario référence'!$F$8+'Scénario référence'!$F$9)*10)</f>
        <v>10</v>
      </c>
      <c r="KS98" s="12" t="e">
        <f>VLOOKUP($A98,'Données projet'!$A$408:$I$428,2,0)</f>
        <v>#N/A</v>
      </c>
      <c r="KT98" s="12" t="e">
        <f>VLOOKUP($A98,'Données projet'!$A$408:$I$428,9,0)</f>
        <v>#N/A</v>
      </c>
      <c r="KU98" s="12">
        <f t="array" ref="KU98">INDEX(KT:KT,MIN(IF(ISNUMBER(KT98:KT294),ROW(KT98:KT294),"")))</f>
        <v>0</v>
      </c>
      <c r="KV98" s="12">
        <f>IF('Données projet'!$A$408&gt;35,KV97+KU98-LD97,IF($A98&lt;'Données projet'!$A$408,$CQ$205^$A98,IF($A98='Données projet'!$A$408,'Données projet'!$B$408,KV97+KU98-LD97)))</f>
        <v>-1.1368683772161603E-13</v>
      </c>
      <c r="KW98" s="17">
        <f>KV98*VLOOKUP('Données projet'!$B$23,Paramètres!$A$1:$I$89,3,0)*VLOOKUP('Données projet'!$B$23,Paramètres!$A$1:$I$89,5,0)</f>
        <v>-9.9316821433603781E-14</v>
      </c>
      <c r="KX98" s="13" t="e">
        <f t="shared" si="210"/>
        <v>#NUM!</v>
      </c>
      <c r="KY98" s="14" t="e">
        <f t="shared" si="162"/>
        <v>#NUM!</v>
      </c>
      <c r="KZ98" s="59" t="e">
        <f t="shared" si="163"/>
        <v>#NUM!</v>
      </c>
      <c r="LA98" s="59">
        <f ca="1">AVERAGE(OFFSET($KZ$3,0,0,'Données projet'!$E$23+1,1))-AVERAGE(OFFSET($H$3,0,0,'Données projet'!$E$23+1,1))</f>
        <v>248.33596943633819</v>
      </c>
      <c r="LB98" s="59">
        <f t="shared" si="211"/>
        <v>242.34010522344573</v>
      </c>
      <c r="LC98" s="15">
        <f>IF(ISNA(VLOOKUP($A98,'Données projet'!$A$408:$I$428,3,0)),0,VLOOKUP($A98,'Données projet'!$A$408:$I$428,3,0))</f>
        <v>0</v>
      </c>
      <c r="LD98" s="15">
        <f>IF(ISNA(VLOOKUP($A98,'Données projet'!$A$408:$I$428,4,0)),0,VLOOKUP($A98,'Données projet'!$A$408:$I$428,4,0))</f>
        <v>0</v>
      </c>
      <c r="LE98" s="16">
        <f>IF(ISNA(VLOOKUP($A98,'Données projet'!$A$408:$I$428,5,0)),0%,VLOOKUP($A98,'Données projet'!$A$408:$I$428,5,0)*VLOOKUP('Données projet'!$B$23,Paramètres!$A$1:$I$89,7,0))</f>
        <v>0</v>
      </c>
      <c r="LF98" s="16">
        <f>IF(ISNA(VLOOKUP($A98,'Données projet'!$A$408:$I$428,6,0)),0%,VLOOKUP($A98,'Données projet'!$A$408:$I$428,6,0)*VLOOKUP('Données projet'!$B$23,Paramètres!$A$1:$I$89,7,0))</f>
        <v>0</v>
      </c>
      <c r="LG98" s="16">
        <f>IF(ISNA(VLOOKUP($A98,'Données projet'!$A$408:$I$428,7,0)),0%,VLOOKUP($A98,'Données projet'!$A$408:$I$428,7,0))</f>
        <v>0</v>
      </c>
      <c r="LH98" s="21">
        <f>EXP(-LN(2)/35)*LH97+(1-EXP(-LN(2)/35))/(LN(2)/35)*LD98*LE98*VLOOKUP('Données projet'!$B$23,Paramètres!$A$1:$I$89,3,0)*0.475*44/12</f>
        <v>91.552407168451623</v>
      </c>
      <c r="LI98" s="21">
        <f>EXP(-LN(2)/25)*LI97+(1-EXP(-LN(2)/25))/(LN(2)/25)*Calculateur!LD98*Calculateur!LF98*VLOOKUP('Données projet'!$B$23,Paramètres!$A$1:$I$89,3,0)*0.475*44/12</f>
        <v>14.367533491557168</v>
      </c>
      <c r="LJ98" s="21">
        <f>EXP(-LN(2)/2)*LJ97+(1-EXP(-LN(2)/2))/(LN(2)/2)*LD98*LG98*VLOOKUP('Données projet'!$B$23,Paramètres!$A$1:$I$89,3,0)*0.475*44/12</f>
        <v>0</v>
      </c>
      <c r="LK98" s="22">
        <f t="shared" si="164"/>
        <v>105.91994066000879</v>
      </c>
      <c r="LL98" s="74">
        <f>('Scénario référence'!$F$8+'Scénario référence'!$F$9+'Scénario référence'!$B$17+'Scénario référence'!$B$9+'Scénario référence'!$B$10)*70+IF((45+25*(1-EXP(-0.0175*$A98)))&lt;70,'Scénario référence'!$B$16*(45+25*(1-EXP(-0.0175*$A98))),70*'Scénario référence'!$B$16)+IF((32+38*(1-EXP(-0.0175*$A98)))&lt;70,'Scénario référence'!$B$18*(32+38*(1-EXP(-0.0175*$A98))),70*'Scénario référence'!$B$18)</f>
        <v>70</v>
      </c>
      <c r="LM98" s="12">
        <f>IF($A98&gt;30,10,('Scénario référence'!$B$16+'Scénario référence'!$B$17+'Scénario référence'!$B$18+'Scénario référence'!$B$9+'Scénario référence'!$B$10)*$A98*10/30+('Scénario référence'!$F$8+'Scénario référence'!$F$9)*10)</f>
        <v>10</v>
      </c>
      <c r="LN98" s="12" t="e">
        <f>VLOOKUP($A98,'Données projet'!$A$434:$I$454,2,0)</f>
        <v>#N/A</v>
      </c>
      <c r="LO98" s="12" t="e">
        <f>VLOOKUP($A98,'Données projet'!$A$434:$I$454,9,0)</f>
        <v>#N/A</v>
      </c>
      <c r="LP98" s="12">
        <f t="array" ref="LP98">INDEX(LO:LO,MIN(IF(ISNUMBER(LO98:LO294),ROW(LO98:LO294),"")))</f>
        <v>5.2583333333333373</v>
      </c>
      <c r="LQ98" s="12">
        <f>IF('Données projet'!$A$434&gt;35,LQ97+LP98-LY97,IF($A98&lt;'Données projet'!$A$434,$CQ$205^$A98,IF($A98='Données projet'!$A$434,'Données projet'!$B$434,LQ97+LP98-LY97)))</f>
        <v>192.70256410256385</v>
      </c>
      <c r="LR98" s="17">
        <f>LQ98*VLOOKUP('Données projet'!$B$24,Paramètres!$A$1:$I$89,3,0)*VLOOKUP('Données projet'!$B$24,Paramètres!$A$1:$I$89,5,0)</f>
        <v>195.40039999999976</v>
      </c>
      <c r="LS98" s="13">
        <f t="shared" si="212"/>
        <v>48.73195012899663</v>
      </c>
      <c r="LT98" s="14">
        <f t="shared" si="165"/>
        <v>425.19717647466877</v>
      </c>
      <c r="LU98" s="59">
        <f t="shared" si="166"/>
        <v>718.53050980800208</v>
      </c>
      <c r="LV98" s="59">
        <f ca="1">AVERAGE(OFFSET($LU$3,0,0,'Données projet'!$E$24+1,1))-AVERAGE(OFFSET($H$3,0,0,'Données projet'!$E$24+1,1))</f>
        <v>260.52627655062872</v>
      </c>
      <c r="LW98" s="59">
        <f t="shared" si="213"/>
        <v>159.20429420478047</v>
      </c>
      <c r="LX98" s="15">
        <f>IF(ISNA(VLOOKUP($A98,'Données projet'!$A$434:$I$454,3,0)),0,VLOOKUP($A98,'Données projet'!$A$434:$I$454,3,0))</f>
        <v>0</v>
      </c>
      <c r="LY98" s="15">
        <f>IF(ISNA(VLOOKUP($A98,'Données projet'!$A$434:$I$454,4,0)),0,VLOOKUP($A98,'Données projet'!$A$434:$I$454,4,0))</f>
        <v>0</v>
      </c>
      <c r="LZ98" s="16">
        <f>IF(ISNA(VLOOKUP($A98,'Données projet'!$A$434:$I$454,5,0)),0%,VLOOKUP($A98,'Données projet'!$A$434:$I$454,5,0)*VLOOKUP('Données projet'!$B$24,Paramètres!$A$1:$I$89,7,0))</f>
        <v>0</v>
      </c>
      <c r="MA98" s="16">
        <f>IF(ISNA(VLOOKUP($A98,'Données projet'!$A$434:$I$454,6,0)),0%,VLOOKUP($A98,'Données projet'!$A$434:$I$454,6,0)*VLOOKUP('Données projet'!$B$24,Paramètres!$A$1:$I$89,7,0))</f>
        <v>0</v>
      </c>
      <c r="MB98" s="16">
        <f>IF(ISNA(VLOOKUP($A98,'Données projet'!$A$434:$I$454,7,0)),0%,VLOOKUP($A98,'Données projet'!$A$434:$I$454,7,0))</f>
        <v>0</v>
      </c>
      <c r="MC98" s="21">
        <f>EXP(-LN(2)/35)*MC97+(1-EXP(-LN(2)/35))/(LN(2)/35)*LY98*LZ98*VLOOKUP('Données projet'!$B$24,Paramètres!$A$1:$I$89,3,0)*0.475*44/12</f>
        <v>26.296060311303187</v>
      </c>
      <c r="MD98" s="21">
        <f>EXP(-LN(2)/25)*MD97+(1-EXP(-LN(2)/25))/(LN(2)/25)*Calculateur!LY98*Calculateur!MA98*VLOOKUP('Données projet'!$B$24,Paramètres!$A$1:$I$89,3,0)*0.475*44/12</f>
        <v>0</v>
      </c>
      <c r="ME98" s="21">
        <f>EXP(-LN(2)/2)*ME97+(1-EXP(-LN(2)/2))/(LN(2)/2)*LY98*MB98*VLOOKUP('Données projet'!$B$24,Paramètres!$A$1:$I$89,3,0)*0.475*44/12</f>
        <v>0</v>
      </c>
      <c r="MF98" s="22">
        <f t="shared" si="167"/>
        <v>26.296060311303187</v>
      </c>
      <c r="MG98" s="74">
        <f>('Scénario référence'!$F$8+'Scénario référence'!$F$9+'Scénario référence'!$B$17+'Scénario référence'!$B$9+'Scénario référence'!$B$10)*70+IF((45+25*(1-EXP(-0.0175*$A98)))&lt;70,'Scénario référence'!$B$16*(45+25*(1-EXP(-0.0175*$A98))),70*'Scénario référence'!$B$16)+IF((32+38*(1-EXP(-0.0175*$A98)))&lt;70,'Scénario référence'!$B$18*(32+38*(1-EXP(-0.0175*$A98))),70*'Scénario référence'!$B$18)</f>
        <v>70</v>
      </c>
      <c r="MH98" s="12">
        <f>IF($A98&gt;30,10,('Scénario référence'!$B$16+'Scénario référence'!$B$17+'Scénario référence'!$B$18+'Scénario référence'!$B$9+'Scénario référence'!$B$10)*$A98*10/30+('Scénario référence'!$F$8+'Scénario référence'!$F$9)*10)</f>
        <v>10</v>
      </c>
      <c r="MI98" s="12" t="e">
        <f>VLOOKUP($A98,'Données projet'!$A$460:$I$480,2,0)</f>
        <v>#N/A</v>
      </c>
      <c r="MJ98" s="12" t="e">
        <f>VLOOKUP($A98,'Données projet'!$A$460:$I$480,9,0)</f>
        <v>#N/A</v>
      </c>
      <c r="MK98" s="12">
        <f t="array" ref="MK98">INDEX(MJ:MJ,MIN(IF(ISNUMBER(MJ98:MJ294),ROW(MJ98:MJ294),"")))</f>
        <v>0</v>
      </c>
      <c r="ML98" s="12">
        <f>IF('Données projet'!$A$460&gt;35,ML97+MK98-MT97,IF($A98&lt;'Données projet'!$A$460,$CQ$205^$A98,IF($A98='Données projet'!$A$460,'Données projet'!$B$460,ML97+MK98-MT97)))</f>
        <v>0</v>
      </c>
      <c r="MM98" s="17" t="e">
        <f>ML98*VLOOKUP('Données projet'!$B$25,Paramètres!$A$1:$I$89,3,0)*VLOOKUP('Données projet'!$B$25,Paramètres!$A$1:$I$89,5,0)</f>
        <v>#N/A</v>
      </c>
      <c r="MN98" s="13" t="e">
        <f t="shared" si="214"/>
        <v>#N/A</v>
      </c>
      <c r="MO98" s="14" t="e">
        <f t="shared" si="168"/>
        <v>#N/A</v>
      </c>
      <c r="MP98" s="59" t="e">
        <f t="shared" si="169"/>
        <v>#N/A</v>
      </c>
      <c r="MQ98" s="20" t="e">
        <f ca="1">AVERAGE(OFFSET($MP$3,0,0,'Données projet'!$E$25+1,1))-AVERAGE(OFFSET($H$3,0,0,'Données projet'!$E$25+1,1))</f>
        <v>#N/A</v>
      </c>
      <c r="MR98" s="59" t="e">
        <f t="shared" si="215"/>
        <v>#N/A</v>
      </c>
      <c r="MS98" s="15">
        <f>IF(ISNA(VLOOKUP($A98,'Données projet'!$A$460:$I$480,3,0)),0,VLOOKUP($A98,'Données projet'!$A$460:$I$480,3,0))</f>
        <v>0</v>
      </c>
      <c r="MT98" s="15">
        <f>IF(ISNA(VLOOKUP($A98,'Données projet'!$A$460:$I$480,4,0)),0,VLOOKUP($A98,'Données projet'!$A$460:$I$480,4,0))</f>
        <v>0</v>
      </c>
      <c r="MU98" s="16">
        <f>IF(ISNA(VLOOKUP($A98,'Données projet'!$A$460:$I$480,5,0)),0%,VLOOKUP($A98,'Données projet'!$A$460:$I$480,5,0)*VLOOKUP('Données projet'!$B$25,Paramètres!$A$1:$I$89,7,0))</f>
        <v>0</v>
      </c>
      <c r="MV98" s="16">
        <f>IF(ISNA(VLOOKUP($A98,'Données projet'!$A$460:$I$480,6,0)),0%,VLOOKUP($A98,'Données projet'!$A$460:$I$480,6,0)*VLOOKUP('Données projet'!$B$25,Paramètres!$A$1:$I$89,7,0))</f>
        <v>0</v>
      </c>
      <c r="MW98" s="16">
        <f>IF(ISNA(VLOOKUP($A98,'Données projet'!$A$460:$I$480,7,0)),0%,VLOOKUP($A98,'Données projet'!$A$460:$I$480,7,0))</f>
        <v>0</v>
      </c>
      <c r="MX98" s="21" t="e">
        <f>EXP(-LN(2)/35)*MX97+(1-EXP(-LN(2)/35))/(LN(2)/35)*MT98*MU98*VLOOKUP('Données projet'!$B$25,Paramètres!$A$1:$I$89,3,0)*0.475*44/12</f>
        <v>#N/A</v>
      </c>
      <c r="MY98" s="21" t="e">
        <f>EXP(-LN(2)/25)*MY97+(1-EXP(-LN(2)/25))/(LN(2)/25)*Calculateur!MT98*Calculateur!MV98*VLOOKUP('Données projet'!$B$25,Paramètres!$A$1:$I$89,3,0)*0.475*44/12</f>
        <v>#N/A</v>
      </c>
      <c r="MZ98" s="21" t="e">
        <f>EXP(-LN(2)/2)*MZ97+(1-EXP(-LN(2)/2))/(LN(2)/2)*MT98*MW98*VLOOKUP('Données projet'!$B$25,Paramètres!$A$1:$I$89,3,0)*0.475*44/12</f>
        <v>#N/A</v>
      </c>
      <c r="NA98" s="22" t="e">
        <f t="shared" si="170"/>
        <v>#N/A</v>
      </c>
      <c r="NB98" s="74">
        <f>('Scénario référence'!$F$8+'Scénario référence'!$F$9+'Scénario référence'!$B$17+'Scénario référence'!$B$9+'Scénario référence'!$B$10)*70+IF((45+25*(1-EXP(-0.0175*$A98)))&lt;70,'Scénario référence'!$B$16*(45+25*(1-EXP(-0.0175*$A98))),70*'Scénario référence'!$B$16)+IF((32+38*(1-EXP(-0.0175*$A98)))&lt;70,'Scénario référence'!$B$18*(32+38*(1-EXP(-0.0175*$A98))),70*'Scénario référence'!$B$18)</f>
        <v>70</v>
      </c>
      <c r="NC98" s="12">
        <f>IF($A98&gt;30,10,('Scénario référence'!$B$16+'Scénario référence'!$B$17+'Scénario référence'!$B$18+'Scénario référence'!$B$9+'Scénario référence'!$B$10)*$A98*10/30+('Scénario référence'!$F$8+'Scénario référence'!$F$9)*10)</f>
        <v>10</v>
      </c>
      <c r="ND98" s="12" t="e">
        <f>VLOOKUP($A98,'Données projet'!$A$486:$I$506,2,0)</f>
        <v>#N/A</v>
      </c>
      <c r="NE98" s="12" t="e">
        <f>VLOOKUP($A98,'Données projet'!$A$486:$I$506,9,0)</f>
        <v>#N/A</v>
      </c>
      <c r="NF98" s="12">
        <f t="array" ref="NF98">INDEX(NE:NE,MIN(IF(ISNUMBER(NE98:NE294),ROW(NE98:NE294),"")))</f>
        <v>0</v>
      </c>
      <c r="NG98" s="12">
        <f>IF('Données projet'!$A$486&gt;35,NG97+NF98-NO97,IF($A98&lt;'Données projet'!$A$486,$CQ$205^$A98,IF($A98='Données projet'!$A$486,'Données projet'!$B$486,NG97+NF98-NO97)))</f>
        <v>0</v>
      </c>
      <c r="NH98" s="17" t="e">
        <f>NG98*VLOOKUP('Données projet'!$B$26,Paramètres!$A$1:$I$89,3,0)*VLOOKUP('Données projet'!$B$26,Paramètres!$A$1:$I$89,5,0)</f>
        <v>#N/A</v>
      </c>
      <c r="NI98" s="13" t="e">
        <f t="shared" si="216"/>
        <v>#N/A</v>
      </c>
      <c r="NJ98" s="14" t="e">
        <f t="shared" si="171"/>
        <v>#N/A</v>
      </c>
      <c r="NK98" s="59" t="e">
        <f t="shared" si="172"/>
        <v>#N/A</v>
      </c>
      <c r="NL98" s="20" t="e">
        <f ca="1">AVERAGE(OFFSET($NK$3,0,0,'Données projet'!$E$26+1,1))-AVERAGE(OFFSET($H$3,0,0,'Données projet'!$E$26+1,1))</f>
        <v>#N/A</v>
      </c>
      <c r="NM98" s="59" t="e">
        <f t="shared" si="217"/>
        <v>#N/A</v>
      </c>
      <c r="NN98" s="15">
        <f>IF(ISNA(VLOOKUP($A98,'Données projet'!$A$486:$I$506,3,0)),0,VLOOKUP($A98,'Données projet'!$A$486:$I$506,3,0))</f>
        <v>0</v>
      </c>
      <c r="NO98" s="15">
        <f>IF(ISNA(VLOOKUP($A98,'Données projet'!$A$486:$I$506,4,0)),0,VLOOKUP($A98,'Données projet'!$A$486:$I$506,4,0))</f>
        <v>0</v>
      </c>
      <c r="NP98" s="16">
        <f>IF(ISNA(VLOOKUP($A98,'Données projet'!$A$486:$I$506,5,0)),0%,VLOOKUP($A98,'Données projet'!$A$486:$I$506,5,0)*VLOOKUP('Données projet'!$B$26,Paramètres!$A$1:$I$89,7,0))</f>
        <v>0</v>
      </c>
      <c r="NQ98" s="16">
        <f>IF(ISNA(VLOOKUP($A98,'Données projet'!$A$486:$I$506,6,0)),0%,VLOOKUP($A98,'Données projet'!$A$486:$I$506,6,0)*VLOOKUP('Données projet'!$B$26,Paramètres!$A$1:$I$89,7,0))</f>
        <v>0</v>
      </c>
      <c r="NR98" s="16">
        <f>IF(ISNA(VLOOKUP($A98,'Données projet'!$A$486:$I$506,7,0)),0%,VLOOKUP($A98,'Données projet'!$A$486:$I$506,7,0))</f>
        <v>0</v>
      </c>
      <c r="NS98" s="21" t="e">
        <f>EXP(-LN(2)/35)*NS97+(1-EXP(-LN(2)/35))/(LN(2)/35)*NO98*NP98*VLOOKUP('Données projet'!$B$26,Paramètres!$A$1:$I$89,3,0)*0.475*44/12</f>
        <v>#N/A</v>
      </c>
      <c r="NT98" s="21" t="e">
        <f>EXP(-LN(2)/25)*NT97+(1-EXP(-LN(2)/25))/(LN(2)/25)*Calculateur!NO98*Calculateur!NQ98*VLOOKUP('Données projet'!$B$26,Paramètres!$A$1:$I$89,3,0)*0.475*44/12</f>
        <v>#N/A</v>
      </c>
      <c r="NU98" s="21" t="e">
        <f>EXP(-LN(2)/2)*NU97+(1-EXP(-LN(2)/2))/(LN(2)/2)*NO98*NR98*VLOOKUP('Données projet'!$B$26,Paramètres!$A$1:$I$89,3,0)*0.475*44/12</f>
        <v>#N/A</v>
      </c>
      <c r="NV98" s="22" t="e">
        <f t="shared" si="173"/>
        <v>#N/A</v>
      </c>
      <c r="NW98" s="74">
        <f>('Scénario référence'!$F$8+'Scénario référence'!$F$9+'Scénario référence'!$B$17+'Scénario référence'!$B$9+'Scénario référence'!$B$10)*70+IF((45+25*(1-EXP(-0.0175*$A98)))&lt;70,'Scénario référence'!$B$16*(45+25*(1-EXP(-0.0175*$A98))),70*'Scénario référence'!$B$16)+IF((32+38*(1-EXP(-0.0175*$A98)))&lt;70,'Scénario référence'!$B$18*(32+38*(1-EXP(-0.0175*$A98))),70*'Scénario référence'!$B$18)</f>
        <v>70</v>
      </c>
      <c r="NX98" s="12">
        <f>IF($A98&gt;30,10,('Scénario référence'!$B$16+'Scénario référence'!$B$17+'Scénario référence'!$B$18+'Scénario référence'!$B$9+'Scénario référence'!$B$10)*$A98*10/30+('Scénario référence'!$F$8+'Scénario référence'!$F$9)*10)</f>
        <v>10</v>
      </c>
      <c r="NY98" s="12" t="e">
        <f>VLOOKUP($A98,'Données projet'!$A$512:$I$532,2,0)</f>
        <v>#N/A</v>
      </c>
      <c r="NZ98" s="12" t="e">
        <f>VLOOKUP($A98,'Données projet'!$A$512:$I$532,9,0)</f>
        <v>#N/A</v>
      </c>
      <c r="OA98" s="12">
        <f t="array" ref="OA98">INDEX(NZ:NZ,MIN(IF(ISNUMBER(NZ98:NZ294),ROW(NZ98:NZ294),"")))</f>
        <v>0</v>
      </c>
      <c r="OB98" s="12">
        <f>IF('Données projet'!$A$512&gt;35,OB97+OA98-OJ97,IF($A98&lt;'Données projet'!$A$512,$CQ$205^$A98,IF($A98='Données projet'!$A$512,'Données projet'!$B$512,OB97+OA98-OJ97)))</f>
        <v>0</v>
      </c>
      <c r="OC98" s="17" t="e">
        <f>OB98*VLOOKUP('Données projet'!$B$27,Paramètres!$A$1:$I$89,3,0)*VLOOKUP('Données projet'!$B$27,Paramètres!$A$1:$I$89,5,0)</f>
        <v>#N/A</v>
      </c>
      <c r="OD98" s="13" t="e">
        <f t="shared" si="218"/>
        <v>#N/A</v>
      </c>
      <c r="OE98" s="14" t="e">
        <f t="shared" si="174"/>
        <v>#N/A</v>
      </c>
      <c r="OF98" s="59" t="e">
        <f t="shared" si="175"/>
        <v>#N/A</v>
      </c>
      <c r="OG98" s="20" t="e">
        <f ca="1">AVERAGE(OFFSET($OF$3,0,0,'Données projet'!$E$27+1,1))-AVERAGE(OFFSET($H$3,0,0,'Données projet'!$E$27+1,1))</f>
        <v>#N/A</v>
      </c>
      <c r="OH98" s="59" t="e">
        <f t="shared" si="219"/>
        <v>#N/A</v>
      </c>
      <c r="OI98" s="15">
        <f>IF(ISNA(VLOOKUP($A98,'Données projet'!$A$512:$I$532,3,0)),0,VLOOKUP($A98,'Données projet'!$A$512:$I$532,3,0))</f>
        <v>0</v>
      </c>
      <c r="OJ98" s="15">
        <f>IF(ISNA(VLOOKUP($A98,'Données projet'!$A$512:$I$532,4,0)),0,VLOOKUP($A98,'Données projet'!$A$512:$I$532,4,0))</f>
        <v>0</v>
      </c>
      <c r="OK98" s="16">
        <f>IF(ISNA(VLOOKUP($A98,'Données projet'!$A$512:$I$532,5,0)),0%,VLOOKUP($A98,'Données projet'!$A$512:$I$532,5,0)*VLOOKUP('Données projet'!$B$27,Paramètres!$A$1:$I$89,7,0))</f>
        <v>0</v>
      </c>
      <c r="OL98" s="16">
        <f>IF(ISNA(VLOOKUP($A98,'Données projet'!$A$512:$I$532,6,0)),0%,VLOOKUP($A98,'Données projet'!$A$512:$I$532,6,0)*VLOOKUP('Données projet'!$B$27,Paramètres!$A$1:$I$89,7,0))</f>
        <v>0</v>
      </c>
      <c r="OM98" s="16">
        <f>IF(ISNA(VLOOKUP($A98,'Données projet'!$A$512:$I$532,7,0)),0%,VLOOKUP($A98,'Données projet'!$A$512:$I$532,7,0))</f>
        <v>0</v>
      </c>
      <c r="ON98" s="21" t="e">
        <f>EXP(-LN(2)/35)*ON97+(1-EXP(-LN(2)/35))/(LN(2)/35)*OJ98*OK98*VLOOKUP('Données projet'!$B$27,Paramètres!$A$1:$I$89,3,0)*0.475*44/12</f>
        <v>#N/A</v>
      </c>
      <c r="OO98" s="21" t="e">
        <f>EXP(-LN(2)/25)*OO97+(1-EXP(-LN(2)/25))/(LN(2)/25)*Calculateur!OJ98*Calculateur!OL98*VLOOKUP('Données projet'!$B$27,Paramètres!$A$1:$I$89,3,0)*0.475*44/12</f>
        <v>#N/A</v>
      </c>
      <c r="OP98" s="21" t="e">
        <f>EXP(-LN(2)/2)*OP97+(1-EXP(-LN(2)/2))/(LN(2)/2)*OJ98*OM98*VLOOKUP('Données projet'!$B$27,Paramètres!$A$1:$I$89,3,0)*0.475*44/12</f>
        <v>#N/A</v>
      </c>
      <c r="OQ98" s="22" t="e">
        <f t="shared" si="176"/>
        <v>#N/A</v>
      </c>
      <c r="OR98" s="74">
        <f>('Scénario référence'!$F$8+'Scénario référence'!$F$9+'Scénario référence'!$B$17+'Scénario référence'!$B$9+'Scénario référence'!$B$10)*70+IF((45+25*(1-EXP(-0.0175*$A98)))&lt;70,'Scénario référence'!$B$16*(45+25*(1-EXP(-0.0175*$A98))),70*'Scénario référence'!$B$16)+IF((32+38*(1-EXP(-0.0175*$A98)))&lt;70,'Scénario référence'!$B$18*(32+38*(1-EXP(-0.0175*$A98))),70*'Scénario référence'!$B$18)</f>
        <v>70</v>
      </c>
      <c r="OS98" s="12">
        <f>IF($A98&gt;30,10,('Scénario référence'!$B$16+'Scénario référence'!$B$17+'Scénario référence'!$B$18+'Scénario référence'!$B$9+'Scénario référence'!$B$10)*$A98*10/30+('Scénario référence'!$F$8+'Scénario référence'!$F$9)*10)</f>
        <v>10</v>
      </c>
      <c r="OT98" s="12" t="e">
        <f>VLOOKUP($A98,'Données projet'!$A$538:$I$558,2,0)</f>
        <v>#N/A</v>
      </c>
      <c r="OU98" s="12" t="e">
        <f>VLOOKUP($A98,'Données projet'!$A$538:$I$558,9,0)</f>
        <v>#N/A</v>
      </c>
      <c r="OV98" s="12">
        <f t="array" ref="OV98">INDEX(OU:OU,MIN(IF(ISNUMBER(OU98:OU294),ROW(OU98:OU294),"")))</f>
        <v>0</v>
      </c>
      <c r="OW98" s="12">
        <f>IF('Données projet'!$A$538&gt;35,OW97+OV98-PE97,IF($A98&lt;'Données projet'!$A$538,$CQ$205^$A98,IF($A98='Données projet'!$A$538,'Données projet'!$B$538,OW97+OV98-PE97)))</f>
        <v>0</v>
      </c>
      <c r="OX98" s="17" t="e">
        <f>OW98*VLOOKUP('Données projet'!$B$28,Paramètres!$A$1:$I$89,3,0)*VLOOKUP('Données projet'!$B$28,Paramètres!$A$1:$I$89,5,0)</f>
        <v>#N/A</v>
      </c>
      <c r="OY98" s="13" t="e">
        <f t="shared" si="220"/>
        <v>#N/A</v>
      </c>
      <c r="OZ98" s="14" t="e">
        <f t="shared" si="177"/>
        <v>#N/A</v>
      </c>
      <c r="PA98" s="59" t="e">
        <f t="shared" si="178"/>
        <v>#N/A</v>
      </c>
      <c r="PB98" s="20" t="e">
        <f ca="1">AVERAGE(OFFSET($PA$3,0,0,'Données projet'!$E$28+1,1))-AVERAGE(OFFSET($H$3,0,0,'Données projet'!$E$28+1,1))</f>
        <v>#N/A</v>
      </c>
      <c r="PC98" s="59" t="e">
        <f t="shared" si="221"/>
        <v>#N/A</v>
      </c>
      <c r="PD98" s="15">
        <f>IF(ISNA(VLOOKUP($A98,'Données projet'!$A$538:$I$558,3,0)),0,VLOOKUP($A98,'Données projet'!$A$538:$I$558,3,0))</f>
        <v>0</v>
      </c>
      <c r="PE98" s="15">
        <f>IF(ISNA(VLOOKUP($A98,'Données projet'!$A$538:$I$558,4,0)),0,VLOOKUP($A98,'Données projet'!$A$538:$I$558,4,0))</f>
        <v>0</v>
      </c>
      <c r="PF98" s="16">
        <f>IF(ISNA(VLOOKUP($A98,'Données projet'!$A$538:$I$558,5,0)),0%,VLOOKUP($A98,'Données projet'!$A$538:$I$558,5,0)*VLOOKUP('Données projet'!$B$28,Paramètres!$A$1:$I$89,7,0))</f>
        <v>0</v>
      </c>
      <c r="PG98" s="16">
        <f>IF(ISNA(VLOOKUP($A98,'Données projet'!$A$538:$I$558,6,0)),0%,VLOOKUP($A98,'Données projet'!$A$538:$I$558,6,0)*VLOOKUP('Données projet'!$B$28,Paramètres!$A$1:$I$89,7,0))</f>
        <v>0</v>
      </c>
      <c r="PH98" s="16">
        <f>IF(ISNA(VLOOKUP($A98,'Données projet'!$A$538:$I$558,7,0)),0%,VLOOKUP($A98,'Données projet'!$A$538:$I$558,7,0))</f>
        <v>0</v>
      </c>
      <c r="PI98" s="21" t="e">
        <f>EXP(-LN(2)/35)*PI97+(1-EXP(-LN(2)/35))/(LN(2)/35)*PE98*PF98*VLOOKUP('Données projet'!$B$28,Paramètres!$A$1:$I$89,3,0)*0.475*44/12</f>
        <v>#N/A</v>
      </c>
      <c r="PJ98" s="21" t="e">
        <f>EXP(-LN(2)/25)*PJ97+(1-EXP(-LN(2)/25))/(LN(2)/25)*Calculateur!PE98*Calculateur!PG98*VLOOKUP('Données projet'!$B$28,Paramètres!$A$1:$I$89,3,0)*0.475*44/12</f>
        <v>#N/A</v>
      </c>
      <c r="PK98" s="21" t="e">
        <f>EXP(-LN(2)/2)*PK97+(1-EXP(-LN(2)/2))/(LN(2)/2)*PE98*PH98*VLOOKUP('Données projet'!$B$28,Paramètres!$A$1:$I$89,3,0)*0.475*44/12</f>
        <v>#N/A</v>
      </c>
      <c r="PL98" s="22" t="e">
        <f t="shared" si="179"/>
        <v>#N/A</v>
      </c>
    </row>
    <row r="99" spans="1:428" x14ac:dyDescent="0.35">
      <c r="A99" s="10">
        <f t="shared" si="180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181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121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projet'!$A$45:$I$65,2,0)</f>
        <v>#N/A</v>
      </c>
      <c r="L99" s="12" t="e">
        <f>VLOOKUP(A99,'Données projet'!$A$45:$I$65,9,0)</f>
        <v>#N/A</v>
      </c>
      <c r="M99" s="12">
        <f t="array" ref="M99">INDEX(L:L,MIN(IF(ISNUMBER(L99:L295),ROW(L99:L295),"")))</f>
        <v>0</v>
      </c>
      <c r="N99" s="13">
        <f>IF('Données projet'!$A$46&gt;35,N98+M99-V98,IF(A99&lt;'Données projet'!$A$46,$K$205^A99,IF(A99='Données projet'!$A$46,'Données projet'!$B$46,N98+M99-V98)))</f>
        <v>-1.1368683772161603E-13</v>
      </c>
      <c r="O99" s="13">
        <f>N99*VLOOKUP('Données projet'!$B$9,Paramètres!$A$1:$I$89,3,0)*VLOOKUP('Données projet'!$B$9,Paramètres!$A$1:$I$89,5,0)</f>
        <v>-6.3550942286383367E-14</v>
      </c>
      <c r="P99" s="13" t="e">
        <f t="shared" si="182"/>
        <v>#NUM!</v>
      </c>
      <c r="Q99" s="20" t="e">
        <f t="shared" ref="Q99:Q130" si="222">(O99+P99)*0.475*44/12</f>
        <v>#NUM!</v>
      </c>
      <c r="R99" s="59" t="e">
        <f t="shared" si="120"/>
        <v>#NUM!</v>
      </c>
      <c r="S99" s="59">
        <f ca="1">AVERAGE(OFFSET($R$3,0,0,'Données projet'!$E$9+1,1))-AVERAGE(OFFSET($H$3,0,0,'Données projet'!$E$9+1,1))</f>
        <v>274.57619581652199</v>
      </c>
      <c r="T99" s="59">
        <f t="shared" si="183"/>
        <v>366.15117322598775</v>
      </c>
      <c r="U99" s="15">
        <f>IF(ISNA(VLOOKUP(A99,'Données projet'!$A$45:$I$65,3,0)),0,VLOOKUP(A99,'Données projet'!$A$45:$I$65,3,0))</f>
        <v>0</v>
      </c>
      <c r="V99" s="15">
        <f>IF(ISNA(VLOOKUP(A99,'Données projet'!$A$45:$I$65,4,0)),0,VLOOKUP(A99,'Données projet'!$A$45:$I$65,4,0))</f>
        <v>0</v>
      </c>
      <c r="W99" s="16">
        <f>IF(ISNA(VLOOKUP(A99,'Données projet'!$A$45:$I$65,5,0)),0%,VLOOKUP(A99,'Données projet'!$A$45:$I$65,5,0)*VLOOKUP('Données projet'!$B$9,Paramètres!$A$1:$I$89,7,0))</f>
        <v>0</v>
      </c>
      <c r="X99" s="16">
        <f>IF(ISNA(VLOOKUP(A99,'Données projet'!$A$45:$I$65,6,0)),0%,VLOOKUP(A99,'Données projet'!$A$45:$I$65,6,0)*VLOOKUP('Données projet'!$B$9,Paramètres!$A$1:$I$89,7,0))</f>
        <v>0</v>
      </c>
      <c r="Y99" s="16">
        <f>IF(ISNA(VLOOKUP(A99,'Données projet'!$A$45:$I$65,7,0)),0%,VLOOKUP(A99,'Données projet'!$A$45:$I$65,7,0))</f>
        <v>0</v>
      </c>
      <c r="Z99" s="21">
        <f>EXP(-LN(2)/35)*Z98+(1-EXP(-LN(2)/35))/(LN(2)/35)*V99*W99*VLOOKUP('Données projet'!$B$9,Paramètres!$A$1:$I$89,3,0)*0.475*44/12</f>
        <v>100.63154847519814</v>
      </c>
      <c r="AA99" s="21">
        <f>EXP(-LN(2)/25)*AA98+(1-EXP(-LN(2)/25))/(LN(2)/25)*Calculateur!V99*Calculateur!X99*VLOOKUP('Données projet'!$B$9,Paramètres!$A$1:$I$89,3,0)*0.475*44/12</f>
        <v>18.483797227198433</v>
      </c>
      <c r="AB99" s="21">
        <f>EXP(-LN(2)/2)*AB98+(1-EXP(-LN(2)/2))/(LN(2)/2)*V99*Y99*VLOOKUP('Données projet'!$B$9,Paramètres!$A$1:$I$89,3,0)*0.475*44/12</f>
        <v>2.3036660876734818E-5</v>
      </c>
      <c r="AC99" s="22">
        <f t="shared" si="122"/>
        <v>119.11536873905746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projet'!$A$71:$I$91,2,0)</f>
        <v>#N/A</v>
      </c>
      <c r="AG99" s="12" t="e">
        <f>VLOOKUP(A99,'Données projet'!$A$71:$I$91,9,0)</f>
        <v>#N/A</v>
      </c>
      <c r="AH99" s="12">
        <f t="array" ref="AH99">INDEX(AG:AG,MIN(IF(ISNUMBER(AG99:AG295),ROW(AG99:AG295),"")))</f>
        <v>7.1782051282051267</v>
      </c>
      <c r="AI99" s="13">
        <f>IF('Données projet'!$A$72&gt;35,AI98+AH99-AQ98,IF(A99&lt;'Données projet'!$A$72,$AF$205^A99,IF(A99='Données projet'!$A$72,'Données projet'!$B$72,AI98+AH99-AQ98)))</f>
        <v>296.71538461538506</v>
      </c>
      <c r="AJ99" s="13">
        <f>AI99*VLOOKUP('Données projet'!$B$10,Paramètres!$A$1:$I$89,3,0)*VLOOKUP('Données projet'!$B$10,Paramètres!$A$1:$I$89,5,0)</f>
        <v>268.46808000000038</v>
      </c>
      <c r="AK99" s="13">
        <f t="shared" si="184"/>
        <v>64.524049616897415</v>
      </c>
      <c r="AL99" s="20">
        <f t="shared" si="123"/>
        <v>579.96129241609697</v>
      </c>
      <c r="AM99" s="59">
        <f t="shared" si="124"/>
        <v>873.29462574943022</v>
      </c>
      <c r="AN99" s="59">
        <f ca="1">AVERAGE(OFFSET($AM$3,0,0,'Données projet'!$E$10+1,1))-AVERAGE(OFFSET($H$3,0,0,'Données projet'!$E$10+1,1))</f>
        <v>270.87836509222456</v>
      </c>
      <c r="AO99" s="59">
        <f t="shared" si="185"/>
        <v>205.24998237949734</v>
      </c>
      <c r="AP99" s="15">
        <f>IF(ISNA(VLOOKUP(A99,'Données projet'!$A$71:$I$91,3,0)),0,VLOOKUP(A99,'Données projet'!$A$71:$I$91,3,0))</f>
        <v>0</v>
      </c>
      <c r="AQ99" s="15">
        <f>IF(ISNA(VLOOKUP(A99,'Données projet'!$A$71:$I$91,4,0)),0,VLOOKUP(A99,'Données projet'!$A$71:$I$91,4,0))</f>
        <v>0</v>
      </c>
      <c r="AR99" s="16">
        <f>IF(ISNA(VLOOKUP(A99,'Données projet'!$A$71:$I$91,5,0)),0%,VLOOKUP(A99,'Données projet'!$A$71:$I$91,5,0)*VLOOKUP('Données projet'!$B$10,Paramètres!$A$1:$I$89,7,0))</f>
        <v>0</v>
      </c>
      <c r="AS99" s="16">
        <f>IF(ISNA(VLOOKUP(A99,'Données projet'!$A$71:$I$91,6,0)),0%,VLOOKUP(A99,'Données projet'!$A$71:$I$91,6,0)*VLOOKUP('Données projet'!$B$10,Paramètres!$A$1:$I$89,7,0))</f>
        <v>0</v>
      </c>
      <c r="AT99" s="16">
        <f>IF(ISNA(VLOOKUP(A99,'Données projet'!$A$71:$I$91,7,0)),0%,VLOOKUP(A99,'Données projet'!$A$71:$I$91,7,0))</f>
        <v>0</v>
      </c>
      <c r="AU99" s="21">
        <f>EXP(-LN(2)/35)*AU98+(1-EXP(-LN(2)/35))/(LN(2)/35)*AQ99*AR99*VLOOKUP('Données projet'!$B$10,Paramètres!$A$1:$I$89,3,0)*0.475*44/12</f>
        <v>36.81066477745334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125"/>
        <v>36.81066477745334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projet'!$A$97:$I$117,2,0)</f>
        <v>#N/A</v>
      </c>
      <c r="BB99" s="12" t="e">
        <f>VLOOKUP(A99,'Données projet'!$A$97:$I$117,9,0)</f>
        <v>#N/A</v>
      </c>
      <c r="BC99" s="12">
        <f t="array" ref="BC99">INDEX(BB:BB,MIN(IF(ISNUMBER(BB99:BB295),ROW(BB99:BB295),"")))</f>
        <v>0</v>
      </c>
      <c r="BD99" s="12">
        <f>IF('Données projet'!$A$98&gt;35,BD98+BC99-BL98,IF(A99&lt;'Données projet'!$A$98,$BA$205^A99,IF(A99='Données projet'!$A$98,'Données projet'!$B$98,BD98+BC99-BL98)))</f>
        <v>-1.1368683772161603E-13</v>
      </c>
      <c r="BE99" s="13">
        <f>BD99*VLOOKUP('Données projet'!$B$11,Paramètres!$A$1:$I$89,3,0)*VLOOKUP('Données projet'!$B$11,Paramètres!$A$1:$I$89,5,0)</f>
        <v>-5.0249582272954292E-14</v>
      </c>
      <c r="BF99" s="13" t="e">
        <f t="shared" si="186"/>
        <v>#NUM!</v>
      </c>
      <c r="BG99" s="20" t="e">
        <f t="shared" si="126"/>
        <v>#NUM!</v>
      </c>
      <c r="BH99" s="59" t="e">
        <f t="shared" si="127"/>
        <v>#NUM!</v>
      </c>
      <c r="BI99" s="59">
        <f ca="1">AVERAGE(OFFSET($BH$3,0,0,'Données projet'!$E$11+1,1))-AVERAGE(OFFSET($H$3,0,0,'Données projet'!$E$11+1,1))</f>
        <v>211.31057120485542</v>
      </c>
      <c r="BJ99" s="59">
        <f t="shared" si="187"/>
        <v>283.33292006714777</v>
      </c>
      <c r="BK99" s="15">
        <f>IF(ISNA(VLOOKUP(A99,'Données projet'!$A$97:$I$117,3,0)),0,VLOOKUP(A99,'Données projet'!$A$97:$I$117,3,0))</f>
        <v>0</v>
      </c>
      <c r="BL99" s="15">
        <f>IF(ISNA(VLOOKUP(A99,'Données projet'!$A$97:$I$117,4,0)),0,VLOOKUP(A99,'Données projet'!$A$97:$I$117,4,0))</f>
        <v>0</v>
      </c>
      <c r="BM99" s="16">
        <f>IF(ISNA(VLOOKUP(A99,'Données projet'!$A$97:$I$117,5,0)),0%,VLOOKUP(A99,'Données projet'!$A$97:$I$117,5,0)*VLOOKUP('Données projet'!$B$11,Paramètres!$A$1:$I$89,7,0))</f>
        <v>0</v>
      </c>
      <c r="BN99" s="16">
        <f>IF(ISNA(VLOOKUP(A99,'Données projet'!$A$97:$I$117,6,0)),0%,VLOOKUP(A99,'Données projet'!$A$97:$I$117,6,0)*VLOOKUP('Données projet'!$B$11,Paramètres!$A$1:$I$89,7,0))</f>
        <v>0</v>
      </c>
      <c r="BO99" s="16">
        <f>IF(ISNA(VLOOKUP(A99,'Données projet'!$A$97:$I$117,7,0)),0%,VLOOKUP(A99,'Données projet'!$A$97:$I$117,7,0))</f>
        <v>0</v>
      </c>
      <c r="BP99" s="21">
        <f>EXP(-LN(2)/35)*BP98+(1-EXP(-LN(2)/35))/(LN(2)/35)*BL99*BM99*VLOOKUP('Données projet'!$B$11,Paramètres!$A$1:$I$89,3,0)*0.475*44/12</f>
        <v>79.569131352482273</v>
      </c>
      <c r="BQ99" s="21">
        <f>EXP(-LN(2)/25)*BQ98+(1-EXP(-LN(2)/25))/(LN(2)/25)*Calculateur!BL99*Calculateur!BN99*VLOOKUP('Données projet'!$B$11,Paramètres!$A$1:$I$89,3,0)*0.475*44/12</f>
        <v>14.615095481970846</v>
      </c>
      <c r="BR99" s="21">
        <f>EXP(-LN(2)/2)*BR98+(1-EXP(-LN(2)/2))/(LN(2)/2)*BL99*BO99*VLOOKUP('Données projet'!$B$11,Paramètres!$A$1:$I$89,3,0)*0.475*44/12</f>
        <v>1.8215034181604271E-5</v>
      </c>
      <c r="BS99" s="22">
        <f t="shared" si="128"/>
        <v>94.184245049487302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projet'!$A$123:$I$143,2,0)</f>
        <v>#N/A</v>
      </c>
      <c r="BW99" s="12" t="e">
        <f>VLOOKUP(A99,'Données projet'!$A$123:$I$143,9,0)</f>
        <v>#N/A</v>
      </c>
      <c r="BX99" s="12">
        <f t="array" ref="BX99">INDEX(BW:BW,MIN(IF(ISNUMBER(BW99:BW295),ROW(BW99:BW295),"")))</f>
        <v>3</v>
      </c>
      <c r="BY99" s="12">
        <f>IF('Données projet'!$A$124&gt;35,BY98+BX99-CG98,IF(A99&lt;'Données projet'!$A$124,$BV$205^A99,IF(A99='Données projet'!$A$124,'Données projet'!$B$124,BY98+BX99-CG98)))</f>
        <v>243</v>
      </c>
      <c r="BZ99" s="13">
        <f>BY99*VLOOKUP('Données projet'!$B$12,Paramètres!$A$1:$I$89,3,0)*VLOOKUP('Données projet'!$B$12,Paramètres!$A$1:$I$89,5,0)</f>
        <v>253.98360000000002</v>
      </c>
      <c r="CA99" s="13">
        <f t="shared" si="188"/>
        <v>61.438182405444294</v>
      </c>
      <c r="CB99" s="20">
        <f t="shared" si="129"/>
        <v>549.35960435614891</v>
      </c>
      <c r="CC99" s="59">
        <f t="shared" si="130"/>
        <v>842.69293768948228</v>
      </c>
      <c r="CD99" s="59">
        <f ca="1">AVERAGE(OFFSET($CC$3,0,0,'Données projet'!$E$12+1,1))-AVERAGE(OFFSET($H$3,0,0,'Données projet'!$E$12+1,1))</f>
        <v>322.93502595881938</v>
      </c>
      <c r="CE99" s="59">
        <f t="shared" si="189"/>
        <v>302.67072119588164</v>
      </c>
      <c r="CF99" s="15">
        <f>IF(ISNA(VLOOKUP(A99,'Données projet'!$A$123:$I$143,3,0)),0,VLOOKUP(A99,'Données projet'!$A$123:$I$143,3,0))</f>
        <v>0</v>
      </c>
      <c r="CG99" s="15">
        <f>IF(ISNA(VLOOKUP(A99,'Données projet'!$A$123:$I$143,4,0)),0,VLOOKUP(A99,'Données projet'!$A$123:$I$143,4,0))</f>
        <v>0</v>
      </c>
      <c r="CH99" s="16">
        <f>IF(ISNA(VLOOKUP(A99,'Données projet'!$A$123:$I$143,5,0)),0%,VLOOKUP(A99,'Données projet'!$A$123:$I$143,5,0)*VLOOKUP('Données projet'!$B$12,Paramètres!$A$1:$I$89,7,0))</f>
        <v>0</v>
      </c>
      <c r="CI99" s="16">
        <f>IF(ISNA(VLOOKUP(A99,'Données projet'!$A$123:$I$143,6,0)),0%,VLOOKUP(A99,'Données projet'!$A$123:$I$143,6,0)*VLOOKUP('Données projet'!$B$12,Paramètres!$A$1:$I$89,7,0))</f>
        <v>0</v>
      </c>
      <c r="CJ99" s="16">
        <f>IF(ISNA(VLOOKUP(A99,'Données projet'!$A$123:$I$143,7,0)),0%,VLOOKUP(A99,'Données projet'!$A$123:$I$143,7,0))</f>
        <v>0</v>
      </c>
      <c r="CK99" s="21">
        <f>EXP(-LN(2)/35)*CK98+(1-EXP(-LN(2)/35))/(LN(2)/35)*CG99*CH99*VLOOKUP('Données projet'!$B$12,Paramètres!$A$1:$I$89,3,0)*0.475*44/12</f>
        <v>30.776083983952013</v>
      </c>
      <c r="CL99" s="21">
        <f>EXP(-LN(2)/25)*CL98+(1-EXP(-LN(2)/25))/(LN(2)/25)*Calculateur!CG99*Calculateur!CI99*VLOOKUP('Données projet'!$B$12,Paramètres!$A$1:$I$89,3,0)*0.475*44/12</f>
        <v>18.577961454738716</v>
      </c>
      <c r="CM99" s="21">
        <f>EXP(-LN(2)/2)*CM98+(1-EXP(-LN(2)/2))/(LN(2)/2)*CG99*CJ99*VLOOKUP('Données projet'!$B$12,Paramètres!$A$1:$I$89,3,0)*0.475*44/12</f>
        <v>0</v>
      </c>
      <c r="CN99" s="22">
        <f t="shared" si="131"/>
        <v>49.354045438690733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projet'!$A$149:$I$169,2,0)</f>
        <v>#N/A</v>
      </c>
      <c r="CR99" s="12" t="e">
        <f>VLOOKUP(A99,'Données projet'!$A$149:$I$169,9,0)</f>
        <v>#N/A</v>
      </c>
      <c r="CS99" s="12">
        <f t="array" ref="CS99">INDEX(CR:CR,MIN(IF(ISNUMBER(CR99:CR295),ROW(CR99:CR295),"")))</f>
        <v>5.2583333333333373</v>
      </c>
      <c r="CT99" s="12">
        <f>IF('Données projet'!$A$150&gt;35,CT98+CS99-DB98,IF(A99&lt;'Données projet'!$A$150,$CQ$205^A99,IF(A99='Données projet'!$A$150,'Données projet'!$B$150,CT98+CS99-DB98)))</f>
        <v>197.96089743589718</v>
      </c>
      <c r="CU99" s="17">
        <f>CT99*VLOOKUP('Données projet'!$B$13,Paramètres!$A$1:$I$89,3,0)*VLOOKUP('Données projet'!$B$13,Paramètres!$A$1:$I$89,5,0)</f>
        <v>200.73234999999977</v>
      </c>
      <c r="CV99" s="13">
        <f t="shared" si="190"/>
        <v>49.905081835677372</v>
      </c>
      <c r="CW99" s="20">
        <f t="shared" si="132"/>
        <v>436.52686044713772</v>
      </c>
      <c r="CX99" s="59">
        <f t="shared" si="133"/>
        <v>729.86019378047104</v>
      </c>
      <c r="CY99" s="59">
        <f ca="1">AVERAGE(OFFSET($CX$3,0,0,'Données projet'!$E$13+1,1))-AVERAGE(OFFSET($H$3,0,0,'Données projet'!$E$13+1,1))</f>
        <v>250.31277422753283</v>
      </c>
      <c r="CZ99" s="59">
        <f t="shared" si="191"/>
        <v>159.20429420478047</v>
      </c>
      <c r="DA99" s="15">
        <f>IF(ISNA(VLOOKUP(A99,'Données projet'!$A$149:$I$169,3,0)),0,VLOOKUP(A99,'Données projet'!$A$149:$I$169,3,0))</f>
        <v>0</v>
      </c>
      <c r="DB99" s="15">
        <f>IF(ISNA(VLOOKUP(A99,'Données projet'!$A$149:$I$169,4,0)),0,VLOOKUP(A99,'Données projet'!$A$149:$I$169,4,0))</f>
        <v>0</v>
      </c>
      <c r="DC99" s="16">
        <f>IF(ISNA(VLOOKUP(A99,'Données projet'!$A$149:$I$169,5,0)),0%,VLOOKUP(A99,'Données projet'!$A$149:$I$169,5,0)*VLOOKUP('Données projet'!$B$13,Paramètres!$A$1:$I$89,7,0))</f>
        <v>0</v>
      </c>
      <c r="DD99" s="16">
        <f>IF(ISNA(VLOOKUP(A99,'Données projet'!$A$149:$I$169,6,0)),0%,VLOOKUP(A99,'Données projet'!$A$149:$I$169,6,0)*VLOOKUP('Données projet'!$B$13,Paramètres!$A$1:$I$89,7,0))</f>
        <v>0</v>
      </c>
      <c r="DE99" s="16">
        <f>IF(ISNA(VLOOKUP(A99,'Données projet'!$A$149:$I$169,7,0)),0%,VLOOKUP(A99,'Données projet'!$A$149:$I$169,7,0))</f>
        <v>0</v>
      </c>
      <c r="DF99" s="21">
        <f>EXP(-LN(2)/35)*DF98+(1-EXP(-LN(2)/35))/(LN(2)/35)*DB99*DC99*VLOOKUP('Données projet'!$B$13,Paramètres!$A$1:$I$89,3,0)*0.475*44/12</f>
        <v>25.7804106076116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134"/>
        <v>25.7804106076116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projet'!$A$175:$I$195,2,0)</f>
        <v>#N/A</v>
      </c>
      <c r="DM99" s="12" t="e">
        <f>VLOOKUP(A99,'Données projet'!$A$175:$I$195,9,0)</f>
        <v>#N/A</v>
      </c>
      <c r="DN99" s="12">
        <f t="array" ref="DN99">INDEX(DM:DM,MIN(IF(ISNUMBER(DM99:DM295),ROW(DM99:DM295),"")))</f>
        <v>0</v>
      </c>
      <c r="DO99" s="12">
        <f>IF('Données projet'!$A$176&gt;35,DO98+DN99-DW98,IF(A99&lt;'Données projet'!$A$176,$DL$205^A99,IF(A99='Données projet'!$A$176,'Données projet'!$B$176,DO98+DN99-DW98)))</f>
        <v>-2.8421709430404007E-13</v>
      </c>
      <c r="DP99" s="17">
        <f>DO99*VLOOKUP('Données projet'!$B$14,Paramètres!$A$1:$I$89,3,0)*VLOOKUP('Données projet'!$B$14,Paramètres!$A$1:$I$89,5,0)</f>
        <v>-2.0838797354372215E-13</v>
      </c>
      <c r="DQ99" s="13" t="e">
        <f t="shared" si="192"/>
        <v>#NUM!</v>
      </c>
      <c r="DR99" s="20" t="e">
        <f t="shared" si="135"/>
        <v>#NUM!</v>
      </c>
      <c r="DS99" s="59" t="e">
        <f t="shared" si="136"/>
        <v>#NUM!</v>
      </c>
      <c r="DT99" s="59">
        <f ca="1">AVERAGE(OFFSET($DS$3,0,0,'Données projet'!$E$14+1,1))-AVERAGE(OFFSET($H$3,0,0,'Données projet'!$E$14+1,1))</f>
        <v>296.91321813251051</v>
      </c>
      <c r="DU99" s="59">
        <f t="shared" si="193"/>
        <v>291.0718079639509</v>
      </c>
      <c r="DV99" s="15">
        <f>IF(ISNA(VLOOKUP(A99,'Données projet'!$A$175:$I$195,3,0)),0,VLOOKUP(A99,'Données projet'!$A$175:$I$195,3,0))</f>
        <v>0</v>
      </c>
      <c r="DW99" s="15">
        <f>IF(ISNA(VLOOKUP(A99,'Données projet'!$A$175:$I$195,4,0)),0,VLOOKUP(A99,'Données projet'!$A$175:$I$195,4,0))</f>
        <v>0</v>
      </c>
      <c r="DX99" s="16">
        <f>IF(ISNA(VLOOKUP(A99,'Données projet'!$A$175:$I$195,5,0)),0%,VLOOKUP(A99,'Données projet'!$A$175:$I$195,5,0)*VLOOKUP('Données projet'!$B$14,Paramètres!$A$1:$I$89,7,0))</f>
        <v>0</v>
      </c>
      <c r="DY99" s="16">
        <f>IF(ISNA(VLOOKUP(A99,'Données projet'!$A$175:$I$195,6,0)),0%,VLOOKUP(A99,'Données projet'!$A$175:$I$195,6,0)*VLOOKUP('Données projet'!$B$14,Paramètres!$A$1:$I$89,7,0))</f>
        <v>0</v>
      </c>
      <c r="DZ99" s="16">
        <f>IF(ISNA(VLOOKUP(A99,'Données projet'!$A$175:$I$195,7,0)),0%,VLOOKUP(A99,'Données projet'!$A$175:$I$195,7,0))</f>
        <v>0</v>
      </c>
      <c r="EA99" s="21">
        <f>EXP(-LN(2)/35)*EA98+(1-EXP(-LN(2)/35))/(LN(2)/35)*DW99*DX99*VLOOKUP('Données projet'!$B$14,Paramètres!$A$1:$I$89,3,0)*0.475*44/12</f>
        <v>126.35183478002364</v>
      </c>
      <c r="EB99" s="21">
        <f>EXP(-LN(2)/25)*EB98+(1-EXP(-LN(2)/25))/(LN(2)/25)*Calculateur!DW99*Calculateur!DY99*VLOOKUP('Données projet'!$B$14,Paramètres!$A$1:$I$89,3,0)*0.475*44/12</f>
        <v>3.436291734377547</v>
      </c>
      <c r="EC99" s="21">
        <f>EXP(-LN(2)/2)*EC98+(1-EXP(-LN(2)/2))/(LN(2)/2)*DW99*DZ99*VLOOKUP('Données projet'!$B$14,Paramètres!$A$1:$I$89,3,0)*0.475*44/12</f>
        <v>0</v>
      </c>
      <c r="ED99" s="22">
        <f t="shared" si="137"/>
        <v>129.78812651440117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projet'!$A$201:$I$221,2,0)</f>
        <v>#N/A</v>
      </c>
      <c r="EH99" s="12" t="e">
        <f>VLOOKUP(A99,'Données projet'!$A$201:$I$221,9,0)</f>
        <v>#N/A</v>
      </c>
      <c r="EI99" s="12">
        <f t="array" ref="EI99">INDEX(EH:EH,MIN(IF(ISNUMBER(EH99:EH295),ROW(EH99:EH295),"")))</f>
        <v>8.1391025641025667</v>
      </c>
      <c r="EJ99" s="12">
        <f>IF('Données projet'!$A$202&gt;35,EJ98+EI99-ER98,IF(A99&lt;'Données projet'!$A$202,$EG$205^A99,IF(A99='Données projet'!$A$202,'Données projet'!$B$202,EJ98+EI99-ER98)))</f>
        <v>373.45192307692344</v>
      </c>
      <c r="EK99" s="17">
        <f>EJ99*VLOOKUP('Données projet'!$B$15,Paramètres!$A$1:$I$89,3,0)*VLOOKUP('Données projet'!$B$15,Paramètres!$A$1:$I$89,5,0)</f>
        <v>174.77550000000016</v>
      </c>
      <c r="EL99" s="13">
        <f t="shared" si="194"/>
        <v>44.157846118321132</v>
      </c>
      <c r="EM99" s="20">
        <f t="shared" si="138"/>
        <v>381.30891115607625</v>
      </c>
      <c r="EN99" s="59">
        <f t="shared" si="139"/>
        <v>674.64224448940956</v>
      </c>
      <c r="EO99" s="59">
        <f ca="1">AVERAGE(OFFSET($EN$3,0,0,'Données projet'!$E$15+1,1))-AVERAGE(OFFSET($H$3,0,0,'Données projet'!$E$15+1,1))</f>
        <v>147.64256291235483</v>
      </c>
      <c r="EP99" s="59">
        <f t="shared" si="195"/>
        <v>70.859031694091868</v>
      </c>
      <c r="EQ99" s="15">
        <f>IF(ISNA(VLOOKUP(A99,'Données projet'!$A$201:$I$221,3,0)),0,VLOOKUP(A99,'Données projet'!$A$201:$I$221,3,0))</f>
        <v>0</v>
      </c>
      <c r="ER99" s="15">
        <f>IF(ISNA(VLOOKUP(A99,'Données projet'!$A$201:$I$221,4,0)),0,VLOOKUP(A99,'Données projet'!$A$201:$I$221,4,0))</f>
        <v>0</v>
      </c>
      <c r="ES99" s="16">
        <f>IF(ISNA(VLOOKUP(A99,'Données projet'!$A$201:$I$221,5,0)),0%,VLOOKUP(A99,'Données projet'!$A$201:$I$221,5,0)*VLOOKUP('Données projet'!$B$15,Paramètres!$A$1:$I$89,7,0))</f>
        <v>0</v>
      </c>
      <c r="ET99" s="16">
        <f>IF(ISNA(VLOOKUP(A99,'Données projet'!$A$201:$I$221,6,0)),0%,VLOOKUP(A99,'Données projet'!$A$201:$I$221,6,0)*VLOOKUP('Données projet'!$B$15,Paramètres!$A$1:$I$89,7,0))</f>
        <v>0</v>
      </c>
      <c r="EU99" s="16">
        <f>IF(ISNA(VLOOKUP(A99,'Données projet'!$A$201:$I$221,7,0)),0%,VLOOKUP(A99,'Données projet'!$A$201:$I$221,7,0))</f>
        <v>0</v>
      </c>
      <c r="EV99" s="21">
        <f>EXP(-LN(2)/35)*EV98+(1-EXP(-LN(2)/35))/(LN(2)/35)*ER99*ES99*VLOOKUP('Données projet'!$B$15,Paramètres!$A$1:$I$89,3,0)*0.475*44/12</f>
        <v>43.487754825350663</v>
      </c>
      <c r="EW99" s="21">
        <f>EXP(-LN(2)/25)*EW98+(1-EXP(-LN(2)/25))/(LN(2)/25)*Calculateur!ER99*Calculateur!ET99*VLOOKUP('Données projet'!$B$15,Paramètres!$A$1:$I$89,3,0)*0.475*44/12</f>
        <v>14.377347190193003</v>
      </c>
      <c r="EX99" s="21">
        <f>EXP(-LN(2)/2)*EX98+(1-EXP(-LN(2)/2))/(LN(2)/2)*ER99*EU99*VLOOKUP('Données projet'!$B$15,Paramètres!$A$1:$I$89,3,0)*0.475*44/12</f>
        <v>0.26058379029717027</v>
      </c>
      <c r="EY99" s="22">
        <f t="shared" si="140"/>
        <v>58.125685805840838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projet'!$A$227:$I$247,2,0)</f>
        <v>#N/A</v>
      </c>
      <c r="FC99" s="12" t="e">
        <f>VLOOKUP(A99,'Données projet'!$A$227:$I$247,9,0)</f>
        <v>#N/A</v>
      </c>
      <c r="FD99" s="12">
        <f t="array" ref="FD99">INDEX(FC:FC,MIN(IF(ISNUMBER(FC99:FC295),ROW(FC99:FC295),"")))</f>
        <v>3</v>
      </c>
      <c r="FE99" s="12">
        <f>IF('Données projet'!$A$228&gt;35,FE98+FD99-FM98,IF(A99&lt;'Données projet'!$A$228,$FB$205^A99,IF(A99='Données projet'!$A$228,'Données projet'!$B$228,FE98+FD99-FM98)))</f>
        <v>211.00000000000009</v>
      </c>
      <c r="FF99" s="17">
        <f>FE99*VLOOKUP('Données projet'!$B$16,Paramètres!$A$1:$I$89,3,0)*VLOOKUP('Données projet'!$B$16,Paramètres!$A$1:$I$89,5,0)</f>
        <v>220.5372000000001</v>
      </c>
      <c r="FG99" s="13">
        <f t="shared" si="196"/>
        <v>54.231626908561452</v>
      </c>
      <c r="FH99" s="20">
        <f t="shared" si="141"/>
        <v>478.55570686574464</v>
      </c>
      <c r="FI99" s="59">
        <f t="shared" si="142"/>
        <v>771.88904019907795</v>
      </c>
      <c r="FJ99" s="59">
        <f ca="1">AVERAGE(OFFSET($FI$3,0,0,'Données projet'!$E$16+1,1))-AVERAGE(OFFSET($H$3,0,0,'Données projet'!$E$16+1,1))</f>
        <v>259.03906550253788</v>
      </c>
      <c r="FK99" s="59">
        <f t="shared" si="197"/>
        <v>235.54542903570831</v>
      </c>
      <c r="FL99" s="15">
        <f>IF(ISNA(VLOOKUP(A99,'Données projet'!$A$227:$I$247,3,0)),0,VLOOKUP(A99,'Données projet'!$A$227:$I$247,3,0))</f>
        <v>0</v>
      </c>
      <c r="FM99" s="15">
        <f>IF(ISNA(VLOOKUP(A99,'Données projet'!$A$227:$I$247,4,0)),0,VLOOKUP(A99,'Données projet'!$A$227:$I$247,4,0))</f>
        <v>0</v>
      </c>
      <c r="FN99" s="16">
        <f>IF(ISNA(VLOOKUP(A99,'Données projet'!$A$227:$I$247,5,0)),0%,VLOOKUP(A99,'Données projet'!$A$227:$I$247,5,0)*VLOOKUP('Données projet'!$B$16,Paramètres!$A$1:$I$89,7,0))</f>
        <v>0</v>
      </c>
      <c r="FO99" s="16">
        <f>IF(ISNA(VLOOKUP(A99,'Données projet'!$A$227:$I$247,6,0)),0%,VLOOKUP(A99,'Données projet'!$A$227:$I$247,6,0)*VLOOKUP('Données projet'!$B$16,Paramètres!$A$1:$I$89,7,0))</f>
        <v>0</v>
      </c>
      <c r="FP99" s="16">
        <f>IF(ISNA(VLOOKUP(A99,'Données projet'!$A$227:$I$247,7,0)),0%,VLOOKUP(A99,'Données projet'!$A$227:$I$247,7,0))</f>
        <v>0</v>
      </c>
      <c r="FQ99" s="21">
        <f>EXP(-LN(2)/35)*FQ98+(1-EXP(-LN(2)/35))/(LN(2)/35)*FM99*FN99*VLOOKUP('Données projet'!$B$16,Paramètres!$A$1:$I$89,3,0)*0.475*44/12</f>
        <v>16.38326700929807</v>
      </c>
      <c r="FR99" s="21">
        <f>EXP(-LN(2)/25)*FR98+(1-EXP(-LN(2)/25))/(LN(2)/25)*Calculateur!FM99*Calculateur!FO99*VLOOKUP('Données projet'!$B$16,Paramètres!$A$1:$I$89,3,0)*0.475*44/12</f>
        <v>16.264476701459948</v>
      </c>
      <c r="FS99" s="21">
        <f>EXP(-LN(2)/2)*FS98+(1-EXP(-LN(2)/2))/(LN(2)/2)*FM99*FP99*VLOOKUP('Données projet'!$B$16,Paramètres!$A$1:$I$89,3,0)*0.475*44/12</f>
        <v>0</v>
      </c>
      <c r="FT99" s="22">
        <f t="shared" si="143"/>
        <v>32.647743710758022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projet'!$A$253:$I$273,2,0)</f>
        <v>#N/A</v>
      </c>
      <c r="FX99" s="12" t="e">
        <f>VLOOKUP(A99,'Données projet'!$A$253:$I$273,9,0)</f>
        <v>#N/A</v>
      </c>
      <c r="FY99" s="12">
        <f t="array" ref="FY99">INDEX(FX:FX,MIN(IF(ISNUMBER(FX99:FX295),ROW(FX99:FX295),"")))</f>
        <v>0</v>
      </c>
      <c r="FZ99" s="12">
        <f>IF('Données projet'!$A$254&gt;35,FZ98+FY99-GH98,IF(A99&lt;'Données projet'!$A$254,$FW$205^A99,IF(A99='Données projet'!$A$254,'Données projet'!$B$254,FZ98+FY99-GH98)))</f>
        <v>-1.7053025658242404E-13</v>
      </c>
      <c r="GA99" s="17">
        <f>FZ99*VLOOKUP('Données projet'!$B$17,Paramètres!$A$1:$I$89,3,0)*VLOOKUP('Données projet'!$B$17,Paramètres!$A$1:$I$89,5,0)</f>
        <v>-1.4897523215040567E-13</v>
      </c>
      <c r="GB99" s="13" t="e">
        <f t="shared" si="198"/>
        <v>#NUM!</v>
      </c>
      <c r="GC99" s="20" t="e">
        <f t="shared" si="144"/>
        <v>#NUM!</v>
      </c>
      <c r="GD99" s="59" t="e">
        <f t="shared" si="145"/>
        <v>#NUM!</v>
      </c>
      <c r="GE99" s="59">
        <f ca="1">AVERAGE(OFFSET($GD$3,0,0,'Données projet'!$E$17+1,1))-AVERAGE(OFFSET($H$3,0,0,'Données projet'!$E$17+1,1))</f>
        <v>245.1983232777614</v>
      </c>
      <c r="GF99" s="59">
        <f t="shared" si="199"/>
        <v>242.34010522344573</v>
      </c>
      <c r="GG99" s="15">
        <f>IF(ISNA(VLOOKUP(A99,'Données projet'!$A$253:$I$273,3,0)),0,VLOOKUP(A99,'Données projet'!$A$253:$I$273,3,0))</f>
        <v>0</v>
      </c>
      <c r="GH99" s="15">
        <f>IF(ISNA(VLOOKUP(A99,'Données projet'!$A$253:$I$273,4,0)),0,VLOOKUP(A99,'Données projet'!$A$253:$I$273,4,0))</f>
        <v>0</v>
      </c>
      <c r="GI99" s="16">
        <f>IF(ISNA(VLOOKUP(A99,'Données projet'!$A$253:$I$273,5,0)),0%,VLOOKUP(A99,'Données projet'!$A$253:$I$273,5,0)*VLOOKUP('Données projet'!$B$17,Paramètres!$A$1:$I$89,7,0))</f>
        <v>0</v>
      </c>
      <c r="GJ99" s="16">
        <f>IF(ISNA(VLOOKUP(A99,'Données projet'!$A$253:$I$273,6,0)),0%,VLOOKUP(A99,'Données projet'!$A$253:$I$273,6,0)*VLOOKUP('Données projet'!$B$17,Paramètres!$A$1:$I$89,7,0))</f>
        <v>0</v>
      </c>
      <c r="GK99" s="16">
        <f>IF(ISNA(VLOOKUP(A99,'Données projet'!$A$253:$I$273,7,0)),0%,VLOOKUP(A99,'Données projet'!$A$253:$I$273,7,0))</f>
        <v>0</v>
      </c>
      <c r="GL99" s="21">
        <f>EXP(-LN(2)/35)*GL98+(1-EXP(-LN(2)/35))/(LN(2)/35)*GH99*GI99*VLOOKUP('Données projet'!$B$17,Paramètres!$A$1:$I$89,3,0)*0.475*44/12</f>
        <v>89.757120305332776</v>
      </c>
      <c r="GM99" s="21">
        <f>EXP(-LN(2)/25)*GM98+(1-EXP(-LN(2)/25))/(LN(2)/25)*Calculateur!GH99*Calculateur!GJ99*VLOOKUP('Données projet'!$B$17,Paramètres!$A$1:$I$89,3,0)*0.475*44/12</f>
        <v>13.974652532674789</v>
      </c>
      <c r="GN99" s="21">
        <f>EXP(-LN(2)/2)*GN98+(1-EXP(-LN(2)/2))/(LN(2)/2)*GH99*GK99*VLOOKUP('Données projet'!$B$17,Paramètres!$A$1:$I$89,3,0)*0.475*44/12</f>
        <v>0</v>
      </c>
      <c r="GO99" s="21">
        <f t="shared" si="146"/>
        <v>103.73177283800757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projet'!$A$279:$I$299,2,0)</f>
        <v>#N/A</v>
      </c>
      <c r="GS99" s="12" t="e">
        <f>VLOOKUP(A99,'Données projet'!$A$279:$I$299,9,0)</f>
        <v>#N/A</v>
      </c>
      <c r="GT99" s="12">
        <f t="array" ref="GT99">INDEX(GS:GS,MIN(IF(ISNUMBER(GS99:GS295),ROW(GS99:GS295),"")))</f>
        <v>0</v>
      </c>
      <c r="GU99" s="12">
        <f>IF('Données projet'!$A$280&gt;35,GU98+GT99-HC98,IF(A99&lt;'Données projet'!$A$280,$GR$205^A99,IF(A99='Données projet'!$A$280,'Données projet'!$B$280,GU98+GT99-HC98)))</f>
        <v>-1.1368683772161603E-13</v>
      </c>
      <c r="GV99" s="17">
        <f>GU99*VLOOKUP('Données projet'!$B$18,Paramètres!$A$1:$I$89,3,0)*VLOOKUP('Données projet'!$B$18,Paramètres!$A$1:$I$89,5,0)</f>
        <v>-4.5815795601811263E-14</v>
      </c>
      <c r="GW99" s="13" t="e">
        <f t="shared" si="200"/>
        <v>#NUM!</v>
      </c>
      <c r="GX99" s="20" t="e">
        <f t="shared" si="147"/>
        <v>#NUM!</v>
      </c>
      <c r="GY99" s="59" t="e">
        <f t="shared" si="148"/>
        <v>#NUM!</v>
      </c>
      <c r="GZ99" s="59">
        <f ca="1">AVERAGE(OFFSET($GY$3,0,0,'Données projet'!$E$18+1,1))-AVERAGE(OFFSET($H$3,0,0,'Données projet'!$E$18+1,1))</f>
        <v>324.36162935850876</v>
      </c>
      <c r="HA99" s="59">
        <f t="shared" si="201"/>
        <v>265.23571072429735</v>
      </c>
      <c r="HB99" s="15">
        <f>IF(ISNA(VLOOKUP(A99,'Données projet'!$A$279:$I$299,3,0)),0,VLOOKUP(A99,'Données projet'!$A$279:$I$299,3,0))</f>
        <v>0</v>
      </c>
      <c r="HC99" s="15">
        <f>IF(ISNA(VLOOKUP(A99,'Données projet'!$A$279:$I$299,4,0)),0,VLOOKUP(A99,'Données projet'!$A$279:$I$299,4,0))</f>
        <v>0</v>
      </c>
      <c r="HD99" s="16">
        <f>IF(ISNA(VLOOKUP(A99,'Données projet'!$A$279:$I$299,5,0)),0%,VLOOKUP(A99,'Données projet'!$A$279:$I$299,5,0)*VLOOKUP('Données projet'!$B$18,Paramètres!$A$1:$I$89,7,0))</f>
        <v>0</v>
      </c>
      <c r="HE99" s="16">
        <f>IF(ISNA(VLOOKUP(A99,'Données projet'!$A$279:$I$299,6,0)),0%,VLOOKUP(A99,'Données projet'!$A$279:$I$299,6,0)*VLOOKUP('Données projet'!$B$18,Paramètres!$A$1:$I$89,7,0))</f>
        <v>0</v>
      </c>
      <c r="HF99" s="16">
        <f>IF(ISNA(VLOOKUP($A99,'Données projet'!$A$279:$I$299,7,0)),0%,VLOOKUP($A99,'Données projet'!$A$279:$I$299,7,0))</f>
        <v>0</v>
      </c>
      <c r="HG99" s="21">
        <f>EXP(-LN(2)/35)*HG98+(1-EXP(-LN(2)/35))/(LN(2)/35)*HC99*HD99*VLOOKUP('Données projet'!$B$18,Paramètres!$A$1:$I$89,3,0)*0.475*44/12</f>
        <v>171.99810670461113</v>
      </c>
      <c r="HH99" s="21">
        <f>EXP(-LN(2)/25)*HH98+(1-EXP(-LN(2)/25))/(LN(2)/25)*Calculateur!HC99*Calculateur!HE99*VLOOKUP('Données projet'!$B$18,Paramètres!$A$1:$I$89,3,0)*0.475*44/12</f>
        <v>15.542313207296715</v>
      </c>
      <c r="HI99" s="21">
        <f>EXP(-LN(2)/2)*HI98+(1-EXP(-LN(2)/2))/(LN(2)/2)*HC99*HF99*VLOOKUP('Données projet'!$B$18,Paramètres!$A$1:$I$89,3,0)*0.475*44/12</f>
        <v>3.3387537927265343E-2</v>
      </c>
      <c r="HJ99" s="22">
        <f t="shared" si="149"/>
        <v>187.57380744983513</v>
      </c>
      <c r="HK99" s="74">
        <f>('Scénario référence'!$F$8+'Scénario référence'!$F$9+'Scénario référence'!$B$17+'Scénario référence'!$B$9+'Scénario référence'!$B$10)*70+IF((45+25*(1-EXP(-0.0175*$A99)))&lt;70,'Scénario référence'!$B$16*(45+25*(1-EXP(-0.0175*$A99))),70*'Scénario référence'!$B$16)+IF((32+38*(1-EXP(-0.0175*$A99)))&lt;70,'Scénario référence'!$B$18*(32+38*(1-EXP(-0.0175*$A99))),70*'Scénario référence'!$B$18)</f>
        <v>70</v>
      </c>
      <c r="HL99" s="12">
        <f>IF($A99&gt;30,10,('Scénario référence'!$B$16+'Scénario référence'!$B$17+'Scénario référence'!$B$18+'Scénario référence'!$B$9+'Scénario référence'!$B$10)*$A99*10/30+('Scénario référence'!$F$8+'Scénario référence'!$F$9)*10)</f>
        <v>10</v>
      </c>
      <c r="HM99" s="12" t="e">
        <f>VLOOKUP($A99,'Données projet'!$A$304:$I$324,2,0)</f>
        <v>#N/A</v>
      </c>
      <c r="HN99" s="12" t="e">
        <f>VLOOKUP($A99,'Données projet'!$A$304:$I$324,9,0)</f>
        <v>#N/A</v>
      </c>
      <c r="HO99" s="12">
        <f t="array" ref="HO99">INDEX(HN:HN,MIN(IF(ISNUMBER(HN99:HN295),ROW(HN99:HN295),"")))</f>
        <v>0</v>
      </c>
      <c r="HP99" s="12">
        <f>IF('Données projet'!$A$304&gt;35,HP98+HO99-HX98,IF($A99&lt;'Données projet'!$A$304,$CQ$205^$A99,IF($A99='Données projet'!$A$304,'Données projet'!$B$304,HP98+HO99-HX98)))</f>
        <v>0</v>
      </c>
      <c r="HQ99" s="17">
        <f>HP99*VLOOKUP('Données projet'!$B$19,Paramètres!$A$1:$I$89,3,0)*VLOOKUP('Données projet'!$B$19,Paramètres!$A$1:$I$89,5,0)</f>
        <v>0</v>
      </c>
      <c r="HR99" s="13" t="e">
        <f t="shared" si="202"/>
        <v>#NUM!</v>
      </c>
      <c r="HS99" s="14" t="e">
        <f t="shared" si="150"/>
        <v>#NUM!</v>
      </c>
      <c r="HT99" s="59" t="e">
        <f t="shared" si="151"/>
        <v>#NUM!</v>
      </c>
      <c r="HU99" s="59">
        <f ca="1">AVERAGE(OFFSET(HT$3,0,0,'Données projet'!$E$19+1,1))-AVERAGE(OFFSET($H$3,0,0,'Données projet'!$E$19+1,1))</f>
        <v>91.60721429656013</v>
      </c>
      <c r="HV99" s="59">
        <f t="shared" si="203"/>
        <v>258.94957804210856</v>
      </c>
      <c r="HW99" s="15">
        <f>IF(ISNA(VLOOKUP($A99,'Données projet'!$A$304:$I$324,3,0)),0,VLOOKUP($A99,'Données projet'!$A$304:$I$324,3,0))</f>
        <v>0</v>
      </c>
      <c r="HX99" s="15">
        <f>IF(ISNA(VLOOKUP($A99,'Données projet'!$A$304:$I$324,4,0)),0,VLOOKUP($A99,'Données projet'!$A$304:$I$324,4,0))</f>
        <v>0</v>
      </c>
      <c r="HY99" s="16">
        <f>IF(ISNA(VLOOKUP($A99,'Données projet'!$A$304:$I$324,5,0)),0%,VLOOKUP($A99,'Données projet'!$A$304:$I$324,5,0)*VLOOKUP('Données projet'!$B$19,Paramètres!$A$1:$I$89,7,0))</f>
        <v>0</v>
      </c>
      <c r="HZ99" s="16">
        <f>IF(ISNA(VLOOKUP($A99,'Données projet'!$A$304:$I$324,6,0)),0%,VLOOKUP($A99,'Données projet'!$A$304:$I$324,6,0)*VLOOKUP('Données projet'!$B$19,Paramètres!$A$1:$I$89,7,0))</f>
        <v>0</v>
      </c>
      <c r="IA99" s="16">
        <f>IF(ISNA(VLOOKUP($A99,'Données projet'!$A$304:$I$324,7,0)),0%,VLOOKUP($A99,'Données projet'!$A$304:$I$324,7,0))</f>
        <v>0</v>
      </c>
      <c r="IB99" s="21">
        <f>EXP(-LN(2)/35)*IB98+(1-EXP(-LN(2)/35))/(LN(2)/35)*HX99*HY99*VLOOKUP('Données projet'!$B$19,Paramètres!$A$1:$I$89,3,0)*0.475*44/12</f>
        <v>13.3499107874398</v>
      </c>
      <c r="IC99" s="21">
        <f>EXP(-LN(2)/25)*IC98+(1-EXP(-LN(2)/25))/(LN(2)/25)*Calculateur!HX99*Calculateur!HZ99*VLOOKUP('Données projet'!$B$19,Paramètres!$A$1:$I$89,3,0)*0.475*44/12</f>
        <v>1.5606020425714324</v>
      </c>
      <c r="ID99" s="21">
        <f>EXP(-LN(2)/2)*ID98+(1-EXP(-LN(2)/2))/(LN(2)/2)*HX99*IA99*VLOOKUP('Données projet'!$B$19,Paramètres!$A$1:$I$89,3,0)*0.475*44/12</f>
        <v>6.6688786230978736E-11</v>
      </c>
      <c r="IE99" s="22">
        <f t="shared" si="152"/>
        <v>14.91051283007792</v>
      </c>
      <c r="IF99" s="74">
        <f>('Scénario référence'!$F$8+'Scénario référence'!$F$9+'Scénario référence'!$B$17+'Scénario référence'!$B$9+'Scénario référence'!$B$10)*70+IF((45+25*(1-EXP(-0.0175*$A99)))&lt;70,'Scénario référence'!$B$16*(45+25*(1-EXP(-0.0175*$A99))),70*'Scénario référence'!$B$16)+IF((32+38*(1-EXP(-0.0175*$A99)))&lt;70,'Scénario référence'!$B$18*(32+38*(1-EXP(-0.0175*$A99))),70*'Scénario référence'!$B$18)</f>
        <v>70</v>
      </c>
      <c r="IG99" s="12">
        <f>IF($A99&gt;30,10,('Scénario référence'!$B$16+'Scénario référence'!$B$17+'Scénario référence'!$B$18+'Scénario référence'!$B$9+'Scénario référence'!$B$10)*$A99*10/30+('Scénario référence'!$F$8+'Scénario référence'!$F$9)*10)</f>
        <v>10</v>
      </c>
      <c r="IH99" s="12" t="e">
        <f>VLOOKUP($A99,'Données projet'!$A$330:$I$350,2,0)</f>
        <v>#N/A</v>
      </c>
      <c r="II99" s="12" t="e">
        <f>VLOOKUP($A99,'Données projet'!$A$330:$I$350,9,0)</f>
        <v>#N/A</v>
      </c>
      <c r="IJ99" s="12">
        <f t="array" ref="IJ99">INDEX(II:II,MIN(IF(ISNUMBER(II99:II295),ROW(II99:II295),"")))</f>
        <v>0</v>
      </c>
      <c r="IK99" s="12">
        <f>IF('Données projet'!$A$330&gt;35,IK98+IJ99-IS98,IF($A99&lt;'Données projet'!$A$330,$CQ$205^$A99,IF($A99='Données projet'!$A$330,'Données projet'!$B$330,IK98+IJ99-IS98)))</f>
        <v>0</v>
      </c>
      <c r="IL99" s="17">
        <f>IK99*VLOOKUP('Données projet'!$B$20,Paramètres!$A$1:$I$89,3,0)*VLOOKUP('Données projet'!$B$20,Paramètres!$A$1:$I$89,5,0)</f>
        <v>0</v>
      </c>
      <c r="IM99" s="13" t="e">
        <f t="shared" si="204"/>
        <v>#NUM!</v>
      </c>
      <c r="IN99" s="20" t="e">
        <f t="shared" si="153"/>
        <v>#NUM!</v>
      </c>
      <c r="IO99" s="59" t="e">
        <f t="shared" si="154"/>
        <v>#NUM!</v>
      </c>
      <c r="IP99" s="59">
        <f ca="1">AVERAGE(OFFSET(IO$3,0,0,'Données projet'!$E$20+1,1))-AVERAGE(OFFSET($H$3,0,0,'Données projet'!$E$20+1,1))</f>
        <v>91.60721429656013</v>
      </c>
      <c r="IQ99" s="59">
        <f t="shared" si="205"/>
        <v>258.94957804210856</v>
      </c>
      <c r="IR99" s="15">
        <f>IF(ISNA(VLOOKUP($A99,'Données projet'!$A$330:$I$350,3,0)),0,VLOOKUP($A99,'Données projet'!$A$330:$I$350,3,0))</f>
        <v>0</v>
      </c>
      <c r="IS99" s="15">
        <f>IF(ISNA(VLOOKUP($A99,'Données projet'!$A$330:$I$350,4,0)),0,VLOOKUP($A99,'Données projet'!$A$330:$I$350,4,0))</f>
        <v>0</v>
      </c>
      <c r="IT99" s="16">
        <f>IF(ISNA(VLOOKUP($A99,'Données projet'!$A$330:$I$350,5,0)),0%,VLOOKUP($A99,'Données projet'!$A$330:$I$350,5,0)*VLOOKUP('Données projet'!$B$20,Paramètres!$A$1:$I$89,7,0))</f>
        <v>0</v>
      </c>
      <c r="IU99" s="16">
        <f>IF(ISNA(VLOOKUP($A99,'Données projet'!$A$330:$I$350,6,0)),0%,VLOOKUP($A99,'Données projet'!$A$330:$I$350,6,0)*VLOOKUP('Données projet'!$B$20,Paramètres!$A$1:$I$89,7,0))</f>
        <v>0</v>
      </c>
      <c r="IV99" s="16">
        <f>IF(ISNA(VLOOKUP($A99,'Données projet'!$A$330:$I$350,7,0)),0%,VLOOKUP($A99,'Données projet'!$A$330:$I$350,7,0))</f>
        <v>0</v>
      </c>
      <c r="IW99" s="21">
        <f>EXP(-LN(2)/35)*IW98+(1-EXP(-LN(2)/35))/(LN(2)/35)*IS99*IT99*VLOOKUP('Données projet'!$B$20,Paramètres!$A$1:$I$89,3,0)*0.475*44/12</f>
        <v>13.3499107874398</v>
      </c>
      <c r="IX99" s="21">
        <f>EXP(-LN(2)/25)*IX98+(1-EXP(-LN(2)/25))/(LN(2)/25)*Calculateur!IS99*Calculateur!IU99*VLOOKUP('Données projet'!$B$20,Paramètres!$A$1:$I$89,3,0)*0.475*44/12</f>
        <v>1.5606020425714324</v>
      </c>
      <c r="IY99" s="21">
        <f>EXP(-LN(2)/2)*IY98+(1-EXP(-LN(2)/2))/(LN(2)/2)*IS99*IV99*VLOOKUP('Données projet'!$B$20,Paramètres!$A$1:$I$89,3,0)*0.475*44/12</f>
        <v>6.6688786230978736E-11</v>
      </c>
      <c r="IZ99" s="22">
        <f t="shared" si="155"/>
        <v>14.91051283007792</v>
      </c>
      <c r="JA99" s="74">
        <f>('Scénario référence'!$F$8+'Scénario référence'!$F$9+'Scénario référence'!$B$17+'Scénario référence'!$B$9+'Scénario référence'!$B$10)*70+IF((45+25*(1-EXP(-0.0175*$A99)))&lt;70,'Scénario référence'!$B$16*(45+25*(1-EXP(-0.0175*$A99))),70*'Scénario référence'!$B$16)+IF((32+38*(1-EXP(-0.0175*$A99)))&lt;70,'Scénario référence'!$B$18*(32+38*(1-EXP(-0.0175*$A99))),70*'Scénario référence'!$B$18)</f>
        <v>70</v>
      </c>
      <c r="JB99" s="12">
        <f>IF($A99&gt;30,10,('Scénario référence'!$B$16+'Scénario référence'!$B$17+'Scénario référence'!$B$18+'Scénario référence'!$B$9+'Scénario référence'!$B$10)*$A99*10/30+('Scénario référence'!$F$8+'Scénario référence'!$F$9)*10)</f>
        <v>10</v>
      </c>
      <c r="JC99" s="12" t="e">
        <f>VLOOKUP($A99,'Données projet'!$A$356:$I$376,2,0)</f>
        <v>#N/A</v>
      </c>
      <c r="JD99" s="12" t="e">
        <f>VLOOKUP($A99,'Données projet'!$A$356:$I$376,9,0)</f>
        <v>#N/A</v>
      </c>
      <c r="JE99" s="12">
        <f t="array" ref="JE99">INDEX(JD:JD,MIN(IF(ISNUMBER(JD99:JD295),ROW(JD99:JD295),"")))</f>
        <v>4.9000000000000004</v>
      </c>
      <c r="JF99" s="12">
        <f>IF('Données projet'!$A$356&gt;35,JF98+JE99-JN98,IF($A99&lt;'Données projet'!$A$356,$CQ$205^$A99,IF($A99='Données projet'!$A$356,'Données projet'!$B$356,JF98+JE99-JN98)))</f>
        <v>380.39999999999958</v>
      </c>
      <c r="JG99" s="17">
        <f>JF99*VLOOKUP('Données projet'!$B$21,Paramètres!$A$1:$I$89,3,0)*VLOOKUP('Données projet'!$B$21,Paramètres!$A$1:$I$89,5,0)</f>
        <v>308.58047999999968</v>
      </c>
      <c r="JH99" s="13">
        <f t="shared" si="206"/>
        <v>72.972298756824827</v>
      </c>
      <c r="JI99" s="20">
        <f t="shared" si="156"/>
        <v>664.53775633480268</v>
      </c>
      <c r="JJ99" s="59">
        <f t="shared" si="157"/>
        <v>957.87108966813594</v>
      </c>
      <c r="JK99" s="59">
        <f ca="1">AVERAGE(OFFSET($JJ$3,0,0,'Données projet'!$E$22+1,1))-AVERAGE(OFFSET($H$3,0,0,'Données projet'!$E$22+1,1))</f>
        <v>353.35574633294613</v>
      </c>
      <c r="JL99" s="59">
        <f t="shared" si="207"/>
        <v>170.36796666474726</v>
      </c>
      <c r="JM99" s="15">
        <f>IF(ISNA(VLOOKUP($A99,'Données projet'!$A$356:$I$376,3,0)),0,VLOOKUP($A99,'Données projet'!$A$356:$I$376,3,0))</f>
        <v>0</v>
      </c>
      <c r="JN99" s="15">
        <f>IF(ISNA(VLOOKUP($A99,'Données projet'!$A$356:$I$376,4,0)),0,VLOOKUP($A99,'Données projet'!$A$356:$I$376,4,0))</f>
        <v>0</v>
      </c>
      <c r="JO99" s="16">
        <f>IF(ISNA(VLOOKUP($A99,'Données projet'!$A$356:$I$376,5,0)),0%,VLOOKUP($A99,'Données projet'!$A$356:$I$376,5,0)*VLOOKUP('Données projet'!$B$21,Paramètres!$A$1:$I$89,7,0))</f>
        <v>0</v>
      </c>
      <c r="JP99" s="16">
        <f>IF(ISNA(VLOOKUP($A99,'Données projet'!$A$356:$I$376,6,0)),0%,VLOOKUP($A99,'Données projet'!$A$356:$I$376,6,0)*VLOOKUP('Données projet'!$B$21,Paramètres!$A$1:$I$89,7,0))</f>
        <v>0</v>
      </c>
      <c r="JQ99" s="16">
        <f>IF(ISNA(VLOOKUP($A99,'Données projet'!$A$356:$I$376,7,0)),0%,VLOOKUP($A99,'Données projet'!$A$356:$I$376,7,0))</f>
        <v>0</v>
      </c>
      <c r="JR99" s="21">
        <f>EXP(-LN(2)/35)*JR98+(1-EXP(-LN(2)/35))/(LN(2)/35)*JN99*JO99*VLOOKUP('Données projet'!$B$21,Paramètres!$A$1:$I$89,3,0)*0.475*44/12</f>
        <v>2.3890634936502173</v>
      </c>
      <c r="JS99" s="21">
        <f>EXP(-LN(2)/25)*JS98+(1-EXP(-LN(2)/25))/(LN(2)/25)*Calculateur!JN99*Calculateur!JP99*VLOOKUP('Données projet'!$B$21,Paramètres!$A$1:$I$89,3,0)*0.475*44/12</f>
        <v>14.693059292704254</v>
      </c>
      <c r="JT99" s="21">
        <f>EXP(-LN(2)/2)*JT98+(1-EXP(-LN(2)/2))/(LN(2)/2)*JN99*JQ99*VLOOKUP('Données projet'!$B$21,Paramètres!$A$1:$I$89,3,0)*0.475*44/12</f>
        <v>0.77676161603805294</v>
      </c>
      <c r="JU99" s="18">
        <f t="shared" si="158"/>
        <v>17.858884402392523</v>
      </c>
      <c r="JV99" s="74">
        <f>('Scénario référence'!$F$8+'Scénario référence'!$F$9+'Scénario référence'!$B$17+'Scénario référence'!$B$9+'Scénario référence'!$B$10)*70+IF((45+25*(1-EXP(-0.0175*$A99)))&lt;70,'Scénario référence'!$B$16*(45+25*(1-EXP(-0.0175*$A99))),70*'Scénario référence'!$B$16)+IF((32+38*(1-EXP(-0.0175*$A99)))&lt;70,'Scénario référence'!$B$18*(32+38*(1-EXP(-0.0175*$A99))),70*'Scénario référence'!$B$18)</f>
        <v>70</v>
      </c>
      <c r="JW99" s="12">
        <f>IF($A99&gt;30,10,('Scénario référence'!$B$16+'Scénario référence'!$B$17+'Scénario référence'!$B$18+'Scénario référence'!$B$9+'Scénario référence'!$B$10)*$A99*10/30+('Scénario référence'!$F$8+'Scénario référence'!$F$9)*10)</f>
        <v>10</v>
      </c>
      <c r="JX99" s="12" t="e">
        <f>VLOOKUP($A99,'Données projet'!$A$382:$I$402,2,0)</f>
        <v>#N/A</v>
      </c>
      <c r="JY99" s="12" t="e">
        <f>VLOOKUP($A99,'Données projet'!$A$382:$I$402,9,0)</f>
        <v>#N/A</v>
      </c>
      <c r="JZ99" s="12">
        <f t="array" ref="JZ99">INDEX(JY:JY,MIN(IF(ISNUMBER(JY99:JY295),ROW(JY99:JY295),"")))</f>
        <v>7.1782051282051267</v>
      </c>
      <c r="KA99" s="12">
        <f>IF('Données projet'!$A$382&gt;35,KA98+JZ99-KI98,IF($A99&lt;'Données projet'!$A$382,$CQ$205^$A99,IF($A99='Données projet'!$A$382,'Données projet'!$B$382,KA98+JZ99-KI98)))</f>
        <v>296.71538461538501</v>
      </c>
      <c r="KB99" s="17">
        <f>KA99*VLOOKUP('Données projet'!$B$22,Paramètres!$A$1:$I$89,3,0)*VLOOKUP('Données projet'!$B$22,Paramètres!$A$1:$I$89,5,0)</f>
        <v>199.03668000000025</v>
      </c>
      <c r="KC99" s="13">
        <f t="shared" si="208"/>
        <v>49.532399692087424</v>
      </c>
      <c r="KD99" s="20">
        <f t="shared" si="159"/>
        <v>432.92448046371925</v>
      </c>
      <c r="KE99" s="59">
        <f t="shared" si="160"/>
        <v>726.25781379705256</v>
      </c>
      <c r="KF99" s="59">
        <f ca="1">AVERAGE(OFFSET($KE$3,0,0,'Données projet'!$E$22+1,1))-AVERAGE(OFFSET($H$3,0,0,'Données projet'!$E$22+1,1))</f>
        <v>193.91714772848269</v>
      </c>
      <c r="KG99" s="59">
        <f t="shared" si="209"/>
        <v>159.20429420478047</v>
      </c>
      <c r="KH99" s="15">
        <f>IF(ISNA(VLOOKUP($A99,'Données projet'!$A$382:$I$402,3,0)),0,VLOOKUP($A99,'Données projet'!$A$382:$I$402,3,0))</f>
        <v>0</v>
      </c>
      <c r="KI99" s="15">
        <f>IF(ISNA(VLOOKUP($A99,'Données projet'!$A$382:$I$402,4,0)),0,VLOOKUP($A99,'Données projet'!$A$382:$I$402,4,0))</f>
        <v>0</v>
      </c>
      <c r="KJ99" s="16">
        <f>IF(ISNA(VLOOKUP($A99,'Données projet'!$A$382:$I$402,5,0)),0%,VLOOKUP($A99,'Données projet'!$A$382:$I$402,5,0)*VLOOKUP('Données projet'!$B$22,Paramètres!$A$1:$I$89,7,0))</f>
        <v>0</v>
      </c>
      <c r="KK99" s="16">
        <f>IF(ISNA(VLOOKUP($A99,'Données projet'!$A$382:$I$402,6,0)),0%,VLOOKUP($A99,'Données projet'!$A$382:$I$402,6,0)*VLOOKUP('Données projet'!$B$22,Paramètres!$A$1:$I$89,7,0))</f>
        <v>0</v>
      </c>
      <c r="KL99" s="16">
        <f>IF(ISNA(VLOOKUP($A99,'Données projet'!$A$382:$I$402,7,0)),0%,VLOOKUP($A99,'Données projet'!$A$382:$I$402,7,0))</f>
        <v>0</v>
      </c>
      <c r="KM99" s="21">
        <f>EXP(-LN(2)/35)*KM98+(1-EXP(-LN(2)/35))/(LN(2)/35)*KI99*KJ99*VLOOKUP('Données projet'!$B$22,Paramètres!$A$1:$I$89,3,0)*0.475*44/12</f>
        <v>33.637331606983238</v>
      </c>
      <c r="KN99" s="21">
        <f>EXP(-LN(2)/25)*KN98+(1-EXP(-LN(2)/25))/(LN(2)/25)*Calculateur!KI99*Calculateur!KK99*VLOOKUP('Données projet'!$B$22,Paramètres!$A$1:$I$89,3,0)*0.475*44/12</f>
        <v>0</v>
      </c>
      <c r="KO99" s="21">
        <f>EXP(-LN(2)/2)*KO98+(1-EXP(-LN(2)/2))/(LN(2)/2)*KI99*KL99*VLOOKUP('Données projet'!$B$22,Paramètres!$A$1:$I$89,3,0)*0.475*44/12</f>
        <v>0</v>
      </c>
      <c r="KP99" s="22">
        <f t="shared" si="161"/>
        <v>33.637331606983238</v>
      </c>
      <c r="KQ99" s="74">
        <f>('Scénario référence'!$F$8+'Scénario référence'!$F$9+'Scénario référence'!$B$17+'Scénario référence'!$B$9+'Scénario référence'!$B$10)*70+IF((45+25*(1-EXP(-0.0175*$A99)))&lt;70,'Scénario référence'!$B$16*(45+25*(1-EXP(-0.0175*$A99))),70*'Scénario référence'!$B$16)+IF((32+38*(1-EXP(-0.0175*$A99)))&lt;70,'Scénario référence'!$B$18*(32+38*(1-EXP(-0.0175*$A99))),70*'Scénario référence'!$B$18)</f>
        <v>70</v>
      </c>
      <c r="KR99" s="12">
        <f>IF($A99&gt;30,10,('Scénario référence'!$B$16+'Scénario référence'!$B$17+'Scénario référence'!$B$18+'Scénario référence'!$B$9+'Scénario référence'!$B$10)*$A99*10/30+('Scénario référence'!$F$8+'Scénario référence'!$F$9)*10)</f>
        <v>10</v>
      </c>
      <c r="KS99" s="12" t="e">
        <f>VLOOKUP($A99,'Données projet'!$A$408:$I$428,2,0)</f>
        <v>#N/A</v>
      </c>
      <c r="KT99" s="12" t="e">
        <f>VLOOKUP($A99,'Données projet'!$A$408:$I$428,9,0)</f>
        <v>#N/A</v>
      </c>
      <c r="KU99" s="12">
        <f t="array" ref="KU99">INDEX(KT:KT,MIN(IF(ISNUMBER(KT99:KT295),ROW(KT99:KT295),"")))</f>
        <v>0</v>
      </c>
      <c r="KV99" s="12">
        <f>IF('Données projet'!$A$408&gt;35,KV98+KU99-LD98,IF($A99&lt;'Données projet'!$A$408,$CQ$205^$A99,IF($A99='Données projet'!$A$408,'Données projet'!$B$408,KV98+KU99-LD98)))</f>
        <v>-1.1368683772161603E-13</v>
      </c>
      <c r="KW99" s="17">
        <f>KV99*VLOOKUP('Données projet'!$B$23,Paramètres!$A$1:$I$89,3,0)*VLOOKUP('Données projet'!$B$23,Paramètres!$A$1:$I$89,5,0)</f>
        <v>-9.9316821433603781E-14</v>
      </c>
      <c r="KX99" s="13" t="e">
        <f t="shared" si="210"/>
        <v>#NUM!</v>
      </c>
      <c r="KY99" s="14" t="e">
        <f t="shared" si="162"/>
        <v>#NUM!</v>
      </c>
      <c r="KZ99" s="59" t="e">
        <f t="shared" si="163"/>
        <v>#NUM!</v>
      </c>
      <c r="LA99" s="59">
        <f ca="1">AVERAGE(OFFSET($KZ$3,0,0,'Données projet'!$E$23+1,1))-AVERAGE(OFFSET($H$3,0,0,'Données projet'!$E$23+1,1))</f>
        <v>248.33596943633819</v>
      </c>
      <c r="LB99" s="59">
        <f t="shared" si="211"/>
        <v>242.34010522344573</v>
      </c>
      <c r="LC99" s="15">
        <f>IF(ISNA(VLOOKUP($A99,'Données projet'!$A$408:$I$428,3,0)),0,VLOOKUP($A99,'Données projet'!$A$408:$I$428,3,0))</f>
        <v>0</v>
      </c>
      <c r="LD99" s="15">
        <f>IF(ISNA(VLOOKUP($A99,'Données projet'!$A$408:$I$428,4,0)),0,VLOOKUP($A99,'Données projet'!$A$408:$I$428,4,0))</f>
        <v>0</v>
      </c>
      <c r="LE99" s="16">
        <f>IF(ISNA(VLOOKUP($A99,'Données projet'!$A$408:$I$428,5,0)),0%,VLOOKUP($A99,'Données projet'!$A$408:$I$428,5,0)*VLOOKUP('Données projet'!$B$23,Paramètres!$A$1:$I$89,7,0))</f>
        <v>0</v>
      </c>
      <c r="LF99" s="16">
        <f>IF(ISNA(VLOOKUP($A99,'Données projet'!$A$408:$I$428,6,0)),0%,VLOOKUP($A99,'Données projet'!$A$408:$I$428,6,0)*VLOOKUP('Données projet'!$B$23,Paramètres!$A$1:$I$89,7,0))</f>
        <v>0</v>
      </c>
      <c r="LG99" s="16">
        <f>IF(ISNA(VLOOKUP($A99,'Données projet'!$A$408:$I$428,7,0)),0%,VLOOKUP($A99,'Données projet'!$A$408:$I$428,7,0))</f>
        <v>0</v>
      </c>
      <c r="LH99" s="21">
        <f>EXP(-LN(2)/35)*LH98+(1-EXP(-LN(2)/35))/(LN(2)/35)*LD99*LE99*VLOOKUP('Données projet'!$B$23,Paramètres!$A$1:$I$89,3,0)*0.475*44/12</f>
        <v>89.757120305332776</v>
      </c>
      <c r="LI99" s="21">
        <f>EXP(-LN(2)/25)*LI98+(1-EXP(-LN(2)/25))/(LN(2)/25)*Calculateur!LD99*Calculateur!LF99*VLOOKUP('Données projet'!$B$23,Paramètres!$A$1:$I$89,3,0)*0.475*44/12</f>
        <v>13.974652532674789</v>
      </c>
      <c r="LJ99" s="21">
        <f>EXP(-LN(2)/2)*LJ98+(1-EXP(-LN(2)/2))/(LN(2)/2)*LD99*LG99*VLOOKUP('Données projet'!$B$23,Paramètres!$A$1:$I$89,3,0)*0.475*44/12</f>
        <v>0</v>
      </c>
      <c r="LK99" s="22">
        <f t="shared" si="164"/>
        <v>103.73177283800757</v>
      </c>
      <c r="LL99" s="74">
        <f>('Scénario référence'!$F$8+'Scénario référence'!$F$9+'Scénario référence'!$B$17+'Scénario référence'!$B$9+'Scénario référence'!$B$10)*70+IF((45+25*(1-EXP(-0.0175*$A99)))&lt;70,'Scénario référence'!$B$16*(45+25*(1-EXP(-0.0175*$A99))),70*'Scénario référence'!$B$16)+IF((32+38*(1-EXP(-0.0175*$A99)))&lt;70,'Scénario référence'!$B$18*(32+38*(1-EXP(-0.0175*$A99))),70*'Scénario référence'!$B$18)</f>
        <v>70</v>
      </c>
      <c r="LM99" s="12">
        <f>IF($A99&gt;30,10,('Scénario référence'!$B$16+'Scénario référence'!$B$17+'Scénario référence'!$B$18+'Scénario référence'!$B$9+'Scénario référence'!$B$10)*$A99*10/30+('Scénario référence'!$F$8+'Scénario référence'!$F$9)*10)</f>
        <v>10</v>
      </c>
      <c r="LN99" s="12" t="e">
        <f>VLOOKUP($A99,'Données projet'!$A$434:$I$454,2,0)</f>
        <v>#N/A</v>
      </c>
      <c r="LO99" s="12" t="e">
        <f>VLOOKUP($A99,'Données projet'!$A$434:$I$454,9,0)</f>
        <v>#N/A</v>
      </c>
      <c r="LP99" s="12">
        <f t="array" ref="LP99">INDEX(LO:LO,MIN(IF(ISNUMBER(LO99:LO295),ROW(LO99:LO295),"")))</f>
        <v>5.2583333333333373</v>
      </c>
      <c r="LQ99" s="12">
        <f>IF('Données projet'!$A$434&gt;35,LQ98+LP99-LY98,IF($A99&lt;'Données projet'!$A$434,$CQ$205^$A99,IF($A99='Données projet'!$A$434,'Données projet'!$B$434,LQ98+LP99-LY98)))</f>
        <v>197.96089743589718</v>
      </c>
      <c r="LR99" s="17">
        <f>LQ99*VLOOKUP('Données projet'!$B$24,Paramètres!$A$1:$I$89,3,0)*VLOOKUP('Données projet'!$B$24,Paramètres!$A$1:$I$89,5,0)</f>
        <v>200.73234999999977</v>
      </c>
      <c r="LS99" s="13">
        <f t="shared" si="212"/>
        <v>49.905081835677372</v>
      </c>
      <c r="LT99" s="14">
        <f t="shared" si="165"/>
        <v>436.52686044713772</v>
      </c>
      <c r="LU99" s="59">
        <f t="shared" si="166"/>
        <v>729.86019378047104</v>
      </c>
      <c r="LV99" s="59">
        <f ca="1">AVERAGE(OFFSET($LU$3,0,0,'Données projet'!$E$24+1,1))-AVERAGE(OFFSET($H$3,0,0,'Données projet'!$E$24+1,1))</f>
        <v>260.52627655062872</v>
      </c>
      <c r="LW99" s="59">
        <f t="shared" si="213"/>
        <v>159.20429420478047</v>
      </c>
      <c r="LX99" s="15">
        <f>IF(ISNA(VLOOKUP($A99,'Données projet'!$A$434:$I$454,3,0)),0,VLOOKUP($A99,'Données projet'!$A$434:$I$454,3,0))</f>
        <v>0</v>
      </c>
      <c r="LY99" s="15">
        <f>IF(ISNA(VLOOKUP($A99,'Données projet'!$A$434:$I$454,4,0)),0,VLOOKUP($A99,'Données projet'!$A$434:$I$454,4,0))</f>
        <v>0</v>
      </c>
      <c r="LZ99" s="16">
        <f>IF(ISNA(VLOOKUP($A99,'Données projet'!$A$434:$I$454,5,0)),0%,VLOOKUP($A99,'Données projet'!$A$434:$I$454,5,0)*VLOOKUP('Données projet'!$B$24,Paramètres!$A$1:$I$89,7,0))</f>
        <v>0</v>
      </c>
      <c r="MA99" s="16">
        <f>IF(ISNA(VLOOKUP($A99,'Données projet'!$A$434:$I$454,6,0)),0%,VLOOKUP($A99,'Données projet'!$A$434:$I$454,6,0)*VLOOKUP('Données projet'!$B$24,Paramètres!$A$1:$I$89,7,0))</f>
        <v>0</v>
      </c>
      <c r="MB99" s="16">
        <f>IF(ISNA(VLOOKUP($A99,'Données projet'!$A$434:$I$454,7,0)),0%,VLOOKUP($A99,'Données projet'!$A$434:$I$454,7,0))</f>
        <v>0</v>
      </c>
      <c r="MC99" s="21">
        <f>EXP(-LN(2)/35)*MC98+(1-EXP(-LN(2)/35))/(LN(2)/35)*LY99*LZ99*VLOOKUP('Données projet'!$B$24,Paramètres!$A$1:$I$89,3,0)*0.475*44/12</f>
        <v>25.7804106076116</v>
      </c>
      <c r="MD99" s="21">
        <f>EXP(-LN(2)/25)*MD98+(1-EXP(-LN(2)/25))/(LN(2)/25)*Calculateur!LY99*Calculateur!MA99*VLOOKUP('Données projet'!$B$24,Paramètres!$A$1:$I$89,3,0)*0.475*44/12</f>
        <v>0</v>
      </c>
      <c r="ME99" s="21">
        <f>EXP(-LN(2)/2)*ME98+(1-EXP(-LN(2)/2))/(LN(2)/2)*LY99*MB99*VLOOKUP('Données projet'!$B$24,Paramètres!$A$1:$I$89,3,0)*0.475*44/12</f>
        <v>0</v>
      </c>
      <c r="MF99" s="22">
        <f t="shared" si="167"/>
        <v>25.7804106076116</v>
      </c>
      <c r="MG99" s="74">
        <f>('Scénario référence'!$F$8+'Scénario référence'!$F$9+'Scénario référence'!$B$17+'Scénario référence'!$B$9+'Scénario référence'!$B$10)*70+IF((45+25*(1-EXP(-0.0175*$A99)))&lt;70,'Scénario référence'!$B$16*(45+25*(1-EXP(-0.0175*$A99))),70*'Scénario référence'!$B$16)+IF((32+38*(1-EXP(-0.0175*$A99)))&lt;70,'Scénario référence'!$B$18*(32+38*(1-EXP(-0.0175*$A99))),70*'Scénario référence'!$B$18)</f>
        <v>70</v>
      </c>
      <c r="MH99" s="12">
        <f>IF($A99&gt;30,10,('Scénario référence'!$B$16+'Scénario référence'!$B$17+'Scénario référence'!$B$18+'Scénario référence'!$B$9+'Scénario référence'!$B$10)*$A99*10/30+('Scénario référence'!$F$8+'Scénario référence'!$F$9)*10)</f>
        <v>10</v>
      </c>
      <c r="MI99" s="12" t="e">
        <f>VLOOKUP($A99,'Données projet'!$A$460:$I$480,2,0)</f>
        <v>#N/A</v>
      </c>
      <c r="MJ99" s="12" t="e">
        <f>VLOOKUP($A99,'Données projet'!$A$460:$I$480,9,0)</f>
        <v>#N/A</v>
      </c>
      <c r="MK99" s="12">
        <f t="array" ref="MK99">INDEX(MJ:MJ,MIN(IF(ISNUMBER(MJ99:MJ295),ROW(MJ99:MJ295),"")))</f>
        <v>0</v>
      </c>
      <c r="ML99" s="12">
        <f>IF('Données projet'!$A$460&gt;35,ML98+MK99-MT98,IF($A99&lt;'Données projet'!$A$460,$CQ$205^$A99,IF($A99='Données projet'!$A$460,'Données projet'!$B$460,ML98+MK99-MT98)))</f>
        <v>0</v>
      </c>
      <c r="MM99" s="17" t="e">
        <f>ML99*VLOOKUP('Données projet'!$B$25,Paramètres!$A$1:$I$89,3,0)*VLOOKUP('Données projet'!$B$25,Paramètres!$A$1:$I$89,5,0)</f>
        <v>#N/A</v>
      </c>
      <c r="MN99" s="13" t="e">
        <f t="shared" si="214"/>
        <v>#N/A</v>
      </c>
      <c r="MO99" s="14" t="e">
        <f t="shared" si="168"/>
        <v>#N/A</v>
      </c>
      <c r="MP99" s="59" t="e">
        <f t="shared" si="169"/>
        <v>#N/A</v>
      </c>
      <c r="MQ99" s="20" t="e">
        <f ca="1">AVERAGE(OFFSET($MP$3,0,0,'Données projet'!$E$25+1,1))-AVERAGE(OFFSET($H$3,0,0,'Données projet'!$E$25+1,1))</f>
        <v>#N/A</v>
      </c>
      <c r="MR99" s="59" t="e">
        <f t="shared" si="215"/>
        <v>#N/A</v>
      </c>
      <c r="MS99" s="15">
        <f>IF(ISNA(VLOOKUP($A99,'Données projet'!$A$460:$I$480,3,0)),0,VLOOKUP($A99,'Données projet'!$A$460:$I$480,3,0))</f>
        <v>0</v>
      </c>
      <c r="MT99" s="15">
        <f>IF(ISNA(VLOOKUP($A99,'Données projet'!$A$460:$I$480,4,0)),0,VLOOKUP($A99,'Données projet'!$A$460:$I$480,4,0))</f>
        <v>0</v>
      </c>
      <c r="MU99" s="16">
        <f>IF(ISNA(VLOOKUP($A99,'Données projet'!$A$460:$I$480,5,0)),0%,VLOOKUP($A99,'Données projet'!$A$460:$I$480,5,0)*VLOOKUP('Données projet'!$B$25,Paramètres!$A$1:$I$89,7,0))</f>
        <v>0</v>
      </c>
      <c r="MV99" s="16">
        <f>IF(ISNA(VLOOKUP($A99,'Données projet'!$A$460:$I$480,6,0)),0%,VLOOKUP($A99,'Données projet'!$A$460:$I$480,6,0)*VLOOKUP('Données projet'!$B$25,Paramètres!$A$1:$I$89,7,0))</f>
        <v>0</v>
      </c>
      <c r="MW99" s="16">
        <f>IF(ISNA(VLOOKUP($A99,'Données projet'!$A$460:$I$480,7,0)),0%,VLOOKUP($A99,'Données projet'!$A$460:$I$480,7,0))</f>
        <v>0</v>
      </c>
      <c r="MX99" s="21" t="e">
        <f>EXP(-LN(2)/35)*MX98+(1-EXP(-LN(2)/35))/(LN(2)/35)*MT99*MU99*VLOOKUP('Données projet'!$B$25,Paramètres!$A$1:$I$89,3,0)*0.475*44/12</f>
        <v>#N/A</v>
      </c>
      <c r="MY99" s="21" t="e">
        <f>EXP(-LN(2)/25)*MY98+(1-EXP(-LN(2)/25))/(LN(2)/25)*Calculateur!MT99*Calculateur!MV99*VLOOKUP('Données projet'!$B$25,Paramètres!$A$1:$I$89,3,0)*0.475*44/12</f>
        <v>#N/A</v>
      </c>
      <c r="MZ99" s="21" t="e">
        <f>EXP(-LN(2)/2)*MZ98+(1-EXP(-LN(2)/2))/(LN(2)/2)*MT99*MW99*VLOOKUP('Données projet'!$B$25,Paramètres!$A$1:$I$89,3,0)*0.475*44/12</f>
        <v>#N/A</v>
      </c>
      <c r="NA99" s="22" t="e">
        <f t="shared" si="170"/>
        <v>#N/A</v>
      </c>
      <c r="NB99" s="74">
        <f>('Scénario référence'!$F$8+'Scénario référence'!$F$9+'Scénario référence'!$B$17+'Scénario référence'!$B$9+'Scénario référence'!$B$10)*70+IF((45+25*(1-EXP(-0.0175*$A99)))&lt;70,'Scénario référence'!$B$16*(45+25*(1-EXP(-0.0175*$A99))),70*'Scénario référence'!$B$16)+IF((32+38*(1-EXP(-0.0175*$A99)))&lt;70,'Scénario référence'!$B$18*(32+38*(1-EXP(-0.0175*$A99))),70*'Scénario référence'!$B$18)</f>
        <v>70</v>
      </c>
      <c r="NC99" s="12">
        <f>IF($A99&gt;30,10,('Scénario référence'!$B$16+'Scénario référence'!$B$17+'Scénario référence'!$B$18+'Scénario référence'!$B$9+'Scénario référence'!$B$10)*$A99*10/30+('Scénario référence'!$F$8+'Scénario référence'!$F$9)*10)</f>
        <v>10</v>
      </c>
      <c r="ND99" s="12" t="e">
        <f>VLOOKUP($A99,'Données projet'!$A$486:$I$506,2,0)</f>
        <v>#N/A</v>
      </c>
      <c r="NE99" s="12" t="e">
        <f>VLOOKUP($A99,'Données projet'!$A$486:$I$506,9,0)</f>
        <v>#N/A</v>
      </c>
      <c r="NF99" s="12">
        <f t="array" ref="NF99">INDEX(NE:NE,MIN(IF(ISNUMBER(NE99:NE295),ROW(NE99:NE295),"")))</f>
        <v>0</v>
      </c>
      <c r="NG99" s="12">
        <f>IF('Données projet'!$A$486&gt;35,NG98+NF99-NO98,IF($A99&lt;'Données projet'!$A$486,$CQ$205^$A99,IF($A99='Données projet'!$A$486,'Données projet'!$B$486,NG98+NF99-NO98)))</f>
        <v>0</v>
      </c>
      <c r="NH99" s="17" t="e">
        <f>NG99*VLOOKUP('Données projet'!$B$26,Paramètres!$A$1:$I$89,3,0)*VLOOKUP('Données projet'!$B$26,Paramètres!$A$1:$I$89,5,0)</f>
        <v>#N/A</v>
      </c>
      <c r="NI99" s="13" t="e">
        <f t="shared" si="216"/>
        <v>#N/A</v>
      </c>
      <c r="NJ99" s="14" t="e">
        <f t="shared" si="171"/>
        <v>#N/A</v>
      </c>
      <c r="NK99" s="59" t="e">
        <f t="shared" si="172"/>
        <v>#N/A</v>
      </c>
      <c r="NL99" s="20" t="e">
        <f ca="1">AVERAGE(OFFSET($NK$3,0,0,'Données projet'!$E$26+1,1))-AVERAGE(OFFSET($H$3,0,0,'Données projet'!$E$26+1,1))</f>
        <v>#N/A</v>
      </c>
      <c r="NM99" s="59" t="e">
        <f t="shared" si="217"/>
        <v>#N/A</v>
      </c>
      <c r="NN99" s="15">
        <f>IF(ISNA(VLOOKUP($A99,'Données projet'!$A$486:$I$506,3,0)),0,VLOOKUP($A99,'Données projet'!$A$486:$I$506,3,0))</f>
        <v>0</v>
      </c>
      <c r="NO99" s="15">
        <f>IF(ISNA(VLOOKUP($A99,'Données projet'!$A$486:$I$506,4,0)),0,VLOOKUP($A99,'Données projet'!$A$486:$I$506,4,0))</f>
        <v>0</v>
      </c>
      <c r="NP99" s="16">
        <f>IF(ISNA(VLOOKUP($A99,'Données projet'!$A$486:$I$506,5,0)),0%,VLOOKUP($A99,'Données projet'!$A$486:$I$506,5,0)*VLOOKUP('Données projet'!$B$26,Paramètres!$A$1:$I$89,7,0))</f>
        <v>0</v>
      </c>
      <c r="NQ99" s="16">
        <f>IF(ISNA(VLOOKUP($A99,'Données projet'!$A$486:$I$506,6,0)),0%,VLOOKUP($A99,'Données projet'!$A$486:$I$506,6,0)*VLOOKUP('Données projet'!$B$26,Paramètres!$A$1:$I$89,7,0))</f>
        <v>0</v>
      </c>
      <c r="NR99" s="16">
        <f>IF(ISNA(VLOOKUP($A99,'Données projet'!$A$486:$I$506,7,0)),0%,VLOOKUP($A99,'Données projet'!$A$486:$I$506,7,0))</f>
        <v>0</v>
      </c>
      <c r="NS99" s="21" t="e">
        <f>EXP(-LN(2)/35)*NS98+(1-EXP(-LN(2)/35))/(LN(2)/35)*NO99*NP99*VLOOKUP('Données projet'!$B$26,Paramètres!$A$1:$I$89,3,0)*0.475*44/12</f>
        <v>#N/A</v>
      </c>
      <c r="NT99" s="21" t="e">
        <f>EXP(-LN(2)/25)*NT98+(1-EXP(-LN(2)/25))/(LN(2)/25)*Calculateur!NO99*Calculateur!NQ99*VLOOKUP('Données projet'!$B$26,Paramètres!$A$1:$I$89,3,0)*0.475*44/12</f>
        <v>#N/A</v>
      </c>
      <c r="NU99" s="21" t="e">
        <f>EXP(-LN(2)/2)*NU98+(1-EXP(-LN(2)/2))/(LN(2)/2)*NO99*NR99*VLOOKUP('Données projet'!$B$26,Paramètres!$A$1:$I$89,3,0)*0.475*44/12</f>
        <v>#N/A</v>
      </c>
      <c r="NV99" s="22" t="e">
        <f t="shared" si="173"/>
        <v>#N/A</v>
      </c>
      <c r="NW99" s="74">
        <f>('Scénario référence'!$F$8+'Scénario référence'!$F$9+'Scénario référence'!$B$17+'Scénario référence'!$B$9+'Scénario référence'!$B$10)*70+IF((45+25*(1-EXP(-0.0175*$A99)))&lt;70,'Scénario référence'!$B$16*(45+25*(1-EXP(-0.0175*$A99))),70*'Scénario référence'!$B$16)+IF((32+38*(1-EXP(-0.0175*$A99)))&lt;70,'Scénario référence'!$B$18*(32+38*(1-EXP(-0.0175*$A99))),70*'Scénario référence'!$B$18)</f>
        <v>70</v>
      </c>
      <c r="NX99" s="12">
        <f>IF($A99&gt;30,10,('Scénario référence'!$B$16+'Scénario référence'!$B$17+'Scénario référence'!$B$18+'Scénario référence'!$B$9+'Scénario référence'!$B$10)*$A99*10/30+('Scénario référence'!$F$8+'Scénario référence'!$F$9)*10)</f>
        <v>10</v>
      </c>
      <c r="NY99" s="12" t="e">
        <f>VLOOKUP($A99,'Données projet'!$A$512:$I$532,2,0)</f>
        <v>#N/A</v>
      </c>
      <c r="NZ99" s="12" t="e">
        <f>VLOOKUP($A99,'Données projet'!$A$512:$I$532,9,0)</f>
        <v>#N/A</v>
      </c>
      <c r="OA99" s="12">
        <f t="array" ref="OA99">INDEX(NZ:NZ,MIN(IF(ISNUMBER(NZ99:NZ295),ROW(NZ99:NZ295),"")))</f>
        <v>0</v>
      </c>
      <c r="OB99" s="12">
        <f>IF('Données projet'!$A$512&gt;35,OB98+OA99-OJ98,IF($A99&lt;'Données projet'!$A$512,$CQ$205^$A99,IF($A99='Données projet'!$A$512,'Données projet'!$B$512,OB98+OA99-OJ98)))</f>
        <v>0</v>
      </c>
      <c r="OC99" s="17" t="e">
        <f>OB99*VLOOKUP('Données projet'!$B$27,Paramètres!$A$1:$I$89,3,0)*VLOOKUP('Données projet'!$B$27,Paramètres!$A$1:$I$89,5,0)</f>
        <v>#N/A</v>
      </c>
      <c r="OD99" s="13" t="e">
        <f t="shared" si="218"/>
        <v>#N/A</v>
      </c>
      <c r="OE99" s="14" t="e">
        <f t="shared" si="174"/>
        <v>#N/A</v>
      </c>
      <c r="OF99" s="59" t="e">
        <f t="shared" si="175"/>
        <v>#N/A</v>
      </c>
      <c r="OG99" s="20" t="e">
        <f ca="1">AVERAGE(OFFSET($OF$3,0,0,'Données projet'!$E$27+1,1))-AVERAGE(OFFSET($H$3,0,0,'Données projet'!$E$27+1,1))</f>
        <v>#N/A</v>
      </c>
      <c r="OH99" s="59" t="e">
        <f t="shared" si="219"/>
        <v>#N/A</v>
      </c>
      <c r="OI99" s="15">
        <f>IF(ISNA(VLOOKUP($A99,'Données projet'!$A$512:$I$532,3,0)),0,VLOOKUP($A99,'Données projet'!$A$512:$I$532,3,0))</f>
        <v>0</v>
      </c>
      <c r="OJ99" s="15">
        <f>IF(ISNA(VLOOKUP($A99,'Données projet'!$A$512:$I$532,4,0)),0,VLOOKUP($A99,'Données projet'!$A$512:$I$532,4,0))</f>
        <v>0</v>
      </c>
      <c r="OK99" s="16">
        <f>IF(ISNA(VLOOKUP($A99,'Données projet'!$A$512:$I$532,5,0)),0%,VLOOKUP($A99,'Données projet'!$A$512:$I$532,5,0)*VLOOKUP('Données projet'!$B$27,Paramètres!$A$1:$I$89,7,0))</f>
        <v>0</v>
      </c>
      <c r="OL99" s="16">
        <f>IF(ISNA(VLOOKUP($A99,'Données projet'!$A$512:$I$532,6,0)),0%,VLOOKUP($A99,'Données projet'!$A$512:$I$532,6,0)*VLOOKUP('Données projet'!$B$27,Paramètres!$A$1:$I$89,7,0))</f>
        <v>0</v>
      </c>
      <c r="OM99" s="16">
        <f>IF(ISNA(VLOOKUP($A99,'Données projet'!$A$512:$I$532,7,0)),0%,VLOOKUP($A99,'Données projet'!$A$512:$I$532,7,0))</f>
        <v>0</v>
      </c>
      <c r="ON99" s="21" t="e">
        <f>EXP(-LN(2)/35)*ON98+(1-EXP(-LN(2)/35))/(LN(2)/35)*OJ99*OK99*VLOOKUP('Données projet'!$B$27,Paramètres!$A$1:$I$89,3,0)*0.475*44/12</f>
        <v>#N/A</v>
      </c>
      <c r="OO99" s="21" t="e">
        <f>EXP(-LN(2)/25)*OO98+(1-EXP(-LN(2)/25))/(LN(2)/25)*Calculateur!OJ99*Calculateur!OL99*VLOOKUP('Données projet'!$B$27,Paramètres!$A$1:$I$89,3,0)*0.475*44/12</f>
        <v>#N/A</v>
      </c>
      <c r="OP99" s="21" t="e">
        <f>EXP(-LN(2)/2)*OP98+(1-EXP(-LN(2)/2))/(LN(2)/2)*OJ99*OM99*VLOOKUP('Données projet'!$B$27,Paramètres!$A$1:$I$89,3,0)*0.475*44/12</f>
        <v>#N/A</v>
      </c>
      <c r="OQ99" s="22" t="e">
        <f t="shared" si="176"/>
        <v>#N/A</v>
      </c>
      <c r="OR99" s="74">
        <f>('Scénario référence'!$F$8+'Scénario référence'!$F$9+'Scénario référence'!$B$17+'Scénario référence'!$B$9+'Scénario référence'!$B$10)*70+IF((45+25*(1-EXP(-0.0175*$A99)))&lt;70,'Scénario référence'!$B$16*(45+25*(1-EXP(-0.0175*$A99))),70*'Scénario référence'!$B$16)+IF((32+38*(1-EXP(-0.0175*$A99)))&lt;70,'Scénario référence'!$B$18*(32+38*(1-EXP(-0.0175*$A99))),70*'Scénario référence'!$B$18)</f>
        <v>70</v>
      </c>
      <c r="OS99" s="12">
        <f>IF($A99&gt;30,10,('Scénario référence'!$B$16+'Scénario référence'!$B$17+'Scénario référence'!$B$18+'Scénario référence'!$B$9+'Scénario référence'!$B$10)*$A99*10/30+('Scénario référence'!$F$8+'Scénario référence'!$F$9)*10)</f>
        <v>10</v>
      </c>
      <c r="OT99" s="12" t="e">
        <f>VLOOKUP($A99,'Données projet'!$A$538:$I$558,2,0)</f>
        <v>#N/A</v>
      </c>
      <c r="OU99" s="12" t="e">
        <f>VLOOKUP($A99,'Données projet'!$A$538:$I$558,9,0)</f>
        <v>#N/A</v>
      </c>
      <c r="OV99" s="12">
        <f t="array" ref="OV99">INDEX(OU:OU,MIN(IF(ISNUMBER(OU99:OU295),ROW(OU99:OU295),"")))</f>
        <v>0</v>
      </c>
      <c r="OW99" s="12">
        <f>IF('Données projet'!$A$538&gt;35,OW98+OV99-PE98,IF($A99&lt;'Données projet'!$A$538,$CQ$205^$A99,IF($A99='Données projet'!$A$538,'Données projet'!$B$538,OW98+OV99-PE98)))</f>
        <v>0</v>
      </c>
      <c r="OX99" s="17" t="e">
        <f>OW99*VLOOKUP('Données projet'!$B$28,Paramètres!$A$1:$I$89,3,0)*VLOOKUP('Données projet'!$B$28,Paramètres!$A$1:$I$89,5,0)</f>
        <v>#N/A</v>
      </c>
      <c r="OY99" s="13" t="e">
        <f t="shared" si="220"/>
        <v>#N/A</v>
      </c>
      <c r="OZ99" s="14" t="e">
        <f t="shared" si="177"/>
        <v>#N/A</v>
      </c>
      <c r="PA99" s="59" t="e">
        <f t="shared" si="178"/>
        <v>#N/A</v>
      </c>
      <c r="PB99" s="20" t="e">
        <f ca="1">AVERAGE(OFFSET($PA$3,0,0,'Données projet'!$E$28+1,1))-AVERAGE(OFFSET($H$3,0,0,'Données projet'!$E$28+1,1))</f>
        <v>#N/A</v>
      </c>
      <c r="PC99" s="59" t="e">
        <f t="shared" si="221"/>
        <v>#N/A</v>
      </c>
      <c r="PD99" s="15">
        <f>IF(ISNA(VLOOKUP($A99,'Données projet'!$A$538:$I$558,3,0)),0,VLOOKUP($A99,'Données projet'!$A$538:$I$558,3,0))</f>
        <v>0</v>
      </c>
      <c r="PE99" s="15">
        <f>IF(ISNA(VLOOKUP($A99,'Données projet'!$A$538:$I$558,4,0)),0,VLOOKUP($A99,'Données projet'!$A$538:$I$558,4,0))</f>
        <v>0</v>
      </c>
      <c r="PF99" s="16">
        <f>IF(ISNA(VLOOKUP($A99,'Données projet'!$A$538:$I$558,5,0)),0%,VLOOKUP($A99,'Données projet'!$A$538:$I$558,5,0)*VLOOKUP('Données projet'!$B$28,Paramètres!$A$1:$I$89,7,0))</f>
        <v>0</v>
      </c>
      <c r="PG99" s="16">
        <f>IF(ISNA(VLOOKUP($A99,'Données projet'!$A$538:$I$558,6,0)),0%,VLOOKUP($A99,'Données projet'!$A$538:$I$558,6,0)*VLOOKUP('Données projet'!$B$28,Paramètres!$A$1:$I$89,7,0))</f>
        <v>0</v>
      </c>
      <c r="PH99" s="16">
        <f>IF(ISNA(VLOOKUP($A99,'Données projet'!$A$538:$I$558,7,0)),0%,VLOOKUP($A99,'Données projet'!$A$538:$I$558,7,0))</f>
        <v>0</v>
      </c>
      <c r="PI99" s="21" t="e">
        <f>EXP(-LN(2)/35)*PI98+(1-EXP(-LN(2)/35))/(LN(2)/35)*PE99*PF99*VLOOKUP('Données projet'!$B$28,Paramètres!$A$1:$I$89,3,0)*0.475*44/12</f>
        <v>#N/A</v>
      </c>
      <c r="PJ99" s="21" t="e">
        <f>EXP(-LN(2)/25)*PJ98+(1-EXP(-LN(2)/25))/(LN(2)/25)*Calculateur!PE99*Calculateur!PG99*VLOOKUP('Données projet'!$B$28,Paramètres!$A$1:$I$89,3,0)*0.475*44/12</f>
        <v>#N/A</v>
      </c>
      <c r="PK99" s="21" t="e">
        <f>EXP(-LN(2)/2)*PK98+(1-EXP(-LN(2)/2))/(LN(2)/2)*PE99*PH99*VLOOKUP('Données projet'!$B$28,Paramètres!$A$1:$I$89,3,0)*0.475*44/12</f>
        <v>#N/A</v>
      </c>
      <c r="PL99" s="22" t="e">
        <f t="shared" si="179"/>
        <v>#N/A</v>
      </c>
    </row>
    <row r="100" spans="1:428" x14ac:dyDescent="0.35">
      <c r="A100" s="10">
        <f t="shared" si="180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181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121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projet'!$A$45:$I$65,2,0)</f>
        <v>#N/A</v>
      </c>
      <c r="L100" s="12" t="e">
        <f>VLOOKUP(A100,'Données projet'!$A$45:$I$65,9,0)</f>
        <v>#N/A</v>
      </c>
      <c r="M100" s="12">
        <f t="array" ref="M100">INDEX(L:L,MIN(IF(ISNUMBER(L100:L296),ROW(L100:L296),"")))</f>
        <v>0</v>
      </c>
      <c r="N100" s="13">
        <f>IF('Données projet'!$A$46&gt;35,N99+M100-V99,IF(A100&lt;'Données projet'!$A$46,$K$205^A100,IF(A100='Données projet'!$A$46,'Données projet'!$B$46,N99+M100-V99)))</f>
        <v>-1.1368683772161603E-13</v>
      </c>
      <c r="O100" s="13">
        <f>N100*VLOOKUP('Données projet'!$B$9,Paramètres!$A$1:$I$89,3,0)*VLOOKUP('Données projet'!$B$9,Paramètres!$A$1:$I$89,5,0)</f>
        <v>-6.3550942286383367E-14</v>
      </c>
      <c r="P100" s="13" t="e">
        <f t="shared" si="182"/>
        <v>#NUM!</v>
      </c>
      <c r="Q100" s="20" t="e">
        <f t="shared" si="222"/>
        <v>#NUM!</v>
      </c>
      <c r="R100" s="59" t="e">
        <f t="shared" si="120"/>
        <v>#NUM!</v>
      </c>
      <c r="S100" s="59">
        <f ca="1">AVERAGE(OFFSET($R$3,0,0,'Données projet'!$E$9+1,1))-AVERAGE(OFFSET($H$3,0,0,'Données projet'!$E$9+1,1))</f>
        <v>274.57619581652199</v>
      </c>
      <c r="T100" s="59">
        <f t="shared" si="183"/>
        <v>366.15117322598775</v>
      </c>
      <c r="U100" s="15">
        <f>IF(ISNA(VLOOKUP(A100,'Données projet'!$A$45:$I$65,3,0)),0,VLOOKUP(A100,'Données projet'!$A$45:$I$65,3,0))</f>
        <v>0</v>
      </c>
      <c r="V100" s="15">
        <f>IF(ISNA(VLOOKUP(A100,'Données projet'!$A$45:$I$65,4,0)),0,VLOOKUP(A100,'Données projet'!$A$45:$I$65,4,0))</f>
        <v>0</v>
      </c>
      <c r="W100" s="16">
        <f>IF(ISNA(VLOOKUP(A100,'Données projet'!$A$45:$I$65,5,0)),0%,VLOOKUP(A100,'Données projet'!$A$45:$I$65,5,0)*VLOOKUP('Données projet'!$B$9,Paramètres!$A$1:$I$89,7,0))</f>
        <v>0</v>
      </c>
      <c r="X100" s="16">
        <f>IF(ISNA(VLOOKUP(A100,'Données projet'!$A$45:$I$65,6,0)),0%,VLOOKUP(A100,'Données projet'!$A$45:$I$65,6,0)*VLOOKUP('Données projet'!$B$9,Paramètres!$A$1:$I$89,7,0))</f>
        <v>0</v>
      </c>
      <c r="Y100" s="16">
        <f>IF(ISNA(VLOOKUP(A100,'Données projet'!$A$45:$I$65,7,0)),0%,VLOOKUP(A100,'Données projet'!$A$45:$I$65,7,0))</f>
        <v>0</v>
      </c>
      <c r="Z100" s="21">
        <f>EXP(-LN(2)/35)*Z99+(1-EXP(-LN(2)/35))/(LN(2)/35)*V100*W100*VLOOKUP('Données projet'!$B$9,Paramètres!$A$1:$I$89,3,0)*0.475*44/12</f>
        <v>98.658225188783391</v>
      </c>
      <c r="AA100" s="21">
        <f>EXP(-LN(2)/25)*AA99+(1-EXP(-LN(2)/25))/(LN(2)/25)*Calculateur!V100*Calculateur!X100*VLOOKUP('Données projet'!$B$9,Paramètres!$A$1:$I$89,3,0)*0.475*44/12</f>
        <v>17.978356820000041</v>
      </c>
      <c r="AB100" s="21">
        <f>EXP(-LN(2)/2)*AB99+(1-EXP(-LN(2)/2))/(LN(2)/2)*V100*Y100*VLOOKUP('Données projet'!$B$9,Paramètres!$A$1:$I$89,3,0)*0.475*44/12</f>
        <v>1.6289379121834027E-5</v>
      </c>
      <c r="AC100" s="22">
        <f t="shared" si="122"/>
        <v>116.63659829816255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projet'!$A$71:$I$91,2,0)</f>
        <v>#N/A</v>
      </c>
      <c r="AG100" s="12" t="e">
        <f>VLOOKUP(A100,'Données projet'!$A$71:$I$91,9,0)</f>
        <v>#N/A</v>
      </c>
      <c r="AH100" s="12">
        <f t="array" ref="AH100">INDEX(AG:AG,MIN(IF(ISNUMBER(AG100:AG296),ROW(AG100:AG296),"")))</f>
        <v>7.1782051282051267</v>
      </c>
      <c r="AI100" s="13">
        <f>IF('Données projet'!$A$72&gt;35,AI99+AH100-AQ99,IF(A100&lt;'Données projet'!$A$72,$AF$205^A100,IF(A100='Données projet'!$A$72,'Données projet'!$B$72,AI99+AH100-AQ99)))</f>
        <v>303.89358974359021</v>
      </c>
      <c r="AJ100" s="13">
        <f>AI100*VLOOKUP('Données projet'!$B$10,Paramètres!$A$1:$I$89,3,0)*VLOOKUP('Données projet'!$B$10,Paramètres!$A$1:$I$89,5,0)</f>
        <v>274.96292000000045</v>
      </c>
      <c r="AK100" s="13">
        <f t="shared" si="184"/>
        <v>65.901407042348566</v>
      </c>
      <c r="AL100" s="20">
        <f t="shared" si="123"/>
        <v>593.67203626542459</v>
      </c>
      <c r="AM100" s="59">
        <f t="shared" si="124"/>
        <v>887.00536959875785</v>
      </c>
      <c r="AN100" s="59">
        <f ca="1">AVERAGE(OFFSET($AM$3,0,0,'Données projet'!$E$10+1,1))-AVERAGE(OFFSET($H$3,0,0,'Données projet'!$E$10+1,1))</f>
        <v>270.87836509222456</v>
      </c>
      <c r="AO100" s="59">
        <f t="shared" si="185"/>
        <v>205.24998237949734</v>
      </c>
      <c r="AP100" s="15">
        <f>IF(ISNA(VLOOKUP(A100,'Données projet'!$A$71:$I$91,3,0)),0,VLOOKUP(A100,'Données projet'!$A$71:$I$91,3,0))</f>
        <v>0</v>
      </c>
      <c r="AQ100" s="15">
        <f>IF(ISNA(VLOOKUP(A100,'Données projet'!$A$71:$I$91,4,0)),0,VLOOKUP(A100,'Données projet'!$A$71:$I$91,4,0))</f>
        <v>0</v>
      </c>
      <c r="AR100" s="16">
        <f>IF(ISNA(VLOOKUP(A100,'Données projet'!$A$71:$I$91,5,0)),0%,VLOOKUP(A100,'Données projet'!$A$71:$I$91,5,0)*VLOOKUP('Données projet'!$B$10,Paramètres!$A$1:$I$89,7,0))</f>
        <v>0</v>
      </c>
      <c r="AS100" s="16">
        <f>IF(ISNA(VLOOKUP(A100,'Données projet'!$A$71:$I$91,6,0)),0%,VLOOKUP(A100,'Données projet'!$A$71:$I$91,6,0)*VLOOKUP('Données projet'!$B$10,Paramètres!$A$1:$I$89,7,0))</f>
        <v>0</v>
      </c>
      <c r="AT100" s="16">
        <f>IF(ISNA(VLOOKUP(A100,'Données projet'!$A$71:$I$91,7,0)),0%,VLOOKUP(A100,'Données projet'!$A$71:$I$91,7,0))</f>
        <v>0</v>
      </c>
      <c r="AU100" s="21">
        <f>EXP(-LN(2)/35)*AU99+(1-EXP(-LN(2)/35))/(LN(2)/35)*AQ100*AR100*VLOOKUP('Données projet'!$B$10,Paramètres!$A$1:$I$89,3,0)*0.475*44/12</f>
        <v>36.088830093456018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125"/>
        <v>36.088830093456018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projet'!$A$97:$I$117,2,0)</f>
        <v>#N/A</v>
      </c>
      <c r="BB100" s="12" t="e">
        <f>VLOOKUP(A100,'Données projet'!$A$97:$I$117,9,0)</f>
        <v>#N/A</v>
      </c>
      <c r="BC100" s="12">
        <f t="array" ref="BC100">INDEX(BB:BB,MIN(IF(ISNUMBER(BB100:BB296),ROW(BB100:BB296),"")))</f>
        <v>0</v>
      </c>
      <c r="BD100" s="12">
        <f>IF('Données projet'!$A$98&gt;35,BD99+BC100-BL99,IF(A100&lt;'Données projet'!$A$98,$BA$205^A100,IF(A100='Données projet'!$A$98,'Données projet'!$B$98,BD99+BC100-BL99)))</f>
        <v>-1.1368683772161603E-13</v>
      </c>
      <c r="BE100" s="13">
        <f>BD100*VLOOKUP('Données projet'!$B$11,Paramètres!$A$1:$I$89,3,0)*VLOOKUP('Données projet'!$B$11,Paramètres!$A$1:$I$89,5,0)</f>
        <v>-5.0249582272954292E-14</v>
      </c>
      <c r="BF100" s="13" t="e">
        <f t="shared" si="186"/>
        <v>#NUM!</v>
      </c>
      <c r="BG100" s="20" t="e">
        <f t="shared" si="126"/>
        <v>#NUM!</v>
      </c>
      <c r="BH100" s="59" t="e">
        <f t="shared" si="127"/>
        <v>#NUM!</v>
      </c>
      <c r="BI100" s="59">
        <f ca="1">AVERAGE(OFFSET($BH$3,0,0,'Données projet'!$E$11+1,1))-AVERAGE(OFFSET($H$3,0,0,'Données projet'!$E$11+1,1))</f>
        <v>211.31057120485542</v>
      </c>
      <c r="BJ100" s="59">
        <f t="shared" si="187"/>
        <v>283.33292006714777</v>
      </c>
      <c r="BK100" s="15">
        <f>IF(ISNA(VLOOKUP(A100,'Données projet'!$A$97:$I$117,3,0)),0,VLOOKUP(A100,'Données projet'!$A$97:$I$117,3,0))</f>
        <v>0</v>
      </c>
      <c r="BL100" s="15">
        <f>IF(ISNA(VLOOKUP(A100,'Données projet'!$A$97:$I$117,4,0)),0,VLOOKUP(A100,'Données projet'!$A$97:$I$117,4,0))</f>
        <v>0</v>
      </c>
      <c r="BM100" s="16">
        <f>IF(ISNA(VLOOKUP(A100,'Données projet'!$A$97:$I$117,5,0)),0%,VLOOKUP(A100,'Données projet'!$A$97:$I$117,5,0)*VLOOKUP('Données projet'!$B$11,Paramètres!$A$1:$I$89,7,0))</f>
        <v>0</v>
      </c>
      <c r="BN100" s="16">
        <f>IF(ISNA(VLOOKUP(A100,'Données projet'!$A$97:$I$117,6,0)),0%,VLOOKUP(A100,'Données projet'!$A$97:$I$117,6,0)*VLOOKUP('Données projet'!$B$11,Paramètres!$A$1:$I$89,7,0))</f>
        <v>0</v>
      </c>
      <c r="BO100" s="16">
        <f>IF(ISNA(VLOOKUP(A100,'Données projet'!$A$97:$I$117,7,0)),0%,VLOOKUP(A100,'Données projet'!$A$97:$I$117,7,0))</f>
        <v>0</v>
      </c>
      <c r="BP100" s="21">
        <f>EXP(-LN(2)/35)*BP99+(1-EXP(-LN(2)/35))/(LN(2)/35)*BL100*BM100*VLOOKUP('Données projet'!$B$11,Paramètres!$A$1:$I$89,3,0)*0.475*44/12</f>
        <v>78.008829219038049</v>
      </c>
      <c r="BQ100" s="21">
        <f>EXP(-LN(2)/25)*BQ99+(1-EXP(-LN(2)/25))/(LN(2)/25)*Calculateur!BL100*Calculateur!BN100*VLOOKUP('Données projet'!$B$11,Paramètres!$A$1:$I$89,3,0)*0.475*44/12</f>
        <v>14.215444927441885</v>
      </c>
      <c r="BR100" s="21">
        <f>EXP(-LN(2)/2)*BR99+(1-EXP(-LN(2)/2))/(LN(2)/2)*BL100*BO100*VLOOKUP('Données projet'!$B$11,Paramètres!$A$1:$I$89,3,0)*0.475*44/12</f>
        <v>1.2879974189357135E-5</v>
      </c>
      <c r="BS100" s="22">
        <f t="shared" si="128"/>
        <v>92.224287026454121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projet'!$A$123:$I$143,2,0)</f>
        <v>#N/A</v>
      </c>
      <c r="BW100" s="12" t="e">
        <f>VLOOKUP(A100,'Données projet'!$A$123:$I$143,9,0)</f>
        <v>#N/A</v>
      </c>
      <c r="BX100" s="12">
        <f t="array" ref="BX100">INDEX(BW:BW,MIN(IF(ISNUMBER(BW100:BW296),ROW(BW100:BW296),"")))</f>
        <v>3</v>
      </c>
      <c r="BY100" s="12">
        <f>IF('Données projet'!$A$124&gt;35,BY99+BX100-CG99,IF(A100&lt;'Données projet'!$A$124,$BV$205^A100,IF(A100='Données projet'!$A$124,'Données projet'!$B$124,BY99+BX100-CG99)))</f>
        <v>246</v>
      </c>
      <c r="BZ100" s="13">
        <f>BY100*VLOOKUP('Données projet'!$B$12,Paramètres!$A$1:$I$89,3,0)*VLOOKUP('Données projet'!$B$12,Paramètres!$A$1:$I$89,5,0)</f>
        <v>257.11920000000003</v>
      </c>
      <c r="CA100" s="13">
        <f t="shared" si="188"/>
        <v>62.107910182723955</v>
      </c>
      <c r="CB100" s="20">
        <f t="shared" si="129"/>
        <v>555.98721690157754</v>
      </c>
      <c r="CC100" s="59">
        <f t="shared" si="130"/>
        <v>849.3205502349108</v>
      </c>
      <c r="CD100" s="59">
        <f ca="1">AVERAGE(OFFSET($CC$3,0,0,'Données projet'!$E$12+1,1))-AVERAGE(OFFSET($H$3,0,0,'Données projet'!$E$12+1,1))</f>
        <v>322.93502595881938</v>
      </c>
      <c r="CE100" s="59">
        <f t="shared" si="189"/>
        <v>302.67072119588164</v>
      </c>
      <c r="CF100" s="15">
        <f>IF(ISNA(VLOOKUP(A100,'Données projet'!$A$123:$I$143,3,0)),0,VLOOKUP(A100,'Données projet'!$A$123:$I$143,3,0))</f>
        <v>0</v>
      </c>
      <c r="CG100" s="15">
        <f>IF(ISNA(VLOOKUP(A100,'Données projet'!$A$123:$I$143,4,0)),0,VLOOKUP(A100,'Données projet'!$A$123:$I$143,4,0))</f>
        <v>0</v>
      </c>
      <c r="CH100" s="16">
        <f>IF(ISNA(VLOOKUP(A100,'Données projet'!$A$123:$I$143,5,0)),0%,VLOOKUP(A100,'Données projet'!$A$123:$I$143,5,0)*VLOOKUP('Données projet'!$B$12,Paramètres!$A$1:$I$89,7,0))</f>
        <v>0</v>
      </c>
      <c r="CI100" s="16">
        <f>IF(ISNA(VLOOKUP(A100,'Données projet'!$A$123:$I$143,6,0)),0%,VLOOKUP(A100,'Données projet'!$A$123:$I$143,6,0)*VLOOKUP('Données projet'!$B$12,Paramètres!$A$1:$I$89,7,0))</f>
        <v>0</v>
      </c>
      <c r="CJ100" s="16">
        <f>IF(ISNA(VLOOKUP(A100,'Données projet'!$A$123:$I$143,7,0)),0%,VLOOKUP(A100,'Données projet'!$A$123:$I$143,7,0))</f>
        <v>0</v>
      </c>
      <c r="CK100" s="21">
        <f>EXP(-LN(2)/35)*CK99+(1-EXP(-LN(2)/35))/(LN(2)/35)*CG100*CH100*VLOOKUP('Données projet'!$B$12,Paramètres!$A$1:$I$89,3,0)*0.475*44/12</f>
        <v>30.172583748584408</v>
      </c>
      <c r="CL100" s="21">
        <f>EXP(-LN(2)/25)*CL99+(1-EXP(-LN(2)/25))/(LN(2)/25)*Calculateur!CG100*Calculateur!CI100*VLOOKUP('Données projet'!$B$12,Paramètres!$A$1:$I$89,3,0)*0.475*44/12</f>
        <v>18.069946121786355</v>
      </c>
      <c r="CM100" s="21">
        <f>EXP(-LN(2)/2)*CM99+(1-EXP(-LN(2)/2))/(LN(2)/2)*CG100*CJ100*VLOOKUP('Données projet'!$B$12,Paramètres!$A$1:$I$89,3,0)*0.475*44/12</f>
        <v>0</v>
      </c>
      <c r="CN100" s="22">
        <f t="shared" si="131"/>
        <v>48.24252987037076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projet'!$A$149:$I$169,2,0)</f>
        <v>#N/A</v>
      </c>
      <c r="CR100" s="12" t="e">
        <f>VLOOKUP(A100,'Données projet'!$A$149:$I$169,9,0)</f>
        <v>#N/A</v>
      </c>
      <c r="CS100" s="12">
        <f t="array" ref="CS100">INDEX(CR:CR,MIN(IF(ISNUMBER(CR100:CR296),ROW(CR100:CR296),"")))</f>
        <v>5.2583333333333373</v>
      </c>
      <c r="CT100" s="12">
        <f>IF('Données projet'!$A$150&gt;35,CT99+CS100-DB99,IF(A100&lt;'Données projet'!$A$150,$CQ$205^A100,IF(A100='Données projet'!$A$150,'Données projet'!$B$150,CT99+CS100-DB99)))</f>
        <v>203.21923076923051</v>
      </c>
      <c r="CU100" s="17">
        <f>CT100*VLOOKUP('Données projet'!$B$13,Paramètres!$A$1:$I$89,3,0)*VLOOKUP('Données projet'!$B$13,Paramètres!$A$1:$I$89,5,0)</f>
        <v>206.06429999999975</v>
      </c>
      <c r="CV100" s="13">
        <f t="shared" si="190"/>
        <v>51.074591519343635</v>
      </c>
      <c r="CW100" s="20">
        <f t="shared" si="132"/>
        <v>447.85023606285631</v>
      </c>
      <c r="CX100" s="59">
        <f t="shared" si="133"/>
        <v>741.18356939618957</v>
      </c>
      <c r="CY100" s="59">
        <f ca="1">AVERAGE(OFFSET($CX$3,0,0,'Données projet'!$E$13+1,1))-AVERAGE(OFFSET($H$3,0,0,'Données projet'!$E$13+1,1))</f>
        <v>250.31277422753283</v>
      </c>
      <c r="CZ100" s="59">
        <f t="shared" si="191"/>
        <v>159.20429420478047</v>
      </c>
      <c r="DA100" s="15">
        <f>IF(ISNA(VLOOKUP(A100,'Données projet'!$A$149:$I$169,3,0)),0,VLOOKUP(A100,'Données projet'!$A$149:$I$169,3,0))</f>
        <v>0</v>
      </c>
      <c r="DB100" s="15">
        <f>IF(ISNA(VLOOKUP(A100,'Données projet'!$A$149:$I$169,4,0)),0,VLOOKUP(A100,'Données projet'!$A$149:$I$169,4,0))</f>
        <v>0</v>
      </c>
      <c r="DC100" s="16">
        <f>IF(ISNA(VLOOKUP(A100,'Données projet'!$A$149:$I$169,5,0)),0%,VLOOKUP(A100,'Données projet'!$A$149:$I$169,5,0)*VLOOKUP('Données projet'!$B$13,Paramètres!$A$1:$I$89,7,0))</f>
        <v>0</v>
      </c>
      <c r="DD100" s="16">
        <f>IF(ISNA(VLOOKUP(A100,'Données projet'!$A$149:$I$169,6,0)),0%,VLOOKUP(A100,'Données projet'!$A$149:$I$169,6,0)*VLOOKUP('Données projet'!$B$13,Paramètres!$A$1:$I$89,7,0))</f>
        <v>0</v>
      </c>
      <c r="DE100" s="16">
        <f>IF(ISNA(VLOOKUP(A100,'Données projet'!$A$149:$I$169,7,0)),0%,VLOOKUP(A100,'Données projet'!$A$149:$I$169,7,0))</f>
        <v>0</v>
      </c>
      <c r="DF100" s="21">
        <f>EXP(-LN(2)/35)*DF99+(1-EXP(-LN(2)/35))/(LN(2)/35)*DB100*DC100*VLOOKUP('Données projet'!$B$13,Paramètres!$A$1:$I$89,3,0)*0.475*44/12</f>
        <v>25.274872480094142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134"/>
        <v>25.274872480094142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projet'!$A$175:$I$195,2,0)</f>
        <v>#N/A</v>
      </c>
      <c r="DM100" s="12" t="e">
        <f>VLOOKUP(A100,'Données projet'!$A$175:$I$195,9,0)</f>
        <v>#N/A</v>
      </c>
      <c r="DN100" s="12">
        <f t="array" ref="DN100">INDEX(DM:DM,MIN(IF(ISNUMBER(DM100:DM296),ROW(DM100:DM296),"")))</f>
        <v>0</v>
      </c>
      <c r="DO100" s="12">
        <f>IF('Données projet'!$A$176&gt;35,DO99+DN100-DW99,IF(A100&lt;'Données projet'!$A$176,$DL$205^A100,IF(A100='Données projet'!$A$176,'Données projet'!$B$176,DO99+DN100-DW99)))</f>
        <v>-2.8421709430404007E-13</v>
      </c>
      <c r="DP100" s="17">
        <f>DO100*VLOOKUP('Données projet'!$B$14,Paramètres!$A$1:$I$89,3,0)*VLOOKUP('Données projet'!$B$14,Paramètres!$A$1:$I$89,5,0)</f>
        <v>-2.0838797354372215E-13</v>
      </c>
      <c r="DQ100" s="13" t="e">
        <f t="shared" si="192"/>
        <v>#NUM!</v>
      </c>
      <c r="DR100" s="20" t="e">
        <f t="shared" si="135"/>
        <v>#NUM!</v>
      </c>
      <c r="DS100" s="59" t="e">
        <f t="shared" si="136"/>
        <v>#NUM!</v>
      </c>
      <c r="DT100" s="59">
        <f ca="1">AVERAGE(OFFSET($DS$3,0,0,'Données projet'!$E$14+1,1))-AVERAGE(OFFSET($H$3,0,0,'Données projet'!$E$14+1,1))</f>
        <v>296.91321813251051</v>
      </c>
      <c r="DU100" s="59">
        <f t="shared" si="193"/>
        <v>291.0718079639509</v>
      </c>
      <c r="DV100" s="15">
        <f>IF(ISNA(VLOOKUP(A100,'Données projet'!$A$175:$I$195,3,0)),0,VLOOKUP(A100,'Données projet'!$A$175:$I$195,3,0))</f>
        <v>0</v>
      </c>
      <c r="DW100" s="15">
        <f>IF(ISNA(VLOOKUP(A100,'Données projet'!$A$175:$I$195,4,0)),0,VLOOKUP(A100,'Données projet'!$A$175:$I$195,4,0))</f>
        <v>0</v>
      </c>
      <c r="DX100" s="16">
        <f>IF(ISNA(VLOOKUP(A100,'Données projet'!$A$175:$I$195,5,0)),0%,VLOOKUP(A100,'Données projet'!$A$175:$I$195,5,0)*VLOOKUP('Données projet'!$B$14,Paramètres!$A$1:$I$89,7,0))</f>
        <v>0</v>
      </c>
      <c r="DY100" s="16">
        <f>IF(ISNA(VLOOKUP(A100,'Données projet'!$A$175:$I$195,6,0)),0%,VLOOKUP(A100,'Données projet'!$A$175:$I$195,6,0)*VLOOKUP('Données projet'!$B$14,Paramètres!$A$1:$I$89,7,0))</f>
        <v>0</v>
      </c>
      <c r="DZ100" s="16">
        <f>IF(ISNA(VLOOKUP(A100,'Données projet'!$A$175:$I$195,7,0)),0%,VLOOKUP(A100,'Données projet'!$A$175:$I$195,7,0))</f>
        <v>0</v>
      </c>
      <c r="EA100" s="21">
        <f>EXP(-LN(2)/35)*EA99+(1-EXP(-LN(2)/35))/(LN(2)/35)*DW100*DX100*VLOOKUP('Données projet'!$B$14,Paramètres!$A$1:$I$89,3,0)*0.475*44/12</f>
        <v>123.87415236699685</v>
      </c>
      <c r="EB100" s="21">
        <f>EXP(-LN(2)/25)*EB99+(1-EXP(-LN(2)/25))/(LN(2)/25)*Calculateur!DW100*Calculateur!DY100*VLOOKUP('Données projet'!$B$14,Paramètres!$A$1:$I$89,3,0)*0.475*44/12</f>
        <v>3.3423261561942645</v>
      </c>
      <c r="EC100" s="21">
        <f>EXP(-LN(2)/2)*EC99+(1-EXP(-LN(2)/2))/(LN(2)/2)*DW100*DZ100*VLOOKUP('Données projet'!$B$14,Paramètres!$A$1:$I$89,3,0)*0.475*44/12</f>
        <v>0</v>
      </c>
      <c r="ED100" s="22">
        <f t="shared" si="137"/>
        <v>127.21647852319111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projet'!$A$201:$I$221,2,0)</f>
        <v>#N/A</v>
      </c>
      <c r="EH100" s="12" t="e">
        <f>VLOOKUP(A100,'Données projet'!$A$201:$I$221,9,0)</f>
        <v>#N/A</v>
      </c>
      <c r="EI100" s="12">
        <f t="array" ref="EI100">INDEX(EH:EH,MIN(IF(ISNUMBER(EH100:EH296),ROW(EH100:EH296),"")))</f>
        <v>8.1391025641025667</v>
      </c>
      <c r="EJ100" s="12">
        <f>IF('Données projet'!$A$202&gt;35,EJ99+EI100-ER99,IF(A100&lt;'Données projet'!$A$202,$EG$205^A100,IF(A100='Données projet'!$A$202,'Données projet'!$B$202,EJ99+EI100-ER99)))</f>
        <v>381.59102564102602</v>
      </c>
      <c r="EK100" s="17">
        <f>EJ100*VLOOKUP('Données projet'!$B$15,Paramètres!$A$1:$I$89,3,0)*VLOOKUP('Données projet'!$B$15,Paramètres!$A$1:$I$89,5,0)</f>
        <v>178.58460000000019</v>
      </c>
      <c r="EL100" s="13">
        <f t="shared" si="194"/>
        <v>45.007141207375291</v>
      </c>
      <c r="EM100" s="20">
        <f t="shared" si="138"/>
        <v>389.4222826028456</v>
      </c>
      <c r="EN100" s="59">
        <f t="shared" si="139"/>
        <v>682.75561593617886</v>
      </c>
      <c r="EO100" s="59">
        <f ca="1">AVERAGE(OFFSET($EN$3,0,0,'Données projet'!$E$15+1,1))-AVERAGE(OFFSET($H$3,0,0,'Données projet'!$E$15+1,1))</f>
        <v>147.64256291235483</v>
      </c>
      <c r="EP100" s="59">
        <f t="shared" si="195"/>
        <v>70.859031694091868</v>
      </c>
      <c r="EQ100" s="15">
        <f>IF(ISNA(VLOOKUP(A100,'Données projet'!$A$201:$I$221,3,0)),0,VLOOKUP(A100,'Données projet'!$A$201:$I$221,3,0))</f>
        <v>0</v>
      </c>
      <c r="ER100" s="15">
        <f>IF(ISNA(VLOOKUP(A100,'Données projet'!$A$201:$I$221,4,0)),0,VLOOKUP(A100,'Données projet'!$A$201:$I$221,4,0))</f>
        <v>0</v>
      </c>
      <c r="ES100" s="16">
        <f>IF(ISNA(VLOOKUP(A100,'Données projet'!$A$201:$I$221,5,0)),0%,VLOOKUP(A100,'Données projet'!$A$201:$I$221,5,0)*VLOOKUP('Données projet'!$B$15,Paramètres!$A$1:$I$89,7,0))</f>
        <v>0</v>
      </c>
      <c r="ET100" s="16">
        <f>IF(ISNA(VLOOKUP(A100,'Données projet'!$A$201:$I$221,6,0)),0%,VLOOKUP(A100,'Données projet'!$A$201:$I$221,6,0)*VLOOKUP('Données projet'!$B$15,Paramètres!$A$1:$I$89,7,0))</f>
        <v>0</v>
      </c>
      <c r="EU100" s="16">
        <f>IF(ISNA(VLOOKUP(A100,'Données projet'!$A$201:$I$221,7,0)),0%,VLOOKUP(A100,'Données projet'!$A$201:$I$221,7,0))</f>
        <v>0</v>
      </c>
      <c r="EV100" s="21">
        <f>EXP(-LN(2)/35)*EV99+(1-EXP(-LN(2)/35))/(LN(2)/35)*ER100*ES100*VLOOKUP('Données projet'!$B$15,Paramètres!$A$1:$I$89,3,0)*0.475*44/12</f>
        <v>42.634986478136859</v>
      </c>
      <c r="EW100" s="21">
        <f>EXP(-LN(2)/25)*EW99+(1-EXP(-LN(2)/25))/(LN(2)/25)*Calculateur!ER100*Calculateur!ET100*VLOOKUP('Données projet'!$B$15,Paramètres!$A$1:$I$89,3,0)*0.475*44/12</f>
        <v>13.984197875205346</v>
      </c>
      <c r="EX100" s="21">
        <f>EXP(-LN(2)/2)*EX99+(1-EXP(-LN(2)/2))/(LN(2)/2)*ER100*EU100*VLOOKUP('Données projet'!$B$15,Paramètres!$A$1:$I$89,3,0)*0.475*44/12</f>
        <v>0.18426056518642236</v>
      </c>
      <c r="EY100" s="22">
        <f t="shared" si="140"/>
        <v>56.803444918528626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projet'!$A$227:$I$247,2,0)</f>
        <v>#N/A</v>
      </c>
      <c r="FC100" s="12" t="e">
        <f>VLOOKUP(A100,'Données projet'!$A$227:$I$247,9,0)</f>
        <v>#N/A</v>
      </c>
      <c r="FD100" s="12">
        <f t="array" ref="FD100">INDEX(FC:FC,MIN(IF(ISNUMBER(FC100:FC296),ROW(FC100:FC296),"")))</f>
        <v>3</v>
      </c>
      <c r="FE100" s="12">
        <f>IF('Données projet'!$A$228&gt;35,FE99+FD100-FM99,IF(A100&lt;'Données projet'!$A$228,$FB$205^A100,IF(A100='Données projet'!$A$228,'Données projet'!$B$228,FE99+FD100-FM99)))</f>
        <v>214.00000000000009</v>
      </c>
      <c r="FF100" s="17">
        <f>FE100*VLOOKUP('Données projet'!$B$16,Paramètres!$A$1:$I$89,3,0)*VLOOKUP('Données projet'!$B$16,Paramètres!$A$1:$I$89,5,0)</f>
        <v>223.67280000000008</v>
      </c>
      <c r="FG100" s="13">
        <f t="shared" si="196"/>
        <v>54.91237981823884</v>
      </c>
      <c r="FH100" s="20">
        <f t="shared" si="141"/>
        <v>485.20252151676618</v>
      </c>
      <c r="FI100" s="59">
        <f t="shared" si="142"/>
        <v>778.53585485009944</v>
      </c>
      <c r="FJ100" s="59">
        <f ca="1">AVERAGE(OFFSET($FI$3,0,0,'Données projet'!$E$16+1,1))-AVERAGE(OFFSET($H$3,0,0,'Données projet'!$E$16+1,1))</f>
        <v>259.03906550253788</v>
      </c>
      <c r="FK100" s="59">
        <f t="shared" si="197"/>
        <v>235.54542903570831</v>
      </c>
      <c r="FL100" s="15">
        <f>IF(ISNA(VLOOKUP(A100,'Données projet'!$A$227:$I$247,3,0)),0,VLOOKUP(A100,'Données projet'!$A$227:$I$247,3,0))</f>
        <v>0</v>
      </c>
      <c r="FM100" s="15">
        <f>IF(ISNA(VLOOKUP(A100,'Données projet'!$A$227:$I$247,4,0)),0,VLOOKUP(A100,'Données projet'!$A$227:$I$247,4,0))</f>
        <v>0</v>
      </c>
      <c r="FN100" s="16">
        <f>IF(ISNA(VLOOKUP(A100,'Données projet'!$A$227:$I$247,5,0)),0%,VLOOKUP(A100,'Données projet'!$A$227:$I$247,5,0)*VLOOKUP('Données projet'!$B$16,Paramètres!$A$1:$I$89,7,0))</f>
        <v>0</v>
      </c>
      <c r="FO100" s="16">
        <f>IF(ISNA(VLOOKUP(A100,'Données projet'!$A$227:$I$247,6,0)),0%,VLOOKUP(A100,'Données projet'!$A$227:$I$247,6,0)*VLOOKUP('Données projet'!$B$16,Paramètres!$A$1:$I$89,7,0))</f>
        <v>0</v>
      </c>
      <c r="FP100" s="16">
        <f>IF(ISNA(VLOOKUP(A100,'Données projet'!$A$227:$I$247,7,0)),0%,VLOOKUP(A100,'Données projet'!$A$227:$I$247,7,0))</f>
        <v>0</v>
      </c>
      <c r="FQ100" s="21">
        <f>EXP(-LN(2)/35)*FQ99+(1-EXP(-LN(2)/35))/(LN(2)/35)*FM100*FN100*VLOOKUP('Données projet'!$B$16,Paramètres!$A$1:$I$89,3,0)*0.475*44/12</f>
        <v>16.062001136051904</v>
      </c>
      <c r="FR100" s="21">
        <f>EXP(-LN(2)/25)*FR99+(1-EXP(-LN(2)/25))/(LN(2)/25)*Calculateur!FM100*Calculateur!FO100*VLOOKUP('Données projet'!$B$16,Paramètres!$A$1:$I$89,3,0)*0.475*44/12</f>
        <v>15.819723730746869</v>
      </c>
      <c r="FS100" s="21">
        <f>EXP(-LN(2)/2)*FS99+(1-EXP(-LN(2)/2))/(LN(2)/2)*FM100*FP100*VLOOKUP('Données projet'!$B$16,Paramètres!$A$1:$I$89,3,0)*0.475*44/12</f>
        <v>0</v>
      </c>
      <c r="FT100" s="22">
        <f t="shared" si="143"/>
        <v>31.881724866798773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projet'!$A$253:$I$273,2,0)</f>
        <v>#N/A</v>
      </c>
      <c r="FX100" s="12" t="e">
        <f>VLOOKUP(A100,'Données projet'!$A$253:$I$273,9,0)</f>
        <v>#N/A</v>
      </c>
      <c r="FY100" s="12">
        <f t="array" ref="FY100">INDEX(FX:FX,MIN(IF(ISNUMBER(FX100:FX296),ROW(FX100:FX296),"")))</f>
        <v>0</v>
      </c>
      <c r="FZ100" s="12">
        <f>IF('Données projet'!$A$254&gt;35,FZ99+FY100-GH99,IF(A100&lt;'Données projet'!$A$254,$FW$205^A100,IF(A100='Données projet'!$A$254,'Données projet'!$B$254,FZ99+FY100-GH99)))</f>
        <v>-1.7053025658242404E-13</v>
      </c>
      <c r="GA100" s="17">
        <f>FZ100*VLOOKUP('Données projet'!$B$17,Paramètres!$A$1:$I$89,3,0)*VLOOKUP('Données projet'!$B$17,Paramètres!$A$1:$I$89,5,0)</f>
        <v>-1.4897523215040567E-13</v>
      </c>
      <c r="GB100" s="13" t="e">
        <f t="shared" si="198"/>
        <v>#NUM!</v>
      </c>
      <c r="GC100" s="20" t="e">
        <f t="shared" si="144"/>
        <v>#NUM!</v>
      </c>
      <c r="GD100" s="59" t="e">
        <f t="shared" si="145"/>
        <v>#NUM!</v>
      </c>
      <c r="GE100" s="59">
        <f ca="1">AVERAGE(OFFSET($GD$3,0,0,'Données projet'!$E$17+1,1))-AVERAGE(OFFSET($H$3,0,0,'Données projet'!$E$17+1,1))</f>
        <v>245.1983232777614</v>
      </c>
      <c r="GF100" s="59">
        <f t="shared" si="199"/>
        <v>242.34010522344573</v>
      </c>
      <c r="GG100" s="15">
        <f>IF(ISNA(VLOOKUP(A100,'Données projet'!$A$253:$I$273,3,0)),0,VLOOKUP(A100,'Données projet'!$A$253:$I$273,3,0))</f>
        <v>0</v>
      </c>
      <c r="GH100" s="15">
        <f>IF(ISNA(VLOOKUP(A100,'Données projet'!$A$253:$I$273,4,0)),0,VLOOKUP(A100,'Données projet'!$A$253:$I$273,4,0))</f>
        <v>0</v>
      </c>
      <c r="GI100" s="16">
        <f>IF(ISNA(VLOOKUP(A100,'Données projet'!$A$253:$I$273,5,0)),0%,VLOOKUP(A100,'Données projet'!$A$253:$I$273,5,0)*VLOOKUP('Données projet'!$B$17,Paramètres!$A$1:$I$89,7,0))</f>
        <v>0</v>
      </c>
      <c r="GJ100" s="16">
        <f>IF(ISNA(VLOOKUP(A100,'Données projet'!$A$253:$I$273,6,0)),0%,VLOOKUP(A100,'Données projet'!$A$253:$I$273,6,0)*VLOOKUP('Données projet'!$B$17,Paramètres!$A$1:$I$89,7,0))</f>
        <v>0</v>
      </c>
      <c r="GK100" s="16">
        <f>IF(ISNA(VLOOKUP(A100,'Données projet'!$A$253:$I$273,7,0)),0%,VLOOKUP(A100,'Données projet'!$A$253:$I$273,7,0))</f>
        <v>0</v>
      </c>
      <c r="GL100" s="21">
        <f>EXP(-LN(2)/35)*GL99+(1-EXP(-LN(2)/35))/(LN(2)/35)*GH100*GI100*VLOOKUP('Données projet'!$B$17,Paramètres!$A$1:$I$89,3,0)*0.475*44/12</f>
        <v>87.99703792258282</v>
      </c>
      <c r="GM100" s="21">
        <f>EXP(-LN(2)/25)*GM99+(1-EXP(-LN(2)/25))/(LN(2)/25)*Calculateur!GH100*Calculateur!GJ100*VLOOKUP('Données projet'!$B$17,Paramètres!$A$1:$I$89,3,0)*0.475*44/12</f>
        <v>13.592514924273759</v>
      </c>
      <c r="GN100" s="21">
        <f>EXP(-LN(2)/2)*GN99+(1-EXP(-LN(2)/2))/(LN(2)/2)*GH100*GK100*VLOOKUP('Données projet'!$B$17,Paramètres!$A$1:$I$89,3,0)*0.475*44/12</f>
        <v>0</v>
      </c>
      <c r="GO100" s="21">
        <f t="shared" si="146"/>
        <v>101.58955284685658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projet'!$A$279:$I$299,2,0)</f>
        <v>#N/A</v>
      </c>
      <c r="GS100" s="12" t="e">
        <f>VLOOKUP(A100,'Données projet'!$A$279:$I$299,9,0)</f>
        <v>#N/A</v>
      </c>
      <c r="GT100" s="12">
        <f t="array" ref="GT100">INDEX(GS:GS,MIN(IF(ISNUMBER(GS100:GS296),ROW(GS100:GS296),"")))</f>
        <v>0</v>
      </c>
      <c r="GU100" s="12">
        <f>IF('Données projet'!$A$280&gt;35,GU99+GT100-HC99,IF(A100&lt;'Données projet'!$A$280,$GR$205^A100,IF(A100='Données projet'!$A$280,'Données projet'!$B$280,GU99+GT100-HC99)))</f>
        <v>-1.1368683772161603E-13</v>
      </c>
      <c r="GV100" s="17">
        <f>GU100*VLOOKUP('Données projet'!$B$18,Paramètres!$A$1:$I$89,3,0)*VLOOKUP('Données projet'!$B$18,Paramètres!$A$1:$I$89,5,0)</f>
        <v>-4.5815795601811263E-14</v>
      </c>
      <c r="GW100" s="13" t="e">
        <f t="shared" si="200"/>
        <v>#NUM!</v>
      </c>
      <c r="GX100" s="20" t="e">
        <f t="shared" si="147"/>
        <v>#NUM!</v>
      </c>
      <c r="GY100" s="59" t="e">
        <f t="shared" si="148"/>
        <v>#NUM!</v>
      </c>
      <c r="GZ100" s="59">
        <f ca="1">AVERAGE(OFFSET($GY$3,0,0,'Données projet'!$E$18+1,1))-AVERAGE(OFFSET($H$3,0,0,'Données projet'!$E$18+1,1))</f>
        <v>324.36162935850876</v>
      </c>
      <c r="HA100" s="59">
        <f t="shared" si="201"/>
        <v>265.23571072429735</v>
      </c>
      <c r="HB100" s="15">
        <f>IF(ISNA(VLOOKUP(A100,'Données projet'!$A$279:$I$299,3,0)),0,VLOOKUP(A100,'Données projet'!$A$279:$I$299,3,0))</f>
        <v>0</v>
      </c>
      <c r="HC100" s="15">
        <f>IF(ISNA(VLOOKUP(A100,'Données projet'!$A$279:$I$299,4,0)),0,VLOOKUP(A100,'Données projet'!$A$279:$I$299,4,0))</f>
        <v>0</v>
      </c>
      <c r="HD100" s="16">
        <f>IF(ISNA(VLOOKUP(A100,'Données projet'!$A$279:$I$299,5,0)),0%,VLOOKUP(A100,'Données projet'!$A$279:$I$299,5,0)*VLOOKUP('Données projet'!$B$18,Paramètres!$A$1:$I$89,7,0))</f>
        <v>0</v>
      </c>
      <c r="HE100" s="16">
        <f>IF(ISNA(VLOOKUP(A100,'Données projet'!$A$279:$I$299,6,0)),0%,VLOOKUP(A100,'Données projet'!$A$279:$I$299,6,0)*VLOOKUP('Données projet'!$B$18,Paramètres!$A$1:$I$89,7,0))</f>
        <v>0</v>
      </c>
      <c r="HF100" s="16">
        <f>IF(ISNA(VLOOKUP($A100,'Données projet'!$A$279:$I$299,7,0)),0%,VLOOKUP($A100,'Données projet'!$A$279:$I$299,7,0))</f>
        <v>0</v>
      </c>
      <c r="HG100" s="21">
        <f>EXP(-LN(2)/35)*HG99+(1-EXP(-LN(2)/35))/(LN(2)/35)*HC100*HD100*VLOOKUP('Données projet'!$B$18,Paramètres!$A$1:$I$89,3,0)*0.475*44/12</f>
        <v>168.62532874061995</v>
      </c>
      <c r="HH100" s="21">
        <f>EXP(-LN(2)/25)*HH99+(1-EXP(-LN(2)/25))/(LN(2)/25)*Calculateur!HC100*Calculateur!HE100*VLOOKUP('Données projet'!$B$18,Paramètres!$A$1:$I$89,3,0)*0.475*44/12</f>
        <v>15.117307835308457</v>
      </c>
      <c r="HI100" s="21">
        <f>EXP(-LN(2)/2)*HI99+(1-EXP(-LN(2)/2))/(LN(2)/2)*HC100*HF100*VLOOKUP('Données projet'!$B$18,Paramètres!$A$1:$I$89,3,0)*0.475*44/12</f>
        <v>2.3608554475492372E-2</v>
      </c>
      <c r="HJ100" s="22">
        <f t="shared" si="149"/>
        <v>183.76624513040389</v>
      </c>
      <c r="HK100" s="74">
        <f>('Scénario référence'!$F$8+'Scénario référence'!$F$9+'Scénario référence'!$B$17+'Scénario référence'!$B$9+'Scénario référence'!$B$10)*70+IF((45+25*(1-EXP(-0.0175*$A100)))&lt;70,'Scénario référence'!$B$16*(45+25*(1-EXP(-0.0175*$A100))),70*'Scénario référence'!$B$16)+IF((32+38*(1-EXP(-0.0175*$A100)))&lt;70,'Scénario référence'!$B$18*(32+38*(1-EXP(-0.0175*$A100))),70*'Scénario référence'!$B$18)</f>
        <v>70</v>
      </c>
      <c r="HL100" s="12">
        <f>IF($A100&gt;30,10,('Scénario référence'!$B$16+'Scénario référence'!$B$17+'Scénario référence'!$B$18+'Scénario référence'!$B$9+'Scénario référence'!$B$10)*$A100*10/30+('Scénario référence'!$F$8+'Scénario référence'!$F$9)*10)</f>
        <v>10</v>
      </c>
      <c r="HM100" s="12" t="e">
        <f>VLOOKUP($A100,'Données projet'!$A$304:$I$324,2,0)</f>
        <v>#N/A</v>
      </c>
      <c r="HN100" s="12" t="e">
        <f>VLOOKUP($A100,'Données projet'!$A$304:$I$324,9,0)</f>
        <v>#N/A</v>
      </c>
      <c r="HO100" s="12">
        <f t="array" ref="HO100">INDEX(HN:HN,MIN(IF(ISNUMBER(HN100:HN296),ROW(HN100:HN296),"")))</f>
        <v>0</v>
      </c>
      <c r="HP100" s="12">
        <f>IF('Données projet'!$A$304&gt;35,HP99+HO100-HX99,IF($A100&lt;'Données projet'!$A$304,$CQ$205^$A100,IF($A100='Données projet'!$A$304,'Données projet'!$B$304,HP99+HO100-HX99)))</f>
        <v>0</v>
      </c>
      <c r="HQ100" s="17">
        <f>HP100*VLOOKUP('Données projet'!$B$19,Paramètres!$A$1:$I$89,3,0)*VLOOKUP('Données projet'!$B$19,Paramètres!$A$1:$I$89,5,0)</f>
        <v>0</v>
      </c>
      <c r="HR100" s="13" t="e">
        <f t="shared" si="202"/>
        <v>#NUM!</v>
      </c>
      <c r="HS100" s="14" t="e">
        <f t="shared" si="150"/>
        <v>#NUM!</v>
      </c>
      <c r="HT100" s="59" t="e">
        <f t="shared" si="151"/>
        <v>#NUM!</v>
      </c>
      <c r="HU100" s="59">
        <f ca="1">AVERAGE(OFFSET(HT$3,0,0,'Données projet'!$E$19+1,1))-AVERAGE(OFFSET($H$3,0,0,'Données projet'!$E$19+1,1))</f>
        <v>91.60721429656013</v>
      </c>
      <c r="HV100" s="59">
        <f t="shared" si="203"/>
        <v>258.94957804210856</v>
      </c>
      <c r="HW100" s="15">
        <f>IF(ISNA(VLOOKUP($A100,'Données projet'!$A$304:$I$324,3,0)),0,VLOOKUP($A100,'Données projet'!$A$304:$I$324,3,0))</f>
        <v>0</v>
      </c>
      <c r="HX100" s="15">
        <f>IF(ISNA(VLOOKUP($A100,'Données projet'!$A$304:$I$324,4,0)),0,VLOOKUP($A100,'Données projet'!$A$304:$I$324,4,0))</f>
        <v>0</v>
      </c>
      <c r="HY100" s="16">
        <f>IF(ISNA(VLOOKUP($A100,'Données projet'!$A$304:$I$324,5,0)),0%,VLOOKUP($A100,'Données projet'!$A$304:$I$324,5,0)*VLOOKUP('Données projet'!$B$19,Paramètres!$A$1:$I$89,7,0))</f>
        <v>0</v>
      </c>
      <c r="HZ100" s="16">
        <f>IF(ISNA(VLOOKUP($A100,'Données projet'!$A$304:$I$324,6,0)),0%,VLOOKUP($A100,'Données projet'!$A$304:$I$324,6,0)*VLOOKUP('Données projet'!$B$19,Paramètres!$A$1:$I$89,7,0))</f>
        <v>0</v>
      </c>
      <c r="IA100" s="16">
        <f>IF(ISNA(VLOOKUP($A100,'Données projet'!$A$304:$I$324,7,0)),0%,VLOOKUP($A100,'Données projet'!$A$304:$I$324,7,0))</f>
        <v>0</v>
      </c>
      <c r="IB100" s="21">
        <f>EXP(-LN(2)/35)*IB99+(1-EXP(-LN(2)/35))/(LN(2)/35)*HX100*HY100*VLOOKUP('Données projet'!$B$19,Paramètres!$A$1:$I$89,3,0)*0.475*44/12</f>
        <v>13.088127179539667</v>
      </c>
      <c r="IC100" s="21">
        <f>EXP(-LN(2)/25)*IC99+(1-EXP(-LN(2)/25))/(LN(2)/25)*Calculateur!HX100*Calculateur!HZ100*VLOOKUP('Données projet'!$B$19,Paramètres!$A$1:$I$89,3,0)*0.475*44/12</f>
        <v>1.5179272976488221</v>
      </c>
      <c r="ID100" s="21">
        <f>EXP(-LN(2)/2)*ID99+(1-EXP(-LN(2)/2))/(LN(2)/2)*HX100*IA100*VLOOKUP('Données projet'!$B$19,Paramètres!$A$1:$I$89,3,0)*0.475*44/12</f>
        <v>4.7156092973025125E-11</v>
      </c>
      <c r="IE100" s="22">
        <f t="shared" si="152"/>
        <v>14.606054477235645</v>
      </c>
      <c r="IF100" s="74">
        <f>('Scénario référence'!$F$8+'Scénario référence'!$F$9+'Scénario référence'!$B$17+'Scénario référence'!$B$9+'Scénario référence'!$B$10)*70+IF((45+25*(1-EXP(-0.0175*$A100)))&lt;70,'Scénario référence'!$B$16*(45+25*(1-EXP(-0.0175*$A100))),70*'Scénario référence'!$B$16)+IF((32+38*(1-EXP(-0.0175*$A100)))&lt;70,'Scénario référence'!$B$18*(32+38*(1-EXP(-0.0175*$A100))),70*'Scénario référence'!$B$18)</f>
        <v>70</v>
      </c>
      <c r="IG100" s="12">
        <f>IF($A100&gt;30,10,('Scénario référence'!$B$16+'Scénario référence'!$B$17+'Scénario référence'!$B$18+'Scénario référence'!$B$9+'Scénario référence'!$B$10)*$A100*10/30+('Scénario référence'!$F$8+'Scénario référence'!$F$9)*10)</f>
        <v>10</v>
      </c>
      <c r="IH100" s="12" t="e">
        <f>VLOOKUP($A100,'Données projet'!$A$330:$I$350,2,0)</f>
        <v>#N/A</v>
      </c>
      <c r="II100" s="12" t="e">
        <f>VLOOKUP($A100,'Données projet'!$A$330:$I$350,9,0)</f>
        <v>#N/A</v>
      </c>
      <c r="IJ100" s="12">
        <f t="array" ref="IJ100">INDEX(II:II,MIN(IF(ISNUMBER(II100:II296),ROW(II100:II296),"")))</f>
        <v>0</v>
      </c>
      <c r="IK100" s="12">
        <f>IF('Données projet'!$A$330&gt;35,IK99+IJ100-IS99,IF($A100&lt;'Données projet'!$A$330,$CQ$205^$A100,IF($A100='Données projet'!$A$330,'Données projet'!$B$330,IK99+IJ100-IS99)))</f>
        <v>0</v>
      </c>
      <c r="IL100" s="17">
        <f>IK100*VLOOKUP('Données projet'!$B$20,Paramètres!$A$1:$I$89,3,0)*VLOOKUP('Données projet'!$B$20,Paramètres!$A$1:$I$89,5,0)</f>
        <v>0</v>
      </c>
      <c r="IM100" s="13" t="e">
        <f t="shared" si="204"/>
        <v>#NUM!</v>
      </c>
      <c r="IN100" s="20" t="e">
        <f t="shared" si="153"/>
        <v>#NUM!</v>
      </c>
      <c r="IO100" s="59" t="e">
        <f t="shared" si="154"/>
        <v>#NUM!</v>
      </c>
      <c r="IP100" s="59">
        <f ca="1">AVERAGE(OFFSET(IO$3,0,0,'Données projet'!$E$20+1,1))-AVERAGE(OFFSET($H$3,0,0,'Données projet'!$E$20+1,1))</f>
        <v>91.60721429656013</v>
      </c>
      <c r="IQ100" s="59">
        <f t="shared" si="205"/>
        <v>258.94957804210856</v>
      </c>
      <c r="IR100" s="15">
        <f>IF(ISNA(VLOOKUP($A100,'Données projet'!$A$330:$I$350,3,0)),0,VLOOKUP($A100,'Données projet'!$A$330:$I$350,3,0))</f>
        <v>0</v>
      </c>
      <c r="IS100" s="15">
        <f>IF(ISNA(VLOOKUP($A100,'Données projet'!$A$330:$I$350,4,0)),0,VLOOKUP($A100,'Données projet'!$A$330:$I$350,4,0))</f>
        <v>0</v>
      </c>
      <c r="IT100" s="16">
        <f>IF(ISNA(VLOOKUP($A100,'Données projet'!$A$330:$I$350,5,0)),0%,VLOOKUP($A100,'Données projet'!$A$330:$I$350,5,0)*VLOOKUP('Données projet'!$B$20,Paramètres!$A$1:$I$89,7,0))</f>
        <v>0</v>
      </c>
      <c r="IU100" s="16">
        <f>IF(ISNA(VLOOKUP($A100,'Données projet'!$A$330:$I$350,6,0)),0%,VLOOKUP($A100,'Données projet'!$A$330:$I$350,6,0)*VLOOKUP('Données projet'!$B$20,Paramètres!$A$1:$I$89,7,0))</f>
        <v>0</v>
      </c>
      <c r="IV100" s="16">
        <f>IF(ISNA(VLOOKUP($A100,'Données projet'!$A$330:$I$350,7,0)),0%,VLOOKUP($A100,'Données projet'!$A$330:$I$350,7,0))</f>
        <v>0</v>
      </c>
      <c r="IW100" s="21">
        <f>EXP(-LN(2)/35)*IW99+(1-EXP(-LN(2)/35))/(LN(2)/35)*IS100*IT100*VLOOKUP('Données projet'!$B$20,Paramètres!$A$1:$I$89,3,0)*0.475*44/12</f>
        <v>13.088127179539667</v>
      </c>
      <c r="IX100" s="21">
        <f>EXP(-LN(2)/25)*IX99+(1-EXP(-LN(2)/25))/(LN(2)/25)*Calculateur!IS100*Calculateur!IU100*VLOOKUP('Données projet'!$B$20,Paramètres!$A$1:$I$89,3,0)*0.475*44/12</f>
        <v>1.5179272976488221</v>
      </c>
      <c r="IY100" s="21">
        <f>EXP(-LN(2)/2)*IY99+(1-EXP(-LN(2)/2))/(LN(2)/2)*IS100*IV100*VLOOKUP('Données projet'!$B$20,Paramètres!$A$1:$I$89,3,0)*0.475*44/12</f>
        <v>4.7156092973025125E-11</v>
      </c>
      <c r="IZ100" s="22">
        <f t="shared" si="155"/>
        <v>14.606054477235645</v>
      </c>
      <c r="JA100" s="74">
        <f>('Scénario référence'!$F$8+'Scénario référence'!$F$9+'Scénario référence'!$B$17+'Scénario référence'!$B$9+'Scénario référence'!$B$10)*70+IF((45+25*(1-EXP(-0.0175*$A100)))&lt;70,'Scénario référence'!$B$16*(45+25*(1-EXP(-0.0175*$A100))),70*'Scénario référence'!$B$16)+IF((32+38*(1-EXP(-0.0175*$A100)))&lt;70,'Scénario référence'!$B$18*(32+38*(1-EXP(-0.0175*$A100))),70*'Scénario référence'!$B$18)</f>
        <v>70</v>
      </c>
      <c r="JB100" s="12">
        <f>IF($A100&gt;30,10,('Scénario référence'!$B$16+'Scénario référence'!$B$17+'Scénario référence'!$B$18+'Scénario référence'!$B$9+'Scénario référence'!$B$10)*$A100*10/30+('Scénario référence'!$F$8+'Scénario référence'!$F$9)*10)</f>
        <v>10</v>
      </c>
      <c r="JC100" s="12" t="e">
        <f>VLOOKUP($A100,'Données projet'!$A$356:$I$376,2,0)</f>
        <v>#N/A</v>
      </c>
      <c r="JD100" s="12" t="e">
        <f>VLOOKUP($A100,'Données projet'!$A$356:$I$376,9,0)</f>
        <v>#N/A</v>
      </c>
      <c r="JE100" s="12">
        <f t="array" ref="JE100">INDEX(JD:JD,MIN(IF(ISNUMBER(JD100:JD296),ROW(JD100:JD296),"")))</f>
        <v>4.9000000000000004</v>
      </c>
      <c r="JF100" s="12">
        <f>IF('Données projet'!$A$356&gt;35,JF99+JE100-JN99,IF($A100&lt;'Données projet'!$A$356,$CQ$205^$A100,IF($A100='Données projet'!$A$356,'Données projet'!$B$356,JF99+JE100-JN99)))</f>
        <v>385.29999999999956</v>
      </c>
      <c r="JG100" s="17">
        <f>JF100*VLOOKUP('Données projet'!$B$21,Paramètres!$A$1:$I$89,3,0)*VLOOKUP('Données projet'!$B$21,Paramètres!$A$1:$I$89,5,0)</f>
        <v>312.55535999999967</v>
      </c>
      <c r="JH100" s="13">
        <f t="shared" si="206"/>
        <v>73.802235804998887</v>
      </c>
      <c r="JI100" s="20">
        <f t="shared" si="156"/>
        <v>672.90614602703909</v>
      </c>
      <c r="JJ100" s="59">
        <f t="shared" si="157"/>
        <v>966.23947936037234</v>
      </c>
      <c r="JK100" s="59">
        <f ca="1">AVERAGE(OFFSET($JJ$3,0,0,'Données projet'!$E$22+1,1))-AVERAGE(OFFSET($H$3,0,0,'Données projet'!$E$22+1,1))</f>
        <v>353.35574633294613</v>
      </c>
      <c r="JL100" s="59">
        <f t="shared" si="207"/>
        <v>170.36796666474726</v>
      </c>
      <c r="JM100" s="15">
        <f>IF(ISNA(VLOOKUP($A100,'Données projet'!$A$356:$I$376,3,0)),0,VLOOKUP($A100,'Données projet'!$A$356:$I$376,3,0))</f>
        <v>0</v>
      </c>
      <c r="JN100" s="15">
        <f>IF(ISNA(VLOOKUP($A100,'Données projet'!$A$356:$I$376,4,0)),0,VLOOKUP($A100,'Données projet'!$A$356:$I$376,4,0))</f>
        <v>0</v>
      </c>
      <c r="JO100" s="16">
        <f>IF(ISNA(VLOOKUP($A100,'Données projet'!$A$356:$I$376,5,0)),0%,VLOOKUP($A100,'Données projet'!$A$356:$I$376,5,0)*VLOOKUP('Données projet'!$B$21,Paramètres!$A$1:$I$89,7,0))</f>
        <v>0</v>
      </c>
      <c r="JP100" s="16">
        <f>IF(ISNA(VLOOKUP($A100,'Données projet'!$A$356:$I$376,6,0)),0%,VLOOKUP($A100,'Données projet'!$A$356:$I$376,6,0)*VLOOKUP('Données projet'!$B$21,Paramètres!$A$1:$I$89,7,0))</f>
        <v>0</v>
      </c>
      <c r="JQ100" s="16">
        <f>IF(ISNA(VLOOKUP($A100,'Données projet'!$A$356:$I$376,7,0)),0%,VLOOKUP($A100,'Données projet'!$A$356:$I$376,7,0))</f>
        <v>0</v>
      </c>
      <c r="JR100" s="21">
        <f>EXP(-LN(2)/35)*JR99+(1-EXP(-LN(2)/35))/(LN(2)/35)*JN100*JO100*VLOOKUP('Données projet'!$B$21,Paramètres!$A$1:$I$89,3,0)*0.475*44/12</f>
        <v>2.3422154157245827</v>
      </c>
      <c r="JS100" s="21">
        <f>EXP(-LN(2)/25)*JS99+(1-EXP(-LN(2)/25))/(LN(2)/25)*Calculateur!JN100*Calculateur!JP100*VLOOKUP('Données projet'!$B$21,Paramètres!$A$1:$I$89,3,0)*0.475*44/12</f>
        <v>14.29127681367085</v>
      </c>
      <c r="JT100" s="21">
        <f>EXP(-LN(2)/2)*JT99+(1-EXP(-LN(2)/2))/(LN(2)/2)*JN100*JQ100*VLOOKUP('Données projet'!$B$21,Paramètres!$A$1:$I$89,3,0)*0.475*44/12</f>
        <v>0.54925340606592854</v>
      </c>
      <c r="JU100" s="18">
        <f t="shared" si="158"/>
        <v>17.182745635461362</v>
      </c>
      <c r="JV100" s="74">
        <f>('Scénario référence'!$F$8+'Scénario référence'!$F$9+'Scénario référence'!$B$17+'Scénario référence'!$B$9+'Scénario référence'!$B$10)*70+IF((45+25*(1-EXP(-0.0175*$A100)))&lt;70,'Scénario référence'!$B$16*(45+25*(1-EXP(-0.0175*$A100))),70*'Scénario référence'!$B$16)+IF((32+38*(1-EXP(-0.0175*$A100)))&lt;70,'Scénario référence'!$B$18*(32+38*(1-EXP(-0.0175*$A100))),70*'Scénario référence'!$B$18)</f>
        <v>70</v>
      </c>
      <c r="JW100" s="12">
        <f>IF($A100&gt;30,10,('Scénario référence'!$B$16+'Scénario référence'!$B$17+'Scénario référence'!$B$18+'Scénario référence'!$B$9+'Scénario référence'!$B$10)*$A100*10/30+('Scénario référence'!$F$8+'Scénario référence'!$F$9)*10)</f>
        <v>10</v>
      </c>
      <c r="JX100" s="12" t="e">
        <f>VLOOKUP($A100,'Données projet'!$A$382:$I$402,2,0)</f>
        <v>#N/A</v>
      </c>
      <c r="JY100" s="12" t="e">
        <f>VLOOKUP($A100,'Données projet'!$A$382:$I$402,9,0)</f>
        <v>#N/A</v>
      </c>
      <c r="JZ100" s="12">
        <f t="array" ref="JZ100">INDEX(JY:JY,MIN(IF(ISNUMBER(JY100:JY296),ROW(JY100:JY296),"")))</f>
        <v>7.1782051282051267</v>
      </c>
      <c r="KA100" s="12">
        <f>IF('Données projet'!$A$382&gt;35,KA99+JZ100-KI99,IF($A100&lt;'Données projet'!$A$382,$CQ$205^$A100,IF($A100='Données projet'!$A$382,'Données projet'!$B$382,KA99+JZ100-KI99)))</f>
        <v>303.89358974359016</v>
      </c>
      <c r="KB100" s="17">
        <f>KA100*VLOOKUP('Données projet'!$B$22,Paramètres!$A$1:$I$89,3,0)*VLOOKUP('Données projet'!$B$22,Paramètres!$A$1:$I$89,5,0)</f>
        <v>203.85182000000026</v>
      </c>
      <c r="KC100" s="13">
        <f t="shared" si="208"/>
        <v>50.589739070526676</v>
      </c>
      <c r="KD100" s="20">
        <f t="shared" si="159"/>
        <v>443.15238204783435</v>
      </c>
      <c r="KE100" s="59">
        <f t="shared" si="160"/>
        <v>736.48571538116767</v>
      </c>
      <c r="KF100" s="59">
        <f ca="1">AVERAGE(OFFSET($KE$3,0,0,'Données projet'!$E$22+1,1))-AVERAGE(OFFSET($H$3,0,0,'Données projet'!$E$22+1,1))</f>
        <v>193.91714772848269</v>
      </c>
      <c r="KG100" s="59">
        <f t="shared" si="209"/>
        <v>159.20429420478047</v>
      </c>
      <c r="KH100" s="15">
        <f>IF(ISNA(VLOOKUP($A100,'Données projet'!$A$382:$I$402,3,0)),0,VLOOKUP($A100,'Données projet'!$A$382:$I$402,3,0))</f>
        <v>0</v>
      </c>
      <c r="KI100" s="15">
        <f>IF(ISNA(VLOOKUP($A100,'Données projet'!$A$382:$I$402,4,0)),0,VLOOKUP($A100,'Données projet'!$A$382:$I$402,4,0))</f>
        <v>0</v>
      </c>
      <c r="KJ100" s="16">
        <f>IF(ISNA(VLOOKUP($A100,'Données projet'!$A$382:$I$402,5,0)),0%,VLOOKUP($A100,'Données projet'!$A$382:$I$402,5,0)*VLOOKUP('Données projet'!$B$22,Paramètres!$A$1:$I$89,7,0))</f>
        <v>0</v>
      </c>
      <c r="KK100" s="16">
        <f>IF(ISNA(VLOOKUP($A100,'Données projet'!$A$382:$I$402,6,0)),0%,VLOOKUP($A100,'Données projet'!$A$382:$I$402,6,0)*VLOOKUP('Données projet'!$B$22,Paramètres!$A$1:$I$89,7,0))</f>
        <v>0</v>
      </c>
      <c r="KL100" s="16">
        <f>IF(ISNA(VLOOKUP($A100,'Données projet'!$A$382:$I$402,7,0)),0%,VLOOKUP($A100,'Données projet'!$A$382:$I$402,7,0))</f>
        <v>0</v>
      </c>
      <c r="KM100" s="21">
        <f>EXP(-LN(2)/35)*KM99+(1-EXP(-LN(2)/35))/(LN(2)/35)*KI100*KJ100*VLOOKUP('Données projet'!$B$22,Paramètres!$A$1:$I$89,3,0)*0.475*44/12</f>
        <v>32.97772405091672</v>
      </c>
      <c r="KN100" s="21">
        <f>EXP(-LN(2)/25)*KN99+(1-EXP(-LN(2)/25))/(LN(2)/25)*Calculateur!KI100*Calculateur!KK100*VLOOKUP('Données projet'!$B$22,Paramètres!$A$1:$I$89,3,0)*0.475*44/12</f>
        <v>0</v>
      </c>
      <c r="KO100" s="21">
        <f>EXP(-LN(2)/2)*KO99+(1-EXP(-LN(2)/2))/(LN(2)/2)*KI100*KL100*VLOOKUP('Données projet'!$B$22,Paramètres!$A$1:$I$89,3,0)*0.475*44/12</f>
        <v>0</v>
      </c>
      <c r="KP100" s="22">
        <f t="shared" si="161"/>
        <v>32.97772405091672</v>
      </c>
      <c r="KQ100" s="74">
        <f>('Scénario référence'!$F$8+'Scénario référence'!$F$9+'Scénario référence'!$B$17+'Scénario référence'!$B$9+'Scénario référence'!$B$10)*70+IF((45+25*(1-EXP(-0.0175*$A100)))&lt;70,'Scénario référence'!$B$16*(45+25*(1-EXP(-0.0175*$A100))),70*'Scénario référence'!$B$16)+IF((32+38*(1-EXP(-0.0175*$A100)))&lt;70,'Scénario référence'!$B$18*(32+38*(1-EXP(-0.0175*$A100))),70*'Scénario référence'!$B$18)</f>
        <v>70</v>
      </c>
      <c r="KR100" s="12">
        <f>IF($A100&gt;30,10,('Scénario référence'!$B$16+'Scénario référence'!$B$17+'Scénario référence'!$B$18+'Scénario référence'!$B$9+'Scénario référence'!$B$10)*$A100*10/30+('Scénario référence'!$F$8+'Scénario référence'!$F$9)*10)</f>
        <v>10</v>
      </c>
      <c r="KS100" s="12" t="e">
        <f>VLOOKUP($A100,'Données projet'!$A$408:$I$428,2,0)</f>
        <v>#N/A</v>
      </c>
      <c r="KT100" s="12" t="e">
        <f>VLOOKUP($A100,'Données projet'!$A$408:$I$428,9,0)</f>
        <v>#N/A</v>
      </c>
      <c r="KU100" s="12">
        <f t="array" ref="KU100">INDEX(KT:KT,MIN(IF(ISNUMBER(KT100:KT296),ROW(KT100:KT296),"")))</f>
        <v>0</v>
      </c>
      <c r="KV100" s="12">
        <f>IF('Données projet'!$A$408&gt;35,KV99+KU100-LD99,IF($A100&lt;'Données projet'!$A$408,$CQ$205^$A100,IF($A100='Données projet'!$A$408,'Données projet'!$B$408,KV99+KU100-LD99)))</f>
        <v>-1.1368683772161603E-13</v>
      </c>
      <c r="KW100" s="17">
        <f>KV100*VLOOKUP('Données projet'!$B$23,Paramètres!$A$1:$I$89,3,0)*VLOOKUP('Données projet'!$B$23,Paramètres!$A$1:$I$89,5,0)</f>
        <v>-9.9316821433603781E-14</v>
      </c>
      <c r="KX100" s="13" t="e">
        <f t="shared" si="210"/>
        <v>#NUM!</v>
      </c>
      <c r="KY100" s="14" t="e">
        <f t="shared" si="162"/>
        <v>#NUM!</v>
      </c>
      <c r="KZ100" s="59" t="e">
        <f t="shared" si="163"/>
        <v>#NUM!</v>
      </c>
      <c r="LA100" s="59">
        <f ca="1">AVERAGE(OFFSET($KZ$3,0,0,'Données projet'!$E$23+1,1))-AVERAGE(OFFSET($H$3,0,0,'Données projet'!$E$23+1,1))</f>
        <v>248.33596943633819</v>
      </c>
      <c r="LB100" s="59">
        <f t="shared" si="211"/>
        <v>242.34010522344573</v>
      </c>
      <c r="LC100" s="15">
        <f>IF(ISNA(VLOOKUP($A100,'Données projet'!$A$408:$I$428,3,0)),0,VLOOKUP($A100,'Données projet'!$A$408:$I$428,3,0))</f>
        <v>0</v>
      </c>
      <c r="LD100" s="15">
        <f>IF(ISNA(VLOOKUP($A100,'Données projet'!$A$408:$I$428,4,0)),0,VLOOKUP($A100,'Données projet'!$A$408:$I$428,4,0))</f>
        <v>0</v>
      </c>
      <c r="LE100" s="16">
        <f>IF(ISNA(VLOOKUP($A100,'Données projet'!$A$408:$I$428,5,0)),0%,VLOOKUP($A100,'Données projet'!$A$408:$I$428,5,0)*VLOOKUP('Données projet'!$B$23,Paramètres!$A$1:$I$89,7,0))</f>
        <v>0</v>
      </c>
      <c r="LF100" s="16">
        <f>IF(ISNA(VLOOKUP($A100,'Données projet'!$A$408:$I$428,6,0)),0%,VLOOKUP($A100,'Données projet'!$A$408:$I$428,6,0)*VLOOKUP('Données projet'!$B$23,Paramètres!$A$1:$I$89,7,0))</f>
        <v>0</v>
      </c>
      <c r="LG100" s="16">
        <f>IF(ISNA(VLOOKUP($A100,'Données projet'!$A$408:$I$428,7,0)),0%,VLOOKUP($A100,'Données projet'!$A$408:$I$428,7,0))</f>
        <v>0</v>
      </c>
      <c r="LH100" s="21">
        <f>EXP(-LN(2)/35)*LH99+(1-EXP(-LN(2)/35))/(LN(2)/35)*LD100*LE100*VLOOKUP('Données projet'!$B$23,Paramètres!$A$1:$I$89,3,0)*0.475*44/12</f>
        <v>87.99703792258282</v>
      </c>
      <c r="LI100" s="21">
        <f>EXP(-LN(2)/25)*LI99+(1-EXP(-LN(2)/25))/(LN(2)/25)*Calculateur!LD100*Calculateur!LF100*VLOOKUP('Données projet'!$B$23,Paramètres!$A$1:$I$89,3,0)*0.475*44/12</f>
        <v>13.592514924273759</v>
      </c>
      <c r="LJ100" s="21">
        <f>EXP(-LN(2)/2)*LJ99+(1-EXP(-LN(2)/2))/(LN(2)/2)*LD100*LG100*VLOOKUP('Données projet'!$B$23,Paramètres!$A$1:$I$89,3,0)*0.475*44/12</f>
        <v>0</v>
      </c>
      <c r="LK100" s="22">
        <f t="shared" si="164"/>
        <v>101.58955284685658</v>
      </c>
      <c r="LL100" s="74">
        <f>('Scénario référence'!$F$8+'Scénario référence'!$F$9+'Scénario référence'!$B$17+'Scénario référence'!$B$9+'Scénario référence'!$B$10)*70+IF((45+25*(1-EXP(-0.0175*$A100)))&lt;70,'Scénario référence'!$B$16*(45+25*(1-EXP(-0.0175*$A100))),70*'Scénario référence'!$B$16)+IF((32+38*(1-EXP(-0.0175*$A100)))&lt;70,'Scénario référence'!$B$18*(32+38*(1-EXP(-0.0175*$A100))),70*'Scénario référence'!$B$18)</f>
        <v>70</v>
      </c>
      <c r="LM100" s="12">
        <f>IF($A100&gt;30,10,('Scénario référence'!$B$16+'Scénario référence'!$B$17+'Scénario référence'!$B$18+'Scénario référence'!$B$9+'Scénario référence'!$B$10)*$A100*10/30+('Scénario référence'!$F$8+'Scénario référence'!$F$9)*10)</f>
        <v>10</v>
      </c>
      <c r="LN100" s="12" t="e">
        <f>VLOOKUP($A100,'Données projet'!$A$434:$I$454,2,0)</f>
        <v>#N/A</v>
      </c>
      <c r="LO100" s="12" t="e">
        <f>VLOOKUP($A100,'Données projet'!$A$434:$I$454,9,0)</f>
        <v>#N/A</v>
      </c>
      <c r="LP100" s="12">
        <f t="array" ref="LP100">INDEX(LO:LO,MIN(IF(ISNUMBER(LO100:LO296),ROW(LO100:LO296),"")))</f>
        <v>5.2583333333333373</v>
      </c>
      <c r="LQ100" s="12">
        <f>IF('Données projet'!$A$434&gt;35,LQ99+LP100-LY99,IF($A100&lt;'Données projet'!$A$434,$CQ$205^$A100,IF($A100='Données projet'!$A$434,'Données projet'!$B$434,LQ99+LP100-LY99)))</f>
        <v>203.21923076923051</v>
      </c>
      <c r="LR100" s="17">
        <f>LQ100*VLOOKUP('Données projet'!$B$24,Paramètres!$A$1:$I$89,3,0)*VLOOKUP('Données projet'!$B$24,Paramètres!$A$1:$I$89,5,0)</f>
        <v>206.06429999999975</v>
      </c>
      <c r="LS100" s="13">
        <f t="shared" si="212"/>
        <v>51.074591519343635</v>
      </c>
      <c r="LT100" s="14">
        <f t="shared" si="165"/>
        <v>447.85023606285631</v>
      </c>
      <c r="LU100" s="59">
        <f t="shared" si="166"/>
        <v>741.18356939618957</v>
      </c>
      <c r="LV100" s="59">
        <f ca="1">AVERAGE(OFFSET($LU$3,0,0,'Données projet'!$E$24+1,1))-AVERAGE(OFFSET($H$3,0,0,'Données projet'!$E$24+1,1))</f>
        <v>260.52627655062872</v>
      </c>
      <c r="LW100" s="59">
        <f t="shared" si="213"/>
        <v>159.20429420478047</v>
      </c>
      <c r="LX100" s="15">
        <f>IF(ISNA(VLOOKUP($A100,'Données projet'!$A$434:$I$454,3,0)),0,VLOOKUP($A100,'Données projet'!$A$434:$I$454,3,0))</f>
        <v>0</v>
      </c>
      <c r="LY100" s="15">
        <f>IF(ISNA(VLOOKUP($A100,'Données projet'!$A$434:$I$454,4,0)),0,VLOOKUP($A100,'Données projet'!$A$434:$I$454,4,0))</f>
        <v>0</v>
      </c>
      <c r="LZ100" s="16">
        <f>IF(ISNA(VLOOKUP($A100,'Données projet'!$A$434:$I$454,5,0)),0%,VLOOKUP($A100,'Données projet'!$A$434:$I$454,5,0)*VLOOKUP('Données projet'!$B$24,Paramètres!$A$1:$I$89,7,0))</f>
        <v>0</v>
      </c>
      <c r="MA100" s="16">
        <f>IF(ISNA(VLOOKUP($A100,'Données projet'!$A$434:$I$454,6,0)),0%,VLOOKUP($A100,'Données projet'!$A$434:$I$454,6,0)*VLOOKUP('Données projet'!$B$24,Paramètres!$A$1:$I$89,7,0))</f>
        <v>0</v>
      </c>
      <c r="MB100" s="16">
        <f>IF(ISNA(VLOOKUP($A100,'Données projet'!$A$434:$I$454,7,0)),0%,VLOOKUP($A100,'Données projet'!$A$434:$I$454,7,0))</f>
        <v>0</v>
      </c>
      <c r="MC100" s="21">
        <f>EXP(-LN(2)/35)*MC99+(1-EXP(-LN(2)/35))/(LN(2)/35)*LY100*LZ100*VLOOKUP('Données projet'!$B$24,Paramètres!$A$1:$I$89,3,0)*0.475*44/12</f>
        <v>25.274872480094142</v>
      </c>
      <c r="MD100" s="21">
        <f>EXP(-LN(2)/25)*MD99+(1-EXP(-LN(2)/25))/(LN(2)/25)*Calculateur!LY100*Calculateur!MA100*VLOOKUP('Données projet'!$B$24,Paramètres!$A$1:$I$89,3,0)*0.475*44/12</f>
        <v>0</v>
      </c>
      <c r="ME100" s="21">
        <f>EXP(-LN(2)/2)*ME99+(1-EXP(-LN(2)/2))/(LN(2)/2)*LY100*MB100*VLOOKUP('Données projet'!$B$24,Paramètres!$A$1:$I$89,3,0)*0.475*44/12</f>
        <v>0</v>
      </c>
      <c r="MF100" s="22">
        <f t="shared" si="167"/>
        <v>25.274872480094142</v>
      </c>
      <c r="MG100" s="74">
        <f>('Scénario référence'!$F$8+'Scénario référence'!$F$9+'Scénario référence'!$B$17+'Scénario référence'!$B$9+'Scénario référence'!$B$10)*70+IF((45+25*(1-EXP(-0.0175*$A100)))&lt;70,'Scénario référence'!$B$16*(45+25*(1-EXP(-0.0175*$A100))),70*'Scénario référence'!$B$16)+IF((32+38*(1-EXP(-0.0175*$A100)))&lt;70,'Scénario référence'!$B$18*(32+38*(1-EXP(-0.0175*$A100))),70*'Scénario référence'!$B$18)</f>
        <v>70</v>
      </c>
      <c r="MH100" s="12">
        <f>IF($A100&gt;30,10,('Scénario référence'!$B$16+'Scénario référence'!$B$17+'Scénario référence'!$B$18+'Scénario référence'!$B$9+'Scénario référence'!$B$10)*$A100*10/30+('Scénario référence'!$F$8+'Scénario référence'!$F$9)*10)</f>
        <v>10</v>
      </c>
      <c r="MI100" s="12" t="e">
        <f>VLOOKUP($A100,'Données projet'!$A$460:$I$480,2,0)</f>
        <v>#N/A</v>
      </c>
      <c r="MJ100" s="12" t="e">
        <f>VLOOKUP($A100,'Données projet'!$A$460:$I$480,9,0)</f>
        <v>#N/A</v>
      </c>
      <c r="MK100" s="12">
        <f t="array" ref="MK100">INDEX(MJ:MJ,MIN(IF(ISNUMBER(MJ100:MJ296),ROW(MJ100:MJ296),"")))</f>
        <v>0</v>
      </c>
      <c r="ML100" s="12">
        <f>IF('Données projet'!$A$460&gt;35,ML99+MK100-MT99,IF($A100&lt;'Données projet'!$A$460,$CQ$205^$A100,IF($A100='Données projet'!$A$460,'Données projet'!$B$460,ML99+MK100-MT99)))</f>
        <v>0</v>
      </c>
      <c r="MM100" s="17" t="e">
        <f>ML100*VLOOKUP('Données projet'!$B$25,Paramètres!$A$1:$I$89,3,0)*VLOOKUP('Données projet'!$B$25,Paramètres!$A$1:$I$89,5,0)</f>
        <v>#N/A</v>
      </c>
      <c r="MN100" s="13" t="e">
        <f t="shared" si="214"/>
        <v>#N/A</v>
      </c>
      <c r="MO100" s="14" t="e">
        <f t="shared" si="168"/>
        <v>#N/A</v>
      </c>
      <c r="MP100" s="59" t="e">
        <f t="shared" si="169"/>
        <v>#N/A</v>
      </c>
      <c r="MQ100" s="20" t="e">
        <f ca="1">AVERAGE(OFFSET($MP$3,0,0,'Données projet'!$E$25+1,1))-AVERAGE(OFFSET($H$3,0,0,'Données projet'!$E$25+1,1))</f>
        <v>#N/A</v>
      </c>
      <c r="MR100" s="59" t="e">
        <f t="shared" si="215"/>
        <v>#N/A</v>
      </c>
      <c r="MS100" s="15">
        <f>IF(ISNA(VLOOKUP($A100,'Données projet'!$A$460:$I$480,3,0)),0,VLOOKUP($A100,'Données projet'!$A$460:$I$480,3,0))</f>
        <v>0</v>
      </c>
      <c r="MT100" s="15">
        <f>IF(ISNA(VLOOKUP($A100,'Données projet'!$A$460:$I$480,4,0)),0,VLOOKUP($A100,'Données projet'!$A$460:$I$480,4,0))</f>
        <v>0</v>
      </c>
      <c r="MU100" s="16">
        <f>IF(ISNA(VLOOKUP($A100,'Données projet'!$A$460:$I$480,5,0)),0%,VLOOKUP($A100,'Données projet'!$A$460:$I$480,5,0)*VLOOKUP('Données projet'!$B$25,Paramètres!$A$1:$I$89,7,0))</f>
        <v>0</v>
      </c>
      <c r="MV100" s="16">
        <f>IF(ISNA(VLOOKUP($A100,'Données projet'!$A$460:$I$480,6,0)),0%,VLOOKUP($A100,'Données projet'!$A$460:$I$480,6,0)*VLOOKUP('Données projet'!$B$25,Paramètres!$A$1:$I$89,7,0))</f>
        <v>0</v>
      </c>
      <c r="MW100" s="16">
        <f>IF(ISNA(VLOOKUP($A100,'Données projet'!$A$460:$I$480,7,0)),0%,VLOOKUP($A100,'Données projet'!$A$460:$I$480,7,0))</f>
        <v>0</v>
      </c>
      <c r="MX100" s="21" t="e">
        <f>EXP(-LN(2)/35)*MX99+(1-EXP(-LN(2)/35))/(LN(2)/35)*MT100*MU100*VLOOKUP('Données projet'!$B$25,Paramètres!$A$1:$I$89,3,0)*0.475*44/12</f>
        <v>#N/A</v>
      </c>
      <c r="MY100" s="21" t="e">
        <f>EXP(-LN(2)/25)*MY99+(1-EXP(-LN(2)/25))/(LN(2)/25)*Calculateur!MT100*Calculateur!MV100*VLOOKUP('Données projet'!$B$25,Paramètres!$A$1:$I$89,3,0)*0.475*44/12</f>
        <v>#N/A</v>
      </c>
      <c r="MZ100" s="21" t="e">
        <f>EXP(-LN(2)/2)*MZ99+(1-EXP(-LN(2)/2))/(LN(2)/2)*MT100*MW100*VLOOKUP('Données projet'!$B$25,Paramètres!$A$1:$I$89,3,0)*0.475*44/12</f>
        <v>#N/A</v>
      </c>
      <c r="NA100" s="22" t="e">
        <f t="shared" si="170"/>
        <v>#N/A</v>
      </c>
      <c r="NB100" s="74">
        <f>('Scénario référence'!$F$8+'Scénario référence'!$F$9+'Scénario référence'!$B$17+'Scénario référence'!$B$9+'Scénario référence'!$B$10)*70+IF((45+25*(1-EXP(-0.0175*$A100)))&lt;70,'Scénario référence'!$B$16*(45+25*(1-EXP(-0.0175*$A100))),70*'Scénario référence'!$B$16)+IF((32+38*(1-EXP(-0.0175*$A100)))&lt;70,'Scénario référence'!$B$18*(32+38*(1-EXP(-0.0175*$A100))),70*'Scénario référence'!$B$18)</f>
        <v>70</v>
      </c>
      <c r="NC100" s="12">
        <f>IF($A100&gt;30,10,('Scénario référence'!$B$16+'Scénario référence'!$B$17+'Scénario référence'!$B$18+'Scénario référence'!$B$9+'Scénario référence'!$B$10)*$A100*10/30+('Scénario référence'!$F$8+'Scénario référence'!$F$9)*10)</f>
        <v>10</v>
      </c>
      <c r="ND100" s="12" t="e">
        <f>VLOOKUP($A100,'Données projet'!$A$486:$I$506,2,0)</f>
        <v>#N/A</v>
      </c>
      <c r="NE100" s="12" t="e">
        <f>VLOOKUP($A100,'Données projet'!$A$486:$I$506,9,0)</f>
        <v>#N/A</v>
      </c>
      <c r="NF100" s="12">
        <f t="array" ref="NF100">INDEX(NE:NE,MIN(IF(ISNUMBER(NE100:NE296),ROW(NE100:NE296),"")))</f>
        <v>0</v>
      </c>
      <c r="NG100" s="12">
        <f>IF('Données projet'!$A$486&gt;35,NG99+NF100-NO99,IF($A100&lt;'Données projet'!$A$486,$CQ$205^$A100,IF($A100='Données projet'!$A$486,'Données projet'!$B$486,NG99+NF100-NO99)))</f>
        <v>0</v>
      </c>
      <c r="NH100" s="17" t="e">
        <f>NG100*VLOOKUP('Données projet'!$B$26,Paramètres!$A$1:$I$89,3,0)*VLOOKUP('Données projet'!$B$26,Paramètres!$A$1:$I$89,5,0)</f>
        <v>#N/A</v>
      </c>
      <c r="NI100" s="13" t="e">
        <f t="shared" si="216"/>
        <v>#N/A</v>
      </c>
      <c r="NJ100" s="14" t="e">
        <f t="shared" si="171"/>
        <v>#N/A</v>
      </c>
      <c r="NK100" s="59" t="e">
        <f t="shared" si="172"/>
        <v>#N/A</v>
      </c>
      <c r="NL100" s="20" t="e">
        <f ca="1">AVERAGE(OFFSET($NK$3,0,0,'Données projet'!$E$26+1,1))-AVERAGE(OFFSET($H$3,0,0,'Données projet'!$E$26+1,1))</f>
        <v>#N/A</v>
      </c>
      <c r="NM100" s="59" t="e">
        <f t="shared" si="217"/>
        <v>#N/A</v>
      </c>
      <c r="NN100" s="15">
        <f>IF(ISNA(VLOOKUP($A100,'Données projet'!$A$486:$I$506,3,0)),0,VLOOKUP($A100,'Données projet'!$A$486:$I$506,3,0))</f>
        <v>0</v>
      </c>
      <c r="NO100" s="15">
        <f>IF(ISNA(VLOOKUP($A100,'Données projet'!$A$486:$I$506,4,0)),0,VLOOKUP($A100,'Données projet'!$A$486:$I$506,4,0))</f>
        <v>0</v>
      </c>
      <c r="NP100" s="16">
        <f>IF(ISNA(VLOOKUP($A100,'Données projet'!$A$486:$I$506,5,0)),0%,VLOOKUP($A100,'Données projet'!$A$486:$I$506,5,0)*VLOOKUP('Données projet'!$B$26,Paramètres!$A$1:$I$89,7,0))</f>
        <v>0</v>
      </c>
      <c r="NQ100" s="16">
        <f>IF(ISNA(VLOOKUP($A100,'Données projet'!$A$486:$I$506,6,0)),0%,VLOOKUP($A100,'Données projet'!$A$486:$I$506,6,0)*VLOOKUP('Données projet'!$B$26,Paramètres!$A$1:$I$89,7,0))</f>
        <v>0</v>
      </c>
      <c r="NR100" s="16">
        <f>IF(ISNA(VLOOKUP($A100,'Données projet'!$A$486:$I$506,7,0)),0%,VLOOKUP($A100,'Données projet'!$A$486:$I$506,7,0))</f>
        <v>0</v>
      </c>
      <c r="NS100" s="21" t="e">
        <f>EXP(-LN(2)/35)*NS99+(1-EXP(-LN(2)/35))/(LN(2)/35)*NO100*NP100*VLOOKUP('Données projet'!$B$26,Paramètres!$A$1:$I$89,3,0)*0.475*44/12</f>
        <v>#N/A</v>
      </c>
      <c r="NT100" s="21" t="e">
        <f>EXP(-LN(2)/25)*NT99+(1-EXP(-LN(2)/25))/(LN(2)/25)*Calculateur!NO100*Calculateur!NQ100*VLOOKUP('Données projet'!$B$26,Paramètres!$A$1:$I$89,3,0)*0.475*44/12</f>
        <v>#N/A</v>
      </c>
      <c r="NU100" s="21" t="e">
        <f>EXP(-LN(2)/2)*NU99+(1-EXP(-LN(2)/2))/(LN(2)/2)*NO100*NR100*VLOOKUP('Données projet'!$B$26,Paramètres!$A$1:$I$89,3,0)*0.475*44/12</f>
        <v>#N/A</v>
      </c>
      <c r="NV100" s="22" t="e">
        <f t="shared" si="173"/>
        <v>#N/A</v>
      </c>
      <c r="NW100" s="74">
        <f>('Scénario référence'!$F$8+'Scénario référence'!$F$9+'Scénario référence'!$B$17+'Scénario référence'!$B$9+'Scénario référence'!$B$10)*70+IF((45+25*(1-EXP(-0.0175*$A100)))&lt;70,'Scénario référence'!$B$16*(45+25*(1-EXP(-0.0175*$A100))),70*'Scénario référence'!$B$16)+IF((32+38*(1-EXP(-0.0175*$A100)))&lt;70,'Scénario référence'!$B$18*(32+38*(1-EXP(-0.0175*$A100))),70*'Scénario référence'!$B$18)</f>
        <v>70</v>
      </c>
      <c r="NX100" s="12">
        <f>IF($A100&gt;30,10,('Scénario référence'!$B$16+'Scénario référence'!$B$17+'Scénario référence'!$B$18+'Scénario référence'!$B$9+'Scénario référence'!$B$10)*$A100*10/30+('Scénario référence'!$F$8+'Scénario référence'!$F$9)*10)</f>
        <v>10</v>
      </c>
      <c r="NY100" s="12" t="e">
        <f>VLOOKUP($A100,'Données projet'!$A$512:$I$532,2,0)</f>
        <v>#N/A</v>
      </c>
      <c r="NZ100" s="12" t="e">
        <f>VLOOKUP($A100,'Données projet'!$A$512:$I$532,9,0)</f>
        <v>#N/A</v>
      </c>
      <c r="OA100" s="12">
        <f t="array" ref="OA100">INDEX(NZ:NZ,MIN(IF(ISNUMBER(NZ100:NZ296),ROW(NZ100:NZ296),"")))</f>
        <v>0</v>
      </c>
      <c r="OB100" s="12">
        <f>IF('Données projet'!$A$512&gt;35,OB99+OA100-OJ99,IF($A100&lt;'Données projet'!$A$512,$CQ$205^$A100,IF($A100='Données projet'!$A$512,'Données projet'!$B$512,OB99+OA100-OJ99)))</f>
        <v>0</v>
      </c>
      <c r="OC100" s="17" t="e">
        <f>OB100*VLOOKUP('Données projet'!$B$27,Paramètres!$A$1:$I$89,3,0)*VLOOKUP('Données projet'!$B$27,Paramètres!$A$1:$I$89,5,0)</f>
        <v>#N/A</v>
      </c>
      <c r="OD100" s="13" t="e">
        <f t="shared" si="218"/>
        <v>#N/A</v>
      </c>
      <c r="OE100" s="14" t="e">
        <f t="shared" si="174"/>
        <v>#N/A</v>
      </c>
      <c r="OF100" s="59" t="e">
        <f t="shared" si="175"/>
        <v>#N/A</v>
      </c>
      <c r="OG100" s="20" t="e">
        <f ca="1">AVERAGE(OFFSET($OF$3,0,0,'Données projet'!$E$27+1,1))-AVERAGE(OFFSET($H$3,0,0,'Données projet'!$E$27+1,1))</f>
        <v>#N/A</v>
      </c>
      <c r="OH100" s="59" t="e">
        <f t="shared" si="219"/>
        <v>#N/A</v>
      </c>
      <c r="OI100" s="15">
        <f>IF(ISNA(VLOOKUP($A100,'Données projet'!$A$512:$I$532,3,0)),0,VLOOKUP($A100,'Données projet'!$A$512:$I$532,3,0))</f>
        <v>0</v>
      </c>
      <c r="OJ100" s="15">
        <f>IF(ISNA(VLOOKUP($A100,'Données projet'!$A$512:$I$532,4,0)),0,VLOOKUP($A100,'Données projet'!$A$512:$I$532,4,0))</f>
        <v>0</v>
      </c>
      <c r="OK100" s="16">
        <f>IF(ISNA(VLOOKUP($A100,'Données projet'!$A$512:$I$532,5,0)),0%,VLOOKUP($A100,'Données projet'!$A$512:$I$532,5,0)*VLOOKUP('Données projet'!$B$27,Paramètres!$A$1:$I$89,7,0))</f>
        <v>0</v>
      </c>
      <c r="OL100" s="16">
        <f>IF(ISNA(VLOOKUP($A100,'Données projet'!$A$512:$I$532,6,0)),0%,VLOOKUP($A100,'Données projet'!$A$512:$I$532,6,0)*VLOOKUP('Données projet'!$B$27,Paramètres!$A$1:$I$89,7,0))</f>
        <v>0</v>
      </c>
      <c r="OM100" s="16">
        <f>IF(ISNA(VLOOKUP($A100,'Données projet'!$A$512:$I$532,7,0)),0%,VLOOKUP($A100,'Données projet'!$A$512:$I$532,7,0))</f>
        <v>0</v>
      </c>
      <c r="ON100" s="21" t="e">
        <f>EXP(-LN(2)/35)*ON99+(1-EXP(-LN(2)/35))/(LN(2)/35)*OJ100*OK100*VLOOKUP('Données projet'!$B$27,Paramètres!$A$1:$I$89,3,0)*0.475*44/12</f>
        <v>#N/A</v>
      </c>
      <c r="OO100" s="21" t="e">
        <f>EXP(-LN(2)/25)*OO99+(1-EXP(-LN(2)/25))/(LN(2)/25)*Calculateur!OJ100*Calculateur!OL100*VLOOKUP('Données projet'!$B$27,Paramètres!$A$1:$I$89,3,0)*0.475*44/12</f>
        <v>#N/A</v>
      </c>
      <c r="OP100" s="21" t="e">
        <f>EXP(-LN(2)/2)*OP99+(1-EXP(-LN(2)/2))/(LN(2)/2)*OJ100*OM100*VLOOKUP('Données projet'!$B$27,Paramètres!$A$1:$I$89,3,0)*0.475*44/12</f>
        <v>#N/A</v>
      </c>
      <c r="OQ100" s="22" t="e">
        <f t="shared" si="176"/>
        <v>#N/A</v>
      </c>
      <c r="OR100" s="74">
        <f>('Scénario référence'!$F$8+'Scénario référence'!$F$9+'Scénario référence'!$B$17+'Scénario référence'!$B$9+'Scénario référence'!$B$10)*70+IF((45+25*(1-EXP(-0.0175*$A100)))&lt;70,'Scénario référence'!$B$16*(45+25*(1-EXP(-0.0175*$A100))),70*'Scénario référence'!$B$16)+IF((32+38*(1-EXP(-0.0175*$A100)))&lt;70,'Scénario référence'!$B$18*(32+38*(1-EXP(-0.0175*$A100))),70*'Scénario référence'!$B$18)</f>
        <v>70</v>
      </c>
      <c r="OS100" s="12">
        <f>IF($A100&gt;30,10,('Scénario référence'!$B$16+'Scénario référence'!$B$17+'Scénario référence'!$B$18+'Scénario référence'!$B$9+'Scénario référence'!$B$10)*$A100*10/30+('Scénario référence'!$F$8+'Scénario référence'!$F$9)*10)</f>
        <v>10</v>
      </c>
      <c r="OT100" s="12" t="e">
        <f>VLOOKUP($A100,'Données projet'!$A$538:$I$558,2,0)</f>
        <v>#N/A</v>
      </c>
      <c r="OU100" s="12" t="e">
        <f>VLOOKUP($A100,'Données projet'!$A$538:$I$558,9,0)</f>
        <v>#N/A</v>
      </c>
      <c r="OV100" s="12">
        <f t="array" ref="OV100">INDEX(OU:OU,MIN(IF(ISNUMBER(OU100:OU296),ROW(OU100:OU296),"")))</f>
        <v>0</v>
      </c>
      <c r="OW100" s="12">
        <f>IF('Données projet'!$A$538&gt;35,OW99+OV100-PE99,IF($A100&lt;'Données projet'!$A$538,$CQ$205^$A100,IF($A100='Données projet'!$A$538,'Données projet'!$B$538,OW99+OV100-PE99)))</f>
        <v>0</v>
      </c>
      <c r="OX100" s="17" t="e">
        <f>OW100*VLOOKUP('Données projet'!$B$28,Paramètres!$A$1:$I$89,3,0)*VLOOKUP('Données projet'!$B$28,Paramètres!$A$1:$I$89,5,0)</f>
        <v>#N/A</v>
      </c>
      <c r="OY100" s="13" t="e">
        <f t="shared" si="220"/>
        <v>#N/A</v>
      </c>
      <c r="OZ100" s="14" t="e">
        <f t="shared" si="177"/>
        <v>#N/A</v>
      </c>
      <c r="PA100" s="59" t="e">
        <f t="shared" si="178"/>
        <v>#N/A</v>
      </c>
      <c r="PB100" s="20" t="e">
        <f ca="1">AVERAGE(OFFSET($PA$3,0,0,'Données projet'!$E$28+1,1))-AVERAGE(OFFSET($H$3,0,0,'Données projet'!$E$28+1,1))</f>
        <v>#N/A</v>
      </c>
      <c r="PC100" s="59" t="e">
        <f t="shared" si="221"/>
        <v>#N/A</v>
      </c>
      <c r="PD100" s="15">
        <f>IF(ISNA(VLOOKUP($A100,'Données projet'!$A$538:$I$558,3,0)),0,VLOOKUP($A100,'Données projet'!$A$538:$I$558,3,0))</f>
        <v>0</v>
      </c>
      <c r="PE100" s="15">
        <f>IF(ISNA(VLOOKUP($A100,'Données projet'!$A$538:$I$558,4,0)),0,VLOOKUP($A100,'Données projet'!$A$538:$I$558,4,0))</f>
        <v>0</v>
      </c>
      <c r="PF100" s="16">
        <f>IF(ISNA(VLOOKUP($A100,'Données projet'!$A$538:$I$558,5,0)),0%,VLOOKUP($A100,'Données projet'!$A$538:$I$558,5,0)*VLOOKUP('Données projet'!$B$28,Paramètres!$A$1:$I$89,7,0))</f>
        <v>0</v>
      </c>
      <c r="PG100" s="16">
        <f>IF(ISNA(VLOOKUP($A100,'Données projet'!$A$538:$I$558,6,0)),0%,VLOOKUP($A100,'Données projet'!$A$538:$I$558,6,0)*VLOOKUP('Données projet'!$B$28,Paramètres!$A$1:$I$89,7,0))</f>
        <v>0</v>
      </c>
      <c r="PH100" s="16">
        <f>IF(ISNA(VLOOKUP($A100,'Données projet'!$A$538:$I$558,7,0)),0%,VLOOKUP($A100,'Données projet'!$A$538:$I$558,7,0))</f>
        <v>0</v>
      </c>
      <c r="PI100" s="21" t="e">
        <f>EXP(-LN(2)/35)*PI99+(1-EXP(-LN(2)/35))/(LN(2)/35)*PE100*PF100*VLOOKUP('Données projet'!$B$28,Paramètres!$A$1:$I$89,3,0)*0.475*44/12</f>
        <v>#N/A</v>
      </c>
      <c r="PJ100" s="21" t="e">
        <f>EXP(-LN(2)/25)*PJ99+(1-EXP(-LN(2)/25))/(LN(2)/25)*Calculateur!PE100*Calculateur!PG100*VLOOKUP('Données projet'!$B$28,Paramètres!$A$1:$I$89,3,0)*0.475*44/12</f>
        <v>#N/A</v>
      </c>
      <c r="PK100" s="21" t="e">
        <f>EXP(-LN(2)/2)*PK99+(1-EXP(-LN(2)/2))/(LN(2)/2)*PE100*PH100*VLOOKUP('Données projet'!$B$28,Paramètres!$A$1:$I$89,3,0)*0.475*44/12</f>
        <v>#N/A</v>
      </c>
      <c r="PL100" s="22" t="e">
        <f t="shared" si="179"/>
        <v>#N/A</v>
      </c>
    </row>
    <row r="101" spans="1:428" x14ac:dyDescent="0.35">
      <c r="A101" s="10">
        <f t="shared" si="180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181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121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projet'!$A$45:$I$65,2,0)</f>
        <v>#N/A</v>
      </c>
      <c r="L101" s="12" t="e">
        <f>VLOOKUP(A101,'Données projet'!$A$45:$I$65,9,0)</f>
        <v>#N/A</v>
      </c>
      <c r="M101" s="12">
        <f t="array" ref="M101">INDEX(L:L,MIN(IF(ISNUMBER(L101:L297),ROW(L101:L297),"")))</f>
        <v>0</v>
      </c>
      <c r="N101" s="13">
        <f>IF('Données projet'!$A$46&gt;35,N100+M101-V100,IF(A101&lt;'Données projet'!$A$46,$K$205^A101,IF(A101='Données projet'!$A$46,'Données projet'!$B$46,N100+M101-V100)))</f>
        <v>-1.1368683772161603E-13</v>
      </c>
      <c r="O101" s="13">
        <f>N101*VLOOKUP('Données projet'!$B$9,Paramètres!$A$1:$I$89,3,0)*VLOOKUP('Données projet'!$B$9,Paramètres!$A$1:$I$89,5,0)</f>
        <v>-6.3550942286383367E-14</v>
      </c>
      <c r="P101" s="13" t="e">
        <f t="shared" si="182"/>
        <v>#NUM!</v>
      </c>
      <c r="Q101" s="20" t="e">
        <f t="shared" si="222"/>
        <v>#NUM!</v>
      </c>
      <c r="R101" s="59" t="e">
        <f t="shared" si="120"/>
        <v>#NUM!</v>
      </c>
      <c r="S101" s="59">
        <f ca="1">AVERAGE(OFFSET($R$3,0,0,'Données projet'!$E$9+1,1))-AVERAGE(OFFSET($H$3,0,0,'Données projet'!$E$9+1,1))</f>
        <v>274.57619581652199</v>
      </c>
      <c r="T101" s="59">
        <f t="shared" si="183"/>
        <v>366.15117322598775</v>
      </c>
      <c r="U101" s="15">
        <f>IF(ISNA(VLOOKUP(A101,'Données projet'!$A$45:$I$65,3,0)),0,VLOOKUP(A101,'Données projet'!$A$45:$I$65,3,0))</f>
        <v>0</v>
      </c>
      <c r="V101" s="15">
        <f>IF(ISNA(VLOOKUP(A101,'Données projet'!$A$45:$I$65,4,0)),0,VLOOKUP(A101,'Données projet'!$A$45:$I$65,4,0))</f>
        <v>0</v>
      </c>
      <c r="W101" s="16">
        <f>IF(ISNA(VLOOKUP(A101,'Données projet'!$A$45:$I$65,5,0)),0%,VLOOKUP(A101,'Données projet'!$A$45:$I$65,5,0)*VLOOKUP('Données projet'!$B$9,Paramètres!$A$1:$I$89,7,0))</f>
        <v>0</v>
      </c>
      <c r="X101" s="16">
        <f>IF(ISNA(VLOOKUP(A101,'Données projet'!$A$45:$I$65,6,0)),0%,VLOOKUP(A101,'Données projet'!$A$45:$I$65,6,0)*VLOOKUP('Données projet'!$B$9,Paramètres!$A$1:$I$89,7,0))</f>
        <v>0</v>
      </c>
      <c r="Y101" s="16">
        <f>IF(ISNA(VLOOKUP(A101,'Données projet'!$A$45:$I$65,7,0)),0%,VLOOKUP(A101,'Données projet'!$A$45:$I$65,7,0))</f>
        <v>0</v>
      </c>
      <c r="Z101" s="21">
        <f>EXP(-LN(2)/35)*Z100+(1-EXP(-LN(2)/35))/(LN(2)/35)*V101*W101*VLOOKUP('Données projet'!$B$9,Paramètres!$A$1:$I$89,3,0)*0.475*44/12</f>
        <v>96.723597568406873</v>
      </c>
      <c r="AA101" s="21">
        <f>EXP(-LN(2)/25)*AA100+(1-EXP(-LN(2)/25))/(LN(2)/25)*Calculateur!V101*Calculateur!X101*VLOOKUP('Données projet'!$B$9,Paramètres!$A$1:$I$89,3,0)*0.475*44/12</f>
        <v>17.486737707316443</v>
      </c>
      <c r="AB101" s="21">
        <f>EXP(-LN(2)/2)*AB100+(1-EXP(-LN(2)/2))/(LN(2)/2)*V101*Y101*VLOOKUP('Données projet'!$B$9,Paramètres!$A$1:$I$89,3,0)*0.475*44/12</f>
        <v>1.1518330438367409E-5</v>
      </c>
      <c r="AC101" s="22">
        <f t="shared" si="122"/>
        <v>114.21034679405375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projet'!$A$71:$I$91,2,0)</f>
        <v>#N/A</v>
      </c>
      <c r="AG101" s="12" t="e">
        <f>VLOOKUP(A101,'Données projet'!$A$71:$I$91,9,0)</f>
        <v>#N/A</v>
      </c>
      <c r="AH101" s="12">
        <f t="array" ref="AH101">INDEX(AG:AG,MIN(IF(ISNUMBER(AG101:AG297),ROW(AG101:AG297),"")))</f>
        <v>7.1782051282051267</v>
      </c>
      <c r="AI101" s="13">
        <f>IF('Données projet'!$A$72&gt;35,AI100+AH101-AQ100,IF(A101&lt;'Données projet'!$A$72,$AF$205^A101,IF(A101='Données projet'!$A$72,'Données projet'!$B$72,AI100+AH101-AQ100)))</f>
        <v>311.07179487179536</v>
      </c>
      <c r="AJ101" s="13">
        <f>AI101*VLOOKUP('Données projet'!$B$10,Paramètres!$A$1:$I$89,3,0)*VLOOKUP('Données projet'!$B$10,Paramètres!$A$1:$I$89,5,0)</f>
        <v>281.45776000000041</v>
      </c>
      <c r="AK101" s="13">
        <f t="shared" si="184"/>
        <v>67.274982309129811</v>
      </c>
      <c r="AL101" s="20">
        <f t="shared" si="123"/>
        <v>607.37619285506855</v>
      </c>
      <c r="AM101" s="59">
        <f t="shared" si="124"/>
        <v>900.70952618840192</v>
      </c>
      <c r="AN101" s="59">
        <f ca="1">AVERAGE(OFFSET($AM$3,0,0,'Données projet'!$E$10+1,1))-AVERAGE(OFFSET($H$3,0,0,'Données projet'!$E$10+1,1))</f>
        <v>270.87836509222456</v>
      </c>
      <c r="AO101" s="59">
        <f t="shared" si="185"/>
        <v>205.24998237949734</v>
      </c>
      <c r="AP101" s="15">
        <f>IF(ISNA(VLOOKUP(A101,'Données projet'!$A$71:$I$91,3,0)),0,VLOOKUP(A101,'Données projet'!$A$71:$I$91,3,0))</f>
        <v>0</v>
      </c>
      <c r="AQ101" s="15">
        <f>IF(ISNA(VLOOKUP(A101,'Données projet'!$A$71:$I$91,4,0)),0,VLOOKUP(A101,'Données projet'!$A$71:$I$91,4,0))</f>
        <v>0</v>
      </c>
      <c r="AR101" s="16">
        <f>IF(ISNA(VLOOKUP(A101,'Données projet'!$A$71:$I$91,5,0)),0%,VLOOKUP(A101,'Données projet'!$A$71:$I$91,5,0)*VLOOKUP('Données projet'!$B$10,Paramètres!$A$1:$I$89,7,0))</f>
        <v>0</v>
      </c>
      <c r="AS101" s="16">
        <f>IF(ISNA(VLOOKUP(A101,'Données projet'!$A$71:$I$91,6,0)),0%,VLOOKUP(A101,'Données projet'!$A$71:$I$91,6,0)*VLOOKUP('Données projet'!$B$10,Paramètres!$A$1:$I$89,7,0))</f>
        <v>0</v>
      </c>
      <c r="AT101" s="16">
        <f>IF(ISNA(VLOOKUP(A101,'Données projet'!$A$71:$I$91,7,0)),0%,VLOOKUP(A101,'Données projet'!$A$71:$I$91,7,0))</f>
        <v>0</v>
      </c>
      <c r="AU101" s="21">
        <f>EXP(-LN(2)/35)*AU100+(1-EXP(-LN(2)/35))/(LN(2)/35)*AQ101*AR101*VLOOKUP('Données projet'!$B$10,Paramètres!$A$1:$I$89,3,0)*0.475*44/12</f>
        <v>35.3811501473362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125"/>
        <v>35.3811501473362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projet'!$A$97:$I$117,2,0)</f>
        <v>#N/A</v>
      </c>
      <c r="BB101" s="12" t="e">
        <f>VLOOKUP(A101,'Données projet'!$A$97:$I$117,9,0)</f>
        <v>#N/A</v>
      </c>
      <c r="BC101" s="12">
        <f t="array" ref="BC101">INDEX(BB:BB,MIN(IF(ISNUMBER(BB101:BB297),ROW(BB101:BB297),"")))</f>
        <v>0</v>
      </c>
      <c r="BD101" s="12">
        <f>IF('Données projet'!$A$98&gt;35,BD100+BC101-BL100,IF(A101&lt;'Données projet'!$A$98,$BA$205^A101,IF(A101='Données projet'!$A$98,'Données projet'!$B$98,BD100+BC101-BL100)))</f>
        <v>-1.1368683772161603E-13</v>
      </c>
      <c r="BE101" s="13">
        <f>BD101*VLOOKUP('Données projet'!$B$11,Paramètres!$A$1:$I$89,3,0)*VLOOKUP('Données projet'!$B$11,Paramètres!$A$1:$I$89,5,0)</f>
        <v>-5.0249582272954292E-14</v>
      </c>
      <c r="BF101" s="13" t="e">
        <f t="shared" si="186"/>
        <v>#NUM!</v>
      </c>
      <c r="BG101" s="20" t="e">
        <f t="shared" si="126"/>
        <v>#NUM!</v>
      </c>
      <c r="BH101" s="59" t="e">
        <f t="shared" si="127"/>
        <v>#NUM!</v>
      </c>
      <c r="BI101" s="59">
        <f ca="1">AVERAGE(OFFSET($BH$3,0,0,'Données projet'!$E$11+1,1))-AVERAGE(OFFSET($H$3,0,0,'Données projet'!$E$11+1,1))</f>
        <v>211.31057120485542</v>
      </c>
      <c r="BJ101" s="59">
        <f t="shared" si="187"/>
        <v>283.33292006714777</v>
      </c>
      <c r="BK101" s="15">
        <f>IF(ISNA(VLOOKUP(A101,'Données projet'!$A$97:$I$117,3,0)),0,VLOOKUP(A101,'Données projet'!$A$97:$I$117,3,0))</f>
        <v>0</v>
      </c>
      <c r="BL101" s="15">
        <f>IF(ISNA(VLOOKUP(A101,'Données projet'!$A$97:$I$117,4,0)),0,VLOOKUP(A101,'Données projet'!$A$97:$I$117,4,0))</f>
        <v>0</v>
      </c>
      <c r="BM101" s="16">
        <f>IF(ISNA(VLOOKUP(A101,'Données projet'!$A$97:$I$117,5,0)),0%,VLOOKUP(A101,'Données projet'!$A$97:$I$117,5,0)*VLOOKUP('Données projet'!$B$11,Paramètres!$A$1:$I$89,7,0))</f>
        <v>0</v>
      </c>
      <c r="BN101" s="16">
        <f>IF(ISNA(VLOOKUP(A101,'Données projet'!$A$97:$I$117,6,0)),0%,VLOOKUP(A101,'Données projet'!$A$97:$I$117,6,0)*VLOOKUP('Données projet'!$B$11,Paramètres!$A$1:$I$89,7,0))</f>
        <v>0</v>
      </c>
      <c r="BO101" s="16">
        <f>IF(ISNA(VLOOKUP(A101,'Données projet'!$A$97:$I$117,7,0)),0%,VLOOKUP(A101,'Données projet'!$A$97:$I$117,7,0))</f>
        <v>0</v>
      </c>
      <c r="BP101" s="21">
        <f>EXP(-LN(2)/35)*BP100+(1-EXP(-LN(2)/35))/(LN(2)/35)*BL101*BM101*VLOOKUP('Données projet'!$B$11,Paramètres!$A$1:$I$89,3,0)*0.475*44/12</f>
        <v>76.479123658740335</v>
      </c>
      <c r="BQ101" s="21">
        <f>EXP(-LN(2)/25)*BQ100+(1-EXP(-LN(2)/25))/(LN(2)/25)*Calculateur!BL101*Calculateur!BN101*VLOOKUP('Données projet'!$B$11,Paramètres!$A$1:$I$89,3,0)*0.475*44/12</f>
        <v>13.826722838343228</v>
      </c>
      <c r="BR101" s="21">
        <f>EXP(-LN(2)/2)*BR100+(1-EXP(-LN(2)/2))/(LN(2)/2)*BL101*BO101*VLOOKUP('Données projet'!$B$11,Paramètres!$A$1:$I$89,3,0)*0.475*44/12</f>
        <v>9.1075170908021355E-6</v>
      </c>
      <c r="BS101" s="22">
        <f t="shared" si="128"/>
        <v>90.305855604600652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projet'!$A$123:$I$143,2,0)</f>
        <v>#N/A</v>
      </c>
      <c r="BW101" s="12" t="e">
        <f>VLOOKUP(A101,'Données projet'!$A$123:$I$143,9,0)</f>
        <v>#N/A</v>
      </c>
      <c r="BX101" s="12">
        <f t="array" ref="BX101">INDEX(BW:BW,MIN(IF(ISNUMBER(BW101:BW297),ROW(BW101:BW297),"")))</f>
        <v>3</v>
      </c>
      <c r="BY101" s="12">
        <f>IF('Données projet'!$A$124&gt;35,BY100+BX101-CG100,IF(A101&lt;'Données projet'!$A$124,$BV$205^A101,IF(A101='Données projet'!$A$124,'Données projet'!$B$124,BY100+BX101-CG100)))</f>
        <v>249</v>
      </c>
      <c r="BZ101" s="13">
        <f>BY101*VLOOKUP('Données projet'!$B$12,Paramètres!$A$1:$I$89,3,0)*VLOOKUP('Données projet'!$B$12,Paramètres!$A$1:$I$89,5,0)</f>
        <v>260.25480000000005</v>
      </c>
      <c r="CA101" s="13">
        <f t="shared" si="188"/>
        <v>62.776687922790821</v>
      </c>
      <c r="CB101" s="20">
        <f t="shared" si="129"/>
        <v>562.61317479886077</v>
      </c>
      <c r="CC101" s="59">
        <f t="shared" si="130"/>
        <v>855.94650813219414</v>
      </c>
      <c r="CD101" s="59">
        <f ca="1">AVERAGE(OFFSET($CC$3,0,0,'Données projet'!$E$12+1,1))-AVERAGE(OFFSET($H$3,0,0,'Données projet'!$E$12+1,1))</f>
        <v>322.93502595881938</v>
      </c>
      <c r="CE101" s="59">
        <f t="shared" si="189"/>
        <v>302.67072119588164</v>
      </c>
      <c r="CF101" s="15">
        <f>IF(ISNA(VLOOKUP(A101,'Données projet'!$A$123:$I$143,3,0)),0,VLOOKUP(A101,'Données projet'!$A$123:$I$143,3,0))</f>
        <v>0</v>
      </c>
      <c r="CG101" s="15">
        <f>IF(ISNA(VLOOKUP(A101,'Données projet'!$A$123:$I$143,4,0)),0,VLOOKUP(A101,'Données projet'!$A$123:$I$143,4,0))</f>
        <v>0</v>
      </c>
      <c r="CH101" s="16">
        <f>IF(ISNA(VLOOKUP(A101,'Données projet'!$A$123:$I$143,5,0)),0%,VLOOKUP(A101,'Données projet'!$A$123:$I$143,5,0)*VLOOKUP('Données projet'!$B$12,Paramètres!$A$1:$I$89,7,0))</f>
        <v>0</v>
      </c>
      <c r="CI101" s="16">
        <f>IF(ISNA(VLOOKUP(A101,'Données projet'!$A$123:$I$143,6,0)),0%,VLOOKUP(A101,'Données projet'!$A$123:$I$143,6,0)*VLOOKUP('Données projet'!$B$12,Paramètres!$A$1:$I$89,7,0))</f>
        <v>0</v>
      </c>
      <c r="CJ101" s="16">
        <f>IF(ISNA(VLOOKUP(A101,'Données projet'!$A$123:$I$143,7,0)),0%,VLOOKUP(A101,'Données projet'!$A$123:$I$143,7,0))</f>
        <v>0</v>
      </c>
      <c r="CK101" s="21">
        <f>EXP(-LN(2)/35)*CK100+(1-EXP(-LN(2)/35))/(LN(2)/35)*CG101*CH101*VLOOKUP('Données projet'!$B$12,Paramètres!$A$1:$I$89,3,0)*0.475*44/12</f>
        <v>29.580917784733565</v>
      </c>
      <c r="CL101" s="21">
        <f>EXP(-LN(2)/25)*CL100+(1-EXP(-LN(2)/25))/(LN(2)/25)*Calculateur!CG101*Calculateur!CI101*VLOOKUP('Données projet'!$B$12,Paramètres!$A$1:$I$89,3,0)*0.475*44/12</f>
        <v>17.575822494828941</v>
      </c>
      <c r="CM101" s="21">
        <f>EXP(-LN(2)/2)*CM100+(1-EXP(-LN(2)/2))/(LN(2)/2)*CG101*CJ101*VLOOKUP('Données projet'!$B$12,Paramètres!$A$1:$I$89,3,0)*0.475*44/12</f>
        <v>0</v>
      </c>
      <c r="CN101" s="22">
        <f t="shared" si="131"/>
        <v>47.156740279562506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projet'!$A$149:$I$169,2,0)</f>
        <v>#N/A</v>
      </c>
      <c r="CR101" s="12" t="e">
        <f>VLOOKUP(A101,'Données projet'!$A$149:$I$169,9,0)</f>
        <v>#N/A</v>
      </c>
      <c r="CS101" s="12">
        <f t="array" ref="CS101">INDEX(CR:CR,MIN(IF(ISNUMBER(CR101:CR297),ROW(CR101:CR297),"")))</f>
        <v>5.2583333333333373</v>
      </c>
      <c r="CT101" s="12">
        <f>IF('Données projet'!$A$150&gt;35,CT100+CS101-DB100,IF(A101&lt;'Données projet'!$A$150,$CQ$205^A101,IF(A101='Données projet'!$A$150,'Données projet'!$B$150,CT100+CS101-DB100)))</f>
        <v>208.47756410256383</v>
      </c>
      <c r="CU101" s="17">
        <f>CT101*VLOOKUP('Données projet'!$B$13,Paramètres!$A$1:$I$89,3,0)*VLOOKUP('Données projet'!$B$13,Paramètres!$A$1:$I$89,5,0)</f>
        <v>211.39624999999972</v>
      </c>
      <c r="CV101" s="13">
        <f t="shared" si="190"/>
        <v>52.240583675733987</v>
      </c>
      <c r="CW101" s="20">
        <f t="shared" si="132"/>
        <v>459.16748531856956</v>
      </c>
      <c r="CX101" s="59">
        <f t="shared" si="133"/>
        <v>752.50081865190282</v>
      </c>
      <c r="CY101" s="59">
        <f ca="1">AVERAGE(OFFSET($CX$3,0,0,'Données projet'!$E$13+1,1))-AVERAGE(OFFSET($H$3,0,0,'Données projet'!$E$13+1,1))</f>
        <v>250.31277422753283</v>
      </c>
      <c r="CZ101" s="59">
        <f t="shared" si="191"/>
        <v>159.20429420478047</v>
      </c>
      <c r="DA101" s="15">
        <f>IF(ISNA(VLOOKUP(A101,'Données projet'!$A$149:$I$169,3,0)),0,VLOOKUP(A101,'Données projet'!$A$149:$I$169,3,0))</f>
        <v>0</v>
      </c>
      <c r="DB101" s="15">
        <f>IF(ISNA(VLOOKUP(A101,'Données projet'!$A$149:$I$169,4,0)),0,VLOOKUP(A101,'Données projet'!$A$149:$I$169,4,0))</f>
        <v>0</v>
      </c>
      <c r="DC101" s="16">
        <f>IF(ISNA(VLOOKUP(A101,'Données projet'!$A$149:$I$169,5,0)),0%,VLOOKUP(A101,'Données projet'!$A$149:$I$169,5,0)*VLOOKUP('Données projet'!$B$13,Paramètres!$A$1:$I$89,7,0))</f>
        <v>0</v>
      </c>
      <c r="DD101" s="16">
        <f>IF(ISNA(VLOOKUP(A101,'Données projet'!$A$149:$I$169,6,0)),0%,VLOOKUP(A101,'Données projet'!$A$149:$I$169,6,0)*VLOOKUP('Données projet'!$B$13,Paramètres!$A$1:$I$89,7,0))</f>
        <v>0</v>
      </c>
      <c r="DE101" s="16">
        <f>IF(ISNA(VLOOKUP(A101,'Données projet'!$A$149:$I$169,7,0)),0%,VLOOKUP(A101,'Données projet'!$A$149:$I$169,7,0))</f>
        <v>0</v>
      </c>
      <c r="DF101" s="21">
        <f>EXP(-LN(2)/35)*DF100+(1-EXP(-LN(2)/35))/(LN(2)/35)*DB101*DC101*VLOOKUP('Données projet'!$B$13,Paramètres!$A$1:$I$89,3,0)*0.475*44/12</f>
        <v>24.779247646909489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134"/>
        <v>24.779247646909489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projet'!$A$175:$I$195,2,0)</f>
        <v>#N/A</v>
      </c>
      <c r="DM101" s="12" t="e">
        <f>VLOOKUP(A101,'Données projet'!$A$175:$I$195,9,0)</f>
        <v>#N/A</v>
      </c>
      <c r="DN101" s="12">
        <f t="array" ref="DN101">INDEX(DM:DM,MIN(IF(ISNUMBER(DM101:DM297),ROW(DM101:DM297),"")))</f>
        <v>0</v>
      </c>
      <c r="DO101" s="12">
        <f>IF('Données projet'!$A$176&gt;35,DO100+DN101-DW100,IF(A101&lt;'Données projet'!$A$176,$DL$205^A101,IF(A101='Données projet'!$A$176,'Données projet'!$B$176,DO100+DN101-DW100)))</f>
        <v>-2.8421709430404007E-13</v>
      </c>
      <c r="DP101" s="17">
        <f>DO101*VLOOKUP('Données projet'!$B$14,Paramètres!$A$1:$I$89,3,0)*VLOOKUP('Données projet'!$B$14,Paramètres!$A$1:$I$89,5,0)</f>
        <v>-2.0838797354372215E-13</v>
      </c>
      <c r="DQ101" s="13" t="e">
        <f t="shared" si="192"/>
        <v>#NUM!</v>
      </c>
      <c r="DR101" s="20" t="e">
        <f t="shared" si="135"/>
        <v>#NUM!</v>
      </c>
      <c r="DS101" s="59" t="e">
        <f t="shared" si="136"/>
        <v>#NUM!</v>
      </c>
      <c r="DT101" s="59">
        <f ca="1">AVERAGE(OFFSET($DS$3,0,0,'Données projet'!$E$14+1,1))-AVERAGE(OFFSET($H$3,0,0,'Données projet'!$E$14+1,1))</f>
        <v>296.91321813251051</v>
      </c>
      <c r="DU101" s="59">
        <f t="shared" si="193"/>
        <v>291.0718079639509</v>
      </c>
      <c r="DV101" s="15">
        <f>IF(ISNA(VLOOKUP(A101,'Données projet'!$A$175:$I$195,3,0)),0,VLOOKUP(A101,'Données projet'!$A$175:$I$195,3,0))</f>
        <v>0</v>
      </c>
      <c r="DW101" s="15">
        <f>IF(ISNA(VLOOKUP(A101,'Données projet'!$A$175:$I$195,4,0)),0,VLOOKUP(A101,'Données projet'!$A$175:$I$195,4,0))</f>
        <v>0</v>
      </c>
      <c r="DX101" s="16">
        <f>IF(ISNA(VLOOKUP(A101,'Données projet'!$A$175:$I$195,5,0)),0%,VLOOKUP(A101,'Données projet'!$A$175:$I$195,5,0)*VLOOKUP('Données projet'!$B$14,Paramètres!$A$1:$I$89,7,0))</f>
        <v>0</v>
      </c>
      <c r="DY101" s="16">
        <f>IF(ISNA(VLOOKUP(A101,'Données projet'!$A$175:$I$195,6,0)),0%,VLOOKUP(A101,'Données projet'!$A$175:$I$195,6,0)*VLOOKUP('Données projet'!$B$14,Paramètres!$A$1:$I$89,7,0))</f>
        <v>0</v>
      </c>
      <c r="DZ101" s="16">
        <f>IF(ISNA(VLOOKUP(A101,'Données projet'!$A$175:$I$195,7,0)),0%,VLOOKUP(A101,'Données projet'!$A$175:$I$195,7,0))</f>
        <v>0</v>
      </c>
      <c r="EA101" s="21">
        <f>EXP(-LN(2)/35)*EA100+(1-EXP(-LN(2)/35))/(LN(2)/35)*DW101*DX101*VLOOKUP('Données projet'!$B$14,Paramètres!$A$1:$I$89,3,0)*0.475*44/12</f>
        <v>121.44505579485248</v>
      </c>
      <c r="EB101" s="21">
        <f>EXP(-LN(2)/25)*EB100+(1-EXP(-LN(2)/25))/(LN(2)/25)*Calculateur!DW101*Calculateur!DY101*VLOOKUP('Données projet'!$B$14,Paramètres!$A$1:$I$89,3,0)*0.475*44/12</f>
        <v>3.2509300716878387</v>
      </c>
      <c r="EC101" s="21">
        <f>EXP(-LN(2)/2)*EC100+(1-EXP(-LN(2)/2))/(LN(2)/2)*DW101*DZ101*VLOOKUP('Données projet'!$B$14,Paramètres!$A$1:$I$89,3,0)*0.475*44/12</f>
        <v>0</v>
      </c>
      <c r="ED101" s="22">
        <f t="shared" si="137"/>
        <v>124.69598586654031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projet'!$A$201:$I$221,2,0)</f>
        <v>#N/A</v>
      </c>
      <c r="EH101" s="12" t="e">
        <f>VLOOKUP(A101,'Données projet'!$A$201:$I$221,9,0)</f>
        <v>#N/A</v>
      </c>
      <c r="EI101" s="12">
        <f t="array" ref="EI101">INDEX(EH:EH,MIN(IF(ISNUMBER(EH101:EH297),ROW(EH101:EH297),"")))</f>
        <v>8.1391025641025667</v>
      </c>
      <c r="EJ101" s="12">
        <f>IF('Données projet'!$A$202&gt;35,EJ100+EI101-ER100,IF(A101&lt;'Données projet'!$A$202,$EG$205^A101,IF(A101='Données projet'!$A$202,'Données projet'!$B$202,EJ100+EI101-ER100)))</f>
        <v>389.73012820512861</v>
      </c>
      <c r="EK101" s="17">
        <f>EJ101*VLOOKUP('Données projet'!$B$15,Paramètres!$A$1:$I$89,3,0)*VLOOKUP('Données projet'!$B$15,Paramètres!$A$1:$I$89,5,0)</f>
        <v>182.39370000000019</v>
      </c>
      <c r="EL101" s="13">
        <f t="shared" si="194"/>
        <v>45.854330163580819</v>
      </c>
      <c r="EM101" s="20">
        <f t="shared" si="138"/>
        <v>397.53198586823692</v>
      </c>
      <c r="EN101" s="59">
        <f t="shared" si="139"/>
        <v>690.86531920157017</v>
      </c>
      <c r="EO101" s="59">
        <f ca="1">AVERAGE(OFFSET($EN$3,0,0,'Données projet'!$E$15+1,1))-AVERAGE(OFFSET($H$3,0,0,'Données projet'!$E$15+1,1))</f>
        <v>147.64256291235483</v>
      </c>
      <c r="EP101" s="59">
        <f t="shared" si="195"/>
        <v>70.859031694091868</v>
      </c>
      <c r="EQ101" s="15">
        <f>IF(ISNA(VLOOKUP(A101,'Données projet'!$A$201:$I$221,3,0)),0,VLOOKUP(A101,'Données projet'!$A$201:$I$221,3,0))</f>
        <v>0</v>
      </c>
      <c r="ER101" s="15">
        <f>IF(ISNA(VLOOKUP(A101,'Données projet'!$A$201:$I$221,4,0)),0,VLOOKUP(A101,'Données projet'!$A$201:$I$221,4,0))</f>
        <v>0</v>
      </c>
      <c r="ES101" s="16">
        <f>IF(ISNA(VLOOKUP(A101,'Données projet'!$A$201:$I$221,5,0)),0%,VLOOKUP(A101,'Données projet'!$A$201:$I$221,5,0)*VLOOKUP('Données projet'!$B$15,Paramètres!$A$1:$I$89,7,0))</f>
        <v>0</v>
      </c>
      <c r="ET101" s="16">
        <f>IF(ISNA(VLOOKUP(A101,'Données projet'!$A$201:$I$221,6,0)),0%,VLOOKUP(A101,'Données projet'!$A$201:$I$221,6,0)*VLOOKUP('Données projet'!$B$15,Paramètres!$A$1:$I$89,7,0))</f>
        <v>0</v>
      </c>
      <c r="EU101" s="16">
        <f>IF(ISNA(VLOOKUP(A101,'Données projet'!$A$201:$I$221,7,0)),0%,VLOOKUP(A101,'Données projet'!$A$201:$I$221,7,0))</f>
        <v>0</v>
      </c>
      <c r="EV101" s="21">
        <f>EXP(-LN(2)/35)*EV100+(1-EXP(-LN(2)/35))/(LN(2)/35)*ER101*ES101*VLOOKUP('Données projet'!$B$15,Paramètres!$A$1:$I$89,3,0)*0.475*44/12</f>
        <v>41.798940398074592</v>
      </c>
      <c r="EW101" s="21">
        <f>EXP(-LN(2)/25)*EW100+(1-EXP(-LN(2)/25))/(LN(2)/25)*Calculateur!ER101*Calculateur!ET101*VLOOKUP('Données projet'!$B$15,Paramètres!$A$1:$I$89,3,0)*0.475*44/12</f>
        <v>13.601799248910851</v>
      </c>
      <c r="EX101" s="21">
        <f>EXP(-LN(2)/2)*EX100+(1-EXP(-LN(2)/2))/(LN(2)/2)*ER101*EU101*VLOOKUP('Données projet'!$B$15,Paramètres!$A$1:$I$89,3,0)*0.475*44/12</f>
        <v>0.13029189514858514</v>
      </c>
      <c r="EY101" s="22">
        <f t="shared" si="140"/>
        <v>55.531031542134031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projet'!$A$227:$I$247,2,0)</f>
        <v>#N/A</v>
      </c>
      <c r="FC101" s="12" t="e">
        <f>VLOOKUP(A101,'Données projet'!$A$227:$I$247,9,0)</f>
        <v>#N/A</v>
      </c>
      <c r="FD101" s="12">
        <f t="array" ref="FD101">INDEX(FC:FC,MIN(IF(ISNUMBER(FC101:FC297),ROW(FC101:FC297),"")))</f>
        <v>3</v>
      </c>
      <c r="FE101" s="12">
        <f>IF('Données projet'!$A$228&gt;35,FE100+FD101-FM100,IF(A101&lt;'Données projet'!$A$228,$FB$205^A101,IF(A101='Données projet'!$A$228,'Données projet'!$B$228,FE100+FD101-FM100)))</f>
        <v>217.00000000000009</v>
      </c>
      <c r="FF101" s="17">
        <f>FE101*VLOOKUP('Données projet'!$B$16,Paramètres!$A$1:$I$89,3,0)*VLOOKUP('Données projet'!$B$16,Paramètres!$A$1:$I$89,5,0)</f>
        <v>226.80840000000012</v>
      </c>
      <c r="FG101" s="13">
        <f t="shared" si="196"/>
        <v>55.592022759242624</v>
      </c>
      <c r="FH101" s="20">
        <f t="shared" si="141"/>
        <v>491.84740297234777</v>
      </c>
      <c r="FI101" s="59">
        <f t="shared" si="142"/>
        <v>785.18073630568108</v>
      </c>
      <c r="FJ101" s="59">
        <f ca="1">AVERAGE(OFFSET($FI$3,0,0,'Données projet'!$E$16+1,1))-AVERAGE(OFFSET($H$3,0,0,'Données projet'!$E$16+1,1))</f>
        <v>259.03906550253788</v>
      </c>
      <c r="FK101" s="59">
        <f t="shared" si="197"/>
        <v>235.54542903570831</v>
      </c>
      <c r="FL101" s="15">
        <f>IF(ISNA(VLOOKUP(A101,'Données projet'!$A$227:$I$247,3,0)),0,VLOOKUP(A101,'Données projet'!$A$227:$I$247,3,0))</f>
        <v>0</v>
      </c>
      <c r="FM101" s="15">
        <f>IF(ISNA(VLOOKUP(A101,'Données projet'!$A$227:$I$247,4,0)),0,VLOOKUP(A101,'Données projet'!$A$227:$I$247,4,0))</f>
        <v>0</v>
      </c>
      <c r="FN101" s="16">
        <f>IF(ISNA(VLOOKUP(A101,'Données projet'!$A$227:$I$247,5,0)),0%,VLOOKUP(A101,'Données projet'!$A$227:$I$247,5,0)*VLOOKUP('Données projet'!$B$16,Paramètres!$A$1:$I$89,7,0))</f>
        <v>0</v>
      </c>
      <c r="FO101" s="16">
        <f>IF(ISNA(VLOOKUP(A101,'Données projet'!$A$227:$I$247,6,0)),0%,VLOOKUP(A101,'Données projet'!$A$227:$I$247,6,0)*VLOOKUP('Données projet'!$B$16,Paramètres!$A$1:$I$89,7,0))</f>
        <v>0</v>
      </c>
      <c r="FP101" s="16">
        <f>IF(ISNA(VLOOKUP(A101,'Données projet'!$A$227:$I$247,7,0)),0%,VLOOKUP(A101,'Données projet'!$A$227:$I$247,7,0))</f>
        <v>0</v>
      </c>
      <c r="FQ101" s="21">
        <f>EXP(-LN(2)/35)*FQ100+(1-EXP(-LN(2)/35))/(LN(2)/35)*FM101*FN101*VLOOKUP('Données projet'!$B$16,Paramètres!$A$1:$I$89,3,0)*0.475*44/12</f>
        <v>15.747035090627261</v>
      </c>
      <c r="FR101" s="21">
        <f>EXP(-LN(2)/25)*FR100+(1-EXP(-LN(2)/25))/(LN(2)/25)*Calculateur!FM101*Calculateur!FO101*VLOOKUP('Données projet'!$B$16,Paramètres!$A$1:$I$89,3,0)*0.475*44/12</f>
        <v>15.387132553406481</v>
      </c>
      <c r="FS101" s="21">
        <f>EXP(-LN(2)/2)*FS100+(1-EXP(-LN(2)/2))/(LN(2)/2)*FM101*FP101*VLOOKUP('Données projet'!$B$16,Paramètres!$A$1:$I$89,3,0)*0.475*44/12</f>
        <v>0</v>
      </c>
      <c r="FT101" s="22">
        <f t="shared" si="143"/>
        <v>31.134167644033742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projet'!$A$253:$I$273,2,0)</f>
        <v>#N/A</v>
      </c>
      <c r="FX101" s="12" t="e">
        <f>VLOOKUP(A101,'Données projet'!$A$253:$I$273,9,0)</f>
        <v>#N/A</v>
      </c>
      <c r="FY101" s="12">
        <f t="array" ref="FY101">INDEX(FX:FX,MIN(IF(ISNUMBER(FX101:FX297),ROW(FX101:FX297),"")))</f>
        <v>0</v>
      </c>
      <c r="FZ101" s="12">
        <f>IF('Données projet'!$A$254&gt;35,FZ100+FY101-GH100,IF(A101&lt;'Données projet'!$A$254,$FW$205^A101,IF(A101='Données projet'!$A$254,'Données projet'!$B$254,FZ100+FY101-GH100)))</f>
        <v>-1.7053025658242404E-13</v>
      </c>
      <c r="GA101" s="17">
        <f>FZ101*VLOOKUP('Données projet'!$B$17,Paramètres!$A$1:$I$89,3,0)*VLOOKUP('Données projet'!$B$17,Paramètres!$A$1:$I$89,5,0)</f>
        <v>-1.4897523215040567E-13</v>
      </c>
      <c r="GB101" s="13" t="e">
        <f t="shared" si="198"/>
        <v>#NUM!</v>
      </c>
      <c r="GC101" s="20" t="e">
        <f t="shared" si="144"/>
        <v>#NUM!</v>
      </c>
      <c r="GD101" s="59" t="e">
        <f t="shared" si="145"/>
        <v>#NUM!</v>
      </c>
      <c r="GE101" s="59">
        <f ca="1">AVERAGE(OFFSET($GD$3,0,0,'Données projet'!$E$17+1,1))-AVERAGE(OFFSET($H$3,0,0,'Données projet'!$E$17+1,1))</f>
        <v>245.1983232777614</v>
      </c>
      <c r="GF101" s="59">
        <f t="shared" si="199"/>
        <v>242.34010522344573</v>
      </c>
      <c r="GG101" s="15">
        <f>IF(ISNA(VLOOKUP(A101,'Données projet'!$A$253:$I$273,3,0)),0,VLOOKUP(A101,'Données projet'!$A$253:$I$273,3,0))</f>
        <v>0</v>
      </c>
      <c r="GH101" s="15">
        <f>IF(ISNA(VLOOKUP(A101,'Données projet'!$A$253:$I$273,4,0)),0,VLOOKUP(A101,'Données projet'!$A$253:$I$273,4,0))</f>
        <v>0</v>
      </c>
      <c r="GI101" s="16">
        <f>IF(ISNA(VLOOKUP(A101,'Données projet'!$A$253:$I$273,5,0)),0%,VLOOKUP(A101,'Données projet'!$A$253:$I$273,5,0)*VLOOKUP('Données projet'!$B$17,Paramètres!$A$1:$I$89,7,0))</f>
        <v>0</v>
      </c>
      <c r="GJ101" s="16">
        <f>IF(ISNA(VLOOKUP(A101,'Données projet'!$A$253:$I$273,6,0)),0%,VLOOKUP(A101,'Données projet'!$A$253:$I$273,6,0)*VLOOKUP('Données projet'!$B$17,Paramètres!$A$1:$I$89,7,0))</f>
        <v>0</v>
      </c>
      <c r="GK101" s="16">
        <f>IF(ISNA(VLOOKUP(A101,'Données projet'!$A$253:$I$273,7,0)),0%,VLOOKUP(A101,'Données projet'!$A$253:$I$273,7,0))</f>
        <v>0</v>
      </c>
      <c r="GL101" s="21">
        <f>EXP(-LN(2)/35)*GL100+(1-EXP(-LN(2)/35))/(LN(2)/35)*GH101*GI101*VLOOKUP('Données projet'!$B$17,Paramètres!$A$1:$I$89,3,0)*0.475*44/12</f>
        <v>86.271469681814352</v>
      </c>
      <c r="GM101" s="21">
        <f>EXP(-LN(2)/25)*GM100+(1-EXP(-LN(2)/25))/(LN(2)/25)*Calculateur!GH101*Calculateur!GJ101*VLOOKUP('Données projet'!$B$17,Paramètres!$A$1:$I$89,3,0)*0.475*44/12</f>
        <v>13.220826888870199</v>
      </c>
      <c r="GN101" s="21">
        <f>EXP(-LN(2)/2)*GN100+(1-EXP(-LN(2)/2))/(LN(2)/2)*GH101*GK101*VLOOKUP('Données projet'!$B$17,Paramètres!$A$1:$I$89,3,0)*0.475*44/12</f>
        <v>0</v>
      </c>
      <c r="GO101" s="21">
        <f t="shared" si="146"/>
        <v>99.492296570684545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projet'!$A$279:$I$299,2,0)</f>
        <v>#N/A</v>
      </c>
      <c r="GS101" s="12" t="e">
        <f>VLOOKUP(A101,'Données projet'!$A$279:$I$299,9,0)</f>
        <v>#N/A</v>
      </c>
      <c r="GT101" s="12">
        <f t="array" ref="GT101">INDEX(GS:GS,MIN(IF(ISNUMBER(GS101:GS297),ROW(GS101:GS297),"")))</f>
        <v>0</v>
      </c>
      <c r="GU101" s="12">
        <f>IF('Données projet'!$A$280&gt;35,GU100+GT101-HC100,IF(A101&lt;'Données projet'!$A$280,$GR$205^A101,IF(A101='Données projet'!$A$280,'Données projet'!$B$280,GU100+GT101-HC100)))</f>
        <v>-1.1368683772161603E-13</v>
      </c>
      <c r="GV101" s="17">
        <f>GU101*VLOOKUP('Données projet'!$B$18,Paramètres!$A$1:$I$89,3,0)*VLOOKUP('Données projet'!$B$18,Paramètres!$A$1:$I$89,5,0)</f>
        <v>-4.5815795601811263E-14</v>
      </c>
      <c r="GW101" s="13" t="e">
        <f t="shared" si="200"/>
        <v>#NUM!</v>
      </c>
      <c r="GX101" s="20" t="e">
        <f t="shared" si="147"/>
        <v>#NUM!</v>
      </c>
      <c r="GY101" s="59" t="e">
        <f t="shared" si="148"/>
        <v>#NUM!</v>
      </c>
      <c r="GZ101" s="59">
        <f ca="1">AVERAGE(OFFSET($GY$3,0,0,'Données projet'!$E$18+1,1))-AVERAGE(OFFSET($H$3,0,0,'Données projet'!$E$18+1,1))</f>
        <v>324.36162935850876</v>
      </c>
      <c r="HA101" s="59">
        <f t="shared" si="201"/>
        <v>265.23571072429735</v>
      </c>
      <c r="HB101" s="15">
        <f>IF(ISNA(VLOOKUP(A101,'Données projet'!$A$279:$I$299,3,0)),0,VLOOKUP(A101,'Données projet'!$A$279:$I$299,3,0))</f>
        <v>0</v>
      </c>
      <c r="HC101" s="15">
        <f>IF(ISNA(VLOOKUP(A101,'Données projet'!$A$279:$I$299,4,0)),0,VLOOKUP(A101,'Données projet'!$A$279:$I$299,4,0))</f>
        <v>0</v>
      </c>
      <c r="HD101" s="16">
        <f>IF(ISNA(VLOOKUP(A101,'Données projet'!$A$279:$I$299,5,0)),0%,VLOOKUP(A101,'Données projet'!$A$279:$I$299,5,0)*VLOOKUP('Données projet'!$B$18,Paramètres!$A$1:$I$89,7,0))</f>
        <v>0</v>
      </c>
      <c r="HE101" s="16">
        <f>IF(ISNA(VLOOKUP(A101,'Données projet'!$A$279:$I$299,6,0)),0%,VLOOKUP(A101,'Données projet'!$A$279:$I$299,6,0)*VLOOKUP('Données projet'!$B$18,Paramètres!$A$1:$I$89,7,0))</f>
        <v>0</v>
      </c>
      <c r="HF101" s="16">
        <f>IF(ISNA(VLOOKUP($A101,'Données projet'!$A$279:$I$299,7,0)),0%,VLOOKUP($A101,'Données projet'!$A$279:$I$299,7,0))</f>
        <v>0</v>
      </c>
      <c r="HG101" s="21">
        <f>EXP(-LN(2)/35)*HG100+(1-EXP(-LN(2)/35))/(LN(2)/35)*HC101*HD101*VLOOKUP('Données projet'!$B$18,Paramètres!$A$1:$I$89,3,0)*0.475*44/12</f>
        <v>165.3186888953112</v>
      </c>
      <c r="HH101" s="21">
        <f>EXP(-LN(2)/25)*HH100+(1-EXP(-LN(2)/25))/(LN(2)/25)*Calculateur!HC101*Calculateur!HE101*VLOOKUP('Données projet'!$B$18,Paramètres!$A$1:$I$89,3,0)*0.475*44/12</f>
        <v>14.70392425756728</v>
      </c>
      <c r="HI101" s="21">
        <f>EXP(-LN(2)/2)*HI100+(1-EXP(-LN(2)/2))/(LN(2)/2)*HC101*HF101*VLOOKUP('Données projet'!$B$18,Paramètres!$A$1:$I$89,3,0)*0.475*44/12</f>
        <v>1.6693768963632671E-2</v>
      </c>
      <c r="HJ101" s="22">
        <f t="shared" si="149"/>
        <v>180.0393069218421</v>
      </c>
      <c r="HK101" s="74">
        <f>('Scénario référence'!$F$8+'Scénario référence'!$F$9+'Scénario référence'!$B$17+'Scénario référence'!$B$9+'Scénario référence'!$B$10)*70+IF((45+25*(1-EXP(-0.0175*$A101)))&lt;70,'Scénario référence'!$B$16*(45+25*(1-EXP(-0.0175*$A101))),70*'Scénario référence'!$B$16)+IF((32+38*(1-EXP(-0.0175*$A101)))&lt;70,'Scénario référence'!$B$18*(32+38*(1-EXP(-0.0175*$A101))),70*'Scénario référence'!$B$18)</f>
        <v>70</v>
      </c>
      <c r="HL101" s="12">
        <f>IF($A101&gt;30,10,('Scénario référence'!$B$16+'Scénario référence'!$B$17+'Scénario référence'!$B$18+'Scénario référence'!$B$9+'Scénario référence'!$B$10)*$A101*10/30+('Scénario référence'!$F$8+'Scénario référence'!$F$9)*10)</f>
        <v>10</v>
      </c>
      <c r="HM101" s="12" t="e">
        <f>VLOOKUP($A101,'Données projet'!$A$304:$I$324,2,0)</f>
        <v>#N/A</v>
      </c>
      <c r="HN101" s="12" t="e">
        <f>VLOOKUP($A101,'Données projet'!$A$304:$I$324,9,0)</f>
        <v>#N/A</v>
      </c>
      <c r="HO101" s="12">
        <f t="array" ref="HO101">INDEX(HN:HN,MIN(IF(ISNUMBER(HN101:HN297),ROW(HN101:HN297),"")))</f>
        <v>0</v>
      </c>
      <c r="HP101" s="12">
        <f>IF('Données projet'!$A$304&gt;35,HP100+HO101-HX100,IF($A101&lt;'Données projet'!$A$304,$CQ$205^$A101,IF($A101='Données projet'!$A$304,'Données projet'!$B$304,HP100+HO101-HX100)))</f>
        <v>0</v>
      </c>
      <c r="HQ101" s="17">
        <f>HP101*VLOOKUP('Données projet'!$B$19,Paramètres!$A$1:$I$89,3,0)*VLOOKUP('Données projet'!$B$19,Paramètres!$A$1:$I$89,5,0)</f>
        <v>0</v>
      </c>
      <c r="HR101" s="13" t="e">
        <f t="shared" si="202"/>
        <v>#NUM!</v>
      </c>
      <c r="HS101" s="14" t="e">
        <f t="shared" si="150"/>
        <v>#NUM!</v>
      </c>
      <c r="HT101" s="59" t="e">
        <f t="shared" si="151"/>
        <v>#NUM!</v>
      </c>
      <c r="HU101" s="59">
        <f ca="1">AVERAGE(OFFSET(HT$3,0,0,'Données projet'!$E$19+1,1))-AVERAGE(OFFSET($H$3,0,0,'Données projet'!$E$19+1,1))</f>
        <v>91.60721429656013</v>
      </c>
      <c r="HV101" s="59">
        <f t="shared" si="203"/>
        <v>258.94957804210856</v>
      </c>
      <c r="HW101" s="15">
        <f>IF(ISNA(VLOOKUP($A101,'Données projet'!$A$304:$I$324,3,0)),0,VLOOKUP($A101,'Données projet'!$A$304:$I$324,3,0))</f>
        <v>0</v>
      </c>
      <c r="HX101" s="15">
        <f>IF(ISNA(VLOOKUP($A101,'Données projet'!$A$304:$I$324,4,0)),0,VLOOKUP($A101,'Données projet'!$A$304:$I$324,4,0))</f>
        <v>0</v>
      </c>
      <c r="HY101" s="16">
        <f>IF(ISNA(VLOOKUP($A101,'Données projet'!$A$304:$I$324,5,0)),0%,VLOOKUP($A101,'Données projet'!$A$304:$I$324,5,0)*VLOOKUP('Données projet'!$B$19,Paramètres!$A$1:$I$89,7,0))</f>
        <v>0</v>
      </c>
      <c r="HZ101" s="16">
        <f>IF(ISNA(VLOOKUP($A101,'Données projet'!$A$304:$I$324,6,0)),0%,VLOOKUP($A101,'Données projet'!$A$304:$I$324,6,0)*VLOOKUP('Données projet'!$B$19,Paramètres!$A$1:$I$89,7,0))</f>
        <v>0</v>
      </c>
      <c r="IA101" s="16">
        <f>IF(ISNA(VLOOKUP($A101,'Données projet'!$A$304:$I$324,7,0)),0%,VLOOKUP($A101,'Données projet'!$A$304:$I$324,7,0))</f>
        <v>0</v>
      </c>
      <c r="IB101" s="21">
        <f>EXP(-LN(2)/35)*IB100+(1-EXP(-LN(2)/35))/(LN(2)/35)*HX101*HY101*VLOOKUP('Données projet'!$B$19,Paramètres!$A$1:$I$89,3,0)*0.475*44/12</f>
        <v>12.83147698851822</v>
      </c>
      <c r="IC101" s="21">
        <f>EXP(-LN(2)/25)*IC100+(1-EXP(-LN(2)/25))/(LN(2)/25)*Calculateur!HX101*Calculateur!HZ101*VLOOKUP('Données projet'!$B$19,Paramètres!$A$1:$I$89,3,0)*0.475*44/12</f>
        <v>1.4764194958702876</v>
      </c>
      <c r="ID101" s="21">
        <f>EXP(-LN(2)/2)*ID100+(1-EXP(-LN(2)/2))/(LN(2)/2)*HX101*IA101*VLOOKUP('Données projet'!$B$19,Paramètres!$A$1:$I$89,3,0)*0.475*44/12</f>
        <v>3.3344393115489368E-11</v>
      </c>
      <c r="IE101" s="22">
        <f t="shared" si="152"/>
        <v>14.307896484421851</v>
      </c>
      <c r="IF101" s="74">
        <f>('Scénario référence'!$F$8+'Scénario référence'!$F$9+'Scénario référence'!$B$17+'Scénario référence'!$B$9+'Scénario référence'!$B$10)*70+IF((45+25*(1-EXP(-0.0175*$A101)))&lt;70,'Scénario référence'!$B$16*(45+25*(1-EXP(-0.0175*$A101))),70*'Scénario référence'!$B$16)+IF((32+38*(1-EXP(-0.0175*$A101)))&lt;70,'Scénario référence'!$B$18*(32+38*(1-EXP(-0.0175*$A101))),70*'Scénario référence'!$B$18)</f>
        <v>70</v>
      </c>
      <c r="IG101" s="12">
        <f>IF($A101&gt;30,10,('Scénario référence'!$B$16+'Scénario référence'!$B$17+'Scénario référence'!$B$18+'Scénario référence'!$B$9+'Scénario référence'!$B$10)*$A101*10/30+('Scénario référence'!$F$8+'Scénario référence'!$F$9)*10)</f>
        <v>10</v>
      </c>
      <c r="IH101" s="12" t="e">
        <f>VLOOKUP($A101,'Données projet'!$A$330:$I$350,2,0)</f>
        <v>#N/A</v>
      </c>
      <c r="II101" s="12" t="e">
        <f>VLOOKUP($A101,'Données projet'!$A$330:$I$350,9,0)</f>
        <v>#N/A</v>
      </c>
      <c r="IJ101" s="12">
        <f t="array" ref="IJ101">INDEX(II:II,MIN(IF(ISNUMBER(II101:II297),ROW(II101:II297),"")))</f>
        <v>0</v>
      </c>
      <c r="IK101" s="12">
        <f>IF('Données projet'!$A$330&gt;35,IK100+IJ101-IS100,IF($A101&lt;'Données projet'!$A$330,$CQ$205^$A101,IF($A101='Données projet'!$A$330,'Données projet'!$B$330,IK100+IJ101-IS100)))</f>
        <v>0</v>
      </c>
      <c r="IL101" s="17">
        <f>IK101*VLOOKUP('Données projet'!$B$20,Paramètres!$A$1:$I$89,3,0)*VLOOKUP('Données projet'!$B$20,Paramètres!$A$1:$I$89,5,0)</f>
        <v>0</v>
      </c>
      <c r="IM101" s="13" t="e">
        <f t="shared" si="204"/>
        <v>#NUM!</v>
      </c>
      <c r="IN101" s="20" t="e">
        <f t="shared" si="153"/>
        <v>#NUM!</v>
      </c>
      <c r="IO101" s="59" t="e">
        <f t="shared" si="154"/>
        <v>#NUM!</v>
      </c>
      <c r="IP101" s="59">
        <f ca="1">AVERAGE(OFFSET(IO$3,0,0,'Données projet'!$E$20+1,1))-AVERAGE(OFFSET($H$3,0,0,'Données projet'!$E$20+1,1))</f>
        <v>91.60721429656013</v>
      </c>
      <c r="IQ101" s="59">
        <f t="shared" si="205"/>
        <v>258.94957804210856</v>
      </c>
      <c r="IR101" s="15">
        <f>IF(ISNA(VLOOKUP($A101,'Données projet'!$A$330:$I$350,3,0)),0,VLOOKUP($A101,'Données projet'!$A$330:$I$350,3,0))</f>
        <v>0</v>
      </c>
      <c r="IS101" s="15">
        <f>IF(ISNA(VLOOKUP($A101,'Données projet'!$A$330:$I$350,4,0)),0,VLOOKUP($A101,'Données projet'!$A$330:$I$350,4,0))</f>
        <v>0</v>
      </c>
      <c r="IT101" s="16">
        <f>IF(ISNA(VLOOKUP($A101,'Données projet'!$A$330:$I$350,5,0)),0%,VLOOKUP($A101,'Données projet'!$A$330:$I$350,5,0)*VLOOKUP('Données projet'!$B$20,Paramètres!$A$1:$I$89,7,0))</f>
        <v>0</v>
      </c>
      <c r="IU101" s="16">
        <f>IF(ISNA(VLOOKUP($A101,'Données projet'!$A$330:$I$350,6,0)),0%,VLOOKUP($A101,'Données projet'!$A$330:$I$350,6,0)*VLOOKUP('Données projet'!$B$20,Paramètres!$A$1:$I$89,7,0))</f>
        <v>0</v>
      </c>
      <c r="IV101" s="16">
        <f>IF(ISNA(VLOOKUP($A101,'Données projet'!$A$330:$I$350,7,0)),0%,VLOOKUP($A101,'Données projet'!$A$330:$I$350,7,0))</f>
        <v>0</v>
      </c>
      <c r="IW101" s="21">
        <f>EXP(-LN(2)/35)*IW100+(1-EXP(-LN(2)/35))/(LN(2)/35)*IS101*IT101*VLOOKUP('Données projet'!$B$20,Paramètres!$A$1:$I$89,3,0)*0.475*44/12</f>
        <v>12.83147698851822</v>
      </c>
      <c r="IX101" s="21">
        <f>EXP(-LN(2)/25)*IX100+(1-EXP(-LN(2)/25))/(LN(2)/25)*Calculateur!IS101*Calculateur!IU101*VLOOKUP('Données projet'!$B$20,Paramètres!$A$1:$I$89,3,0)*0.475*44/12</f>
        <v>1.4764194958702876</v>
      </c>
      <c r="IY101" s="21">
        <f>EXP(-LN(2)/2)*IY100+(1-EXP(-LN(2)/2))/(LN(2)/2)*IS101*IV101*VLOOKUP('Données projet'!$B$20,Paramètres!$A$1:$I$89,3,0)*0.475*44/12</f>
        <v>3.3344393115489368E-11</v>
      </c>
      <c r="IZ101" s="22">
        <f t="shared" si="155"/>
        <v>14.307896484421851</v>
      </c>
      <c r="JA101" s="74">
        <f>('Scénario référence'!$F$8+'Scénario référence'!$F$9+'Scénario référence'!$B$17+'Scénario référence'!$B$9+'Scénario référence'!$B$10)*70+IF((45+25*(1-EXP(-0.0175*$A101)))&lt;70,'Scénario référence'!$B$16*(45+25*(1-EXP(-0.0175*$A101))),70*'Scénario référence'!$B$16)+IF((32+38*(1-EXP(-0.0175*$A101)))&lt;70,'Scénario référence'!$B$18*(32+38*(1-EXP(-0.0175*$A101))),70*'Scénario référence'!$B$18)</f>
        <v>70</v>
      </c>
      <c r="JB101" s="12">
        <f>IF($A101&gt;30,10,('Scénario référence'!$B$16+'Scénario référence'!$B$17+'Scénario référence'!$B$18+'Scénario référence'!$B$9+'Scénario référence'!$B$10)*$A101*10/30+('Scénario référence'!$F$8+'Scénario référence'!$F$9)*10)</f>
        <v>10</v>
      </c>
      <c r="JC101" s="12" t="e">
        <f>VLOOKUP($A101,'Données projet'!$A$356:$I$376,2,0)</f>
        <v>#N/A</v>
      </c>
      <c r="JD101" s="12" t="e">
        <f>VLOOKUP($A101,'Données projet'!$A$356:$I$376,9,0)</f>
        <v>#N/A</v>
      </c>
      <c r="JE101" s="12">
        <f t="array" ref="JE101">INDEX(JD:JD,MIN(IF(ISNUMBER(JD101:JD297),ROW(JD101:JD297),"")))</f>
        <v>4.9000000000000004</v>
      </c>
      <c r="JF101" s="12">
        <f>IF('Données projet'!$A$356&gt;35,JF100+JE101-JN100,IF($A101&lt;'Données projet'!$A$356,$CQ$205^$A101,IF($A101='Données projet'!$A$356,'Données projet'!$B$356,JF100+JE101-JN100)))</f>
        <v>390.19999999999953</v>
      </c>
      <c r="JG101" s="17">
        <f>JF101*VLOOKUP('Données projet'!$B$21,Paramètres!$A$1:$I$89,3,0)*VLOOKUP('Données projet'!$B$21,Paramètres!$A$1:$I$89,5,0)</f>
        <v>316.53023999999965</v>
      </c>
      <c r="JH101" s="13">
        <f t="shared" si="206"/>
        <v>74.630945170351808</v>
      </c>
      <c r="JI101" s="20">
        <f t="shared" si="156"/>
        <v>681.27239750502883</v>
      </c>
      <c r="JJ101" s="59">
        <f t="shared" si="157"/>
        <v>974.60573083836221</v>
      </c>
      <c r="JK101" s="59">
        <f ca="1">AVERAGE(OFFSET($JJ$3,0,0,'Données projet'!$E$22+1,1))-AVERAGE(OFFSET($H$3,0,0,'Données projet'!$E$22+1,1))</f>
        <v>353.35574633294613</v>
      </c>
      <c r="JL101" s="59">
        <f t="shared" si="207"/>
        <v>170.36796666474726</v>
      </c>
      <c r="JM101" s="15">
        <f>IF(ISNA(VLOOKUP($A101,'Données projet'!$A$356:$I$376,3,0)),0,VLOOKUP($A101,'Données projet'!$A$356:$I$376,3,0))</f>
        <v>0</v>
      </c>
      <c r="JN101" s="15">
        <f>IF(ISNA(VLOOKUP($A101,'Données projet'!$A$356:$I$376,4,0)),0,VLOOKUP($A101,'Données projet'!$A$356:$I$376,4,0))</f>
        <v>0</v>
      </c>
      <c r="JO101" s="16">
        <f>IF(ISNA(VLOOKUP($A101,'Données projet'!$A$356:$I$376,5,0)),0%,VLOOKUP($A101,'Données projet'!$A$356:$I$376,5,0)*VLOOKUP('Données projet'!$B$21,Paramètres!$A$1:$I$89,7,0))</f>
        <v>0</v>
      </c>
      <c r="JP101" s="16">
        <f>IF(ISNA(VLOOKUP($A101,'Données projet'!$A$356:$I$376,6,0)),0%,VLOOKUP($A101,'Données projet'!$A$356:$I$376,6,0)*VLOOKUP('Données projet'!$B$21,Paramètres!$A$1:$I$89,7,0))</f>
        <v>0</v>
      </c>
      <c r="JQ101" s="16">
        <f>IF(ISNA(VLOOKUP($A101,'Données projet'!$A$356:$I$376,7,0)),0%,VLOOKUP($A101,'Données projet'!$A$356:$I$376,7,0))</f>
        <v>0</v>
      </c>
      <c r="JR101" s="21">
        <f>EXP(-LN(2)/35)*JR100+(1-EXP(-LN(2)/35))/(LN(2)/35)*JN101*JO101*VLOOKUP('Données projet'!$B$21,Paramètres!$A$1:$I$89,3,0)*0.475*44/12</f>
        <v>2.2962860000325636</v>
      </c>
      <c r="JS101" s="21">
        <f>EXP(-LN(2)/25)*JS100+(1-EXP(-LN(2)/25))/(LN(2)/25)*Calculateur!JN101*Calculateur!JP101*VLOOKUP('Données projet'!$B$21,Paramètres!$A$1:$I$89,3,0)*0.475*44/12</f>
        <v>13.900481097655435</v>
      </c>
      <c r="JT101" s="21">
        <f>EXP(-LN(2)/2)*JT100+(1-EXP(-LN(2)/2))/(LN(2)/2)*JN101*JQ101*VLOOKUP('Données projet'!$B$21,Paramètres!$A$1:$I$89,3,0)*0.475*44/12</f>
        <v>0.38838080801902647</v>
      </c>
      <c r="JU101" s="18">
        <f t="shared" si="158"/>
        <v>16.585147905707025</v>
      </c>
      <c r="JV101" s="74">
        <f>('Scénario référence'!$F$8+'Scénario référence'!$F$9+'Scénario référence'!$B$17+'Scénario référence'!$B$9+'Scénario référence'!$B$10)*70+IF((45+25*(1-EXP(-0.0175*$A101)))&lt;70,'Scénario référence'!$B$16*(45+25*(1-EXP(-0.0175*$A101))),70*'Scénario référence'!$B$16)+IF((32+38*(1-EXP(-0.0175*$A101)))&lt;70,'Scénario référence'!$B$18*(32+38*(1-EXP(-0.0175*$A101))),70*'Scénario référence'!$B$18)</f>
        <v>70</v>
      </c>
      <c r="JW101" s="12">
        <f>IF($A101&gt;30,10,('Scénario référence'!$B$16+'Scénario référence'!$B$17+'Scénario référence'!$B$18+'Scénario référence'!$B$9+'Scénario référence'!$B$10)*$A101*10/30+('Scénario référence'!$F$8+'Scénario référence'!$F$9)*10)</f>
        <v>10</v>
      </c>
      <c r="JX101" s="12" t="e">
        <f>VLOOKUP($A101,'Données projet'!$A$382:$I$402,2,0)</f>
        <v>#N/A</v>
      </c>
      <c r="JY101" s="12" t="e">
        <f>VLOOKUP($A101,'Données projet'!$A$382:$I$402,9,0)</f>
        <v>#N/A</v>
      </c>
      <c r="JZ101" s="12">
        <f t="array" ref="JZ101">INDEX(JY:JY,MIN(IF(ISNUMBER(JY101:JY297),ROW(JY101:JY297),"")))</f>
        <v>7.1782051282051267</v>
      </c>
      <c r="KA101" s="12">
        <f>IF('Données projet'!$A$382&gt;35,KA100+JZ101-KI100,IF($A101&lt;'Données projet'!$A$382,$CQ$205^$A101,IF($A101='Données projet'!$A$382,'Données projet'!$B$382,KA100+JZ101-KI100)))</f>
        <v>311.0717948717953</v>
      </c>
      <c r="KB101" s="17">
        <f>KA101*VLOOKUP('Données projet'!$B$22,Paramètres!$A$1:$I$89,3,0)*VLOOKUP('Données projet'!$B$22,Paramètres!$A$1:$I$89,5,0)</f>
        <v>208.66696000000027</v>
      </c>
      <c r="KC101" s="13">
        <f t="shared" si="208"/>
        <v>51.644175044792519</v>
      </c>
      <c r="KD101" s="20">
        <f t="shared" si="159"/>
        <v>453.37522686968072</v>
      </c>
      <c r="KE101" s="59">
        <f t="shared" si="160"/>
        <v>746.70856020301403</v>
      </c>
      <c r="KF101" s="59">
        <f ca="1">AVERAGE(OFFSET($KE$3,0,0,'Données projet'!$E$22+1,1))-AVERAGE(OFFSET($H$3,0,0,'Données projet'!$E$22+1,1))</f>
        <v>193.91714772848269</v>
      </c>
      <c r="KG101" s="59">
        <f t="shared" si="209"/>
        <v>159.20429420478047</v>
      </c>
      <c r="KH101" s="15">
        <f>IF(ISNA(VLOOKUP($A101,'Données projet'!$A$382:$I$402,3,0)),0,VLOOKUP($A101,'Données projet'!$A$382:$I$402,3,0))</f>
        <v>0</v>
      </c>
      <c r="KI101" s="15">
        <f>IF(ISNA(VLOOKUP($A101,'Données projet'!$A$382:$I$402,4,0)),0,VLOOKUP($A101,'Données projet'!$A$382:$I$402,4,0))</f>
        <v>0</v>
      </c>
      <c r="KJ101" s="16">
        <f>IF(ISNA(VLOOKUP($A101,'Données projet'!$A$382:$I$402,5,0)),0%,VLOOKUP($A101,'Données projet'!$A$382:$I$402,5,0)*VLOOKUP('Données projet'!$B$22,Paramètres!$A$1:$I$89,7,0))</f>
        <v>0</v>
      </c>
      <c r="KK101" s="16">
        <f>IF(ISNA(VLOOKUP($A101,'Données projet'!$A$382:$I$402,6,0)),0%,VLOOKUP($A101,'Données projet'!$A$382:$I$402,6,0)*VLOOKUP('Données projet'!$B$22,Paramètres!$A$1:$I$89,7,0))</f>
        <v>0</v>
      </c>
      <c r="KL101" s="16">
        <f>IF(ISNA(VLOOKUP($A101,'Données projet'!$A$382:$I$402,7,0)),0%,VLOOKUP($A101,'Données projet'!$A$382:$I$402,7,0))</f>
        <v>0</v>
      </c>
      <c r="KM101" s="21">
        <f>EXP(-LN(2)/35)*KM100+(1-EXP(-LN(2)/35))/(LN(2)/35)*KI101*KJ101*VLOOKUP('Données projet'!$B$22,Paramètres!$A$1:$I$89,3,0)*0.475*44/12</f>
        <v>32.33105099670378</v>
      </c>
      <c r="KN101" s="21">
        <f>EXP(-LN(2)/25)*KN100+(1-EXP(-LN(2)/25))/(LN(2)/25)*Calculateur!KI101*Calculateur!KK101*VLOOKUP('Données projet'!$B$22,Paramètres!$A$1:$I$89,3,0)*0.475*44/12</f>
        <v>0</v>
      </c>
      <c r="KO101" s="21">
        <f>EXP(-LN(2)/2)*KO100+(1-EXP(-LN(2)/2))/(LN(2)/2)*KI101*KL101*VLOOKUP('Données projet'!$B$22,Paramètres!$A$1:$I$89,3,0)*0.475*44/12</f>
        <v>0</v>
      </c>
      <c r="KP101" s="22">
        <f t="shared" si="161"/>
        <v>32.33105099670378</v>
      </c>
      <c r="KQ101" s="74">
        <f>('Scénario référence'!$F$8+'Scénario référence'!$F$9+'Scénario référence'!$B$17+'Scénario référence'!$B$9+'Scénario référence'!$B$10)*70+IF((45+25*(1-EXP(-0.0175*$A101)))&lt;70,'Scénario référence'!$B$16*(45+25*(1-EXP(-0.0175*$A101))),70*'Scénario référence'!$B$16)+IF((32+38*(1-EXP(-0.0175*$A101)))&lt;70,'Scénario référence'!$B$18*(32+38*(1-EXP(-0.0175*$A101))),70*'Scénario référence'!$B$18)</f>
        <v>70</v>
      </c>
      <c r="KR101" s="12">
        <f>IF($A101&gt;30,10,('Scénario référence'!$B$16+'Scénario référence'!$B$17+'Scénario référence'!$B$18+'Scénario référence'!$B$9+'Scénario référence'!$B$10)*$A101*10/30+('Scénario référence'!$F$8+'Scénario référence'!$F$9)*10)</f>
        <v>10</v>
      </c>
      <c r="KS101" s="12" t="e">
        <f>VLOOKUP($A101,'Données projet'!$A$408:$I$428,2,0)</f>
        <v>#N/A</v>
      </c>
      <c r="KT101" s="12" t="e">
        <f>VLOOKUP($A101,'Données projet'!$A$408:$I$428,9,0)</f>
        <v>#N/A</v>
      </c>
      <c r="KU101" s="12">
        <f t="array" ref="KU101">INDEX(KT:KT,MIN(IF(ISNUMBER(KT101:KT297),ROW(KT101:KT297),"")))</f>
        <v>0</v>
      </c>
      <c r="KV101" s="12">
        <f>IF('Données projet'!$A$408&gt;35,KV100+KU101-LD100,IF($A101&lt;'Données projet'!$A$408,$CQ$205^$A101,IF($A101='Données projet'!$A$408,'Données projet'!$B$408,KV100+KU101-LD100)))</f>
        <v>-1.1368683772161603E-13</v>
      </c>
      <c r="KW101" s="17">
        <f>KV101*VLOOKUP('Données projet'!$B$23,Paramètres!$A$1:$I$89,3,0)*VLOOKUP('Données projet'!$B$23,Paramètres!$A$1:$I$89,5,0)</f>
        <v>-9.9316821433603781E-14</v>
      </c>
      <c r="KX101" s="13" t="e">
        <f t="shared" si="210"/>
        <v>#NUM!</v>
      </c>
      <c r="KY101" s="14" t="e">
        <f t="shared" si="162"/>
        <v>#NUM!</v>
      </c>
      <c r="KZ101" s="59" t="e">
        <f t="shared" si="163"/>
        <v>#NUM!</v>
      </c>
      <c r="LA101" s="59">
        <f ca="1">AVERAGE(OFFSET($KZ$3,0,0,'Données projet'!$E$23+1,1))-AVERAGE(OFFSET($H$3,0,0,'Données projet'!$E$23+1,1))</f>
        <v>248.33596943633819</v>
      </c>
      <c r="LB101" s="59">
        <f t="shared" si="211"/>
        <v>242.34010522344573</v>
      </c>
      <c r="LC101" s="15">
        <f>IF(ISNA(VLOOKUP($A101,'Données projet'!$A$408:$I$428,3,0)),0,VLOOKUP($A101,'Données projet'!$A$408:$I$428,3,0))</f>
        <v>0</v>
      </c>
      <c r="LD101" s="15">
        <f>IF(ISNA(VLOOKUP($A101,'Données projet'!$A$408:$I$428,4,0)),0,VLOOKUP($A101,'Données projet'!$A$408:$I$428,4,0))</f>
        <v>0</v>
      </c>
      <c r="LE101" s="16">
        <f>IF(ISNA(VLOOKUP($A101,'Données projet'!$A$408:$I$428,5,0)),0%,VLOOKUP($A101,'Données projet'!$A$408:$I$428,5,0)*VLOOKUP('Données projet'!$B$23,Paramètres!$A$1:$I$89,7,0))</f>
        <v>0</v>
      </c>
      <c r="LF101" s="16">
        <f>IF(ISNA(VLOOKUP($A101,'Données projet'!$A$408:$I$428,6,0)),0%,VLOOKUP($A101,'Données projet'!$A$408:$I$428,6,0)*VLOOKUP('Données projet'!$B$23,Paramètres!$A$1:$I$89,7,0))</f>
        <v>0</v>
      </c>
      <c r="LG101" s="16">
        <f>IF(ISNA(VLOOKUP($A101,'Données projet'!$A$408:$I$428,7,0)),0%,VLOOKUP($A101,'Données projet'!$A$408:$I$428,7,0))</f>
        <v>0</v>
      </c>
      <c r="LH101" s="21">
        <f>EXP(-LN(2)/35)*LH100+(1-EXP(-LN(2)/35))/(LN(2)/35)*LD101*LE101*VLOOKUP('Données projet'!$B$23,Paramètres!$A$1:$I$89,3,0)*0.475*44/12</f>
        <v>86.271469681814352</v>
      </c>
      <c r="LI101" s="21">
        <f>EXP(-LN(2)/25)*LI100+(1-EXP(-LN(2)/25))/(LN(2)/25)*Calculateur!LD101*Calculateur!LF101*VLOOKUP('Données projet'!$B$23,Paramètres!$A$1:$I$89,3,0)*0.475*44/12</f>
        <v>13.220826888870199</v>
      </c>
      <c r="LJ101" s="21">
        <f>EXP(-LN(2)/2)*LJ100+(1-EXP(-LN(2)/2))/(LN(2)/2)*LD101*LG101*VLOOKUP('Données projet'!$B$23,Paramètres!$A$1:$I$89,3,0)*0.475*44/12</f>
        <v>0</v>
      </c>
      <c r="LK101" s="22">
        <f t="shared" si="164"/>
        <v>99.492296570684545</v>
      </c>
      <c r="LL101" s="74">
        <f>('Scénario référence'!$F$8+'Scénario référence'!$F$9+'Scénario référence'!$B$17+'Scénario référence'!$B$9+'Scénario référence'!$B$10)*70+IF((45+25*(1-EXP(-0.0175*$A101)))&lt;70,'Scénario référence'!$B$16*(45+25*(1-EXP(-0.0175*$A101))),70*'Scénario référence'!$B$16)+IF((32+38*(1-EXP(-0.0175*$A101)))&lt;70,'Scénario référence'!$B$18*(32+38*(1-EXP(-0.0175*$A101))),70*'Scénario référence'!$B$18)</f>
        <v>70</v>
      </c>
      <c r="LM101" s="12">
        <f>IF($A101&gt;30,10,('Scénario référence'!$B$16+'Scénario référence'!$B$17+'Scénario référence'!$B$18+'Scénario référence'!$B$9+'Scénario référence'!$B$10)*$A101*10/30+('Scénario référence'!$F$8+'Scénario référence'!$F$9)*10)</f>
        <v>10</v>
      </c>
      <c r="LN101" s="12" t="e">
        <f>VLOOKUP($A101,'Données projet'!$A$434:$I$454,2,0)</f>
        <v>#N/A</v>
      </c>
      <c r="LO101" s="12" t="e">
        <f>VLOOKUP($A101,'Données projet'!$A$434:$I$454,9,0)</f>
        <v>#N/A</v>
      </c>
      <c r="LP101" s="12">
        <f t="array" ref="LP101">INDEX(LO:LO,MIN(IF(ISNUMBER(LO101:LO297),ROW(LO101:LO297),"")))</f>
        <v>5.2583333333333373</v>
      </c>
      <c r="LQ101" s="12">
        <f>IF('Données projet'!$A$434&gt;35,LQ100+LP101-LY100,IF($A101&lt;'Données projet'!$A$434,$CQ$205^$A101,IF($A101='Données projet'!$A$434,'Données projet'!$B$434,LQ100+LP101-LY100)))</f>
        <v>208.47756410256383</v>
      </c>
      <c r="LR101" s="17">
        <f>LQ101*VLOOKUP('Données projet'!$B$24,Paramètres!$A$1:$I$89,3,0)*VLOOKUP('Données projet'!$B$24,Paramètres!$A$1:$I$89,5,0)</f>
        <v>211.39624999999972</v>
      </c>
      <c r="LS101" s="13">
        <f t="shared" si="212"/>
        <v>52.240583675733987</v>
      </c>
      <c r="LT101" s="14">
        <f t="shared" si="165"/>
        <v>459.16748531856956</v>
      </c>
      <c r="LU101" s="59">
        <f t="shared" si="166"/>
        <v>752.50081865190282</v>
      </c>
      <c r="LV101" s="59">
        <f ca="1">AVERAGE(OFFSET($LU$3,0,0,'Données projet'!$E$24+1,1))-AVERAGE(OFFSET($H$3,0,0,'Données projet'!$E$24+1,1))</f>
        <v>260.52627655062872</v>
      </c>
      <c r="LW101" s="59">
        <f t="shared" si="213"/>
        <v>159.20429420478047</v>
      </c>
      <c r="LX101" s="15">
        <f>IF(ISNA(VLOOKUP($A101,'Données projet'!$A$434:$I$454,3,0)),0,VLOOKUP($A101,'Données projet'!$A$434:$I$454,3,0))</f>
        <v>0</v>
      </c>
      <c r="LY101" s="15">
        <f>IF(ISNA(VLOOKUP($A101,'Données projet'!$A$434:$I$454,4,0)),0,VLOOKUP($A101,'Données projet'!$A$434:$I$454,4,0))</f>
        <v>0</v>
      </c>
      <c r="LZ101" s="16">
        <f>IF(ISNA(VLOOKUP($A101,'Données projet'!$A$434:$I$454,5,0)),0%,VLOOKUP($A101,'Données projet'!$A$434:$I$454,5,0)*VLOOKUP('Données projet'!$B$24,Paramètres!$A$1:$I$89,7,0))</f>
        <v>0</v>
      </c>
      <c r="MA101" s="16">
        <f>IF(ISNA(VLOOKUP($A101,'Données projet'!$A$434:$I$454,6,0)),0%,VLOOKUP($A101,'Données projet'!$A$434:$I$454,6,0)*VLOOKUP('Données projet'!$B$24,Paramètres!$A$1:$I$89,7,0))</f>
        <v>0</v>
      </c>
      <c r="MB101" s="16">
        <f>IF(ISNA(VLOOKUP($A101,'Données projet'!$A$434:$I$454,7,0)),0%,VLOOKUP($A101,'Données projet'!$A$434:$I$454,7,0))</f>
        <v>0</v>
      </c>
      <c r="MC101" s="21">
        <f>EXP(-LN(2)/35)*MC100+(1-EXP(-LN(2)/35))/(LN(2)/35)*LY101*LZ101*VLOOKUP('Données projet'!$B$24,Paramètres!$A$1:$I$89,3,0)*0.475*44/12</f>
        <v>24.779247646909489</v>
      </c>
      <c r="MD101" s="21">
        <f>EXP(-LN(2)/25)*MD100+(1-EXP(-LN(2)/25))/(LN(2)/25)*Calculateur!LY101*Calculateur!MA101*VLOOKUP('Données projet'!$B$24,Paramètres!$A$1:$I$89,3,0)*0.475*44/12</f>
        <v>0</v>
      </c>
      <c r="ME101" s="21">
        <f>EXP(-LN(2)/2)*ME100+(1-EXP(-LN(2)/2))/(LN(2)/2)*LY101*MB101*VLOOKUP('Données projet'!$B$24,Paramètres!$A$1:$I$89,3,0)*0.475*44/12</f>
        <v>0</v>
      </c>
      <c r="MF101" s="22">
        <f t="shared" si="167"/>
        <v>24.779247646909489</v>
      </c>
      <c r="MG101" s="74">
        <f>('Scénario référence'!$F$8+'Scénario référence'!$F$9+'Scénario référence'!$B$17+'Scénario référence'!$B$9+'Scénario référence'!$B$10)*70+IF((45+25*(1-EXP(-0.0175*$A101)))&lt;70,'Scénario référence'!$B$16*(45+25*(1-EXP(-0.0175*$A101))),70*'Scénario référence'!$B$16)+IF((32+38*(1-EXP(-0.0175*$A101)))&lt;70,'Scénario référence'!$B$18*(32+38*(1-EXP(-0.0175*$A101))),70*'Scénario référence'!$B$18)</f>
        <v>70</v>
      </c>
      <c r="MH101" s="12">
        <f>IF($A101&gt;30,10,('Scénario référence'!$B$16+'Scénario référence'!$B$17+'Scénario référence'!$B$18+'Scénario référence'!$B$9+'Scénario référence'!$B$10)*$A101*10/30+('Scénario référence'!$F$8+'Scénario référence'!$F$9)*10)</f>
        <v>10</v>
      </c>
      <c r="MI101" s="12" t="e">
        <f>VLOOKUP($A101,'Données projet'!$A$460:$I$480,2,0)</f>
        <v>#N/A</v>
      </c>
      <c r="MJ101" s="12" t="e">
        <f>VLOOKUP($A101,'Données projet'!$A$460:$I$480,9,0)</f>
        <v>#N/A</v>
      </c>
      <c r="MK101" s="12">
        <f t="array" ref="MK101">INDEX(MJ:MJ,MIN(IF(ISNUMBER(MJ101:MJ297),ROW(MJ101:MJ297),"")))</f>
        <v>0</v>
      </c>
      <c r="ML101" s="12">
        <f>IF('Données projet'!$A$460&gt;35,ML100+MK101-MT100,IF($A101&lt;'Données projet'!$A$460,$CQ$205^$A101,IF($A101='Données projet'!$A$460,'Données projet'!$B$460,ML100+MK101-MT100)))</f>
        <v>0</v>
      </c>
      <c r="MM101" s="17" t="e">
        <f>ML101*VLOOKUP('Données projet'!$B$25,Paramètres!$A$1:$I$89,3,0)*VLOOKUP('Données projet'!$B$25,Paramètres!$A$1:$I$89,5,0)</f>
        <v>#N/A</v>
      </c>
      <c r="MN101" s="13" t="e">
        <f t="shared" si="214"/>
        <v>#N/A</v>
      </c>
      <c r="MO101" s="14" t="e">
        <f t="shared" si="168"/>
        <v>#N/A</v>
      </c>
      <c r="MP101" s="59" t="e">
        <f t="shared" si="169"/>
        <v>#N/A</v>
      </c>
      <c r="MQ101" s="20" t="e">
        <f ca="1">AVERAGE(OFFSET($MP$3,0,0,'Données projet'!$E$25+1,1))-AVERAGE(OFFSET($H$3,0,0,'Données projet'!$E$25+1,1))</f>
        <v>#N/A</v>
      </c>
      <c r="MR101" s="59" t="e">
        <f t="shared" si="215"/>
        <v>#N/A</v>
      </c>
      <c r="MS101" s="15">
        <f>IF(ISNA(VLOOKUP($A101,'Données projet'!$A$460:$I$480,3,0)),0,VLOOKUP($A101,'Données projet'!$A$460:$I$480,3,0))</f>
        <v>0</v>
      </c>
      <c r="MT101" s="15">
        <f>IF(ISNA(VLOOKUP($A101,'Données projet'!$A$460:$I$480,4,0)),0,VLOOKUP($A101,'Données projet'!$A$460:$I$480,4,0))</f>
        <v>0</v>
      </c>
      <c r="MU101" s="16">
        <f>IF(ISNA(VLOOKUP($A101,'Données projet'!$A$460:$I$480,5,0)),0%,VLOOKUP($A101,'Données projet'!$A$460:$I$480,5,0)*VLOOKUP('Données projet'!$B$25,Paramètres!$A$1:$I$89,7,0))</f>
        <v>0</v>
      </c>
      <c r="MV101" s="16">
        <f>IF(ISNA(VLOOKUP($A101,'Données projet'!$A$460:$I$480,6,0)),0%,VLOOKUP($A101,'Données projet'!$A$460:$I$480,6,0)*VLOOKUP('Données projet'!$B$25,Paramètres!$A$1:$I$89,7,0))</f>
        <v>0</v>
      </c>
      <c r="MW101" s="16">
        <f>IF(ISNA(VLOOKUP($A101,'Données projet'!$A$460:$I$480,7,0)),0%,VLOOKUP($A101,'Données projet'!$A$460:$I$480,7,0))</f>
        <v>0</v>
      </c>
      <c r="MX101" s="21" t="e">
        <f>EXP(-LN(2)/35)*MX100+(1-EXP(-LN(2)/35))/(LN(2)/35)*MT101*MU101*VLOOKUP('Données projet'!$B$25,Paramètres!$A$1:$I$89,3,0)*0.475*44/12</f>
        <v>#N/A</v>
      </c>
      <c r="MY101" s="21" t="e">
        <f>EXP(-LN(2)/25)*MY100+(1-EXP(-LN(2)/25))/(LN(2)/25)*Calculateur!MT101*Calculateur!MV101*VLOOKUP('Données projet'!$B$25,Paramètres!$A$1:$I$89,3,0)*0.475*44/12</f>
        <v>#N/A</v>
      </c>
      <c r="MZ101" s="21" t="e">
        <f>EXP(-LN(2)/2)*MZ100+(1-EXP(-LN(2)/2))/(LN(2)/2)*MT101*MW101*VLOOKUP('Données projet'!$B$25,Paramètres!$A$1:$I$89,3,0)*0.475*44/12</f>
        <v>#N/A</v>
      </c>
      <c r="NA101" s="22" t="e">
        <f t="shared" si="170"/>
        <v>#N/A</v>
      </c>
      <c r="NB101" s="74">
        <f>('Scénario référence'!$F$8+'Scénario référence'!$F$9+'Scénario référence'!$B$17+'Scénario référence'!$B$9+'Scénario référence'!$B$10)*70+IF((45+25*(1-EXP(-0.0175*$A101)))&lt;70,'Scénario référence'!$B$16*(45+25*(1-EXP(-0.0175*$A101))),70*'Scénario référence'!$B$16)+IF((32+38*(1-EXP(-0.0175*$A101)))&lt;70,'Scénario référence'!$B$18*(32+38*(1-EXP(-0.0175*$A101))),70*'Scénario référence'!$B$18)</f>
        <v>70</v>
      </c>
      <c r="NC101" s="12">
        <f>IF($A101&gt;30,10,('Scénario référence'!$B$16+'Scénario référence'!$B$17+'Scénario référence'!$B$18+'Scénario référence'!$B$9+'Scénario référence'!$B$10)*$A101*10/30+('Scénario référence'!$F$8+'Scénario référence'!$F$9)*10)</f>
        <v>10</v>
      </c>
      <c r="ND101" s="12" t="e">
        <f>VLOOKUP($A101,'Données projet'!$A$486:$I$506,2,0)</f>
        <v>#N/A</v>
      </c>
      <c r="NE101" s="12" t="e">
        <f>VLOOKUP($A101,'Données projet'!$A$486:$I$506,9,0)</f>
        <v>#N/A</v>
      </c>
      <c r="NF101" s="12">
        <f t="array" ref="NF101">INDEX(NE:NE,MIN(IF(ISNUMBER(NE101:NE297),ROW(NE101:NE297),"")))</f>
        <v>0</v>
      </c>
      <c r="NG101" s="12">
        <f>IF('Données projet'!$A$486&gt;35,NG100+NF101-NO100,IF($A101&lt;'Données projet'!$A$486,$CQ$205^$A101,IF($A101='Données projet'!$A$486,'Données projet'!$B$486,NG100+NF101-NO100)))</f>
        <v>0</v>
      </c>
      <c r="NH101" s="17" t="e">
        <f>NG101*VLOOKUP('Données projet'!$B$26,Paramètres!$A$1:$I$89,3,0)*VLOOKUP('Données projet'!$B$26,Paramètres!$A$1:$I$89,5,0)</f>
        <v>#N/A</v>
      </c>
      <c r="NI101" s="13" t="e">
        <f t="shared" si="216"/>
        <v>#N/A</v>
      </c>
      <c r="NJ101" s="14" t="e">
        <f t="shared" si="171"/>
        <v>#N/A</v>
      </c>
      <c r="NK101" s="59" t="e">
        <f t="shared" si="172"/>
        <v>#N/A</v>
      </c>
      <c r="NL101" s="20" t="e">
        <f ca="1">AVERAGE(OFFSET($NK$3,0,0,'Données projet'!$E$26+1,1))-AVERAGE(OFFSET($H$3,0,0,'Données projet'!$E$26+1,1))</f>
        <v>#N/A</v>
      </c>
      <c r="NM101" s="59" t="e">
        <f t="shared" si="217"/>
        <v>#N/A</v>
      </c>
      <c r="NN101" s="15">
        <f>IF(ISNA(VLOOKUP($A101,'Données projet'!$A$486:$I$506,3,0)),0,VLOOKUP($A101,'Données projet'!$A$486:$I$506,3,0))</f>
        <v>0</v>
      </c>
      <c r="NO101" s="15">
        <f>IF(ISNA(VLOOKUP($A101,'Données projet'!$A$486:$I$506,4,0)),0,VLOOKUP($A101,'Données projet'!$A$486:$I$506,4,0))</f>
        <v>0</v>
      </c>
      <c r="NP101" s="16">
        <f>IF(ISNA(VLOOKUP($A101,'Données projet'!$A$486:$I$506,5,0)),0%,VLOOKUP($A101,'Données projet'!$A$486:$I$506,5,0)*VLOOKUP('Données projet'!$B$26,Paramètres!$A$1:$I$89,7,0))</f>
        <v>0</v>
      </c>
      <c r="NQ101" s="16">
        <f>IF(ISNA(VLOOKUP($A101,'Données projet'!$A$486:$I$506,6,0)),0%,VLOOKUP($A101,'Données projet'!$A$486:$I$506,6,0)*VLOOKUP('Données projet'!$B$26,Paramètres!$A$1:$I$89,7,0))</f>
        <v>0</v>
      </c>
      <c r="NR101" s="16">
        <f>IF(ISNA(VLOOKUP($A101,'Données projet'!$A$486:$I$506,7,0)),0%,VLOOKUP($A101,'Données projet'!$A$486:$I$506,7,0))</f>
        <v>0</v>
      </c>
      <c r="NS101" s="21" t="e">
        <f>EXP(-LN(2)/35)*NS100+(1-EXP(-LN(2)/35))/(LN(2)/35)*NO101*NP101*VLOOKUP('Données projet'!$B$26,Paramètres!$A$1:$I$89,3,0)*0.475*44/12</f>
        <v>#N/A</v>
      </c>
      <c r="NT101" s="21" t="e">
        <f>EXP(-LN(2)/25)*NT100+(1-EXP(-LN(2)/25))/(LN(2)/25)*Calculateur!NO101*Calculateur!NQ101*VLOOKUP('Données projet'!$B$26,Paramètres!$A$1:$I$89,3,0)*0.475*44/12</f>
        <v>#N/A</v>
      </c>
      <c r="NU101" s="21" t="e">
        <f>EXP(-LN(2)/2)*NU100+(1-EXP(-LN(2)/2))/(LN(2)/2)*NO101*NR101*VLOOKUP('Données projet'!$B$26,Paramètres!$A$1:$I$89,3,0)*0.475*44/12</f>
        <v>#N/A</v>
      </c>
      <c r="NV101" s="22" t="e">
        <f t="shared" si="173"/>
        <v>#N/A</v>
      </c>
      <c r="NW101" s="74">
        <f>('Scénario référence'!$F$8+'Scénario référence'!$F$9+'Scénario référence'!$B$17+'Scénario référence'!$B$9+'Scénario référence'!$B$10)*70+IF((45+25*(1-EXP(-0.0175*$A101)))&lt;70,'Scénario référence'!$B$16*(45+25*(1-EXP(-0.0175*$A101))),70*'Scénario référence'!$B$16)+IF((32+38*(1-EXP(-0.0175*$A101)))&lt;70,'Scénario référence'!$B$18*(32+38*(1-EXP(-0.0175*$A101))),70*'Scénario référence'!$B$18)</f>
        <v>70</v>
      </c>
      <c r="NX101" s="12">
        <f>IF($A101&gt;30,10,('Scénario référence'!$B$16+'Scénario référence'!$B$17+'Scénario référence'!$B$18+'Scénario référence'!$B$9+'Scénario référence'!$B$10)*$A101*10/30+('Scénario référence'!$F$8+'Scénario référence'!$F$9)*10)</f>
        <v>10</v>
      </c>
      <c r="NY101" s="12" t="e">
        <f>VLOOKUP($A101,'Données projet'!$A$512:$I$532,2,0)</f>
        <v>#N/A</v>
      </c>
      <c r="NZ101" s="12" t="e">
        <f>VLOOKUP($A101,'Données projet'!$A$512:$I$532,9,0)</f>
        <v>#N/A</v>
      </c>
      <c r="OA101" s="12">
        <f t="array" ref="OA101">INDEX(NZ:NZ,MIN(IF(ISNUMBER(NZ101:NZ297),ROW(NZ101:NZ297),"")))</f>
        <v>0</v>
      </c>
      <c r="OB101" s="12">
        <f>IF('Données projet'!$A$512&gt;35,OB100+OA101-OJ100,IF($A101&lt;'Données projet'!$A$512,$CQ$205^$A101,IF($A101='Données projet'!$A$512,'Données projet'!$B$512,OB100+OA101-OJ100)))</f>
        <v>0</v>
      </c>
      <c r="OC101" s="17" t="e">
        <f>OB101*VLOOKUP('Données projet'!$B$27,Paramètres!$A$1:$I$89,3,0)*VLOOKUP('Données projet'!$B$27,Paramètres!$A$1:$I$89,5,0)</f>
        <v>#N/A</v>
      </c>
      <c r="OD101" s="13" t="e">
        <f t="shared" si="218"/>
        <v>#N/A</v>
      </c>
      <c r="OE101" s="14" t="e">
        <f t="shared" si="174"/>
        <v>#N/A</v>
      </c>
      <c r="OF101" s="59" t="e">
        <f t="shared" si="175"/>
        <v>#N/A</v>
      </c>
      <c r="OG101" s="20" t="e">
        <f ca="1">AVERAGE(OFFSET($OF$3,0,0,'Données projet'!$E$27+1,1))-AVERAGE(OFFSET($H$3,0,0,'Données projet'!$E$27+1,1))</f>
        <v>#N/A</v>
      </c>
      <c r="OH101" s="59" t="e">
        <f t="shared" si="219"/>
        <v>#N/A</v>
      </c>
      <c r="OI101" s="15">
        <f>IF(ISNA(VLOOKUP($A101,'Données projet'!$A$512:$I$532,3,0)),0,VLOOKUP($A101,'Données projet'!$A$512:$I$532,3,0))</f>
        <v>0</v>
      </c>
      <c r="OJ101" s="15">
        <f>IF(ISNA(VLOOKUP($A101,'Données projet'!$A$512:$I$532,4,0)),0,VLOOKUP($A101,'Données projet'!$A$512:$I$532,4,0))</f>
        <v>0</v>
      </c>
      <c r="OK101" s="16">
        <f>IF(ISNA(VLOOKUP($A101,'Données projet'!$A$512:$I$532,5,0)),0%,VLOOKUP($A101,'Données projet'!$A$512:$I$532,5,0)*VLOOKUP('Données projet'!$B$27,Paramètres!$A$1:$I$89,7,0))</f>
        <v>0</v>
      </c>
      <c r="OL101" s="16">
        <f>IF(ISNA(VLOOKUP($A101,'Données projet'!$A$512:$I$532,6,0)),0%,VLOOKUP($A101,'Données projet'!$A$512:$I$532,6,0)*VLOOKUP('Données projet'!$B$27,Paramètres!$A$1:$I$89,7,0))</f>
        <v>0</v>
      </c>
      <c r="OM101" s="16">
        <f>IF(ISNA(VLOOKUP($A101,'Données projet'!$A$512:$I$532,7,0)),0%,VLOOKUP($A101,'Données projet'!$A$512:$I$532,7,0))</f>
        <v>0</v>
      </c>
      <c r="ON101" s="21" t="e">
        <f>EXP(-LN(2)/35)*ON100+(1-EXP(-LN(2)/35))/(LN(2)/35)*OJ101*OK101*VLOOKUP('Données projet'!$B$27,Paramètres!$A$1:$I$89,3,0)*0.475*44/12</f>
        <v>#N/A</v>
      </c>
      <c r="OO101" s="21" t="e">
        <f>EXP(-LN(2)/25)*OO100+(1-EXP(-LN(2)/25))/(LN(2)/25)*Calculateur!OJ101*Calculateur!OL101*VLOOKUP('Données projet'!$B$27,Paramètres!$A$1:$I$89,3,0)*0.475*44/12</f>
        <v>#N/A</v>
      </c>
      <c r="OP101" s="21" t="e">
        <f>EXP(-LN(2)/2)*OP100+(1-EXP(-LN(2)/2))/(LN(2)/2)*OJ101*OM101*VLOOKUP('Données projet'!$B$27,Paramètres!$A$1:$I$89,3,0)*0.475*44/12</f>
        <v>#N/A</v>
      </c>
      <c r="OQ101" s="22" t="e">
        <f t="shared" si="176"/>
        <v>#N/A</v>
      </c>
      <c r="OR101" s="74">
        <f>('Scénario référence'!$F$8+'Scénario référence'!$F$9+'Scénario référence'!$B$17+'Scénario référence'!$B$9+'Scénario référence'!$B$10)*70+IF((45+25*(1-EXP(-0.0175*$A101)))&lt;70,'Scénario référence'!$B$16*(45+25*(1-EXP(-0.0175*$A101))),70*'Scénario référence'!$B$16)+IF((32+38*(1-EXP(-0.0175*$A101)))&lt;70,'Scénario référence'!$B$18*(32+38*(1-EXP(-0.0175*$A101))),70*'Scénario référence'!$B$18)</f>
        <v>70</v>
      </c>
      <c r="OS101" s="12">
        <f>IF($A101&gt;30,10,('Scénario référence'!$B$16+'Scénario référence'!$B$17+'Scénario référence'!$B$18+'Scénario référence'!$B$9+'Scénario référence'!$B$10)*$A101*10/30+('Scénario référence'!$F$8+'Scénario référence'!$F$9)*10)</f>
        <v>10</v>
      </c>
      <c r="OT101" s="12" t="e">
        <f>VLOOKUP($A101,'Données projet'!$A$538:$I$558,2,0)</f>
        <v>#N/A</v>
      </c>
      <c r="OU101" s="12" t="e">
        <f>VLOOKUP($A101,'Données projet'!$A$538:$I$558,9,0)</f>
        <v>#N/A</v>
      </c>
      <c r="OV101" s="12">
        <f t="array" ref="OV101">INDEX(OU:OU,MIN(IF(ISNUMBER(OU101:OU297),ROW(OU101:OU297),"")))</f>
        <v>0</v>
      </c>
      <c r="OW101" s="12">
        <f>IF('Données projet'!$A$538&gt;35,OW100+OV101-PE100,IF($A101&lt;'Données projet'!$A$538,$CQ$205^$A101,IF($A101='Données projet'!$A$538,'Données projet'!$B$538,OW100+OV101-PE100)))</f>
        <v>0</v>
      </c>
      <c r="OX101" s="17" t="e">
        <f>OW101*VLOOKUP('Données projet'!$B$28,Paramètres!$A$1:$I$89,3,0)*VLOOKUP('Données projet'!$B$28,Paramètres!$A$1:$I$89,5,0)</f>
        <v>#N/A</v>
      </c>
      <c r="OY101" s="13" t="e">
        <f t="shared" si="220"/>
        <v>#N/A</v>
      </c>
      <c r="OZ101" s="14" t="e">
        <f t="shared" si="177"/>
        <v>#N/A</v>
      </c>
      <c r="PA101" s="59" t="e">
        <f t="shared" si="178"/>
        <v>#N/A</v>
      </c>
      <c r="PB101" s="20" t="e">
        <f ca="1">AVERAGE(OFFSET($PA$3,0,0,'Données projet'!$E$28+1,1))-AVERAGE(OFFSET($H$3,0,0,'Données projet'!$E$28+1,1))</f>
        <v>#N/A</v>
      </c>
      <c r="PC101" s="59" t="e">
        <f t="shared" si="221"/>
        <v>#N/A</v>
      </c>
      <c r="PD101" s="15">
        <f>IF(ISNA(VLOOKUP($A101,'Données projet'!$A$538:$I$558,3,0)),0,VLOOKUP($A101,'Données projet'!$A$538:$I$558,3,0))</f>
        <v>0</v>
      </c>
      <c r="PE101" s="15">
        <f>IF(ISNA(VLOOKUP($A101,'Données projet'!$A$538:$I$558,4,0)),0,VLOOKUP($A101,'Données projet'!$A$538:$I$558,4,0))</f>
        <v>0</v>
      </c>
      <c r="PF101" s="16">
        <f>IF(ISNA(VLOOKUP($A101,'Données projet'!$A$538:$I$558,5,0)),0%,VLOOKUP($A101,'Données projet'!$A$538:$I$558,5,0)*VLOOKUP('Données projet'!$B$28,Paramètres!$A$1:$I$89,7,0))</f>
        <v>0</v>
      </c>
      <c r="PG101" s="16">
        <f>IF(ISNA(VLOOKUP($A101,'Données projet'!$A$538:$I$558,6,0)),0%,VLOOKUP($A101,'Données projet'!$A$538:$I$558,6,0)*VLOOKUP('Données projet'!$B$28,Paramètres!$A$1:$I$89,7,0))</f>
        <v>0</v>
      </c>
      <c r="PH101" s="16">
        <f>IF(ISNA(VLOOKUP($A101,'Données projet'!$A$538:$I$558,7,0)),0%,VLOOKUP($A101,'Données projet'!$A$538:$I$558,7,0))</f>
        <v>0</v>
      </c>
      <c r="PI101" s="21" t="e">
        <f>EXP(-LN(2)/35)*PI100+(1-EXP(-LN(2)/35))/(LN(2)/35)*PE101*PF101*VLOOKUP('Données projet'!$B$28,Paramètres!$A$1:$I$89,3,0)*0.475*44/12</f>
        <v>#N/A</v>
      </c>
      <c r="PJ101" s="21" t="e">
        <f>EXP(-LN(2)/25)*PJ100+(1-EXP(-LN(2)/25))/(LN(2)/25)*Calculateur!PE101*Calculateur!PG101*VLOOKUP('Données projet'!$B$28,Paramètres!$A$1:$I$89,3,0)*0.475*44/12</f>
        <v>#N/A</v>
      </c>
      <c r="PK101" s="21" t="e">
        <f>EXP(-LN(2)/2)*PK100+(1-EXP(-LN(2)/2))/(LN(2)/2)*PE101*PH101*VLOOKUP('Données projet'!$B$28,Paramètres!$A$1:$I$89,3,0)*0.475*44/12</f>
        <v>#N/A</v>
      </c>
      <c r="PL101" s="22" t="e">
        <f t="shared" si="179"/>
        <v>#N/A</v>
      </c>
    </row>
    <row r="102" spans="1:428" x14ac:dyDescent="0.35">
      <c r="A102" s="10">
        <f t="shared" si="180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181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121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projet'!$A$45:$I$65,2,0)</f>
        <v>#N/A</v>
      </c>
      <c r="L102" s="12" t="e">
        <f>VLOOKUP(A102,'Données projet'!$A$45:$I$65,9,0)</f>
        <v>#N/A</v>
      </c>
      <c r="M102" s="12">
        <f t="array" ref="M102">INDEX(L:L,MIN(IF(ISNUMBER(L102:L298),ROW(L102:L298),"")))</f>
        <v>0</v>
      </c>
      <c r="N102" s="13">
        <f>IF('Données projet'!$A$46&gt;35,N101+M102-V101,IF(A102&lt;'Données projet'!$A$46,$K$205^A102,IF(A102='Données projet'!$A$46,'Données projet'!$B$46,N101+M102-V101)))</f>
        <v>-1.1368683772161603E-13</v>
      </c>
      <c r="O102" s="13">
        <f>N102*VLOOKUP('Données projet'!$B$9,Paramètres!$A$1:$I$89,3,0)*VLOOKUP('Données projet'!$B$9,Paramètres!$A$1:$I$89,5,0)</f>
        <v>-6.3550942286383367E-14</v>
      </c>
      <c r="P102" s="13" t="e">
        <f t="shared" si="182"/>
        <v>#NUM!</v>
      </c>
      <c r="Q102" s="20" t="e">
        <f t="shared" si="222"/>
        <v>#NUM!</v>
      </c>
      <c r="R102" s="59" t="e">
        <f t="shared" si="120"/>
        <v>#NUM!</v>
      </c>
      <c r="S102" s="59">
        <f ca="1">AVERAGE(OFFSET($R$3,0,0,'Données projet'!$E$9+1,1))-AVERAGE(OFFSET($H$3,0,0,'Données projet'!$E$9+1,1))</f>
        <v>274.57619581652199</v>
      </c>
      <c r="T102" s="59">
        <f t="shared" si="183"/>
        <v>366.15117322598775</v>
      </c>
      <c r="U102" s="15">
        <f>IF(ISNA(VLOOKUP(A102,'Données projet'!$A$45:$I$65,3,0)),0,VLOOKUP(A102,'Données projet'!$A$45:$I$65,3,0))</f>
        <v>0</v>
      </c>
      <c r="V102" s="15">
        <f>IF(ISNA(VLOOKUP(A102,'Données projet'!$A$45:$I$65,4,0)),0,VLOOKUP(A102,'Données projet'!$A$45:$I$65,4,0))</f>
        <v>0</v>
      </c>
      <c r="W102" s="16">
        <f>IF(ISNA(VLOOKUP(A102,'Données projet'!$A$45:$I$65,5,0)),0%,VLOOKUP(A102,'Données projet'!$A$45:$I$65,5,0)*VLOOKUP('Données projet'!$B$9,Paramètres!$A$1:$I$89,7,0))</f>
        <v>0</v>
      </c>
      <c r="X102" s="16">
        <f>IF(ISNA(VLOOKUP(A102,'Données projet'!$A$45:$I$65,6,0)),0%,VLOOKUP(A102,'Données projet'!$A$45:$I$65,6,0)*VLOOKUP('Données projet'!$B$9,Paramètres!$A$1:$I$89,7,0))</f>
        <v>0</v>
      </c>
      <c r="Y102" s="16">
        <f>IF(ISNA(VLOOKUP(A102,'Données projet'!$A$45:$I$65,7,0)),0%,VLOOKUP(A102,'Données projet'!$A$45:$I$65,7,0))</f>
        <v>0</v>
      </c>
      <c r="Z102" s="21">
        <f>EXP(-LN(2)/35)*Z101+(1-EXP(-LN(2)/35))/(LN(2)/35)*V102*W102*VLOOKUP('Données projet'!$B$9,Paramètres!$A$1:$I$89,3,0)*0.475*44/12</f>
        <v>94.826906815659598</v>
      </c>
      <c r="AA102" s="21">
        <f>EXP(-LN(2)/25)*AA101+(1-EXP(-LN(2)/25))/(LN(2)/25)*Calculateur!V102*Calculateur!X102*VLOOKUP('Données projet'!$B$9,Paramètres!$A$1:$I$89,3,0)*0.475*44/12</f>
        <v>17.008561945122306</v>
      </c>
      <c r="AB102" s="21">
        <f>EXP(-LN(2)/2)*AB101+(1-EXP(-LN(2)/2))/(LN(2)/2)*V102*Y102*VLOOKUP('Données projet'!$B$9,Paramètres!$A$1:$I$89,3,0)*0.475*44/12</f>
        <v>8.1446895609170135E-6</v>
      </c>
      <c r="AC102" s="22">
        <f t="shared" si="122"/>
        <v>111.83547690547147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>
        <f>VLOOKUP(A102,'Données projet'!$A$71:$I$91,2,0)</f>
        <v>318.25</v>
      </c>
      <c r="AG102" s="12">
        <f>VLOOKUP(A102,'Données projet'!$A$71:$I$91,9,0)</f>
        <v>7.1782051282051267</v>
      </c>
      <c r="AH102" s="12">
        <f t="array" ref="AH102">INDEX(AG:AG,MIN(IF(ISNUMBER(AG102:AG298),ROW(AG102:AG298),"")))</f>
        <v>7.1782051282051267</v>
      </c>
      <c r="AI102" s="13">
        <f>IF('Données projet'!$A$72&gt;35,AI101+AH102-AQ101,IF(A102&lt;'Données projet'!$A$72,$AF$205^A102,IF(A102='Données projet'!$A$72,'Données projet'!$B$72,AI101+AH102-AQ101)))</f>
        <v>318.25000000000051</v>
      </c>
      <c r="AJ102" s="13">
        <f>AI102*VLOOKUP('Données projet'!$B$10,Paramètres!$A$1:$I$89,3,0)*VLOOKUP('Données projet'!$B$10,Paramètres!$A$1:$I$89,5,0)</f>
        <v>287.95260000000047</v>
      </c>
      <c r="AK102" s="13">
        <f t="shared" si="184"/>
        <v>68.6448727389173</v>
      </c>
      <c r="AL102" s="20">
        <f t="shared" si="123"/>
        <v>621.07393168694841</v>
      </c>
      <c r="AM102" s="59">
        <f t="shared" si="124"/>
        <v>914.40726502028178</v>
      </c>
      <c r="AN102" s="59">
        <f ca="1">AVERAGE(OFFSET($AM$3,0,0,'Données projet'!$E$10+1,1))-AVERAGE(OFFSET($H$3,0,0,'Données projet'!$E$10+1,1))</f>
        <v>270.87836509222456</v>
      </c>
      <c r="AO102" s="59">
        <f t="shared" si="185"/>
        <v>205.24998237949734</v>
      </c>
      <c r="AP102" s="15">
        <f>IF(ISNA(VLOOKUP(A102,'Données projet'!$A$71:$I$91,3,0)),0,VLOOKUP(A102,'Données projet'!$A$71:$I$91,3,0))</f>
        <v>9</v>
      </c>
      <c r="AQ102" s="15">
        <f>IF(ISNA(VLOOKUP(A102,'Données projet'!$A$71:$I$91,4,0)),0,VLOOKUP(A102,'Données projet'!$A$71:$I$91,4,0))</f>
        <v>48.019230769230766</v>
      </c>
      <c r="AR102" s="16">
        <f>IF(ISNA(VLOOKUP(A102,'Données projet'!$A$71:$I$91,5,0)),0%,VLOOKUP(A102,'Données projet'!$A$71:$I$91,5,0)*VLOOKUP('Données projet'!$B$10,Paramètres!$A$1:$I$89,7,0))</f>
        <v>0.30099999999999999</v>
      </c>
      <c r="AS102" s="16">
        <f>IF(ISNA(VLOOKUP(A102,'Données projet'!$A$71:$I$91,6,0)),0%,VLOOKUP(A102,'Données projet'!$A$71:$I$91,6,0)*VLOOKUP('Données projet'!$B$10,Paramètres!$A$1:$I$89,7,0))</f>
        <v>0</v>
      </c>
      <c r="AT102" s="16">
        <f>IF(ISNA(VLOOKUP(A102,'Données projet'!$A$71:$I$91,7,0)),0%,VLOOKUP(A102,'Données projet'!$A$71:$I$91,7,0))</f>
        <v>0</v>
      </c>
      <c r="AU102" s="21">
        <f>EXP(-LN(2)/35)*AU101+(1-EXP(-LN(2)/35))/(LN(2)/35)*AQ102*AR102*VLOOKUP('Données projet'!$B$10,Paramètres!$A$1:$I$89,3,0)*0.475*44/12</f>
        <v>49.144454416035025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125"/>
        <v>49.144454416035025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projet'!$A$97:$I$117,2,0)</f>
        <v>#N/A</v>
      </c>
      <c r="BB102" s="12" t="e">
        <f>VLOOKUP(A102,'Données projet'!$A$97:$I$117,9,0)</f>
        <v>#N/A</v>
      </c>
      <c r="BC102" s="12">
        <f t="array" ref="BC102">INDEX(BB:BB,MIN(IF(ISNUMBER(BB102:BB298),ROW(BB102:BB298),"")))</f>
        <v>0</v>
      </c>
      <c r="BD102" s="12">
        <f>IF('Données projet'!$A$98&gt;35,BD101+BC102-BL101,IF(A102&lt;'Données projet'!$A$98,$BA$205^A102,IF(A102='Données projet'!$A$98,'Données projet'!$B$98,BD101+BC102-BL101)))</f>
        <v>-1.1368683772161603E-13</v>
      </c>
      <c r="BE102" s="13">
        <f>BD102*VLOOKUP('Données projet'!$B$11,Paramètres!$A$1:$I$89,3,0)*VLOOKUP('Données projet'!$B$11,Paramètres!$A$1:$I$89,5,0)</f>
        <v>-5.0249582272954292E-14</v>
      </c>
      <c r="BF102" s="13" t="e">
        <f t="shared" si="186"/>
        <v>#NUM!</v>
      </c>
      <c r="BG102" s="20" t="e">
        <f t="shared" si="126"/>
        <v>#NUM!</v>
      </c>
      <c r="BH102" s="59" t="e">
        <f t="shared" si="127"/>
        <v>#NUM!</v>
      </c>
      <c r="BI102" s="59">
        <f ca="1">AVERAGE(OFFSET($BH$3,0,0,'Données projet'!$E$11+1,1))-AVERAGE(OFFSET($H$3,0,0,'Données projet'!$E$11+1,1))</f>
        <v>211.31057120485542</v>
      </c>
      <c r="BJ102" s="59">
        <f t="shared" si="187"/>
        <v>283.33292006714777</v>
      </c>
      <c r="BK102" s="15">
        <f>IF(ISNA(VLOOKUP(A102,'Données projet'!$A$97:$I$117,3,0)),0,VLOOKUP(A102,'Données projet'!$A$97:$I$117,3,0))</f>
        <v>0</v>
      </c>
      <c r="BL102" s="15">
        <f>IF(ISNA(VLOOKUP(A102,'Données projet'!$A$97:$I$117,4,0)),0,VLOOKUP(A102,'Données projet'!$A$97:$I$117,4,0))</f>
        <v>0</v>
      </c>
      <c r="BM102" s="16">
        <f>IF(ISNA(VLOOKUP(A102,'Données projet'!$A$97:$I$117,5,0)),0%,VLOOKUP(A102,'Données projet'!$A$97:$I$117,5,0)*VLOOKUP('Données projet'!$B$11,Paramètres!$A$1:$I$89,7,0))</f>
        <v>0</v>
      </c>
      <c r="BN102" s="16">
        <f>IF(ISNA(VLOOKUP(A102,'Données projet'!$A$97:$I$117,6,0)),0%,VLOOKUP(A102,'Données projet'!$A$97:$I$117,6,0)*VLOOKUP('Données projet'!$B$11,Paramètres!$A$1:$I$89,7,0))</f>
        <v>0</v>
      </c>
      <c r="BO102" s="16">
        <f>IF(ISNA(VLOOKUP(A102,'Données projet'!$A$97:$I$117,7,0)),0%,VLOOKUP(A102,'Données projet'!$A$97:$I$117,7,0))</f>
        <v>0</v>
      </c>
      <c r="BP102" s="21">
        <f>EXP(-LN(2)/35)*BP101+(1-EXP(-LN(2)/35))/(LN(2)/35)*BL102*BM102*VLOOKUP('Données projet'!$B$11,Paramètres!$A$1:$I$89,3,0)*0.475*44/12</f>
        <v>74.979414691451794</v>
      </c>
      <c r="BQ102" s="21">
        <f>EXP(-LN(2)/25)*BQ101+(1-EXP(-LN(2)/25))/(LN(2)/25)*Calculateur!BL102*Calculateur!BN102*VLOOKUP('Données projet'!$B$11,Paramètres!$A$1:$I$89,3,0)*0.475*44/12</f>
        <v>13.44863037521298</v>
      </c>
      <c r="BR102" s="21">
        <f>EXP(-LN(2)/2)*BR101+(1-EXP(-LN(2)/2))/(LN(2)/2)*BL102*BO102*VLOOKUP('Données projet'!$B$11,Paramètres!$A$1:$I$89,3,0)*0.475*44/12</f>
        <v>6.4399870946785676E-6</v>
      </c>
      <c r="BS102" s="22">
        <f t="shared" si="128"/>
        <v>88.428051506651869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projet'!$A$123:$I$143,2,0)</f>
        <v>#N/A</v>
      </c>
      <c r="BW102" s="12" t="e">
        <f>VLOOKUP(A102,'Données projet'!$A$123:$I$143,9,0)</f>
        <v>#N/A</v>
      </c>
      <c r="BX102" s="12">
        <f t="array" ref="BX102">INDEX(BW:BW,MIN(IF(ISNUMBER(BW102:BW298),ROW(BW102:BW298),"")))</f>
        <v>3</v>
      </c>
      <c r="BY102" s="12">
        <f>IF('Données projet'!$A$124&gt;35,BY101+BX102-CG101,IF(A102&lt;'Données projet'!$A$124,$BV$205^A102,IF(A102='Données projet'!$A$124,'Données projet'!$B$124,BY101+BX102-CG101)))</f>
        <v>252</v>
      </c>
      <c r="BZ102" s="13">
        <f>BY102*VLOOKUP('Données projet'!$B$12,Paramètres!$A$1:$I$89,3,0)*VLOOKUP('Données projet'!$B$12,Paramètres!$A$1:$I$89,5,0)</f>
        <v>263.3904</v>
      </c>
      <c r="CA102" s="13">
        <f t="shared" si="188"/>
        <v>63.444528395882578</v>
      </c>
      <c r="CB102" s="20">
        <f t="shared" si="129"/>
        <v>569.23750028949542</v>
      </c>
      <c r="CC102" s="59">
        <f t="shared" si="130"/>
        <v>862.57083362282879</v>
      </c>
      <c r="CD102" s="59">
        <f ca="1">AVERAGE(OFFSET($CC$3,0,0,'Données projet'!$E$12+1,1))-AVERAGE(OFFSET($H$3,0,0,'Données projet'!$E$12+1,1))</f>
        <v>322.93502595881938</v>
      </c>
      <c r="CE102" s="59">
        <f t="shared" si="189"/>
        <v>302.67072119588164</v>
      </c>
      <c r="CF102" s="15">
        <f>IF(ISNA(VLOOKUP(A102,'Données projet'!$A$123:$I$143,3,0)),0,VLOOKUP(A102,'Données projet'!$A$123:$I$143,3,0))</f>
        <v>0</v>
      </c>
      <c r="CG102" s="15">
        <f>IF(ISNA(VLOOKUP(A102,'Données projet'!$A$123:$I$143,4,0)),0,VLOOKUP(A102,'Données projet'!$A$123:$I$143,4,0))</f>
        <v>0</v>
      </c>
      <c r="CH102" s="16">
        <f>IF(ISNA(VLOOKUP(A102,'Données projet'!$A$123:$I$143,5,0)),0%,VLOOKUP(A102,'Données projet'!$A$123:$I$143,5,0)*VLOOKUP('Données projet'!$B$12,Paramètres!$A$1:$I$89,7,0))</f>
        <v>0</v>
      </c>
      <c r="CI102" s="16">
        <f>IF(ISNA(VLOOKUP(A102,'Données projet'!$A$123:$I$143,6,0)),0%,VLOOKUP(A102,'Données projet'!$A$123:$I$143,6,0)*VLOOKUP('Données projet'!$B$12,Paramètres!$A$1:$I$89,7,0))</f>
        <v>0</v>
      </c>
      <c r="CJ102" s="16">
        <f>IF(ISNA(VLOOKUP(A102,'Données projet'!$A$123:$I$143,7,0)),0%,VLOOKUP(A102,'Données projet'!$A$123:$I$143,7,0))</f>
        <v>0</v>
      </c>
      <c r="CK102" s="21">
        <f>EXP(-LN(2)/35)*CK101+(1-EXP(-LN(2)/35))/(LN(2)/35)*CG102*CH102*VLOOKUP('Données projet'!$B$12,Paramètres!$A$1:$I$89,3,0)*0.475*44/12</f>
        <v>29.000854029553231</v>
      </c>
      <c r="CL102" s="21">
        <f>EXP(-LN(2)/25)*CL101+(1-EXP(-LN(2)/25))/(LN(2)/25)*Calculateur!CG102*Calculateur!CI102*VLOOKUP('Données projet'!$B$12,Paramètres!$A$1:$I$89,3,0)*0.475*44/12</f>
        <v>17.095210704435509</v>
      </c>
      <c r="CM102" s="21">
        <f>EXP(-LN(2)/2)*CM101+(1-EXP(-LN(2)/2))/(LN(2)/2)*CG102*CJ102*VLOOKUP('Données projet'!$B$12,Paramètres!$A$1:$I$89,3,0)*0.475*44/12</f>
        <v>0</v>
      </c>
      <c r="CN102" s="22">
        <f t="shared" si="131"/>
        <v>46.09606473398874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projet'!$A$149:$I$169,2,0)</f>
        <v>#N/A</v>
      </c>
      <c r="CR102" s="12" t="e">
        <f>VLOOKUP(A102,'Données projet'!$A$149:$I$169,9,0)</f>
        <v>#N/A</v>
      </c>
      <c r="CS102" s="12">
        <f t="array" ref="CS102">INDEX(CR:CR,MIN(IF(ISNUMBER(CR102:CR298),ROW(CR102:CR298),"")))</f>
        <v>5.2583333333333373</v>
      </c>
      <c r="CT102" s="12">
        <f>IF('Données projet'!$A$150&gt;35,CT101+CS102-DB101,IF(A102&lt;'Données projet'!$A$150,$CQ$205^A102,IF(A102='Données projet'!$A$150,'Données projet'!$B$150,CT101+CS102-DB101)))</f>
        <v>213.73589743589716</v>
      </c>
      <c r="CU102" s="17">
        <f>CT102*VLOOKUP('Données projet'!$B$13,Paramètres!$A$1:$I$89,3,0)*VLOOKUP('Données projet'!$B$13,Paramètres!$A$1:$I$89,5,0)</f>
        <v>216.72819999999976</v>
      </c>
      <c r="CV102" s="13">
        <f t="shared" si="190"/>
        <v>53.403157228900795</v>
      </c>
      <c r="CW102" s="20">
        <f t="shared" si="132"/>
        <v>470.47878050700183</v>
      </c>
      <c r="CX102" s="59">
        <f t="shared" si="133"/>
        <v>763.81211384033509</v>
      </c>
      <c r="CY102" s="59">
        <f ca="1">AVERAGE(OFFSET($CX$3,0,0,'Données projet'!$E$13+1,1))-AVERAGE(OFFSET($H$3,0,0,'Données projet'!$E$13+1,1))</f>
        <v>250.31277422753283</v>
      </c>
      <c r="CZ102" s="59">
        <f t="shared" si="191"/>
        <v>159.20429420478047</v>
      </c>
      <c r="DA102" s="15">
        <f>IF(ISNA(VLOOKUP(A102,'Données projet'!$A$149:$I$169,3,0)),0,VLOOKUP(A102,'Données projet'!$A$149:$I$169,3,0))</f>
        <v>0</v>
      </c>
      <c r="DB102" s="15">
        <f>IF(ISNA(VLOOKUP(A102,'Données projet'!$A$149:$I$169,4,0)),0,VLOOKUP(A102,'Données projet'!$A$149:$I$169,4,0))</f>
        <v>0</v>
      </c>
      <c r="DC102" s="16">
        <f>IF(ISNA(VLOOKUP(A102,'Données projet'!$A$149:$I$169,5,0)),0%,VLOOKUP(A102,'Données projet'!$A$149:$I$169,5,0)*VLOOKUP('Données projet'!$B$13,Paramètres!$A$1:$I$89,7,0))</f>
        <v>0</v>
      </c>
      <c r="DD102" s="16">
        <f>IF(ISNA(VLOOKUP(A102,'Données projet'!$A$149:$I$169,6,0)),0%,VLOOKUP(A102,'Données projet'!$A$149:$I$169,6,0)*VLOOKUP('Données projet'!$B$13,Paramètres!$A$1:$I$89,7,0))</f>
        <v>0</v>
      </c>
      <c r="DE102" s="16">
        <f>IF(ISNA(VLOOKUP(A102,'Données projet'!$A$149:$I$169,7,0)),0%,VLOOKUP(A102,'Données projet'!$A$149:$I$169,7,0))</f>
        <v>0</v>
      </c>
      <c r="DF102" s="21">
        <f>EXP(-LN(2)/35)*DF101+(1-EXP(-LN(2)/35))/(LN(2)/35)*DB102*DC102*VLOOKUP('Données projet'!$B$13,Paramètres!$A$1:$I$89,3,0)*0.475*44/12</f>
        <v>24.293341714402292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134"/>
        <v>24.293341714402292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projet'!$A$175:$I$195,2,0)</f>
        <v>#N/A</v>
      </c>
      <c r="DM102" s="12" t="e">
        <f>VLOOKUP(A102,'Données projet'!$A$175:$I$195,9,0)</f>
        <v>#N/A</v>
      </c>
      <c r="DN102" s="12">
        <f t="array" ref="DN102">INDEX(DM:DM,MIN(IF(ISNUMBER(DM102:DM298),ROW(DM102:DM298),"")))</f>
        <v>0</v>
      </c>
      <c r="DO102" s="12">
        <f>IF('Données projet'!$A$176&gt;35,DO101+DN102-DW101,IF(A102&lt;'Données projet'!$A$176,$DL$205^A102,IF(A102='Données projet'!$A$176,'Données projet'!$B$176,DO101+DN102-DW101)))</f>
        <v>-2.8421709430404007E-13</v>
      </c>
      <c r="DP102" s="17">
        <f>DO102*VLOOKUP('Données projet'!$B$14,Paramètres!$A$1:$I$89,3,0)*VLOOKUP('Données projet'!$B$14,Paramètres!$A$1:$I$89,5,0)</f>
        <v>-2.0838797354372215E-13</v>
      </c>
      <c r="DQ102" s="13" t="e">
        <f t="shared" si="192"/>
        <v>#NUM!</v>
      </c>
      <c r="DR102" s="20" t="e">
        <f t="shared" si="135"/>
        <v>#NUM!</v>
      </c>
      <c r="DS102" s="59" t="e">
        <f t="shared" si="136"/>
        <v>#NUM!</v>
      </c>
      <c r="DT102" s="59">
        <f ca="1">AVERAGE(OFFSET($DS$3,0,0,'Données projet'!$E$14+1,1))-AVERAGE(OFFSET($H$3,0,0,'Données projet'!$E$14+1,1))</f>
        <v>296.91321813251051</v>
      </c>
      <c r="DU102" s="59">
        <f t="shared" si="193"/>
        <v>291.0718079639509</v>
      </c>
      <c r="DV102" s="15">
        <f>IF(ISNA(VLOOKUP(A102,'Données projet'!$A$175:$I$195,3,0)),0,VLOOKUP(A102,'Données projet'!$A$175:$I$195,3,0))</f>
        <v>0</v>
      </c>
      <c r="DW102" s="15">
        <f>IF(ISNA(VLOOKUP(A102,'Données projet'!$A$175:$I$195,4,0)),0,VLOOKUP(A102,'Données projet'!$A$175:$I$195,4,0))</f>
        <v>0</v>
      </c>
      <c r="DX102" s="16">
        <f>IF(ISNA(VLOOKUP(A102,'Données projet'!$A$175:$I$195,5,0)),0%,VLOOKUP(A102,'Données projet'!$A$175:$I$195,5,0)*VLOOKUP('Données projet'!$B$14,Paramètres!$A$1:$I$89,7,0))</f>
        <v>0</v>
      </c>
      <c r="DY102" s="16">
        <f>IF(ISNA(VLOOKUP(A102,'Données projet'!$A$175:$I$195,6,0)),0%,VLOOKUP(A102,'Données projet'!$A$175:$I$195,6,0)*VLOOKUP('Données projet'!$B$14,Paramètres!$A$1:$I$89,7,0))</f>
        <v>0</v>
      </c>
      <c r="DZ102" s="16">
        <f>IF(ISNA(VLOOKUP(A102,'Données projet'!$A$175:$I$195,7,0)),0%,VLOOKUP(A102,'Données projet'!$A$175:$I$195,7,0))</f>
        <v>0</v>
      </c>
      <c r="EA102" s="21">
        <f>EXP(-LN(2)/35)*EA101+(1-EXP(-LN(2)/35))/(LN(2)/35)*DW102*DX102*VLOOKUP('Données projet'!$B$14,Paramètres!$A$1:$I$89,3,0)*0.475*44/12</f>
        <v>119.06359232488524</v>
      </c>
      <c r="EB102" s="21">
        <f>EXP(-LN(2)/25)*EB101+(1-EXP(-LN(2)/25))/(LN(2)/25)*Calculateur!DW102*Calculateur!DY102*VLOOKUP('Données projet'!$B$14,Paramètres!$A$1:$I$89,3,0)*0.475*44/12</f>
        <v>3.1620332179185522</v>
      </c>
      <c r="EC102" s="21">
        <f>EXP(-LN(2)/2)*EC101+(1-EXP(-LN(2)/2))/(LN(2)/2)*DW102*DZ102*VLOOKUP('Données projet'!$B$14,Paramètres!$A$1:$I$89,3,0)*0.475*44/12</f>
        <v>0</v>
      </c>
      <c r="ED102" s="22">
        <f t="shared" si="137"/>
        <v>122.22562554280378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>
        <f>VLOOKUP(A102,'Données projet'!$A$201:$I$221,2,0)</f>
        <v>397.8692307692308</v>
      </c>
      <c r="EH102" s="12">
        <f>VLOOKUP(A102,'Données projet'!$A$201:$I$221,9,0)</f>
        <v>8.1391025641025667</v>
      </c>
      <c r="EI102" s="12">
        <f t="array" ref="EI102">INDEX(EH:EH,MIN(IF(ISNUMBER(EH102:EH298),ROW(EH102:EH298),"")))</f>
        <v>8.1391025641025667</v>
      </c>
      <c r="EJ102" s="12">
        <f>IF('Données projet'!$A$202&gt;35,EJ101+EI102-ER101,IF(A102&lt;'Données projet'!$A$202,$EG$205^A102,IF(A102='Données projet'!$A$202,'Données projet'!$B$202,EJ101+EI102-ER101)))</f>
        <v>397.86923076923119</v>
      </c>
      <c r="EK102" s="17">
        <f>EJ102*VLOOKUP('Données projet'!$B$15,Paramètres!$A$1:$I$89,3,0)*VLOOKUP('Données projet'!$B$15,Paramètres!$A$1:$I$89,5,0)</f>
        <v>186.2028000000002</v>
      </c>
      <c r="EL102" s="13">
        <f t="shared" si="194"/>
        <v>46.699462038644228</v>
      </c>
      <c r="EM102" s="20">
        <f t="shared" si="138"/>
        <v>405.6381063839724</v>
      </c>
      <c r="EN102" s="59">
        <f t="shared" si="139"/>
        <v>698.97143971730566</v>
      </c>
      <c r="EO102" s="59">
        <f ca="1">AVERAGE(OFFSET($EN$3,0,0,'Données projet'!$E$15+1,1))-AVERAGE(OFFSET($H$3,0,0,'Données projet'!$E$15+1,1))</f>
        <v>147.64256291235483</v>
      </c>
      <c r="EP102" s="59">
        <f t="shared" si="195"/>
        <v>70.859031694091868</v>
      </c>
      <c r="EQ102" s="15">
        <f>IF(ISNA(VLOOKUP(A102,'Données projet'!$A$201:$I$221,3,0)),0,VLOOKUP(A102,'Données projet'!$A$201:$I$221,3,0))</f>
        <v>5</v>
      </c>
      <c r="ER102" s="15">
        <f>IF(ISNA(VLOOKUP(A102,'Données projet'!$A$201:$I$221,4,0)),0,VLOOKUP(A102,'Données projet'!$A$201:$I$221,4,0))</f>
        <v>198.32307692307691</v>
      </c>
      <c r="ES102" s="16">
        <f>IF(ISNA(VLOOKUP(A102,'Données projet'!$A$201:$I$221,5,0)),0%,VLOOKUP(A102,'Données projet'!$A$201:$I$221,5,0)*VLOOKUP('Données projet'!$B$15,Paramètres!$A$1:$I$89,7,0))</f>
        <v>0.38500000000000001</v>
      </c>
      <c r="ET102" s="16">
        <f>IF(ISNA(VLOOKUP(A102,'Données projet'!$A$201:$I$221,6,0)),0%,VLOOKUP(A102,'Données projet'!$A$201:$I$221,6,0)*VLOOKUP('Données projet'!$B$15,Paramètres!$A$1:$I$89,7,0))</f>
        <v>9.240000000000001E-2</v>
      </c>
      <c r="EU102" s="16">
        <f>IF(ISNA(VLOOKUP(A102,'Données projet'!$A$201:$I$221,7,0)),0%,VLOOKUP(A102,'Données projet'!$A$201:$I$221,7,0))</f>
        <v>0.13200000000000001</v>
      </c>
      <c r="EV102" s="21">
        <f>EXP(-LN(2)/35)*EV101+(1-EXP(-LN(2)/35))/(LN(2)/35)*ER102*ES102*VLOOKUP('Données projet'!$B$15,Paramètres!$A$1:$I$89,3,0)*0.475*44/12</f>
        <v>88.382546590841713</v>
      </c>
      <c r="EW102" s="21">
        <f>EXP(-LN(2)/25)*EW101+(1-EXP(-LN(2)/25))/(LN(2)/25)*Calculateur!ER102*Calculateur!ET102*VLOOKUP('Données projet'!$B$15,Paramètres!$A$1:$I$89,3,0)*0.475*44/12</f>
        <v>24.561844508518369</v>
      </c>
      <c r="EX102" s="21">
        <f>EXP(-LN(2)/2)*EX101+(1-EXP(-LN(2)/2))/(LN(2)/2)*ER102*EU102*VLOOKUP('Données projet'!$B$15,Paramètres!$A$1:$I$89,3,0)*0.475*44/12</f>
        <v>13.963794745255166</v>
      </c>
      <c r="EY102" s="22">
        <f t="shared" si="140"/>
        <v>126.90818584461525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projet'!$A$227:$I$247,2,0)</f>
        <v>#N/A</v>
      </c>
      <c r="FC102" s="12" t="e">
        <f>VLOOKUP(A102,'Données projet'!$A$227:$I$247,9,0)</f>
        <v>#N/A</v>
      </c>
      <c r="FD102" s="12">
        <f t="array" ref="FD102">INDEX(FC:FC,MIN(IF(ISNUMBER(FC102:FC298),ROW(FC102:FC298),"")))</f>
        <v>3</v>
      </c>
      <c r="FE102" s="12">
        <f>IF('Données projet'!$A$228&gt;35,FE101+FD102-FM101,IF(A102&lt;'Données projet'!$A$228,$FB$205^A102,IF(A102='Données projet'!$A$228,'Données projet'!$B$228,FE101+FD102-FM101)))</f>
        <v>220.00000000000009</v>
      </c>
      <c r="FF102" s="17">
        <f>FE102*VLOOKUP('Données projet'!$B$16,Paramètres!$A$1:$I$89,3,0)*VLOOKUP('Données projet'!$B$16,Paramètres!$A$1:$I$89,5,0)</f>
        <v>229.9440000000001</v>
      </c>
      <c r="FG102" s="13">
        <f t="shared" si="196"/>
        <v>56.270572850262418</v>
      </c>
      <c r="FH102" s="20">
        <f t="shared" si="141"/>
        <v>498.49038104754055</v>
      </c>
      <c r="FI102" s="59">
        <f t="shared" si="142"/>
        <v>791.82371438087387</v>
      </c>
      <c r="FJ102" s="59">
        <f ca="1">AVERAGE(OFFSET($FI$3,0,0,'Données projet'!$E$16+1,1))-AVERAGE(OFFSET($H$3,0,0,'Données projet'!$E$16+1,1))</f>
        <v>259.03906550253788</v>
      </c>
      <c r="FK102" s="59">
        <f t="shared" si="197"/>
        <v>235.54542903570831</v>
      </c>
      <c r="FL102" s="15">
        <f>IF(ISNA(VLOOKUP(A102,'Données projet'!$A$227:$I$247,3,0)),0,VLOOKUP(A102,'Données projet'!$A$227:$I$247,3,0))</f>
        <v>0</v>
      </c>
      <c r="FM102" s="15">
        <f>IF(ISNA(VLOOKUP(A102,'Données projet'!$A$227:$I$247,4,0)),0,VLOOKUP(A102,'Données projet'!$A$227:$I$247,4,0))</f>
        <v>0</v>
      </c>
      <c r="FN102" s="16">
        <f>IF(ISNA(VLOOKUP(A102,'Données projet'!$A$227:$I$247,5,0)),0%,VLOOKUP(A102,'Données projet'!$A$227:$I$247,5,0)*VLOOKUP('Données projet'!$B$16,Paramètres!$A$1:$I$89,7,0))</f>
        <v>0</v>
      </c>
      <c r="FO102" s="16">
        <f>IF(ISNA(VLOOKUP(A102,'Données projet'!$A$227:$I$247,6,0)),0%,VLOOKUP(A102,'Données projet'!$A$227:$I$247,6,0)*VLOOKUP('Données projet'!$B$16,Paramètres!$A$1:$I$89,7,0))</f>
        <v>0</v>
      </c>
      <c r="FP102" s="16">
        <f>IF(ISNA(VLOOKUP(A102,'Données projet'!$A$227:$I$247,7,0)),0%,VLOOKUP(A102,'Données projet'!$A$227:$I$247,7,0))</f>
        <v>0</v>
      </c>
      <c r="FQ102" s="21">
        <f>EXP(-LN(2)/35)*FQ101+(1-EXP(-LN(2)/35))/(LN(2)/35)*FM102*FN102*VLOOKUP('Données projet'!$B$16,Paramètres!$A$1:$I$89,3,0)*0.475*44/12</f>
        <v>15.438245337243076</v>
      </c>
      <c r="FR102" s="21">
        <f>EXP(-LN(2)/25)*FR101+(1-EXP(-LN(2)/25))/(LN(2)/25)*Calculateur!FM102*Calculateur!FO102*VLOOKUP('Données projet'!$B$16,Paramètres!$A$1:$I$89,3,0)*0.475*44/12</f>
        <v>14.966370604559447</v>
      </c>
      <c r="FS102" s="21">
        <f>EXP(-LN(2)/2)*FS101+(1-EXP(-LN(2)/2))/(LN(2)/2)*FM102*FP102*VLOOKUP('Données projet'!$B$16,Paramètres!$A$1:$I$89,3,0)*0.475*44/12</f>
        <v>0</v>
      </c>
      <c r="FT102" s="22">
        <f t="shared" si="143"/>
        <v>30.404615941802525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projet'!$A$253:$I$273,2,0)</f>
        <v>#N/A</v>
      </c>
      <c r="FX102" s="12" t="e">
        <f>VLOOKUP(A102,'Données projet'!$A$253:$I$273,9,0)</f>
        <v>#N/A</v>
      </c>
      <c r="FY102" s="12">
        <f t="array" ref="FY102">INDEX(FX:FX,MIN(IF(ISNUMBER(FX102:FX298),ROW(FX102:FX298),"")))</f>
        <v>0</v>
      </c>
      <c r="FZ102" s="12">
        <f>IF('Données projet'!$A$254&gt;35,FZ101+FY102-GH101,IF(A102&lt;'Données projet'!$A$254,$FW$205^A102,IF(A102='Données projet'!$A$254,'Données projet'!$B$254,FZ101+FY102-GH101)))</f>
        <v>-1.7053025658242404E-13</v>
      </c>
      <c r="GA102" s="17">
        <f>FZ102*VLOOKUP('Données projet'!$B$17,Paramètres!$A$1:$I$89,3,0)*VLOOKUP('Données projet'!$B$17,Paramètres!$A$1:$I$89,5,0)</f>
        <v>-1.4897523215040567E-13</v>
      </c>
      <c r="GB102" s="13" t="e">
        <f t="shared" si="198"/>
        <v>#NUM!</v>
      </c>
      <c r="GC102" s="20" t="e">
        <f t="shared" si="144"/>
        <v>#NUM!</v>
      </c>
      <c r="GD102" s="59" t="e">
        <f t="shared" si="145"/>
        <v>#NUM!</v>
      </c>
      <c r="GE102" s="59">
        <f ca="1">AVERAGE(OFFSET($GD$3,0,0,'Données projet'!$E$17+1,1))-AVERAGE(OFFSET($H$3,0,0,'Données projet'!$E$17+1,1))</f>
        <v>245.1983232777614</v>
      </c>
      <c r="GF102" s="59">
        <f t="shared" si="199"/>
        <v>242.34010522344573</v>
      </c>
      <c r="GG102" s="15">
        <f>IF(ISNA(VLOOKUP(A102,'Données projet'!$A$253:$I$273,3,0)),0,VLOOKUP(A102,'Données projet'!$A$253:$I$273,3,0))</f>
        <v>0</v>
      </c>
      <c r="GH102" s="15">
        <f>IF(ISNA(VLOOKUP(A102,'Données projet'!$A$253:$I$273,4,0)),0,VLOOKUP(A102,'Données projet'!$A$253:$I$273,4,0))</f>
        <v>0</v>
      </c>
      <c r="GI102" s="16">
        <f>IF(ISNA(VLOOKUP(A102,'Données projet'!$A$253:$I$273,5,0)),0%,VLOOKUP(A102,'Données projet'!$A$253:$I$273,5,0)*VLOOKUP('Données projet'!$B$17,Paramètres!$A$1:$I$89,7,0))</f>
        <v>0</v>
      </c>
      <c r="GJ102" s="16">
        <f>IF(ISNA(VLOOKUP(A102,'Données projet'!$A$253:$I$273,6,0)),0%,VLOOKUP(A102,'Données projet'!$A$253:$I$273,6,0)*VLOOKUP('Données projet'!$B$17,Paramètres!$A$1:$I$89,7,0))</f>
        <v>0</v>
      </c>
      <c r="GK102" s="16">
        <f>IF(ISNA(VLOOKUP(A102,'Données projet'!$A$253:$I$273,7,0)),0%,VLOOKUP(A102,'Données projet'!$A$253:$I$273,7,0))</f>
        <v>0</v>
      </c>
      <c r="GL102" s="21">
        <f>EXP(-LN(2)/35)*GL101+(1-EXP(-LN(2)/35))/(LN(2)/35)*GH102*GI102*VLOOKUP('Données projet'!$B$17,Paramètres!$A$1:$I$89,3,0)*0.475*44/12</f>
        <v>84.579738781754642</v>
      </c>
      <c r="GM102" s="21">
        <f>EXP(-LN(2)/25)*GM101+(1-EXP(-LN(2)/25))/(LN(2)/25)*Calculateur!GH102*Calculateur!GJ102*VLOOKUP('Données projet'!$B$17,Paramètres!$A$1:$I$89,3,0)*0.475*44/12</f>
        <v>12.859302682340974</v>
      </c>
      <c r="GN102" s="21">
        <f>EXP(-LN(2)/2)*GN101+(1-EXP(-LN(2)/2))/(LN(2)/2)*GH102*GK102*VLOOKUP('Données projet'!$B$17,Paramètres!$A$1:$I$89,3,0)*0.475*44/12</f>
        <v>0</v>
      </c>
      <c r="GO102" s="21">
        <f t="shared" si="146"/>
        <v>97.439041464095624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projet'!$A$279:$I$299,2,0)</f>
        <v>#N/A</v>
      </c>
      <c r="GS102" s="12" t="e">
        <f>VLOOKUP(A102,'Données projet'!$A$279:$I$299,9,0)</f>
        <v>#N/A</v>
      </c>
      <c r="GT102" s="12">
        <f t="array" ref="GT102">INDEX(GS:GS,MIN(IF(ISNUMBER(GS102:GS298),ROW(GS102:GS298),"")))</f>
        <v>0</v>
      </c>
      <c r="GU102" s="12">
        <f>IF('Données projet'!$A$280&gt;35,GU101+GT102-HC101,IF(A102&lt;'Données projet'!$A$280,$GR$205^A102,IF(A102='Données projet'!$A$280,'Données projet'!$B$280,GU101+GT102-HC101)))</f>
        <v>-1.1368683772161603E-13</v>
      </c>
      <c r="GV102" s="17">
        <f>GU102*VLOOKUP('Données projet'!$B$18,Paramètres!$A$1:$I$89,3,0)*VLOOKUP('Données projet'!$B$18,Paramètres!$A$1:$I$89,5,0)</f>
        <v>-4.5815795601811263E-14</v>
      </c>
      <c r="GW102" s="13" t="e">
        <f t="shared" si="200"/>
        <v>#NUM!</v>
      </c>
      <c r="GX102" s="20" t="e">
        <f t="shared" si="147"/>
        <v>#NUM!</v>
      </c>
      <c r="GY102" s="59" t="e">
        <f t="shared" si="148"/>
        <v>#NUM!</v>
      </c>
      <c r="GZ102" s="59">
        <f ca="1">AVERAGE(OFFSET($GY$3,0,0,'Données projet'!$E$18+1,1))-AVERAGE(OFFSET($H$3,0,0,'Données projet'!$E$18+1,1))</f>
        <v>324.36162935850876</v>
      </c>
      <c r="HA102" s="59">
        <f t="shared" si="201"/>
        <v>265.23571072429735</v>
      </c>
      <c r="HB102" s="15">
        <f>IF(ISNA(VLOOKUP(A102,'Données projet'!$A$279:$I$299,3,0)),0,VLOOKUP(A102,'Données projet'!$A$279:$I$299,3,0))</f>
        <v>0</v>
      </c>
      <c r="HC102" s="15">
        <f>IF(ISNA(VLOOKUP(A102,'Données projet'!$A$279:$I$299,4,0)),0,VLOOKUP(A102,'Données projet'!$A$279:$I$299,4,0))</f>
        <v>0</v>
      </c>
      <c r="HD102" s="16">
        <f>IF(ISNA(VLOOKUP(A102,'Données projet'!$A$279:$I$299,5,0)),0%,VLOOKUP(A102,'Données projet'!$A$279:$I$299,5,0)*VLOOKUP('Données projet'!$B$18,Paramètres!$A$1:$I$89,7,0))</f>
        <v>0</v>
      </c>
      <c r="HE102" s="16">
        <f>IF(ISNA(VLOOKUP(A102,'Données projet'!$A$279:$I$299,6,0)),0%,VLOOKUP(A102,'Données projet'!$A$279:$I$299,6,0)*VLOOKUP('Données projet'!$B$18,Paramètres!$A$1:$I$89,7,0))</f>
        <v>0</v>
      </c>
      <c r="HF102" s="16">
        <f>IF(ISNA(VLOOKUP($A102,'Données projet'!$A$279:$I$299,7,0)),0%,VLOOKUP($A102,'Données projet'!$A$279:$I$299,7,0))</f>
        <v>0</v>
      </c>
      <c r="HG102" s="21">
        <f>EXP(-LN(2)/35)*HG101+(1-EXP(-LN(2)/35))/(LN(2)/35)*HC102*HD102*VLOOKUP('Données projet'!$B$18,Paramètres!$A$1:$I$89,3,0)*0.475*44/12</f>
        <v>162.0768902405178</v>
      </c>
      <c r="HH102" s="21">
        <f>EXP(-LN(2)/25)*HH101+(1-EXP(-LN(2)/25))/(LN(2)/25)*Calculateur!HC102*Calculateur!HE102*VLOOKUP('Données projet'!$B$18,Paramètres!$A$1:$I$89,3,0)*0.475*44/12</f>
        <v>14.301844675498332</v>
      </c>
      <c r="HI102" s="21">
        <f>EXP(-LN(2)/2)*HI101+(1-EXP(-LN(2)/2))/(LN(2)/2)*HC102*HF102*VLOOKUP('Données projet'!$B$18,Paramètres!$A$1:$I$89,3,0)*0.475*44/12</f>
        <v>1.1804277237746186E-2</v>
      </c>
      <c r="HJ102" s="22">
        <f t="shared" si="149"/>
        <v>176.39053919325389</v>
      </c>
      <c r="HK102" s="74">
        <f>('Scénario référence'!$F$8+'Scénario référence'!$F$9+'Scénario référence'!$B$17+'Scénario référence'!$B$9+'Scénario référence'!$B$10)*70+IF((45+25*(1-EXP(-0.0175*$A102)))&lt;70,'Scénario référence'!$B$16*(45+25*(1-EXP(-0.0175*$A102))),70*'Scénario référence'!$B$16)+IF((32+38*(1-EXP(-0.0175*$A102)))&lt;70,'Scénario référence'!$B$18*(32+38*(1-EXP(-0.0175*$A102))),70*'Scénario référence'!$B$18)</f>
        <v>70</v>
      </c>
      <c r="HL102" s="12">
        <f>IF($A102&gt;30,10,('Scénario référence'!$B$16+'Scénario référence'!$B$17+'Scénario référence'!$B$18+'Scénario référence'!$B$9+'Scénario référence'!$B$10)*$A102*10/30+('Scénario référence'!$F$8+'Scénario référence'!$F$9)*10)</f>
        <v>10</v>
      </c>
      <c r="HM102" s="12" t="e">
        <f>VLOOKUP($A102,'Données projet'!$A$304:$I$324,2,0)</f>
        <v>#N/A</v>
      </c>
      <c r="HN102" s="12" t="e">
        <f>VLOOKUP($A102,'Données projet'!$A$304:$I$324,9,0)</f>
        <v>#N/A</v>
      </c>
      <c r="HO102" s="12">
        <f t="array" ref="HO102">INDEX(HN:HN,MIN(IF(ISNUMBER(HN102:HN298),ROW(HN102:HN298),"")))</f>
        <v>0</v>
      </c>
      <c r="HP102" s="12">
        <f>IF('Données projet'!$A$304&gt;35,HP101+HO102-HX101,IF($A102&lt;'Données projet'!$A$304,$CQ$205^$A102,IF($A102='Données projet'!$A$304,'Données projet'!$B$304,HP101+HO102-HX101)))</f>
        <v>0</v>
      </c>
      <c r="HQ102" s="17">
        <f>HP102*VLOOKUP('Données projet'!$B$19,Paramètres!$A$1:$I$89,3,0)*VLOOKUP('Données projet'!$B$19,Paramètres!$A$1:$I$89,5,0)</f>
        <v>0</v>
      </c>
      <c r="HR102" s="13" t="e">
        <f t="shared" si="202"/>
        <v>#NUM!</v>
      </c>
      <c r="HS102" s="14" t="e">
        <f t="shared" si="150"/>
        <v>#NUM!</v>
      </c>
      <c r="HT102" s="59" t="e">
        <f t="shared" si="151"/>
        <v>#NUM!</v>
      </c>
      <c r="HU102" s="59">
        <f ca="1">AVERAGE(OFFSET(HT$3,0,0,'Données projet'!$E$19+1,1))-AVERAGE(OFFSET($H$3,0,0,'Données projet'!$E$19+1,1))</f>
        <v>91.60721429656013</v>
      </c>
      <c r="HV102" s="59">
        <f t="shared" si="203"/>
        <v>258.94957804210856</v>
      </c>
      <c r="HW102" s="15">
        <f>IF(ISNA(VLOOKUP($A102,'Données projet'!$A$304:$I$324,3,0)),0,VLOOKUP($A102,'Données projet'!$A$304:$I$324,3,0))</f>
        <v>0</v>
      </c>
      <c r="HX102" s="15">
        <f>IF(ISNA(VLOOKUP($A102,'Données projet'!$A$304:$I$324,4,0)),0,VLOOKUP($A102,'Données projet'!$A$304:$I$324,4,0))</f>
        <v>0</v>
      </c>
      <c r="HY102" s="16">
        <f>IF(ISNA(VLOOKUP($A102,'Données projet'!$A$304:$I$324,5,0)),0%,VLOOKUP($A102,'Données projet'!$A$304:$I$324,5,0)*VLOOKUP('Données projet'!$B$19,Paramètres!$A$1:$I$89,7,0))</f>
        <v>0</v>
      </c>
      <c r="HZ102" s="16">
        <f>IF(ISNA(VLOOKUP($A102,'Données projet'!$A$304:$I$324,6,0)),0%,VLOOKUP($A102,'Données projet'!$A$304:$I$324,6,0)*VLOOKUP('Données projet'!$B$19,Paramètres!$A$1:$I$89,7,0))</f>
        <v>0</v>
      </c>
      <c r="IA102" s="16">
        <f>IF(ISNA(VLOOKUP($A102,'Données projet'!$A$304:$I$324,7,0)),0%,VLOOKUP($A102,'Données projet'!$A$304:$I$324,7,0))</f>
        <v>0</v>
      </c>
      <c r="IB102" s="21">
        <f>EXP(-LN(2)/35)*IB101+(1-EXP(-LN(2)/35))/(LN(2)/35)*HX102*HY102*VLOOKUP('Données projet'!$B$19,Paramètres!$A$1:$I$89,3,0)*0.475*44/12</f>
        <v>12.579859551201546</v>
      </c>
      <c r="IC102" s="21">
        <f>EXP(-LN(2)/25)*IC101+(1-EXP(-LN(2)/25))/(LN(2)/25)*Calculateur!HX102*Calculateur!HZ102*VLOOKUP('Données projet'!$B$19,Paramètres!$A$1:$I$89,3,0)*0.475*44/12</f>
        <v>1.4360467271141877</v>
      </c>
      <c r="ID102" s="21">
        <f>EXP(-LN(2)/2)*ID101+(1-EXP(-LN(2)/2))/(LN(2)/2)*HX102*IA102*VLOOKUP('Données projet'!$B$19,Paramètres!$A$1:$I$89,3,0)*0.475*44/12</f>
        <v>2.3578046486512563E-11</v>
      </c>
      <c r="IE102" s="22">
        <f t="shared" si="152"/>
        <v>14.01590627833931</v>
      </c>
      <c r="IF102" s="74">
        <f>('Scénario référence'!$F$8+'Scénario référence'!$F$9+'Scénario référence'!$B$17+'Scénario référence'!$B$9+'Scénario référence'!$B$10)*70+IF((45+25*(1-EXP(-0.0175*$A102)))&lt;70,'Scénario référence'!$B$16*(45+25*(1-EXP(-0.0175*$A102))),70*'Scénario référence'!$B$16)+IF((32+38*(1-EXP(-0.0175*$A102)))&lt;70,'Scénario référence'!$B$18*(32+38*(1-EXP(-0.0175*$A102))),70*'Scénario référence'!$B$18)</f>
        <v>70</v>
      </c>
      <c r="IG102" s="12">
        <f>IF($A102&gt;30,10,('Scénario référence'!$B$16+'Scénario référence'!$B$17+'Scénario référence'!$B$18+'Scénario référence'!$B$9+'Scénario référence'!$B$10)*$A102*10/30+('Scénario référence'!$F$8+'Scénario référence'!$F$9)*10)</f>
        <v>10</v>
      </c>
      <c r="IH102" s="12" t="e">
        <f>VLOOKUP($A102,'Données projet'!$A$330:$I$350,2,0)</f>
        <v>#N/A</v>
      </c>
      <c r="II102" s="12" t="e">
        <f>VLOOKUP($A102,'Données projet'!$A$330:$I$350,9,0)</f>
        <v>#N/A</v>
      </c>
      <c r="IJ102" s="12">
        <f t="array" ref="IJ102">INDEX(II:II,MIN(IF(ISNUMBER(II102:II298),ROW(II102:II298),"")))</f>
        <v>0</v>
      </c>
      <c r="IK102" s="12">
        <f>IF('Données projet'!$A$330&gt;35,IK101+IJ102-IS101,IF($A102&lt;'Données projet'!$A$330,$CQ$205^$A102,IF($A102='Données projet'!$A$330,'Données projet'!$B$330,IK101+IJ102-IS101)))</f>
        <v>0</v>
      </c>
      <c r="IL102" s="17">
        <f>IK102*VLOOKUP('Données projet'!$B$20,Paramètres!$A$1:$I$89,3,0)*VLOOKUP('Données projet'!$B$20,Paramètres!$A$1:$I$89,5,0)</f>
        <v>0</v>
      </c>
      <c r="IM102" s="13" t="e">
        <f t="shared" si="204"/>
        <v>#NUM!</v>
      </c>
      <c r="IN102" s="20" t="e">
        <f t="shared" si="153"/>
        <v>#NUM!</v>
      </c>
      <c r="IO102" s="59" t="e">
        <f t="shared" si="154"/>
        <v>#NUM!</v>
      </c>
      <c r="IP102" s="59">
        <f ca="1">AVERAGE(OFFSET(IO$3,0,0,'Données projet'!$E$20+1,1))-AVERAGE(OFFSET($H$3,0,0,'Données projet'!$E$20+1,1))</f>
        <v>91.60721429656013</v>
      </c>
      <c r="IQ102" s="59">
        <f t="shared" si="205"/>
        <v>258.94957804210856</v>
      </c>
      <c r="IR102" s="15">
        <f>IF(ISNA(VLOOKUP($A102,'Données projet'!$A$330:$I$350,3,0)),0,VLOOKUP($A102,'Données projet'!$A$330:$I$350,3,0))</f>
        <v>0</v>
      </c>
      <c r="IS102" s="15">
        <f>IF(ISNA(VLOOKUP($A102,'Données projet'!$A$330:$I$350,4,0)),0,VLOOKUP($A102,'Données projet'!$A$330:$I$350,4,0))</f>
        <v>0</v>
      </c>
      <c r="IT102" s="16">
        <f>IF(ISNA(VLOOKUP($A102,'Données projet'!$A$330:$I$350,5,0)),0%,VLOOKUP($A102,'Données projet'!$A$330:$I$350,5,0)*VLOOKUP('Données projet'!$B$20,Paramètres!$A$1:$I$89,7,0))</f>
        <v>0</v>
      </c>
      <c r="IU102" s="16">
        <f>IF(ISNA(VLOOKUP($A102,'Données projet'!$A$330:$I$350,6,0)),0%,VLOOKUP($A102,'Données projet'!$A$330:$I$350,6,0)*VLOOKUP('Données projet'!$B$20,Paramètres!$A$1:$I$89,7,0))</f>
        <v>0</v>
      </c>
      <c r="IV102" s="16">
        <f>IF(ISNA(VLOOKUP($A102,'Données projet'!$A$330:$I$350,7,0)),0%,VLOOKUP($A102,'Données projet'!$A$330:$I$350,7,0))</f>
        <v>0</v>
      </c>
      <c r="IW102" s="21">
        <f>EXP(-LN(2)/35)*IW101+(1-EXP(-LN(2)/35))/(LN(2)/35)*IS102*IT102*VLOOKUP('Données projet'!$B$20,Paramètres!$A$1:$I$89,3,0)*0.475*44/12</f>
        <v>12.579859551201546</v>
      </c>
      <c r="IX102" s="21">
        <f>EXP(-LN(2)/25)*IX101+(1-EXP(-LN(2)/25))/(LN(2)/25)*Calculateur!IS102*Calculateur!IU102*VLOOKUP('Données projet'!$B$20,Paramètres!$A$1:$I$89,3,0)*0.475*44/12</f>
        <v>1.4360467271141877</v>
      </c>
      <c r="IY102" s="21">
        <f>EXP(-LN(2)/2)*IY101+(1-EXP(-LN(2)/2))/(LN(2)/2)*IS102*IV102*VLOOKUP('Données projet'!$B$20,Paramètres!$A$1:$I$89,3,0)*0.475*44/12</f>
        <v>2.3578046486512563E-11</v>
      </c>
      <c r="IZ102" s="22">
        <f t="shared" si="155"/>
        <v>14.01590627833931</v>
      </c>
      <c r="JA102" s="74">
        <f>('Scénario référence'!$F$8+'Scénario référence'!$F$9+'Scénario référence'!$B$17+'Scénario référence'!$B$9+'Scénario référence'!$B$10)*70+IF((45+25*(1-EXP(-0.0175*$A102)))&lt;70,'Scénario référence'!$B$16*(45+25*(1-EXP(-0.0175*$A102))),70*'Scénario référence'!$B$16)+IF((32+38*(1-EXP(-0.0175*$A102)))&lt;70,'Scénario référence'!$B$18*(32+38*(1-EXP(-0.0175*$A102))),70*'Scénario référence'!$B$18)</f>
        <v>70</v>
      </c>
      <c r="JB102" s="12">
        <f>IF($A102&gt;30,10,('Scénario référence'!$B$16+'Scénario référence'!$B$17+'Scénario référence'!$B$18+'Scénario référence'!$B$9+'Scénario référence'!$B$10)*$A102*10/30+('Scénario référence'!$F$8+'Scénario référence'!$F$9)*10)</f>
        <v>10</v>
      </c>
      <c r="JC102" s="12" t="e">
        <f>VLOOKUP($A102,'Données projet'!$A$356:$I$376,2,0)</f>
        <v>#N/A</v>
      </c>
      <c r="JD102" s="12" t="e">
        <f>VLOOKUP($A102,'Données projet'!$A$356:$I$376,9,0)</f>
        <v>#N/A</v>
      </c>
      <c r="JE102" s="12">
        <f t="array" ref="JE102">INDEX(JD:JD,MIN(IF(ISNUMBER(JD102:JD298),ROW(JD102:JD298),"")))</f>
        <v>4.9000000000000004</v>
      </c>
      <c r="JF102" s="12">
        <f>IF('Données projet'!$A$356&gt;35,JF101+JE102-JN101,IF($A102&lt;'Données projet'!$A$356,$CQ$205^$A102,IF($A102='Données projet'!$A$356,'Données projet'!$B$356,JF101+JE102-JN101)))</f>
        <v>395.09999999999951</v>
      </c>
      <c r="JG102" s="17">
        <f>JF102*VLOOKUP('Données projet'!$B$21,Paramètres!$A$1:$I$89,3,0)*VLOOKUP('Données projet'!$B$21,Paramètres!$A$1:$I$89,5,0)</f>
        <v>320.50511999999964</v>
      </c>
      <c r="JH102" s="13">
        <f t="shared" si="206"/>
        <v>75.458444052565497</v>
      </c>
      <c r="JI102" s="20">
        <f t="shared" si="156"/>
        <v>689.63654072488418</v>
      </c>
      <c r="JJ102" s="59">
        <f t="shared" si="157"/>
        <v>982.96987405821756</v>
      </c>
      <c r="JK102" s="59">
        <f ca="1">AVERAGE(OFFSET($JJ$3,0,0,'Données projet'!$E$22+1,1))-AVERAGE(OFFSET($H$3,0,0,'Données projet'!$E$22+1,1))</f>
        <v>353.35574633294613</v>
      </c>
      <c r="JL102" s="59">
        <f t="shared" si="207"/>
        <v>170.36796666474726</v>
      </c>
      <c r="JM102" s="15">
        <f>IF(ISNA(VLOOKUP($A102,'Données projet'!$A$356:$I$376,3,0)),0,VLOOKUP($A102,'Données projet'!$A$356:$I$376,3,0))</f>
        <v>0</v>
      </c>
      <c r="JN102" s="15">
        <f>IF(ISNA(VLOOKUP($A102,'Données projet'!$A$356:$I$376,4,0)),0,VLOOKUP($A102,'Données projet'!$A$356:$I$376,4,0))</f>
        <v>0</v>
      </c>
      <c r="JO102" s="16">
        <f>IF(ISNA(VLOOKUP($A102,'Données projet'!$A$356:$I$376,5,0)),0%,VLOOKUP($A102,'Données projet'!$A$356:$I$376,5,0)*VLOOKUP('Données projet'!$B$21,Paramètres!$A$1:$I$89,7,0))</f>
        <v>0</v>
      </c>
      <c r="JP102" s="16">
        <f>IF(ISNA(VLOOKUP($A102,'Données projet'!$A$356:$I$376,6,0)),0%,VLOOKUP($A102,'Données projet'!$A$356:$I$376,6,0)*VLOOKUP('Données projet'!$B$21,Paramètres!$A$1:$I$89,7,0))</f>
        <v>0</v>
      </c>
      <c r="JQ102" s="16">
        <f>IF(ISNA(VLOOKUP($A102,'Données projet'!$A$356:$I$376,7,0)),0%,VLOOKUP($A102,'Données projet'!$A$356:$I$376,7,0))</f>
        <v>0</v>
      </c>
      <c r="JR102" s="21">
        <f>EXP(-LN(2)/35)*JR101+(1-EXP(-LN(2)/35))/(LN(2)/35)*JN102*JO102*VLOOKUP('Données projet'!$B$21,Paramètres!$A$1:$I$89,3,0)*0.475*44/12</f>
        <v>2.2512572321680877</v>
      </c>
      <c r="JS102" s="21">
        <f>EXP(-LN(2)/25)*JS101+(1-EXP(-LN(2)/25))/(LN(2)/25)*Calculateur!JN102*Calculateur!JP102*VLOOKUP('Données projet'!$B$21,Paramètres!$A$1:$I$89,3,0)*0.475*44/12</f>
        <v>13.520371711045517</v>
      </c>
      <c r="JT102" s="21">
        <f>EXP(-LN(2)/2)*JT101+(1-EXP(-LN(2)/2))/(LN(2)/2)*JN102*JQ102*VLOOKUP('Données projet'!$B$21,Paramètres!$A$1:$I$89,3,0)*0.475*44/12</f>
        <v>0.27462670303296427</v>
      </c>
      <c r="JU102" s="18">
        <f t="shared" si="158"/>
        <v>16.046255646246568</v>
      </c>
      <c r="JV102" s="74">
        <f>('Scénario référence'!$F$8+'Scénario référence'!$F$9+'Scénario référence'!$B$17+'Scénario référence'!$B$9+'Scénario référence'!$B$10)*70+IF((45+25*(1-EXP(-0.0175*$A102)))&lt;70,'Scénario référence'!$B$16*(45+25*(1-EXP(-0.0175*$A102))),70*'Scénario référence'!$B$16)+IF((32+38*(1-EXP(-0.0175*$A102)))&lt;70,'Scénario référence'!$B$18*(32+38*(1-EXP(-0.0175*$A102))),70*'Scénario référence'!$B$18)</f>
        <v>70</v>
      </c>
      <c r="JW102" s="12">
        <f>IF($A102&gt;30,10,('Scénario référence'!$B$16+'Scénario référence'!$B$17+'Scénario référence'!$B$18+'Scénario référence'!$B$9+'Scénario référence'!$B$10)*$A102*10/30+('Scénario référence'!$F$8+'Scénario référence'!$F$9)*10)</f>
        <v>10</v>
      </c>
      <c r="JX102" s="12">
        <f>VLOOKUP($A102,'Données projet'!$A$382:$I$402,2,0)</f>
        <v>318.25</v>
      </c>
      <c r="JY102" s="12">
        <f>VLOOKUP($A102,'Données projet'!$A$382:$I$402,9,0)</f>
        <v>7.1782051282051267</v>
      </c>
      <c r="JZ102" s="12">
        <f t="array" ref="JZ102">INDEX(JY:JY,MIN(IF(ISNUMBER(JY102:JY298),ROW(JY102:JY298),"")))</f>
        <v>7.1782051282051267</v>
      </c>
      <c r="KA102" s="12">
        <f>IF('Données projet'!$A$382&gt;35,KA101+JZ102-KI101,IF($A102&lt;'Données projet'!$A$382,$CQ$205^$A102,IF($A102='Données projet'!$A$382,'Données projet'!$B$382,KA101+JZ102-KI101)))</f>
        <v>318.25000000000045</v>
      </c>
      <c r="KB102" s="17">
        <f>KA102*VLOOKUP('Données projet'!$B$22,Paramètres!$A$1:$I$89,3,0)*VLOOKUP('Données projet'!$B$22,Paramètres!$A$1:$I$89,5,0)</f>
        <v>213.48210000000032</v>
      </c>
      <c r="KC102" s="13">
        <f t="shared" si="208"/>
        <v>52.695782324643616</v>
      </c>
      <c r="KD102" s="20">
        <f t="shared" si="159"/>
        <v>463.59314504875482</v>
      </c>
      <c r="KE102" s="59">
        <f t="shared" si="160"/>
        <v>756.92647838208813</v>
      </c>
      <c r="KF102" s="59">
        <f ca="1">AVERAGE(OFFSET($KE$3,0,0,'Données projet'!$E$22+1,1))-AVERAGE(OFFSET($H$3,0,0,'Données projet'!$E$22+1,1))</f>
        <v>193.91714772848269</v>
      </c>
      <c r="KG102" s="59">
        <f t="shared" si="209"/>
        <v>159.20429420478047</v>
      </c>
      <c r="KH102" s="15">
        <f>IF(ISNA(VLOOKUP($A102,'Données projet'!$A$382:$I$402,3,0)),0,VLOOKUP($A102,'Données projet'!$A$382:$I$402,3,0))</f>
        <v>9</v>
      </c>
      <c r="KI102" s="15">
        <f>IF(ISNA(VLOOKUP($A102,'Données projet'!$A$382:$I$402,4,0)),0,VLOOKUP($A102,'Données projet'!$A$382:$I$402,4,0))</f>
        <v>48.019230769230766</v>
      </c>
      <c r="KJ102" s="16">
        <f>IF(ISNA(VLOOKUP($A102,'Données projet'!$A$382:$I$402,5,0)),0%,VLOOKUP($A102,'Données projet'!$A$382:$I$402,5,0)*VLOOKUP('Données projet'!$B$22,Paramètres!$A$1:$I$89,7,0))</f>
        <v>0.371</v>
      </c>
      <c r="KK102" s="16">
        <f>IF(ISNA(VLOOKUP($A102,'Données projet'!$A$382:$I$402,6,0)),0%,VLOOKUP($A102,'Données projet'!$A$382:$I$402,6,0)*VLOOKUP('Données projet'!$B$22,Paramètres!$A$1:$I$89,7,0))</f>
        <v>0</v>
      </c>
      <c r="KL102" s="16">
        <f>IF(ISNA(VLOOKUP($A102,'Données projet'!$A$382:$I$402,7,0)),0%,VLOOKUP($A102,'Données projet'!$A$382:$I$402,7,0))</f>
        <v>0</v>
      </c>
      <c r="KM102" s="21">
        <f>EXP(-LN(2)/35)*KM101+(1-EXP(-LN(2)/35))/(LN(2)/35)*KI102*KJ102*VLOOKUP('Données projet'!$B$22,Paramètres!$A$1:$I$89,3,0)*0.475*44/12</f>
        <v>44.907863518100982</v>
      </c>
      <c r="KN102" s="21">
        <f>EXP(-LN(2)/25)*KN101+(1-EXP(-LN(2)/25))/(LN(2)/25)*Calculateur!KI102*Calculateur!KK102*VLOOKUP('Données projet'!$B$22,Paramètres!$A$1:$I$89,3,0)*0.475*44/12</f>
        <v>0</v>
      </c>
      <c r="KO102" s="21">
        <f>EXP(-LN(2)/2)*KO101+(1-EXP(-LN(2)/2))/(LN(2)/2)*KI102*KL102*VLOOKUP('Données projet'!$B$22,Paramètres!$A$1:$I$89,3,0)*0.475*44/12</f>
        <v>0</v>
      </c>
      <c r="KP102" s="22">
        <f t="shared" si="161"/>
        <v>44.907863518100982</v>
      </c>
      <c r="KQ102" s="74">
        <f>('Scénario référence'!$F$8+'Scénario référence'!$F$9+'Scénario référence'!$B$17+'Scénario référence'!$B$9+'Scénario référence'!$B$10)*70+IF((45+25*(1-EXP(-0.0175*$A102)))&lt;70,'Scénario référence'!$B$16*(45+25*(1-EXP(-0.0175*$A102))),70*'Scénario référence'!$B$16)+IF((32+38*(1-EXP(-0.0175*$A102)))&lt;70,'Scénario référence'!$B$18*(32+38*(1-EXP(-0.0175*$A102))),70*'Scénario référence'!$B$18)</f>
        <v>70</v>
      </c>
      <c r="KR102" s="12">
        <f>IF($A102&gt;30,10,('Scénario référence'!$B$16+'Scénario référence'!$B$17+'Scénario référence'!$B$18+'Scénario référence'!$B$9+'Scénario référence'!$B$10)*$A102*10/30+('Scénario référence'!$F$8+'Scénario référence'!$F$9)*10)</f>
        <v>10</v>
      </c>
      <c r="KS102" s="12" t="e">
        <f>VLOOKUP($A102,'Données projet'!$A$408:$I$428,2,0)</f>
        <v>#N/A</v>
      </c>
      <c r="KT102" s="12" t="e">
        <f>VLOOKUP($A102,'Données projet'!$A$408:$I$428,9,0)</f>
        <v>#N/A</v>
      </c>
      <c r="KU102" s="12">
        <f t="array" ref="KU102">INDEX(KT:KT,MIN(IF(ISNUMBER(KT102:KT298),ROW(KT102:KT298),"")))</f>
        <v>0</v>
      </c>
      <c r="KV102" s="12">
        <f>IF('Données projet'!$A$408&gt;35,KV101+KU102-LD101,IF($A102&lt;'Données projet'!$A$408,$CQ$205^$A102,IF($A102='Données projet'!$A$408,'Données projet'!$B$408,KV101+KU102-LD101)))</f>
        <v>-1.1368683772161603E-13</v>
      </c>
      <c r="KW102" s="17">
        <f>KV102*VLOOKUP('Données projet'!$B$23,Paramètres!$A$1:$I$89,3,0)*VLOOKUP('Données projet'!$B$23,Paramètres!$A$1:$I$89,5,0)</f>
        <v>-9.9316821433603781E-14</v>
      </c>
      <c r="KX102" s="13" t="e">
        <f t="shared" si="210"/>
        <v>#NUM!</v>
      </c>
      <c r="KY102" s="14" t="e">
        <f t="shared" si="162"/>
        <v>#NUM!</v>
      </c>
      <c r="KZ102" s="59" t="e">
        <f t="shared" si="163"/>
        <v>#NUM!</v>
      </c>
      <c r="LA102" s="59">
        <f ca="1">AVERAGE(OFFSET($KZ$3,0,0,'Données projet'!$E$23+1,1))-AVERAGE(OFFSET($H$3,0,0,'Données projet'!$E$23+1,1))</f>
        <v>248.33596943633819</v>
      </c>
      <c r="LB102" s="59">
        <f t="shared" si="211"/>
        <v>242.34010522344573</v>
      </c>
      <c r="LC102" s="15">
        <f>IF(ISNA(VLOOKUP($A102,'Données projet'!$A$408:$I$428,3,0)),0,VLOOKUP($A102,'Données projet'!$A$408:$I$428,3,0))</f>
        <v>0</v>
      </c>
      <c r="LD102" s="15">
        <f>IF(ISNA(VLOOKUP($A102,'Données projet'!$A$408:$I$428,4,0)),0,VLOOKUP($A102,'Données projet'!$A$408:$I$428,4,0))</f>
        <v>0</v>
      </c>
      <c r="LE102" s="16">
        <f>IF(ISNA(VLOOKUP($A102,'Données projet'!$A$408:$I$428,5,0)),0%,VLOOKUP($A102,'Données projet'!$A$408:$I$428,5,0)*VLOOKUP('Données projet'!$B$23,Paramètres!$A$1:$I$89,7,0))</f>
        <v>0</v>
      </c>
      <c r="LF102" s="16">
        <f>IF(ISNA(VLOOKUP($A102,'Données projet'!$A$408:$I$428,6,0)),0%,VLOOKUP($A102,'Données projet'!$A$408:$I$428,6,0)*VLOOKUP('Données projet'!$B$23,Paramètres!$A$1:$I$89,7,0))</f>
        <v>0</v>
      </c>
      <c r="LG102" s="16">
        <f>IF(ISNA(VLOOKUP($A102,'Données projet'!$A$408:$I$428,7,0)),0%,VLOOKUP($A102,'Données projet'!$A$408:$I$428,7,0))</f>
        <v>0</v>
      </c>
      <c r="LH102" s="21">
        <f>EXP(-LN(2)/35)*LH101+(1-EXP(-LN(2)/35))/(LN(2)/35)*LD102*LE102*VLOOKUP('Données projet'!$B$23,Paramètres!$A$1:$I$89,3,0)*0.475*44/12</f>
        <v>84.579738781754642</v>
      </c>
      <c r="LI102" s="21">
        <f>EXP(-LN(2)/25)*LI101+(1-EXP(-LN(2)/25))/(LN(2)/25)*Calculateur!LD102*Calculateur!LF102*VLOOKUP('Données projet'!$B$23,Paramètres!$A$1:$I$89,3,0)*0.475*44/12</f>
        <v>12.859302682340974</v>
      </c>
      <c r="LJ102" s="21">
        <f>EXP(-LN(2)/2)*LJ101+(1-EXP(-LN(2)/2))/(LN(2)/2)*LD102*LG102*VLOOKUP('Données projet'!$B$23,Paramètres!$A$1:$I$89,3,0)*0.475*44/12</f>
        <v>0</v>
      </c>
      <c r="LK102" s="22">
        <f t="shared" si="164"/>
        <v>97.439041464095624</v>
      </c>
      <c r="LL102" s="74">
        <f>('Scénario référence'!$F$8+'Scénario référence'!$F$9+'Scénario référence'!$B$17+'Scénario référence'!$B$9+'Scénario référence'!$B$10)*70+IF((45+25*(1-EXP(-0.0175*$A102)))&lt;70,'Scénario référence'!$B$16*(45+25*(1-EXP(-0.0175*$A102))),70*'Scénario référence'!$B$16)+IF((32+38*(1-EXP(-0.0175*$A102)))&lt;70,'Scénario référence'!$B$18*(32+38*(1-EXP(-0.0175*$A102))),70*'Scénario référence'!$B$18)</f>
        <v>70</v>
      </c>
      <c r="LM102" s="12">
        <f>IF($A102&gt;30,10,('Scénario référence'!$B$16+'Scénario référence'!$B$17+'Scénario référence'!$B$18+'Scénario référence'!$B$9+'Scénario référence'!$B$10)*$A102*10/30+('Scénario référence'!$F$8+'Scénario référence'!$F$9)*10)</f>
        <v>10</v>
      </c>
      <c r="LN102" s="12" t="e">
        <f>VLOOKUP($A102,'Données projet'!$A$434:$I$454,2,0)</f>
        <v>#N/A</v>
      </c>
      <c r="LO102" s="12" t="e">
        <f>VLOOKUP($A102,'Données projet'!$A$434:$I$454,9,0)</f>
        <v>#N/A</v>
      </c>
      <c r="LP102" s="12">
        <f t="array" ref="LP102">INDEX(LO:LO,MIN(IF(ISNUMBER(LO102:LO298),ROW(LO102:LO298),"")))</f>
        <v>5.2583333333333373</v>
      </c>
      <c r="LQ102" s="12">
        <f>IF('Données projet'!$A$434&gt;35,LQ101+LP102-LY101,IF($A102&lt;'Données projet'!$A$434,$CQ$205^$A102,IF($A102='Données projet'!$A$434,'Données projet'!$B$434,LQ101+LP102-LY101)))</f>
        <v>213.73589743589716</v>
      </c>
      <c r="LR102" s="17">
        <f>LQ102*VLOOKUP('Données projet'!$B$24,Paramètres!$A$1:$I$89,3,0)*VLOOKUP('Données projet'!$B$24,Paramètres!$A$1:$I$89,5,0)</f>
        <v>216.72819999999976</v>
      </c>
      <c r="LS102" s="13">
        <f t="shared" si="212"/>
        <v>53.403157228900795</v>
      </c>
      <c r="LT102" s="14">
        <f t="shared" si="165"/>
        <v>470.47878050700183</v>
      </c>
      <c r="LU102" s="59">
        <f t="shared" si="166"/>
        <v>763.81211384033509</v>
      </c>
      <c r="LV102" s="59">
        <f ca="1">AVERAGE(OFFSET($LU$3,0,0,'Données projet'!$E$24+1,1))-AVERAGE(OFFSET($H$3,0,0,'Données projet'!$E$24+1,1))</f>
        <v>260.52627655062872</v>
      </c>
      <c r="LW102" s="59">
        <f t="shared" si="213"/>
        <v>159.20429420478047</v>
      </c>
      <c r="LX102" s="15">
        <f>IF(ISNA(VLOOKUP($A102,'Données projet'!$A$434:$I$454,3,0)),0,VLOOKUP($A102,'Données projet'!$A$434:$I$454,3,0))</f>
        <v>0</v>
      </c>
      <c r="LY102" s="15">
        <f>IF(ISNA(VLOOKUP($A102,'Données projet'!$A$434:$I$454,4,0)),0,VLOOKUP($A102,'Données projet'!$A$434:$I$454,4,0))</f>
        <v>0</v>
      </c>
      <c r="LZ102" s="16">
        <f>IF(ISNA(VLOOKUP($A102,'Données projet'!$A$434:$I$454,5,0)),0%,VLOOKUP($A102,'Données projet'!$A$434:$I$454,5,0)*VLOOKUP('Données projet'!$B$24,Paramètres!$A$1:$I$89,7,0))</f>
        <v>0</v>
      </c>
      <c r="MA102" s="16">
        <f>IF(ISNA(VLOOKUP($A102,'Données projet'!$A$434:$I$454,6,0)),0%,VLOOKUP($A102,'Données projet'!$A$434:$I$454,6,0)*VLOOKUP('Données projet'!$B$24,Paramètres!$A$1:$I$89,7,0))</f>
        <v>0</v>
      </c>
      <c r="MB102" s="16">
        <f>IF(ISNA(VLOOKUP($A102,'Données projet'!$A$434:$I$454,7,0)),0%,VLOOKUP($A102,'Données projet'!$A$434:$I$454,7,0))</f>
        <v>0</v>
      </c>
      <c r="MC102" s="21">
        <f>EXP(-LN(2)/35)*MC101+(1-EXP(-LN(2)/35))/(LN(2)/35)*LY102*LZ102*VLOOKUP('Données projet'!$B$24,Paramètres!$A$1:$I$89,3,0)*0.475*44/12</f>
        <v>24.293341714402292</v>
      </c>
      <c r="MD102" s="21">
        <f>EXP(-LN(2)/25)*MD101+(1-EXP(-LN(2)/25))/(LN(2)/25)*Calculateur!LY102*Calculateur!MA102*VLOOKUP('Données projet'!$B$24,Paramètres!$A$1:$I$89,3,0)*0.475*44/12</f>
        <v>0</v>
      </c>
      <c r="ME102" s="21">
        <f>EXP(-LN(2)/2)*ME101+(1-EXP(-LN(2)/2))/(LN(2)/2)*LY102*MB102*VLOOKUP('Données projet'!$B$24,Paramètres!$A$1:$I$89,3,0)*0.475*44/12</f>
        <v>0</v>
      </c>
      <c r="MF102" s="22">
        <f t="shared" si="167"/>
        <v>24.293341714402292</v>
      </c>
      <c r="MG102" s="74">
        <f>('Scénario référence'!$F$8+'Scénario référence'!$F$9+'Scénario référence'!$B$17+'Scénario référence'!$B$9+'Scénario référence'!$B$10)*70+IF((45+25*(1-EXP(-0.0175*$A102)))&lt;70,'Scénario référence'!$B$16*(45+25*(1-EXP(-0.0175*$A102))),70*'Scénario référence'!$B$16)+IF((32+38*(1-EXP(-0.0175*$A102)))&lt;70,'Scénario référence'!$B$18*(32+38*(1-EXP(-0.0175*$A102))),70*'Scénario référence'!$B$18)</f>
        <v>70</v>
      </c>
      <c r="MH102" s="12">
        <f>IF($A102&gt;30,10,('Scénario référence'!$B$16+'Scénario référence'!$B$17+'Scénario référence'!$B$18+'Scénario référence'!$B$9+'Scénario référence'!$B$10)*$A102*10/30+('Scénario référence'!$F$8+'Scénario référence'!$F$9)*10)</f>
        <v>10</v>
      </c>
      <c r="MI102" s="12" t="e">
        <f>VLOOKUP($A102,'Données projet'!$A$460:$I$480,2,0)</f>
        <v>#N/A</v>
      </c>
      <c r="MJ102" s="12" t="e">
        <f>VLOOKUP($A102,'Données projet'!$A$460:$I$480,9,0)</f>
        <v>#N/A</v>
      </c>
      <c r="MK102" s="12">
        <f t="array" ref="MK102">INDEX(MJ:MJ,MIN(IF(ISNUMBER(MJ102:MJ298),ROW(MJ102:MJ298),"")))</f>
        <v>0</v>
      </c>
      <c r="ML102" s="12">
        <f>IF('Données projet'!$A$460&gt;35,ML101+MK102-MT101,IF($A102&lt;'Données projet'!$A$460,$CQ$205^$A102,IF($A102='Données projet'!$A$460,'Données projet'!$B$460,ML101+MK102-MT101)))</f>
        <v>0</v>
      </c>
      <c r="MM102" s="17" t="e">
        <f>ML102*VLOOKUP('Données projet'!$B$25,Paramètres!$A$1:$I$89,3,0)*VLOOKUP('Données projet'!$B$25,Paramètres!$A$1:$I$89,5,0)</f>
        <v>#N/A</v>
      </c>
      <c r="MN102" s="13" t="e">
        <f t="shared" si="214"/>
        <v>#N/A</v>
      </c>
      <c r="MO102" s="14" t="e">
        <f t="shared" si="168"/>
        <v>#N/A</v>
      </c>
      <c r="MP102" s="59" t="e">
        <f t="shared" si="169"/>
        <v>#N/A</v>
      </c>
      <c r="MQ102" s="20" t="e">
        <f ca="1">AVERAGE(OFFSET($MP$3,0,0,'Données projet'!$E$25+1,1))-AVERAGE(OFFSET($H$3,0,0,'Données projet'!$E$25+1,1))</f>
        <v>#N/A</v>
      </c>
      <c r="MR102" s="59" t="e">
        <f t="shared" si="215"/>
        <v>#N/A</v>
      </c>
      <c r="MS102" s="15">
        <f>IF(ISNA(VLOOKUP($A102,'Données projet'!$A$460:$I$480,3,0)),0,VLOOKUP($A102,'Données projet'!$A$460:$I$480,3,0))</f>
        <v>0</v>
      </c>
      <c r="MT102" s="15">
        <f>IF(ISNA(VLOOKUP($A102,'Données projet'!$A$460:$I$480,4,0)),0,VLOOKUP($A102,'Données projet'!$A$460:$I$480,4,0))</f>
        <v>0</v>
      </c>
      <c r="MU102" s="16">
        <f>IF(ISNA(VLOOKUP($A102,'Données projet'!$A$460:$I$480,5,0)),0%,VLOOKUP($A102,'Données projet'!$A$460:$I$480,5,0)*VLOOKUP('Données projet'!$B$25,Paramètres!$A$1:$I$89,7,0))</f>
        <v>0</v>
      </c>
      <c r="MV102" s="16">
        <f>IF(ISNA(VLOOKUP($A102,'Données projet'!$A$460:$I$480,6,0)),0%,VLOOKUP($A102,'Données projet'!$A$460:$I$480,6,0)*VLOOKUP('Données projet'!$B$25,Paramètres!$A$1:$I$89,7,0))</f>
        <v>0</v>
      </c>
      <c r="MW102" s="16">
        <f>IF(ISNA(VLOOKUP($A102,'Données projet'!$A$460:$I$480,7,0)),0%,VLOOKUP($A102,'Données projet'!$A$460:$I$480,7,0))</f>
        <v>0</v>
      </c>
      <c r="MX102" s="21" t="e">
        <f>EXP(-LN(2)/35)*MX101+(1-EXP(-LN(2)/35))/(LN(2)/35)*MT102*MU102*VLOOKUP('Données projet'!$B$25,Paramètres!$A$1:$I$89,3,0)*0.475*44/12</f>
        <v>#N/A</v>
      </c>
      <c r="MY102" s="21" t="e">
        <f>EXP(-LN(2)/25)*MY101+(1-EXP(-LN(2)/25))/(LN(2)/25)*Calculateur!MT102*Calculateur!MV102*VLOOKUP('Données projet'!$B$25,Paramètres!$A$1:$I$89,3,0)*0.475*44/12</f>
        <v>#N/A</v>
      </c>
      <c r="MZ102" s="21" t="e">
        <f>EXP(-LN(2)/2)*MZ101+(1-EXP(-LN(2)/2))/(LN(2)/2)*MT102*MW102*VLOOKUP('Données projet'!$B$25,Paramètres!$A$1:$I$89,3,0)*0.475*44/12</f>
        <v>#N/A</v>
      </c>
      <c r="NA102" s="22" t="e">
        <f t="shared" si="170"/>
        <v>#N/A</v>
      </c>
      <c r="NB102" s="74">
        <f>('Scénario référence'!$F$8+'Scénario référence'!$F$9+'Scénario référence'!$B$17+'Scénario référence'!$B$9+'Scénario référence'!$B$10)*70+IF((45+25*(1-EXP(-0.0175*$A102)))&lt;70,'Scénario référence'!$B$16*(45+25*(1-EXP(-0.0175*$A102))),70*'Scénario référence'!$B$16)+IF((32+38*(1-EXP(-0.0175*$A102)))&lt;70,'Scénario référence'!$B$18*(32+38*(1-EXP(-0.0175*$A102))),70*'Scénario référence'!$B$18)</f>
        <v>70</v>
      </c>
      <c r="NC102" s="12">
        <f>IF($A102&gt;30,10,('Scénario référence'!$B$16+'Scénario référence'!$B$17+'Scénario référence'!$B$18+'Scénario référence'!$B$9+'Scénario référence'!$B$10)*$A102*10/30+('Scénario référence'!$F$8+'Scénario référence'!$F$9)*10)</f>
        <v>10</v>
      </c>
      <c r="ND102" s="12" t="e">
        <f>VLOOKUP($A102,'Données projet'!$A$486:$I$506,2,0)</f>
        <v>#N/A</v>
      </c>
      <c r="NE102" s="12" t="e">
        <f>VLOOKUP($A102,'Données projet'!$A$486:$I$506,9,0)</f>
        <v>#N/A</v>
      </c>
      <c r="NF102" s="12">
        <f t="array" ref="NF102">INDEX(NE:NE,MIN(IF(ISNUMBER(NE102:NE298),ROW(NE102:NE298),"")))</f>
        <v>0</v>
      </c>
      <c r="NG102" s="12">
        <f>IF('Données projet'!$A$486&gt;35,NG101+NF102-NO101,IF($A102&lt;'Données projet'!$A$486,$CQ$205^$A102,IF($A102='Données projet'!$A$486,'Données projet'!$B$486,NG101+NF102-NO101)))</f>
        <v>0</v>
      </c>
      <c r="NH102" s="17" t="e">
        <f>NG102*VLOOKUP('Données projet'!$B$26,Paramètres!$A$1:$I$89,3,0)*VLOOKUP('Données projet'!$B$26,Paramètres!$A$1:$I$89,5,0)</f>
        <v>#N/A</v>
      </c>
      <c r="NI102" s="13" t="e">
        <f t="shared" si="216"/>
        <v>#N/A</v>
      </c>
      <c r="NJ102" s="14" t="e">
        <f t="shared" si="171"/>
        <v>#N/A</v>
      </c>
      <c r="NK102" s="59" t="e">
        <f t="shared" si="172"/>
        <v>#N/A</v>
      </c>
      <c r="NL102" s="20" t="e">
        <f ca="1">AVERAGE(OFFSET($NK$3,0,0,'Données projet'!$E$26+1,1))-AVERAGE(OFFSET($H$3,0,0,'Données projet'!$E$26+1,1))</f>
        <v>#N/A</v>
      </c>
      <c r="NM102" s="59" t="e">
        <f t="shared" si="217"/>
        <v>#N/A</v>
      </c>
      <c r="NN102" s="15">
        <f>IF(ISNA(VLOOKUP($A102,'Données projet'!$A$486:$I$506,3,0)),0,VLOOKUP($A102,'Données projet'!$A$486:$I$506,3,0))</f>
        <v>0</v>
      </c>
      <c r="NO102" s="15">
        <f>IF(ISNA(VLOOKUP($A102,'Données projet'!$A$486:$I$506,4,0)),0,VLOOKUP($A102,'Données projet'!$A$486:$I$506,4,0))</f>
        <v>0</v>
      </c>
      <c r="NP102" s="16">
        <f>IF(ISNA(VLOOKUP($A102,'Données projet'!$A$486:$I$506,5,0)),0%,VLOOKUP($A102,'Données projet'!$A$486:$I$506,5,0)*VLOOKUP('Données projet'!$B$26,Paramètres!$A$1:$I$89,7,0))</f>
        <v>0</v>
      </c>
      <c r="NQ102" s="16">
        <f>IF(ISNA(VLOOKUP($A102,'Données projet'!$A$486:$I$506,6,0)),0%,VLOOKUP($A102,'Données projet'!$A$486:$I$506,6,0)*VLOOKUP('Données projet'!$B$26,Paramètres!$A$1:$I$89,7,0))</f>
        <v>0</v>
      </c>
      <c r="NR102" s="16">
        <f>IF(ISNA(VLOOKUP($A102,'Données projet'!$A$486:$I$506,7,0)),0%,VLOOKUP($A102,'Données projet'!$A$486:$I$506,7,0))</f>
        <v>0</v>
      </c>
      <c r="NS102" s="21" t="e">
        <f>EXP(-LN(2)/35)*NS101+(1-EXP(-LN(2)/35))/(LN(2)/35)*NO102*NP102*VLOOKUP('Données projet'!$B$26,Paramètres!$A$1:$I$89,3,0)*0.475*44/12</f>
        <v>#N/A</v>
      </c>
      <c r="NT102" s="21" t="e">
        <f>EXP(-LN(2)/25)*NT101+(1-EXP(-LN(2)/25))/(LN(2)/25)*Calculateur!NO102*Calculateur!NQ102*VLOOKUP('Données projet'!$B$26,Paramètres!$A$1:$I$89,3,0)*0.475*44/12</f>
        <v>#N/A</v>
      </c>
      <c r="NU102" s="21" t="e">
        <f>EXP(-LN(2)/2)*NU101+(1-EXP(-LN(2)/2))/(LN(2)/2)*NO102*NR102*VLOOKUP('Données projet'!$B$26,Paramètres!$A$1:$I$89,3,0)*0.475*44/12</f>
        <v>#N/A</v>
      </c>
      <c r="NV102" s="22" t="e">
        <f t="shared" si="173"/>
        <v>#N/A</v>
      </c>
      <c r="NW102" s="74">
        <f>('Scénario référence'!$F$8+'Scénario référence'!$F$9+'Scénario référence'!$B$17+'Scénario référence'!$B$9+'Scénario référence'!$B$10)*70+IF((45+25*(1-EXP(-0.0175*$A102)))&lt;70,'Scénario référence'!$B$16*(45+25*(1-EXP(-0.0175*$A102))),70*'Scénario référence'!$B$16)+IF((32+38*(1-EXP(-0.0175*$A102)))&lt;70,'Scénario référence'!$B$18*(32+38*(1-EXP(-0.0175*$A102))),70*'Scénario référence'!$B$18)</f>
        <v>70</v>
      </c>
      <c r="NX102" s="12">
        <f>IF($A102&gt;30,10,('Scénario référence'!$B$16+'Scénario référence'!$B$17+'Scénario référence'!$B$18+'Scénario référence'!$B$9+'Scénario référence'!$B$10)*$A102*10/30+('Scénario référence'!$F$8+'Scénario référence'!$F$9)*10)</f>
        <v>10</v>
      </c>
      <c r="NY102" s="12" t="e">
        <f>VLOOKUP($A102,'Données projet'!$A$512:$I$532,2,0)</f>
        <v>#N/A</v>
      </c>
      <c r="NZ102" s="12" t="e">
        <f>VLOOKUP($A102,'Données projet'!$A$512:$I$532,9,0)</f>
        <v>#N/A</v>
      </c>
      <c r="OA102" s="12">
        <f t="array" ref="OA102">INDEX(NZ:NZ,MIN(IF(ISNUMBER(NZ102:NZ298),ROW(NZ102:NZ298),"")))</f>
        <v>0</v>
      </c>
      <c r="OB102" s="12">
        <f>IF('Données projet'!$A$512&gt;35,OB101+OA102-OJ101,IF($A102&lt;'Données projet'!$A$512,$CQ$205^$A102,IF($A102='Données projet'!$A$512,'Données projet'!$B$512,OB101+OA102-OJ101)))</f>
        <v>0</v>
      </c>
      <c r="OC102" s="17" t="e">
        <f>OB102*VLOOKUP('Données projet'!$B$27,Paramètres!$A$1:$I$89,3,0)*VLOOKUP('Données projet'!$B$27,Paramètres!$A$1:$I$89,5,0)</f>
        <v>#N/A</v>
      </c>
      <c r="OD102" s="13" t="e">
        <f t="shared" si="218"/>
        <v>#N/A</v>
      </c>
      <c r="OE102" s="14" t="e">
        <f t="shared" si="174"/>
        <v>#N/A</v>
      </c>
      <c r="OF102" s="59" t="e">
        <f t="shared" si="175"/>
        <v>#N/A</v>
      </c>
      <c r="OG102" s="20" t="e">
        <f ca="1">AVERAGE(OFFSET($OF$3,0,0,'Données projet'!$E$27+1,1))-AVERAGE(OFFSET($H$3,0,0,'Données projet'!$E$27+1,1))</f>
        <v>#N/A</v>
      </c>
      <c r="OH102" s="59" t="e">
        <f t="shared" si="219"/>
        <v>#N/A</v>
      </c>
      <c r="OI102" s="15">
        <f>IF(ISNA(VLOOKUP($A102,'Données projet'!$A$512:$I$532,3,0)),0,VLOOKUP($A102,'Données projet'!$A$512:$I$532,3,0))</f>
        <v>0</v>
      </c>
      <c r="OJ102" s="15">
        <f>IF(ISNA(VLOOKUP($A102,'Données projet'!$A$512:$I$532,4,0)),0,VLOOKUP($A102,'Données projet'!$A$512:$I$532,4,0))</f>
        <v>0</v>
      </c>
      <c r="OK102" s="16">
        <f>IF(ISNA(VLOOKUP($A102,'Données projet'!$A$512:$I$532,5,0)),0%,VLOOKUP($A102,'Données projet'!$A$512:$I$532,5,0)*VLOOKUP('Données projet'!$B$27,Paramètres!$A$1:$I$89,7,0))</f>
        <v>0</v>
      </c>
      <c r="OL102" s="16">
        <f>IF(ISNA(VLOOKUP($A102,'Données projet'!$A$512:$I$532,6,0)),0%,VLOOKUP($A102,'Données projet'!$A$512:$I$532,6,0)*VLOOKUP('Données projet'!$B$27,Paramètres!$A$1:$I$89,7,0))</f>
        <v>0</v>
      </c>
      <c r="OM102" s="16">
        <f>IF(ISNA(VLOOKUP($A102,'Données projet'!$A$512:$I$532,7,0)),0%,VLOOKUP($A102,'Données projet'!$A$512:$I$532,7,0))</f>
        <v>0</v>
      </c>
      <c r="ON102" s="21" t="e">
        <f>EXP(-LN(2)/35)*ON101+(1-EXP(-LN(2)/35))/(LN(2)/35)*OJ102*OK102*VLOOKUP('Données projet'!$B$27,Paramètres!$A$1:$I$89,3,0)*0.475*44/12</f>
        <v>#N/A</v>
      </c>
      <c r="OO102" s="21" t="e">
        <f>EXP(-LN(2)/25)*OO101+(1-EXP(-LN(2)/25))/(LN(2)/25)*Calculateur!OJ102*Calculateur!OL102*VLOOKUP('Données projet'!$B$27,Paramètres!$A$1:$I$89,3,0)*0.475*44/12</f>
        <v>#N/A</v>
      </c>
      <c r="OP102" s="21" t="e">
        <f>EXP(-LN(2)/2)*OP101+(1-EXP(-LN(2)/2))/(LN(2)/2)*OJ102*OM102*VLOOKUP('Données projet'!$B$27,Paramètres!$A$1:$I$89,3,0)*0.475*44/12</f>
        <v>#N/A</v>
      </c>
      <c r="OQ102" s="22" t="e">
        <f t="shared" si="176"/>
        <v>#N/A</v>
      </c>
      <c r="OR102" s="74">
        <f>('Scénario référence'!$F$8+'Scénario référence'!$F$9+'Scénario référence'!$B$17+'Scénario référence'!$B$9+'Scénario référence'!$B$10)*70+IF((45+25*(1-EXP(-0.0175*$A102)))&lt;70,'Scénario référence'!$B$16*(45+25*(1-EXP(-0.0175*$A102))),70*'Scénario référence'!$B$16)+IF((32+38*(1-EXP(-0.0175*$A102)))&lt;70,'Scénario référence'!$B$18*(32+38*(1-EXP(-0.0175*$A102))),70*'Scénario référence'!$B$18)</f>
        <v>70</v>
      </c>
      <c r="OS102" s="12">
        <f>IF($A102&gt;30,10,('Scénario référence'!$B$16+'Scénario référence'!$B$17+'Scénario référence'!$B$18+'Scénario référence'!$B$9+'Scénario référence'!$B$10)*$A102*10/30+('Scénario référence'!$F$8+'Scénario référence'!$F$9)*10)</f>
        <v>10</v>
      </c>
      <c r="OT102" s="12" t="e">
        <f>VLOOKUP($A102,'Données projet'!$A$538:$I$558,2,0)</f>
        <v>#N/A</v>
      </c>
      <c r="OU102" s="12" t="e">
        <f>VLOOKUP($A102,'Données projet'!$A$538:$I$558,9,0)</f>
        <v>#N/A</v>
      </c>
      <c r="OV102" s="12">
        <f t="array" ref="OV102">INDEX(OU:OU,MIN(IF(ISNUMBER(OU102:OU298),ROW(OU102:OU298),"")))</f>
        <v>0</v>
      </c>
      <c r="OW102" s="12">
        <f>IF('Données projet'!$A$538&gt;35,OW101+OV102-PE101,IF($A102&lt;'Données projet'!$A$538,$CQ$205^$A102,IF($A102='Données projet'!$A$538,'Données projet'!$B$538,OW101+OV102-PE101)))</f>
        <v>0</v>
      </c>
      <c r="OX102" s="17" t="e">
        <f>OW102*VLOOKUP('Données projet'!$B$28,Paramètres!$A$1:$I$89,3,0)*VLOOKUP('Données projet'!$B$28,Paramètres!$A$1:$I$89,5,0)</f>
        <v>#N/A</v>
      </c>
      <c r="OY102" s="13" t="e">
        <f t="shared" si="220"/>
        <v>#N/A</v>
      </c>
      <c r="OZ102" s="14" t="e">
        <f t="shared" si="177"/>
        <v>#N/A</v>
      </c>
      <c r="PA102" s="59" t="e">
        <f t="shared" si="178"/>
        <v>#N/A</v>
      </c>
      <c r="PB102" s="20" t="e">
        <f ca="1">AVERAGE(OFFSET($PA$3,0,0,'Données projet'!$E$28+1,1))-AVERAGE(OFFSET($H$3,0,0,'Données projet'!$E$28+1,1))</f>
        <v>#N/A</v>
      </c>
      <c r="PC102" s="59" t="e">
        <f t="shared" si="221"/>
        <v>#N/A</v>
      </c>
      <c r="PD102" s="15">
        <f>IF(ISNA(VLOOKUP($A102,'Données projet'!$A$538:$I$558,3,0)),0,VLOOKUP($A102,'Données projet'!$A$538:$I$558,3,0))</f>
        <v>0</v>
      </c>
      <c r="PE102" s="15">
        <f>IF(ISNA(VLOOKUP($A102,'Données projet'!$A$538:$I$558,4,0)),0,VLOOKUP($A102,'Données projet'!$A$538:$I$558,4,0))</f>
        <v>0</v>
      </c>
      <c r="PF102" s="16">
        <f>IF(ISNA(VLOOKUP($A102,'Données projet'!$A$538:$I$558,5,0)),0%,VLOOKUP($A102,'Données projet'!$A$538:$I$558,5,0)*VLOOKUP('Données projet'!$B$28,Paramètres!$A$1:$I$89,7,0))</f>
        <v>0</v>
      </c>
      <c r="PG102" s="16">
        <f>IF(ISNA(VLOOKUP($A102,'Données projet'!$A$538:$I$558,6,0)),0%,VLOOKUP($A102,'Données projet'!$A$538:$I$558,6,0)*VLOOKUP('Données projet'!$B$28,Paramètres!$A$1:$I$89,7,0))</f>
        <v>0</v>
      </c>
      <c r="PH102" s="16">
        <f>IF(ISNA(VLOOKUP($A102,'Données projet'!$A$538:$I$558,7,0)),0%,VLOOKUP($A102,'Données projet'!$A$538:$I$558,7,0))</f>
        <v>0</v>
      </c>
      <c r="PI102" s="21" t="e">
        <f>EXP(-LN(2)/35)*PI101+(1-EXP(-LN(2)/35))/(LN(2)/35)*PE102*PF102*VLOOKUP('Données projet'!$B$28,Paramètres!$A$1:$I$89,3,0)*0.475*44/12</f>
        <v>#N/A</v>
      </c>
      <c r="PJ102" s="21" t="e">
        <f>EXP(-LN(2)/25)*PJ101+(1-EXP(-LN(2)/25))/(LN(2)/25)*Calculateur!PE102*Calculateur!PG102*VLOOKUP('Données projet'!$B$28,Paramètres!$A$1:$I$89,3,0)*0.475*44/12</f>
        <v>#N/A</v>
      </c>
      <c r="PK102" s="21" t="e">
        <f>EXP(-LN(2)/2)*PK101+(1-EXP(-LN(2)/2))/(LN(2)/2)*PE102*PH102*VLOOKUP('Données projet'!$B$28,Paramètres!$A$1:$I$89,3,0)*0.475*44/12</f>
        <v>#N/A</v>
      </c>
      <c r="PL102" s="22" t="e">
        <f t="shared" si="179"/>
        <v>#N/A</v>
      </c>
    </row>
    <row r="103" spans="1:428" x14ac:dyDescent="0.35">
      <c r="A103" s="10">
        <f t="shared" si="180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181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121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projet'!$A$45:$I$65,2,0)</f>
        <v>#N/A</v>
      </c>
      <c r="L103" s="12" t="e">
        <f>VLOOKUP(A103,'Données projet'!$A$45:$I$65,9,0)</f>
        <v>#N/A</v>
      </c>
      <c r="M103" s="12">
        <f t="array" ref="M103">INDEX(L:L,MIN(IF(ISNUMBER(L103:L299),ROW(L103:L299),"")))</f>
        <v>0</v>
      </c>
      <c r="N103" s="13">
        <f>IF('Données projet'!$A$46&gt;35,N102+M103-V102,IF(A103&lt;'Données projet'!$A$46,$K$205^A103,IF(A103='Données projet'!$A$46,'Données projet'!$B$46,N102+M103-V102)))</f>
        <v>-1.1368683772161603E-13</v>
      </c>
      <c r="O103" s="13">
        <f>N103*VLOOKUP('Données projet'!$B$9,Paramètres!$A$1:$I$89,3,0)*VLOOKUP('Données projet'!$B$9,Paramètres!$A$1:$I$89,5,0)</f>
        <v>-6.3550942286383367E-14</v>
      </c>
      <c r="P103" s="13" t="e">
        <f t="shared" si="182"/>
        <v>#NUM!</v>
      </c>
      <c r="Q103" s="20" t="e">
        <f t="shared" si="222"/>
        <v>#NUM!</v>
      </c>
      <c r="R103" s="59" t="e">
        <f t="shared" si="120"/>
        <v>#NUM!</v>
      </c>
      <c r="S103" s="59">
        <f ca="1">AVERAGE(OFFSET($R$3,0,0,'Données projet'!$E$9+1,1))-AVERAGE(OFFSET($H$3,0,0,'Données projet'!$E$9+1,1))</f>
        <v>274.57619581652199</v>
      </c>
      <c r="T103" s="59">
        <f t="shared" si="183"/>
        <v>366.15117322598775</v>
      </c>
      <c r="U103" s="15">
        <f>IF(ISNA(VLOOKUP(A103,'Données projet'!$A$45:$I$65,3,0)),0,VLOOKUP(A103,'Données projet'!$A$45:$I$65,3,0))</f>
        <v>0</v>
      </c>
      <c r="V103" s="15">
        <f>IF(ISNA(VLOOKUP(A103,'Données projet'!$A$45:$I$65,4,0)),0,VLOOKUP(A103,'Données projet'!$A$45:$I$65,4,0))</f>
        <v>0</v>
      </c>
      <c r="W103" s="16">
        <f>IF(ISNA(VLOOKUP(A103,'Données projet'!$A$45:$I$65,5,0)),0%,VLOOKUP(A103,'Données projet'!$A$45:$I$65,5,0)*VLOOKUP('Données projet'!$B$9,Paramètres!$A$1:$I$89,7,0))</f>
        <v>0</v>
      </c>
      <c r="X103" s="16">
        <f>IF(ISNA(VLOOKUP(A103,'Données projet'!$A$45:$I$65,6,0)),0%,VLOOKUP(A103,'Données projet'!$A$45:$I$65,6,0)*VLOOKUP('Données projet'!$B$9,Paramètres!$A$1:$I$89,7,0))</f>
        <v>0</v>
      </c>
      <c r="Y103" s="16">
        <f>IF(ISNA(VLOOKUP(A103,'Données projet'!$A$45:$I$65,7,0)),0%,VLOOKUP(A103,'Données projet'!$A$45:$I$65,7,0))</f>
        <v>0</v>
      </c>
      <c r="Z103" s="21">
        <f>EXP(-LN(2)/35)*Z102+(1-EXP(-LN(2)/35))/(LN(2)/35)*V103*W103*VLOOKUP('Données projet'!$B$9,Paramètres!$A$1:$I$89,3,0)*0.475*44/12</f>
        <v>92.967409011706579</v>
      </c>
      <c r="AA103" s="21">
        <f>EXP(-LN(2)/25)*AA102+(1-EXP(-LN(2)/25))/(LN(2)/25)*Calculateur!V103*Calculateur!X103*VLOOKUP('Données projet'!$B$9,Paramètres!$A$1:$I$89,3,0)*0.475*44/12</f>
        <v>16.543461924291538</v>
      </c>
      <c r="AB103" s="21">
        <f>EXP(-LN(2)/2)*AB102+(1-EXP(-LN(2)/2))/(LN(2)/2)*V103*Y103*VLOOKUP('Données projet'!$B$9,Paramètres!$A$1:$I$89,3,0)*0.475*44/12</f>
        <v>5.7591652191837045E-6</v>
      </c>
      <c r="AC103" s="22">
        <f t="shared" si="122"/>
        <v>109.51087669516333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projet'!$A$71:$I$91,2,0)</f>
        <v>#N/A</v>
      </c>
      <c r="AG103" s="12" t="e">
        <f>VLOOKUP(A103,'Données projet'!$A$71:$I$91,9,0)</f>
        <v>#N/A</v>
      </c>
      <c r="AH103" s="12">
        <f t="array" ref="AH103">INDEX(AG:AG,MIN(IF(ISNUMBER(AG103:AG299),ROW(AG103:AG299),"")))</f>
        <v>6.9935897435897401</v>
      </c>
      <c r="AI103" s="13">
        <f>IF('Données projet'!$A$72&gt;35,AI102+AH103-AQ102,IF(A103&lt;'Données projet'!$A$72,$AF$205^A103,IF(A103='Données projet'!$A$72,'Données projet'!$B$72,AI102+AH103-AQ102)))</f>
        <v>277.22435897435946</v>
      </c>
      <c r="AJ103" s="13">
        <f>AI103*VLOOKUP('Données projet'!$B$10,Paramètres!$A$1:$I$89,3,0)*VLOOKUP('Données projet'!$B$10,Paramètres!$A$1:$I$89,5,0)</f>
        <v>250.83260000000041</v>
      </c>
      <c r="AK103" s="13">
        <f t="shared" si="184"/>
        <v>60.764195096344402</v>
      </c>
      <c r="AL103" s="20">
        <f t="shared" si="123"/>
        <v>542.69775145946721</v>
      </c>
      <c r="AM103" s="59">
        <f t="shared" si="124"/>
        <v>836.03108479280058</v>
      </c>
      <c r="AN103" s="59">
        <f ca="1">AVERAGE(OFFSET($AM$3,0,0,'Données projet'!$E$10+1,1))-AVERAGE(OFFSET($H$3,0,0,'Données projet'!$E$10+1,1))</f>
        <v>270.87836509222456</v>
      </c>
      <c r="AO103" s="59">
        <f t="shared" si="185"/>
        <v>205.24998237949734</v>
      </c>
      <c r="AP103" s="15">
        <f>IF(ISNA(VLOOKUP(A103,'Données projet'!$A$71:$I$91,3,0)),0,VLOOKUP(A103,'Données projet'!$A$71:$I$91,3,0))</f>
        <v>0</v>
      </c>
      <c r="AQ103" s="15">
        <f>IF(ISNA(VLOOKUP(A103,'Données projet'!$A$71:$I$91,4,0)),0,VLOOKUP(A103,'Données projet'!$A$71:$I$91,4,0))</f>
        <v>0</v>
      </c>
      <c r="AR103" s="16">
        <f>IF(ISNA(VLOOKUP(A103,'Données projet'!$A$71:$I$91,5,0)),0%,VLOOKUP(A103,'Données projet'!$A$71:$I$91,5,0)*VLOOKUP('Données projet'!$B$10,Paramètres!$A$1:$I$89,7,0))</f>
        <v>0</v>
      </c>
      <c r="AS103" s="16">
        <f>IF(ISNA(VLOOKUP(A103,'Données projet'!$A$71:$I$91,6,0)),0%,VLOOKUP(A103,'Données projet'!$A$71:$I$91,6,0)*VLOOKUP('Données projet'!$B$10,Paramètres!$A$1:$I$89,7,0))</f>
        <v>0</v>
      </c>
      <c r="AT103" s="16">
        <f>IF(ISNA(VLOOKUP(A103,'Données projet'!$A$71:$I$91,7,0)),0%,VLOOKUP(A103,'Données projet'!$A$71:$I$91,7,0))</f>
        <v>0</v>
      </c>
      <c r="AU103" s="21">
        <f>EXP(-LN(2)/35)*AU102+(1-EXP(-LN(2)/35))/(LN(2)/35)*AQ103*AR103*VLOOKUP('Données projet'!$B$10,Paramètres!$A$1:$I$89,3,0)*0.475*44/12</f>
        <v>48.180761640093969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125"/>
        <v>48.180761640093969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projet'!$A$97:$I$117,2,0)</f>
        <v>#N/A</v>
      </c>
      <c r="BB103" s="12" t="e">
        <f>VLOOKUP(A103,'Données projet'!$A$97:$I$117,9,0)</f>
        <v>#N/A</v>
      </c>
      <c r="BC103" s="12">
        <f t="array" ref="BC103">INDEX(BB:BB,MIN(IF(ISNUMBER(BB103:BB299),ROW(BB103:BB299),"")))</f>
        <v>0</v>
      </c>
      <c r="BD103" s="12">
        <f>IF('Données projet'!$A$98&gt;35,BD102+BC103-BL102,IF(A103&lt;'Données projet'!$A$98,$BA$205^A103,IF(A103='Données projet'!$A$98,'Données projet'!$B$98,BD102+BC103-BL102)))</f>
        <v>-1.1368683772161603E-13</v>
      </c>
      <c r="BE103" s="13">
        <f>BD103*VLOOKUP('Données projet'!$B$11,Paramètres!$A$1:$I$89,3,0)*VLOOKUP('Données projet'!$B$11,Paramètres!$A$1:$I$89,5,0)</f>
        <v>-5.0249582272954292E-14</v>
      </c>
      <c r="BF103" s="13" t="e">
        <f t="shared" si="186"/>
        <v>#NUM!</v>
      </c>
      <c r="BG103" s="20" t="e">
        <f t="shared" si="126"/>
        <v>#NUM!</v>
      </c>
      <c r="BH103" s="59" t="e">
        <f t="shared" si="127"/>
        <v>#NUM!</v>
      </c>
      <c r="BI103" s="59">
        <f ca="1">AVERAGE(OFFSET($BH$3,0,0,'Données projet'!$E$11+1,1))-AVERAGE(OFFSET($H$3,0,0,'Données projet'!$E$11+1,1))</f>
        <v>211.31057120485542</v>
      </c>
      <c r="BJ103" s="59">
        <f t="shared" si="187"/>
        <v>283.33292006714777</v>
      </c>
      <c r="BK103" s="15">
        <f>IF(ISNA(VLOOKUP(A103,'Données projet'!$A$97:$I$117,3,0)),0,VLOOKUP(A103,'Données projet'!$A$97:$I$117,3,0))</f>
        <v>0</v>
      </c>
      <c r="BL103" s="15">
        <f>IF(ISNA(VLOOKUP(A103,'Données projet'!$A$97:$I$117,4,0)),0,VLOOKUP(A103,'Données projet'!$A$97:$I$117,4,0))</f>
        <v>0</v>
      </c>
      <c r="BM103" s="16">
        <f>IF(ISNA(VLOOKUP(A103,'Données projet'!$A$97:$I$117,5,0)),0%,VLOOKUP(A103,'Données projet'!$A$97:$I$117,5,0)*VLOOKUP('Données projet'!$B$11,Paramètres!$A$1:$I$89,7,0))</f>
        <v>0</v>
      </c>
      <c r="BN103" s="16">
        <f>IF(ISNA(VLOOKUP(A103,'Données projet'!$A$97:$I$117,6,0)),0%,VLOOKUP(A103,'Données projet'!$A$97:$I$117,6,0)*VLOOKUP('Données projet'!$B$11,Paramètres!$A$1:$I$89,7,0))</f>
        <v>0</v>
      </c>
      <c r="BO103" s="16">
        <f>IF(ISNA(VLOOKUP(A103,'Données projet'!$A$97:$I$117,7,0)),0%,VLOOKUP(A103,'Données projet'!$A$97:$I$117,7,0))</f>
        <v>0</v>
      </c>
      <c r="BP103" s="21">
        <f>EXP(-LN(2)/35)*BP102+(1-EXP(-LN(2)/35))/(LN(2)/35)*BL103*BM103*VLOOKUP('Données projet'!$B$11,Paramètres!$A$1:$I$89,3,0)*0.475*44/12</f>
        <v>73.509114102279639</v>
      </c>
      <c r="BQ103" s="21">
        <f>EXP(-LN(2)/25)*BQ102+(1-EXP(-LN(2)/25))/(LN(2)/25)*Calculateur!BL103*Calculateur!BN103*VLOOKUP('Données projet'!$B$11,Paramètres!$A$1:$I$89,3,0)*0.475*44/12</f>
        <v>13.080876870370048</v>
      </c>
      <c r="BR103" s="21">
        <f>EXP(-LN(2)/2)*BR102+(1-EXP(-LN(2)/2))/(LN(2)/2)*BL103*BO103*VLOOKUP('Données projet'!$B$11,Paramètres!$A$1:$I$89,3,0)*0.475*44/12</f>
        <v>4.5537585454010678E-6</v>
      </c>
      <c r="BS103" s="22">
        <f t="shared" si="128"/>
        <v>86.589995526408231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projet'!$A$123:$I$143,2,0)</f>
        <v>255</v>
      </c>
      <c r="BW103" s="12">
        <f>VLOOKUP(A103,'Données projet'!$A$123:$I$143,9,0)</f>
        <v>3</v>
      </c>
      <c r="BX103" s="12">
        <f t="array" ref="BX103">INDEX(BW:BW,MIN(IF(ISNUMBER(BW103:BW299),ROW(BW103:BW299),"")))</f>
        <v>3</v>
      </c>
      <c r="BY103" s="12">
        <f>IF('Données projet'!$A$124&gt;35,BY102+BX103-CG102,IF(A103&lt;'Données projet'!$A$124,$BV$205^A103,IF(A103='Données projet'!$A$124,'Données projet'!$B$124,BY102+BX103-CG102)))</f>
        <v>255</v>
      </c>
      <c r="BZ103" s="13">
        <f>BY103*VLOOKUP('Données projet'!$B$12,Paramètres!$A$1:$I$89,3,0)*VLOOKUP('Données projet'!$B$12,Paramètres!$A$1:$I$89,5,0)</f>
        <v>266.52600000000007</v>
      </c>
      <c r="CA103" s="13">
        <f t="shared" si="188"/>
        <v>64.111444050688362</v>
      </c>
      <c r="CB103" s="20">
        <f t="shared" si="129"/>
        <v>575.86021505494898</v>
      </c>
      <c r="CC103" s="59">
        <f t="shared" si="130"/>
        <v>869.19354838828235</v>
      </c>
      <c r="CD103" s="59">
        <f ca="1">AVERAGE(OFFSET($CC$3,0,0,'Données projet'!$E$12+1,1))-AVERAGE(OFFSET($H$3,0,0,'Données projet'!$E$12+1,1))</f>
        <v>322.93502595881938</v>
      </c>
      <c r="CE103" s="59">
        <f t="shared" si="189"/>
        <v>302.67072119588164</v>
      </c>
      <c r="CF103" s="15">
        <f>IF(ISNA(VLOOKUP(A103,'Données projet'!$A$123:$I$143,3,0)),0,VLOOKUP(A103,'Données projet'!$A$123:$I$143,3,0))</f>
        <v>17</v>
      </c>
      <c r="CG103" s="15">
        <f>IF(ISNA(VLOOKUP(A103,'Données projet'!$A$123:$I$143,4,0)),0,VLOOKUP(A103,'Données projet'!$A$123:$I$143,4,0))</f>
        <v>255</v>
      </c>
      <c r="CH103" s="16">
        <f>IF(ISNA(VLOOKUP(A103,'Données projet'!$A$123:$I$143,5,0)),0%,VLOOKUP(A103,'Données projet'!$A$123:$I$143,5,0)*VLOOKUP('Données projet'!$B$12,Paramètres!$A$1:$I$89,7,0))</f>
        <v>0.30099999999999999</v>
      </c>
      <c r="CI103" s="16">
        <f>IF(ISNA(VLOOKUP(A103,'Données projet'!$A$123:$I$143,6,0)),0%,VLOOKUP(A103,'Données projet'!$A$123:$I$143,6,0)*VLOOKUP('Données projet'!$B$12,Paramètres!$A$1:$I$89,7,0))</f>
        <v>8.6000000000000007E-2</v>
      </c>
      <c r="CJ103" s="16">
        <f>IF(ISNA(VLOOKUP(A103,'Données projet'!$A$123:$I$143,7,0)),0%,VLOOKUP(A103,'Données projet'!$A$123:$I$143,7,0))</f>
        <v>0</v>
      </c>
      <c r="CK103" s="21">
        <f>EXP(-LN(2)/35)*CK102+(1-EXP(-LN(2)/35))/(LN(2)/35)*CG103*CH103*VLOOKUP('Données projet'!$B$12,Paramètres!$A$1:$I$89,3,0)*0.475*44/12</f>
        <v>117.11778108180316</v>
      </c>
      <c r="CL103" s="21">
        <f>EXP(-LN(2)/25)*CL102+(1-EXP(-LN(2)/25))/(LN(2)/25)*Calculateur!CG103*Calculateur!CI103*VLOOKUP('Données projet'!$B$12,Paramètres!$A$1:$I$89,3,0)*0.475*44/12</f>
        <v>41.866720425438132</v>
      </c>
      <c r="CM103" s="21">
        <f>EXP(-LN(2)/2)*CM102+(1-EXP(-LN(2)/2))/(LN(2)/2)*CG103*CJ103*VLOOKUP('Données projet'!$B$12,Paramètres!$A$1:$I$89,3,0)*0.475*44/12</f>
        <v>0</v>
      </c>
      <c r="CN103" s="22">
        <f t="shared" si="131"/>
        <v>158.9845015072413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projet'!$A$149:$I$169,2,0)</f>
        <v>#N/A</v>
      </c>
      <c r="CR103" s="12" t="e">
        <f>VLOOKUP(A103,'Données projet'!$A$149:$I$169,9,0)</f>
        <v>#N/A</v>
      </c>
      <c r="CS103" s="12">
        <f t="array" ref="CS103">INDEX(CR:CR,MIN(IF(ISNUMBER(CR103:CR299),ROW(CR103:CR299),"")))</f>
        <v>5.2583333333333373</v>
      </c>
      <c r="CT103" s="12">
        <f>IF('Données projet'!$A$150&gt;35,CT102+CS103-DB102,IF(A103&lt;'Données projet'!$A$150,$CQ$205^A103,IF(A103='Données projet'!$A$150,'Données projet'!$B$150,CT102+CS103-DB102)))</f>
        <v>218.99423076923048</v>
      </c>
      <c r="CU103" s="17">
        <f>CT103*VLOOKUP('Données projet'!$B$13,Paramètres!$A$1:$I$89,3,0)*VLOOKUP('Données projet'!$B$13,Paramètres!$A$1:$I$89,5,0)</f>
        <v>222.06014999999974</v>
      </c>
      <c r="CV103" s="13">
        <f t="shared" si="190"/>
        <v>54.562405957952684</v>
      </c>
      <c r="CW103" s="20">
        <f t="shared" si="132"/>
        <v>481.78428496010048</v>
      </c>
      <c r="CX103" s="59">
        <f t="shared" si="133"/>
        <v>775.11761829343379</v>
      </c>
      <c r="CY103" s="59">
        <f ca="1">AVERAGE(OFFSET($CX$3,0,0,'Données projet'!$E$13+1,1))-AVERAGE(OFFSET($H$3,0,0,'Données projet'!$E$13+1,1))</f>
        <v>250.31277422753283</v>
      </c>
      <c r="CZ103" s="59">
        <f t="shared" si="191"/>
        <v>159.20429420478047</v>
      </c>
      <c r="DA103" s="15">
        <f>IF(ISNA(VLOOKUP(A103,'Données projet'!$A$149:$I$169,3,0)),0,VLOOKUP(A103,'Données projet'!$A$149:$I$169,3,0))</f>
        <v>0</v>
      </c>
      <c r="DB103" s="15">
        <f>IF(ISNA(VLOOKUP(A103,'Données projet'!$A$149:$I$169,4,0)),0,VLOOKUP(A103,'Données projet'!$A$149:$I$169,4,0))</f>
        <v>0</v>
      </c>
      <c r="DC103" s="16">
        <f>IF(ISNA(VLOOKUP(A103,'Données projet'!$A$149:$I$169,5,0)),0%,VLOOKUP(A103,'Données projet'!$A$149:$I$169,5,0)*VLOOKUP('Données projet'!$B$13,Paramètres!$A$1:$I$89,7,0))</f>
        <v>0</v>
      </c>
      <c r="DD103" s="16">
        <f>IF(ISNA(VLOOKUP(A103,'Données projet'!$A$149:$I$169,6,0)),0%,VLOOKUP(A103,'Données projet'!$A$149:$I$169,6,0)*VLOOKUP('Données projet'!$B$13,Paramètres!$A$1:$I$89,7,0))</f>
        <v>0</v>
      </c>
      <c r="DE103" s="16">
        <f>IF(ISNA(VLOOKUP(A103,'Données projet'!$A$149:$I$169,7,0)),0%,VLOOKUP(A103,'Données projet'!$A$149:$I$169,7,0))</f>
        <v>0</v>
      </c>
      <c r="DF103" s="21">
        <f>EXP(-LN(2)/35)*DF102+(1-EXP(-LN(2)/35))/(LN(2)/35)*DB103*DC103*VLOOKUP('Données projet'!$B$13,Paramètres!$A$1:$I$89,3,0)*0.475*44/12</f>
        <v>23.816964100858204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134"/>
        <v>23.816964100858204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projet'!$A$175:$I$195,2,0)</f>
        <v>#N/A</v>
      </c>
      <c r="DM103" s="12" t="e">
        <f>VLOOKUP(A103,'Données projet'!$A$175:$I$195,9,0)</f>
        <v>#N/A</v>
      </c>
      <c r="DN103" s="12">
        <f t="array" ref="DN103">INDEX(DM:DM,MIN(IF(ISNUMBER(DM103:DM299),ROW(DM103:DM299),"")))</f>
        <v>0</v>
      </c>
      <c r="DO103" s="12">
        <f>IF('Données projet'!$A$176&gt;35,DO102+DN103-DW102,IF(A103&lt;'Données projet'!$A$176,$DL$205^A103,IF(A103='Données projet'!$A$176,'Données projet'!$B$176,DO102+DN103-DW102)))</f>
        <v>-2.8421709430404007E-13</v>
      </c>
      <c r="DP103" s="17">
        <f>DO103*VLOOKUP('Données projet'!$B$14,Paramètres!$A$1:$I$89,3,0)*VLOOKUP('Données projet'!$B$14,Paramètres!$A$1:$I$89,5,0)</f>
        <v>-2.0838797354372215E-13</v>
      </c>
      <c r="DQ103" s="13" t="e">
        <f t="shared" si="192"/>
        <v>#NUM!</v>
      </c>
      <c r="DR103" s="20" t="e">
        <f t="shared" si="135"/>
        <v>#NUM!</v>
      </c>
      <c r="DS103" s="59" t="e">
        <f t="shared" si="136"/>
        <v>#NUM!</v>
      </c>
      <c r="DT103" s="59">
        <f ca="1">AVERAGE(OFFSET($DS$3,0,0,'Données projet'!$E$14+1,1))-AVERAGE(OFFSET($H$3,0,0,'Données projet'!$E$14+1,1))</f>
        <v>296.91321813251051</v>
      </c>
      <c r="DU103" s="59">
        <f t="shared" si="193"/>
        <v>291.0718079639509</v>
      </c>
      <c r="DV103" s="15">
        <f>IF(ISNA(VLOOKUP(A103,'Données projet'!$A$175:$I$195,3,0)),0,VLOOKUP(A103,'Données projet'!$A$175:$I$195,3,0))</f>
        <v>0</v>
      </c>
      <c r="DW103" s="15">
        <f>IF(ISNA(VLOOKUP(A103,'Données projet'!$A$175:$I$195,4,0)),0,VLOOKUP(A103,'Données projet'!$A$175:$I$195,4,0))</f>
        <v>0</v>
      </c>
      <c r="DX103" s="16">
        <f>IF(ISNA(VLOOKUP(A103,'Données projet'!$A$175:$I$195,5,0)),0%,VLOOKUP(A103,'Données projet'!$A$175:$I$195,5,0)*VLOOKUP('Données projet'!$B$14,Paramètres!$A$1:$I$89,7,0))</f>
        <v>0</v>
      </c>
      <c r="DY103" s="16">
        <f>IF(ISNA(VLOOKUP(A103,'Données projet'!$A$175:$I$195,6,0)),0%,VLOOKUP(A103,'Données projet'!$A$175:$I$195,6,0)*VLOOKUP('Données projet'!$B$14,Paramètres!$A$1:$I$89,7,0))</f>
        <v>0</v>
      </c>
      <c r="DZ103" s="16">
        <f>IF(ISNA(VLOOKUP(A103,'Données projet'!$A$175:$I$195,7,0)),0%,VLOOKUP(A103,'Données projet'!$A$175:$I$195,7,0))</f>
        <v>0</v>
      </c>
      <c r="EA103" s="21">
        <f>EXP(-LN(2)/35)*EA102+(1-EXP(-LN(2)/35))/(LN(2)/35)*DW103*DX103*VLOOKUP('Données projet'!$B$14,Paramètres!$A$1:$I$89,3,0)*0.475*44/12</f>
        <v>116.72882790101477</v>
      </c>
      <c r="EB103" s="21">
        <f>EXP(-LN(2)/25)*EB102+(1-EXP(-LN(2)/25))/(LN(2)/25)*Calculateur!DW103*Calculateur!DY103*VLOOKUP('Données projet'!$B$14,Paramètres!$A$1:$I$89,3,0)*0.475*44/12</f>
        <v>3.0755672532904694</v>
      </c>
      <c r="EC103" s="21">
        <f>EXP(-LN(2)/2)*EC102+(1-EXP(-LN(2)/2))/(LN(2)/2)*DW103*DZ103*VLOOKUP('Données projet'!$B$14,Paramètres!$A$1:$I$89,3,0)*0.475*44/12</f>
        <v>0</v>
      </c>
      <c r="ED103" s="22">
        <f t="shared" si="137"/>
        <v>119.80439515430524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projet'!$A$201:$I$221,2,0)</f>
        <v>#N/A</v>
      </c>
      <c r="EH103" s="12" t="e">
        <f>VLOOKUP(A103,'Données projet'!$A$201:$I$221,9,0)</f>
        <v>#N/A</v>
      </c>
      <c r="EI103" s="12">
        <f t="array" ref="EI103">INDEX(EH:EH,MIN(IF(ISNUMBER(EH103:EH299),ROW(EH103:EH299),"")))</f>
        <v>5.6546153846153828</v>
      </c>
      <c r="EJ103" s="12">
        <f>IF('Données projet'!$A$202&gt;35,EJ102+EI103-ER102,IF(A103&lt;'Données projet'!$A$202,$EG$205^A103,IF(A103='Données projet'!$A$202,'Données projet'!$B$202,EJ102+EI103-ER102)))</f>
        <v>205.20076923076968</v>
      </c>
      <c r="EK103" s="17">
        <f>EJ103*VLOOKUP('Données projet'!$B$15,Paramètres!$A$1:$I$89,3,0)*VLOOKUP('Données projet'!$B$15,Paramètres!$A$1:$I$89,5,0)</f>
        <v>96.033960000000206</v>
      </c>
      <c r="EL103" s="13">
        <f t="shared" si="194"/>
        <v>26.014929381475952</v>
      </c>
      <c r="EM103" s="20">
        <f t="shared" si="138"/>
        <v>212.56848233940431</v>
      </c>
      <c r="EN103" s="59">
        <f t="shared" si="139"/>
        <v>505.9018156727376</v>
      </c>
      <c r="EO103" s="59">
        <f ca="1">AVERAGE(OFFSET($EN$3,0,0,'Données projet'!$E$15+1,1))-AVERAGE(OFFSET($H$3,0,0,'Données projet'!$E$15+1,1))</f>
        <v>147.64256291235483</v>
      </c>
      <c r="EP103" s="59">
        <f t="shared" si="195"/>
        <v>70.859031694091868</v>
      </c>
      <c r="EQ103" s="15">
        <f>IF(ISNA(VLOOKUP(A103,'Données projet'!$A$201:$I$221,3,0)),0,VLOOKUP(A103,'Données projet'!$A$201:$I$221,3,0))</f>
        <v>0</v>
      </c>
      <c r="ER103" s="15">
        <f>IF(ISNA(VLOOKUP(A103,'Données projet'!$A$201:$I$221,4,0)),0,VLOOKUP(A103,'Données projet'!$A$201:$I$221,4,0))</f>
        <v>0</v>
      </c>
      <c r="ES103" s="16">
        <f>IF(ISNA(VLOOKUP(A103,'Données projet'!$A$201:$I$221,5,0)),0%,VLOOKUP(A103,'Données projet'!$A$201:$I$221,5,0)*VLOOKUP('Données projet'!$B$15,Paramètres!$A$1:$I$89,7,0))</f>
        <v>0</v>
      </c>
      <c r="ET103" s="16">
        <f>IF(ISNA(VLOOKUP(A103,'Données projet'!$A$201:$I$221,6,0)),0%,VLOOKUP(A103,'Données projet'!$A$201:$I$221,6,0)*VLOOKUP('Données projet'!$B$15,Paramètres!$A$1:$I$89,7,0))</f>
        <v>0</v>
      </c>
      <c r="EU103" s="16">
        <f>IF(ISNA(VLOOKUP(A103,'Données projet'!$A$201:$I$221,7,0)),0%,VLOOKUP(A103,'Données projet'!$A$201:$I$221,7,0))</f>
        <v>0</v>
      </c>
      <c r="EV103" s="21">
        <f>EXP(-LN(2)/35)*EV102+(1-EXP(-LN(2)/35))/(LN(2)/35)*ER103*ES103*VLOOKUP('Données projet'!$B$15,Paramètres!$A$1:$I$89,3,0)*0.475*44/12</f>
        <v>86.649418760225757</v>
      </c>
      <c r="EW103" s="21">
        <f>EXP(-LN(2)/25)*EW102+(1-EXP(-LN(2)/25))/(LN(2)/25)*Calculateur!ER103*Calculateur!ET103*VLOOKUP('Données projet'!$B$15,Paramètres!$A$1:$I$89,3,0)*0.475*44/12</f>
        <v>23.890199578781669</v>
      </c>
      <c r="EX103" s="21">
        <f>EXP(-LN(2)/2)*EX102+(1-EXP(-LN(2)/2))/(LN(2)/2)*ER103*EU103*VLOOKUP('Données projet'!$B$15,Paramètres!$A$1:$I$89,3,0)*0.475*44/12</f>
        <v>9.8738939554670075</v>
      </c>
      <c r="EY103" s="22">
        <f t="shared" si="140"/>
        <v>120.41351229447444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>
        <f>VLOOKUP(A103,'Données projet'!$A$227:$I$247,2,0)</f>
        <v>223</v>
      </c>
      <c r="FC103" s="12">
        <f>VLOOKUP(A103,'Données projet'!$A$227:$I$247,9,0)</f>
        <v>3</v>
      </c>
      <c r="FD103" s="12">
        <f t="array" ref="FD103">INDEX(FC:FC,MIN(IF(ISNUMBER(FC103:FC299),ROW(FC103:FC299),"")))</f>
        <v>3</v>
      </c>
      <c r="FE103" s="12">
        <f>IF('Données projet'!$A$228&gt;35,FE102+FD103-FM102,IF(A103&lt;'Données projet'!$A$228,$FB$205^A103,IF(A103='Données projet'!$A$228,'Données projet'!$B$228,FE102+FD103-FM102)))</f>
        <v>223.00000000000009</v>
      </c>
      <c r="FF103" s="17">
        <f>FE103*VLOOKUP('Données projet'!$B$16,Paramètres!$A$1:$I$89,3,0)*VLOOKUP('Données projet'!$B$16,Paramètres!$A$1:$I$89,5,0)</f>
        <v>233.07960000000008</v>
      </c>
      <c r="FG103" s="13">
        <f t="shared" si="196"/>
        <v>56.948046716289092</v>
      </c>
      <c r="FH103" s="20">
        <f t="shared" si="141"/>
        <v>505.13148469753696</v>
      </c>
      <c r="FI103" s="59">
        <f t="shared" si="142"/>
        <v>798.46481803087022</v>
      </c>
      <c r="FJ103" s="59">
        <f ca="1">AVERAGE(OFFSET($FI$3,0,0,'Données projet'!$E$16+1,1))-AVERAGE(OFFSET($H$3,0,0,'Données projet'!$E$16+1,1))</f>
        <v>259.03906550253788</v>
      </c>
      <c r="FK103" s="59">
        <f t="shared" si="197"/>
        <v>235.54542903570831</v>
      </c>
      <c r="FL103" s="15">
        <f>IF(ISNA(VLOOKUP(A103,'Données projet'!$A$227:$I$247,3,0)),0,VLOOKUP(A103,'Données projet'!$A$227:$I$247,3,0))</f>
        <v>17</v>
      </c>
      <c r="FM103" s="15">
        <f>IF(ISNA(VLOOKUP(A103,'Données projet'!$A$227:$I$247,4,0)),0,VLOOKUP(A103,'Données projet'!$A$227:$I$247,4,0))</f>
        <v>223</v>
      </c>
      <c r="FN103" s="16">
        <f>IF(ISNA(VLOOKUP(A103,'Données projet'!$A$227:$I$247,5,0)),0%,VLOOKUP(A103,'Données projet'!$A$227:$I$247,5,0)*VLOOKUP('Données projet'!$B$16,Paramètres!$A$1:$I$89,7,0))</f>
        <v>0.215</v>
      </c>
      <c r="FO103" s="16">
        <f>IF(ISNA(VLOOKUP(A103,'Données projet'!$A$227:$I$247,6,0)),0%,VLOOKUP(A103,'Données projet'!$A$227:$I$247,6,0)*VLOOKUP('Données projet'!$B$16,Paramètres!$A$1:$I$89,7,0))</f>
        <v>0.17200000000000001</v>
      </c>
      <c r="FP103" s="16">
        <f>IF(ISNA(VLOOKUP(A103,'Données projet'!$A$227:$I$247,7,0)),0%,VLOOKUP(A103,'Données projet'!$A$227:$I$247,7,0))</f>
        <v>0</v>
      </c>
      <c r="FQ103" s="21">
        <f>EXP(-LN(2)/35)*FQ102+(1-EXP(-LN(2)/35))/(LN(2)/35)*FM103*FN103*VLOOKUP('Données projet'!$B$16,Paramètres!$A$1:$I$89,3,0)*0.475*44/12</f>
        <v>70.53296844535808</v>
      </c>
      <c r="FR103" s="21">
        <f>EXP(-LN(2)/25)*FR102+(1-EXP(-LN(2)/25))/(LN(2)/25)*Calculateur!FM103*Calculateur!FO103*VLOOKUP('Données projet'!$B$16,Paramètres!$A$1:$I$89,3,0)*0.475*44/12</f>
        <v>58.700583840366662</v>
      </c>
      <c r="FS103" s="21">
        <f>EXP(-LN(2)/2)*FS102+(1-EXP(-LN(2)/2))/(LN(2)/2)*FM103*FP103*VLOOKUP('Données projet'!$B$16,Paramètres!$A$1:$I$89,3,0)*0.475*44/12</f>
        <v>0</v>
      </c>
      <c r="FT103" s="22">
        <f t="shared" si="143"/>
        <v>129.23355228572473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projet'!$A$253:$I$273,2,0)</f>
        <v>#N/A</v>
      </c>
      <c r="FX103" s="12" t="e">
        <f>VLOOKUP(A103,'Données projet'!$A$253:$I$273,9,0)</f>
        <v>#N/A</v>
      </c>
      <c r="FY103" s="12">
        <f t="array" ref="FY103">INDEX(FX:FX,MIN(IF(ISNUMBER(FX103:FX299),ROW(FX103:FX299),"")))</f>
        <v>0</v>
      </c>
      <c r="FZ103" s="12">
        <f>IF('Données projet'!$A$254&gt;35,FZ102+FY103-GH102,IF(A103&lt;'Données projet'!$A$254,$FW$205^A103,IF(A103='Données projet'!$A$254,'Données projet'!$B$254,FZ102+FY103-GH102)))</f>
        <v>-1.7053025658242404E-13</v>
      </c>
      <c r="GA103" s="17">
        <f>FZ103*VLOOKUP('Données projet'!$B$17,Paramètres!$A$1:$I$89,3,0)*VLOOKUP('Données projet'!$B$17,Paramètres!$A$1:$I$89,5,0)</f>
        <v>-1.4897523215040567E-13</v>
      </c>
      <c r="GB103" s="13" t="e">
        <f t="shared" si="198"/>
        <v>#NUM!</v>
      </c>
      <c r="GC103" s="20" t="e">
        <f t="shared" si="144"/>
        <v>#NUM!</v>
      </c>
      <c r="GD103" s="59" t="e">
        <f t="shared" si="145"/>
        <v>#NUM!</v>
      </c>
      <c r="GE103" s="59">
        <f ca="1">AVERAGE(OFFSET($GD$3,0,0,'Données projet'!$E$17+1,1))-AVERAGE(OFFSET($H$3,0,0,'Données projet'!$E$17+1,1))</f>
        <v>245.1983232777614</v>
      </c>
      <c r="GF103" s="59">
        <f t="shared" si="199"/>
        <v>242.34010522344573</v>
      </c>
      <c r="GG103" s="15">
        <f>IF(ISNA(VLOOKUP(A103,'Données projet'!$A$253:$I$273,3,0)),0,VLOOKUP(A103,'Données projet'!$A$253:$I$273,3,0))</f>
        <v>0</v>
      </c>
      <c r="GH103" s="15">
        <f>IF(ISNA(VLOOKUP(A103,'Données projet'!$A$253:$I$273,4,0)),0,VLOOKUP(A103,'Données projet'!$A$253:$I$273,4,0))</f>
        <v>0</v>
      </c>
      <c r="GI103" s="16">
        <f>IF(ISNA(VLOOKUP(A103,'Données projet'!$A$253:$I$273,5,0)),0%,VLOOKUP(A103,'Données projet'!$A$253:$I$273,5,0)*VLOOKUP('Données projet'!$B$17,Paramètres!$A$1:$I$89,7,0))</f>
        <v>0</v>
      </c>
      <c r="GJ103" s="16">
        <f>IF(ISNA(VLOOKUP(A103,'Données projet'!$A$253:$I$273,6,0)),0%,VLOOKUP(A103,'Données projet'!$A$253:$I$273,6,0)*VLOOKUP('Données projet'!$B$17,Paramètres!$A$1:$I$89,7,0))</f>
        <v>0</v>
      </c>
      <c r="GK103" s="16">
        <f>IF(ISNA(VLOOKUP(A103,'Données projet'!$A$253:$I$273,7,0)),0%,VLOOKUP(A103,'Données projet'!$A$253:$I$273,7,0))</f>
        <v>0</v>
      </c>
      <c r="GL103" s="21">
        <f>EXP(-LN(2)/35)*GL102+(1-EXP(-LN(2)/35))/(LN(2)/35)*GH103*GI103*VLOOKUP('Données projet'!$B$17,Paramètres!$A$1:$I$89,3,0)*0.475*44/12</f>
        <v>82.921181692791151</v>
      </c>
      <c r="GM103" s="21">
        <f>EXP(-LN(2)/25)*GM102+(1-EXP(-LN(2)/25))/(LN(2)/25)*Calculateur!GH103*Calculateur!GJ103*VLOOKUP('Données projet'!$B$17,Paramètres!$A$1:$I$89,3,0)*0.475*44/12</f>
        <v>12.507664374251023</v>
      </c>
      <c r="GN103" s="21">
        <f>EXP(-LN(2)/2)*GN102+(1-EXP(-LN(2)/2))/(LN(2)/2)*GH103*GK103*VLOOKUP('Données projet'!$B$17,Paramètres!$A$1:$I$89,3,0)*0.475*44/12</f>
        <v>0</v>
      </c>
      <c r="GO103" s="21">
        <f t="shared" si="146"/>
        <v>95.428846067042173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projet'!$A$279:$I$299,2,0)</f>
        <v>#N/A</v>
      </c>
      <c r="GS103" s="12" t="e">
        <f>VLOOKUP(A103,'Données projet'!$A$279:$I$299,9,0)</f>
        <v>#N/A</v>
      </c>
      <c r="GT103" s="12">
        <f t="array" ref="GT103">INDEX(GS:GS,MIN(IF(ISNUMBER(GS103:GS299),ROW(GS103:GS299),"")))</f>
        <v>0</v>
      </c>
      <c r="GU103" s="12">
        <f>IF('Données projet'!$A$280&gt;35,GU102+GT103-HC102,IF(A103&lt;'Données projet'!$A$280,$GR$205^A103,IF(A103='Données projet'!$A$280,'Données projet'!$B$280,GU102+GT103-HC102)))</f>
        <v>-1.1368683772161603E-13</v>
      </c>
      <c r="GV103" s="17">
        <f>GU103*VLOOKUP('Données projet'!$B$18,Paramètres!$A$1:$I$89,3,0)*VLOOKUP('Données projet'!$B$18,Paramètres!$A$1:$I$89,5,0)</f>
        <v>-4.5815795601811263E-14</v>
      </c>
      <c r="GW103" s="13" t="e">
        <f t="shared" si="200"/>
        <v>#NUM!</v>
      </c>
      <c r="GX103" s="20" t="e">
        <f t="shared" si="147"/>
        <v>#NUM!</v>
      </c>
      <c r="GY103" s="59" t="e">
        <f t="shared" si="148"/>
        <v>#NUM!</v>
      </c>
      <c r="GZ103" s="59">
        <f ca="1">AVERAGE(OFFSET($GY$3,0,0,'Données projet'!$E$18+1,1))-AVERAGE(OFFSET($H$3,0,0,'Données projet'!$E$18+1,1))</f>
        <v>324.36162935850876</v>
      </c>
      <c r="HA103" s="59">
        <f t="shared" si="201"/>
        <v>265.23571072429735</v>
      </c>
      <c r="HB103" s="15">
        <f>IF(ISNA(VLOOKUP(A103,'Données projet'!$A$279:$I$299,3,0)),0,VLOOKUP(A103,'Données projet'!$A$279:$I$299,3,0))</f>
        <v>0</v>
      </c>
      <c r="HC103" s="15">
        <f>IF(ISNA(VLOOKUP(A103,'Données projet'!$A$279:$I$299,4,0)),0,VLOOKUP(A103,'Données projet'!$A$279:$I$299,4,0))</f>
        <v>0</v>
      </c>
      <c r="HD103" s="16">
        <f>IF(ISNA(VLOOKUP(A103,'Données projet'!$A$279:$I$299,5,0)),0%,VLOOKUP(A103,'Données projet'!$A$279:$I$299,5,0)*VLOOKUP('Données projet'!$B$18,Paramètres!$A$1:$I$89,7,0))</f>
        <v>0</v>
      </c>
      <c r="HE103" s="16">
        <f>IF(ISNA(VLOOKUP(A103,'Données projet'!$A$279:$I$299,6,0)),0%,VLOOKUP(A103,'Données projet'!$A$279:$I$299,6,0)*VLOOKUP('Données projet'!$B$18,Paramètres!$A$1:$I$89,7,0))</f>
        <v>0</v>
      </c>
      <c r="HF103" s="16">
        <f>IF(ISNA(VLOOKUP($A103,'Données projet'!$A$279:$I$299,7,0)),0%,VLOOKUP($A103,'Données projet'!$A$279:$I$299,7,0))</f>
        <v>0</v>
      </c>
      <c r="HG103" s="21">
        <f>EXP(-LN(2)/35)*HG102+(1-EXP(-LN(2)/35))/(LN(2)/35)*HC103*HD103*VLOOKUP('Données projet'!$B$18,Paramètres!$A$1:$I$89,3,0)*0.475*44/12</f>
        <v>158.89866128004297</v>
      </c>
      <c r="HH103" s="21">
        <f>EXP(-LN(2)/25)*HH102+(1-EXP(-LN(2)/25))/(LN(2)/25)*Calculateur!HC103*Calculateur!HE103*VLOOKUP('Données projet'!$B$18,Paramètres!$A$1:$I$89,3,0)*0.475*44/12</f>
        <v>13.910759980745507</v>
      </c>
      <c r="HI103" s="21">
        <f>EXP(-LN(2)/2)*HI102+(1-EXP(-LN(2)/2))/(LN(2)/2)*HC103*HF103*VLOOKUP('Données projet'!$B$18,Paramètres!$A$1:$I$89,3,0)*0.475*44/12</f>
        <v>8.3468844818163357E-3</v>
      </c>
      <c r="HJ103" s="22">
        <f t="shared" si="149"/>
        <v>172.81776814527029</v>
      </c>
      <c r="HK103" s="74">
        <f>('Scénario référence'!$F$8+'Scénario référence'!$F$9+'Scénario référence'!$B$17+'Scénario référence'!$B$9+'Scénario référence'!$B$10)*70+IF((45+25*(1-EXP(-0.0175*$A103)))&lt;70,'Scénario référence'!$B$16*(45+25*(1-EXP(-0.0175*$A103))),70*'Scénario référence'!$B$16)+IF((32+38*(1-EXP(-0.0175*$A103)))&lt;70,'Scénario référence'!$B$18*(32+38*(1-EXP(-0.0175*$A103))),70*'Scénario référence'!$B$18)</f>
        <v>70</v>
      </c>
      <c r="HL103" s="12">
        <f>IF($A103&gt;30,10,('Scénario référence'!$B$16+'Scénario référence'!$B$17+'Scénario référence'!$B$18+'Scénario référence'!$B$9+'Scénario référence'!$B$10)*$A103*10/30+('Scénario référence'!$F$8+'Scénario référence'!$F$9)*10)</f>
        <v>10</v>
      </c>
      <c r="HM103" s="12" t="e">
        <f>VLOOKUP($A103,'Données projet'!$A$304:$I$324,2,0)</f>
        <v>#N/A</v>
      </c>
      <c r="HN103" s="12" t="e">
        <f>VLOOKUP($A103,'Données projet'!$A$304:$I$324,9,0)</f>
        <v>#N/A</v>
      </c>
      <c r="HO103" s="12">
        <f t="array" ref="HO103">INDEX(HN:HN,MIN(IF(ISNUMBER(HN103:HN299),ROW(HN103:HN299),"")))</f>
        <v>0</v>
      </c>
      <c r="HP103" s="12">
        <f>IF('Données projet'!$A$304&gt;35,HP102+HO103-HX102,IF($A103&lt;'Données projet'!$A$304,$CQ$205^$A103,IF($A103='Données projet'!$A$304,'Données projet'!$B$304,HP102+HO103-HX102)))</f>
        <v>0</v>
      </c>
      <c r="HQ103" s="17">
        <f>HP103*VLOOKUP('Données projet'!$B$19,Paramètres!$A$1:$I$89,3,0)*VLOOKUP('Données projet'!$B$19,Paramètres!$A$1:$I$89,5,0)</f>
        <v>0</v>
      </c>
      <c r="HR103" s="13" t="e">
        <f t="shared" si="202"/>
        <v>#NUM!</v>
      </c>
      <c r="HS103" s="14" t="e">
        <f t="shared" si="150"/>
        <v>#NUM!</v>
      </c>
      <c r="HT103" s="59" t="e">
        <f t="shared" si="151"/>
        <v>#NUM!</v>
      </c>
      <c r="HU103" s="59">
        <f ca="1">AVERAGE(OFFSET(HT$3,0,0,'Données projet'!$E$19+1,1))-AVERAGE(OFFSET($H$3,0,0,'Données projet'!$E$19+1,1))</f>
        <v>91.60721429656013</v>
      </c>
      <c r="HV103" s="59">
        <f t="shared" si="203"/>
        <v>258.94957804210856</v>
      </c>
      <c r="HW103" s="15">
        <f>IF(ISNA(VLOOKUP($A103,'Données projet'!$A$304:$I$324,3,0)),0,VLOOKUP($A103,'Données projet'!$A$304:$I$324,3,0))</f>
        <v>0</v>
      </c>
      <c r="HX103" s="15">
        <f>IF(ISNA(VLOOKUP($A103,'Données projet'!$A$304:$I$324,4,0)),0,VLOOKUP($A103,'Données projet'!$A$304:$I$324,4,0))</f>
        <v>0</v>
      </c>
      <c r="HY103" s="16">
        <f>IF(ISNA(VLOOKUP($A103,'Données projet'!$A$304:$I$324,5,0)),0%,VLOOKUP($A103,'Données projet'!$A$304:$I$324,5,0)*VLOOKUP('Données projet'!$B$19,Paramètres!$A$1:$I$89,7,0))</f>
        <v>0</v>
      </c>
      <c r="HZ103" s="16">
        <f>IF(ISNA(VLOOKUP($A103,'Données projet'!$A$304:$I$324,6,0)),0%,VLOOKUP($A103,'Données projet'!$A$304:$I$324,6,0)*VLOOKUP('Données projet'!$B$19,Paramètres!$A$1:$I$89,7,0))</f>
        <v>0</v>
      </c>
      <c r="IA103" s="16">
        <f>IF(ISNA(VLOOKUP($A103,'Données projet'!$A$304:$I$324,7,0)),0%,VLOOKUP($A103,'Données projet'!$A$304:$I$324,7,0))</f>
        <v>0</v>
      </c>
      <c r="IB103" s="21">
        <f>EXP(-LN(2)/35)*IB102+(1-EXP(-LN(2)/35))/(LN(2)/35)*HX103*HY103*VLOOKUP('Données projet'!$B$19,Paramètres!$A$1:$I$89,3,0)*0.475*44/12</f>
        <v>12.333176178359167</v>
      </c>
      <c r="IC103" s="21">
        <f>EXP(-LN(2)/25)*IC102+(1-EXP(-LN(2)/25))/(LN(2)/25)*Calculateur!HX103*Calculateur!HZ103*VLOOKUP('Données projet'!$B$19,Paramètres!$A$1:$I$89,3,0)*0.475*44/12</f>
        <v>1.3967779538428349</v>
      </c>
      <c r="ID103" s="21">
        <f>EXP(-LN(2)/2)*ID102+(1-EXP(-LN(2)/2))/(LN(2)/2)*HX103*IA103*VLOOKUP('Données projet'!$B$19,Paramètres!$A$1:$I$89,3,0)*0.475*44/12</f>
        <v>1.6672196557744684E-11</v>
      </c>
      <c r="IE103" s="22">
        <f t="shared" si="152"/>
        <v>13.729954132218674</v>
      </c>
      <c r="IF103" s="74">
        <f>('Scénario référence'!$F$8+'Scénario référence'!$F$9+'Scénario référence'!$B$17+'Scénario référence'!$B$9+'Scénario référence'!$B$10)*70+IF((45+25*(1-EXP(-0.0175*$A103)))&lt;70,'Scénario référence'!$B$16*(45+25*(1-EXP(-0.0175*$A103))),70*'Scénario référence'!$B$16)+IF((32+38*(1-EXP(-0.0175*$A103)))&lt;70,'Scénario référence'!$B$18*(32+38*(1-EXP(-0.0175*$A103))),70*'Scénario référence'!$B$18)</f>
        <v>70</v>
      </c>
      <c r="IG103" s="12">
        <f>IF($A103&gt;30,10,('Scénario référence'!$B$16+'Scénario référence'!$B$17+'Scénario référence'!$B$18+'Scénario référence'!$B$9+'Scénario référence'!$B$10)*$A103*10/30+('Scénario référence'!$F$8+'Scénario référence'!$F$9)*10)</f>
        <v>10</v>
      </c>
      <c r="IH103" s="12" t="e">
        <f>VLOOKUP($A103,'Données projet'!$A$330:$I$350,2,0)</f>
        <v>#N/A</v>
      </c>
      <c r="II103" s="12" t="e">
        <f>VLOOKUP($A103,'Données projet'!$A$330:$I$350,9,0)</f>
        <v>#N/A</v>
      </c>
      <c r="IJ103" s="12">
        <f t="array" ref="IJ103">INDEX(II:II,MIN(IF(ISNUMBER(II103:II299),ROW(II103:II299),"")))</f>
        <v>0</v>
      </c>
      <c r="IK103" s="12">
        <f>IF('Données projet'!$A$330&gt;35,IK102+IJ103-IS102,IF($A103&lt;'Données projet'!$A$330,$CQ$205^$A103,IF($A103='Données projet'!$A$330,'Données projet'!$B$330,IK102+IJ103-IS102)))</f>
        <v>0</v>
      </c>
      <c r="IL103" s="17">
        <f>IK103*VLOOKUP('Données projet'!$B$20,Paramètres!$A$1:$I$89,3,0)*VLOOKUP('Données projet'!$B$20,Paramètres!$A$1:$I$89,5,0)</f>
        <v>0</v>
      </c>
      <c r="IM103" s="13" t="e">
        <f t="shared" si="204"/>
        <v>#NUM!</v>
      </c>
      <c r="IN103" s="20" t="e">
        <f t="shared" si="153"/>
        <v>#NUM!</v>
      </c>
      <c r="IO103" s="59" t="e">
        <f t="shared" si="154"/>
        <v>#NUM!</v>
      </c>
      <c r="IP103" s="59">
        <f ca="1">AVERAGE(OFFSET(IO$3,0,0,'Données projet'!$E$20+1,1))-AVERAGE(OFFSET($H$3,0,0,'Données projet'!$E$20+1,1))</f>
        <v>91.60721429656013</v>
      </c>
      <c r="IQ103" s="59">
        <f t="shared" si="205"/>
        <v>258.94957804210856</v>
      </c>
      <c r="IR103" s="15">
        <f>IF(ISNA(VLOOKUP($A103,'Données projet'!$A$330:$I$350,3,0)),0,VLOOKUP($A103,'Données projet'!$A$330:$I$350,3,0))</f>
        <v>0</v>
      </c>
      <c r="IS103" s="15">
        <f>IF(ISNA(VLOOKUP($A103,'Données projet'!$A$330:$I$350,4,0)),0,VLOOKUP($A103,'Données projet'!$A$330:$I$350,4,0))</f>
        <v>0</v>
      </c>
      <c r="IT103" s="16">
        <f>IF(ISNA(VLOOKUP($A103,'Données projet'!$A$330:$I$350,5,0)),0%,VLOOKUP($A103,'Données projet'!$A$330:$I$350,5,0)*VLOOKUP('Données projet'!$B$20,Paramètres!$A$1:$I$89,7,0))</f>
        <v>0</v>
      </c>
      <c r="IU103" s="16">
        <f>IF(ISNA(VLOOKUP($A103,'Données projet'!$A$330:$I$350,6,0)),0%,VLOOKUP($A103,'Données projet'!$A$330:$I$350,6,0)*VLOOKUP('Données projet'!$B$20,Paramètres!$A$1:$I$89,7,0))</f>
        <v>0</v>
      </c>
      <c r="IV103" s="16">
        <f>IF(ISNA(VLOOKUP($A103,'Données projet'!$A$330:$I$350,7,0)),0%,VLOOKUP($A103,'Données projet'!$A$330:$I$350,7,0))</f>
        <v>0</v>
      </c>
      <c r="IW103" s="21">
        <f>EXP(-LN(2)/35)*IW102+(1-EXP(-LN(2)/35))/(LN(2)/35)*IS103*IT103*VLOOKUP('Données projet'!$B$20,Paramètres!$A$1:$I$89,3,0)*0.475*44/12</f>
        <v>12.333176178359167</v>
      </c>
      <c r="IX103" s="21">
        <f>EXP(-LN(2)/25)*IX102+(1-EXP(-LN(2)/25))/(LN(2)/25)*Calculateur!IS103*Calculateur!IU103*VLOOKUP('Données projet'!$B$20,Paramètres!$A$1:$I$89,3,0)*0.475*44/12</f>
        <v>1.3967779538428349</v>
      </c>
      <c r="IY103" s="21">
        <f>EXP(-LN(2)/2)*IY102+(1-EXP(-LN(2)/2))/(LN(2)/2)*IS103*IV103*VLOOKUP('Données projet'!$B$20,Paramètres!$A$1:$I$89,3,0)*0.475*44/12</f>
        <v>1.6672196557744684E-11</v>
      </c>
      <c r="IZ103" s="22">
        <f t="shared" si="155"/>
        <v>13.729954132218674</v>
      </c>
      <c r="JA103" s="74">
        <f>('Scénario référence'!$F$8+'Scénario référence'!$F$9+'Scénario référence'!$B$17+'Scénario référence'!$B$9+'Scénario référence'!$B$10)*70+IF((45+25*(1-EXP(-0.0175*$A103)))&lt;70,'Scénario référence'!$B$16*(45+25*(1-EXP(-0.0175*$A103))),70*'Scénario référence'!$B$16)+IF((32+38*(1-EXP(-0.0175*$A103)))&lt;70,'Scénario référence'!$B$18*(32+38*(1-EXP(-0.0175*$A103))),70*'Scénario référence'!$B$18)</f>
        <v>70</v>
      </c>
      <c r="JB103" s="12">
        <f>IF($A103&gt;30,10,('Scénario référence'!$B$16+'Scénario référence'!$B$17+'Scénario référence'!$B$18+'Scénario référence'!$B$9+'Scénario référence'!$B$10)*$A103*10/30+('Scénario référence'!$F$8+'Scénario référence'!$F$9)*10)</f>
        <v>10</v>
      </c>
      <c r="JC103" s="12">
        <f>VLOOKUP($A103,'Données projet'!$A$356:$I$376,2,0)</f>
        <v>400</v>
      </c>
      <c r="JD103" s="12">
        <f>VLOOKUP($A103,'Données projet'!$A$356:$I$376,9,0)</f>
        <v>4.9000000000000004</v>
      </c>
      <c r="JE103" s="12">
        <f t="array" ref="JE103">INDEX(JD:JD,MIN(IF(ISNUMBER(JD103:JD299),ROW(JD103:JD299),"")))</f>
        <v>4.9000000000000004</v>
      </c>
      <c r="JF103" s="12">
        <f>IF('Données projet'!$A$356&gt;35,JF102+JE103-JN102,IF($A103&lt;'Données projet'!$A$356,$CQ$205^$A103,IF($A103='Données projet'!$A$356,'Données projet'!$B$356,JF102+JE103-JN102)))</f>
        <v>399.99999999999949</v>
      </c>
      <c r="JG103" s="17">
        <f>JF103*VLOOKUP('Données projet'!$B$21,Paramètres!$A$1:$I$89,3,0)*VLOOKUP('Données projet'!$B$21,Paramètres!$A$1:$I$89,5,0)</f>
        <v>324.47999999999962</v>
      </c>
      <c r="JH103" s="13">
        <f t="shared" si="206"/>
        <v>76.284749200165436</v>
      </c>
      <c r="JI103" s="20">
        <f t="shared" si="156"/>
        <v>697.9986048569541</v>
      </c>
      <c r="JJ103" s="59">
        <f t="shared" si="157"/>
        <v>991.33193819028747</v>
      </c>
      <c r="JK103" s="59">
        <f ca="1">AVERAGE(OFFSET($JJ$3,0,0,'Données projet'!$E$22+1,1))-AVERAGE(OFFSET($H$3,0,0,'Données projet'!$E$22+1,1))</f>
        <v>353.35574633294613</v>
      </c>
      <c r="JL103" s="59">
        <f t="shared" si="207"/>
        <v>170.36796666474726</v>
      </c>
      <c r="JM103" s="15">
        <f>IF(ISNA(VLOOKUP($A103,'Données projet'!$A$356:$I$376,3,0)),0,VLOOKUP($A103,'Données projet'!$A$356:$I$376,3,0))</f>
        <v>14</v>
      </c>
      <c r="JN103" s="15">
        <f>IF(ISNA(VLOOKUP($A103,'Données projet'!$A$356:$I$376,4,0)),0,VLOOKUP($A103,'Données projet'!$A$356:$I$376,4,0))</f>
        <v>24</v>
      </c>
      <c r="JO103" s="16">
        <f>IF(ISNA(VLOOKUP($A103,'Données projet'!$A$356:$I$376,5,0)),0%,VLOOKUP($A103,'Données projet'!$A$356:$I$376,5,0)*VLOOKUP('Données projet'!$B$21,Paramètres!$A$1:$I$89,7,0))</f>
        <v>8.6000000000000007E-2</v>
      </c>
      <c r="JP103" s="16">
        <f>IF(ISNA(VLOOKUP($A103,'Données projet'!$A$356:$I$376,6,0)),0%,VLOOKUP($A103,'Données projet'!$A$356:$I$376,6,0)*VLOOKUP('Données projet'!$B$21,Paramètres!$A$1:$I$89,7,0))</f>
        <v>0.215</v>
      </c>
      <c r="JQ103" s="16">
        <f>IF(ISNA(VLOOKUP($A103,'Données projet'!$A$356:$I$376,7,0)),0%,VLOOKUP($A103,'Données projet'!$A$356:$I$376,7,0))</f>
        <v>0.2</v>
      </c>
      <c r="JR103" s="21">
        <f>EXP(-LN(2)/35)*JR102+(1-EXP(-LN(2)/35))/(LN(2)/35)*JN103*JO103*VLOOKUP('Données projet'!$B$21,Paramètres!$A$1:$I$89,3,0)*0.475*44/12</f>
        <v>4.0580190793309932</v>
      </c>
      <c r="JS103" s="21">
        <f>EXP(-LN(2)/25)*JS102+(1-EXP(-LN(2)/25))/(LN(2)/25)*Calculateur!JN103*Calculateur!JP103*VLOOKUP('Données projet'!$B$21,Paramètres!$A$1:$I$89,3,0)*0.475*44/12</f>
        <v>17.759706185027696</v>
      </c>
      <c r="JT103" s="21">
        <f>EXP(-LN(2)/2)*JT102+(1-EXP(-LN(2)/2))/(LN(2)/2)*JN103*JQ103*VLOOKUP('Données projet'!$B$21,Paramètres!$A$1:$I$89,3,0)*0.475*44/12</f>
        <v>3.8680577630233897</v>
      </c>
      <c r="JU103" s="18">
        <f t="shared" si="158"/>
        <v>25.68578302738208</v>
      </c>
      <c r="JV103" s="74">
        <f>('Scénario référence'!$F$8+'Scénario référence'!$F$9+'Scénario référence'!$B$17+'Scénario référence'!$B$9+'Scénario référence'!$B$10)*70+IF((45+25*(1-EXP(-0.0175*$A103)))&lt;70,'Scénario référence'!$B$16*(45+25*(1-EXP(-0.0175*$A103))),70*'Scénario référence'!$B$16)+IF((32+38*(1-EXP(-0.0175*$A103)))&lt;70,'Scénario référence'!$B$18*(32+38*(1-EXP(-0.0175*$A103))),70*'Scénario référence'!$B$18)</f>
        <v>70</v>
      </c>
      <c r="JW103" s="12">
        <f>IF($A103&gt;30,10,('Scénario référence'!$B$16+'Scénario référence'!$B$17+'Scénario référence'!$B$18+'Scénario référence'!$B$9+'Scénario référence'!$B$10)*$A103*10/30+('Scénario référence'!$F$8+'Scénario référence'!$F$9)*10)</f>
        <v>10</v>
      </c>
      <c r="JX103" s="12" t="e">
        <f>VLOOKUP($A103,'Données projet'!$A$382:$I$402,2,0)</f>
        <v>#N/A</v>
      </c>
      <c r="JY103" s="12" t="e">
        <f>VLOOKUP($A103,'Données projet'!$A$382:$I$402,9,0)</f>
        <v>#N/A</v>
      </c>
      <c r="JZ103" s="12">
        <f t="array" ref="JZ103">INDEX(JY:JY,MIN(IF(ISNUMBER(JY103:JY299),ROW(JY103:JY299),"")))</f>
        <v>6.9935897435897401</v>
      </c>
      <c r="KA103" s="12">
        <f>IF('Données projet'!$A$382&gt;35,KA102+JZ103-KI102,IF($A103&lt;'Données projet'!$A$382,$CQ$205^$A103,IF($A103='Données projet'!$A$382,'Données projet'!$B$382,KA102+JZ103-KI102)))</f>
        <v>277.2243589743594</v>
      </c>
      <c r="KB103" s="17">
        <f>KA103*VLOOKUP('Données projet'!$B$22,Paramètres!$A$1:$I$89,3,0)*VLOOKUP('Données projet'!$B$22,Paramètres!$A$1:$I$89,5,0)</f>
        <v>185.96210000000031</v>
      </c>
      <c r="KC103" s="13">
        <f t="shared" si="208"/>
        <v>46.646117476357418</v>
      </c>
      <c r="KD103" s="20">
        <f t="shared" si="159"/>
        <v>405.12597877132293</v>
      </c>
      <c r="KE103" s="59">
        <f t="shared" si="160"/>
        <v>698.45931210465619</v>
      </c>
      <c r="KF103" s="59">
        <f ca="1">AVERAGE(OFFSET($KE$3,0,0,'Données projet'!$E$22+1,1))-AVERAGE(OFFSET($H$3,0,0,'Données projet'!$E$22+1,1))</f>
        <v>193.91714772848269</v>
      </c>
      <c r="KG103" s="59">
        <f t="shared" si="209"/>
        <v>159.20429420478047</v>
      </c>
      <c r="KH103" s="15">
        <f>IF(ISNA(VLOOKUP($A103,'Données projet'!$A$382:$I$402,3,0)),0,VLOOKUP($A103,'Données projet'!$A$382:$I$402,3,0))</f>
        <v>0</v>
      </c>
      <c r="KI103" s="15">
        <f>IF(ISNA(VLOOKUP($A103,'Données projet'!$A$382:$I$402,4,0)),0,VLOOKUP($A103,'Données projet'!$A$382:$I$402,4,0))</f>
        <v>0</v>
      </c>
      <c r="KJ103" s="16">
        <f>IF(ISNA(VLOOKUP($A103,'Données projet'!$A$382:$I$402,5,0)),0%,VLOOKUP($A103,'Données projet'!$A$382:$I$402,5,0)*VLOOKUP('Données projet'!$B$22,Paramètres!$A$1:$I$89,7,0))</f>
        <v>0</v>
      </c>
      <c r="KK103" s="16">
        <f>IF(ISNA(VLOOKUP($A103,'Données projet'!$A$382:$I$402,6,0)),0%,VLOOKUP($A103,'Données projet'!$A$382:$I$402,6,0)*VLOOKUP('Données projet'!$B$22,Paramètres!$A$1:$I$89,7,0))</f>
        <v>0</v>
      </c>
      <c r="KL103" s="16">
        <f>IF(ISNA(VLOOKUP($A103,'Données projet'!$A$382:$I$402,7,0)),0%,VLOOKUP($A103,'Données projet'!$A$382:$I$402,7,0))</f>
        <v>0</v>
      </c>
      <c r="KM103" s="21">
        <f>EXP(-LN(2)/35)*KM102+(1-EXP(-LN(2)/35))/(LN(2)/35)*KI103*KJ103*VLOOKUP('Données projet'!$B$22,Paramètres!$A$1:$I$89,3,0)*0.475*44/12</f>
        <v>44.027247705603124</v>
      </c>
      <c r="KN103" s="21">
        <f>EXP(-LN(2)/25)*KN102+(1-EXP(-LN(2)/25))/(LN(2)/25)*Calculateur!KI103*Calculateur!KK103*VLOOKUP('Données projet'!$B$22,Paramètres!$A$1:$I$89,3,0)*0.475*44/12</f>
        <v>0</v>
      </c>
      <c r="KO103" s="21">
        <f>EXP(-LN(2)/2)*KO102+(1-EXP(-LN(2)/2))/(LN(2)/2)*KI103*KL103*VLOOKUP('Données projet'!$B$22,Paramètres!$A$1:$I$89,3,0)*0.475*44/12</f>
        <v>0</v>
      </c>
      <c r="KP103" s="22">
        <f t="shared" si="161"/>
        <v>44.027247705603124</v>
      </c>
      <c r="KQ103" s="74">
        <f>('Scénario référence'!$F$8+'Scénario référence'!$F$9+'Scénario référence'!$B$17+'Scénario référence'!$B$9+'Scénario référence'!$B$10)*70+IF((45+25*(1-EXP(-0.0175*$A103)))&lt;70,'Scénario référence'!$B$16*(45+25*(1-EXP(-0.0175*$A103))),70*'Scénario référence'!$B$16)+IF((32+38*(1-EXP(-0.0175*$A103)))&lt;70,'Scénario référence'!$B$18*(32+38*(1-EXP(-0.0175*$A103))),70*'Scénario référence'!$B$18)</f>
        <v>70</v>
      </c>
      <c r="KR103" s="12">
        <f>IF($A103&gt;30,10,('Scénario référence'!$B$16+'Scénario référence'!$B$17+'Scénario référence'!$B$18+'Scénario référence'!$B$9+'Scénario référence'!$B$10)*$A103*10/30+('Scénario référence'!$F$8+'Scénario référence'!$F$9)*10)</f>
        <v>10</v>
      </c>
      <c r="KS103" s="12" t="e">
        <f>VLOOKUP($A103,'Données projet'!$A$408:$I$428,2,0)</f>
        <v>#N/A</v>
      </c>
      <c r="KT103" s="12" t="e">
        <f>VLOOKUP($A103,'Données projet'!$A$408:$I$428,9,0)</f>
        <v>#N/A</v>
      </c>
      <c r="KU103" s="12">
        <f t="array" ref="KU103">INDEX(KT:KT,MIN(IF(ISNUMBER(KT103:KT299),ROW(KT103:KT299),"")))</f>
        <v>0</v>
      </c>
      <c r="KV103" s="12">
        <f>IF('Données projet'!$A$408&gt;35,KV102+KU103-LD102,IF($A103&lt;'Données projet'!$A$408,$CQ$205^$A103,IF($A103='Données projet'!$A$408,'Données projet'!$B$408,KV102+KU103-LD102)))</f>
        <v>-1.1368683772161603E-13</v>
      </c>
      <c r="KW103" s="17">
        <f>KV103*VLOOKUP('Données projet'!$B$23,Paramètres!$A$1:$I$89,3,0)*VLOOKUP('Données projet'!$B$23,Paramètres!$A$1:$I$89,5,0)</f>
        <v>-9.9316821433603781E-14</v>
      </c>
      <c r="KX103" s="13" t="e">
        <f t="shared" si="210"/>
        <v>#NUM!</v>
      </c>
      <c r="KY103" s="14" t="e">
        <f t="shared" si="162"/>
        <v>#NUM!</v>
      </c>
      <c r="KZ103" s="59" t="e">
        <f t="shared" si="163"/>
        <v>#NUM!</v>
      </c>
      <c r="LA103" s="59">
        <f ca="1">AVERAGE(OFFSET($KZ$3,0,0,'Données projet'!$E$23+1,1))-AVERAGE(OFFSET($H$3,0,0,'Données projet'!$E$23+1,1))</f>
        <v>248.33596943633819</v>
      </c>
      <c r="LB103" s="59">
        <f t="shared" si="211"/>
        <v>242.34010522344573</v>
      </c>
      <c r="LC103" s="15">
        <f>IF(ISNA(VLOOKUP($A103,'Données projet'!$A$408:$I$428,3,0)),0,VLOOKUP($A103,'Données projet'!$A$408:$I$428,3,0))</f>
        <v>0</v>
      </c>
      <c r="LD103" s="15">
        <f>IF(ISNA(VLOOKUP($A103,'Données projet'!$A$408:$I$428,4,0)),0,VLOOKUP($A103,'Données projet'!$A$408:$I$428,4,0))</f>
        <v>0</v>
      </c>
      <c r="LE103" s="16">
        <f>IF(ISNA(VLOOKUP($A103,'Données projet'!$A$408:$I$428,5,0)),0%,VLOOKUP($A103,'Données projet'!$A$408:$I$428,5,0)*VLOOKUP('Données projet'!$B$23,Paramètres!$A$1:$I$89,7,0))</f>
        <v>0</v>
      </c>
      <c r="LF103" s="16">
        <f>IF(ISNA(VLOOKUP($A103,'Données projet'!$A$408:$I$428,6,0)),0%,VLOOKUP($A103,'Données projet'!$A$408:$I$428,6,0)*VLOOKUP('Données projet'!$B$23,Paramètres!$A$1:$I$89,7,0))</f>
        <v>0</v>
      </c>
      <c r="LG103" s="16">
        <f>IF(ISNA(VLOOKUP($A103,'Données projet'!$A$408:$I$428,7,0)),0%,VLOOKUP($A103,'Données projet'!$A$408:$I$428,7,0))</f>
        <v>0</v>
      </c>
      <c r="LH103" s="21">
        <f>EXP(-LN(2)/35)*LH102+(1-EXP(-LN(2)/35))/(LN(2)/35)*LD103*LE103*VLOOKUP('Données projet'!$B$23,Paramètres!$A$1:$I$89,3,0)*0.475*44/12</f>
        <v>82.921181692791151</v>
      </c>
      <c r="LI103" s="21">
        <f>EXP(-LN(2)/25)*LI102+(1-EXP(-LN(2)/25))/(LN(2)/25)*Calculateur!LD103*Calculateur!LF103*VLOOKUP('Données projet'!$B$23,Paramètres!$A$1:$I$89,3,0)*0.475*44/12</f>
        <v>12.507664374251023</v>
      </c>
      <c r="LJ103" s="21">
        <f>EXP(-LN(2)/2)*LJ102+(1-EXP(-LN(2)/2))/(LN(2)/2)*LD103*LG103*VLOOKUP('Données projet'!$B$23,Paramètres!$A$1:$I$89,3,0)*0.475*44/12</f>
        <v>0</v>
      </c>
      <c r="LK103" s="22">
        <f t="shared" si="164"/>
        <v>95.428846067042173</v>
      </c>
      <c r="LL103" s="74">
        <f>('Scénario référence'!$F$8+'Scénario référence'!$F$9+'Scénario référence'!$B$17+'Scénario référence'!$B$9+'Scénario référence'!$B$10)*70+IF((45+25*(1-EXP(-0.0175*$A103)))&lt;70,'Scénario référence'!$B$16*(45+25*(1-EXP(-0.0175*$A103))),70*'Scénario référence'!$B$16)+IF((32+38*(1-EXP(-0.0175*$A103)))&lt;70,'Scénario référence'!$B$18*(32+38*(1-EXP(-0.0175*$A103))),70*'Scénario référence'!$B$18)</f>
        <v>70</v>
      </c>
      <c r="LM103" s="12">
        <f>IF($A103&gt;30,10,('Scénario référence'!$B$16+'Scénario référence'!$B$17+'Scénario référence'!$B$18+'Scénario référence'!$B$9+'Scénario référence'!$B$10)*$A103*10/30+('Scénario référence'!$F$8+'Scénario référence'!$F$9)*10)</f>
        <v>10</v>
      </c>
      <c r="LN103" s="12" t="e">
        <f>VLOOKUP($A103,'Données projet'!$A$434:$I$454,2,0)</f>
        <v>#N/A</v>
      </c>
      <c r="LO103" s="12" t="e">
        <f>VLOOKUP($A103,'Données projet'!$A$434:$I$454,9,0)</f>
        <v>#N/A</v>
      </c>
      <c r="LP103" s="12">
        <f t="array" ref="LP103">INDEX(LO:LO,MIN(IF(ISNUMBER(LO103:LO299),ROW(LO103:LO299),"")))</f>
        <v>5.2583333333333373</v>
      </c>
      <c r="LQ103" s="12">
        <f>IF('Données projet'!$A$434&gt;35,LQ102+LP103-LY102,IF($A103&lt;'Données projet'!$A$434,$CQ$205^$A103,IF($A103='Données projet'!$A$434,'Données projet'!$B$434,LQ102+LP103-LY102)))</f>
        <v>218.99423076923048</v>
      </c>
      <c r="LR103" s="17">
        <f>LQ103*VLOOKUP('Données projet'!$B$24,Paramètres!$A$1:$I$89,3,0)*VLOOKUP('Données projet'!$B$24,Paramètres!$A$1:$I$89,5,0)</f>
        <v>222.06014999999974</v>
      </c>
      <c r="LS103" s="13">
        <f t="shared" si="212"/>
        <v>54.562405957952684</v>
      </c>
      <c r="LT103" s="14">
        <f t="shared" si="165"/>
        <v>481.78428496010048</v>
      </c>
      <c r="LU103" s="59">
        <f t="shared" si="166"/>
        <v>775.11761829343379</v>
      </c>
      <c r="LV103" s="59">
        <f ca="1">AVERAGE(OFFSET($LU$3,0,0,'Données projet'!$E$24+1,1))-AVERAGE(OFFSET($H$3,0,0,'Données projet'!$E$24+1,1))</f>
        <v>260.52627655062872</v>
      </c>
      <c r="LW103" s="59">
        <f t="shared" si="213"/>
        <v>159.20429420478047</v>
      </c>
      <c r="LX103" s="15">
        <f>IF(ISNA(VLOOKUP($A103,'Données projet'!$A$434:$I$454,3,0)),0,VLOOKUP($A103,'Données projet'!$A$434:$I$454,3,0))</f>
        <v>0</v>
      </c>
      <c r="LY103" s="15">
        <f>IF(ISNA(VLOOKUP($A103,'Données projet'!$A$434:$I$454,4,0)),0,VLOOKUP($A103,'Données projet'!$A$434:$I$454,4,0))</f>
        <v>0</v>
      </c>
      <c r="LZ103" s="16">
        <f>IF(ISNA(VLOOKUP($A103,'Données projet'!$A$434:$I$454,5,0)),0%,VLOOKUP($A103,'Données projet'!$A$434:$I$454,5,0)*VLOOKUP('Données projet'!$B$24,Paramètres!$A$1:$I$89,7,0))</f>
        <v>0</v>
      </c>
      <c r="MA103" s="16">
        <f>IF(ISNA(VLOOKUP($A103,'Données projet'!$A$434:$I$454,6,0)),0%,VLOOKUP($A103,'Données projet'!$A$434:$I$454,6,0)*VLOOKUP('Données projet'!$B$24,Paramètres!$A$1:$I$89,7,0))</f>
        <v>0</v>
      </c>
      <c r="MB103" s="16">
        <f>IF(ISNA(VLOOKUP($A103,'Données projet'!$A$434:$I$454,7,0)),0%,VLOOKUP($A103,'Données projet'!$A$434:$I$454,7,0))</f>
        <v>0</v>
      </c>
      <c r="MC103" s="21">
        <f>EXP(-LN(2)/35)*MC102+(1-EXP(-LN(2)/35))/(LN(2)/35)*LY103*LZ103*VLOOKUP('Données projet'!$B$24,Paramètres!$A$1:$I$89,3,0)*0.475*44/12</f>
        <v>23.816964100858204</v>
      </c>
      <c r="MD103" s="21">
        <f>EXP(-LN(2)/25)*MD102+(1-EXP(-LN(2)/25))/(LN(2)/25)*Calculateur!LY103*Calculateur!MA103*VLOOKUP('Données projet'!$B$24,Paramètres!$A$1:$I$89,3,0)*0.475*44/12</f>
        <v>0</v>
      </c>
      <c r="ME103" s="21">
        <f>EXP(-LN(2)/2)*ME102+(1-EXP(-LN(2)/2))/(LN(2)/2)*LY103*MB103*VLOOKUP('Données projet'!$B$24,Paramètres!$A$1:$I$89,3,0)*0.475*44/12</f>
        <v>0</v>
      </c>
      <c r="MF103" s="22">
        <f t="shared" si="167"/>
        <v>23.816964100858204</v>
      </c>
      <c r="MG103" s="74">
        <f>('Scénario référence'!$F$8+'Scénario référence'!$F$9+'Scénario référence'!$B$17+'Scénario référence'!$B$9+'Scénario référence'!$B$10)*70+IF((45+25*(1-EXP(-0.0175*$A103)))&lt;70,'Scénario référence'!$B$16*(45+25*(1-EXP(-0.0175*$A103))),70*'Scénario référence'!$B$16)+IF((32+38*(1-EXP(-0.0175*$A103)))&lt;70,'Scénario référence'!$B$18*(32+38*(1-EXP(-0.0175*$A103))),70*'Scénario référence'!$B$18)</f>
        <v>70</v>
      </c>
      <c r="MH103" s="12">
        <f>IF($A103&gt;30,10,('Scénario référence'!$B$16+'Scénario référence'!$B$17+'Scénario référence'!$B$18+'Scénario référence'!$B$9+'Scénario référence'!$B$10)*$A103*10/30+('Scénario référence'!$F$8+'Scénario référence'!$F$9)*10)</f>
        <v>10</v>
      </c>
      <c r="MI103" s="12" t="e">
        <f>VLOOKUP($A103,'Données projet'!$A$460:$I$480,2,0)</f>
        <v>#N/A</v>
      </c>
      <c r="MJ103" s="12" t="e">
        <f>VLOOKUP($A103,'Données projet'!$A$460:$I$480,9,0)</f>
        <v>#N/A</v>
      </c>
      <c r="MK103" s="12">
        <f t="array" ref="MK103">INDEX(MJ:MJ,MIN(IF(ISNUMBER(MJ103:MJ299),ROW(MJ103:MJ299),"")))</f>
        <v>0</v>
      </c>
      <c r="ML103" s="12">
        <f>IF('Données projet'!$A$460&gt;35,ML102+MK103-MT102,IF($A103&lt;'Données projet'!$A$460,$CQ$205^$A103,IF($A103='Données projet'!$A$460,'Données projet'!$B$460,ML102+MK103-MT102)))</f>
        <v>0</v>
      </c>
      <c r="MM103" s="17" t="e">
        <f>ML103*VLOOKUP('Données projet'!$B$25,Paramètres!$A$1:$I$89,3,0)*VLOOKUP('Données projet'!$B$25,Paramètres!$A$1:$I$89,5,0)</f>
        <v>#N/A</v>
      </c>
      <c r="MN103" s="13" t="e">
        <f t="shared" si="214"/>
        <v>#N/A</v>
      </c>
      <c r="MO103" s="14" t="e">
        <f t="shared" si="168"/>
        <v>#N/A</v>
      </c>
      <c r="MP103" s="59" t="e">
        <f t="shared" si="169"/>
        <v>#N/A</v>
      </c>
      <c r="MQ103" s="20" t="e">
        <f ca="1">AVERAGE(OFFSET($MP$3,0,0,'Données projet'!$E$25+1,1))-AVERAGE(OFFSET($H$3,0,0,'Données projet'!$E$25+1,1))</f>
        <v>#N/A</v>
      </c>
      <c r="MR103" s="59" t="e">
        <f t="shared" si="215"/>
        <v>#N/A</v>
      </c>
      <c r="MS103" s="15">
        <f>IF(ISNA(VLOOKUP($A103,'Données projet'!$A$460:$I$480,3,0)),0,VLOOKUP($A103,'Données projet'!$A$460:$I$480,3,0))</f>
        <v>0</v>
      </c>
      <c r="MT103" s="15">
        <f>IF(ISNA(VLOOKUP($A103,'Données projet'!$A$460:$I$480,4,0)),0,VLOOKUP($A103,'Données projet'!$A$460:$I$480,4,0))</f>
        <v>0</v>
      </c>
      <c r="MU103" s="16">
        <f>IF(ISNA(VLOOKUP($A103,'Données projet'!$A$460:$I$480,5,0)),0%,VLOOKUP($A103,'Données projet'!$A$460:$I$480,5,0)*VLOOKUP('Données projet'!$B$25,Paramètres!$A$1:$I$89,7,0))</f>
        <v>0</v>
      </c>
      <c r="MV103" s="16">
        <f>IF(ISNA(VLOOKUP($A103,'Données projet'!$A$460:$I$480,6,0)),0%,VLOOKUP($A103,'Données projet'!$A$460:$I$480,6,0)*VLOOKUP('Données projet'!$B$25,Paramètres!$A$1:$I$89,7,0))</f>
        <v>0</v>
      </c>
      <c r="MW103" s="16">
        <f>IF(ISNA(VLOOKUP($A103,'Données projet'!$A$460:$I$480,7,0)),0%,VLOOKUP($A103,'Données projet'!$A$460:$I$480,7,0))</f>
        <v>0</v>
      </c>
      <c r="MX103" s="21" t="e">
        <f>EXP(-LN(2)/35)*MX102+(1-EXP(-LN(2)/35))/(LN(2)/35)*MT103*MU103*VLOOKUP('Données projet'!$B$25,Paramètres!$A$1:$I$89,3,0)*0.475*44/12</f>
        <v>#N/A</v>
      </c>
      <c r="MY103" s="21" t="e">
        <f>EXP(-LN(2)/25)*MY102+(1-EXP(-LN(2)/25))/(LN(2)/25)*Calculateur!MT103*Calculateur!MV103*VLOOKUP('Données projet'!$B$25,Paramètres!$A$1:$I$89,3,0)*0.475*44/12</f>
        <v>#N/A</v>
      </c>
      <c r="MZ103" s="21" t="e">
        <f>EXP(-LN(2)/2)*MZ102+(1-EXP(-LN(2)/2))/(LN(2)/2)*MT103*MW103*VLOOKUP('Données projet'!$B$25,Paramètres!$A$1:$I$89,3,0)*0.475*44/12</f>
        <v>#N/A</v>
      </c>
      <c r="NA103" s="22" t="e">
        <f t="shared" si="170"/>
        <v>#N/A</v>
      </c>
      <c r="NB103" s="74">
        <f>('Scénario référence'!$F$8+'Scénario référence'!$F$9+'Scénario référence'!$B$17+'Scénario référence'!$B$9+'Scénario référence'!$B$10)*70+IF((45+25*(1-EXP(-0.0175*$A103)))&lt;70,'Scénario référence'!$B$16*(45+25*(1-EXP(-0.0175*$A103))),70*'Scénario référence'!$B$16)+IF((32+38*(1-EXP(-0.0175*$A103)))&lt;70,'Scénario référence'!$B$18*(32+38*(1-EXP(-0.0175*$A103))),70*'Scénario référence'!$B$18)</f>
        <v>70</v>
      </c>
      <c r="NC103" s="12">
        <f>IF($A103&gt;30,10,('Scénario référence'!$B$16+'Scénario référence'!$B$17+'Scénario référence'!$B$18+'Scénario référence'!$B$9+'Scénario référence'!$B$10)*$A103*10/30+('Scénario référence'!$F$8+'Scénario référence'!$F$9)*10)</f>
        <v>10</v>
      </c>
      <c r="ND103" s="12" t="e">
        <f>VLOOKUP($A103,'Données projet'!$A$486:$I$506,2,0)</f>
        <v>#N/A</v>
      </c>
      <c r="NE103" s="12" t="e">
        <f>VLOOKUP($A103,'Données projet'!$A$486:$I$506,9,0)</f>
        <v>#N/A</v>
      </c>
      <c r="NF103" s="12">
        <f t="array" ref="NF103">INDEX(NE:NE,MIN(IF(ISNUMBER(NE103:NE299),ROW(NE103:NE299),"")))</f>
        <v>0</v>
      </c>
      <c r="NG103" s="12">
        <f>IF('Données projet'!$A$486&gt;35,NG102+NF103-NO102,IF($A103&lt;'Données projet'!$A$486,$CQ$205^$A103,IF($A103='Données projet'!$A$486,'Données projet'!$B$486,NG102+NF103-NO102)))</f>
        <v>0</v>
      </c>
      <c r="NH103" s="17" t="e">
        <f>NG103*VLOOKUP('Données projet'!$B$26,Paramètres!$A$1:$I$89,3,0)*VLOOKUP('Données projet'!$B$26,Paramètres!$A$1:$I$89,5,0)</f>
        <v>#N/A</v>
      </c>
      <c r="NI103" s="13" t="e">
        <f t="shared" si="216"/>
        <v>#N/A</v>
      </c>
      <c r="NJ103" s="14" t="e">
        <f t="shared" si="171"/>
        <v>#N/A</v>
      </c>
      <c r="NK103" s="59" t="e">
        <f t="shared" si="172"/>
        <v>#N/A</v>
      </c>
      <c r="NL103" s="20" t="e">
        <f ca="1">AVERAGE(OFFSET($NK$3,0,0,'Données projet'!$E$26+1,1))-AVERAGE(OFFSET($H$3,0,0,'Données projet'!$E$26+1,1))</f>
        <v>#N/A</v>
      </c>
      <c r="NM103" s="59" t="e">
        <f t="shared" si="217"/>
        <v>#N/A</v>
      </c>
      <c r="NN103" s="15">
        <f>IF(ISNA(VLOOKUP($A103,'Données projet'!$A$486:$I$506,3,0)),0,VLOOKUP($A103,'Données projet'!$A$486:$I$506,3,0))</f>
        <v>0</v>
      </c>
      <c r="NO103" s="15">
        <f>IF(ISNA(VLOOKUP($A103,'Données projet'!$A$486:$I$506,4,0)),0,VLOOKUP($A103,'Données projet'!$A$486:$I$506,4,0))</f>
        <v>0</v>
      </c>
      <c r="NP103" s="16">
        <f>IF(ISNA(VLOOKUP($A103,'Données projet'!$A$486:$I$506,5,0)),0%,VLOOKUP($A103,'Données projet'!$A$486:$I$506,5,0)*VLOOKUP('Données projet'!$B$26,Paramètres!$A$1:$I$89,7,0))</f>
        <v>0</v>
      </c>
      <c r="NQ103" s="16">
        <f>IF(ISNA(VLOOKUP($A103,'Données projet'!$A$486:$I$506,6,0)),0%,VLOOKUP($A103,'Données projet'!$A$486:$I$506,6,0)*VLOOKUP('Données projet'!$B$26,Paramètres!$A$1:$I$89,7,0))</f>
        <v>0</v>
      </c>
      <c r="NR103" s="16">
        <f>IF(ISNA(VLOOKUP($A103,'Données projet'!$A$486:$I$506,7,0)),0%,VLOOKUP($A103,'Données projet'!$A$486:$I$506,7,0))</f>
        <v>0</v>
      </c>
      <c r="NS103" s="21" t="e">
        <f>EXP(-LN(2)/35)*NS102+(1-EXP(-LN(2)/35))/(LN(2)/35)*NO103*NP103*VLOOKUP('Données projet'!$B$26,Paramètres!$A$1:$I$89,3,0)*0.475*44/12</f>
        <v>#N/A</v>
      </c>
      <c r="NT103" s="21" t="e">
        <f>EXP(-LN(2)/25)*NT102+(1-EXP(-LN(2)/25))/(LN(2)/25)*Calculateur!NO103*Calculateur!NQ103*VLOOKUP('Données projet'!$B$26,Paramètres!$A$1:$I$89,3,0)*0.475*44/12</f>
        <v>#N/A</v>
      </c>
      <c r="NU103" s="21" t="e">
        <f>EXP(-LN(2)/2)*NU102+(1-EXP(-LN(2)/2))/(LN(2)/2)*NO103*NR103*VLOOKUP('Données projet'!$B$26,Paramètres!$A$1:$I$89,3,0)*0.475*44/12</f>
        <v>#N/A</v>
      </c>
      <c r="NV103" s="22" t="e">
        <f t="shared" si="173"/>
        <v>#N/A</v>
      </c>
      <c r="NW103" s="74">
        <f>('Scénario référence'!$F$8+'Scénario référence'!$F$9+'Scénario référence'!$B$17+'Scénario référence'!$B$9+'Scénario référence'!$B$10)*70+IF((45+25*(1-EXP(-0.0175*$A103)))&lt;70,'Scénario référence'!$B$16*(45+25*(1-EXP(-0.0175*$A103))),70*'Scénario référence'!$B$16)+IF((32+38*(1-EXP(-0.0175*$A103)))&lt;70,'Scénario référence'!$B$18*(32+38*(1-EXP(-0.0175*$A103))),70*'Scénario référence'!$B$18)</f>
        <v>70</v>
      </c>
      <c r="NX103" s="12">
        <f>IF($A103&gt;30,10,('Scénario référence'!$B$16+'Scénario référence'!$B$17+'Scénario référence'!$B$18+'Scénario référence'!$B$9+'Scénario référence'!$B$10)*$A103*10/30+('Scénario référence'!$F$8+'Scénario référence'!$F$9)*10)</f>
        <v>10</v>
      </c>
      <c r="NY103" s="12" t="e">
        <f>VLOOKUP($A103,'Données projet'!$A$512:$I$532,2,0)</f>
        <v>#N/A</v>
      </c>
      <c r="NZ103" s="12" t="e">
        <f>VLOOKUP($A103,'Données projet'!$A$512:$I$532,9,0)</f>
        <v>#N/A</v>
      </c>
      <c r="OA103" s="12">
        <f t="array" ref="OA103">INDEX(NZ:NZ,MIN(IF(ISNUMBER(NZ103:NZ299),ROW(NZ103:NZ299),"")))</f>
        <v>0</v>
      </c>
      <c r="OB103" s="12">
        <f>IF('Données projet'!$A$512&gt;35,OB102+OA103-OJ102,IF($A103&lt;'Données projet'!$A$512,$CQ$205^$A103,IF($A103='Données projet'!$A$512,'Données projet'!$B$512,OB102+OA103-OJ102)))</f>
        <v>0</v>
      </c>
      <c r="OC103" s="17" t="e">
        <f>OB103*VLOOKUP('Données projet'!$B$27,Paramètres!$A$1:$I$89,3,0)*VLOOKUP('Données projet'!$B$27,Paramètres!$A$1:$I$89,5,0)</f>
        <v>#N/A</v>
      </c>
      <c r="OD103" s="13" t="e">
        <f t="shared" si="218"/>
        <v>#N/A</v>
      </c>
      <c r="OE103" s="14" t="e">
        <f t="shared" si="174"/>
        <v>#N/A</v>
      </c>
      <c r="OF103" s="59" t="e">
        <f t="shared" si="175"/>
        <v>#N/A</v>
      </c>
      <c r="OG103" s="20" t="e">
        <f ca="1">AVERAGE(OFFSET($OF$3,0,0,'Données projet'!$E$27+1,1))-AVERAGE(OFFSET($H$3,0,0,'Données projet'!$E$27+1,1))</f>
        <v>#N/A</v>
      </c>
      <c r="OH103" s="59" t="e">
        <f t="shared" si="219"/>
        <v>#N/A</v>
      </c>
      <c r="OI103" s="15">
        <f>IF(ISNA(VLOOKUP($A103,'Données projet'!$A$512:$I$532,3,0)),0,VLOOKUP($A103,'Données projet'!$A$512:$I$532,3,0))</f>
        <v>0</v>
      </c>
      <c r="OJ103" s="15">
        <f>IF(ISNA(VLOOKUP($A103,'Données projet'!$A$512:$I$532,4,0)),0,VLOOKUP($A103,'Données projet'!$A$512:$I$532,4,0))</f>
        <v>0</v>
      </c>
      <c r="OK103" s="16">
        <f>IF(ISNA(VLOOKUP($A103,'Données projet'!$A$512:$I$532,5,0)),0%,VLOOKUP($A103,'Données projet'!$A$512:$I$532,5,0)*VLOOKUP('Données projet'!$B$27,Paramètres!$A$1:$I$89,7,0))</f>
        <v>0</v>
      </c>
      <c r="OL103" s="16">
        <f>IF(ISNA(VLOOKUP($A103,'Données projet'!$A$512:$I$532,6,0)),0%,VLOOKUP($A103,'Données projet'!$A$512:$I$532,6,0)*VLOOKUP('Données projet'!$B$27,Paramètres!$A$1:$I$89,7,0))</f>
        <v>0</v>
      </c>
      <c r="OM103" s="16">
        <f>IF(ISNA(VLOOKUP($A103,'Données projet'!$A$512:$I$532,7,0)),0%,VLOOKUP($A103,'Données projet'!$A$512:$I$532,7,0))</f>
        <v>0</v>
      </c>
      <c r="ON103" s="21" t="e">
        <f>EXP(-LN(2)/35)*ON102+(1-EXP(-LN(2)/35))/(LN(2)/35)*OJ103*OK103*VLOOKUP('Données projet'!$B$27,Paramètres!$A$1:$I$89,3,0)*0.475*44/12</f>
        <v>#N/A</v>
      </c>
      <c r="OO103" s="21" t="e">
        <f>EXP(-LN(2)/25)*OO102+(1-EXP(-LN(2)/25))/(LN(2)/25)*Calculateur!OJ103*Calculateur!OL103*VLOOKUP('Données projet'!$B$27,Paramètres!$A$1:$I$89,3,0)*0.475*44/12</f>
        <v>#N/A</v>
      </c>
      <c r="OP103" s="21" t="e">
        <f>EXP(-LN(2)/2)*OP102+(1-EXP(-LN(2)/2))/(LN(2)/2)*OJ103*OM103*VLOOKUP('Données projet'!$B$27,Paramètres!$A$1:$I$89,3,0)*0.475*44/12</f>
        <v>#N/A</v>
      </c>
      <c r="OQ103" s="22" t="e">
        <f t="shared" si="176"/>
        <v>#N/A</v>
      </c>
      <c r="OR103" s="74">
        <f>('Scénario référence'!$F$8+'Scénario référence'!$F$9+'Scénario référence'!$B$17+'Scénario référence'!$B$9+'Scénario référence'!$B$10)*70+IF((45+25*(1-EXP(-0.0175*$A103)))&lt;70,'Scénario référence'!$B$16*(45+25*(1-EXP(-0.0175*$A103))),70*'Scénario référence'!$B$16)+IF((32+38*(1-EXP(-0.0175*$A103)))&lt;70,'Scénario référence'!$B$18*(32+38*(1-EXP(-0.0175*$A103))),70*'Scénario référence'!$B$18)</f>
        <v>70</v>
      </c>
      <c r="OS103" s="12">
        <f>IF($A103&gt;30,10,('Scénario référence'!$B$16+'Scénario référence'!$B$17+'Scénario référence'!$B$18+'Scénario référence'!$B$9+'Scénario référence'!$B$10)*$A103*10/30+('Scénario référence'!$F$8+'Scénario référence'!$F$9)*10)</f>
        <v>10</v>
      </c>
      <c r="OT103" s="12" t="e">
        <f>VLOOKUP($A103,'Données projet'!$A$538:$I$558,2,0)</f>
        <v>#N/A</v>
      </c>
      <c r="OU103" s="12" t="e">
        <f>VLOOKUP($A103,'Données projet'!$A$538:$I$558,9,0)</f>
        <v>#N/A</v>
      </c>
      <c r="OV103" s="12">
        <f t="array" ref="OV103">INDEX(OU:OU,MIN(IF(ISNUMBER(OU103:OU299),ROW(OU103:OU299),"")))</f>
        <v>0</v>
      </c>
      <c r="OW103" s="12">
        <f>IF('Données projet'!$A$538&gt;35,OW102+OV103-PE102,IF($A103&lt;'Données projet'!$A$538,$CQ$205^$A103,IF($A103='Données projet'!$A$538,'Données projet'!$B$538,OW102+OV103-PE102)))</f>
        <v>0</v>
      </c>
      <c r="OX103" s="17" t="e">
        <f>OW103*VLOOKUP('Données projet'!$B$28,Paramètres!$A$1:$I$89,3,0)*VLOOKUP('Données projet'!$B$28,Paramètres!$A$1:$I$89,5,0)</f>
        <v>#N/A</v>
      </c>
      <c r="OY103" s="13" t="e">
        <f t="shared" si="220"/>
        <v>#N/A</v>
      </c>
      <c r="OZ103" s="14" t="e">
        <f t="shared" si="177"/>
        <v>#N/A</v>
      </c>
      <c r="PA103" s="59" t="e">
        <f t="shared" si="178"/>
        <v>#N/A</v>
      </c>
      <c r="PB103" s="20" t="e">
        <f ca="1">AVERAGE(OFFSET($PA$3,0,0,'Données projet'!$E$28+1,1))-AVERAGE(OFFSET($H$3,0,0,'Données projet'!$E$28+1,1))</f>
        <v>#N/A</v>
      </c>
      <c r="PC103" s="59" t="e">
        <f t="shared" si="221"/>
        <v>#N/A</v>
      </c>
      <c r="PD103" s="15">
        <f>IF(ISNA(VLOOKUP($A103,'Données projet'!$A$538:$I$558,3,0)),0,VLOOKUP($A103,'Données projet'!$A$538:$I$558,3,0))</f>
        <v>0</v>
      </c>
      <c r="PE103" s="15">
        <f>IF(ISNA(VLOOKUP($A103,'Données projet'!$A$538:$I$558,4,0)),0,VLOOKUP($A103,'Données projet'!$A$538:$I$558,4,0))</f>
        <v>0</v>
      </c>
      <c r="PF103" s="16">
        <f>IF(ISNA(VLOOKUP($A103,'Données projet'!$A$538:$I$558,5,0)),0%,VLOOKUP($A103,'Données projet'!$A$538:$I$558,5,0)*VLOOKUP('Données projet'!$B$28,Paramètres!$A$1:$I$89,7,0))</f>
        <v>0</v>
      </c>
      <c r="PG103" s="16">
        <f>IF(ISNA(VLOOKUP($A103,'Données projet'!$A$538:$I$558,6,0)),0%,VLOOKUP($A103,'Données projet'!$A$538:$I$558,6,0)*VLOOKUP('Données projet'!$B$28,Paramètres!$A$1:$I$89,7,0))</f>
        <v>0</v>
      </c>
      <c r="PH103" s="16">
        <f>IF(ISNA(VLOOKUP($A103,'Données projet'!$A$538:$I$558,7,0)),0%,VLOOKUP($A103,'Données projet'!$A$538:$I$558,7,0))</f>
        <v>0</v>
      </c>
      <c r="PI103" s="21" t="e">
        <f>EXP(-LN(2)/35)*PI102+(1-EXP(-LN(2)/35))/(LN(2)/35)*PE103*PF103*VLOOKUP('Données projet'!$B$28,Paramètres!$A$1:$I$89,3,0)*0.475*44/12</f>
        <v>#N/A</v>
      </c>
      <c r="PJ103" s="21" t="e">
        <f>EXP(-LN(2)/25)*PJ102+(1-EXP(-LN(2)/25))/(LN(2)/25)*Calculateur!PE103*Calculateur!PG103*VLOOKUP('Données projet'!$B$28,Paramètres!$A$1:$I$89,3,0)*0.475*44/12</f>
        <v>#N/A</v>
      </c>
      <c r="PK103" s="21" t="e">
        <f>EXP(-LN(2)/2)*PK102+(1-EXP(-LN(2)/2))/(LN(2)/2)*PE103*PH103*VLOOKUP('Données projet'!$B$28,Paramètres!$A$1:$I$89,3,0)*0.475*44/12</f>
        <v>#N/A</v>
      </c>
      <c r="PL103" s="22" t="e">
        <f t="shared" si="179"/>
        <v>#N/A</v>
      </c>
    </row>
    <row r="104" spans="1:428" x14ac:dyDescent="0.35">
      <c r="A104" s="10">
        <f t="shared" si="180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181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121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projet'!$A$45:$I$65,2,0)</f>
        <v>#N/A</v>
      </c>
      <c r="L104" s="12" t="e">
        <f>VLOOKUP(A104,'Données projet'!$A$45:$I$65,9,0)</f>
        <v>#N/A</v>
      </c>
      <c r="M104" s="12">
        <f t="array" ref="M104">INDEX(L:L,MIN(IF(ISNUMBER(L104:L300),ROW(L104:L300),"")))</f>
        <v>0</v>
      </c>
      <c r="N104" s="13">
        <f>IF('Données projet'!$A$46&gt;35,N103+M104-V103,IF(A104&lt;'Données projet'!$A$46,$K$205^A104,IF(A104='Données projet'!$A$46,'Données projet'!$B$46,N103+M104-V103)))</f>
        <v>-1.1368683772161603E-13</v>
      </c>
      <c r="O104" s="13">
        <f>N104*VLOOKUP('Données projet'!$B$9,Paramètres!$A$1:$I$89,3,0)*VLOOKUP('Données projet'!$B$9,Paramètres!$A$1:$I$89,5,0)</f>
        <v>-6.3550942286383367E-14</v>
      </c>
      <c r="P104" s="13" t="e">
        <f t="shared" si="182"/>
        <v>#NUM!</v>
      </c>
      <c r="Q104" s="20" t="e">
        <f t="shared" si="222"/>
        <v>#NUM!</v>
      </c>
      <c r="R104" s="59" t="e">
        <f t="shared" si="120"/>
        <v>#NUM!</v>
      </c>
      <c r="S104" s="59">
        <f ca="1">AVERAGE(OFFSET($R$3,0,0,'Données projet'!$E$9+1,1))-AVERAGE(OFFSET($H$3,0,0,'Données projet'!$E$9+1,1))</f>
        <v>274.57619581652199</v>
      </c>
      <c r="T104" s="59">
        <f t="shared" si="183"/>
        <v>366.15117322598775</v>
      </c>
      <c r="U104" s="15">
        <f>IF(ISNA(VLOOKUP(A104,'Données projet'!$A$45:$I$65,3,0)),0,VLOOKUP(A104,'Données projet'!$A$45:$I$65,3,0))</f>
        <v>0</v>
      </c>
      <c r="V104" s="15">
        <f>IF(ISNA(VLOOKUP(A104,'Données projet'!$A$45:$I$65,4,0)),0,VLOOKUP(A104,'Données projet'!$A$45:$I$65,4,0))</f>
        <v>0</v>
      </c>
      <c r="W104" s="16">
        <f>IF(ISNA(VLOOKUP(A104,'Données projet'!$A$45:$I$65,5,0)),0%,VLOOKUP(A104,'Données projet'!$A$45:$I$65,5,0)*VLOOKUP('Données projet'!$B$9,Paramètres!$A$1:$I$89,7,0))</f>
        <v>0</v>
      </c>
      <c r="X104" s="16">
        <f>IF(ISNA(VLOOKUP(A104,'Données projet'!$A$45:$I$65,6,0)),0%,VLOOKUP(A104,'Données projet'!$A$45:$I$65,6,0)*VLOOKUP('Données projet'!$B$9,Paramètres!$A$1:$I$89,7,0))</f>
        <v>0</v>
      </c>
      <c r="Y104" s="16">
        <f>IF(ISNA(VLOOKUP(A104,'Données projet'!$A$45:$I$65,7,0)),0%,VLOOKUP(A104,'Données projet'!$A$45:$I$65,7,0))</f>
        <v>0</v>
      </c>
      <c r="Z104" s="21">
        <f>EXP(-LN(2)/35)*Z103+(1-EXP(-LN(2)/35))/(LN(2)/35)*V104*W104*VLOOKUP('Données projet'!$B$9,Paramètres!$A$1:$I$89,3,0)*0.475*44/12</f>
        <v>91.144374825507398</v>
      </c>
      <c r="AA104" s="21">
        <f>EXP(-LN(2)/25)*AA103+(1-EXP(-LN(2)/25))/(LN(2)/25)*Calculateur!V104*Calculateur!X104*VLOOKUP('Données projet'!$B$9,Paramètres!$A$1:$I$89,3,0)*0.475*44/12</f>
        <v>16.091080087988935</v>
      </c>
      <c r="AB104" s="21">
        <f>EXP(-LN(2)/2)*AB103+(1-EXP(-LN(2)/2))/(LN(2)/2)*V104*Y104*VLOOKUP('Données projet'!$B$9,Paramètres!$A$1:$I$89,3,0)*0.475*44/12</f>
        <v>4.0723447804585067E-6</v>
      </c>
      <c r="AC104" s="22">
        <f t="shared" si="122"/>
        <v>107.23545898584112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projet'!$A$71:$I$91,2,0)</f>
        <v>#N/A</v>
      </c>
      <c r="AG104" s="12" t="e">
        <f>VLOOKUP(A104,'Données projet'!$A$71:$I$91,9,0)</f>
        <v>#N/A</v>
      </c>
      <c r="AH104" s="12">
        <f t="array" ref="AH104">INDEX(AG:AG,MIN(IF(ISNUMBER(AG104:AG300),ROW(AG104:AG300),"")))</f>
        <v>6.9935897435897401</v>
      </c>
      <c r="AI104" s="13">
        <f>IF('Données projet'!$A$72&gt;35,AI103+AH104-AQ103,IF(A104&lt;'Données projet'!$A$72,$AF$205^A104,IF(A104='Données projet'!$A$72,'Données projet'!$B$72,AI103+AH104-AQ103)))</f>
        <v>284.21794871794918</v>
      </c>
      <c r="AJ104" s="13">
        <f>AI104*VLOOKUP('Données projet'!$B$10,Paramètres!$A$1:$I$89,3,0)*VLOOKUP('Données projet'!$B$10,Paramètres!$A$1:$I$89,5,0)</f>
        <v>257.16040000000038</v>
      </c>
      <c r="AK104" s="13">
        <f t="shared" si="184"/>
        <v>62.116703672873726</v>
      </c>
      <c r="AL104" s="20">
        <f t="shared" si="123"/>
        <v>556.07428889692233</v>
      </c>
      <c r="AM104" s="59">
        <f t="shared" si="124"/>
        <v>849.40762223025558</v>
      </c>
      <c r="AN104" s="59">
        <f ca="1">AVERAGE(OFFSET($AM$3,0,0,'Données projet'!$E$10+1,1))-AVERAGE(OFFSET($H$3,0,0,'Données projet'!$E$10+1,1))</f>
        <v>270.87836509222456</v>
      </c>
      <c r="AO104" s="59">
        <f t="shared" si="185"/>
        <v>205.24998237949734</v>
      </c>
      <c r="AP104" s="15">
        <f>IF(ISNA(VLOOKUP(A104,'Données projet'!$A$71:$I$91,3,0)),0,VLOOKUP(A104,'Données projet'!$A$71:$I$91,3,0))</f>
        <v>0</v>
      </c>
      <c r="AQ104" s="15">
        <f>IF(ISNA(VLOOKUP(A104,'Données projet'!$A$71:$I$91,4,0)),0,VLOOKUP(A104,'Données projet'!$A$71:$I$91,4,0))</f>
        <v>0</v>
      </c>
      <c r="AR104" s="16">
        <f>IF(ISNA(VLOOKUP(A104,'Données projet'!$A$71:$I$91,5,0)),0%,VLOOKUP(A104,'Données projet'!$A$71:$I$91,5,0)*VLOOKUP('Données projet'!$B$10,Paramètres!$A$1:$I$89,7,0))</f>
        <v>0</v>
      </c>
      <c r="AS104" s="16">
        <f>IF(ISNA(VLOOKUP(A104,'Données projet'!$A$71:$I$91,6,0)),0%,VLOOKUP(A104,'Données projet'!$A$71:$I$91,6,0)*VLOOKUP('Données projet'!$B$10,Paramètres!$A$1:$I$89,7,0))</f>
        <v>0</v>
      </c>
      <c r="AT104" s="16">
        <f>IF(ISNA(VLOOKUP(A104,'Données projet'!$A$71:$I$91,7,0)),0%,VLOOKUP(A104,'Données projet'!$A$71:$I$91,7,0))</f>
        <v>0</v>
      </c>
      <c r="AU104" s="21">
        <f>EXP(-LN(2)/35)*AU103+(1-EXP(-LN(2)/35))/(LN(2)/35)*AQ104*AR104*VLOOKUP('Données projet'!$B$10,Paramètres!$A$1:$I$89,3,0)*0.475*44/12</f>
        <v>47.235966291694567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125"/>
        <v>47.235966291694567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projet'!$A$97:$I$117,2,0)</f>
        <v>#N/A</v>
      </c>
      <c r="BB104" s="12" t="e">
        <f>VLOOKUP(A104,'Données projet'!$A$97:$I$117,9,0)</f>
        <v>#N/A</v>
      </c>
      <c r="BC104" s="12">
        <f t="array" ref="BC104">INDEX(BB:BB,MIN(IF(ISNUMBER(BB104:BB300),ROW(BB104:BB300),"")))</f>
        <v>0</v>
      </c>
      <c r="BD104" s="12">
        <f>IF('Données projet'!$A$98&gt;35,BD103+BC104-BL103,IF(A104&lt;'Données projet'!$A$98,$BA$205^A104,IF(A104='Données projet'!$A$98,'Données projet'!$B$98,BD103+BC104-BL103)))</f>
        <v>-1.1368683772161603E-13</v>
      </c>
      <c r="BE104" s="13">
        <f>BD104*VLOOKUP('Données projet'!$B$11,Paramètres!$A$1:$I$89,3,0)*VLOOKUP('Données projet'!$B$11,Paramètres!$A$1:$I$89,5,0)</f>
        <v>-5.0249582272954292E-14</v>
      </c>
      <c r="BF104" s="13" t="e">
        <f t="shared" si="186"/>
        <v>#NUM!</v>
      </c>
      <c r="BG104" s="20" t="e">
        <f t="shared" si="126"/>
        <v>#NUM!</v>
      </c>
      <c r="BH104" s="59" t="e">
        <f t="shared" si="127"/>
        <v>#NUM!</v>
      </c>
      <c r="BI104" s="59">
        <f ca="1">AVERAGE(OFFSET($BH$3,0,0,'Données projet'!$E$11+1,1))-AVERAGE(OFFSET($H$3,0,0,'Données projet'!$E$11+1,1))</f>
        <v>211.31057120485542</v>
      </c>
      <c r="BJ104" s="59">
        <f t="shared" si="187"/>
        <v>283.33292006714777</v>
      </c>
      <c r="BK104" s="15">
        <f>IF(ISNA(VLOOKUP(A104,'Données projet'!$A$97:$I$117,3,0)),0,VLOOKUP(A104,'Données projet'!$A$97:$I$117,3,0))</f>
        <v>0</v>
      </c>
      <c r="BL104" s="15">
        <f>IF(ISNA(VLOOKUP(A104,'Données projet'!$A$97:$I$117,4,0)),0,VLOOKUP(A104,'Données projet'!$A$97:$I$117,4,0))</f>
        <v>0</v>
      </c>
      <c r="BM104" s="16">
        <f>IF(ISNA(VLOOKUP(A104,'Données projet'!$A$97:$I$117,5,0)),0%,VLOOKUP(A104,'Données projet'!$A$97:$I$117,5,0)*VLOOKUP('Données projet'!$B$11,Paramètres!$A$1:$I$89,7,0))</f>
        <v>0</v>
      </c>
      <c r="BN104" s="16">
        <f>IF(ISNA(VLOOKUP(A104,'Données projet'!$A$97:$I$117,6,0)),0%,VLOOKUP(A104,'Données projet'!$A$97:$I$117,6,0)*VLOOKUP('Données projet'!$B$11,Paramètres!$A$1:$I$89,7,0))</f>
        <v>0</v>
      </c>
      <c r="BO104" s="16">
        <f>IF(ISNA(VLOOKUP(A104,'Données projet'!$A$97:$I$117,7,0)),0%,VLOOKUP(A104,'Données projet'!$A$97:$I$117,7,0))</f>
        <v>0</v>
      </c>
      <c r="BP104" s="21">
        <f>EXP(-LN(2)/35)*BP103+(1-EXP(-LN(2)/35))/(LN(2)/35)*BL104*BM104*VLOOKUP('Données projet'!$B$11,Paramètres!$A$1:$I$89,3,0)*0.475*44/12</f>
        <v>72.067645210866331</v>
      </c>
      <c r="BQ104" s="21">
        <f>EXP(-LN(2)/25)*BQ103+(1-EXP(-LN(2)/25))/(LN(2)/25)*Calculateur!BL104*Calculateur!BN104*VLOOKUP('Données projet'!$B$11,Paramètres!$A$1:$I$89,3,0)*0.475*44/12</f>
        <v>12.723179604456361</v>
      </c>
      <c r="BR104" s="21">
        <f>EXP(-LN(2)/2)*BR103+(1-EXP(-LN(2)/2))/(LN(2)/2)*BL104*BO104*VLOOKUP('Données projet'!$B$11,Paramètres!$A$1:$I$89,3,0)*0.475*44/12</f>
        <v>3.2199935473392838E-6</v>
      </c>
      <c r="BS104" s="22">
        <f t="shared" si="128"/>
        <v>84.790828035316238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projet'!$A$123:$I$143,2,0)</f>
        <v>#N/A</v>
      </c>
      <c r="BW104" s="12" t="e">
        <f>VLOOKUP(A104,'Données projet'!$A$123:$I$143,9,0)</f>
        <v>#N/A</v>
      </c>
      <c r="BX104" s="12">
        <f t="array" ref="BX104">INDEX(BW:BW,MIN(IF(ISNUMBER(BW104:BW300),ROW(BW104:BW300),"")))</f>
        <v>0</v>
      </c>
      <c r="BY104" s="12">
        <f>IF('Données projet'!$A$124&gt;35,BY103+BX104-CG103,IF(A104&lt;'Données projet'!$A$124,$BV$205^A104,IF(A104='Données projet'!$A$124,'Données projet'!$B$124,BY103+BX104-CG103)))</f>
        <v>0</v>
      </c>
      <c r="BZ104" s="13">
        <f>BY104*VLOOKUP('Données projet'!$B$12,Paramètres!$A$1:$I$89,3,0)*VLOOKUP('Données projet'!$B$12,Paramètres!$A$1:$I$89,5,0)</f>
        <v>0</v>
      </c>
      <c r="CA104" s="13" t="e">
        <f t="shared" si="188"/>
        <v>#NUM!</v>
      </c>
      <c r="CB104" s="20" t="e">
        <f t="shared" si="129"/>
        <v>#NUM!</v>
      </c>
      <c r="CC104" s="59" t="e">
        <f t="shared" si="130"/>
        <v>#NUM!</v>
      </c>
      <c r="CD104" s="59">
        <f ca="1">AVERAGE(OFFSET($CC$3,0,0,'Données projet'!$E$12+1,1))-AVERAGE(OFFSET($H$3,0,0,'Données projet'!$E$12+1,1))</f>
        <v>322.93502595881938</v>
      </c>
      <c r="CE104" s="59">
        <f t="shared" si="189"/>
        <v>302.67072119588164</v>
      </c>
      <c r="CF104" s="15">
        <f>IF(ISNA(VLOOKUP(A104,'Données projet'!$A$123:$I$143,3,0)),0,VLOOKUP(A104,'Données projet'!$A$123:$I$143,3,0))</f>
        <v>0</v>
      </c>
      <c r="CG104" s="15">
        <f>IF(ISNA(VLOOKUP(A104,'Données projet'!$A$123:$I$143,4,0)),0,VLOOKUP(A104,'Données projet'!$A$123:$I$143,4,0))</f>
        <v>0</v>
      </c>
      <c r="CH104" s="16">
        <f>IF(ISNA(VLOOKUP(A104,'Données projet'!$A$123:$I$143,5,0)),0%,VLOOKUP(A104,'Données projet'!$A$123:$I$143,5,0)*VLOOKUP('Données projet'!$B$12,Paramètres!$A$1:$I$89,7,0))</f>
        <v>0</v>
      </c>
      <c r="CI104" s="16">
        <f>IF(ISNA(VLOOKUP(A104,'Données projet'!$A$123:$I$143,6,0)),0%,VLOOKUP(A104,'Données projet'!$A$123:$I$143,6,0)*VLOOKUP('Données projet'!$B$12,Paramètres!$A$1:$I$89,7,0))</f>
        <v>0</v>
      </c>
      <c r="CJ104" s="16">
        <f>IF(ISNA(VLOOKUP(A104,'Données projet'!$A$123:$I$143,7,0)),0%,VLOOKUP(A104,'Données projet'!$A$123:$I$143,7,0))</f>
        <v>0</v>
      </c>
      <c r="CK104" s="21">
        <f>EXP(-LN(2)/35)*CK103+(1-EXP(-LN(2)/35))/(LN(2)/35)*CG104*CH104*VLOOKUP('Données projet'!$B$12,Paramètres!$A$1:$I$89,3,0)*0.475*44/12</f>
        <v>114.82117282958185</v>
      </c>
      <c r="CL104" s="21">
        <f>EXP(-LN(2)/25)*CL103+(1-EXP(-LN(2)/25))/(LN(2)/25)*Calculateur!CG104*Calculateur!CI104*VLOOKUP('Données projet'!$B$12,Paramètres!$A$1:$I$89,3,0)*0.475*44/12</f>
        <v>40.721872753729386</v>
      </c>
      <c r="CM104" s="21">
        <f>EXP(-LN(2)/2)*CM103+(1-EXP(-LN(2)/2))/(LN(2)/2)*CG104*CJ104*VLOOKUP('Données projet'!$B$12,Paramètres!$A$1:$I$89,3,0)*0.475*44/12</f>
        <v>0</v>
      </c>
      <c r="CN104" s="22">
        <f t="shared" si="131"/>
        <v>155.54304558331125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projet'!$A$149:$I$169,2,0)</f>
        <v>#N/A</v>
      </c>
      <c r="CR104" s="12" t="e">
        <f>VLOOKUP(A104,'Données projet'!$A$149:$I$169,9,0)</f>
        <v>#N/A</v>
      </c>
      <c r="CS104" s="12">
        <f t="array" ref="CS104">INDEX(CR:CR,MIN(IF(ISNUMBER(CR104:CR300),ROW(CR104:CR300),"")))</f>
        <v>5.2583333333333373</v>
      </c>
      <c r="CT104" s="12">
        <f>IF('Données projet'!$A$150&gt;35,CT103+CS104-DB103,IF(A104&lt;'Données projet'!$A$150,$CQ$205^A104,IF(A104='Données projet'!$A$150,'Données projet'!$B$150,CT103+CS104-DB103)))</f>
        <v>224.25256410256381</v>
      </c>
      <c r="CU104" s="17">
        <f>CT104*VLOOKUP('Données projet'!$B$13,Paramètres!$A$1:$I$89,3,0)*VLOOKUP('Données projet'!$B$13,Paramètres!$A$1:$I$89,5,0)</f>
        <v>227.39209999999972</v>
      </c>
      <c r="CV104" s="13">
        <f t="shared" si="190"/>
        <v>55.718418881655332</v>
      </c>
      <c r="CW104" s="20">
        <f t="shared" si="132"/>
        <v>493.08415371888253</v>
      </c>
      <c r="CX104" s="59">
        <f t="shared" si="133"/>
        <v>786.41748705221585</v>
      </c>
      <c r="CY104" s="59">
        <f ca="1">AVERAGE(OFFSET($CX$3,0,0,'Données projet'!$E$13+1,1))-AVERAGE(OFFSET($H$3,0,0,'Données projet'!$E$13+1,1))</f>
        <v>250.31277422753283</v>
      </c>
      <c r="CZ104" s="59">
        <f t="shared" si="191"/>
        <v>159.20429420478047</v>
      </c>
      <c r="DA104" s="15">
        <f>IF(ISNA(VLOOKUP(A104,'Données projet'!$A$149:$I$169,3,0)),0,VLOOKUP(A104,'Données projet'!$A$149:$I$169,3,0))</f>
        <v>0</v>
      </c>
      <c r="DB104" s="15">
        <f>IF(ISNA(VLOOKUP(A104,'Données projet'!$A$149:$I$169,4,0)),0,VLOOKUP(A104,'Données projet'!$A$149:$I$169,4,0))</f>
        <v>0</v>
      </c>
      <c r="DC104" s="16">
        <f>IF(ISNA(VLOOKUP(A104,'Données projet'!$A$149:$I$169,5,0)),0%,VLOOKUP(A104,'Données projet'!$A$149:$I$169,5,0)*VLOOKUP('Données projet'!$B$13,Paramètres!$A$1:$I$89,7,0))</f>
        <v>0</v>
      </c>
      <c r="DD104" s="16">
        <f>IF(ISNA(VLOOKUP(A104,'Données projet'!$A$149:$I$169,6,0)),0%,VLOOKUP(A104,'Données projet'!$A$149:$I$169,6,0)*VLOOKUP('Données projet'!$B$13,Paramètres!$A$1:$I$89,7,0))</f>
        <v>0</v>
      </c>
      <c r="DE104" s="16">
        <f>IF(ISNA(VLOOKUP(A104,'Données projet'!$A$149:$I$169,7,0)),0%,VLOOKUP(A104,'Données projet'!$A$149:$I$169,7,0))</f>
        <v>0</v>
      </c>
      <c r="DF104" s="21">
        <f>EXP(-LN(2)/35)*DF103+(1-EXP(-LN(2)/35))/(LN(2)/35)*DB104*DC104*VLOOKUP('Données projet'!$B$13,Paramètres!$A$1:$I$89,3,0)*0.475*44/12</f>
        <v>23.349927961754062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134"/>
        <v>23.349927961754062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projet'!$A$175:$I$195,2,0)</f>
        <v>#N/A</v>
      </c>
      <c r="DM104" s="12" t="e">
        <f>VLOOKUP(A104,'Données projet'!$A$175:$I$195,9,0)</f>
        <v>#N/A</v>
      </c>
      <c r="DN104" s="12">
        <f t="array" ref="DN104">INDEX(DM:DM,MIN(IF(ISNUMBER(DM104:DM300),ROW(DM104:DM300),"")))</f>
        <v>0</v>
      </c>
      <c r="DO104" s="12">
        <f>IF('Données projet'!$A$176&gt;35,DO103+DN104-DW103,IF(A104&lt;'Données projet'!$A$176,$DL$205^A104,IF(A104='Données projet'!$A$176,'Données projet'!$B$176,DO103+DN104-DW103)))</f>
        <v>-2.8421709430404007E-13</v>
      </c>
      <c r="DP104" s="17">
        <f>DO104*VLOOKUP('Données projet'!$B$14,Paramètres!$A$1:$I$89,3,0)*VLOOKUP('Données projet'!$B$14,Paramètres!$A$1:$I$89,5,0)</f>
        <v>-2.0838797354372215E-13</v>
      </c>
      <c r="DQ104" s="13" t="e">
        <f t="shared" si="192"/>
        <v>#NUM!</v>
      </c>
      <c r="DR104" s="20" t="e">
        <f t="shared" si="135"/>
        <v>#NUM!</v>
      </c>
      <c r="DS104" s="59" t="e">
        <f t="shared" si="136"/>
        <v>#NUM!</v>
      </c>
      <c r="DT104" s="59">
        <f ca="1">AVERAGE(OFFSET($DS$3,0,0,'Données projet'!$E$14+1,1))-AVERAGE(OFFSET($H$3,0,0,'Données projet'!$E$14+1,1))</f>
        <v>296.91321813251051</v>
      </c>
      <c r="DU104" s="59">
        <f t="shared" si="193"/>
        <v>291.0718079639509</v>
      </c>
      <c r="DV104" s="15">
        <f>IF(ISNA(VLOOKUP(A104,'Données projet'!$A$175:$I$195,3,0)),0,VLOOKUP(A104,'Données projet'!$A$175:$I$195,3,0))</f>
        <v>0</v>
      </c>
      <c r="DW104" s="15">
        <f>IF(ISNA(VLOOKUP(A104,'Données projet'!$A$175:$I$195,4,0)),0,VLOOKUP(A104,'Données projet'!$A$175:$I$195,4,0))</f>
        <v>0</v>
      </c>
      <c r="DX104" s="16">
        <f>IF(ISNA(VLOOKUP(A104,'Données projet'!$A$175:$I$195,5,0)),0%,VLOOKUP(A104,'Données projet'!$A$175:$I$195,5,0)*VLOOKUP('Données projet'!$B$14,Paramètres!$A$1:$I$89,7,0))</f>
        <v>0</v>
      </c>
      <c r="DY104" s="16">
        <f>IF(ISNA(VLOOKUP(A104,'Données projet'!$A$175:$I$195,6,0)),0%,VLOOKUP(A104,'Données projet'!$A$175:$I$195,6,0)*VLOOKUP('Données projet'!$B$14,Paramètres!$A$1:$I$89,7,0))</f>
        <v>0</v>
      </c>
      <c r="DZ104" s="16">
        <f>IF(ISNA(VLOOKUP(A104,'Données projet'!$A$175:$I$195,7,0)),0%,VLOOKUP(A104,'Données projet'!$A$175:$I$195,7,0))</f>
        <v>0</v>
      </c>
      <c r="EA104" s="21">
        <f>EXP(-LN(2)/35)*EA103+(1-EXP(-LN(2)/35))/(LN(2)/35)*DW104*DX104*VLOOKUP('Données projet'!$B$14,Paramètres!$A$1:$I$89,3,0)*0.475*44/12</f>
        <v>114.43984678343071</v>
      </c>
      <c r="EB104" s="21">
        <f>EXP(-LN(2)/25)*EB103+(1-EXP(-LN(2)/25))/(LN(2)/25)*Calculateur!DW104*Calculateur!DY104*VLOOKUP('Données projet'!$B$14,Paramètres!$A$1:$I$89,3,0)*0.475*44/12</f>
        <v>2.9914657050121889</v>
      </c>
      <c r="EC104" s="21">
        <f>EXP(-LN(2)/2)*EC103+(1-EXP(-LN(2)/2))/(LN(2)/2)*DW104*DZ104*VLOOKUP('Données projet'!$B$14,Paramètres!$A$1:$I$89,3,0)*0.475*44/12</f>
        <v>0</v>
      </c>
      <c r="ED104" s="22">
        <f t="shared" si="137"/>
        <v>117.4313124884429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projet'!$A$201:$I$221,2,0)</f>
        <v>#N/A</v>
      </c>
      <c r="EH104" s="12" t="e">
        <f>VLOOKUP(A104,'Données projet'!$A$201:$I$221,9,0)</f>
        <v>#N/A</v>
      </c>
      <c r="EI104" s="12">
        <f t="array" ref="EI104">INDEX(EH:EH,MIN(IF(ISNUMBER(EH104:EH300),ROW(EH104:EH300),"")))</f>
        <v>5.6546153846153828</v>
      </c>
      <c r="EJ104" s="12">
        <f>IF('Données projet'!$A$202&gt;35,EJ103+EI104-ER103,IF(A104&lt;'Données projet'!$A$202,$EG$205^A104,IF(A104='Données projet'!$A$202,'Données projet'!$B$202,EJ103+EI104-ER103)))</f>
        <v>210.85538461538505</v>
      </c>
      <c r="EK104" s="17">
        <f>EJ104*VLOOKUP('Données projet'!$B$15,Paramètres!$A$1:$I$89,3,0)*VLOOKUP('Données projet'!$B$15,Paramètres!$A$1:$I$89,5,0)</f>
        <v>98.680320000000208</v>
      </c>
      <c r="EL104" s="13">
        <f t="shared" si="194"/>
        <v>26.647359319385743</v>
      </c>
      <c r="EM104" s="20">
        <f t="shared" si="138"/>
        <v>218.27904148126387</v>
      </c>
      <c r="EN104" s="59">
        <f t="shared" si="139"/>
        <v>511.61237481459716</v>
      </c>
      <c r="EO104" s="59">
        <f ca="1">AVERAGE(OFFSET($EN$3,0,0,'Données projet'!$E$15+1,1))-AVERAGE(OFFSET($H$3,0,0,'Données projet'!$E$15+1,1))</f>
        <v>147.64256291235483</v>
      </c>
      <c r="EP104" s="59">
        <f t="shared" si="195"/>
        <v>70.859031694091868</v>
      </c>
      <c r="EQ104" s="15">
        <f>IF(ISNA(VLOOKUP(A104,'Données projet'!$A$201:$I$221,3,0)),0,VLOOKUP(A104,'Données projet'!$A$201:$I$221,3,0))</f>
        <v>0</v>
      </c>
      <c r="ER104" s="15">
        <f>IF(ISNA(VLOOKUP(A104,'Données projet'!$A$201:$I$221,4,0)),0,VLOOKUP(A104,'Données projet'!$A$201:$I$221,4,0))</f>
        <v>0</v>
      </c>
      <c r="ES104" s="16">
        <f>IF(ISNA(VLOOKUP(A104,'Données projet'!$A$201:$I$221,5,0)),0%,VLOOKUP(A104,'Données projet'!$A$201:$I$221,5,0)*VLOOKUP('Données projet'!$B$15,Paramètres!$A$1:$I$89,7,0))</f>
        <v>0</v>
      </c>
      <c r="ET104" s="16">
        <f>IF(ISNA(VLOOKUP(A104,'Données projet'!$A$201:$I$221,6,0)),0%,VLOOKUP(A104,'Données projet'!$A$201:$I$221,6,0)*VLOOKUP('Données projet'!$B$15,Paramètres!$A$1:$I$89,7,0))</f>
        <v>0</v>
      </c>
      <c r="EU104" s="16">
        <f>IF(ISNA(VLOOKUP(A104,'Données projet'!$A$201:$I$221,7,0)),0%,VLOOKUP(A104,'Données projet'!$A$201:$I$221,7,0))</f>
        <v>0</v>
      </c>
      <c r="EV104" s="21">
        <f>EXP(-LN(2)/35)*EV103+(1-EXP(-LN(2)/35))/(LN(2)/35)*ER104*ES104*VLOOKUP('Données projet'!$B$15,Paramètres!$A$1:$I$89,3,0)*0.475*44/12</f>
        <v>84.950276509264583</v>
      </c>
      <c r="EW104" s="21">
        <f>EXP(-LN(2)/25)*EW103+(1-EXP(-LN(2)/25))/(LN(2)/25)*Calculateur!ER104*Calculateur!ET104*VLOOKUP('Données projet'!$B$15,Paramètres!$A$1:$I$89,3,0)*0.475*44/12</f>
        <v>23.23692081496889</v>
      </c>
      <c r="EX104" s="21">
        <f>EXP(-LN(2)/2)*EX103+(1-EXP(-LN(2)/2))/(LN(2)/2)*ER104*EU104*VLOOKUP('Données projet'!$B$15,Paramètres!$A$1:$I$89,3,0)*0.475*44/12</f>
        <v>6.9818973726275839</v>
      </c>
      <c r="EY104" s="22">
        <f t="shared" si="140"/>
        <v>115.16909469686105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projet'!$A$227:$I$247,2,0)</f>
        <v>#N/A</v>
      </c>
      <c r="FC104" s="12" t="e">
        <f>VLOOKUP(A104,'Données projet'!$A$227:$I$247,9,0)</f>
        <v>#N/A</v>
      </c>
      <c r="FD104" s="12">
        <f t="array" ref="FD104">INDEX(FC:FC,MIN(IF(ISNUMBER(FC104:FC300),ROW(FC104:FC300),"")))</f>
        <v>0</v>
      </c>
      <c r="FE104" s="12">
        <f>IF('Données projet'!$A$228&gt;35,FE103+FD104-FM103,IF(A104&lt;'Données projet'!$A$228,$FB$205^A104,IF(A104='Données projet'!$A$228,'Données projet'!$B$228,FE103+FD104-FM103)))</f>
        <v>8.5265128291212022E-14</v>
      </c>
      <c r="FF104" s="17">
        <f>FE104*VLOOKUP('Données projet'!$B$16,Paramètres!$A$1:$I$89,3,0)*VLOOKUP('Données projet'!$B$16,Paramètres!$A$1:$I$89,5,0)</f>
        <v>8.9119112089974823E-14</v>
      </c>
      <c r="FG104" s="13">
        <f t="shared" si="196"/>
        <v>1.3568952080113142E-12</v>
      </c>
      <c r="FH104" s="20">
        <f t="shared" si="141"/>
        <v>2.5184749408430782E-12</v>
      </c>
      <c r="FI104" s="59">
        <f t="shared" si="142"/>
        <v>293.33333333333582</v>
      </c>
      <c r="FJ104" s="59">
        <f ca="1">AVERAGE(OFFSET($FI$3,0,0,'Données projet'!$E$16+1,1))-AVERAGE(OFFSET($H$3,0,0,'Données projet'!$E$16+1,1))</f>
        <v>259.03906550253788</v>
      </c>
      <c r="FK104" s="59">
        <f t="shared" si="197"/>
        <v>235.54542903570831</v>
      </c>
      <c r="FL104" s="15">
        <f>IF(ISNA(VLOOKUP(A104,'Données projet'!$A$227:$I$247,3,0)),0,VLOOKUP(A104,'Données projet'!$A$227:$I$247,3,0))</f>
        <v>0</v>
      </c>
      <c r="FM104" s="15">
        <f>IF(ISNA(VLOOKUP(A104,'Données projet'!$A$227:$I$247,4,0)),0,VLOOKUP(A104,'Données projet'!$A$227:$I$247,4,0))</f>
        <v>0</v>
      </c>
      <c r="FN104" s="16">
        <f>IF(ISNA(VLOOKUP(A104,'Données projet'!$A$227:$I$247,5,0)),0%,VLOOKUP(A104,'Données projet'!$A$227:$I$247,5,0)*VLOOKUP('Données projet'!$B$16,Paramètres!$A$1:$I$89,7,0))</f>
        <v>0</v>
      </c>
      <c r="FO104" s="16">
        <f>IF(ISNA(VLOOKUP(A104,'Données projet'!$A$227:$I$247,6,0)),0%,VLOOKUP(A104,'Données projet'!$A$227:$I$247,6,0)*VLOOKUP('Données projet'!$B$16,Paramètres!$A$1:$I$89,7,0))</f>
        <v>0</v>
      </c>
      <c r="FP104" s="16">
        <f>IF(ISNA(VLOOKUP(A104,'Données projet'!$A$227:$I$247,7,0)),0%,VLOOKUP(A104,'Données projet'!$A$227:$I$247,7,0))</f>
        <v>0</v>
      </c>
      <c r="FQ104" s="21">
        <f>EXP(-LN(2)/35)*FQ103+(1-EXP(-LN(2)/35))/(LN(2)/35)*FM104*FN104*VLOOKUP('Données projet'!$B$16,Paramètres!$A$1:$I$89,3,0)*0.475*44/12</f>
        <v>69.1498599550074</v>
      </c>
      <c r="FR104" s="21">
        <f>EXP(-LN(2)/25)*FR103+(1-EXP(-LN(2)/25))/(LN(2)/25)*Calculateur!FM104*Calculateur!FO104*VLOOKUP('Données projet'!$B$16,Paramètres!$A$1:$I$89,3,0)*0.475*44/12</f>
        <v>57.095413288322291</v>
      </c>
      <c r="FS104" s="21">
        <f>EXP(-LN(2)/2)*FS103+(1-EXP(-LN(2)/2))/(LN(2)/2)*FM104*FP104*VLOOKUP('Données projet'!$B$16,Paramètres!$A$1:$I$89,3,0)*0.475*44/12</f>
        <v>0</v>
      </c>
      <c r="FT104" s="22">
        <f t="shared" si="143"/>
        <v>126.24527324332969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projet'!$A$253:$I$273,2,0)</f>
        <v>#N/A</v>
      </c>
      <c r="FX104" s="12" t="e">
        <f>VLOOKUP(A104,'Données projet'!$A$253:$I$273,9,0)</f>
        <v>#N/A</v>
      </c>
      <c r="FY104" s="12">
        <f t="array" ref="FY104">INDEX(FX:FX,MIN(IF(ISNUMBER(FX104:FX300),ROW(FX104:FX300),"")))</f>
        <v>0</v>
      </c>
      <c r="FZ104" s="12">
        <f>IF('Données projet'!$A$254&gt;35,FZ103+FY104-GH103,IF(A104&lt;'Données projet'!$A$254,$FW$205^A104,IF(A104='Données projet'!$A$254,'Données projet'!$B$254,FZ103+FY104-GH103)))</f>
        <v>-1.7053025658242404E-13</v>
      </c>
      <c r="GA104" s="17">
        <f>FZ104*VLOOKUP('Données projet'!$B$17,Paramètres!$A$1:$I$89,3,0)*VLOOKUP('Données projet'!$B$17,Paramètres!$A$1:$I$89,5,0)</f>
        <v>-1.4897523215040567E-13</v>
      </c>
      <c r="GB104" s="13" t="e">
        <f t="shared" si="198"/>
        <v>#NUM!</v>
      </c>
      <c r="GC104" s="20" t="e">
        <f t="shared" si="144"/>
        <v>#NUM!</v>
      </c>
      <c r="GD104" s="59" t="e">
        <f t="shared" si="145"/>
        <v>#NUM!</v>
      </c>
      <c r="GE104" s="59">
        <f ca="1">AVERAGE(OFFSET($GD$3,0,0,'Données projet'!$E$17+1,1))-AVERAGE(OFFSET($H$3,0,0,'Données projet'!$E$17+1,1))</f>
        <v>245.1983232777614</v>
      </c>
      <c r="GF104" s="59">
        <f t="shared" si="199"/>
        <v>242.34010522344573</v>
      </c>
      <c r="GG104" s="15">
        <f>IF(ISNA(VLOOKUP(A104,'Données projet'!$A$253:$I$273,3,0)),0,VLOOKUP(A104,'Données projet'!$A$253:$I$273,3,0))</f>
        <v>0</v>
      </c>
      <c r="GH104" s="15">
        <f>IF(ISNA(VLOOKUP(A104,'Données projet'!$A$253:$I$273,4,0)),0,VLOOKUP(A104,'Données projet'!$A$253:$I$273,4,0))</f>
        <v>0</v>
      </c>
      <c r="GI104" s="16">
        <f>IF(ISNA(VLOOKUP(A104,'Données projet'!$A$253:$I$273,5,0)),0%,VLOOKUP(A104,'Données projet'!$A$253:$I$273,5,0)*VLOOKUP('Données projet'!$B$17,Paramètres!$A$1:$I$89,7,0))</f>
        <v>0</v>
      </c>
      <c r="GJ104" s="16">
        <f>IF(ISNA(VLOOKUP(A104,'Données projet'!$A$253:$I$273,6,0)),0%,VLOOKUP(A104,'Données projet'!$A$253:$I$273,6,0)*VLOOKUP('Données projet'!$B$17,Paramètres!$A$1:$I$89,7,0))</f>
        <v>0</v>
      </c>
      <c r="GK104" s="16">
        <f>IF(ISNA(VLOOKUP(A104,'Données projet'!$A$253:$I$273,7,0)),0%,VLOOKUP(A104,'Données projet'!$A$253:$I$273,7,0))</f>
        <v>0</v>
      </c>
      <c r="GL104" s="21">
        <f>EXP(-LN(2)/35)*GL103+(1-EXP(-LN(2)/35))/(LN(2)/35)*GH104*GI104*VLOOKUP('Données projet'!$B$17,Paramètres!$A$1:$I$89,3,0)*0.475*44/12</f>
        <v>81.295147896722298</v>
      </c>
      <c r="GM104" s="21">
        <f>EXP(-LN(2)/25)*GM103+(1-EXP(-LN(2)/25))/(LN(2)/25)*Calculateur!GH104*Calculateur!GJ104*VLOOKUP('Données projet'!$B$17,Paramètres!$A$1:$I$89,3,0)*0.475*44/12</f>
        <v>12.165641634187645</v>
      </c>
      <c r="GN104" s="21">
        <f>EXP(-LN(2)/2)*GN103+(1-EXP(-LN(2)/2))/(LN(2)/2)*GH104*GK104*VLOOKUP('Données projet'!$B$17,Paramètres!$A$1:$I$89,3,0)*0.475*44/12</f>
        <v>0</v>
      </c>
      <c r="GO104" s="21">
        <f t="shared" si="146"/>
        <v>93.460789530909949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projet'!$A$279:$I$299,2,0)</f>
        <v>#N/A</v>
      </c>
      <c r="GS104" s="12" t="e">
        <f>VLOOKUP(A104,'Données projet'!$A$279:$I$299,9,0)</f>
        <v>#N/A</v>
      </c>
      <c r="GT104" s="12">
        <f t="array" ref="GT104">INDEX(GS:GS,MIN(IF(ISNUMBER(GS104:GS300),ROW(GS104:GS300),"")))</f>
        <v>0</v>
      </c>
      <c r="GU104" s="12">
        <f>IF('Données projet'!$A$280&gt;35,GU103+GT104-HC103,IF(A104&lt;'Données projet'!$A$280,$GR$205^A104,IF(A104='Données projet'!$A$280,'Données projet'!$B$280,GU103+GT104-HC103)))</f>
        <v>-1.1368683772161603E-13</v>
      </c>
      <c r="GV104" s="17">
        <f>GU104*VLOOKUP('Données projet'!$B$18,Paramètres!$A$1:$I$89,3,0)*VLOOKUP('Données projet'!$B$18,Paramètres!$A$1:$I$89,5,0)</f>
        <v>-4.5815795601811263E-14</v>
      </c>
      <c r="GW104" s="13" t="e">
        <f t="shared" si="200"/>
        <v>#NUM!</v>
      </c>
      <c r="GX104" s="20" t="e">
        <f t="shared" si="147"/>
        <v>#NUM!</v>
      </c>
      <c r="GY104" s="59" t="e">
        <f t="shared" si="148"/>
        <v>#NUM!</v>
      </c>
      <c r="GZ104" s="59">
        <f ca="1">AVERAGE(OFFSET($GY$3,0,0,'Données projet'!$E$18+1,1))-AVERAGE(OFFSET($H$3,0,0,'Données projet'!$E$18+1,1))</f>
        <v>324.36162935850876</v>
      </c>
      <c r="HA104" s="59">
        <f t="shared" si="201"/>
        <v>265.23571072429735</v>
      </c>
      <c r="HB104" s="15">
        <f>IF(ISNA(VLOOKUP(A104,'Données projet'!$A$279:$I$299,3,0)),0,VLOOKUP(A104,'Données projet'!$A$279:$I$299,3,0))</f>
        <v>0</v>
      </c>
      <c r="HC104" s="15">
        <f>IF(ISNA(VLOOKUP(A104,'Données projet'!$A$279:$I$299,4,0)),0,VLOOKUP(A104,'Données projet'!$A$279:$I$299,4,0))</f>
        <v>0</v>
      </c>
      <c r="HD104" s="16">
        <f>IF(ISNA(VLOOKUP(A104,'Données projet'!$A$279:$I$299,5,0)),0%,VLOOKUP(A104,'Données projet'!$A$279:$I$299,5,0)*VLOOKUP('Données projet'!$B$18,Paramètres!$A$1:$I$89,7,0))</f>
        <v>0</v>
      </c>
      <c r="HE104" s="16">
        <f>IF(ISNA(VLOOKUP(A104,'Données projet'!$A$279:$I$299,6,0)),0%,VLOOKUP(A104,'Données projet'!$A$279:$I$299,6,0)*VLOOKUP('Données projet'!$B$18,Paramètres!$A$1:$I$89,7,0))</f>
        <v>0</v>
      </c>
      <c r="HF104" s="16">
        <f>IF(ISNA(VLOOKUP($A104,'Données projet'!$A$279:$I$299,7,0)),0%,VLOOKUP($A104,'Données projet'!$A$279:$I$299,7,0))</f>
        <v>0</v>
      </c>
      <c r="HG104" s="21">
        <f>EXP(-LN(2)/35)*HG103+(1-EXP(-LN(2)/35))/(LN(2)/35)*HC104*HD104*VLOOKUP('Données projet'!$B$18,Paramètres!$A$1:$I$89,3,0)*0.475*44/12</f>
        <v>155.7827554509548</v>
      </c>
      <c r="HH104" s="21">
        <f>EXP(-LN(2)/25)*HH103+(1-EXP(-LN(2)/25))/(LN(2)/25)*Calculateur!HC104*Calculateur!HE104*VLOOKUP('Données projet'!$B$18,Paramètres!$A$1:$I$89,3,0)*0.475*44/12</f>
        <v>13.530369517536947</v>
      </c>
      <c r="HI104" s="21">
        <f>EXP(-LN(2)/2)*HI103+(1-EXP(-LN(2)/2))/(LN(2)/2)*HC104*HF104*VLOOKUP('Données projet'!$B$18,Paramètres!$A$1:$I$89,3,0)*0.475*44/12</f>
        <v>5.9021386188730929E-3</v>
      </c>
      <c r="HJ104" s="22">
        <f t="shared" si="149"/>
        <v>169.3190271071106</v>
      </c>
      <c r="HK104" s="74">
        <f>('Scénario référence'!$F$8+'Scénario référence'!$F$9+'Scénario référence'!$B$17+'Scénario référence'!$B$9+'Scénario référence'!$B$10)*70+IF((45+25*(1-EXP(-0.0175*$A104)))&lt;70,'Scénario référence'!$B$16*(45+25*(1-EXP(-0.0175*$A104))),70*'Scénario référence'!$B$16)+IF((32+38*(1-EXP(-0.0175*$A104)))&lt;70,'Scénario référence'!$B$18*(32+38*(1-EXP(-0.0175*$A104))),70*'Scénario référence'!$B$18)</f>
        <v>70</v>
      </c>
      <c r="HL104" s="12">
        <f>IF($A104&gt;30,10,('Scénario référence'!$B$16+'Scénario référence'!$B$17+'Scénario référence'!$B$18+'Scénario référence'!$B$9+'Scénario référence'!$B$10)*$A104*10/30+('Scénario référence'!$F$8+'Scénario référence'!$F$9)*10)</f>
        <v>10</v>
      </c>
      <c r="HM104" s="12" t="e">
        <f>VLOOKUP($A104,'Données projet'!$A$304:$I$324,2,0)</f>
        <v>#N/A</v>
      </c>
      <c r="HN104" s="12" t="e">
        <f>VLOOKUP($A104,'Données projet'!$A$304:$I$324,9,0)</f>
        <v>#N/A</v>
      </c>
      <c r="HO104" s="12">
        <f t="array" ref="HO104">INDEX(HN:HN,MIN(IF(ISNUMBER(HN104:HN300),ROW(HN104:HN300),"")))</f>
        <v>0</v>
      </c>
      <c r="HP104" s="12">
        <f>IF('Données projet'!$A$304&gt;35,HP103+HO104-HX103,IF($A104&lt;'Données projet'!$A$304,$CQ$205^$A104,IF($A104='Données projet'!$A$304,'Données projet'!$B$304,HP103+HO104-HX103)))</f>
        <v>0</v>
      </c>
      <c r="HQ104" s="17">
        <f>HP104*VLOOKUP('Données projet'!$B$19,Paramètres!$A$1:$I$89,3,0)*VLOOKUP('Données projet'!$B$19,Paramètres!$A$1:$I$89,5,0)</f>
        <v>0</v>
      </c>
      <c r="HR104" s="13" t="e">
        <f t="shared" si="202"/>
        <v>#NUM!</v>
      </c>
      <c r="HS104" s="14" t="e">
        <f t="shared" si="150"/>
        <v>#NUM!</v>
      </c>
      <c r="HT104" s="59" t="e">
        <f t="shared" si="151"/>
        <v>#NUM!</v>
      </c>
      <c r="HU104" s="59">
        <f ca="1">AVERAGE(OFFSET(HT$3,0,0,'Données projet'!$E$19+1,1))-AVERAGE(OFFSET($H$3,0,0,'Données projet'!$E$19+1,1))</f>
        <v>91.60721429656013</v>
      </c>
      <c r="HV104" s="59">
        <f t="shared" si="203"/>
        <v>258.94957804210856</v>
      </c>
      <c r="HW104" s="15">
        <f>IF(ISNA(VLOOKUP($A104,'Données projet'!$A$304:$I$324,3,0)),0,VLOOKUP($A104,'Données projet'!$A$304:$I$324,3,0))</f>
        <v>0</v>
      </c>
      <c r="HX104" s="15">
        <f>IF(ISNA(VLOOKUP($A104,'Données projet'!$A$304:$I$324,4,0)),0,VLOOKUP($A104,'Données projet'!$A$304:$I$324,4,0))</f>
        <v>0</v>
      </c>
      <c r="HY104" s="16">
        <f>IF(ISNA(VLOOKUP($A104,'Données projet'!$A$304:$I$324,5,0)),0%,VLOOKUP($A104,'Données projet'!$A$304:$I$324,5,0)*VLOOKUP('Données projet'!$B$19,Paramètres!$A$1:$I$89,7,0))</f>
        <v>0</v>
      </c>
      <c r="HZ104" s="16">
        <f>IF(ISNA(VLOOKUP($A104,'Données projet'!$A$304:$I$324,6,0)),0%,VLOOKUP($A104,'Données projet'!$A$304:$I$324,6,0)*VLOOKUP('Données projet'!$B$19,Paramètres!$A$1:$I$89,7,0))</f>
        <v>0</v>
      </c>
      <c r="IA104" s="16">
        <f>IF(ISNA(VLOOKUP($A104,'Données projet'!$A$304:$I$324,7,0)),0%,VLOOKUP($A104,'Données projet'!$A$304:$I$324,7,0))</f>
        <v>0</v>
      </c>
      <c r="IB104" s="21">
        <f>EXP(-LN(2)/35)*IB103+(1-EXP(-LN(2)/35))/(LN(2)/35)*HX104*HY104*VLOOKUP('Données projet'!$B$19,Paramètres!$A$1:$I$89,3,0)*0.475*44/12</f>
        <v>12.091330115996229</v>
      </c>
      <c r="IC104" s="21">
        <f>EXP(-LN(2)/25)*IC103+(1-EXP(-LN(2)/25))/(LN(2)/25)*Calculateur!HX104*Calculateur!HZ104*VLOOKUP('Données projet'!$B$19,Paramètres!$A$1:$I$89,3,0)*0.475*44/12</f>
        <v>1.3585829872416424</v>
      </c>
      <c r="ID104" s="21">
        <f>EXP(-LN(2)/2)*ID103+(1-EXP(-LN(2)/2))/(LN(2)/2)*HX104*IA104*VLOOKUP('Données projet'!$B$19,Paramètres!$A$1:$I$89,3,0)*0.475*44/12</f>
        <v>1.1789023243256281E-11</v>
      </c>
      <c r="IE104" s="22">
        <f t="shared" si="152"/>
        <v>13.449913103249662</v>
      </c>
      <c r="IF104" s="74">
        <f>('Scénario référence'!$F$8+'Scénario référence'!$F$9+'Scénario référence'!$B$17+'Scénario référence'!$B$9+'Scénario référence'!$B$10)*70+IF((45+25*(1-EXP(-0.0175*$A104)))&lt;70,'Scénario référence'!$B$16*(45+25*(1-EXP(-0.0175*$A104))),70*'Scénario référence'!$B$16)+IF((32+38*(1-EXP(-0.0175*$A104)))&lt;70,'Scénario référence'!$B$18*(32+38*(1-EXP(-0.0175*$A104))),70*'Scénario référence'!$B$18)</f>
        <v>70</v>
      </c>
      <c r="IG104" s="12">
        <f>IF($A104&gt;30,10,('Scénario référence'!$B$16+'Scénario référence'!$B$17+'Scénario référence'!$B$18+'Scénario référence'!$B$9+'Scénario référence'!$B$10)*$A104*10/30+('Scénario référence'!$F$8+'Scénario référence'!$F$9)*10)</f>
        <v>10</v>
      </c>
      <c r="IH104" s="12" t="e">
        <f>VLOOKUP($A104,'Données projet'!$A$330:$I$350,2,0)</f>
        <v>#N/A</v>
      </c>
      <c r="II104" s="12" t="e">
        <f>VLOOKUP($A104,'Données projet'!$A$330:$I$350,9,0)</f>
        <v>#N/A</v>
      </c>
      <c r="IJ104" s="12">
        <f t="array" ref="IJ104">INDEX(II:II,MIN(IF(ISNUMBER(II104:II300),ROW(II104:II300),"")))</f>
        <v>0</v>
      </c>
      <c r="IK104" s="12">
        <f>IF('Données projet'!$A$330&gt;35,IK103+IJ104-IS103,IF($A104&lt;'Données projet'!$A$330,$CQ$205^$A104,IF($A104='Données projet'!$A$330,'Données projet'!$B$330,IK103+IJ104-IS103)))</f>
        <v>0</v>
      </c>
      <c r="IL104" s="17">
        <f>IK104*VLOOKUP('Données projet'!$B$20,Paramètres!$A$1:$I$89,3,0)*VLOOKUP('Données projet'!$B$20,Paramètres!$A$1:$I$89,5,0)</f>
        <v>0</v>
      </c>
      <c r="IM104" s="13" t="e">
        <f t="shared" si="204"/>
        <v>#NUM!</v>
      </c>
      <c r="IN104" s="20" t="e">
        <f t="shared" si="153"/>
        <v>#NUM!</v>
      </c>
      <c r="IO104" s="59" t="e">
        <f t="shared" si="154"/>
        <v>#NUM!</v>
      </c>
      <c r="IP104" s="59">
        <f ca="1">AVERAGE(OFFSET(IO$3,0,0,'Données projet'!$E$20+1,1))-AVERAGE(OFFSET($H$3,0,0,'Données projet'!$E$20+1,1))</f>
        <v>91.60721429656013</v>
      </c>
      <c r="IQ104" s="59">
        <f t="shared" si="205"/>
        <v>258.94957804210856</v>
      </c>
      <c r="IR104" s="15">
        <f>IF(ISNA(VLOOKUP($A104,'Données projet'!$A$330:$I$350,3,0)),0,VLOOKUP($A104,'Données projet'!$A$330:$I$350,3,0))</f>
        <v>0</v>
      </c>
      <c r="IS104" s="15">
        <f>IF(ISNA(VLOOKUP($A104,'Données projet'!$A$330:$I$350,4,0)),0,VLOOKUP($A104,'Données projet'!$A$330:$I$350,4,0))</f>
        <v>0</v>
      </c>
      <c r="IT104" s="16">
        <f>IF(ISNA(VLOOKUP($A104,'Données projet'!$A$330:$I$350,5,0)),0%,VLOOKUP($A104,'Données projet'!$A$330:$I$350,5,0)*VLOOKUP('Données projet'!$B$20,Paramètres!$A$1:$I$89,7,0))</f>
        <v>0</v>
      </c>
      <c r="IU104" s="16">
        <f>IF(ISNA(VLOOKUP($A104,'Données projet'!$A$330:$I$350,6,0)),0%,VLOOKUP($A104,'Données projet'!$A$330:$I$350,6,0)*VLOOKUP('Données projet'!$B$20,Paramètres!$A$1:$I$89,7,0))</f>
        <v>0</v>
      </c>
      <c r="IV104" s="16">
        <f>IF(ISNA(VLOOKUP($A104,'Données projet'!$A$330:$I$350,7,0)),0%,VLOOKUP($A104,'Données projet'!$A$330:$I$350,7,0))</f>
        <v>0</v>
      </c>
      <c r="IW104" s="21">
        <f>EXP(-LN(2)/35)*IW103+(1-EXP(-LN(2)/35))/(LN(2)/35)*IS104*IT104*VLOOKUP('Données projet'!$B$20,Paramètres!$A$1:$I$89,3,0)*0.475*44/12</f>
        <v>12.091330115996229</v>
      </c>
      <c r="IX104" s="21">
        <f>EXP(-LN(2)/25)*IX103+(1-EXP(-LN(2)/25))/(LN(2)/25)*Calculateur!IS104*Calculateur!IU104*VLOOKUP('Données projet'!$B$20,Paramètres!$A$1:$I$89,3,0)*0.475*44/12</f>
        <v>1.3585829872416424</v>
      </c>
      <c r="IY104" s="21">
        <f>EXP(-LN(2)/2)*IY103+(1-EXP(-LN(2)/2))/(LN(2)/2)*IS104*IV104*VLOOKUP('Données projet'!$B$20,Paramètres!$A$1:$I$89,3,0)*0.475*44/12</f>
        <v>1.1789023243256281E-11</v>
      </c>
      <c r="IZ104" s="22">
        <f t="shared" si="155"/>
        <v>13.449913103249662</v>
      </c>
      <c r="JA104" s="74">
        <f>('Scénario référence'!$F$8+'Scénario référence'!$F$9+'Scénario référence'!$B$17+'Scénario référence'!$B$9+'Scénario référence'!$B$10)*70+IF((45+25*(1-EXP(-0.0175*$A104)))&lt;70,'Scénario référence'!$B$16*(45+25*(1-EXP(-0.0175*$A104))),70*'Scénario référence'!$B$16)+IF((32+38*(1-EXP(-0.0175*$A104)))&lt;70,'Scénario référence'!$B$18*(32+38*(1-EXP(-0.0175*$A104))),70*'Scénario référence'!$B$18)</f>
        <v>70</v>
      </c>
      <c r="JB104" s="12">
        <f>IF($A104&gt;30,10,('Scénario référence'!$B$16+'Scénario référence'!$B$17+'Scénario référence'!$B$18+'Scénario référence'!$B$9+'Scénario référence'!$B$10)*$A104*10/30+('Scénario référence'!$F$8+'Scénario référence'!$F$9)*10)</f>
        <v>10</v>
      </c>
      <c r="JC104" s="12" t="e">
        <f>VLOOKUP($A104,'Données projet'!$A$356:$I$376,2,0)</f>
        <v>#N/A</v>
      </c>
      <c r="JD104" s="12" t="e">
        <f>VLOOKUP($A104,'Données projet'!$A$356:$I$376,9,0)</f>
        <v>#N/A</v>
      </c>
      <c r="JE104" s="12">
        <f t="array" ref="JE104">INDEX(JD:JD,MIN(IF(ISNUMBER(JD104:JD300),ROW(JD104:JD300),"")))</f>
        <v>4.2</v>
      </c>
      <c r="JF104" s="12">
        <f>IF('Données projet'!$A$356&gt;35,JF103+JE104-JN103,IF($A104&lt;'Données projet'!$A$356,$CQ$205^$A104,IF($A104='Données projet'!$A$356,'Données projet'!$B$356,JF103+JE104-JN103)))</f>
        <v>380.19999999999948</v>
      </c>
      <c r="JG104" s="17">
        <f>JF104*VLOOKUP('Données projet'!$B$21,Paramètres!$A$1:$I$89,3,0)*VLOOKUP('Données projet'!$B$21,Paramètres!$A$1:$I$89,5,0)</f>
        <v>308.41823999999957</v>
      </c>
      <c r="JH104" s="13">
        <f t="shared" si="206"/>
        <v>72.9383974442256</v>
      </c>
      <c r="JI104" s="20">
        <f t="shared" si="156"/>
        <v>664.19614354869202</v>
      </c>
      <c r="JJ104" s="59">
        <f t="shared" si="157"/>
        <v>957.52947688202539</v>
      </c>
      <c r="JK104" s="59">
        <f ca="1">AVERAGE(OFFSET($JJ$3,0,0,'Données projet'!$E$22+1,1))-AVERAGE(OFFSET($H$3,0,0,'Données projet'!$E$22+1,1))</f>
        <v>353.35574633294613</v>
      </c>
      <c r="JL104" s="59">
        <f t="shared" si="207"/>
        <v>170.36796666474726</v>
      </c>
      <c r="JM104" s="15">
        <f>IF(ISNA(VLOOKUP($A104,'Données projet'!$A$356:$I$376,3,0)),0,VLOOKUP($A104,'Données projet'!$A$356:$I$376,3,0))</f>
        <v>0</v>
      </c>
      <c r="JN104" s="15">
        <f>IF(ISNA(VLOOKUP($A104,'Données projet'!$A$356:$I$376,4,0)),0,VLOOKUP($A104,'Données projet'!$A$356:$I$376,4,0))</f>
        <v>0</v>
      </c>
      <c r="JO104" s="16">
        <f>IF(ISNA(VLOOKUP($A104,'Données projet'!$A$356:$I$376,5,0)),0%,VLOOKUP($A104,'Données projet'!$A$356:$I$376,5,0)*VLOOKUP('Données projet'!$B$21,Paramètres!$A$1:$I$89,7,0))</f>
        <v>0</v>
      </c>
      <c r="JP104" s="16">
        <f>IF(ISNA(VLOOKUP($A104,'Données projet'!$A$356:$I$376,6,0)),0%,VLOOKUP($A104,'Données projet'!$A$356:$I$376,6,0)*VLOOKUP('Données projet'!$B$21,Paramètres!$A$1:$I$89,7,0))</f>
        <v>0</v>
      </c>
      <c r="JQ104" s="16">
        <f>IF(ISNA(VLOOKUP($A104,'Données projet'!$A$356:$I$376,7,0)),0%,VLOOKUP($A104,'Données projet'!$A$356:$I$376,7,0))</f>
        <v>0</v>
      </c>
      <c r="JR104" s="21">
        <f>EXP(-LN(2)/35)*JR103+(1-EXP(-LN(2)/35))/(LN(2)/35)*JN104*JO104*VLOOKUP('Données projet'!$B$21,Paramètres!$A$1:$I$89,3,0)*0.475*44/12</f>
        <v>3.9784438003325504</v>
      </c>
      <c r="JS104" s="21">
        <f>EXP(-LN(2)/25)*JS103+(1-EXP(-LN(2)/25))/(LN(2)/25)*Calculateur!JN104*Calculateur!JP104*VLOOKUP('Données projet'!$B$21,Paramètres!$A$1:$I$89,3,0)*0.475*44/12</f>
        <v>17.274066085455754</v>
      </c>
      <c r="JT104" s="21">
        <f>EXP(-LN(2)/2)*JT103+(1-EXP(-LN(2)/2))/(LN(2)/2)*JN104*JQ104*VLOOKUP('Données projet'!$B$21,Paramètres!$A$1:$I$89,3,0)*0.475*44/12</f>
        <v>2.7351298742551067</v>
      </c>
      <c r="JU104" s="18">
        <f t="shared" si="158"/>
        <v>23.987639760043411</v>
      </c>
      <c r="JV104" s="74">
        <f>('Scénario référence'!$F$8+'Scénario référence'!$F$9+'Scénario référence'!$B$17+'Scénario référence'!$B$9+'Scénario référence'!$B$10)*70+IF((45+25*(1-EXP(-0.0175*$A104)))&lt;70,'Scénario référence'!$B$16*(45+25*(1-EXP(-0.0175*$A104))),70*'Scénario référence'!$B$16)+IF((32+38*(1-EXP(-0.0175*$A104)))&lt;70,'Scénario référence'!$B$18*(32+38*(1-EXP(-0.0175*$A104))),70*'Scénario référence'!$B$18)</f>
        <v>70</v>
      </c>
      <c r="JW104" s="12">
        <f>IF($A104&gt;30,10,('Scénario référence'!$B$16+'Scénario référence'!$B$17+'Scénario référence'!$B$18+'Scénario référence'!$B$9+'Scénario référence'!$B$10)*$A104*10/30+('Scénario référence'!$F$8+'Scénario référence'!$F$9)*10)</f>
        <v>10</v>
      </c>
      <c r="JX104" s="12" t="e">
        <f>VLOOKUP($A104,'Données projet'!$A$382:$I$402,2,0)</f>
        <v>#N/A</v>
      </c>
      <c r="JY104" s="12" t="e">
        <f>VLOOKUP($A104,'Données projet'!$A$382:$I$402,9,0)</f>
        <v>#N/A</v>
      </c>
      <c r="JZ104" s="12">
        <f t="array" ref="JZ104">INDEX(JY:JY,MIN(IF(ISNUMBER(JY104:JY300),ROW(JY104:JY300),"")))</f>
        <v>6.9935897435897401</v>
      </c>
      <c r="KA104" s="12">
        <f>IF('Données projet'!$A$382&gt;35,KA103+JZ104-KI103,IF($A104&lt;'Données projet'!$A$382,$CQ$205^$A104,IF($A104='Données projet'!$A$382,'Données projet'!$B$382,KA103+JZ104-KI103)))</f>
        <v>284.21794871794913</v>
      </c>
      <c r="KB104" s="17">
        <f>KA104*VLOOKUP('Données projet'!$B$22,Paramètres!$A$1:$I$89,3,0)*VLOOKUP('Données projet'!$B$22,Paramètres!$A$1:$I$89,5,0)</f>
        <v>190.65340000000029</v>
      </c>
      <c r="KC104" s="13">
        <f t="shared" si="208"/>
        <v>47.684381438359047</v>
      </c>
      <c r="KD104" s="20">
        <f t="shared" si="159"/>
        <v>415.10496933847588</v>
      </c>
      <c r="KE104" s="59">
        <f t="shared" si="160"/>
        <v>708.4383026718092</v>
      </c>
      <c r="KF104" s="59">
        <f ca="1">AVERAGE(OFFSET($KE$3,0,0,'Données projet'!$E$22+1,1))-AVERAGE(OFFSET($H$3,0,0,'Données projet'!$E$22+1,1))</f>
        <v>193.91714772848269</v>
      </c>
      <c r="KG104" s="59">
        <f t="shared" si="209"/>
        <v>159.20429420478047</v>
      </c>
      <c r="KH104" s="15">
        <f>IF(ISNA(VLOOKUP($A104,'Données projet'!$A$382:$I$402,3,0)),0,VLOOKUP($A104,'Données projet'!$A$382:$I$402,3,0))</f>
        <v>0</v>
      </c>
      <c r="KI104" s="15">
        <f>IF(ISNA(VLOOKUP($A104,'Données projet'!$A$382:$I$402,4,0)),0,VLOOKUP($A104,'Données projet'!$A$382:$I$402,4,0))</f>
        <v>0</v>
      </c>
      <c r="KJ104" s="16">
        <f>IF(ISNA(VLOOKUP($A104,'Données projet'!$A$382:$I$402,5,0)),0%,VLOOKUP($A104,'Données projet'!$A$382:$I$402,5,0)*VLOOKUP('Données projet'!$B$22,Paramètres!$A$1:$I$89,7,0))</f>
        <v>0</v>
      </c>
      <c r="KK104" s="16">
        <f>IF(ISNA(VLOOKUP($A104,'Données projet'!$A$382:$I$402,6,0)),0%,VLOOKUP($A104,'Données projet'!$A$382:$I$402,6,0)*VLOOKUP('Données projet'!$B$22,Paramètres!$A$1:$I$89,7,0))</f>
        <v>0</v>
      </c>
      <c r="KL104" s="16">
        <f>IF(ISNA(VLOOKUP($A104,'Données projet'!$A$382:$I$402,7,0)),0%,VLOOKUP($A104,'Données projet'!$A$382:$I$402,7,0))</f>
        <v>0</v>
      </c>
      <c r="KM104" s="21">
        <f>EXP(-LN(2)/35)*KM103+(1-EXP(-LN(2)/35))/(LN(2)/35)*KI104*KJ104*VLOOKUP('Données projet'!$B$22,Paramètres!$A$1:$I$89,3,0)*0.475*44/12</f>
        <v>43.163900232065735</v>
      </c>
      <c r="KN104" s="21">
        <f>EXP(-LN(2)/25)*KN103+(1-EXP(-LN(2)/25))/(LN(2)/25)*Calculateur!KI104*Calculateur!KK104*VLOOKUP('Données projet'!$B$22,Paramètres!$A$1:$I$89,3,0)*0.475*44/12</f>
        <v>0</v>
      </c>
      <c r="KO104" s="21">
        <f>EXP(-LN(2)/2)*KO103+(1-EXP(-LN(2)/2))/(LN(2)/2)*KI104*KL104*VLOOKUP('Données projet'!$B$22,Paramètres!$A$1:$I$89,3,0)*0.475*44/12</f>
        <v>0</v>
      </c>
      <c r="KP104" s="22">
        <f t="shared" si="161"/>
        <v>43.163900232065735</v>
      </c>
      <c r="KQ104" s="74">
        <f>('Scénario référence'!$F$8+'Scénario référence'!$F$9+'Scénario référence'!$B$17+'Scénario référence'!$B$9+'Scénario référence'!$B$10)*70+IF((45+25*(1-EXP(-0.0175*$A104)))&lt;70,'Scénario référence'!$B$16*(45+25*(1-EXP(-0.0175*$A104))),70*'Scénario référence'!$B$16)+IF((32+38*(1-EXP(-0.0175*$A104)))&lt;70,'Scénario référence'!$B$18*(32+38*(1-EXP(-0.0175*$A104))),70*'Scénario référence'!$B$18)</f>
        <v>70</v>
      </c>
      <c r="KR104" s="12">
        <f>IF($A104&gt;30,10,('Scénario référence'!$B$16+'Scénario référence'!$B$17+'Scénario référence'!$B$18+'Scénario référence'!$B$9+'Scénario référence'!$B$10)*$A104*10/30+('Scénario référence'!$F$8+'Scénario référence'!$F$9)*10)</f>
        <v>10</v>
      </c>
      <c r="KS104" s="12" t="e">
        <f>VLOOKUP($A104,'Données projet'!$A$408:$I$428,2,0)</f>
        <v>#N/A</v>
      </c>
      <c r="KT104" s="12" t="e">
        <f>VLOOKUP($A104,'Données projet'!$A$408:$I$428,9,0)</f>
        <v>#N/A</v>
      </c>
      <c r="KU104" s="12">
        <f t="array" ref="KU104">INDEX(KT:KT,MIN(IF(ISNUMBER(KT104:KT300),ROW(KT104:KT300),"")))</f>
        <v>0</v>
      </c>
      <c r="KV104" s="12">
        <f>IF('Données projet'!$A$408&gt;35,KV103+KU104-LD103,IF($A104&lt;'Données projet'!$A$408,$CQ$205^$A104,IF($A104='Données projet'!$A$408,'Données projet'!$B$408,KV103+KU104-LD103)))</f>
        <v>-1.1368683772161603E-13</v>
      </c>
      <c r="KW104" s="17">
        <f>KV104*VLOOKUP('Données projet'!$B$23,Paramètres!$A$1:$I$89,3,0)*VLOOKUP('Données projet'!$B$23,Paramètres!$A$1:$I$89,5,0)</f>
        <v>-9.9316821433603781E-14</v>
      </c>
      <c r="KX104" s="13" t="e">
        <f t="shared" si="210"/>
        <v>#NUM!</v>
      </c>
      <c r="KY104" s="14" t="e">
        <f t="shared" si="162"/>
        <v>#NUM!</v>
      </c>
      <c r="KZ104" s="59" t="e">
        <f t="shared" si="163"/>
        <v>#NUM!</v>
      </c>
      <c r="LA104" s="59">
        <f ca="1">AVERAGE(OFFSET($KZ$3,0,0,'Données projet'!$E$23+1,1))-AVERAGE(OFFSET($H$3,0,0,'Données projet'!$E$23+1,1))</f>
        <v>248.33596943633819</v>
      </c>
      <c r="LB104" s="59">
        <f t="shared" si="211"/>
        <v>242.34010522344573</v>
      </c>
      <c r="LC104" s="15">
        <f>IF(ISNA(VLOOKUP($A104,'Données projet'!$A$408:$I$428,3,0)),0,VLOOKUP($A104,'Données projet'!$A$408:$I$428,3,0))</f>
        <v>0</v>
      </c>
      <c r="LD104" s="15">
        <f>IF(ISNA(VLOOKUP($A104,'Données projet'!$A$408:$I$428,4,0)),0,VLOOKUP($A104,'Données projet'!$A$408:$I$428,4,0))</f>
        <v>0</v>
      </c>
      <c r="LE104" s="16">
        <f>IF(ISNA(VLOOKUP($A104,'Données projet'!$A$408:$I$428,5,0)),0%,VLOOKUP($A104,'Données projet'!$A$408:$I$428,5,0)*VLOOKUP('Données projet'!$B$23,Paramètres!$A$1:$I$89,7,0))</f>
        <v>0</v>
      </c>
      <c r="LF104" s="16">
        <f>IF(ISNA(VLOOKUP($A104,'Données projet'!$A$408:$I$428,6,0)),0%,VLOOKUP($A104,'Données projet'!$A$408:$I$428,6,0)*VLOOKUP('Données projet'!$B$23,Paramètres!$A$1:$I$89,7,0))</f>
        <v>0</v>
      </c>
      <c r="LG104" s="16">
        <f>IF(ISNA(VLOOKUP($A104,'Données projet'!$A$408:$I$428,7,0)),0%,VLOOKUP($A104,'Données projet'!$A$408:$I$428,7,0))</f>
        <v>0</v>
      </c>
      <c r="LH104" s="21">
        <f>EXP(-LN(2)/35)*LH103+(1-EXP(-LN(2)/35))/(LN(2)/35)*LD104*LE104*VLOOKUP('Données projet'!$B$23,Paramètres!$A$1:$I$89,3,0)*0.475*44/12</f>
        <v>81.295147896722298</v>
      </c>
      <c r="LI104" s="21">
        <f>EXP(-LN(2)/25)*LI103+(1-EXP(-LN(2)/25))/(LN(2)/25)*Calculateur!LD104*Calculateur!LF104*VLOOKUP('Données projet'!$B$23,Paramètres!$A$1:$I$89,3,0)*0.475*44/12</f>
        <v>12.165641634187645</v>
      </c>
      <c r="LJ104" s="21">
        <f>EXP(-LN(2)/2)*LJ103+(1-EXP(-LN(2)/2))/(LN(2)/2)*LD104*LG104*VLOOKUP('Données projet'!$B$23,Paramètres!$A$1:$I$89,3,0)*0.475*44/12</f>
        <v>0</v>
      </c>
      <c r="LK104" s="22">
        <f t="shared" si="164"/>
        <v>93.460789530909949</v>
      </c>
      <c r="LL104" s="74">
        <f>('Scénario référence'!$F$8+'Scénario référence'!$F$9+'Scénario référence'!$B$17+'Scénario référence'!$B$9+'Scénario référence'!$B$10)*70+IF((45+25*(1-EXP(-0.0175*$A104)))&lt;70,'Scénario référence'!$B$16*(45+25*(1-EXP(-0.0175*$A104))),70*'Scénario référence'!$B$16)+IF((32+38*(1-EXP(-0.0175*$A104)))&lt;70,'Scénario référence'!$B$18*(32+38*(1-EXP(-0.0175*$A104))),70*'Scénario référence'!$B$18)</f>
        <v>70</v>
      </c>
      <c r="LM104" s="12">
        <f>IF($A104&gt;30,10,('Scénario référence'!$B$16+'Scénario référence'!$B$17+'Scénario référence'!$B$18+'Scénario référence'!$B$9+'Scénario référence'!$B$10)*$A104*10/30+('Scénario référence'!$F$8+'Scénario référence'!$F$9)*10)</f>
        <v>10</v>
      </c>
      <c r="LN104" s="12" t="e">
        <f>VLOOKUP($A104,'Données projet'!$A$434:$I$454,2,0)</f>
        <v>#N/A</v>
      </c>
      <c r="LO104" s="12" t="e">
        <f>VLOOKUP($A104,'Données projet'!$A$434:$I$454,9,0)</f>
        <v>#N/A</v>
      </c>
      <c r="LP104" s="12">
        <f t="array" ref="LP104">INDEX(LO:LO,MIN(IF(ISNUMBER(LO104:LO300),ROW(LO104:LO300),"")))</f>
        <v>5.2583333333333373</v>
      </c>
      <c r="LQ104" s="12">
        <f>IF('Données projet'!$A$434&gt;35,LQ103+LP104-LY103,IF($A104&lt;'Données projet'!$A$434,$CQ$205^$A104,IF($A104='Données projet'!$A$434,'Données projet'!$B$434,LQ103+LP104-LY103)))</f>
        <v>224.25256410256381</v>
      </c>
      <c r="LR104" s="17">
        <f>LQ104*VLOOKUP('Données projet'!$B$24,Paramètres!$A$1:$I$89,3,0)*VLOOKUP('Données projet'!$B$24,Paramètres!$A$1:$I$89,5,0)</f>
        <v>227.39209999999972</v>
      </c>
      <c r="LS104" s="13">
        <f t="shared" si="212"/>
        <v>55.718418881655332</v>
      </c>
      <c r="LT104" s="14">
        <f t="shared" si="165"/>
        <v>493.08415371888253</v>
      </c>
      <c r="LU104" s="59">
        <f t="shared" si="166"/>
        <v>786.41748705221585</v>
      </c>
      <c r="LV104" s="59">
        <f ca="1">AVERAGE(OFFSET($LU$3,0,0,'Données projet'!$E$24+1,1))-AVERAGE(OFFSET($H$3,0,0,'Données projet'!$E$24+1,1))</f>
        <v>260.52627655062872</v>
      </c>
      <c r="LW104" s="59">
        <f t="shared" si="213"/>
        <v>159.20429420478047</v>
      </c>
      <c r="LX104" s="15">
        <f>IF(ISNA(VLOOKUP($A104,'Données projet'!$A$434:$I$454,3,0)),0,VLOOKUP($A104,'Données projet'!$A$434:$I$454,3,0))</f>
        <v>0</v>
      </c>
      <c r="LY104" s="15">
        <f>IF(ISNA(VLOOKUP($A104,'Données projet'!$A$434:$I$454,4,0)),0,VLOOKUP($A104,'Données projet'!$A$434:$I$454,4,0))</f>
        <v>0</v>
      </c>
      <c r="LZ104" s="16">
        <f>IF(ISNA(VLOOKUP($A104,'Données projet'!$A$434:$I$454,5,0)),0%,VLOOKUP($A104,'Données projet'!$A$434:$I$454,5,0)*VLOOKUP('Données projet'!$B$24,Paramètres!$A$1:$I$89,7,0))</f>
        <v>0</v>
      </c>
      <c r="MA104" s="16">
        <f>IF(ISNA(VLOOKUP($A104,'Données projet'!$A$434:$I$454,6,0)),0%,VLOOKUP($A104,'Données projet'!$A$434:$I$454,6,0)*VLOOKUP('Données projet'!$B$24,Paramètres!$A$1:$I$89,7,0))</f>
        <v>0</v>
      </c>
      <c r="MB104" s="16">
        <f>IF(ISNA(VLOOKUP($A104,'Données projet'!$A$434:$I$454,7,0)),0%,VLOOKUP($A104,'Données projet'!$A$434:$I$454,7,0))</f>
        <v>0</v>
      </c>
      <c r="MC104" s="21">
        <f>EXP(-LN(2)/35)*MC103+(1-EXP(-LN(2)/35))/(LN(2)/35)*LY104*LZ104*VLOOKUP('Données projet'!$B$24,Paramètres!$A$1:$I$89,3,0)*0.475*44/12</f>
        <v>23.349927961754062</v>
      </c>
      <c r="MD104" s="21">
        <f>EXP(-LN(2)/25)*MD103+(1-EXP(-LN(2)/25))/(LN(2)/25)*Calculateur!LY104*Calculateur!MA104*VLOOKUP('Données projet'!$B$24,Paramètres!$A$1:$I$89,3,0)*0.475*44/12</f>
        <v>0</v>
      </c>
      <c r="ME104" s="21">
        <f>EXP(-LN(2)/2)*ME103+(1-EXP(-LN(2)/2))/(LN(2)/2)*LY104*MB104*VLOOKUP('Données projet'!$B$24,Paramètres!$A$1:$I$89,3,0)*0.475*44/12</f>
        <v>0</v>
      </c>
      <c r="MF104" s="22">
        <f t="shared" si="167"/>
        <v>23.349927961754062</v>
      </c>
      <c r="MG104" s="74">
        <f>('Scénario référence'!$F$8+'Scénario référence'!$F$9+'Scénario référence'!$B$17+'Scénario référence'!$B$9+'Scénario référence'!$B$10)*70+IF((45+25*(1-EXP(-0.0175*$A104)))&lt;70,'Scénario référence'!$B$16*(45+25*(1-EXP(-0.0175*$A104))),70*'Scénario référence'!$B$16)+IF((32+38*(1-EXP(-0.0175*$A104)))&lt;70,'Scénario référence'!$B$18*(32+38*(1-EXP(-0.0175*$A104))),70*'Scénario référence'!$B$18)</f>
        <v>70</v>
      </c>
      <c r="MH104" s="12">
        <f>IF($A104&gt;30,10,('Scénario référence'!$B$16+'Scénario référence'!$B$17+'Scénario référence'!$B$18+'Scénario référence'!$B$9+'Scénario référence'!$B$10)*$A104*10/30+('Scénario référence'!$F$8+'Scénario référence'!$F$9)*10)</f>
        <v>10</v>
      </c>
      <c r="MI104" s="12" t="e">
        <f>VLOOKUP($A104,'Données projet'!$A$460:$I$480,2,0)</f>
        <v>#N/A</v>
      </c>
      <c r="MJ104" s="12" t="e">
        <f>VLOOKUP($A104,'Données projet'!$A$460:$I$480,9,0)</f>
        <v>#N/A</v>
      </c>
      <c r="MK104" s="12">
        <f t="array" ref="MK104">INDEX(MJ:MJ,MIN(IF(ISNUMBER(MJ104:MJ300),ROW(MJ104:MJ300),"")))</f>
        <v>0</v>
      </c>
      <c r="ML104" s="12">
        <f>IF('Données projet'!$A$460&gt;35,ML103+MK104-MT103,IF($A104&lt;'Données projet'!$A$460,$CQ$205^$A104,IF($A104='Données projet'!$A$460,'Données projet'!$B$460,ML103+MK104-MT103)))</f>
        <v>0</v>
      </c>
      <c r="MM104" s="17" t="e">
        <f>ML104*VLOOKUP('Données projet'!$B$25,Paramètres!$A$1:$I$89,3,0)*VLOOKUP('Données projet'!$B$25,Paramètres!$A$1:$I$89,5,0)</f>
        <v>#N/A</v>
      </c>
      <c r="MN104" s="13" t="e">
        <f t="shared" si="214"/>
        <v>#N/A</v>
      </c>
      <c r="MO104" s="14" t="e">
        <f t="shared" si="168"/>
        <v>#N/A</v>
      </c>
      <c r="MP104" s="59" t="e">
        <f t="shared" si="169"/>
        <v>#N/A</v>
      </c>
      <c r="MQ104" s="20" t="e">
        <f ca="1">AVERAGE(OFFSET($MP$3,0,0,'Données projet'!$E$25+1,1))-AVERAGE(OFFSET($H$3,0,0,'Données projet'!$E$25+1,1))</f>
        <v>#N/A</v>
      </c>
      <c r="MR104" s="59" t="e">
        <f t="shared" si="215"/>
        <v>#N/A</v>
      </c>
      <c r="MS104" s="15">
        <f>IF(ISNA(VLOOKUP($A104,'Données projet'!$A$460:$I$480,3,0)),0,VLOOKUP($A104,'Données projet'!$A$460:$I$480,3,0))</f>
        <v>0</v>
      </c>
      <c r="MT104" s="15">
        <f>IF(ISNA(VLOOKUP($A104,'Données projet'!$A$460:$I$480,4,0)),0,VLOOKUP($A104,'Données projet'!$A$460:$I$480,4,0))</f>
        <v>0</v>
      </c>
      <c r="MU104" s="16">
        <f>IF(ISNA(VLOOKUP($A104,'Données projet'!$A$460:$I$480,5,0)),0%,VLOOKUP($A104,'Données projet'!$A$460:$I$480,5,0)*VLOOKUP('Données projet'!$B$25,Paramètres!$A$1:$I$89,7,0))</f>
        <v>0</v>
      </c>
      <c r="MV104" s="16">
        <f>IF(ISNA(VLOOKUP($A104,'Données projet'!$A$460:$I$480,6,0)),0%,VLOOKUP($A104,'Données projet'!$A$460:$I$480,6,0)*VLOOKUP('Données projet'!$B$25,Paramètres!$A$1:$I$89,7,0))</f>
        <v>0</v>
      </c>
      <c r="MW104" s="16">
        <f>IF(ISNA(VLOOKUP($A104,'Données projet'!$A$460:$I$480,7,0)),0%,VLOOKUP($A104,'Données projet'!$A$460:$I$480,7,0))</f>
        <v>0</v>
      </c>
      <c r="MX104" s="21" t="e">
        <f>EXP(-LN(2)/35)*MX103+(1-EXP(-LN(2)/35))/(LN(2)/35)*MT104*MU104*VLOOKUP('Données projet'!$B$25,Paramètres!$A$1:$I$89,3,0)*0.475*44/12</f>
        <v>#N/A</v>
      </c>
      <c r="MY104" s="21" t="e">
        <f>EXP(-LN(2)/25)*MY103+(1-EXP(-LN(2)/25))/(LN(2)/25)*Calculateur!MT104*Calculateur!MV104*VLOOKUP('Données projet'!$B$25,Paramètres!$A$1:$I$89,3,0)*0.475*44/12</f>
        <v>#N/A</v>
      </c>
      <c r="MZ104" s="21" t="e">
        <f>EXP(-LN(2)/2)*MZ103+(1-EXP(-LN(2)/2))/(LN(2)/2)*MT104*MW104*VLOOKUP('Données projet'!$B$25,Paramètres!$A$1:$I$89,3,0)*0.475*44/12</f>
        <v>#N/A</v>
      </c>
      <c r="NA104" s="22" t="e">
        <f t="shared" si="170"/>
        <v>#N/A</v>
      </c>
      <c r="NB104" s="74">
        <f>('Scénario référence'!$F$8+'Scénario référence'!$F$9+'Scénario référence'!$B$17+'Scénario référence'!$B$9+'Scénario référence'!$B$10)*70+IF((45+25*(1-EXP(-0.0175*$A104)))&lt;70,'Scénario référence'!$B$16*(45+25*(1-EXP(-0.0175*$A104))),70*'Scénario référence'!$B$16)+IF((32+38*(1-EXP(-0.0175*$A104)))&lt;70,'Scénario référence'!$B$18*(32+38*(1-EXP(-0.0175*$A104))),70*'Scénario référence'!$B$18)</f>
        <v>70</v>
      </c>
      <c r="NC104" s="12">
        <f>IF($A104&gt;30,10,('Scénario référence'!$B$16+'Scénario référence'!$B$17+'Scénario référence'!$B$18+'Scénario référence'!$B$9+'Scénario référence'!$B$10)*$A104*10/30+('Scénario référence'!$F$8+'Scénario référence'!$F$9)*10)</f>
        <v>10</v>
      </c>
      <c r="ND104" s="12" t="e">
        <f>VLOOKUP($A104,'Données projet'!$A$486:$I$506,2,0)</f>
        <v>#N/A</v>
      </c>
      <c r="NE104" s="12" t="e">
        <f>VLOOKUP($A104,'Données projet'!$A$486:$I$506,9,0)</f>
        <v>#N/A</v>
      </c>
      <c r="NF104" s="12">
        <f t="array" ref="NF104">INDEX(NE:NE,MIN(IF(ISNUMBER(NE104:NE300),ROW(NE104:NE300),"")))</f>
        <v>0</v>
      </c>
      <c r="NG104" s="12">
        <f>IF('Données projet'!$A$486&gt;35,NG103+NF104-NO103,IF($A104&lt;'Données projet'!$A$486,$CQ$205^$A104,IF($A104='Données projet'!$A$486,'Données projet'!$B$486,NG103+NF104-NO103)))</f>
        <v>0</v>
      </c>
      <c r="NH104" s="17" t="e">
        <f>NG104*VLOOKUP('Données projet'!$B$26,Paramètres!$A$1:$I$89,3,0)*VLOOKUP('Données projet'!$B$26,Paramètres!$A$1:$I$89,5,0)</f>
        <v>#N/A</v>
      </c>
      <c r="NI104" s="13" t="e">
        <f t="shared" si="216"/>
        <v>#N/A</v>
      </c>
      <c r="NJ104" s="14" t="e">
        <f t="shared" si="171"/>
        <v>#N/A</v>
      </c>
      <c r="NK104" s="59" t="e">
        <f t="shared" si="172"/>
        <v>#N/A</v>
      </c>
      <c r="NL104" s="20" t="e">
        <f ca="1">AVERAGE(OFFSET($NK$3,0,0,'Données projet'!$E$26+1,1))-AVERAGE(OFFSET($H$3,0,0,'Données projet'!$E$26+1,1))</f>
        <v>#N/A</v>
      </c>
      <c r="NM104" s="59" t="e">
        <f t="shared" si="217"/>
        <v>#N/A</v>
      </c>
      <c r="NN104" s="15">
        <f>IF(ISNA(VLOOKUP($A104,'Données projet'!$A$486:$I$506,3,0)),0,VLOOKUP($A104,'Données projet'!$A$486:$I$506,3,0))</f>
        <v>0</v>
      </c>
      <c r="NO104" s="15">
        <f>IF(ISNA(VLOOKUP($A104,'Données projet'!$A$486:$I$506,4,0)),0,VLOOKUP($A104,'Données projet'!$A$486:$I$506,4,0))</f>
        <v>0</v>
      </c>
      <c r="NP104" s="16">
        <f>IF(ISNA(VLOOKUP($A104,'Données projet'!$A$486:$I$506,5,0)),0%,VLOOKUP($A104,'Données projet'!$A$486:$I$506,5,0)*VLOOKUP('Données projet'!$B$26,Paramètres!$A$1:$I$89,7,0))</f>
        <v>0</v>
      </c>
      <c r="NQ104" s="16">
        <f>IF(ISNA(VLOOKUP($A104,'Données projet'!$A$486:$I$506,6,0)),0%,VLOOKUP($A104,'Données projet'!$A$486:$I$506,6,0)*VLOOKUP('Données projet'!$B$26,Paramètres!$A$1:$I$89,7,0))</f>
        <v>0</v>
      </c>
      <c r="NR104" s="16">
        <f>IF(ISNA(VLOOKUP($A104,'Données projet'!$A$486:$I$506,7,0)),0%,VLOOKUP($A104,'Données projet'!$A$486:$I$506,7,0))</f>
        <v>0</v>
      </c>
      <c r="NS104" s="21" t="e">
        <f>EXP(-LN(2)/35)*NS103+(1-EXP(-LN(2)/35))/(LN(2)/35)*NO104*NP104*VLOOKUP('Données projet'!$B$26,Paramètres!$A$1:$I$89,3,0)*0.475*44/12</f>
        <v>#N/A</v>
      </c>
      <c r="NT104" s="21" t="e">
        <f>EXP(-LN(2)/25)*NT103+(1-EXP(-LN(2)/25))/(LN(2)/25)*Calculateur!NO104*Calculateur!NQ104*VLOOKUP('Données projet'!$B$26,Paramètres!$A$1:$I$89,3,0)*0.475*44/12</f>
        <v>#N/A</v>
      </c>
      <c r="NU104" s="21" t="e">
        <f>EXP(-LN(2)/2)*NU103+(1-EXP(-LN(2)/2))/(LN(2)/2)*NO104*NR104*VLOOKUP('Données projet'!$B$26,Paramètres!$A$1:$I$89,3,0)*0.475*44/12</f>
        <v>#N/A</v>
      </c>
      <c r="NV104" s="22" t="e">
        <f t="shared" si="173"/>
        <v>#N/A</v>
      </c>
      <c r="NW104" s="74">
        <f>('Scénario référence'!$F$8+'Scénario référence'!$F$9+'Scénario référence'!$B$17+'Scénario référence'!$B$9+'Scénario référence'!$B$10)*70+IF((45+25*(1-EXP(-0.0175*$A104)))&lt;70,'Scénario référence'!$B$16*(45+25*(1-EXP(-0.0175*$A104))),70*'Scénario référence'!$B$16)+IF((32+38*(1-EXP(-0.0175*$A104)))&lt;70,'Scénario référence'!$B$18*(32+38*(1-EXP(-0.0175*$A104))),70*'Scénario référence'!$B$18)</f>
        <v>70</v>
      </c>
      <c r="NX104" s="12">
        <f>IF($A104&gt;30,10,('Scénario référence'!$B$16+'Scénario référence'!$B$17+'Scénario référence'!$B$18+'Scénario référence'!$B$9+'Scénario référence'!$B$10)*$A104*10/30+('Scénario référence'!$F$8+'Scénario référence'!$F$9)*10)</f>
        <v>10</v>
      </c>
      <c r="NY104" s="12" t="e">
        <f>VLOOKUP($A104,'Données projet'!$A$512:$I$532,2,0)</f>
        <v>#N/A</v>
      </c>
      <c r="NZ104" s="12" t="e">
        <f>VLOOKUP($A104,'Données projet'!$A$512:$I$532,9,0)</f>
        <v>#N/A</v>
      </c>
      <c r="OA104" s="12">
        <f t="array" ref="OA104">INDEX(NZ:NZ,MIN(IF(ISNUMBER(NZ104:NZ300),ROW(NZ104:NZ300),"")))</f>
        <v>0</v>
      </c>
      <c r="OB104" s="12">
        <f>IF('Données projet'!$A$512&gt;35,OB103+OA104-OJ103,IF($A104&lt;'Données projet'!$A$512,$CQ$205^$A104,IF($A104='Données projet'!$A$512,'Données projet'!$B$512,OB103+OA104-OJ103)))</f>
        <v>0</v>
      </c>
      <c r="OC104" s="17" t="e">
        <f>OB104*VLOOKUP('Données projet'!$B$27,Paramètres!$A$1:$I$89,3,0)*VLOOKUP('Données projet'!$B$27,Paramètres!$A$1:$I$89,5,0)</f>
        <v>#N/A</v>
      </c>
      <c r="OD104" s="13" t="e">
        <f t="shared" si="218"/>
        <v>#N/A</v>
      </c>
      <c r="OE104" s="14" t="e">
        <f t="shared" si="174"/>
        <v>#N/A</v>
      </c>
      <c r="OF104" s="59" t="e">
        <f t="shared" si="175"/>
        <v>#N/A</v>
      </c>
      <c r="OG104" s="20" t="e">
        <f ca="1">AVERAGE(OFFSET($OF$3,0,0,'Données projet'!$E$27+1,1))-AVERAGE(OFFSET($H$3,0,0,'Données projet'!$E$27+1,1))</f>
        <v>#N/A</v>
      </c>
      <c r="OH104" s="59" t="e">
        <f t="shared" si="219"/>
        <v>#N/A</v>
      </c>
      <c r="OI104" s="15">
        <f>IF(ISNA(VLOOKUP($A104,'Données projet'!$A$512:$I$532,3,0)),0,VLOOKUP($A104,'Données projet'!$A$512:$I$532,3,0))</f>
        <v>0</v>
      </c>
      <c r="OJ104" s="15">
        <f>IF(ISNA(VLOOKUP($A104,'Données projet'!$A$512:$I$532,4,0)),0,VLOOKUP($A104,'Données projet'!$A$512:$I$532,4,0))</f>
        <v>0</v>
      </c>
      <c r="OK104" s="16">
        <f>IF(ISNA(VLOOKUP($A104,'Données projet'!$A$512:$I$532,5,0)),0%,VLOOKUP($A104,'Données projet'!$A$512:$I$532,5,0)*VLOOKUP('Données projet'!$B$27,Paramètres!$A$1:$I$89,7,0))</f>
        <v>0</v>
      </c>
      <c r="OL104" s="16">
        <f>IF(ISNA(VLOOKUP($A104,'Données projet'!$A$512:$I$532,6,0)),0%,VLOOKUP($A104,'Données projet'!$A$512:$I$532,6,0)*VLOOKUP('Données projet'!$B$27,Paramètres!$A$1:$I$89,7,0))</f>
        <v>0</v>
      </c>
      <c r="OM104" s="16">
        <f>IF(ISNA(VLOOKUP($A104,'Données projet'!$A$512:$I$532,7,0)),0%,VLOOKUP($A104,'Données projet'!$A$512:$I$532,7,0))</f>
        <v>0</v>
      </c>
      <c r="ON104" s="21" t="e">
        <f>EXP(-LN(2)/35)*ON103+(1-EXP(-LN(2)/35))/(LN(2)/35)*OJ104*OK104*VLOOKUP('Données projet'!$B$27,Paramètres!$A$1:$I$89,3,0)*0.475*44/12</f>
        <v>#N/A</v>
      </c>
      <c r="OO104" s="21" t="e">
        <f>EXP(-LN(2)/25)*OO103+(1-EXP(-LN(2)/25))/(LN(2)/25)*Calculateur!OJ104*Calculateur!OL104*VLOOKUP('Données projet'!$B$27,Paramètres!$A$1:$I$89,3,0)*0.475*44/12</f>
        <v>#N/A</v>
      </c>
      <c r="OP104" s="21" t="e">
        <f>EXP(-LN(2)/2)*OP103+(1-EXP(-LN(2)/2))/(LN(2)/2)*OJ104*OM104*VLOOKUP('Données projet'!$B$27,Paramètres!$A$1:$I$89,3,0)*0.475*44/12</f>
        <v>#N/A</v>
      </c>
      <c r="OQ104" s="22" t="e">
        <f t="shared" si="176"/>
        <v>#N/A</v>
      </c>
      <c r="OR104" s="74">
        <f>('Scénario référence'!$F$8+'Scénario référence'!$F$9+'Scénario référence'!$B$17+'Scénario référence'!$B$9+'Scénario référence'!$B$10)*70+IF((45+25*(1-EXP(-0.0175*$A104)))&lt;70,'Scénario référence'!$B$16*(45+25*(1-EXP(-0.0175*$A104))),70*'Scénario référence'!$B$16)+IF((32+38*(1-EXP(-0.0175*$A104)))&lt;70,'Scénario référence'!$B$18*(32+38*(1-EXP(-0.0175*$A104))),70*'Scénario référence'!$B$18)</f>
        <v>70</v>
      </c>
      <c r="OS104" s="12">
        <f>IF($A104&gt;30,10,('Scénario référence'!$B$16+'Scénario référence'!$B$17+'Scénario référence'!$B$18+'Scénario référence'!$B$9+'Scénario référence'!$B$10)*$A104*10/30+('Scénario référence'!$F$8+'Scénario référence'!$F$9)*10)</f>
        <v>10</v>
      </c>
      <c r="OT104" s="12" t="e">
        <f>VLOOKUP($A104,'Données projet'!$A$538:$I$558,2,0)</f>
        <v>#N/A</v>
      </c>
      <c r="OU104" s="12" t="e">
        <f>VLOOKUP($A104,'Données projet'!$A$538:$I$558,9,0)</f>
        <v>#N/A</v>
      </c>
      <c r="OV104" s="12">
        <f t="array" ref="OV104">INDEX(OU:OU,MIN(IF(ISNUMBER(OU104:OU300),ROW(OU104:OU300),"")))</f>
        <v>0</v>
      </c>
      <c r="OW104" s="12">
        <f>IF('Données projet'!$A$538&gt;35,OW103+OV104-PE103,IF($A104&lt;'Données projet'!$A$538,$CQ$205^$A104,IF($A104='Données projet'!$A$538,'Données projet'!$B$538,OW103+OV104-PE103)))</f>
        <v>0</v>
      </c>
      <c r="OX104" s="17" t="e">
        <f>OW104*VLOOKUP('Données projet'!$B$28,Paramètres!$A$1:$I$89,3,0)*VLOOKUP('Données projet'!$B$28,Paramètres!$A$1:$I$89,5,0)</f>
        <v>#N/A</v>
      </c>
      <c r="OY104" s="13" t="e">
        <f t="shared" si="220"/>
        <v>#N/A</v>
      </c>
      <c r="OZ104" s="14" t="e">
        <f t="shared" si="177"/>
        <v>#N/A</v>
      </c>
      <c r="PA104" s="59" t="e">
        <f t="shared" si="178"/>
        <v>#N/A</v>
      </c>
      <c r="PB104" s="20" t="e">
        <f ca="1">AVERAGE(OFFSET($PA$3,0,0,'Données projet'!$E$28+1,1))-AVERAGE(OFFSET($H$3,0,0,'Données projet'!$E$28+1,1))</f>
        <v>#N/A</v>
      </c>
      <c r="PC104" s="59" t="e">
        <f t="shared" si="221"/>
        <v>#N/A</v>
      </c>
      <c r="PD104" s="15">
        <f>IF(ISNA(VLOOKUP($A104,'Données projet'!$A$538:$I$558,3,0)),0,VLOOKUP($A104,'Données projet'!$A$538:$I$558,3,0))</f>
        <v>0</v>
      </c>
      <c r="PE104" s="15">
        <f>IF(ISNA(VLOOKUP($A104,'Données projet'!$A$538:$I$558,4,0)),0,VLOOKUP($A104,'Données projet'!$A$538:$I$558,4,0))</f>
        <v>0</v>
      </c>
      <c r="PF104" s="16">
        <f>IF(ISNA(VLOOKUP($A104,'Données projet'!$A$538:$I$558,5,0)),0%,VLOOKUP($A104,'Données projet'!$A$538:$I$558,5,0)*VLOOKUP('Données projet'!$B$28,Paramètres!$A$1:$I$89,7,0))</f>
        <v>0</v>
      </c>
      <c r="PG104" s="16">
        <f>IF(ISNA(VLOOKUP($A104,'Données projet'!$A$538:$I$558,6,0)),0%,VLOOKUP($A104,'Données projet'!$A$538:$I$558,6,0)*VLOOKUP('Données projet'!$B$28,Paramètres!$A$1:$I$89,7,0))</f>
        <v>0</v>
      </c>
      <c r="PH104" s="16">
        <f>IF(ISNA(VLOOKUP($A104,'Données projet'!$A$538:$I$558,7,0)),0%,VLOOKUP($A104,'Données projet'!$A$538:$I$558,7,0))</f>
        <v>0</v>
      </c>
      <c r="PI104" s="21" t="e">
        <f>EXP(-LN(2)/35)*PI103+(1-EXP(-LN(2)/35))/(LN(2)/35)*PE104*PF104*VLOOKUP('Données projet'!$B$28,Paramètres!$A$1:$I$89,3,0)*0.475*44/12</f>
        <v>#N/A</v>
      </c>
      <c r="PJ104" s="21" t="e">
        <f>EXP(-LN(2)/25)*PJ103+(1-EXP(-LN(2)/25))/(LN(2)/25)*Calculateur!PE104*Calculateur!PG104*VLOOKUP('Données projet'!$B$28,Paramètres!$A$1:$I$89,3,0)*0.475*44/12</f>
        <v>#N/A</v>
      </c>
      <c r="PK104" s="21" t="e">
        <f>EXP(-LN(2)/2)*PK103+(1-EXP(-LN(2)/2))/(LN(2)/2)*PE104*PH104*VLOOKUP('Données projet'!$B$28,Paramètres!$A$1:$I$89,3,0)*0.475*44/12</f>
        <v>#N/A</v>
      </c>
      <c r="PL104" s="22" t="e">
        <f t="shared" si="179"/>
        <v>#N/A</v>
      </c>
    </row>
    <row r="105" spans="1:428" x14ac:dyDescent="0.35">
      <c r="A105" s="10">
        <f t="shared" si="180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181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121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projet'!$A$45:$I$65,2,0)</f>
        <v>#N/A</v>
      </c>
      <c r="L105" s="12" t="e">
        <f>VLOOKUP(A105,'Données projet'!$A$45:$I$65,9,0)</f>
        <v>#N/A</v>
      </c>
      <c r="M105" s="12">
        <f t="array" ref="M105">INDEX(L:L,MIN(IF(ISNUMBER(L105:L301),ROW(L105:L301),"")))</f>
        <v>0</v>
      </c>
      <c r="N105" s="13">
        <f>IF('Données projet'!$A$46&gt;35,N104+M105-V104,IF(A105&lt;'Données projet'!$A$46,$K$205^A105,IF(A105='Données projet'!$A$46,'Données projet'!$B$46,N104+M105-V104)))</f>
        <v>-1.1368683772161603E-13</v>
      </c>
      <c r="O105" s="13">
        <f>N105*VLOOKUP('Données projet'!$B$9,Paramètres!$A$1:$I$89,3,0)*VLOOKUP('Données projet'!$B$9,Paramètres!$A$1:$I$89,5,0)</f>
        <v>-6.3550942286383367E-14</v>
      </c>
      <c r="P105" s="13" t="e">
        <f t="shared" si="182"/>
        <v>#NUM!</v>
      </c>
      <c r="Q105" s="20" t="e">
        <f t="shared" si="222"/>
        <v>#NUM!</v>
      </c>
      <c r="R105" s="59" t="e">
        <f t="shared" si="120"/>
        <v>#NUM!</v>
      </c>
      <c r="S105" s="59">
        <f ca="1">AVERAGE(OFFSET($R$3,0,0,'Données projet'!$E$9+1,1))-AVERAGE(OFFSET($H$3,0,0,'Données projet'!$E$9+1,1))</f>
        <v>274.57619581652199</v>
      </c>
      <c r="T105" s="59">
        <f t="shared" si="183"/>
        <v>366.15117322598775</v>
      </c>
      <c r="U105" s="15">
        <f>IF(ISNA(VLOOKUP(A105,'Données projet'!$A$45:$I$65,3,0)),0,VLOOKUP(A105,'Données projet'!$A$45:$I$65,3,0))</f>
        <v>0</v>
      </c>
      <c r="V105" s="15">
        <f>IF(ISNA(VLOOKUP(A105,'Données projet'!$A$45:$I$65,4,0)),0,VLOOKUP(A105,'Données projet'!$A$45:$I$65,4,0))</f>
        <v>0</v>
      </c>
      <c r="W105" s="16">
        <f>IF(ISNA(VLOOKUP(A105,'Données projet'!$A$45:$I$65,5,0)),0%,VLOOKUP(A105,'Données projet'!$A$45:$I$65,5,0)*VLOOKUP('Données projet'!$B$9,Paramètres!$A$1:$I$89,7,0))</f>
        <v>0</v>
      </c>
      <c r="X105" s="16">
        <f>IF(ISNA(VLOOKUP(A105,'Données projet'!$A$45:$I$65,6,0)),0%,VLOOKUP(A105,'Données projet'!$A$45:$I$65,6,0)*VLOOKUP('Données projet'!$B$9,Paramètres!$A$1:$I$89,7,0))</f>
        <v>0</v>
      </c>
      <c r="Y105" s="16">
        <f>IF(ISNA(VLOOKUP(A105,'Données projet'!$A$45:$I$65,7,0)),0%,VLOOKUP(A105,'Données projet'!$A$45:$I$65,7,0))</f>
        <v>0</v>
      </c>
      <c r="Z105" s="21">
        <f>EXP(-LN(2)/35)*Z104+(1-EXP(-LN(2)/35))/(LN(2)/35)*V105*W105*VLOOKUP('Données projet'!$B$9,Paramètres!$A$1:$I$89,3,0)*0.475*44/12</f>
        <v>89.357089227758536</v>
      </c>
      <c r="AA105" s="21">
        <f>EXP(-LN(2)/25)*AA104+(1-EXP(-LN(2)/25))/(LN(2)/25)*Calculateur!V105*Calculateur!X105*VLOOKUP('Données projet'!$B$9,Paramètres!$A$1:$I$89,3,0)*0.475*44/12</f>
        <v>15.651068656789752</v>
      </c>
      <c r="AB105" s="21">
        <f>EXP(-LN(2)/2)*AB104+(1-EXP(-LN(2)/2))/(LN(2)/2)*V105*Y105*VLOOKUP('Données projet'!$B$9,Paramètres!$A$1:$I$89,3,0)*0.475*44/12</f>
        <v>2.8795826095918523E-6</v>
      </c>
      <c r="AC105" s="22">
        <f t="shared" si="122"/>
        <v>105.00816076413089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projet'!$A$71:$I$91,2,0)</f>
        <v>#N/A</v>
      </c>
      <c r="AG105" s="12" t="e">
        <f>VLOOKUP(A105,'Données projet'!$A$71:$I$91,9,0)</f>
        <v>#N/A</v>
      </c>
      <c r="AH105" s="12">
        <f t="array" ref="AH105">INDEX(AG:AG,MIN(IF(ISNUMBER(AG105:AG301),ROW(AG105:AG301),"")))</f>
        <v>6.9935897435897401</v>
      </c>
      <c r="AI105" s="13">
        <f>IF('Données projet'!$A$72&gt;35,AI104+AH105-AQ104,IF(A105&lt;'Données projet'!$A$72,$AF$205^A105,IF(A105='Données projet'!$A$72,'Données projet'!$B$72,AI104+AH105-AQ104)))</f>
        <v>291.21153846153891</v>
      </c>
      <c r="AJ105" s="13">
        <f>AI105*VLOOKUP('Données projet'!$B$10,Paramètres!$A$1:$I$89,3,0)*VLOOKUP('Données projet'!$B$10,Paramètres!$A$1:$I$89,5,0)</f>
        <v>263.4882000000004</v>
      </c>
      <c r="AK105" s="13">
        <f t="shared" si="184"/>
        <v>63.465343539396919</v>
      </c>
      <c r="AL105" s="20">
        <f t="shared" si="123"/>
        <v>569.44408833111697</v>
      </c>
      <c r="AM105" s="59">
        <f t="shared" si="124"/>
        <v>862.77742166445023</v>
      </c>
      <c r="AN105" s="59">
        <f ca="1">AVERAGE(OFFSET($AM$3,0,0,'Données projet'!$E$10+1,1))-AVERAGE(OFFSET($H$3,0,0,'Données projet'!$E$10+1,1))</f>
        <v>270.87836509222456</v>
      </c>
      <c r="AO105" s="59">
        <f t="shared" si="185"/>
        <v>205.24998237949734</v>
      </c>
      <c r="AP105" s="15">
        <f>IF(ISNA(VLOOKUP(A105,'Données projet'!$A$71:$I$91,3,0)),0,VLOOKUP(A105,'Données projet'!$A$71:$I$91,3,0))</f>
        <v>0</v>
      </c>
      <c r="AQ105" s="15">
        <f>IF(ISNA(VLOOKUP(A105,'Données projet'!$A$71:$I$91,4,0)),0,VLOOKUP(A105,'Données projet'!$A$71:$I$91,4,0))</f>
        <v>0</v>
      </c>
      <c r="AR105" s="16">
        <f>IF(ISNA(VLOOKUP(A105,'Données projet'!$A$71:$I$91,5,0)),0%,VLOOKUP(A105,'Données projet'!$A$71:$I$91,5,0)*VLOOKUP('Données projet'!$B$10,Paramètres!$A$1:$I$89,7,0))</f>
        <v>0</v>
      </c>
      <c r="AS105" s="16">
        <f>IF(ISNA(VLOOKUP(A105,'Données projet'!$A$71:$I$91,6,0)),0%,VLOOKUP(A105,'Données projet'!$A$71:$I$91,6,0)*VLOOKUP('Données projet'!$B$10,Paramètres!$A$1:$I$89,7,0))</f>
        <v>0</v>
      </c>
      <c r="AT105" s="16">
        <f>IF(ISNA(VLOOKUP(A105,'Données projet'!$A$71:$I$91,7,0)),0%,VLOOKUP(A105,'Données projet'!$A$71:$I$91,7,0))</f>
        <v>0</v>
      </c>
      <c r="AU105" s="21">
        <f>EXP(-LN(2)/35)*AU104+(1-EXP(-LN(2)/35))/(LN(2)/35)*AQ105*AR105*VLOOKUP('Données projet'!$B$10,Paramètres!$A$1:$I$89,3,0)*0.475*44/12</f>
        <v>46.309697803809016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125"/>
        <v>46.309697803809016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projet'!$A$97:$I$117,2,0)</f>
        <v>#N/A</v>
      </c>
      <c r="BB105" s="12" t="e">
        <f>VLOOKUP(A105,'Données projet'!$A$97:$I$117,9,0)</f>
        <v>#N/A</v>
      </c>
      <c r="BC105" s="12">
        <f t="array" ref="BC105">INDEX(BB:BB,MIN(IF(ISNUMBER(BB105:BB301),ROW(BB105:BB301),"")))</f>
        <v>0</v>
      </c>
      <c r="BD105" s="12">
        <f>IF('Données projet'!$A$98&gt;35,BD104+BC105-BL104,IF(A105&lt;'Données projet'!$A$98,$BA$205^A105,IF(A105='Données projet'!$A$98,'Données projet'!$B$98,BD104+BC105-BL104)))</f>
        <v>-1.1368683772161603E-13</v>
      </c>
      <c r="BE105" s="13">
        <f>BD105*VLOOKUP('Données projet'!$B$11,Paramètres!$A$1:$I$89,3,0)*VLOOKUP('Données projet'!$B$11,Paramètres!$A$1:$I$89,5,0)</f>
        <v>-5.0249582272954292E-14</v>
      </c>
      <c r="BF105" s="13" t="e">
        <f t="shared" si="186"/>
        <v>#NUM!</v>
      </c>
      <c r="BG105" s="20" t="e">
        <f t="shared" si="126"/>
        <v>#NUM!</v>
      </c>
      <c r="BH105" s="59" t="e">
        <f t="shared" si="127"/>
        <v>#NUM!</v>
      </c>
      <c r="BI105" s="59">
        <f ca="1">AVERAGE(OFFSET($BH$3,0,0,'Données projet'!$E$11+1,1))-AVERAGE(OFFSET($H$3,0,0,'Données projet'!$E$11+1,1))</f>
        <v>211.31057120485542</v>
      </c>
      <c r="BJ105" s="59">
        <f t="shared" si="187"/>
        <v>283.33292006714777</v>
      </c>
      <c r="BK105" s="15">
        <f>IF(ISNA(VLOOKUP(A105,'Données projet'!$A$97:$I$117,3,0)),0,VLOOKUP(A105,'Données projet'!$A$97:$I$117,3,0))</f>
        <v>0</v>
      </c>
      <c r="BL105" s="15">
        <f>IF(ISNA(VLOOKUP(A105,'Données projet'!$A$97:$I$117,4,0)),0,VLOOKUP(A105,'Données projet'!$A$97:$I$117,4,0))</f>
        <v>0</v>
      </c>
      <c r="BM105" s="16">
        <f>IF(ISNA(VLOOKUP(A105,'Données projet'!$A$97:$I$117,5,0)),0%,VLOOKUP(A105,'Données projet'!$A$97:$I$117,5,0)*VLOOKUP('Données projet'!$B$11,Paramètres!$A$1:$I$89,7,0))</f>
        <v>0</v>
      </c>
      <c r="BN105" s="16">
        <f>IF(ISNA(VLOOKUP(A105,'Données projet'!$A$97:$I$117,6,0)),0%,VLOOKUP(A105,'Données projet'!$A$97:$I$117,6,0)*VLOOKUP('Données projet'!$B$11,Paramètres!$A$1:$I$89,7,0))</f>
        <v>0</v>
      </c>
      <c r="BO105" s="16">
        <f>IF(ISNA(VLOOKUP(A105,'Données projet'!$A$97:$I$117,7,0)),0%,VLOOKUP(A105,'Données projet'!$A$97:$I$117,7,0))</f>
        <v>0</v>
      </c>
      <c r="BP105" s="21">
        <f>EXP(-LN(2)/35)*BP104+(1-EXP(-LN(2)/35))/(LN(2)/35)*BL105*BM105*VLOOKUP('Données projet'!$B$11,Paramètres!$A$1:$I$89,3,0)*0.475*44/12</f>
        <v>70.654442645204441</v>
      </c>
      <c r="BQ105" s="21">
        <f>EXP(-LN(2)/25)*BQ104+(1-EXP(-LN(2)/25))/(LN(2)/25)*Calculateur!BL105*Calculateur!BN105*VLOOKUP('Données projet'!$B$11,Paramètres!$A$1:$I$89,3,0)*0.475*44/12</f>
        <v>12.375263589089565</v>
      </c>
      <c r="BR105" s="21">
        <f>EXP(-LN(2)/2)*BR104+(1-EXP(-LN(2)/2))/(LN(2)/2)*BL105*BO105*VLOOKUP('Données projet'!$B$11,Paramètres!$A$1:$I$89,3,0)*0.475*44/12</f>
        <v>2.2768792727005339E-6</v>
      </c>
      <c r="BS105" s="22">
        <f t="shared" si="128"/>
        <v>83.029708511173283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projet'!$A$123:$I$143,2,0)</f>
        <v>#N/A</v>
      </c>
      <c r="BW105" s="12" t="e">
        <f>VLOOKUP(A105,'Données projet'!$A$123:$I$143,9,0)</f>
        <v>#N/A</v>
      </c>
      <c r="BX105" s="12">
        <f t="array" ref="BX105">INDEX(BW:BW,MIN(IF(ISNUMBER(BW105:BW301),ROW(BW105:BW301),"")))</f>
        <v>0</v>
      </c>
      <c r="BY105" s="12">
        <f>IF('Données projet'!$A$124&gt;35,BY104+BX105-CG104,IF(A105&lt;'Données projet'!$A$124,$BV$205^A105,IF(A105='Données projet'!$A$124,'Données projet'!$B$124,BY104+BX105-CG104)))</f>
        <v>0</v>
      </c>
      <c r="BZ105" s="13">
        <f>BY105*VLOOKUP('Données projet'!$B$12,Paramètres!$A$1:$I$89,3,0)*VLOOKUP('Données projet'!$B$12,Paramètres!$A$1:$I$89,5,0)</f>
        <v>0</v>
      </c>
      <c r="CA105" s="13" t="e">
        <f t="shared" si="188"/>
        <v>#NUM!</v>
      </c>
      <c r="CB105" s="20" t="e">
        <f t="shared" si="129"/>
        <v>#NUM!</v>
      </c>
      <c r="CC105" s="59" t="e">
        <f t="shared" si="130"/>
        <v>#NUM!</v>
      </c>
      <c r="CD105" s="59">
        <f ca="1">AVERAGE(OFFSET($CC$3,0,0,'Données projet'!$E$12+1,1))-AVERAGE(OFFSET($H$3,0,0,'Données projet'!$E$12+1,1))</f>
        <v>322.93502595881938</v>
      </c>
      <c r="CE105" s="59">
        <f t="shared" si="189"/>
        <v>302.67072119588164</v>
      </c>
      <c r="CF105" s="15">
        <f>IF(ISNA(VLOOKUP(A105,'Données projet'!$A$123:$I$143,3,0)),0,VLOOKUP(A105,'Données projet'!$A$123:$I$143,3,0))</f>
        <v>0</v>
      </c>
      <c r="CG105" s="15">
        <f>IF(ISNA(VLOOKUP(A105,'Données projet'!$A$123:$I$143,4,0)),0,VLOOKUP(A105,'Données projet'!$A$123:$I$143,4,0))</f>
        <v>0</v>
      </c>
      <c r="CH105" s="16">
        <f>IF(ISNA(VLOOKUP(A105,'Données projet'!$A$123:$I$143,5,0)),0%,VLOOKUP(A105,'Données projet'!$A$123:$I$143,5,0)*VLOOKUP('Données projet'!$B$12,Paramètres!$A$1:$I$89,7,0))</f>
        <v>0</v>
      </c>
      <c r="CI105" s="16">
        <f>IF(ISNA(VLOOKUP(A105,'Données projet'!$A$123:$I$143,6,0)),0%,VLOOKUP(A105,'Données projet'!$A$123:$I$143,6,0)*VLOOKUP('Données projet'!$B$12,Paramètres!$A$1:$I$89,7,0))</f>
        <v>0</v>
      </c>
      <c r="CJ105" s="16">
        <f>IF(ISNA(VLOOKUP(A105,'Données projet'!$A$123:$I$143,7,0)),0%,VLOOKUP(A105,'Données projet'!$A$123:$I$143,7,0))</f>
        <v>0</v>
      </c>
      <c r="CK105" s="21">
        <f>EXP(-LN(2)/35)*CK104+(1-EXP(-LN(2)/35))/(LN(2)/35)*CG105*CH105*VLOOKUP('Données projet'!$B$12,Paramètres!$A$1:$I$89,3,0)*0.475*44/12</f>
        <v>112.56959966439389</v>
      </c>
      <c r="CL105" s="21">
        <f>EXP(-LN(2)/25)*CL104+(1-EXP(-LN(2)/25))/(LN(2)/25)*Calculateur!CG105*Calculateur!CI105*VLOOKUP('Données projet'!$B$12,Paramètres!$A$1:$I$89,3,0)*0.475*44/12</f>
        <v>39.608331001808438</v>
      </c>
      <c r="CM105" s="21">
        <f>EXP(-LN(2)/2)*CM104+(1-EXP(-LN(2)/2))/(LN(2)/2)*CG105*CJ105*VLOOKUP('Données projet'!$B$12,Paramètres!$A$1:$I$89,3,0)*0.475*44/12</f>
        <v>0</v>
      </c>
      <c r="CN105" s="22">
        <f t="shared" si="131"/>
        <v>152.17793066620231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projet'!$A$149:$I$169,2,0)</f>
        <v>#N/A</v>
      </c>
      <c r="CR105" s="12" t="e">
        <f>VLOOKUP(A105,'Données projet'!$A$149:$I$169,9,0)</f>
        <v>#N/A</v>
      </c>
      <c r="CS105" s="12">
        <f t="array" ref="CS105">INDEX(CR:CR,MIN(IF(ISNUMBER(CR105:CR301),ROW(CR105:CR301),"")))</f>
        <v>5.2583333333333373</v>
      </c>
      <c r="CT105" s="12">
        <f>IF('Données projet'!$A$150&gt;35,CT104+CS105-DB104,IF(A105&lt;'Données projet'!$A$150,$CQ$205^A105,IF(A105='Données projet'!$A$150,'Données projet'!$B$150,CT104+CS105-DB104)))</f>
        <v>229.51089743589714</v>
      </c>
      <c r="CU105" s="17">
        <f>CT105*VLOOKUP('Données projet'!$B$13,Paramètres!$A$1:$I$89,3,0)*VLOOKUP('Données projet'!$B$13,Paramètres!$A$1:$I$89,5,0)</f>
        <v>232.72404999999969</v>
      </c>
      <c r="CV105" s="13">
        <f t="shared" si="190"/>
        <v>56.871280605943788</v>
      </c>
      <c r="CW105" s="20">
        <f t="shared" si="132"/>
        <v>504.37853413868493</v>
      </c>
      <c r="CX105" s="59">
        <f t="shared" si="133"/>
        <v>797.71186747201818</v>
      </c>
      <c r="CY105" s="59">
        <f ca="1">AVERAGE(OFFSET($CX$3,0,0,'Données projet'!$E$13+1,1))-AVERAGE(OFFSET($H$3,0,0,'Données projet'!$E$13+1,1))</f>
        <v>250.31277422753283</v>
      </c>
      <c r="CZ105" s="59">
        <f t="shared" si="191"/>
        <v>159.20429420478047</v>
      </c>
      <c r="DA105" s="15">
        <f>IF(ISNA(VLOOKUP(A105,'Données projet'!$A$149:$I$169,3,0)),0,VLOOKUP(A105,'Données projet'!$A$149:$I$169,3,0))</f>
        <v>0</v>
      </c>
      <c r="DB105" s="15">
        <f>IF(ISNA(VLOOKUP(A105,'Données projet'!$A$149:$I$169,4,0)),0,VLOOKUP(A105,'Données projet'!$A$149:$I$169,4,0))</f>
        <v>0</v>
      </c>
      <c r="DC105" s="16">
        <f>IF(ISNA(VLOOKUP(A105,'Données projet'!$A$149:$I$169,5,0)),0%,VLOOKUP(A105,'Données projet'!$A$149:$I$169,5,0)*VLOOKUP('Données projet'!$B$13,Paramètres!$A$1:$I$89,7,0))</f>
        <v>0</v>
      </c>
      <c r="DD105" s="16">
        <f>IF(ISNA(VLOOKUP(A105,'Données projet'!$A$149:$I$169,6,0)),0%,VLOOKUP(A105,'Données projet'!$A$149:$I$169,6,0)*VLOOKUP('Données projet'!$B$13,Paramètres!$A$1:$I$89,7,0))</f>
        <v>0</v>
      </c>
      <c r="DE105" s="16">
        <f>IF(ISNA(VLOOKUP(A105,'Données projet'!$A$149:$I$169,7,0)),0%,VLOOKUP(A105,'Données projet'!$A$149:$I$169,7,0))</f>
        <v>0</v>
      </c>
      <c r="DF105" s="21">
        <f>EXP(-LN(2)/35)*DF104+(1-EXP(-LN(2)/35))/(LN(2)/35)*DB105*DC105*VLOOKUP('Données projet'!$B$13,Paramètres!$A$1:$I$89,3,0)*0.475*44/12</f>
        <v>22.892050116473836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134"/>
        <v>22.892050116473836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projet'!$A$175:$I$195,2,0)</f>
        <v>#N/A</v>
      </c>
      <c r="DM105" s="12" t="e">
        <f>VLOOKUP(A105,'Données projet'!$A$175:$I$195,9,0)</f>
        <v>#N/A</v>
      </c>
      <c r="DN105" s="12">
        <f t="array" ref="DN105">INDEX(DM:DM,MIN(IF(ISNUMBER(DM105:DM301),ROW(DM105:DM301),"")))</f>
        <v>0</v>
      </c>
      <c r="DO105" s="12">
        <f>IF('Données projet'!$A$176&gt;35,DO104+DN105-DW104,IF(A105&lt;'Données projet'!$A$176,$DL$205^A105,IF(A105='Données projet'!$A$176,'Données projet'!$B$176,DO104+DN105-DW104)))</f>
        <v>-2.8421709430404007E-13</v>
      </c>
      <c r="DP105" s="17">
        <f>DO105*VLOOKUP('Données projet'!$B$14,Paramètres!$A$1:$I$89,3,0)*VLOOKUP('Données projet'!$B$14,Paramètres!$A$1:$I$89,5,0)</f>
        <v>-2.0838797354372215E-13</v>
      </c>
      <c r="DQ105" s="13" t="e">
        <f t="shared" si="192"/>
        <v>#NUM!</v>
      </c>
      <c r="DR105" s="20" t="e">
        <f t="shared" si="135"/>
        <v>#NUM!</v>
      </c>
      <c r="DS105" s="59" t="e">
        <f t="shared" si="136"/>
        <v>#NUM!</v>
      </c>
      <c r="DT105" s="59">
        <f ca="1">AVERAGE(OFFSET($DS$3,0,0,'Données projet'!$E$14+1,1))-AVERAGE(OFFSET($H$3,0,0,'Données projet'!$E$14+1,1))</f>
        <v>296.91321813251051</v>
      </c>
      <c r="DU105" s="59">
        <f t="shared" si="193"/>
        <v>291.0718079639509</v>
      </c>
      <c r="DV105" s="15">
        <f>IF(ISNA(VLOOKUP(A105,'Données projet'!$A$175:$I$195,3,0)),0,VLOOKUP(A105,'Données projet'!$A$175:$I$195,3,0))</f>
        <v>0</v>
      </c>
      <c r="DW105" s="15">
        <f>IF(ISNA(VLOOKUP(A105,'Données projet'!$A$175:$I$195,4,0)),0,VLOOKUP(A105,'Données projet'!$A$175:$I$195,4,0))</f>
        <v>0</v>
      </c>
      <c r="DX105" s="16">
        <f>IF(ISNA(VLOOKUP(A105,'Données projet'!$A$175:$I$195,5,0)),0%,VLOOKUP(A105,'Données projet'!$A$175:$I$195,5,0)*VLOOKUP('Données projet'!$B$14,Paramètres!$A$1:$I$89,7,0))</f>
        <v>0</v>
      </c>
      <c r="DY105" s="16">
        <f>IF(ISNA(VLOOKUP(A105,'Données projet'!$A$175:$I$195,6,0)),0%,VLOOKUP(A105,'Données projet'!$A$175:$I$195,6,0)*VLOOKUP('Données projet'!$B$14,Paramètres!$A$1:$I$89,7,0))</f>
        <v>0</v>
      </c>
      <c r="DZ105" s="16">
        <f>IF(ISNA(VLOOKUP(A105,'Données projet'!$A$175:$I$195,7,0)),0%,VLOOKUP(A105,'Données projet'!$A$175:$I$195,7,0))</f>
        <v>0</v>
      </c>
      <c r="EA105" s="21">
        <f>EXP(-LN(2)/35)*EA104+(1-EXP(-LN(2)/35))/(LN(2)/35)*DW105*DX105*VLOOKUP('Données projet'!$B$14,Paramètres!$A$1:$I$89,3,0)*0.475*44/12</f>
        <v>112.19575118942186</v>
      </c>
      <c r="EB105" s="21">
        <f>EXP(-LN(2)/25)*EB104+(1-EXP(-LN(2)/25))/(LN(2)/25)*Calculateur!DW105*Calculateur!DY105*VLOOKUP('Données projet'!$B$14,Paramètres!$A$1:$I$89,3,0)*0.475*44/12</f>
        <v>2.909663917994286</v>
      </c>
      <c r="EC105" s="21">
        <f>EXP(-LN(2)/2)*EC104+(1-EXP(-LN(2)/2))/(LN(2)/2)*DW105*DZ105*VLOOKUP('Données projet'!$B$14,Paramètres!$A$1:$I$89,3,0)*0.475*44/12</f>
        <v>0</v>
      </c>
      <c r="ED105" s="22">
        <f t="shared" si="137"/>
        <v>115.10541510741614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projet'!$A$201:$I$221,2,0)</f>
        <v>#N/A</v>
      </c>
      <c r="EH105" s="12" t="e">
        <f>VLOOKUP(A105,'Données projet'!$A$201:$I$221,9,0)</f>
        <v>#N/A</v>
      </c>
      <c r="EI105" s="12">
        <f t="array" ref="EI105">INDEX(EH:EH,MIN(IF(ISNUMBER(EH105:EH301),ROW(EH105:EH301),"")))</f>
        <v>5.6546153846153828</v>
      </c>
      <c r="EJ105" s="12">
        <f>IF('Données projet'!$A$202&gt;35,EJ104+EI105-ER104,IF(A105&lt;'Données projet'!$A$202,$EG$205^A105,IF(A105='Données projet'!$A$202,'Données projet'!$B$202,EJ104+EI105-ER104)))</f>
        <v>216.51000000000045</v>
      </c>
      <c r="EK105" s="17">
        <f>EJ105*VLOOKUP('Données projet'!$B$15,Paramètres!$A$1:$I$89,3,0)*VLOOKUP('Données projet'!$B$15,Paramètres!$A$1:$I$89,5,0)</f>
        <v>101.32668000000021</v>
      </c>
      <c r="EL105" s="13">
        <f t="shared" si="194"/>
        <v>27.277817919146429</v>
      </c>
      <c r="EM105" s="20">
        <f t="shared" si="138"/>
        <v>223.98616720918039</v>
      </c>
      <c r="EN105" s="59">
        <f t="shared" si="139"/>
        <v>517.31950054251365</v>
      </c>
      <c r="EO105" s="59">
        <f ca="1">AVERAGE(OFFSET($EN$3,0,0,'Données projet'!$E$15+1,1))-AVERAGE(OFFSET($H$3,0,0,'Données projet'!$E$15+1,1))</f>
        <v>147.64256291235483</v>
      </c>
      <c r="EP105" s="59">
        <f t="shared" si="195"/>
        <v>70.859031694091868</v>
      </c>
      <c r="EQ105" s="15">
        <f>IF(ISNA(VLOOKUP(A105,'Données projet'!$A$201:$I$221,3,0)),0,VLOOKUP(A105,'Données projet'!$A$201:$I$221,3,0))</f>
        <v>0</v>
      </c>
      <c r="ER105" s="15">
        <f>IF(ISNA(VLOOKUP(A105,'Données projet'!$A$201:$I$221,4,0)),0,VLOOKUP(A105,'Données projet'!$A$201:$I$221,4,0))</f>
        <v>0</v>
      </c>
      <c r="ES105" s="16">
        <f>IF(ISNA(VLOOKUP(A105,'Données projet'!$A$201:$I$221,5,0)),0%,VLOOKUP(A105,'Données projet'!$A$201:$I$221,5,0)*VLOOKUP('Données projet'!$B$15,Paramètres!$A$1:$I$89,7,0))</f>
        <v>0</v>
      </c>
      <c r="ET105" s="16">
        <f>IF(ISNA(VLOOKUP(A105,'Données projet'!$A$201:$I$221,6,0)),0%,VLOOKUP(A105,'Données projet'!$A$201:$I$221,6,0)*VLOOKUP('Données projet'!$B$15,Paramètres!$A$1:$I$89,7,0))</f>
        <v>0</v>
      </c>
      <c r="EU105" s="16">
        <f>IF(ISNA(VLOOKUP(A105,'Données projet'!$A$201:$I$221,7,0)),0%,VLOOKUP(A105,'Données projet'!$A$201:$I$221,7,0))</f>
        <v>0</v>
      </c>
      <c r="EV105" s="21">
        <f>EXP(-LN(2)/35)*EV104+(1-EXP(-LN(2)/35))/(LN(2)/35)*ER105*ES105*VLOOKUP('Données projet'!$B$15,Paramètres!$A$1:$I$89,3,0)*0.475*44/12</f>
        <v>83.284453401470316</v>
      </c>
      <c r="EW105" s="21">
        <f>EXP(-LN(2)/25)*EW104+(1-EXP(-LN(2)/25))/(LN(2)/25)*Calculateur!ER105*Calculateur!ET105*VLOOKUP('Données projet'!$B$15,Paramètres!$A$1:$I$89,3,0)*0.475*44/12</f>
        <v>22.601505993307008</v>
      </c>
      <c r="EX105" s="21">
        <f>EXP(-LN(2)/2)*EX104+(1-EXP(-LN(2)/2))/(LN(2)/2)*ER105*EU105*VLOOKUP('Données projet'!$B$15,Paramètres!$A$1:$I$89,3,0)*0.475*44/12</f>
        <v>4.9369469777335047</v>
      </c>
      <c r="EY105" s="22">
        <f t="shared" si="140"/>
        <v>110.82290637251083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projet'!$A$227:$I$247,2,0)</f>
        <v>#N/A</v>
      </c>
      <c r="FC105" s="12" t="e">
        <f>VLOOKUP(A105,'Données projet'!$A$227:$I$247,9,0)</f>
        <v>#N/A</v>
      </c>
      <c r="FD105" s="12">
        <f t="array" ref="FD105">INDEX(FC:FC,MIN(IF(ISNUMBER(FC105:FC301),ROW(FC105:FC301),"")))</f>
        <v>0</v>
      </c>
      <c r="FE105" s="12">
        <f>IF('Données projet'!$A$228&gt;35,FE104+FD105-FM104,IF(A105&lt;'Données projet'!$A$228,$FB$205^A105,IF(A105='Données projet'!$A$228,'Données projet'!$B$228,FE104+FD105-FM104)))</f>
        <v>8.5265128291212022E-14</v>
      </c>
      <c r="FF105" s="17">
        <f>FE105*VLOOKUP('Données projet'!$B$16,Paramètres!$A$1:$I$89,3,0)*VLOOKUP('Données projet'!$B$16,Paramètres!$A$1:$I$89,5,0)</f>
        <v>8.9119112089974823E-14</v>
      </c>
      <c r="FG105" s="13">
        <f t="shared" si="196"/>
        <v>1.3568952080113142E-12</v>
      </c>
      <c r="FH105" s="20">
        <f t="shared" si="141"/>
        <v>2.5184749408430782E-12</v>
      </c>
      <c r="FI105" s="59">
        <f t="shared" si="142"/>
        <v>293.33333333333582</v>
      </c>
      <c r="FJ105" s="59">
        <f ca="1">AVERAGE(OFFSET($FI$3,0,0,'Données projet'!$E$16+1,1))-AVERAGE(OFFSET($H$3,0,0,'Données projet'!$E$16+1,1))</f>
        <v>259.03906550253788</v>
      </c>
      <c r="FK105" s="59">
        <f t="shared" si="197"/>
        <v>235.54542903570831</v>
      </c>
      <c r="FL105" s="15">
        <f>IF(ISNA(VLOOKUP(A105,'Données projet'!$A$227:$I$247,3,0)),0,VLOOKUP(A105,'Données projet'!$A$227:$I$247,3,0))</f>
        <v>0</v>
      </c>
      <c r="FM105" s="15">
        <f>IF(ISNA(VLOOKUP(A105,'Données projet'!$A$227:$I$247,4,0)),0,VLOOKUP(A105,'Données projet'!$A$227:$I$247,4,0))</f>
        <v>0</v>
      </c>
      <c r="FN105" s="16">
        <f>IF(ISNA(VLOOKUP(A105,'Données projet'!$A$227:$I$247,5,0)),0%,VLOOKUP(A105,'Données projet'!$A$227:$I$247,5,0)*VLOOKUP('Données projet'!$B$16,Paramètres!$A$1:$I$89,7,0))</f>
        <v>0</v>
      </c>
      <c r="FO105" s="16">
        <f>IF(ISNA(VLOOKUP(A105,'Données projet'!$A$227:$I$247,6,0)),0%,VLOOKUP(A105,'Données projet'!$A$227:$I$247,6,0)*VLOOKUP('Données projet'!$B$16,Paramètres!$A$1:$I$89,7,0))</f>
        <v>0</v>
      </c>
      <c r="FP105" s="16">
        <f>IF(ISNA(VLOOKUP(A105,'Données projet'!$A$227:$I$247,7,0)),0%,VLOOKUP(A105,'Données projet'!$A$227:$I$247,7,0))</f>
        <v>0</v>
      </c>
      <c r="FQ105" s="21">
        <f>EXP(-LN(2)/35)*FQ104+(1-EXP(-LN(2)/35))/(LN(2)/35)*FM105*FN105*VLOOKUP('Données projet'!$B$16,Paramètres!$A$1:$I$89,3,0)*0.475*44/12</f>
        <v>67.793873378539615</v>
      </c>
      <c r="FR105" s="21">
        <f>EXP(-LN(2)/25)*FR104+(1-EXP(-LN(2)/25))/(LN(2)/25)*Calculateur!FM105*Calculateur!FO105*VLOOKUP('Données projet'!$B$16,Paramètres!$A$1:$I$89,3,0)*0.475*44/12</f>
        <v>55.534136209435829</v>
      </c>
      <c r="FS105" s="21">
        <f>EXP(-LN(2)/2)*FS104+(1-EXP(-LN(2)/2))/(LN(2)/2)*FM105*FP105*VLOOKUP('Données projet'!$B$16,Paramètres!$A$1:$I$89,3,0)*0.475*44/12</f>
        <v>0</v>
      </c>
      <c r="FT105" s="22">
        <f t="shared" si="143"/>
        <v>123.32800958797544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projet'!$A$253:$I$273,2,0)</f>
        <v>#N/A</v>
      </c>
      <c r="FX105" s="12" t="e">
        <f>VLOOKUP(A105,'Données projet'!$A$253:$I$273,9,0)</f>
        <v>#N/A</v>
      </c>
      <c r="FY105" s="12">
        <f t="array" ref="FY105">INDEX(FX:FX,MIN(IF(ISNUMBER(FX105:FX301),ROW(FX105:FX301),"")))</f>
        <v>0</v>
      </c>
      <c r="FZ105" s="12">
        <f>IF('Données projet'!$A$254&gt;35,FZ104+FY105-GH104,IF(A105&lt;'Données projet'!$A$254,$FW$205^A105,IF(A105='Données projet'!$A$254,'Données projet'!$B$254,FZ104+FY105-GH104)))</f>
        <v>-1.7053025658242404E-13</v>
      </c>
      <c r="GA105" s="17">
        <f>FZ105*VLOOKUP('Données projet'!$B$17,Paramètres!$A$1:$I$89,3,0)*VLOOKUP('Données projet'!$B$17,Paramètres!$A$1:$I$89,5,0)</f>
        <v>-1.4897523215040567E-13</v>
      </c>
      <c r="GB105" s="13" t="e">
        <f t="shared" si="198"/>
        <v>#NUM!</v>
      </c>
      <c r="GC105" s="20" t="e">
        <f t="shared" si="144"/>
        <v>#NUM!</v>
      </c>
      <c r="GD105" s="59" t="e">
        <f t="shared" si="145"/>
        <v>#NUM!</v>
      </c>
      <c r="GE105" s="59">
        <f ca="1">AVERAGE(OFFSET($GD$3,0,0,'Données projet'!$E$17+1,1))-AVERAGE(OFFSET($H$3,0,0,'Données projet'!$E$17+1,1))</f>
        <v>245.1983232777614</v>
      </c>
      <c r="GF105" s="59">
        <f t="shared" si="199"/>
        <v>242.34010522344573</v>
      </c>
      <c r="GG105" s="15">
        <f>IF(ISNA(VLOOKUP(A105,'Données projet'!$A$253:$I$273,3,0)),0,VLOOKUP(A105,'Données projet'!$A$253:$I$273,3,0))</f>
        <v>0</v>
      </c>
      <c r="GH105" s="15">
        <f>IF(ISNA(VLOOKUP(A105,'Données projet'!$A$253:$I$273,4,0)),0,VLOOKUP(A105,'Données projet'!$A$253:$I$273,4,0))</f>
        <v>0</v>
      </c>
      <c r="GI105" s="16">
        <f>IF(ISNA(VLOOKUP(A105,'Données projet'!$A$253:$I$273,5,0)),0%,VLOOKUP(A105,'Données projet'!$A$253:$I$273,5,0)*VLOOKUP('Données projet'!$B$17,Paramètres!$A$1:$I$89,7,0))</f>
        <v>0</v>
      </c>
      <c r="GJ105" s="16">
        <f>IF(ISNA(VLOOKUP(A105,'Données projet'!$A$253:$I$273,6,0)),0%,VLOOKUP(A105,'Données projet'!$A$253:$I$273,6,0)*VLOOKUP('Données projet'!$B$17,Paramètres!$A$1:$I$89,7,0))</f>
        <v>0</v>
      </c>
      <c r="GK105" s="16">
        <f>IF(ISNA(VLOOKUP(A105,'Données projet'!$A$253:$I$273,7,0)),0%,VLOOKUP(A105,'Données projet'!$A$253:$I$273,7,0))</f>
        <v>0</v>
      </c>
      <c r="GL105" s="21">
        <f>EXP(-LN(2)/35)*GL104+(1-EXP(-LN(2)/35))/(LN(2)/35)*GH105*GI105*VLOOKUP('Données projet'!$B$17,Paramètres!$A$1:$I$89,3,0)*0.475*44/12</f>
        <v>79.700999631611666</v>
      </c>
      <c r="GM105" s="21">
        <f>EXP(-LN(2)/25)*GM104+(1-EXP(-LN(2)/25))/(LN(2)/25)*Calculateur!GH105*Calculateur!GJ105*VLOOKUP('Données projet'!$B$17,Paramètres!$A$1:$I$89,3,0)*0.475*44/12</f>
        <v>11.832971523937495</v>
      </c>
      <c r="GN105" s="21">
        <f>EXP(-LN(2)/2)*GN104+(1-EXP(-LN(2)/2))/(LN(2)/2)*GH105*GK105*VLOOKUP('Données projet'!$B$17,Paramètres!$A$1:$I$89,3,0)*0.475*44/12</f>
        <v>0</v>
      </c>
      <c r="GO105" s="21">
        <f t="shared" si="146"/>
        <v>91.533971155549153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projet'!$A$279:$I$299,2,0)</f>
        <v>#N/A</v>
      </c>
      <c r="GS105" s="12" t="e">
        <f>VLOOKUP(A105,'Données projet'!$A$279:$I$299,9,0)</f>
        <v>#N/A</v>
      </c>
      <c r="GT105" s="12">
        <f t="array" ref="GT105">INDEX(GS:GS,MIN(IF(ISNUMBER(GS105:GS301),ROW(GS105:GS301),"")))</f>
        <v>0</v>
      </c>
      <c r="GU105" s="12">
        <f>IF('Données projet'!$A$280&gt;35,GU104+GT105-HC104,IF(A105&lt;'Données projet'!$A$280,$GR$205^A105,IF(A105='Données projet'!$A$280,'Données projet'!$B$280,GU104+GT105-HC104)))</f>
        <v>-1.1368683772161603E-13</v>
      </c>
      <c r="GV105" s="17">
        <f>GU105*VLOOKUP('Données projet'!$B$18,Paramètres!$A$1:$I$89,3,0)*VLOOKUP('Données projet'!$B$18,Paramètres!$A$1:$I$89,5,0)</f>
        <v>-4.5815795601811263E-14</v>
      </c>
      <c r="GW105" s="13" t="e">
        <f t="shared" si="200"/>
        <v>#NUM!</v>
      </c>
      <c r="GX105" s="20" t="e">
        <f t="shared" si="147"/>
        <v>#NUM!</v>
      </c>
      <c r="GY105" s="59" t="e">
        <f t="shared" si="148"/>
        <v>#NUM!</v>
      </c>
      <c r="GZ105" s="59">
        <f ca="1">AVERAGE(OFFSET($GY$3,0,0,'Données projet'!$E$18+1,1))-AVERAGE(OFFSET($H$3,0,0,'Données projet'!$E$18+1,1))</f>
        <v>324.36162935850876</v>
      </c>
      <c r="HA105" s="59">
        <f t="shared" si="201"/>
        <v>265.23571072429735</v>
      </c>
      <c r="HB105" s="15">
        <f>IF(ISNA(VLOOKUP(A105,'Données projet'!$A$279:$I$299,3,0)),0,VLOOKUP(A105,'Données projet'!$A$279:$I$299,3,0))</f>
        <v>0</v>
      </c>
      <c r="HC105" s="15">
        <f>IF(ISNA(VLOOKUP(A105,'Données projet'!$A$279:$I$299,4,0)),0,VLOOKUP(A105,'Données projet'!$A$279:$I$299,4,0))</f>
        <v>0</v>
      </c>
      <c r="HD105" s="16">
        <f>IF(ISNA(VLOOKUP(A105,'Données projet'!$A$279:$I$299,5,0)),0%,VLOOKUP(A105,'Données projet'!$A$279:$I$299,5,0)*VLOOKUP('Données projet'!$B$18,Paramètres!$A$1:$I$89,7,0))</f>
        <v>0</v>
      </c>
      <c r="HE105" s="16">
        <f>IF(ISNA(VLOOKUP(A105,'Données projet'!$A$279:$I$299,6,0)),0%,VLOOKUP(A105,'Données projet'!$A$279:$I$299,6,0)*VLOOKUP('Données projet'!$B$18,Paramètres!$A$1:$I$89,7,0))</f>
        <v>0</v>
      </c>
      <c r="HF105" s="16">
        <f>IF(ISNA(VLOOKUP($A105,'Données projet'!$A$279:$I$299,7,0)),0%,VLOOKUP($A105,'Données projet'!$A$279:$I$299,7,0))</f>
        <v>0</v>
      </c>
      <c r="HG105" s="21">
        <f>EXP(-LN(2)/35)*HG104+(1-EXP(-LN(2)/35))/(LN(2)/35)*HC105*HD105*VLOOKUP('Données projet'!$B$18,Paramètres!$A$1:$I$89,3,0)*0.475*44/12</f>
        <v>152.72795063466015</v>
      </c>
      <c r="HH105" s="21">
        <f>EXP(-LN(2)/25)*HH104+(1-EXP(-LN(2)/25))/(LN(2)/25)*Calculateur!HC105*Calculateur!HE105*VLOOKUP('Données projet'!$B$18,Paramètres!$A$1:$I$89,3,0)*0.475*44/12</f>
        <v>13.160380851548691</v>
      </c>
      <c r="HI105" s="21">
        <f>EXP(-LN(2)/2)*HI104+(1-EXP(-LN(2)/2))/(LN(2)/2)*HC105*HF105*VLOOKUP('Données projet'!$B$18,Paramètres!$A$1:$I$89,3,0)*0.475*44/12</f>
        <v>4.1734422409081678E-3</v>
      </c>
      <c r="HJ105" s="22">
        <f t="shared" si="149"/>
        <v>165.89250492844974</v>
      </c>
      <c r="HK105" s="74">
        <f>('Scénario référence'!$F$8+'Scénario référence'!$F$9+'Scénario référence'!$B$17+'Scénario référence'!$B$9+'Scénario référence'!$B$10)*70+IF((45+25*(1-EXP(-0.0175*$A105)))&lt;70,'Scénario référence'!$B$16*(45+25*(1-EXP(-0.0175*$A105))),70*'Scénario référence'!$B$16)+IF((32+38*(1-EXP(-0.0175*$A105)))&lt;70,'Scénario référence'!$B$18*(32+38*(1-EXP(-0.0175*$A105))),70*'Scénario référence'!$B$18)</f>
        <v>70</v>
      </c>
      <c r="HL105" s="12">
        <f>IF($A105&gt;30,10,('Scénario référence'!$B$16+'Scénario référence'!$B$17+'Scénario référence'!$B$18+'Scénario référence'!$B$9+'Scénario référence'!$B$10)*$A105*10/30+('Scénario référence'!$F$8+'Scénario référence'!$F$9)*10)</f>
        <v>10</v>
      </c>
      <c r="HM105" s="12" t="e">
        <f>VLOOKUP($A105,'Données projet'!$A$304:$I$324,2,0)</f>
        <v>#N/A</v>
      </c>
      <c r="HN105" s="12" t="e">
        <f>VLOOKUP($A105,'Données projet'!$A$304:$I$324,9,0)</f>
        <v>#N/A</v>
      </c>
      <c r="HO105" s="12">
        <f t="array" ref="HO105">INDEX(HN:HN,MIN(IF(ISNUMBER(HN105:HN301),ROW(HN105:HN301),"")))</f>
        <v>0</v>
      </c>
      <c r="HP105" s="12">
        <f>IF('Données projet'!$A$304&gt;35,HP104+HO105-HX104,IF($A105&lt;'Données projet'!$A$304,$CQ$205^$A105,IF($A105='Données projet'!$A$304,'Données projet'!$B$304,HP104+HO105-HX104)))</f>
        <v>0</v>
      </c>
      <c r="HQ105" s="17">
        <f>HP105*VLOOKUP('Données projet'!$B$19,Paramètres!$A$1:$I$89,3,0)*VLOOKUP('Données projet'!$B$19,Paramètres!$A$1:$I$89,5,0)</f>
        <v>0</v>
      </c>
      <c r="HR105" s="13" t="e">
        <f t="shared" si="202"/>
        <v>#NUM!</v>
      </c>
      <c r="HS105" s="14" t="e">
        <f t="shared" si="150"/>
        <v>#NUM!</v>
      </c>
      <c r="HT105" s="59" t="e">
        <f t="shared" si="151"/>
        <v>#NUM!</v>
      </c>
      <c r="HU105" s="59">
        <f ca="1">AVERAGE(OFFSET(HT$3,0,0,'Données projet'!$E$19+1,1))-AVERAGE(OFFSET($H$3,0,0,'Données projet'!$E$19+1,1))</f>
        <v>91.60721429656013</v>
      </c>
      <c r="HV105" s="59">
        <f t="shared" si="203"/>
        <v>258.94957804210856</v>
      </c>
      <c r="HW105" s="15">
        <f>IF(ISNA(VLOOKUP($A105,'Données projet'!$A$304:$I$324,3,0)),0,VLOOKUP($A105,'Données projet'!$A$304:$I$324,3,0))</f>
        <v>0</v>
      </c>
      <c r="HX105" s="15">
        <f>IF(ISNA(VLOOKUP($A105,'Données projet'!$A$304:$I$324,4,0)),0,VLOOKUP($A105,'Données projet'!$A$304:$I$324,4,0))</f>
        <v>0</v>
      </c>
      <c r="HY105" s="16">
        <f>IF(ISNA(VLOOKUP($A105,'Données projet'!$A$304:$I$324,5,0)),0%,VLOOKUP($A105,'Données projet'!$A$304:$I$324,5,0)*VLOOKUP('Données projet'!$B$19,Paramètres!$A$1:$I$89,7,0))</f>
        <v>0</v>
      </c>
      <c r="HZ105" s="16">
        <f>IF(ISNA(VLOOKUP($A105,'Données projet'!$A$304:$I$324,6,0)),0%,VLOOKUP($A105,'Données projet'!$A$304:$I$324,6,0)*VLOOKUP('Données projet'!$B$19,Paramètres!$A$1:$I$89,7,0))</f>
        <v>0</v>
      </c>
      <c r="IA105" s="16">
        <f>IF(ISNA(VLOOKUP($A105,'Données projet'!$A$304:$I$324,7,0)),0%,VLOOKUP($A105,'Données projet'!$A$304:$I$324,7,0))</f>
        <v>0</v>
      </c>
      <c r="IB105" s="21">
        <f>EXP(-LN(2)/35)*IB104+(1-EXP(-LN(2)/35))/(LN(2)/35)*HX105*HY105*VLOOKUP('Données projet'!$B$19,Paramètres!$A$1:$I$89,3,0)*0.475*44/12</f>
        <v>11.854226507404695</v>
      </c>
      <c r="IC105" s="21">
        <f>EXP(-LN(2)/25)*IC104+(1-EXP(-LN(2)/25))/(LN(2)/25)*Calculateur!HX105*Calculateur!HZ105*VLOOKUP('Données projet'!$B$19,Paramètres!$A$1:$I$89,3,0)*0.475*44/12</f>
        <v>1.3214324640107455</v>
      </c>
      <c r="ID105" s="21">
        <f>EXP(-LN(2)/2)*ID104+(1-EXP(-LN(2)/2))/(LN(2)/2)*HX105*IA105*VLOOKUP('Données projet'!$B$19,Paramètres!$A$1:$I$89,3,0)*0.475*44/12</f>
        <v>8.336098278872342E-12</v>
      </c>
      <c r="IE105" s="22">
        <f t="shared" si="152"/>
        <v>13.175658971423777</v>
      </c>
      <c r="IF105" s="74">
        <f>('Scénario référence'!$F$8+'Scénario référence'!$F$9+'Scénario référence'!$B$17+'Scénario référence'!$B$9+'Scénario référence'!$B$10)*70+IF((45+25*(1-EXP(-0.0175*$A105)))&lt;70,'Scénario référence'!$B$16*(45+25*(1-EXP(-0.0175*$A105))),70*'Scénario référence'!$B$16)+IF((32+38*(1-EXP(-0.0175*$A105)))&lt;70,'Scénario référence'!$B$18*(32+38*(1-EXP(-0.0175*$A105))),70*'Scénario référence'!$B$18)</f>
        <v>70</v>
      </c>
      <c r="IG105" s="12">
        <f>IF($A105&gt;30,10,('Scénario référence'!$B$16+'Scénario référence'!$B$17+'Scénario référence'!$B$18+'Scénario référence'!$B$9+'Scénario référence'!$B$10)*$A105*10/30+('Scénario référence'!$F$8+'Scénario référence'!$F$9)*10)</f>
        <v>10</v>
      </c>
      <c r="IH105" s="12" t="e">
        <f>VLOOKUP($A105,'Données projet'!$A$330:$I$350,2,0)</f>
        <v>#N/A</v>
      </c>
      <c r="II105" s="12" t="e">
        <f>VLOOKUP($A105,'Données projet'!$A$330:$I$350,9,0)</f>
        <v>#N/A</v>
      </c>
      <c r="IJ105" s="12">
        <f t="array" ref="IJ105">INDEX(II:II,MIN(IF(ISNUMBER(II105:II301),ROW(II105:II301),"")))</f>
        <v>0</v>
      </c>
      <c r="IK105" s="12">
        <f>IF('Données projet'!$A$330&gt;35,IK104+IJ105-IS104,IF($A105&lt;'Données projet'!$A$330,$CQ$205^$A105,IF($A105='Données projet'!$A$330,'Données projet'!$B$330,IK104+IJ105-IS104)))</f>
        <v>0</v>
      </c>
      <c r="IL105" s="17">
        <f>IK105*VLOOKUP('Données projet'!$B$20,Paramètres!$A$1:$I$89,3,0)*VLOOKUP('Données projet'!$B$20,Paramètres!$A$1:$I$89,5,0)</f>
        <v>0</v>
      </c>
      <c r="IM105" s="13" t="e">
        <f t="shared" si="204"/>
        <v>#NUM!</v>
      </c>
      <c r="IN105" s="20" t="e">
        <f t="shared" si="153"/>
        <v>#NUM!</v>
      </c>
      <c r="IO105" s="59" t="e">
        <f t="shared" si="154"/>
        <v>#NUM!</v>
      </c>
      <c r="IP105" s="59">
        <f ca="1">AVERAGE(OFFSET(IO$3,0,0,'Données projet'!$E$20+1,1))-AVERAGE(OFFSET($H$3,0,0,'Données projet'!$E$20+1,1))</f>
        <v>91.60721429656013</v>
      </c>
      <c r="IQ105" s="59">
        <f t="shared" si="205"/>
        <v>258.94957804210856</v>
      </c>
      <c r="IR105" s="15">
        <f>IF(ISNA(VLOOKUP($A105,'Données projet'!$A$330:$I$350,3,0)),0,VLOOKUP($A105,'Données projet'!$A$330:$I$350,3,0))</f>
        <v>0</v>
      </c>
      <c r="IS105" s="15">
        <f>IF(ISNA(VLOOKUP($A105,'Données projet'!$A$330:$I$350,4,0)),0,VLOOKUP($A105,'Données projet'!$A$330:$I$350,4,0))</f>
        <v>0</v>
      </c>
      <c r="IT105" s="16">
        <f>IF(ISNA(VLOOKUP($A105,'Données projet'!$A$330:$I$350,5,0)),0%,VLOOKUP($A105,'Données projet'!$A$330:$I$350,5,0)*VLOOKUP('Données projet'!$B$20,Paramètres!$A$1:$I$89,7,0))</f>
        <v>0</v>
      </c>
      <c r="IU105" s="16">
        <f>IF(ISNA(VLOOKUP($A105,'Données projet'!$A$330:$I$350,6,0)),0%,VLOOKUP($A105,'Données projet'!$A$330:$I$350,6,0)*VLOOKUP('Données projet'!$B$20,Paramètres!$A$1:$I$89,7,0))</f>
        <v>0</v>
      </c>
      <c r="IV105" s="16">
        <f>IF(ISNA(VLOOKUP($A105,'Données projet'!$A$330:$I$350,7,0)),0%,VLOOKUP($A105,'Données projet'!$A$330:$I$350,7,0))</f>
        <v>0</v>
      </c>
      <c r="IW105" s="21">
        <f>EXP(-LN(2)/35)*IW104+(1-EXP(-LN(2)/35))/(LN(2)/35)*IS105*IT105*VLOOKUP('Données projet'!$B$20,Paramètres!$A$1:$I$89,3,0)*0.475*44/12</f>
        <v>11.854226507404695</v>
      </c>
      <c r="IX105" s="21">
        <f>EXP(-LN(2)/25)*IX104+(1-EXP(-LN(2)/25))/(LN(2)/25)*Calculateur!IS105*Calculateur!IU105*VLOOKUP('Données projet'!$B$20,Paramètres!$A$1:$I$89,3,0)*0.475*44/12</f>
        <v>1.3214324640107455</v>
      </c>
      <c r="IY105" s="21">
        <f>EXP(-LN(2)/2)*IY104+(1-EXP(-LN(2)/2))/(LN(2)/2)*IS105*IV105*VLOOKUP('Données projet'!$B$20,Paramètres!$A$1:$I$89,3,0)*0.475*44/12</f>
        <v>8.336098278872342E-12</v>
      </c>
      <c r="IZ105" s="22">
        <f t="shared" si="155"/>
        <v>13.175658971423777</v>
      </c>
      <c r="JA105" s="74">
        <f>('Scénario référence'!$F$8+'Scénario référence'!$F$9+'Scénario référence'!$B$17+'Scénario référence'!$B$9+'Scénario référence'!$B$10)*70+IF((45+25*(1-EXP(-0.0175*$A105)))&lt;70,'Scénario référence'!$B$16*(45+25*(1-EXP(-0.0175*$A105))),70*'Scénario référence'!$B$16)+IF((32+38*(1-EXP(-0.0175*$A105)))&lt;70,'Scénario référence'!$B$18*(32+38*(1-EXP(-0.0175*$A105))),70*'Scénario référence'!$B$18)</f>
        <v>70</v>
      </c>
      <c r="JB105" s="12">
        <f>IF($A105&gt;30,10,('Scénario référence'!$B$16+'Scénario référence'!$B$17+'Scénario référence'!$B$18+'Scénario référence'!$B$9+'Scénario référence'!$B$10)*$A105*10/30+('Scénario référence'!$F$8+'Scénario référence'!$F$9)*10)</f>
        <v>10</v>
      </c>
      <c r="JC105" s="12" t="e">
        <f>VLOOKUP($A105,'Données projet'!$A$356:$I$376,2,0)</f>
        <v>#N/A</v>
      </c>
      <c r="JD105" s="12" t="e">
        <f>VLOOKUP($A105,'Données projet'!$A$356:$I$376,9,0)</f>
        <v>#N/A</v>
      </c>
      <c r="JE105" s="12">
        <f t="array" ref="JE105">INDEX(JD:JD,MIN(IF(ISNUMBER(JD105:JD301),ROW(JD105:JD301),"")))</f>
        <v>4.2</v>
      </c>
      <c r="JF105" s="12">
        <f>IF('Données projet'!$A$356&gt;35,JF104+JE105-JN104,IF($A105&lt;'Données projet'!$A$356,$CQ$205^$A105,IF($A105='Données projet'!$A$356,'Données projet'!$B$356,JF104+JE105-JN104)))</f>
        <v>384.39999999999947</v>
      </c>
      <c r="JG105" s="17">
        <f>JF105*VLOOKUP('Données projet'!$B$21,Paramètres!$A$1:$I$89,3,0)*VLOOKUP('Données projet'!$B$21,Paramètres!$A$1:$I$89,5,0)</f>
        <v>311.82527999999957</v>
      </c>
      <c r="JH105" s="13">
        <f t="shared" si="206"/>
        <v>73.649890942076709</v>
      </c>
      <c r="JI105" s="20">
        <f t="shared" si="156"/>
        <v>671.36925605744943</v>
      </c>
      <c r="JJ105" s="59">
        <f t="shared" si="157"/>
        <v>964.7025893907828</v>
      </c>
      <c r="JK105" s="59">
        <f ca="1">AVERAGE(OFFSET($JJ$3,0,0,'Données projet'!$E$22+1,1))-AVERAGE(OFFSET($H$3,0,0,'Données projet'!$E$22+1,1))</f>
        <v>353.35574633294613</v>
      </c>
      <c r="JL105" s="59">
        <f t="shared" si="207"/>
        <v>170.36796666474726</v>
      </c>
      <c r="JM105" s="15">
        <f>IF(ISNA(VLOOKUP($A105,'Données projet'!$A$356:$I$376,3,0)),0,VLOOKUP($A105,'Données projet'!$A$356:$I$376,3,0))</f>
        <v>0</v>
      </c>
      <c r="JN105" s="15">
        <f>IF(ISNA(VLOOKUP($A105,'Données projet'!$A$356:$I$376,4,0)),0,VLOOKUP($A105,'Données projet'!$A$356:$I$376,4,0))</f>
        <v>0</v>
      </c>
      <c r="JO105" s="16">
        <f>IF(ISNA(VLOOKUP($A105,'Données projet'!$A$356:$I$376,5,0)),0%,VLOOKUP($A105,'Données projet'!$A$356:$I$376,5,0)*VLOOKUP('Données projet'!$B$21,Paramètres!$A$1:$I$89,7,0))</f>
        <v>0</v>
      </c>
      <c r="JP105" s="16">
        <f>IF(ISNA(VLOOKUP($A105,'Données projet'!$A$356:$I$376,6,0)),0%,VLOOKUP($A105,'Données projet'!$A$356:$I$376,6,0)*VLOOKUP('Données projet'!$B$21,Paramètres!$A$1:$I$89,7,0))</f>
        <v>0</v>
      </c>
      <c r="JQ105" s="16">
        <f>IF(ISNA(VLOOKUP($A105,'Données projet'!$A$356:$I$376,7,0)),0%,VLOOKUP($A105,'Données projet'!$A$356:$I$376,7,0))</f>
        <v>0</v>
      </c>
      <c r="JR105" s="21">
        <f>EXP(-LN(2)/35)*JR104+(1-EXP(-LN(2)/35))/(LN(2)/35)*JN105*JO105*VLOOKUP('Données projet'!$B$21,Paramètres!$A$1:$I$89,3,0)*0.475*44/12</f>
        <v>3.9004289440191395</v>
      </c>
      <c r="JS105" s="21">
        <f>EXP(-LN(2)/25)*JS104+(1-EXP(-LN(2)/25))/(LN(2)/25)*Calculateur!JN105*Calculateur!JP105*VLOOKUP('Données projet'!$B$21,Paramètres!$A$1:$I$89,3,0)*0.475*44/12</f>
        <v>16.80170583994531</v>
      </c>
      <c r="JT105" s="21">
        <f>EXP(-LN(2)/2)*JT104+(1-EXP(-LN(2)/2))/(LN(2)/2)*JN105*JQ105*VLOOKUP('Données projet'!$B$21,Paramètres!$A$1:$I$89,3,0)*0.475*44/12</f>
        <v>1.9340288815116951</v>
      </c>
      <c r="JU105" s="18">
        <f t="shared" si="158"/>
        <v>22.636163665476143</v>
      </c>
      <c r="JV105" s="74">
        <f>('Scénario référence'!$F$8+'Scénario référence'!$F$9+'Scénario référence'!$B$17+'Scénario référence'!$B$9+'Scénario référence'!$B$10)*70+IF((45+25*(1-EXP(-0.0175*$A105)))&lt;70,'Scénario référence'!$B$16*(45+25*(1-EXP(-0.0175*$A105))),70*'Scénario référence'!$B$16)+IF((32+38*(1-EXP(-0.0175*$A105)))&lt;70,'Scénario référence'!$B$18*(32+38*(1-EXP(-0.0175*$A105))),70*'Scénario référence'!$B$18)</f>
        <v>70</v>
      </c>
      <c r="JW105" s="12">
        <f>IF($A105&gt;30,10,('Scénario référence'!$B$16+'Scénario référence'!$B$17+'Scénario référence'!$B$18+'Scénario référence'!$B$9+'Scénario référence'!$B$10)*$A105*10/30+('Scénario référence'!$F$8+'Scénario référence'!$F$9)*10)</f>
        <v>10</v>
      </c>
      <c r="JX105" s="12" t="e">
        <f>VLOOKUP($A105,'Données projet'!$A$382:$I$402,2,0)</f>
        <v>#N/A</v>
      </c>
      <c r="JY105" s="12" t="e">
        <f>VLOOKUP($A105,'Données projet'!$A$382:$I$402,9,0)</f>
        <v>#N/A</v>
      </c>
      <c r="JZ105" s="12">
        <f t="array" ref="JZ105">INDEX(JY:JY,MIN(IF(ISNUMBER(JY105:JY301),ROW(JY105:JY301),"")))</f>
        <v>6.9935897435897401</v>
      </c>
      <c r="KA105" s="12">
        <f>IF('Données projet'!$A$382&gt;35,KA104+JZ105-KI104,IF($A105&lt;'Données projet'!$A$382,$CQ$205^$A105,IF($A105='Données projet'!$A$382,'Données projet'!$B$382,KA104+JZ105-KI104)))</f>
        <v>291.21153846153885</v>
      </c>
      <c r="KB105" s="17">
        <f>KA105*VLOOKUP('Données projet'!$B$22,Paramètres!$A$1:$I$89,3,0)*VLOOKUP('Données projet'!$B$22,Paramètres!$A$1:$I$89,5,0)</f>
        <v>195.34470000000027</v>
      </c>
      <c r="KC105" s="13">
        <f t="shared" si="208"/>
        <v>48.719675554365892</v>
      </c>
      <c r="KD105" s="20">
        <f t="shared" si="159"/>
        <v>425.07878742385441</v>
      </c>
      <c r="KE105" s="59">
        <f t="shared" si="160"/>
        <v>718.41212075718772</v>
      </c>
      <c r="KF105" s="59">
        <f ca="1">AVERAGE(OFFSET($KE$3,0,0,'Données projet'!$E$22+1,1))-AVERAGE(OFFSET($H$3,0,0,'Données projet'!$E$22+1,1))</f>
        <v>193.91714772848269</v>
      </c>
      <c r="KG105" s="59">
        <f t="shared" si="209"/>
        <v>159.20429420478047</v>
      </c>
      <c r="KH105" s="15">
        <f>IF(ISNA(VLOOKUP($A105,'Données projet'!$A$382:$I$402,3,0)),0,VLOOKUP($A105,'Données projet'!$A$382:$I$402,3,0))</f>
        <v>0</v>
      </c>
      <c r="KI105" s="15">
        <f>IF(ISNA(VLOOKUP($A105,'Données projet'!$A$382:$I$402,4,0)),0,VLOOKUP($A105,'Données projet'!$A$382:$I$402,4,0))</f>
        <v>0</v>
      </c>
      <c r="KJ105" s="16">
        <f>IF(ISNA(VLOOKUP($A105,'Données projet'!$A$382:$I$402,5,0)),0%,VLOOKUP($A105,'Données projet'!$A$382:$I$402,5,0)*VLOOKUP('Données projet'!$B$22,Paramètres!$A$1:$I$89,7,0))</f>
        <v>0</v>
      </c>
      <c r="KK105" s="16">
        <f>IF(ISNA(VLOOKUP($A105,'Données projet'!$A$382:$I$402,6,0)),0%,VLOOKUP($A105,'Données projet'!$A$382:$I$402,6,0)*VLOOKUP('Données projet'!$B$22,Paramètres!$A$1:$I$89,7,0))</f>
        <v>0</v>
      </c>
      <c r="KL105" s="16">
        <f>IF(ISNA(VLOOKUP($A105,'Données projet'!$A$382:$I$402,7,0)),0%,VLOOKUP($A105,'Données projet'!$A$382:$I$402,7,0))</f>
        <v>0</v>
      </c>
      <c r="KM105" s="21">
        <f>EXP(-LN(2)/35)*KM104+(1-EXP(-LN(2)/35))/(LN(2)/35)*KI105*KJ105*VLOOKUP('Données projet'!$B$22,Paramètres!$A$1:$I$89,3,0)*0.475*44/12</f>
        <v>42.317482475894458</v>
      </c>
      <c r="KN105" s="21">
        <f>EXP(-LN(2)/25)*KN104+(1-EXP(-LN(2)/25))/(LN(2)/25)*Calculateur!KI105*Calculateur!KK105*VLOOKUP('Données projet'!$B$22,Paramètres!$A$1:$I$89,3,0)*0.475*44/12</f>
        <v>0</v>
      </c>
      <c r="KO105" s="21">
        <f>EXP(-LN(2)/2)*KO104+(1-EXP(-LN(2)/2))/(LN(2)/2)*KI105*KL105*VLOOKUP('Données projet'!$B$22,Paramètres!$A$1:$I$89,3,0)*0.475*44/12</f>
        <v>0</v>
      </c>
      <c r="KP105" s="22">
        <f t="shared" si="161"/>
        <v>42.317482475894458</v>
      </c>
      <c r="KQ105" s="74">
        <f>('Scénario référence'!$F$8+'Scénario référence'!$F$9+'Scénario référence'!$B$17+'Scénario référence'!$B$9+'Scénario référence'!$B$10)*70+IF((45+25*(1-EXP(-0.0175*$A105)))&lt;70,'Scénario référence'!$B$16*(45+25*(1-EXP(-0.0175*$A105))),70*'Scénario référence'!$B$16)+IF((32+38*(1-EXP(-0.0175*$A105)))&lt;70,'Scénario référence'!$B$18*(32+38*(1-EXP(-0.0175*$A105))),70*'Scénario référence'!$B$18)</f>
        <v>70</v>
      </c>
      <c r="KR105" s="12">
        <f>IF($A105&gt;30,10,('Scénario référence'!$B$16+'Scénario référence'!$B$17+'Scénario référence'!$B$18+'Scénario référence'!$B$9+'Scénario référence'!$B$10)*$A105*10/30+('Scénario référence'!$F$8+'Scénario référence'!$F$9)*10)</f>
        <v>10</v>
      </c>
      <c r="KS105" s="12" t="e">
        <f>VLOOKUP($A105,'Données projet'!$A$408:$I$428,2,0)</f>
        <v>#N/A</v>
      </c>
      <c r="KT105" s="12" t="e">
        <f>VLOOKUP($A105,'Données projet'!$A$408:$I$428,9,0)</f>
        <v>#N/A</v>
      </c>
      <c r="KU105" s="12">
        <f t="array" ref="KU105">INDEX(KT:KT,MIN(IF(ISNUMBER(KT105:KT301),ROW(KT105:KT301),"")))</f>
        <v>0</v>
      </c>
      <c r="KV105" s="12">
        <f>IF('Données projet'!$A$408&gt;35,KV104+KU105-LD104,IF($A105&lt;'Données projet'!$A$408,$CQ$205^$A105,IF($A105='Données projet'!$A$408,'Données projet'!$B$408,KV104+KU105-LD104)))</f>
        <v>-1.1368683772161603E-13</v>
      </c>
      <c r="KW105" s="17">
        <f>KV105*VLOOKUP('Données projet'!$B$23,Paramètres!$A$1:$I$89,3,0)*VLOOKUP('Données projet'!$B$23,Paramètres!$A$1:$I$89,5,0)</f>
        <v>-9.9316821433603781E-14</v>
      </c>
      <c r="KX105" s="13" t="e">
        <f t="shared" si="210"/>
        <v>#NUM!</v>
      </c>
      <c r="KY105" s="14" t="e">
        <f t="shared" si="162"/>
        <v>#NUM!</v>
      </c>
      <c r="KZ105" s="59" t="e">
        <f t="shared" si="163"/>
        <v>#NUM!</v>
      </c>
      <c r="LA105" s="59">
        <f ca="1">AVERAGE(OFFSET($KZ$3,0,0,'Données projet'!$E$23+1,1))-AVERAGE(OFFSET($H$3,0,0,'Données projet'!$E$23+1,1))</f>
        <v>248.33596943633819</v>
      </c>
      <c r="LB105" s="59">
        <f t="shared" si="211"/>
        <v>242.34010522344573</v>
      </c>
      <c r="LC105" s="15">
        <f>IF(ISNA(VLOOKUP($A105,'Données projet'!$A$408:$I$428,3,0)),0,VLOOKUP($A105,'Données projet'!$A$408:$I$428,3,0))</f>
        <v>0</v>
      </c>
      <c r="LD105" s="15">
        <f>IF(ISNA(VLOOKUP($A105,'Données projet'!$A$408:$I$428,4,0)),0,VLOOKUP($A105,'Données projet'!$A$408:$I$428,4,0))</f>
        <v>0</v>
      </c>
      <c r="LE105" s="16">
        <f>IF(ISNA(VLOOKUP($A105,'Données projet'!$A$408:$I$428,5,0)),0%,VLOOKUP($A105,'Données projet'!$A$408:$I$428,5,0)*VLOOKUP('Données projet'!$B$23,Paramètres!$A$1:$I$89,7,0))</f>
        <v>0</v>
      </c>
      <c r="LF105" s="16">
        <f>IF(ISNA(VLOOKUP($A105,'Données projet'!$A$408:$I$428,6,0)),0%,VLOOKUP($A105,'Données projet'!$A$408:$I$428,6,0)*VLOOKUP('Données projet'!$B$23,Paramètres!$A$1:$I$89,7,0))</f>
        <v>0</v>
      </c>
      <c r="LG105" s="16">
        <f>IF(ISNA(VLOOKUP($A105,'Données projet'!$A$408:$I$428,7,0)),0%,VLOOKUP($A105,'Données projet'!$A$408:$I$428,7,0))</f>
        <v>0</v>
      </c>
      <c r="LH105" s="21">
        <f>EXP(-LN(2)/35)*LH104+(1-EXP(-LN(2)/35))/(LN(2)/35)*LD105*LE105*VLOOKUP('Données projet'!$B$23,Paramètres!$A$1:$I$89,3,0)*0.475*44/12</f>
        <v>79.700999631611666</v>
      </c>
      <c r="LI105" s="21">
        <f>EXP(-LN(2)/25)*LI104+(1-EXP(-LN(2)/25))/(LN(2)/25)*Calculateur!LD105*Calculateur!LF105*VLOOKUP('Données projet'!$B$23,Paramètres!$A$1:$I$89,3,0)*0.475*44/12</f>
        <v>11.832971523937495</v>
      </c>
      <c r="LJ105" s="21">
        <f>EXP(-LN(2)/2)*LJ104+(1-EXP(-LN(2)/2))/(LN(2)/2)*LD105*LG105*VLOOKUP('Données projet'!$B$23,Paramètres!$A$1:$I$89,3,0)*0.475*44/12</f>
        <v>0</v>
      </c>
      <c r="LK105" s="22">
        <f t="shared" si="164"/>
        <v>91.533971155549153</v>
      </c>
      <c r="LL105" s="74">
        <f>('Scénario référence'!$F$8+'Scénario référence'!$F$9+'Scénario référence'!$B$17+'Scénario référence'!$B$9+'Scénario référence'!$B$10)*70+IF((45+25*(1-EXP(-0.0175*$A105)))&lt;70,'Scénario référence'!$B$16*(45+25*(1-EXP(-0.0175*$A105))),70*'Scénario référence'!$B$16)+IF((32+38*(1-EXP(-0.0175*$A105)))&lt;70,'Scénario référence'!$B$18*(32+38*(1-EXP(-0.0175*$A105))),70*'Scénario référence'!$B$18)</f>
        <v>70</v>
      </c>
      <c r="LM105" s="12">
        <f>IF($A105&gt;30,10,('Scénario référence'!$B$16+'Scénario référence'!$B$17+'Scénario référence'!$B$18+'Scénario référence'!$B$9+'Scénario référence'!$B$10)*$A105*10/30+('Scénario référence'!$F$8+'Scénario référence'!$F$9)*10)</f>
        <v>10</v>
      </c>
      <c r="LN105" s="12" t="e">
        <f>VLOOKUP($A105,'Données projet'!$A$434:$I$454,2,0)</f>
        <v>#N/A</v>
      </c>
      <c r="LO105" s="12" t="e">
        <f>VLOOKUP($A105,'Données projet'!$A$434:$I$454,9,0)</f>
        <v>#N/A</v>
      </c>
      <c r="LP105" s="12">
        <f t="array" ref="LP105">INDEX(LO:LO,MIN(IF(ISNUMBER(LO105:LO301),ROW(LO105:LO301),"")))</f>
        <v>5.2583333333333373</v>
      </c>
      <c r="LQ105" s="12">
        <f>IF('Données projet'!$A$434&gt;35,LQ104+LP105-LY104,IF($A105&lt;'Données projet'!$A$434,$CQ$205^$A105,IF($A105='Données projet'!$A$434,'Données projet'!$B$434,LQ104+LP105-LY104)))</f>
        <v>229.51089743589714</v>
      </c>
      <c r="LR105" s="17">
        <f>LQ105*VLOOKUP('Données projet'!$B$24,Paramètres!$A$1:$I$89,3,0)*VLOOKUP('Données projet'!$B$24,Paramètres!$A$1:$I$89,5,0)</f>
        <v>232.72404999999969</v>
      </c>
      <c r="LS105" s="13">
        <f t="shared" si="212"/>
        <v>56.871280605943788</v>
      </c>
      <c r="LT105" s="14">
        <f t="shared" si="165"/>
        <v>504.37853413868493</v>
      </c>
      <c r="LU105" s="59">
        <f t="shared" si="166"/>
        <v>797.71186747201818</v>
      </c>
      <c r="LV105" s="59">
        <f ca="1">AVERAGE(OFFSET($LU$3,0,0,'Données projet'!$E$24+1,1))-AVERAGE(OFFSET($H$3,0,0,'Données projet'!$E$24+1,1))</f>
        <v>260.52627655062872</v>
      </c>
      <c r="LW105" s="59">
        <f t="shared" si="213"/>
        <v>159.20429420478047</v>
      </c>
      <c r="LX105" s="15">
        <f>IF(ISNA(VLOOKUP($A105,'Données projet'!$A$434:$I$454,3,0)),0,VLOOKUP($A105,'Données projet'!$A$434:$I$454,3,0))</f>
        <v>0</v>
      </c>
      <c r="LY105" s="15">
        <f>IF(ISNA(VLOOKUP($A105,'Données projet'!$A$434:$I$454,4,0)),0,VLOOKUP($A105,'Données projet'!$A$434:$I$454,4,0))</f>
        <v>0</v>
      </c>
      <c r="LZ105" s="16">
        <f>IF(ISNA(VLOOKUP($A105,'Données projet'!$A$434:$I$454,5,0)),0%,VLOOKUP($A105,'Données projet'!$A$434:$I$454,5,0)*VLOOKUP('Données projet'!$B$24,Paramètres!$A$1:$I$89,7,0))</f>
        <v>0</v>
      </c>
      <c r="MA105" s="16">
        <f>IF(ISNA(VLOOKUP($A105,'Données projet'!$A$434:$I$454,6,0)),0%,VLOOKUP($A105,'Données projet'!$A$434:$I$454,6,0)*VLOOKUP('Données projet'!$B$24,Paramètres!$A$1:$I$89,7,0))</f>
        <v>0</v>
      </c>
      <c r="MB105" s="16">
        <f>IF(ISNA(VLOOKUP($A105,'Données projet'!$A$434:$I$454,7,0)),0%,VLOOKUP($A105,'Données projet'!$A$434:$I$454,7,0))</f>
        <v>0</v>
      </c>
      <c r="MC105" s="21">
        <f>EXP(-LN(2)/35)*MC104+(1-EXP(-LN(2)/35))/(LN(2)/35)*LY105*LZ105*VLOOKUP('Données projet'!$B$24,Paramètres!$A$1:$I$89,3,0)*0.475*44/12</f>
        <v>22.892050116473836</v>
      </c>
      <c r="MD105" s="21">
        <f>EXP(-LN(2)/25)*MD104+(1-EXP(-LN(2)/25))/(LN(2)/25)*Calculateur!LY105*Calculateur!MA105*VLOOKUP('Données projet'!$B$24,Paramètres!$A$1:$I$89,3,0)*0.475*44/12</f>
        <v>0</v>
      </c>
      <c r="ME105" s="21">
        <f>EXP(-LN(2)/2)*ME104+(1-EXP(-LN(2)/2))/(LN(2)/2)*LY105*MB105*VLOOKUP('Données projet'!$B$24,Paramètres!$A$1:$I$89,3,0)*0.475*44/12</f>
        <v>0</v>
      </c>
      <c r="MF105" s="22">
        <f t="shared" si="167"/>
        <v>22.892050116473836</v>
      </c>
      <c r="MG105" s="74">
        <f>('Scénario référence'!$F$8+'Scénario référence'!$F$9+'Scénario référence'!$B$17+'Scénario référence'!$B$9+'Scénario référence'!$B$10)*70+IF((45+25*(1-EXP(-0.0175*$A105)))&lt;70,'Scénario référence'!$B$16*(45+25*(1-EXP(-0.0175*$A105))),70*'Scénario référence'!$B$16)+IF((32+38*(1-EXP(-0.0175*$A105)))&lt;70,'Scénario référence'!$B$18*(32+38*(1-EXP(-0.0175*$A105))),70*'Scénario référence'!$B$18)</f>
        <v>70</v>
      </c>
      <c r="MH105" s="12">
        <f>IF($A105&gt;30,10,('Scénario référence'!$B$16+'Scénario référence'!$B$17+'Scénario référence'!$B$18+'Scénario référence'!$B$9+'Scénario référence'!$B$10)*$A105*10/30+('Scénario référence'!$F$8+'Scénario référence'!$F$9)*10)</f>
        <v>10</v>
      </c>
      <c r="MI105" s="12" t="e">
        <f>VLOOKUP($A105,'Données projet'!$A$460:$I$480,2,0)</f>
        <v>#N/A</v>
      </c>
      <c r="MJ105" s="12" t="e">
        <f>VLOOKUP($A105,'Données projet'!$A$460:$I$480,9,0)</f>
        <v>#N/A</v>
      </c>
      <c r="MK105" s="12">
        <f t="array" ref="MK105">INDEX(MJ:MJ,MIN(IF(ISNUMBER(MJ105:MJ301),ROW(MJ105:MJ301),"")))</f>
        <v>0</v>
      </c>
      <c r="ML105" s="12">
        <f>IF('Données projet'!$A$460&gt;35,ML104+MK105-MT104,IF($A105&lt;'Données projet'!$A$460,$CQ$205^$A105,IF($A105='Données projet'!$A$460,'Données projet'!$B$460,ML104+MK105-MT104)))</f>
        <v>0</v>
      </c>
      <c r="MM105" s="17" t="e">
        <f>ML105*VLOOKUP('Données projet'!$B$25,Paramètres!$A$1:$I$89,3,0)*VLOOKUP('Données projet'!$B$25,Paramètres!$A$1:$I$89,5,0)</f>
        <v>#N/A</v>
      </c>
      <c r="MN105" s="13" t="e">
        <f t="shared" si="214"/>
        <v>#N/A</v>
      </c>
      <c r="MO105" s="14" t="e">
        <f t="shared" si="168"/>
        <v>#N/A</v>
      </c>
      <c r="MP105" s="59" t="e">
        <f t="shared" si="169"/>
        <v>#N/A</v>
      </c>
      <c r="MQ105" s="20" t="e">
        <f ca="1">AVERAGE(OFFSET($MP$3,0,0,'Données projet'!$E$25+1,1))-AVERAGE(OFFSET($H$3,0,0,'Données projet'!$E$25+1,1))</f>
        <v>#N/A</v>
      </c>
      <c r="MR105" s="59" t="e">
        <f t="shared" si="215"/>
        <v>#N/A</v>
      </c>
      <c r="MS105" s="15">
        <f>IF(ISNA(VLOOKUP($A105,'Données projet'!$A$460:$I$480,3,0)),0,VLOOKUP($A105,'Données projet'!$A$460:$I$480,3,0))</f>
        <v>0</v>
      </c>
      <c r="MT105" s="15">
        <f>IF(ISNA(VLOOKUP($A105,'Données projet'!$A$460:$I$480,4,0)),0,VLOOKUP($A105,'Données projet'!$A$460:$I$480,4,0))</f>
        <v>0</v>
      </c>
      <c r="MU105" s="16">
        <f>IF(ISNA(VLOOKUP($A105,'Données projet'!$A$460:$I$480,5,0)),0%,VLOOKUP($A105,'Données projet'!$A$460:$I$480,5,0)*VLOOKUP('Données projet'!$B$25,Paramètres!$A$1:$I$89,7,0))</f>
        <v>0</v>
      </c>
      <c r="MV105" s="16">
        <f>IF(ISNA(VLOOKUP($A105,'Données projet'!$A$460:$I$480,6,0)),0%,VLOOKUP($A105,'Données projet'!$A$460:$I$480,6,0)*VLOOKUP('Données projet'!$B$25,Paramètres!$A$1:$I$89,7,0))</f>
        <v>0</v>
      </c>
      <c r="MW105" s="16">
        <f>IF(ISNA(VLOOKUP($A105,'Données projet'!$A$460:$I$480,7,0)),0%,VLOOKUP($A105,'Données projet'!$A$460:$I$480,7,0))</f>
        <v>0</v>
      </c>
      <c r="MX105" s="21" t="e">
        <f>EXP(-LN(2)/35)*MX104+(1-EXP(-LN(2)/35))/(LN(2)/35)*MT105*MU105*VLOOKUP('Données projet'!$B$25,Paramètres!$A$1:$I$89,3,0)*0.475*44/12</f>
        <v>#N/A</v>
      </c>
      <c r="MY105" s="21" t="e">
        <f>EXP(-LN(2)/25)*MY104+(1-EXP(-LN(2)/25))/(LN(2)/25)*Calculateur!MT105*Calculateur!MV105*VLOOKUP('Données projet'!$B$25,Paramètres!$A$1:$I$89,3,0)*0.475*44/12</f>
        <v>#N/A</v>
      </c>
      <c r="MZ105" s="21" t="e">
        <f>EXP(-LN(2)/2)*MZ104+(1-EXP(-LN(2)/2))/(LN(2)/2)*MT105*MW105*VLOOKUP('Données projet'!$B$25,Paramètres!$A$1:$I$89,3,0)*0.475*44/12</f>
        <v>#N/A</v>
      </c>
      <c r="NA105" s="22" t="e">
        <f t="shared" si="170"/>
        <v>#N/A</v>
      </c>
      <c r="NB105" s="74">
        <f>('Scénario référence'!$F$8+'Scénario référence'!$F$9+'Scénario référence'!$B$17+'Scénario référence'!$B$9+'Scénario référence'!$B$10)*70+IF((45+25*(1-EXP(-0.0175*$A105)))&lt;70,'Scénario référence'!$B$16*(45+25*(1-EXP(-0.0175*$A105))),70*'Scénario référence'!$B$16)+IF((32+38*(1-EXP(-0.0175*$A105)))&lt;70,'Scénario référence'!$B$18*(32+38*(1-EXP(-0.0175*$A105))),70*'Scénario référence'!$B$18)</f>
        <v>70</v>
      </c>
      <c r="NC105" s="12">
        <f>IF($A105&gt;30,10,('Scénario référence'!$B$16+'Scénario référence'!$B$17+'Scénario référence'!$B$18+'Scénario référence'!$B$9+'Scénario référence'!$B$10)*$A105*10/30+('Scénario référence'!$F$8+'Scénario référence'!$F$9)*10)</f>
        <v>10</v>
      </c>
      <c r="ND105" s="12" t="e">
        <f>VLOOKUP($A105,'Données projet'!$A$486:$I$506,2,0)</f>
        <v>#N/A</v>
      </c>
      <c r="NE105" s="12" t="e">
        <f>VLOOKUP($A105,'Données projet'!$A$486:$I$506,9,0)</f>
        <v>#N/A</v>
      </c>
      <c r="NF105" s="12">
        <f t="array" ref="NF105">INDEX(NE:NE,MIN(IF(ISNUMBER(NE105:NE301),ROW(NE105:NE301),"")))</f>
        <v>0</v>
      </c>
      <c r="NG105" s="12">
        <f>IF('Données projet'!$A$486&gt;35,NG104+NF105-NO104,IF($A105&lt;'Données projet'!$A$486,$CQ$205^$A105,IF($A105='Données projet'!$A$486,'Données projet'!$B$486,NG104+NF105-NO104)))</f>
        <v>0</v>
      </c>
      <c r="NH105" s="17" t="e">
        <f>NG105*VLOOKUP('Données projet'!$B$26,Paramètres!$A$1:$I$89,3,0)*VLOOKUP('Données projet'!$B$26,Paramètres!$A$1:$I$89,5,0)</f>
        <v>#N/A</v>
      </c>
      <c r="NI105" s="13" t="e">
        <f t="shared" si="216"/>
        <v>#N/A</v>
      </c>
      <c r="NJ105" s="14" t="e">
        <f t="shared" si="171"/>
        <v>#N/A</v>
      </c>
      <c r="NK105" s="59" t="e">
        <f t="shared" si="172"/>
        <v>#N/A</v>
      </c>
      <c r="NL105" s="20" t="e">
        <f ca="1">AVERAGE(OFFSET($NK$3,0,0,'Données projet'!$E$26+1,1))-AVERAGE(OFFSET($H$3,0,0,'Données projet'!$E$26+1,1))</f>
        <v>#N/A</v>
      </c>
      <c r="NM105" s="59" t="e">
        <f t="shared" si="217"/>
        <v>#N/A</v>
      </c>
      <c r="NN105" s="15">
        <f>IF(ISNA(VLOOKUP($A105,'Données projet'!$A$486:$I$506,3,0)),0,VLOOKUP($A105,'Données projet'!$A$486:$I$506,3,0))</f>
        <v>0</v>
      </c>
      <c r="NO105" s="15">
        <f>IF(ISNA(VLOOKUP($A105,'Données projet'!$A$486:$I$506,4,0)),0,VLOOKUP($A105,'Données projet'!$A$486:$I$506,4,0))</f>
        <v>0</v>
      </c>
      <c r="NP105" s="16">
        <f>IF(ISNA(VLOOKUP($A105,'Données projet'!$A$486:$I$506,5,0)),0%,VLOOKUP($A105,'Données projet'!$A$486:$I$506,5,0)*VLOOKUP('Données projet'!$B$26,Paramètres!$A$1:$I$89,7,0))</f>
        <v>0</v>
      </c>
      <c r="NQ105" s="16">
        <f>IF(ISNA(VLOOKUP($A105,'Données projet'!$A$486:$I$506,6,0)),0%,VLOOKUP($A105,'Données projet'!$A$486:$I$506,6,0)*VLOOKUP('Données projet'!$B$26,Paramètres!$A$1:$I$89,7,0))</f>
        <v>0</v>
      </c>
      <c r="NR105" s="16">
        <f>IF(ISNA(VLOOKUP($A105,'Données projet'!$A$486:$I$506,7,0)),0%,VLOOKUP($A105,'Données projet'!$A$486:$I$506,7,0))</f>
        <v>0</v>
      </c>
      <c r="NS105" s="21" t="e">
        <f>EXP(-LN(2)/35)*NS104+(1-EXP(-LN(2)/35))/(LN(2)/35)*NO105*NP105*VLOOKUP('Données projet'!$B$26,Paramètres!$A$1:$I$89,3,0)*0.475*44/12</f>
        <v>#N/A</v>
      </c>
      <c r="NT105" s="21" t="e">
        <f>EXP(-LN(2)/25)*NT104+(1-EXP(-LN(2)/25))/(LN(2)/25)*Calculateur!NO105*Calculateur!NQ105*VLOOKUP('Données projet'!$B$26,Paramètres!$A$1:$I$89,3,0)*0.475*44/12</f>
        <v>#N/A</v>
      </c>
      <c r="NU105" s="21" t="e">
        <f>EXP(-LN(2)/2)*NU104+(1-EXP(-LN(2)/2))/(LN(2)/2)*NO105*NR105*VLOOKUP('Données projet'!$B$26,Paramètres!$A$1:$I$89,3,0)*0.475*44/12</f>
        <v>#N/A</v>
      </c>
      <c r="NV105" s="22" t="e">
        <f t="shared" si="173"/>
        <v>#N/A</v>
      </c>
      <c r="NW105" s="74">
        <f>('Scénario référence'!$F$8+'Scénario référence'!$F$9+'Scénario référence'!$B$17+'Scénario référence'!$B$9+'Scénario référence'!$B$10)*70+IF((45+25*(1-EXP(-0.0175*$A105)))&lt;70,'Scénario référence'!$B$16*(45+25*(1-EXP(-0.0175*$A105))),70*'Scénario référence'!$B$16)+IF((32+38*(1-EXP(-0.0175*$A105)))&lt;70,'Scénario référence'!$B$18*(32+38*(1-EXP(-0.0175*$A105))),70*'Scénario référence'!$B$18)</f>
        <v>70</v>
      </c>
      <c r="NX105" s="12">
        <f>IF($A105&gt;30,10,('Scénario référence'!$B$16+'Scénario référence'!$B$17+'Scénario référence'!$B$18+'Scénario référence'!$B$9+'Scénario référence'!$B$10)*$A105*10/30+('Scénario référence'!$F$8+'Scénario référence'!$F$9)*10)</f>
        <v>10</v>
      </c>
      <c r="NY105" s="12" t="e">
        <f>VLOOKUP($A105,'Données projet'!$A$512:$I$532,2,0)</f>
        <v>#N/A</v>
      </c>
      <c r="NZ105" s="12" t="e">
        <f>VLOOKUP($A105,'Données projet'!$A$512:$I$532,9,0)</f>
        <v>#N/A</v>
      </c>
      <c r="OA105" s="12">
        <f t="array" ref="OA105">INDEX(NZ:NZ,MIN(IF(ISNUMBER(NZ105:NZ301),ROW(NZ105:NZ301),"")))</f>
        <v>0</v>
      </c>
      <c r="OB105" s="12">
        <f>IF('Données projet'!$A$512&gt;35,OB104+OA105-OJ104,IF($A105&lt;'Données projet'!$A$512,$CQ$205^$A105,IF($A105='Données projet'!$A$512,'Données projet'!$B$512,OB104+OA105-OJ104)))</f>
        <v>0</v>
      </c>
      <c r="OC105" s="17" t="e">
        <f>OB105*VLOOKUP('Données projet'!$B$27,Paramètres!$A$1:$I$89,3,0)*VLOOKUP('Données projet'!$B$27,Paramètres!$A$1:$I$89,5,0)</f>
        <v>#N/A</v>
      </c>
      <c r="OD105" s="13" t="e">
        <f t="shared" si="218"/>
        <v>#N/A</v>
      </c>
      <c r="OE105" s="14" t="e">
        <f t="shared" si="174"/>
        <v>#N/A</v>
      </c>
      <c r="OF105" s="59" t="e">
        <f t="shared" si="175"/>
        <v>#N/A</v>
      </c>
      <c r="OG105" s="20" t="e">
        <f ca="1">AVERAGE(OFFSET($OF$3,0,0,'Données projet'!$E$27+1,1))-AVERAGE(OFFSET($H$3,0,0,'Données projet'!$E$27+1,1))</f>
        <v>#N/A</v>
      </c>
      <c r="OH105" s="59" t="e">
        <f t="shared" si="219"/>
        <v>#N/A</v>
      </c>
      <c r="OI105" s="15">
        <f>IF(ISNA(VLOOKUP($A105,'Données projet'!$A$512:$I$532,3,0)),0,VLOOKUP($A105,'Données projet'!$A$512:$I$532,3,0))</f>
        <v>0</v>
      </c>
      <c r="OJ105" s="15">
        <f>IF(ISNA(VLOOKUP($A105,'Données projet'!$A$512:$I$532,4,0)),0,VLOOKUP($A105,'Données projet'!$A$512:$I$532,4,0))</f>
        <v>0</v>
      </c>
      <c r="OK105" s="16">
        <f>IF(ISNA(VLOOKUP($A105,'Données projet'!$A$512:$I$532,5,0)),0%,VLOOKUP($A105,'Données projet'!$A$512:$I$532,5,0)*VLOOKUP('Données projet'!$B$27,Paramètres!$A$1:$I$89,7,0))</f>
        <v>0</v>
      </c>
      <c r="OL105" s="16">
        <f>IF(ISNA(VLOOKUP($A105,'Données projet'!$A$512:$I$532,6,0)),0%,VLOOKUP($A105,'Données projet'!$A$512:$I$532,6,0)*VLOOKUP('Données projet'!$B$27,Paramètres!$A$1:$I$89,7,0))</f>
        <v>0</v>
      </c>
      <c r="OM105" s="16">
        <f>IF(ISNA(VLOOKUP($A105,'Données projet'!$A$512:$I$532,7,0)),0%,VLOOKUP($A105,'Données projet'!$A$512:$I$532,7,0))</f>
        <v>0</v>
      </c>
      <c r="ON105" s="21" t="e">
        <f>EXP(-LN(2)/35)*ON104+(1-EXP(-LN(2)/35))/(LN(2)/35)*OJ105*OK105*VLOOKUP('Données projet'!$B$27,Paramètres!$A$1:$I$89,3,0)*0.475*44/12</f>
        <v>#N/A</v>
      </c>
      <c r="OO105" s="21" t="e">
        <f>EXP(-LN(2)/25)*OO104+(1-EXP(-LN(2)/25))/(LN(2)/25)*Calculateur!OJ105*Calculateur!OL105*VLOOKUP('Données projet'!$B$27,Paramètres!$A$1:$I$89,3,0)*0.475*44/12</f>
        <v>#N/A</v>
      </c>
      <c r="OP105" s="21" t="e">
        <f>EXP(-LN(2)/2)*OP104+(1-EXP(-LN(2)/2))/(LN(2)/2)*OJ105*OM105*VLOOKUP('Données projet'!$B$27,Paramètres!$A$1:$I$89,3,0)*0.475*44/12</f>
        <v>#N/A</v>
      </c>
      <c r="OQ105" s="22" t="e">
        <f t="shared" si="176"/>
        <v>#N/A</v>
      </c>
      <c r="OR105" s="74">
        <f>('Scénario référence'!$F$8+'Scénario référence'!$F$9+'Scénario référence'!$B$17+'Scénario référence'!$B$9+'Scénario référence'!$B$10)*70+IF((45+25*(1-EXP(-0.0175*$A105)))&lt;70,'Scénario référence'!$B$16*(45+25*(1-EXP(-0.0175*$A105))),70*'Scénario référence'!$B$16)+IF((32+38*(1-EXP(-0.0175*$A105)))&lt;70,'Scénario référence'!$B$18*(32+38*(1-EXP(-0.0175*$A105))),70*'Scénario référence'!$B$18)</f>
        <v>70</v>
      </c>
      <c r="OS105" s="12">
        <f>IF($A105&gt;30,10,('Scénario référence'!$B$16+'Scénario référence'!$B$17+'Scénario référence'!$B$18+'Scénario référence'!$B$9+'Scénario référence'!$B$10)*$A105*10/30+('Scénario référence'!$F$8+'Scénario référence'!$F$9)*10)</f>
        <v>10</v>
      </c>
      <c r="OT105" s="12" t="e">
        <f>VLOOKUP($A105,'Données projet'!$A$538:$I$558,2,0)</f>
        <v>#N/A</v>
      </c>
      <c r="OU105" s="12" t="e">
        <f>VLOOKUP($A105,'Données projet'!$A$538:$I$558,9,0)</f>
        <v>#N/A</v>
      </c>
      <c r="OV105" s="12">
        <f t="array" ref="OV105">INDEX(OU:OU,MIN(IF(ISNUMBER(OU105:OU301),ROW(OU105:OU301),"")))</f>
        <v>0</v>
      </c>
      <c r="OW105" s="12">
        <f>IF('Données projet'!$A$538&gt;35,OW104+OV105-PE104,IF($A105&lt;'Données projet'!$A$538,$CQ$205^$A105,IF($A105='Données projet'!$A$538,'Données projet'!$B$538,OW104+OV105-PE104)))</f>
        <v>0</v>
      </c>
      <c r="OX105" s="17" t="e">
        <f>OW105*VLOOKUP('Données projet'!$B$28,Paramètres!$A$1:$I$89,3,0)*VLOOKUP('Données projet'!$B$28,Paramètres!$A$1:$I$89,5,0)</f>
        <v>#N/A</v>
      </c>
      <c r="OY105" s="13" t="e">
        <f t="shared" si="220"/>
        <v>#N/A</v>
      </c>
      <c r="OZ105" s="14" t="e">
        <f t="shared" si="177"/>
        <v>#N/A</v>
      </c>
      <c r="PA105" s="59" t="e">
        <f t="shared" si="178"/>
        <v>#N/A</v>
      </c>
      <c r="PB105" s="20" t="e">
        <f ca="1">AVERAGE(OFFSET($PA$3,0,0,'Données projet'!$E$28+1,1))-AVERAGE(OFFSET($H$3,0,0,'Données projet'!$E$28+1,1))</f>
        <v>#N/A</v>
      </c>
      <c r="PC105" s="59" t="e">
        <f t="shared" si="221"/>
        <v>#N/A</v>
      </c>
      <c r="PD105" s="15">
        <f>IF(ISNA(VLOOKUP($A105,'Données projet'!$A$538:$I$558,3,0)),0,VLOOKUP($A105,'Données projet'!$A$538:$I$558,3,0))</f>
        <v>0</v>
      </c>
      <c r="PE105" s="15">
        <f>IF(ISNA(VLOOKUP($A105,'Données projet'!$A$538:$I$558,4,0)),0,VLOOKUP($A105,'Données projet'!$A$538:$I$558,4,0))</f>
        <v>0</v>
      </c>
      <c r="PF105" s="16">
        <f>IF(ISNA(VLOOKUP($A105,'Données projet'!$A$538:$I$558,5,0)),0%,VLOOKUP($A105,'Données projet'!$A$538:$I$558,5,0)*VLOOKUP('Données projet'!$B$28,Paramètres!$A$1:$I$89,7,0))</f>
        <v>0</v>
      </c>
      <c r="PG105" s="16">
        <f>IF(ISNA(VLOOKUP($A105,'Données projet'!$A$538:$I$558,6,0)),0%,VLOOKUP($A105,'Données projet'!$A$538:$I$558,6,0)*VLOOKUP('Données projet'!$B$28,Paramètres!$A$1:$I$89,7,0))</f>
        <v>0</v>
      </c>
      <c r="PH105" s="16">
        <f>IF(ISNA(VLOOKUP($A105,'Données projet'!$A$538:$I$558,7,0)),0%,VLOOKUP($A105,'Données projet'!$A$538:$I$558,7,0))</f>
        <v>0</v>
      </c>
      <c r="PI105" s="21" t="e">
        <f>EXP(-LN(2)/35)*PI104+(1-EXP(-LN(2)/35))/(LN(2)/35)*PE105*PF105*VLOOKUP('Données projet'!$B$28,Paramètres!$A$1:$I$89,3,0)*0.475*44/12</f>
        <v>#N/A</v>
      </c>
      <c r="PJ105" s="21" t="e">
        <f>EXP(-LN(2)/25)*PJ104+(1-EXP(-LN(2)/25))/(LN(2)/25)*Calculateur!PE105*Calculateur!PG105*VLOOKUP('Données projet'!$B$28,Paramètres!$A$1:$I$89,3,0)*0.475*44/12</f>
        <v>#N/A</v>
      </c>
      <c r="PK105" s="21" t="e">
        <f>EXP(-LN(2)/2)*PK104+(1-EXP(-LN(2)/2))/(LN(2)/2)*PE105*PH105*VLOOKUP('Données projet'!$B$28,Paramètres!$A$1:$I$89,3,0)*0.475*44/12</f>
        <v>#N/A</v>
      </c>
      <c r="PL105" s="22" t="e">
        <f t="shared" si="179"/>
        <v>#N/A</v>
      </c>
    </row>
    <row r="106" spans="1:428" x14ac:dyDescent="0.35">
      <c r="A106" s="10">
        <f t="shared" si="180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181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121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projet'!$A$45:$I$65,2,0)</f>
        <v>#N/A</v>
      </c>
      <c r="L106" s="12" t="e">
        <f>VLOOKUP(A106,'Données projet'!$A$45:$I$65,9,0)</f>
        <v>#N/A</v>
      </c>
      <c r="M106" s="12">
        <f t="array" ref="M106">INDEX(L:L,MIN(IF(ISNUMBER(L106:L302),ROW(L106:L302),"")))</f>
        <v>0</v>
      </c>
      <c r="N106" s="13">
        <f>IF('Données projet'!$A$46&gt;35,N105+M106-V105,IF(A106&lt;'Données projet'!$A$46,$K$205^A106,IF(A106='Données projet'!$A$46,'Données projet'!$B$46,N105+M106-V105)))</f>
        <v>-1.1368683772161603E-13</v>
      </c>
      <c r="O106" s="13">
        <f>N106*VLOOKUP('Données projet'!$B$9,Paramètres!$A$1:$I$89,3,0)*VLOOKUP('Données projet'!$B$9,Paramètres!$A$1:$I$89,5,0)</f>
        <v>-6.3550942286383367E-14</v>
      </c>
      <c r="P106" s="13" t="e">
        <f t="shared" si="182"/>
        <v>#NUM!</v>
      </c>
      <c r="Q106" s="20" t="e">
        <f t="shared" si="222"/>
        <v>#NUM!</v>
      </c>
      <c r="R106" s="59" t="e">
        <f t="shared" si="120"/>
        <v>#NUM!</v>
      </c>
      <c r="S106" s="59">
        <f ca="1">AVERAGE(OFFSET($R$3,0,0,'Données projet'!$E$9+1,1))-AVERAGE(OFFSET($H$3,0,0,'Données projet'!$E$9+1,1))</f>
        <v>274.57619581652199</v>
      </c>
      <c r="T106" s="59">
        <f t="shared" si="183"/>
        <v>366.15117322598775</v>
      </c>
      <c r="U106" s="15">
        <f>IF(ISNA(VLOOKUP(A106,'Données projet'!$A$45:$I$65,3,0)),0,VLOOKUP(A106,'Données projet'!$A$45:$I$65,3,0))</f>
        <v>0</v>
      </c>
      <c r="V106" s="15">
        <f>IF(ISNA(VLOOKUP(A106,'Données projet'!$A$45:$I$65,4,0)),0,VLOOKUP(A106,'Données projet'!$A$45:$I$65,4,0))</f>
        <v>0</v>
      </c>
      <c r="W106" s="16">
        <f>IF(ISNA(VLOOKUP(A106,'Données projet'!$A$45:$I$65,5,0)),0%,VLOOKUP(A106,'Données projet'!$A$45:$I$65,5,0)*VLOOKUP('Données projet'!$B$9,Paramètres!$A$1:$I$89,7,0))</f>
        <v>0</v>
      </c>
      <c r="X106" s="16">
        <f>IF(ISNA(VLOOKUP(A106,'Données projet'!$A$45:$I$65,6,0)),0%,VLOOKUP(A106,'Données projet'!$A$45:$I$65,6,0)*VLOOKUP('Données projet'!$B$9,Paramètres!$A$1:$I$89,7,0))</f>
        <v>0</v>
      </c>
      <c r="Y106" s="16">
        <f>IF(ISNA(VLOOKUP(A106,'Données projet'!$A$45:$I$65,7,0)),0%,VLOOKUP(A106,'Données projet'!$A$45:$I$65,7,0))</f>
        <v>0</v>
      </c>
      <c r="Z106" s="21">
        <f>EXP(-LN(2)/35)*Z105+(1-EXP(-LN(2)/35))/(LN(2)/35)*V106*W106*VLOOKUP('Données projet'!$B$9,Paramètres!$A$1:$I$89,3,0)*0.475*44/12</f>
        <v>87.604851210444949</v>
      </c>
      <c r="AA106" s="21">
        <f>EXP(-LN(2)/25)*AA105+(1-EXP(-LN(2)/25))/(LN(2)/25)*Calculateur!V106*Calculateur!X106*VLOOKUP('Données projet'!$B$9,Paramètres!$A$1:$I$89,3,0)*0.475*44/12</f>
        <v>15.223089361315907</v>
      </c>
      <c r="AB106" s="21">
        <f>EXP(-LN(2)/2)*AB105+(1-EXP(-LN(2)/2))/(LN(2)/2)*V106*Y106*VLOOKUP('Données projet'!$B$9,Paramètres!$A$1:$I$89,3,0)*0.475*44/12</f>
        <v>2.0361723902292534E-6</v>
      </c>
      <c r="AC106" s="22">
        <f t="shared" si="122"/>
        <v>102.82794260793324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projet'!$A$71:$I$91,2,0)</f>
        <v>#N/A</v>
      </c>
      <c r="AG106" s="12" t="e">
        <f>VLOOKUP(A106,'Données projet'!$A$71:$I$91,9,0)</f>
        <v>#N/A</v>
      </c>
      <c r="AH106" s="12">
        <f t="array" ref="AH106">INDEX(AG:AG,MIN(IF(ISNUMBER(AG106:AG302),ROW(AG106:AG302),"")))</f>
        <v>6.9935897435897401</v>
      </c>
      <c r="AI106" s="13">
        <f>IF('Données projet'!$A$72&gt;35,AI105+AH106-AQ105,IF(A106&lt;'Données projet'!$A$72,$AF$205^A106,IF(A106='Données projet'!$A$72,'Données projet'!$B$72,AI105+AH106-AQ105)))</f>
        <v>298.20512820512863</v>
      </c>
      <c r="AJ106" s="13">
        <f>AI106*VLOOKUP('Données projet'!$B$10,Paramètres!$A$1:$I$89,3,0)*VLOOKUP('Données projet'!$B$10,Paramètres!$A$1:$I$89,5,0)</f>
        <v>269.81600000000037</v>
      </c>
      <c r="AK106" s="13">
        <f t="shared" si="184"/>
        <v>64.810218294809729</v>
      </c>
      <c r="AL106" s="20">
        <f t="shared" si="123"/>
        <v>582.80733019679417</v>
      </c>
      <c r="AM106" s="59">
        <f t="shared" si="124"/>
        <v>876.14066353012754</v>
      </c>
      <c r="AN106" s="59">
        <f ca="1">AVERAGE(OFFSET($AM$3,0,0,'Données projet'!$E$10+1,1))-AVERAGE(OFFSET($H$3,0,0,'Données projet'!$E$10+1,1))</f>
        <v>270.87836509222456</v>
      </c>
      <c r="AO106" s="59">
        <f t="shared" si="185"/>
        <v>205.24998237949734</v>
      </c>
      <c r="AP106" s="15">
        <f>IF(ISNA(VLOOKUP(A106,'Données projet'!$A$71:$I$91,3,0)),0,VLOOKUP(A106,'Données projet'!$A$71:$I$91,3,0))</f>
        <v>0</v>
      </c>
      <c r="AQ106" s="15">
        <f>IF(ISNA(VLOOKUP(A106,'Données projet'!$A$71:$I$91,4,0)),0,VLOOKUP(A106,'Données projet'!$A$71:$I$91,4,0))</f>
        <v>0</v>
      </c>
      <c r="AR106" s="16">
        <f>IF(ISNA(VLOOKUP(A106,'Données projet'!$A$71:$I$91,5,0)),0%,VLOOKUP(A106,'Données projet'!$A$71:$I$91,5,0)*VLOOKUP('Données projet'!$B$10,Paramètres!$A$1:$I$89,7,0))</f>
        <v>0</v>
      </c>
      <c r="AS106" s="16">
        <f>IF(ISNA(VLOOKUP(A106,'Données projet'!$A$71:$I$91,6,0)),0%,VLOOKUP(A106,'Données projet'!$A$71:$I$91,6,0)*VLOOKUP('Données projet'!$B$10,Paramètres!$A$1:$I$89,7,0))</f>
        <v>0</v>
      </c>
      <c r="AT106" s="16">
        <f>IF(ISNA(VLOOKUP(A106,'Données projet'!$A$71:$I$91,7,0)),0%,VLOOKUP(A106,'Données projet'!$A$71:$I$91,7,0))</f>
        <v>0</v>
      </c>
      <c r="AU106" s="21">
        <f>EXP(-LN(2)/35)*AU105+(1-EXP(-LN(2)/35))/(LN(2)/35)*AQ106*AR106*VLOOKUP('Données projet'!$B$10,Paramètres!$A$1:$I$89,3,0)*0.475*44/12</f>
        <v>45.401592876002908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125"/>
        <v>45.401592876002908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projet'!$A$97:$I$117,2,0)</f>
        <v>#N/A</v>
      </c>
      <c r="BB106" s="12" t="e">
        <f>VLOOKUP(A106,'Données projet'!$A$97:$I$117,9,0)</f>
        <v>#N/A</v>
      </c>
      <c r="BC106" s="12">
        <f t="array" ref="BC106">INDEX(BB:BB,MIN(IF(ISNUMBER(BB106:BB302),ROW(BB106:BB302),"")))</f>
        <v>0</v>
      </c>
      <c r="BD106" s="12">
        <f>IF('Données projet'!$A$98&gt;35,BD105+BC106-BL105,IF(A106&lt;'Données projet'!$A$98,$BA$205^A106,IF(A106='Données projet'!$A$98,'Données projet'!$B$98,BD105+BC106-BL105)))</f>
        <v>-1.1368683772161603E-13</v>
      </c>
      <c r="BE106" s="13">
        <f>BD106*VLOOKUP('Données projet'!$B$11,Paramètres!$A$1:$I$89,3,0)*VLOOKUP('Données projet'!$B$11,Paramètres!$A$1:$I$89,5,0)</f>
        <v>-5.0249582272954292E-14</v>
      </c>
      <c r="BF106" s="13" t="e">
        <f t="shared" si="186"/>
        <v>#NUM!</v>
      </c>
      <c r="BG106" s="20" t="e">
        <f t="shared" si="126"/>
        <v>#NUM!</v>
      </c>
      <c r="BH106" s="59" t="e">
        <f t="shared" si="127"/>
        <v>#NUM!</v>
      </c>
      <c r="BI106" s="59">
        <f ca="1">AVERAGE(OFFSET($BH$3,0,0,'Données projet'!$E$11+1,1))-AVERAGE(OFFSET($H$3,0,0,'Données projet'!$E$11+1,1))</f>
        <v>211.31057120485542</v>
      </c>
      <c r="BJ106" s="59">
        <f t="shared" si="187"/>
        <v>283.33292006714777</v>
      </c>
      <c r="BK106" s="15">
        <f>IF(ISNA(VLOOKUP(A106,'Données projet'!$A$97:$I$117,3,0)),0,VLOOKUP(A106,'Données projet'!$A$97:$I$117,3,0))</f>
        <v>0</v>
      </c>
      <c r="BL106" s="15">
        <f>IF(ISNA(VLOOKUP(A106,'Données projet'!$A$97:$I$117,4,0)),0,VLOOKUP(A106,'Données projet'!$A$97:$I$117,4,0))</f>
        <v>0</v>
      </c>
      <c r="BM106" s="16">
        <f>IF(ISNA(VLOOKUP(A106,'Données projet'!$A$97:$I$117,5,0)),0%,VLOOKUP(A106,'Données projet'!$A$97:$I$117,5,0)*VLOOKUP('Données projet'!$B$11,Paramètres!$A$1:$I$89,7,0))</f>
        <v>0</v>
      </c>
      <c r="BN106" s="16">
        <f>IF(ISNA(VLOOKUP(A106,'Données projet'!$A$97:$I$117,6,0)),0%,VLOOKUP(A106,'Données projet'!$A$97:$I$117,6,0)*VLOOKUP('Données projet'!$B$11,Paramètres!$A$1:$I$89,7,0))</f>
        <v>0</v>
      </c>
      <c r="BO106" s="16">
        <f>IF(ISNA(VLOOKUP(A106,'Données projet'!$A$97:$I$117,7,0)),0%,VLOOKUP(A106,'Données projet'!$A$97:$I$117,7,0))</f>
        <v>0</v>
      </c>
      <c r="BP106" s="21">
        <f>EXP(-LN(2)/35)*BP105+(1-EXP(-LN(2)/35))/(LN(2)/35)*BL106*BM106*VLOOKUP('Données projet'!$B$11,Paramètres!$A$1:$I$89,3,0)*0.475*44/12</f>
        <v>69.26895211988672</v>
      </c>
      <c r="BQ106" s="21">
        <f>EXP(-LN(2)/25)*BQ105+(1-EXP(-LN(2)/25))/(LN(2)/25)*Calculateur!BL106*Calculateur!BN106*VLOOKUP('Données projet'!$B$11,Paramètres!$A$1:$I$89,3,0)*0.475*44/12</f>
        <v>12.036861355459083</v>
      </c>
      <c r="BR106" s="21">
        <f>EXP(-LN(2)/2)*BR105+(1-EXP(-LN(2)/2))/(LN(2)/2)*BL106*BO106*VLOOKUP('Données projet'!$B$11,Paramètres!$A$1:$I$89,3,0)*0.475*44/12</f>
        <v>1.6099967736696419E-6</v>
      </c>
      <c r="BS106" s="22">
        <f t="shared" si="128"/>
        <v>81.305815085342573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projet'!$A$123:$I$143,2,0)</f>
        <v>#N/A</v>
      </c>
      <c r="BW106" s="12" t="e">
        <f>VLOOKUP(A106,'Données projet'!$A$123:$I$143,9,0)</f>
        <v>#N/A</v>
      </c>
      <c r="BX106" s="12">
        <f t="array" ref="BX106">INDEX(BW:BW,MIN(IF(ISNUMBER(BW106:BW302),ROW(BW106:BW302),"")))</f>
        <v>0</v>
      </c>
      <c r="BY106" s="12">
        <f>IF('Données projet'!$A$124&gt;35,BY105+BX106-CG105,IF(A106&lt;'Données projet'!$A$124,$BV$205^A106,IF(A106='Données projet'!$A$124,'Données projet'!$B$124,BY105+BX106-CG105)))</f>
        <v>0</v>
      </c>
      <c r="BZ106" s="13">
        <f>BY106*VLOOKUP('Données projet'!$B$12,Paramètres!$A$1:$I$89,3,0)*VLOOKUP('Données projet'!$B$12,Paramètres!$A$1:$I$89,5,0)</f>
        <v>0</v>
      </c>
      <c r="CA106" s="13" t="e">
        <f t="shared" si="188"/>
        <v>#NUM!</v>
      </c>
      <c r="CB106" s="20" t="e">
        <f t="shared" si="129"/>
        <v>#NUM!</v>
      </c>
      <c r="CC106" s="59" t="e">
        <f t="shared" si="130"/>
        <v>#NUM!</v>
      </c>
      <c r="CD106" s="59">
        <f ca="1">AVERAGE(OFFSET($CC$3,0,0,'Données projet'!$E$12+1,1))-AVERAGE(OFFSET($H$3,0,0,'Données projet'!$E$12+1,1))</f>
        <v>322.93502595881938</v>
      </c>
      <c r="CE106" s="59">
        <f t="shared" si="189"/>
        <v>302.67072119588164</v>
      </c>
      <c r="CF106" s="15">
        <f>IF(ISNA(VLOOKUP(A106,'Données projet'!$A$123:$I$143,3,0)),0,VLOOKUP(A106,'Données projet'!$A$123:$I$143,3,0))</f>
        <v>0</v>
      </c>
      <c r="CG106" s="15">
        <f>IF(ISNA(VLOOKUP(A106,'Données projet'!$A$123:$I$143,4,0)),0,VLOOKUP(A106,'Données projet'!$A$123:$I$143,4,0))</f>
        <v>0</v>
      </c>
      <c r="CH106" s="16">
        <f>IF(ISNA(VLOOKUP(A106,'Données projet'!$A$123:$I$143,5,0)),0%,VLOOKUP(A106,'Données projet'!$A$123:$I$143,5,0)*VLOOKUP('Données projet'!$B$12,Paramètres!$A$1:$I$89,7,0))</f>
        <v>0</v>
      </c>
      <c r="CI106" s="16">
        <f>IF(ISNA(VLOOKUP(A106,'Données projet'!$A$123:$I$143,6,0)),0%,VLOOKUP(A106,'Données projet'!$A$123:$I$143,6,0)*VLOOKUP('Données projet'!$B$12,Paramètres!$A$1:$I$89,7,0))</f>
        <v>0</v>
      </c>
      <c r="CJ106" s="16">
        <f>IF(ISNA(VLOOKUP(A106,'Données projet'!$A$123:$I$143,7,0)),0%,VLOOKUP(A106,'Données projet'!$A$123:$I$143,7,0))</f>
        <v>0</v>
      </c>
      <c r="CK106" s="21">
        <f>EXP(-LN(2)/35)*CK105+(1-EXP(-LN(2)/35))/(LN(2)/35)*CG106*CH106*VLOOKUP('Données projet'!$B$12,Paramètres!$A$1:$I$89,3,0)*0.475*44/12</f>
        <v>110.36217847565125</v>
      </c>
      <c r="CL106" s="21">
        <f>EXP(-LN(2)/25)*CL105+(1-EXP(-LN(2)/25))/(LN(2)/25)*Calculateur!CG106*Calculateur!CI106*VLOOKUP('Données projet'!$B$12,Paramètres!$A$1:$I$89,3,0)*0.475*44/12</f>
        <v>38.525239107652382</v>
      </c>
      <c r="CM106" s="21">
        <f>EXP(-LN(2)/2)*CM105+(1-EXP(-LN(2)/2))/(LN(2)/2)*CG106*CJ106*VLOOKUP('Données projet'!$B$12,Paramètres!$A$1:$I$89,3,0)*0.475*44/12</f>
        <v>0</v>
      </c>
      <c r="CN106" s="22">
        <f t="shared" si="131"/>
        <v>148.88741758330363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>
        <f>VLOOKUP(A106,'Données projet'!$A$149:$I$169,2,0)</f>
        <v>234.76923076923077</v>
      </c>
      <c r="CR106" s="12">
        <f>VLOOKUP(A106,'Données projet'!$A$149:$I$169,9,0)</f>
        <v>5.2583333333333373</v>
      </c>
      <c r="CS106" s="12">
        <f t="array" ref="CS106">INDEX(CR:CR,MIN(IF(ISNUMBER(CR106:CR302),ROW(CR106:CR302),"")))</f>
        <v>5.2583333333333373</v>
      </c>
      <c r="CT106" s="12">
        <f>IF('Données projet'!$A$150&gt;35,CT105+CS106-DB105,IF(A106&lt;'Données projet'!$A$150,$CQ$205^A106,IF(A106='Données projet'!$A$150,'Données projet'!$B$150,CT105+CS106-DB105)))</f>
        <v>234.76923076923046</v>
      </c>
      <c r="CU106" s="17">
        <f>CT106*VLOOKUP('Données projet'!$B$13,Paramètres!$A$1:$I$89,3,0)*VLOOKUP('Données projet'!$B$13,Paramètres!$A$1:$I$89,5,0)</f>
        <v>238.0559999999997</v>
      </c>
      <c r="CV106" s="13">
        <f t="shared" si="190"/>
        <v>58.021071638689058</v>
      </c>
      <c r="CW106" s="20">
        <f t="shared" si="132"/>
        <v>515.6675664373829</v>
      </c>
      <c r="CX106" s="59">
        <f t="shared" si="133"/>
        <v>809.00089977071616</v>
      </c>
      <c r="CY106" s="59">
        <f ca="1">AVERAGE(OFFSET($CX$3,0,0,'Données projet'!$E$13+1,1))-AVERAGE(OFFSET($H$3,0,0,'Données projet'!$E$13+1,1))</f>
        <v>250.31277422753283</v>
      </c>
      <c r="CZ106" s="59">
        <f t="shared" si="191"/>
        <v>159.20429420478047</v>
      </c>
      <c r="DA106" s="15">
        <f>IF(ISNA(VLOOKUP(A106,'Données projet'!$A$149:$I$169,3,0)),0,VLOOKUP(A106,'Données projet'!$A$149:$I$169,3,0))</f>
        <v>8</v>
      </c>
      <c r="DB106" s="15">
        <f>IF(ISNA(VLOOKUP(A106,'Données projet'!$A$149:$I$169,4,0)),0,VLOOKUP(A106,'Données projet'!$A$149:$I$169,4,0))</f>
        <v>39.512820512820511</v>
      </c>
      <c r="DC106" s="16">
        <f>IF(ISNA(VLOOKUP(A106,'Données projet'!$A$149:$I$169,5,0)),0%,VLOOKUP(A106,'Données projet'!$A$149:$I$169,5,0)*VLOOKUP('Données projet'!$B$13,Paramètres!$A$1:$I$89,7,0))</f>
        <v>0.30099999999999999</v>
      </c>
      <c r="DD106" s="16">
        <f>IF(ISNA(VLOOKUP(A106,'Données projet'!$A$149:$I$169,6,0)),0%,VLOOKUP(A106,'Données projet'!$A$149:$I$169,6,0)*VLOOKUP('Données projet'!$B$13,Paramètres!$A$1:$I$89,7,0))</f>
        <v>0</v>
      </c>
      <c r="DE106" s="16">
        <f>IF(ISNA(VLOOKUP(A106,'Données projet'!$A$149:$I$169,7,0)),0%,VLOOKUP(A106,'Données projet'!$A$149:$I$169,7,0))</f>
        <v>0</v>
      </c>
      <c r="DF106" s="21">
        <f>EXP(-LN(2)/35)*DF105+(1-EXP(-LN(2)/35))/(LN(2)/35)*DB106*DC106*VLOOKUP('Données projet'!$B$13,Paramètres!$A$1:$I$89,3,0)*0.475*44/12</f>
        <v>35.774975620598163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134"/>
        <v>35.774975620598163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projet'!$A$175:$I$195,2,0)</f>
        <v>#N/A</v>
      </c>
      <c r="DM106" s="12" t="e">
        <f>VLOOKUP(A106,'Données projet'!$A$175:$I$195,9,0)</f>
        <v>#N/A</v>
      </c>
      <c r="DN106" s="12">
        <f t="array" ref="DN106">INDEX(DM:DM,MIN(IF(ISNUMBER(DM106:DM302),ROW(DM106:DM302),"")))</f>
        <v>0</v>
      </c>
      <c r="DO106" s="12">
        <f>IF('Données projet'!$A$176&gt;35,DO105+DN106-DW105,IF(A106&lt;'Données projet'!$A$176,$DL$205^A106,IF(A106='Données projet'!$A$176,'Données projet'!$B$176,DO105+DN106-DW105)))</f>
        <v>-2.8421709430404007E-13</v>
      </c>
      <c r="DP106" s="17">
        <f>DO106*VLOOKUP('Données projet'!$B$14,Paramètres!$A$1:$I$89,3,0)*VLOOKUP('Données projet'!$B$14,Paramètres!$A$1:$I$89,5,0)</f>
        <v>-2.0838797354372215E-13</v>
      </c>
      <c r="DQ106" s="13" t="e">
        <f t="shared" si="192"/>
        <v>#NUM!</v>
      </c>
      <c r="DR106" s="20" t="e">
        <f t="shared" si="135"/>
        <v>#NUM!</v>
      </c>
      <c r="DS106" s="59" t="e">
        <f t="shared" si="136"/>
        <v>#NUM!</v>
      </c>
      <c r="DT106" s="59">
        <f ca="1">AVERAGE(OFFSET($DS$3,0,0,'Données projet'!$E$14+1,1))-AVERAGE(OFFSET($H$3,0,0,'Données projet'!$E$14+1,1))</f>
        <v>296.91321813251051</v>
      </c>
      <c r="DU106" s="59">
        <f t="shared" si="193"/>
        <v>291.0718079639509</v>
      </c>
      <c r="DV106" s="15">
        <f>IF(ISNA(VLOOKUP(A106,'Données projet'!$A$175:$I$195,3,0)),0,VLOOKUP(A106,'Données projet'!$A$175:$I$195,3,0))</f>
        <v>0</v>
      </c>
      <c r="DW106" s="15">
        <f>IF(ISNA(VLOOKUP(A106,'Données projet'!$A$175:$I$195,4,0)),0,VLOOKUP(A106,'Données projet'!$A$175:$I$195,4,0))</f>
        <v>0</v>
      </c>
      <c r="DX106" s="16">
        <f>IF(ISNA(VLOOKUP(A106,'Données projet'!$A$175:$I$195,5,0)),0%,VLOOKUP(A106,'Données projet'!$A$175:$I$195,5,0)*VLOOKUP('Données projet'!$B$14,Paramètres!$A$1:$I$89,7,0))</f>
        <v>0</v>
      </c>
      <c r="DY106" s="16">
        <f>IF(ISNA(VLOOKUP(A106,'Données projet'!$A$175:$I$195,6,0)),0%,VLOOKUP(A106,'Données projet'!$A$175:$I$195,6,0)*VLOOKUP('Données projet'!$B$14,Paramètres!$A$1:$I$89,7,0))</f>
        <v>0</v>
      </c>
      <c r="DZ106" s="16">
        <f>IF(ISNA(VLOOKUP(A106,'Données projet'!$A$175:$I$195,7,0)),0%,VLOOKUP(A106,'Données projet'!$A$175:$I$195,7,0))</f>
        <v>0</v>
      </c>
      <c r="EA106" s="21">
        <f>EXP(-LN(2)/35)*EA105+(1-EXP(-LN(2)/35))/(LN(2)/35)*DW106*DX106*VLOOKUP('Données projet'!$B$14,Paramètres!$A$1:$I$89,3,0)*0.475*44/12</f>
        <v>109.99566094124836</v>
      </c>
      <c r="EB106" s="21">
        <f>EXP(-LN(2)/25)*EB105+(1-EXP(-LN(2)/25))/(LN(2)/25)*Calculateur!DW106*Calculateur!DY106*VLOOKUP('Données projet'!$B$14,Paramètres!$A$1:$I$89,3,0)*0.475*44/12</f>
        <v>2.8300990051441568</v>
      </c>
      <c r="EC106" s="21">
        <f>EXP(-LN(2)/2)*EC105+(1-EXP(-LN(2)/2))/(LN(2)/2)*DW106*DZ106*VLOOKUP('Données projet'!$B$14,Paramètres!$A$1:$I$89,3,0)*0.475*44/12</f>
        <v>0</v>
      </c>
      <c r="ED106" s="22">
        <f t="shared" si="137"/>
        <v>112.82575994639252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projet'!$A$201:$I$221,2,0)</f>
        <v>#N/A</v>
      </c>
      <c r="EH106" s="12" t="e">
        <f>VLOOKUP(A106,'Données projet'!$A$201:$I$221,9,0)</f>
        <v>#N/A</v>
      </c>
      <c r="EI106" s="12">
        <f t="array" ref="EI106">INDEX(EH:EH,MIN(IF(ISNUMBER(EH106:EH302),ROW(EH106:EH302),"")))</f>
        <v>5.6546153846153828</v>
      </c>
      <c r="EJ106" s="12">
        <f>IF('Données projet'!$A$202&gt;35,EJ105+EI106-ER105,IF(A106&lt;'Données projet'!$A$202,$EG$205^A106,IF(A106='Données projet'!$A$202,'Données projet'!$B$202,EJ105+EI106-ER105)))</f>
        <v>222.16461538461584</v>
      </c>
      <c r="EK106" s="17">
        <f>EJ106*VLOOKUP('Données projet'!$B$15,Paramètres!$A$1:$I$89,3,0)*VLOOKUP('Données projet'!$B$15,Paramètres!$A$1:$I$89,5,0)</f>
        <v>103.97304000000021</v>
      </c>
      <c r="EL106" s="13">
        <f t="shared" si="194"/>
        <v>27.906362585271903</v>
      </c>
      <c r="EM106" s="20">
        <f t="shared" si="138"/>
        <v>229.68995950268229</v>
      </c>
      <c r="EN106" s="59">
        <f t="shared" si="139"/>
        <v>523.02329283601557</v>
      </c>
      <c r="EO106" s="59">
        <f ca="1">AVERAGE(OFFSET($EN$3,0,0,'Données projet'!$E$15+1,1))-AVERAGE(OFFSET($H$3,0,0,'Données projet'!$E$15+1,1))</f>
        <v>147.64256291235483</v>
      </c>
      <c r="EP106" s="59">
        <f t="shared" si="195"/>
        <v>70.859031694091868</v>
      </c>
      <c r="EQ106" s="15">
        <f>IF(ISNA(VLOOKUP(A106,'Données projet'!$A$201:$I$221,3,0)),0,VLOOKUP(A106,'Données projet'!$A$201:$I$221,3,0))</f>
        <v>0</v>
      </c>
      <c r="ER106" s="15">
        <f>IF(ISNA(VLOOKUP(A106,'Données projet'!$A$201:$I$221,4,0)),0,VLOOKUP(A106,'Données projet'!$A$201:$I$221,4,0))</f>
        <v>0</v>
      </c>
      <c r="ES106" s="16">
        <f>IF(ISNA(VLOOKUP(A106,'Données projet'!$A$201:$I$221,5,0)),0%,VLOOKUP(A106,'Données projet'!$A$201:$I$221,5,0)*VLOOKUP('Données projet'!$B$15,Paramètres!$A$1:$I$89,7,0))</f>
        <v>0</v>
      </c>
      <c r="ET106" s="16">
        <f>IF(ISNA(VLOOKUP(A106,'Données projet'!$A$201:$I$221,6,0)),0%,VLOOKUP(A106,'Données projet'!$A$201:$I$221,6,0)*VLOOKUP('Données projet'!$B$15,Paramètres!$A$1:$I$89,7,0))</f>
        <v>0</v>
      </c>
      <c r="EU106" s="16">
        <f>IF(ISNA(VLOOKUP(A106,'Données projet'!$A$201:$I$221,7,0)),0%,VLOOKUP(A106,'Données projet'!$A$201:$I$221,7,0))</f>
        <v>0</v>
      </c>
      <c r="EV106" s="21">
        <f>EXP(-LN(2)/35)*EV105+(1-EXP(-LN(2)/35))/(LN(2)/35)*ER106*ES106*VLOOKUP('Données projet'!$B$15,Paramètres!$A$1:$I$89,3,0)*0.475*44/12</f>
        <v>81.651296068768119</v>
      </c>
      <c r="EW106" s="21">
        <f>EXP(-LN(2)/25)*EW105+(1-EXP(-LN(2)/25))/(LN(2)/25)*Calculateur!ER106*Calculateur!ET106*VLOOKUP('Données projet'!$B$15,Paramètres!$A$1:$I$89,3,0)*0.475*44/12</f>
        <v>21.983466623358485</v>
      </c>
      <c r="EX106" s="21">
        <f>EXP(-LN(2)/2)*EX105+(1-EXP(-LN(2)/2))/(LN(2)/2)*ER106*EU106*VLOOKUP('Données projet'!$B$15,Paramètres!$A$1:$I$89,3,0)*0.475*44/12</f>
        <v>3.4909486863137928</v>
      </c>
      <c r="EY106" s="22">
        <f t="shared" si="140"/>
        <v>107.1257113784404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projet'!$A$227:$I$247,2,0)</f>
        <v>#N/A</v>
      </c>
      <c r="FC106" s="12" t="e">
        <f>VLOOKUP(A106,'Données projet'!$A$227:$I$247,9,0)</f>
        <v>#N/A</v>
      </c>
      <c r="FD106" s="12">
        <f t="array" ref="FD106">INDEX(FC:FC,MIN(IF(ISNUMBER(FC106:FC302),ROW(FC106:FC302),"")))</f>
        <v>0</v>
      </c>
      <c r="FE106" s="12">
        <f>IF('Données projet'!$A$228&gt;35,FE105+FD106-FM105,IF(A106&lt;'Données projet'!$A$228,$FB$205^A106,IF(A106='Données projet'!$A$228,'Données projet'!$B$228,FE105+FD106-FM105)))</f>
        <v>8.5265128291212022E-14</v>
      </c>
      <c r="FF106" s="17">
        <f>FE106*VLOOKUP('Données projet'!$B$16,Paramètres!$A$1:$I$89,3,0)*VLOOKUP('Données projet'!$B$16,Paramètres!$A$1:$I$89,5,0)</f>
        <v>8.9119112089974823E-14</v>
      </c>
      <c r="FG106" s="13">
        <f t="shared" si="196"/>
        <v>1.3568952080113142E-12</v>
      </c>
      <c r="FH106" s="20">
        <f t="shared" si="141"/>
        <v>2.5184749408430782E-12</v>
      </c>
      <c r="FI106" s="59">
        <f t="shared" si="142"/>
        <v>293.33333333333582</v>
      </c>
      <c r="FJ106" s="59">
        <f ca="1">AVERAGE(OFFSET($FI$3,0,0,'Données projet'!$E$16+1,1))-AVERAGE(OFFSET($H$3,0,0,'Données projet'!$E$16+1,1))</f>
        <v>259.03906550253788</v>
      </c>
      <c r="FK106" s="59">
        <f t="shared" si="197"/>
        <v>235.54542903570831</v>
      </c>
      <c r="FL106" s="15">
        <f>IF(ISNA(VLOOKUP(A106,'Données projet'!$A$227:$I$247,3,0)),0,VLOOKUP(A106,'Données projet'!$A$227:$I$247,3,0))</f>
        <v>0</v>
      </c>
      <c r="FM106" s="15">
        <f>IF(ISNA(VLOOKUP(A106,'Données projet'!$A$227:$I$247,4,0)),0,VLOOKUP(A106,'Données projet'!$A$227:$I$247,4,0))</f>
        <v>0</v>
      </c>
      <c r="FN106" s="16">
        <f>IF(ISNA(VLOOKUP(A106,'Données projet'!$A$227:$I$247,5,0)),0%,VLOOKUP(A106,'Données projet'!$A$227:$I$247,5,0)*VLOOKUP('Données projet'!$B$16,Paramètres!$A$1:$I$89,7,0))</f>
        <v>0</v>
      </c>
      <c r="FO106" s="16">
        <f>IF(ISNA(VLOOKUP(A106,'Données projet'!$A$227:$I$247,6,0)),0%,VLOOKUP(A106,'Données projet'!$A$227:$I$247,6,0)*VLOOKUP('Données projet'!$B$16,Paramètres!$A$1:$I$89,7,0))</f>
        <v>0</v>
      </c>
      <c r="FP106" s="16">
        <f>IF(ISNA(VLOOKUP(A106,'Données projet'!$A$227:$I$247,7,0)),0%,VLOOKUP(A106,'Données projet'!$A$227:$I$247,7,0))</f>
        <v>0</v>
      </c>
      <c r="FQ106" s="21">
        <f>EXP(-LN(2)/35)*FQ105+(1-EXP(-LN(2)/35))/(LN(2)/35)*FM106*FN106*VLOOKUP('Données projet'!$B$16,Paramètres!$A$1:$I$89,3,0)*0.475*44/12</f>
        <v>66.464476871766223</v>
      </c>
      <c r="FR106" s="21">
        <f>EXP(-LN(2)/25)*FR105+(1-EXP(-LN(2)/25))/(LN(2)/25)*Calculateur!FM106*Calculateur!FO106*VLOOKUP('Données projet'!$B$16,Paramètres!$A$1:$I$89,3,0)*0.475*44/12</f>
        <v>54.015552334375506</v>
      </c>
      <c r="FS106" s="21">
        <f>EXP(-LN(2)/2)*FS105+(1-EXP(-LN(2)/2))/(LN(2)/2)*FM106*FP106*VLOOKUP('Données projet'!$B$16,Paramètres!$A$1:$I$89,3,0)*0.475*44/12</f>
        <v>0</v>
      </c>
      <c r="FT106" s="22">
        <f t="shared" si="143"/>
        <v>120.48002920614172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projet'!$A$253:$I$273,2,0)</f>
        <v>#N/A</v>
      </c>
      <c r="FX106" s="12" t="e">
        <f>VLOOKUP(A106,'Données projet'!$A$253:$I$273,9,0)</f>
        <v>#N/A</v>
      </c>
      <c r="FY106" s="12">
        <f t="array" ref="FY106">INDEX(FX:FX,MIN(IF(ISNUMBER(FX106:FX302),ROW(FX106:FX302),"")))</f>
        <v>0</v>
      </c>
      <c r="FZ106" s="12">
        <f>IF('Données projet'!$A$254&gt;35,FZ105+FY106-GH105,IF(A106&lt;'Données projet'!$A$254,$FW$205^A106,IF(A106='Données projet'!$A$254,'Données projet'!$B$254,FZ105+FY106-GH105)))</f>
        <v>-1.7053025658242404E-13</v>
      </c>
      <c r="GA106" s="17">
        <f>FZ106*VLOOKUP('Données projet'!$B$17,Paramètres!$A$1:$I$89,3,0)*VLOOKUP('Données projet'!$B$17,Paramètres!$A$1:$I$89,5,0)</f>
        <v>-1.4897523215040567E-13</v>
      </c>
      <c r="GB106" s="13" t="e">
        <f t="shared" si="198"/>
        <v>#NUM!</v>
      </c>
      <c r="GC106" s="20" t="e">
        <f t="shared" si="144"/>
        <v>#NUM!</v>
      </c>
      <c r="GD106" s="59" t="e">
        <f t="shared" si="145"/>
        <v>#NUM!</v>
      </c>
      <c r="GE106" s="59">
        <f ca="1">AVERAGE(OFFSET($GD$3,0,0,'Données projet'!$E$17+1,1))-AVERAGE(OFFSET($H$3,0,0,'Données projet'!$E$17+1,1))</f>
        <v>245.1983232777614</v>
      </c>
      <c r="GF106" s="59">
        <f t="shared" si="199"/>
        <v>242.34010522344573</v>
      </c>
      <c r="GG106" s="15">
        <f>IF(ISNA(VLOOKUP(A106,'Données projet'!$A$253:$I$273,3,0)),0,VLOOKUP(A106,'Données projet'!$A$253:$I$273,3,0))</f>
        <v>0</v>
      </c>
      <c r="GH106" s="15">
        <f>IF(ISNA(VLOOKUP(A106,'Données projet'!$A$253:$I$273,4,0)),0,VLOOKUP(A106,'Données projet'!$A$253:$I$273,4,0))</f>
        <v>0</v>
      </c>
      <c r="GI106" s="16">
        <f>IF(ISNA(VLOOKUP(A106,'Données projet'!$A$253:$I$273,5,0)),0%,VLOOKUP(A106,'Données projet'!$A$253:$I$273,5,0)*VLOOKUP('Données projet'!$B$17,Paramètres!$A$1:$I$89,7,0))</f>
        <v>0</v>
      </c>
      <c r="GJ106" s="16">
        <f>IF(ISNA(VLOOKUP(A106,'Données projet'!$A$253:$I$273,6,0)),0%,VLOOKUP(A106,'Données projet'!$A$253:$I$273,6,0)*VLOOKUP('Données projet'!$B$17,Paramètres!$A$1:$I$89,7,0))</f>
        <v>0</v>
      </c>
      <c r="GK106" s="16">
        <f>IF(ISNA(VLOOKUP(A106,'Données projet'!$A$253:$I$273,7,0)),0%,VLOOKUP(A106,'Données projet'!$A$253:$I$273,7,0))</f>
        <v>0</v>
      </c>
      <c r="GL106" s="21">
        <f>EXP(-LN(2)/35)*GL105+(1-EXP(-LN(2)/35))/(LN(2)/35)*GH106*GI106*VLOOKUP('Données projet'!$B$17,Paramètres!$A$1:$I$89,3,0)*0.475*44/12</f>
        <v>78.138111641645423</v>
      </c>
      <c r="GM106" s="21">
        <f>EXP(-LN(2)/25)*GM105+(1-EXP(-LN(2)/25))/(LN(2)/25)*Calculateur!GH106*Calculateur!GJ106*VLOOKUP('Données projet'!$B$17,Paramètres!$A$1:$I$89,3,0)*0.475*44/12</f>
        <v>11.509398295346497</v>
      </c>
      <c r="GN106" s="21">
        <f>EXP(-LN(2)/2)*GN105+(1-EXP(-LN(2)/2))/(LN(2)/2)*GH106*GK106*VLOOKUP('Données projet'!$B$17,Paramètres!$A$1:$I$89,3,0)*0.475*44/12</f>
        <v>0</v>
      </c>
      <c r="GO106" s="21">
        <f t="shared" si="146"/>
        <v>89.647509936991923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projet'!$A$279:$I$299,2,0)</f>
        <v>#N/A</v>
      </c>
      <c r="GS106" s="12" t="e">
        <f>VLOOKUP(A106,'Données projet'!$A$279:$I$299,9,0)</f>
        <v>#N/A</v>
      </c>
      <c r="GT106" s="12">
        <f t="array" ref="GT106">INDEX(GS:GS,MIN(IF(ISNUMBER(GS106:GS302),ROW(GS106:GS302),"")))</f>
        <v>0</v>
      </c>
      <c r="GU106" s="12">
        <f>IF('Données projet'!$A$280&gt;35,GU105+GT106-HC105,IF(A106&lt;'Données projet'!$A$280,$GR$205^A106,IF(A106='Données projet'!$A$280,'Données projet'!$B$280,GU105+GT106-HC105)))</f>
        <v>-1.1368683772161603E-13</v>
      </c>
      <c r="GV106" s="17">
        <f>GU106*VLOOKUP('Données projet'!$B$18,Paramètres!$A$1:$I$89,3,0)*VLOOKUP('Données projet'!$B$18,Paramètres!$A$1:$I$89,5,0)</f>
        <v>-4.5815795601811263E-14</v>
      </c>
      <c r="GW106" s="13" t="e">
        <f t="shared" si="200"/>
        <v>#NUM!</v>
      </c>
      <c r="GX106" s="20" t="e">
        <f t="shared" si="147"/>
        <v>#NUM!</v>
      </c>
      <c r="GY106" s="59" t="e">
        <f t="shared" si="148"/>
        <v>#NUM!</v>
      </c>
      <c r="GZ106" s="59">
        <f ca="1">AVERAGE(OFFSET($GY$3,0,0,'Données projet'!$E$18+1,1))-AVERAGE(OFFSET($H$3,0,0,'Données projet'!$E$18+1,1))</f>
        <v>324.36162935850876</v>
      </c>
      <c r="HA106" s="59">
        <f t="shared" si="201"/>
        <v>265.23571072429735</v>
      </c>
      <c r="HB106" s="15">
        <f>IF(ISNA(VLOOKUP(A106,'Données projet'!$A$279:$I$299,3,0)),0,VLOOKUP(A106,'Données projet'!$A$279:$I$299,3,0))</f>
        <v>0</v>
      </c>
      <c r="HC106" s="15">
        <f>IF(ISNA(VLOOKUP(A106,'Données projet'!$A$279:$I$299,4,0)),0,VLOOKUP(A106,'Données projet'!$A$279:$I$299,4,0))</f>
        <v>0</v>
      </c>
      <c r="HD106" s="16">
        <f>IF(ISNA(VLOOKUP(A106,'Données projet'!$A$279:$I$299,5,0)),0%,VLOOKUP(A106,'Données projet'!$A$279:$I$299,5,0)*VLOOKUP('Données projet'!$B$18,Paramètres!$A$1:$I$89,7,0))</f>
        <v>0</v>
      </c>
      <c r="HE106" s="16">
        <f>IF(ISNA(VLOOKUP(A106,'Données projet'!$A$279:$I$299,6,0)),0%,VLOOKUP(A106,'Données projet'!$A$279:$I$299,6,0)*VLOOKUP('Données projet'!$B$18,Paramètres!$A$1:$I$89,7,0))</f>
        <v>0</v>
      </c>
      <c r="HF106" s="16">
        <f>IF(ISNA(VLOOKUP($A106,'Données projet'!$A$279:$I$299,7,0)),0%,VLOOKUP($A106,'Données projet'!$A$279:$I$299,7,0))</f>
        <v>0</v>
      </c>
      <c r="HG106" s="21">
        <f>EXP(-LN(2)/35)*HG105+(1-EXP(-LN(2)/35))/(LN(2)/35)*HC106*HD106*VLOOKUP('Données projet'!$B$18,Paramètres!$A$1:$I$89,3,0)*0.475*44/12</f>
        <v>149.73304867756607</v>
      </c>
      <c r="HH106" s="21">
        <f>EXP(-LN(2)/25)*HH105+(1-EXP(-LN(2)/25))/(LN(2)/25)*Calculateur!HC106*Calculateur!HE106*VLOOKUP('Données projet'!$B$18,Paramètres!$A$1:$I$89,3,0)*0.475*44/12</f>
        <v>12.800509545088742</v>
      </c>
      <c r="HI106" s="21">
        <f>EXP(-LN(2)/2)*HI105+(1-EXP(-LN(2)/2))/(LN(2)/2)*HC106*HF106*VLOOKUP('Données projet'!$B$18,Paramètres!$A$1:$I$89,3,0)*0.475*44/12</f>
        <v>2.9510693094365464E-3</v>
      </c>
      <c r="HJ106" s="22">
        <f t="shared" si="149"/>
        <v>162.53650929196425</v>
      </c>
      <c r="HK106" s="74">
        <f>('Scénario référence'!$F$8+'Scénario référence'!$F$9+'Scénario référence'!$B$17+'Scénario référence'!$B$9+'Scénario référence'!$B$10)*70+IF((45+25*(1-EXP(-0.0175*$A106)))&lt;70,'Scénario référence'!$B$16*(45+25*(1-EXP(-0.0175*$A106))),70*'Scénario référence'!$B$16)+IF((32+38*(1-EXP(-0.0175*$A106)))&lt;70,'Scénario référence'!$B$18*(32+38*(1-EXP(-0.0175*$A106))),70*'Scénario référence'!$B$18)</f>
        <v>70</v>
      </c>
      <c r="HL106" s="12">
        <f>IF($A106&gt;30,10,('Scénario référence'!$B$16+'Scénario référence'!$B$17+'Scénario référence'!$B$18+'Scénario référence'!$B$9+'Scénario référence'!$B$10)*$A106*10/30+('Scénario référence'!$F$8+'Scénario référence'!$F$9)*10)</f>
        <v>10</v>
      </c>
      <c r="HM106" s="12" t="e">
        <f>VLOOKUP($A106,'Données projet'!$A$304:$I$324,2,0)</f>
        <v>#N/A</v>
      </c>
      <c r="HN106" s="12" t="e">
        <f>VLOOKUP($A106,'Données projet'!$A$304:$I$324,9,0)</f>
        <v>#N/A</v>
      </c>
      <c r="HO106" s="12">
        <f t="array" ref="HO106">INDEX(HN:HN,MIN(IF(ISNUMBER(HN106:HN302),ROW(HN106:HN302),"")))</f>
        <v>0</v>
      </c>
      <c r="HP106" s="12">
        <f>IF('Données projet'!$A$304&gt;35,HP105+HO106-HX105,IF($A106&lt;'Données projet'!$A$304,$CQ$205^$A106,IF($A106='Données projet'!$A$304,'Données projet'!$B$304,HP105+HO106-HX105)))</f>
        <v>0</v>
      </c>
      <c r="HQ106" s="17">
        <f>HP106*VLOOKUP('Données projet'!$B$19,Paramètres!$A$1:$I$89,3,0)*VLOOKUP('Données projet'!$B$19,Paramètres!$A$1:$I$89,5,0)</f>
        <v>0</v>
      </c>
      <c r="HR106" s="13" t="e">
        <f t="shared" si="202"/>
        <v>#NUM!</v>
      </c>
      <c r="HS106" s="14" t="e">
        <f t="shared" si="150"/>
        <v>#NUM!</v>
      </c>
      <c r="HT106" s="59" t="e">
        <f t="shared" si="151"/>
        <v>#NUM!</v>
      </c>
      <c r="HU106" s="59">
        <f ca="1">AVERAGE(OFFSET(HT$3,0,0,'Données projet'!$E$19+1,1))-AVERAGE(OFFSET($H$3,0,0,'Données projet'!$E$19+1,1))</f>
        <v>91.60721429656013</v>
      </c>
      <c r="HV106" s="59">
        <f t="shared" si="203"/>
        <v>258.94957804210856</v>
      </c>
      <c r="HW106" s="15">
        <f>IF(ISNA(VLOOKUP($A106,'Données projet'!$A$304:$I$324,3,0)),0,VLOOKUP($A106,'Données projet'!$A$304:$I$324,3,0))</f>
        <v>0</v>
      </c>
      <c r="HX106" s="15">
        <f>IF(ISNA(VLOOKUP($A106,'Données projet'!$A$304:$I$324,4,0)),0,VLOOKUP($A106,'Données projet'!$A$304:$I$324,4,0))</f>
        <v>0</v>
      </c>
      <c r="HY106" s="16">
        <f>IF(ISNA(VLOOKUP($A106,'Données projet'!$A$304:$I$324,5,0)),0%,VLOOKUP($A106,'Données projet'!$A$304:$I$324,5,0)*VLOOKUP('Données projet'!$B$19,Paramètres!$A$1:$I$89,7,0))</f>
        <v>0</v>
      </c>
      <c r="HZ106" s="16">
        <f>IF(ISNA(VLOOKUP($A106,'Données projet'!$A$304:$I$324,6,0)),0%,VLOOKUP($A106,'Données projet'!$A$304:$I$324,6,0)*VLOOKUP('Données projet'!$B$19,Paramètres!$A$1:$I$89,7,0))</f>
        <v>0</v>
      </c>
      <c r="IA106" s="16">
        <f>IF(ISNA(VLOOKUP($A106,'Données projet'!$A$304:$I$324,7,0)),0%,VLOOKUP($A106,'Données projet'!$A$304:$I$324,7,0))</f>
        <v>0</v>
      </c>
      <c r="IB106" s="21">
        <f>EXP(-LN(2)/35)*IB105+(1-EXP(-LN(2)/35))/(LN(2)/35)*HX106*HY106*VLOOKUP('Données projet'!$B$19,Paramètres!$A$1:$I$89,3,0)*0.475*44/12</f>
        <v>11.621772355958718</v>
      </c>
      <c r="IC106" s="21">
        <f>EXP(-LN(2)/25)*IC105+(1-EXP(-LN(2)/25))/(LN(2)/25)*Calculateur!HX106*Calculateur!HZ106*VLOOKUP('Données projet'!$B$19,Paramètres!$A$1:$I$89,3,0)*0.475*44/12</f>
        <v>1.2852978237912587</v>
      </c>
      <c r="ID106" s="21">
        <f>EXP(-LN(2)/2)*ID105+(1-EXP(-LN(2)/2))/(LN(2)/2)*HX106*IA106*VLOOKUP('Données projet'!$B$19,Paramètres!$A$1:$I$89,3,0)*0.475*44/12</f>
        <v>5.8945116216281406E-12</v>
      </c>
      <c r="IE106" s="22">
        <f t="shared" si="152"/>
        <v>12.907070179755872</v>
      </c>
      <c r="IF106" s="74">
        <f>('Scénario référence'!$F$8+'Scénario référence'!$F$9+'Scénario référence'!$B$17+'Scénario référence'!$B$9+'Scénario référence'!$B$10)*70+IF((45+25*(1-EXP(-0.0175*$A106)))&lt;70,'Scénario référence'!$B$16*(45+25*(1-EXP(-0.0175*$A106))),70*'Scénario référence'!$B$16)+IF((32+38*(1-EXP(-0.0175*$A106)))&lt;70,'Scénario référence'!$B$18*(32+38*(1-EXP(-0.0175*$A106))),70*'Scénario référence'!$B$18)</f>
        <v>70</v>
      </c>
      <c r="IG106" s="12">
        <f>IF($A106&gt;30,10,('Scénario référence'!$B$16+'Scénario référence'!$B$17+'Scénario référence'!$B$18+'Scénario référence'!$B$9+'Scénario référence'!$B$10)*$A106*10/30+('Scénario référence'!$F$8+'Scénario référence'!$F$9)*10)</f>
        <v>10</v>
      </c>
      <c r="IH106" s="12" t="e">
        <f>VLOOKUP($A106,'Données projet'!$A$330:$I$350,2,0)</f>
        <v>#N/A</v>
      </c>
      <c r="II106" s="12" t="e">
        <f>VLOOKUP($A106,'Données projet'!$A$330:$I$350,9,0)</f>
        <v>#N/A</v>
      </c>
      <c r="IJ106" s="12">
        <f t="array" ref="IJ106">INDEX(II:II,MIN(IF(ISNUMBER(II106:II302),ROW(II106:II302),"")))</f>
        <v>0</v>
      </c>
      <c r="IK106" s="12">
        <f>IF('Données projet'!$A$330&gt;35,IK105+IJ106-IS105,IF($A106&lt;'Données projet'!$A$330,$CQ$205^$A106,IF($A106='Données projet'!$A$330,'Données projet'!$B$330,IK105+IJ106-IS105)))</f>
        <v>0</v>
      </c>
      <c r="IL106" s="17">
        <f>IK106*VLOOKUP('Données projet'!$B$20,Paramètres!$A$1:$I$89,3,0)*VLOOKUP('Données projet'!$B$20,Paramètres!$A$1:$I$89,5,0)</f>
        <v>0</v>
      </c>
      <c r="IM106" s="13" t="e">
        <f t="shared" si="204"/>
        <v>#NUM!</v>
      </c>
      <c r="IN106" s="20" t="e">
        <f t="shared" si="153"/>
        <v>#NUM!</v>
      </c>
      <c r="IO106" s="59" t="e">
        <f t="shared" si="154"/>
        <v>#NUM!</v>
      </c>
      <c r="IP106" s="59">
        <f ca="1">AVERAGE(OFFSET(IO$3,0,0,'Données projet'!$E$20+1,1))-AVERAGE(OFFSET($H$3,0,0,'Données projet'!$E$20+1,1))</f>
        <v>91.60721429656013</v>
      </c>
      <c r="IQ106" s="59">
        <f t="shared" si="205"/>
        <v>258.94957804210856</v>
      </c>
      <c r="IR106" s="15">
        <f>IF(ISNA(VLOOKUP($A106,'Données projet'!$A$330:$I$350,3,0)),0,VLOOKUP($A106,'Données projet'!$A$330:$I$350,3,0))</f>
        <v>0</v>
      </c>
      <c r="IS106" s="15">
        <f>IF(ISNA(VLOOKUP($A106,'Données projet'!$A$330:$I$350,4,0)),0,VLOOKUP($A106,'Données projet'!$A$330:$I$350,4,0))</f>
        <v>0</v>
      </c>
      <c r="IT106" s="16">
        <f>IF(ISNA(VLOOKUP($A106,'Données projet'!$A$330:$I$350,5,0)),0%,VLOOKUP($A106,'Données projet'!$A$330:$I$350,5,0)*VLOOKUP('Données projet'!$B$20,Paramètres!$A$1:$I$89,7,0))</f>
        <v>0</v>
      </c>
      <c r="IU106" s="16">
        <f>IF(ISNA(VLOOKUP($A106,'Données projet'!$A$330:$I$350,6,0)),0%,VLOOKUP($A106,'Données projet'!$A$330:$I$350,6,0)*VLOOKUP('Données projet'!$B$20,Paramètres!$A$1:$I$89,7,0))</f>
        <v>0</v>
      </c>
      <c r="IV106" s="16">
        <f>IF(ISNA(VLOOKUP($A106,'Données projet'!$A$330:$I$350,7,0)),0%,VLOOKUP($A106,'Données projet'!$A$330:$I$350,7,0))</f>
        <v>0</v>
      </c>
      <c r="IW106" s="21">
        <f>EXP(-LN(2)/35)*IW105+(1-EXP(-LN(2)/35))/(LN(2)/35)*IS106*IT106*VLOOKUP('Données projet'!$B$20,Paramètres!$A$1:$I$89,3,0)*0.475*44/12</f>
        <v>11.621772355958718</v>
      </c>
      <c r="IX106" s="21">
        <f>EXP(-LN(2)/25)*IX105+(1-EXP(-LN(2)/25))/(LN(2)/25)*Calculateur!IS106*Calculateur!IU106*VLOOKUP('Données projet'!$B$20,Paramètres!$A$1:$I$89,3,0)*0.475*44/12</f>
        <v>1.2852978237912587</v>
      </c>
      <c r="IY106" s="21">
        <f>EXP(-LN(2)/2)*IY105+(1-EXP(-LN(2)/2))/(LN(2)/2)*IS106*IV106*VLOOKUP('Données projet'!$B$20,Paramètres!$A$1:$I$89,3,0)*0.475*44/12</f>
        <v>5.8945116216281406E-12</v>
      </c>
      <c r="IZ106" s="22">
        <f t="shared" si="155"/>
        <v>12.907070179755872</v>
      </c>
      <c r="JA106" s="74">
        <f>('Scénario référence'!$F$8+'Scénario référence'!$F$9+'Scénario référence'!$B$17+'Scénario référence'!$B$9+'Scénario référence'!$B$10)*70+IF((45+25*(1-EXP(-0.0175*$A106)))&lt;70,'Scénario référence'!$B$16*(45+25*(1-EXP(-0.0175*$A106))),70*'Scénario référence'!$B$16)+IF((32+38*(1-EXP(-0.0175*$A106)))&lt;70,'Scénario référence'!$B$18*(32+38*(1-EXP(-0.0175*$A106))),70*'Scénario référence'!$B$18)</f>
        <v>70</v>
      </c>
      <c r="JB106" s="12">
        <f>IF($A106&gt;30,10,('Scénario référence'!$B$16+'Scénario référence'!$B$17+'Scénario référence'!$B$18+'Scénario référence'!$B$9+'Scénario référence'!$B$10)*$A106*10/30+('Scénario référence'!$F$8+'Scénario référence'!$F$9)*10)</f>
        <v>10</v>
      </c>
      <c r="JC106" s="12" t="e">
        <f>VLOOKUP($A106,'Données projet'!$A$356:$I$376,2,0)</f>
        <v>#N/A</v>
      </c>
      <c r="JD106" s="12" t="e">
        <f>VLOOKUP($A106,'Données projet'!$A$356:$I$376,9,0)</f>
        <v>#N/A</v>
      </c>
      <c r="JE106" s="12">
        <f t="array" ref="JE106">INDEX(JD:JD,MIN(IF(ISNUMBER(JD106:JD302),ROW(JD106:JD302),"")))</f>
        <v>4.2</v>
      </c>
      <c r="JF106" s="12">
        <f>IF('Données projet'!$A$356&gt;35,JF105+JE106-JN105,IF($A106&lt;'Données projet'!$A$356,$CQ$205^$A106,IF($A106='Données projet'!$A$356,'Données projet'!$B$356,JF105+JE106-JN105)))</f>
        <v>388.59999999999945</v>
      </c>
      <c r="JG106" s="17">
        <f>JF106*VLOOKUP('Données projet'!$B$21,Paramètres!$A$1:$I$89,3,0)*VLOOKUP('Données projet'!$B$21,Paramètres!$A$1:$I$89,5,0)</f>
        <v>315.23231999999956</v>
      </c>
      <c r="JH106" s="13">
        <f t="shared" si="206"/>
        <v>74.360480118488354</v>
      </c>
      <c r="JI106" s="20">
        <f t="shared" si="156"/>
        <v>678.54079353969973</v>
      </c>
      <c r="JJ106" s="59">
        <f t="shared" si="157"/>
        <v>971.87412687303299</v>
      </c>
      <c r="JK106" s="59">
        <f ca="1">AVERAGE(OFFSET($JJ$3,0,0,'Données projet'!$E$22+1,1))-AVERAGE(OFFSET($H$3,0,0,'Données projet'!$E$22+1,1))</f>
        <v>353.35574633294613</v>
      </c>
      <c r="JL106" s="59">
        <f t="shared" si="207"/>
        <v>170.36796666474726</v>
      </c>
      <c r="JM106" s="15">
        <f>IF(ISNA(VLOOKUP($A106,'Données projet'!$A$356:$I$376,3,0)),0,VLOOKUP($A106,'Données projet'!$A$356:$I$376,3,0))</f>
        <v>0</v>
      </c>
      <c r="JN106" s="15">
        <f>IF(ISNA(VLOOKUP($A106,'Données projet'!$A$356:$I$376,4,0)),0,VLOOKUP($A106,'Données projet'!$A$356:$I$376,4,0))</f>
        <v>0</v>
      </c>
      <c r="JO106" s="16">
        <f>IF(ISNA(VLOOKUP($A106,'Données projet'!$A$356:$I$376,5,0)),0%,VLOOKUP($A106,'Données projet'!$A$356:$I$376,5,0)*VLOOKUP('Données projet'!$B$21,Paramètres!$A$1:$I$89,7,0))</f>
        <v>0</v>
      </c>
      <c r="JP106" s="16">
        <f>IF(ISNA(VLOOKUP($A106,'Données projet'!$A$356:$I$376,6,0)),0%,VLOOKUP($A106,'Données projet'!$A$356:$I$376,6,0)*VLOOKUP('Données projet'!$B$21,Paramètres!$A$1:$I$89,7,0))</f>
        <v>0</v>
      </c>
      <c r="JQ106" s="16">
        <f>IF(ISNA(VLOOKUP($A106,'Données projet'!$A$356:$I$376,7,0)),0%,VLOOKUP($A106,'Données projet'!$A$356:$I$376,7,0))</f>
        <v>0</v>
      </c>
      <c r="JR106" s="21">
        <f>EXP(-LN(2)/35)*JR105+(1-EXP(-LN(2)/35))/(LN(2)/35)*JN106*JO106*VLOOKUP('Données projet'!$B$21,Paramètres!$A$1:$I$89,3,0)*0.475*44/12</f>
        <v>3.8239439114536706</v>
      </c>
      <c r="JS106" s="21">
        <f>EXP(-LN(2)/25)*JS105+(1-EXP(-LN(2)/25))/(LN(2)/25)*Calculateur!JN106*Calculateur!JP106*VLOOKUP('Données projet'!$B$21,Paramètres!$A$1:$I$89,3,0)*0.475*44/12</f>
        <v>16.342262310188698</v>
      </c>
      <c r="JT106" s="21">
        <f>EXP(-LN(2)/2)*JT105+(1-EXP(-LN(2)/2))/(LN(2)/2)*JN106*JQ106*VLOOKUP('Données projet'!$B$21,Paramètres!$A$1:$I$89,3,0)*0.475*44/12</f>
        <v>1.3675649371275536</v>
      </c>
      <c r="JU106" s="18">
        <f t="shared" si="158"/>
        <v>21.533771158769923</v>
      </c>
      <c r="JV106" s="74">
        <f>('Scénario référence'!$F$8+'Scénario référence'!$F$9+'Scénario référence'!$B$17+'Scénario référence'!$B$9+'Scénario référence'!$B$10)*70+IF((45+25*(1-EXP(-0.0175*$A106)))&lt;70,'Scénario référence'!$B$16*(45+25*(1-EXP(-0.0175*$A106))),70*'Scénario référence'!$B$16)+IF((32+38*(1-EXP(-0.0175*$A106)))&lt;70,'Scénario référence'!$B$18*(32+38*(1-EXP(-0.0175*$A106))),70*'Scénario référence'!$B$18)</f>
        <v>70</v>
      </c>
      <c r="JW106" s="12">
        <f>IF($A106&gt;30,10,('Scénario référence'!$B$16+'Scénario référence'!$B$17+'Scénario référence'!$B$18+'Scénario référence'!$B$9+'Scénario référence'!$B$10)*$A106*10/30+('Scénario référence'!$F$8+'Scénario référence'!$F$9)*10)</f>
        <v>10</v>
      </c>
      <c r="JX106" s="12" t="e">
        <f>VLOOKUP($A106,'Données projet'!$A$382:$I$402,2,0)</f>
        <v>#N/A</v>
      </c>
      <c r="JY106" s="12" t="e">
        <f>VLOOKUP($A106,'Données projet'!$A$382:$I$402,9,0)</f>
        <v>#N/A</v>
      </c>
      <c r="JZ106" s="12">
        <f t="array" ref="JZ106">INDEX(JY:JY,MIN(IF(ISNUMBER(JY106:JY302),ROW(JY106:JY302),"")))</f>
        <v>6.9935897435897401</v>
      </c>
      <c r="KA106" s="12">
        <f>IF('Données projet'!$A$382&gt;35,KA105+JZ106-KI105,IF($A106&lt;'Données projet'!$A$382,$CQ$205^$A106,IF($A106='Données projet'!$A$382,'Données projet'!$B$382,KA105+JZ106-KI105)))</f>
        <v>298.20512820512857</v>
      </c>
      <c r="KB106" s="17">
        <f>KA106*VLOOKUP('Données projet'!$B$22,Paramètres!$A$1:$I$89,3,0)*VLOOKUP('Données projet'!$B$22,Paramètres!$A$1:$I$89,5,0)</f>
        <v>200.03600000000023</v>
      </c>
      <c r="KC106" s="13">
        <f t="shared" si="208"/>
        <v>49.752079352894071</v>
      </c>
      <c r="KD106" s="20">
        <f t="shared" si="159"/>
        <v>435.04757153962419</v>
      </c>
      <c r="KE106" s="59">
        <f t="shared" si="160"/>
        <v>728.38090487295744</v>
      </c>
      <c r="KF106" s="59">
        <f ca="1">AVERAGE(OFFSET($KE$3,0,0,'Données projet'!$E$22+1,1))-AVERAGE(OFFSET($H$3,0,0,'Données projet'!$E$22+1,1))</f>
        <v>193.91714772848269</v>
      </c>
      <c r="KG106" s="59">
        <f t="shared" si="209"/>
        <v>159.20429420478047</v>
      </c>
      <c r="KH106" s="15">
        <f>IF(ISNA(VLOOKUP($A106,'Données projet'!$A$382:$I$402,3,0)),0,VLOOKUP($A106,'Données projet'!$A$382:$I$402,3,0))</f>
        <v>0</v>
      </c>
      <c r="KI106" s="15">
        <f>IF(ISNA(VLOOKUP($A106,'Données projet'!$A$382:$I$402,4,0)),0,VLOOKUP($A106,'Données projet'!$A$382:$I$402,4,0))</f>
        <v>0</v>
      </c>
      <c r="KJ106" s="16">
        <f>IF(ISNA(VLOOKUP($A106,'Données projet'!$A$382:$I$402,5,0)),0%,VLOOKUP($A106,'Données projet'!$A$382:$I$402,5,0)*VLOOKUP('Données projet'!$B$22,Paramètres!$A$1:$I$89,7,0))</f>
        <v>0</v>
      </c>
      <c r="KK106" s="16">
        <f>IF(ISNA(VLOOKUP($A106,'Données projet'!$A$382:$I$402,6,0)),0%,VLOOKUP($A106,'Données projet'!$A$382:$I$402,6,0)*VLOOKUP('Données projet'!$B$22,Paramètres!$A$1:$I$89,7,0))</f>
        <v>0</v>
      </c>
      <c r="KL106" s="16">
        <f>IF(ISNA(VLOOKUP($A106,'Données projet'!$A$382:$I$402,7,0)),0%,VLOOKUP($A106,'Données projet'!$A$382:$I$402,7,0))</f>
        <v>0</v>
      </c>
      <c r="KM106" s="21">
        <f>EXP(-LN(2)/35)*KM105+(1-EXP(-LN(2)/35))/(LN(2)/35)*KI106*KJ106*VLOOKUP('Données projet'!$B$22,Paramètres!$A$1:$I$89,3,0)*0.475*44/12</f>
        <v>41.487662455657841</v>
      </c>
      <c r="KN106" s="21">
        <f>EXP(-LN(2)/25)*KN105+(1-EXP(-LN(2)/25))/(LN(2)/25)*Calculateur!KI106*Calculateur!KK106*VLOOKUP('Données projet'!$B$22,Paramètres!$A$1:$I$89,3,0)*0.475*44/12</f>
        <v>0</v>
      </c>
      <c r="KO106" s="21">
        <f>EXP(-LN(2)/2)*KO105+(1-EXP(-LN(2)/2))/(LN(2)/2)*KI106*KL106*VLOOKUP('Données projet'!$B$22,Paramètres!$A$1:$I$89,3,0)*0.475*44/12</f>
        <v>0</v>
      </c>
      <c r="KP106" s="22">
        <f t="shared" si="161"/>
        <v>41.487662455657841</v>
      </c>
      <c r="KQ106" s="74">
        <f>('Scénario référence'!$F$8+'Scénario référence'!$F$9+'Scénario référence'!$B$17+'Scénario référence'!$B$9+'Scénario référence'!$B$10)*70+IF((45+25*(1-EXP(-0.0175*$A106)))&lt;70,'Scénario référence'!$B$16*(45+25*(1-EXP(-0.0175*$A106))),70*'Scénario référence'!$B$16)+IF((32+38*(1-EXP(-0.0175*$A106)))&lt;70,'Scénario référence'!$B$18*(32+38*(1-EXP(-0.0175*$A106))),70*'Scénario référence'!$B$18)</f>
        <v>70</v>
      </c>
      <c r="KR106" s="12">
        <f>IF($A106&gt;30,10,('Scénario référence'!$B$16+'Scénario référence'!$B$17+'Scénario référence'!$B$18+'Scénario référence'!$B$9+'Scénario référence'!$B$10)*$A106*10/30+('Scénario référence'!$F$8+'Scénario référence'!$F$9)*10)</f>
        <v>10</v>
      </c>
      <c r="KS106" s="12" t="e">
        <f>VLOOKUP($A106,'Données projet'!$A$408:$I$428,2,0)</f>
        <v>#N/A</v>
      </c>
      <c r="KT106" s="12" t="e">
        <f>VLOOKUP($A106,'Données projet'!$A$408:$I$428,9,0)</f>
        <v>#N/A</v>
      </c>
      <c r="KU106" s="12">
        <f t="array" ref="KU106">INDEX(KT:KT,MIN(IF(ISNUMBER(KT106:KT302),ROW(KT106:KT302),"")))</f>
        <v>0</v>
      </c>
      <c r="KV106" s="12">
        <f>IF('Données projet'!$A$408&gt;35,KV105+KU106-LD105,IF($A106&lt;'Données projet'!$A$408,$CQ$205^$A106,IF($A106='Données projet'!$A$408,'Données projet'!$B$408,KV105+KU106-LD105)))</f>
        <v>-1.1368683772161603E-13</v>
      </c>
      <c r="KW106" s="17">
        <f>KV106*VLOOKUP('Données projet'!$B$23,Paramètres!$A$1:$I$89,3,0)*VLOOKUP('Données projet'!$B$23,Paramètres!$A$1:$I$89,5,0)</f>
        <v>-9.9316821433603781E-14</v>
      </c>
      <c r="KX106" s="13" t="e">
        <f t="shared" si="210"/>
        <v>#NUM!</v>
      </c>
      <c r="KY106" s="14" t="e">
        <f t="shared" si="162"/>
        <v>#NUM!</v>
      </c>
      <c r="KZ106" s="59" t="e">
        <f t="shared" si="163"/>
        <v>#NUM!</v>
      </c>
      <c r="LA106" s="59">
        <f ca="1">AVERAGE(OFFSET($KZ$3,0,0,'Données projet'!$E$23+1,1))-AVERAGE(OFFSET($H$3,0,0,'Données projet'!$E$23+1,1))</f>
        <v>248.33596943633819</v>
      </c>
      <c r="LB106" s="59">
        <f t="shared" si="211"/>
        <v>242.34010522344573</v>
      </c>
      <c r="LC106" s="15">
        <f>IF(ISNA(VLOOKUP($A106,'Données projet'!$A$408:$I$428,3,0)),0,VLOOKUP($A106,'Données projet'!$A$408:$I$428,3,0))</f>
        <v>0</v>
      </c>
      <c r="LD106" s="15">
        <f>IF(ISNA(VLOOKUP($A106,'Données projet'!$A$408:$I$428,4,0)),0,VLOOKUP($A106,'Données projet'!$A$408:$I$428,4,0))</f>
        <v>0</v>
      </c>
      <c r="LE106" s="16">
        <f>IF(ISNA(VLOOKUP($A106,'Données projet'!$A$408:$I$428,5,0)),0%,VLOOKUP($A106,'Données projet'!$A$408:$I$428,5,0)*VLOOKUP('Données projet'!$B$23,Paramètres!$A$1:$I$89,7,0))</f>
        <v>0</v>
      </c>
      <c r="LF106" s="16">
        <f>IF(ISNA(VLOOKUP($A106,'Données projet'!$A$408:$I$428,6,0)),0%,VLOOKUP($A106,'Données projet'!$A$408:$I$428,6,0)*VLOOKUP('Données projet'!$B$23,Paramètres!$A$1:$I$89,7,0))</f>
        <v>0</v>
      </c>
      <c r="LG106" s="16">
        <f>IF(ISNA(VLOOKUP($A106,'Données projet'!$A$408:$I$428,7,0)),0%,VLOOKUP($A106,'Données projet'!$A$408:$I$428,7,0))</f>
        <v>0</v>
      </c>
      <c r="LH106" s="21">
        <f>EXP(-LN(2)/35)*LH105+(1-EXP(-LN(2)/35))/(LN(2)/35)*LD106*LE106*VLOOKUP('Données projet'!$B$23,Paramètres!$A$1:$I$89,3,0)*0.475*44/12</f>
        <v>78.138111641645423</v>
      </c>
      <c r="LI106" s="21">
        <f>EXP(-LN(2)/25)*LI105+(1-EXP(-LN(2)/25))/(LN(2)/25)*Calculateur!LD106*Calculateur!LF106*VLOOKUP('Données projet'!$B$23,Paramètres!$A$1:$I$89,3,0)*0.475*44/12</f>
        <v>11.509398295346497</v>
      </c>
      <c r="LJ106" s="21">
        <f>EXP(-LN(2)/2)*LJ105+(1-EXP(-LN(2)/2))/(LN(2)/2)*LD106*LG106*VLOOKUP('Données projet'!$B$23,Paramètres!$A$1:$I$89,3,0)*0.475*44/12</f>
        <v>0</v>
      </c>
      <c r="LK106" s="22">
        <f t="shared" si="164"/>
        <v>89.647509936991923</v>
      </c>
      <c r="LL106" s="74">
        <f>('Scénario référence'!$F$8+'Scénario référence'!$F$9+'Scénario référence'!$B$17+'Scénario référence'!$B$9+'Scénario référence'!$B$10)*70+IF((45+25*(1-EXP(-0.0175*$A106)))&lt;70,'Scénario référence'!$B$16*(45+25*(1-EXP(-0.0175*$A106))),70*'Scénario référence'!$B$16)+IF((32+38*(1-EXP(-0.0175*$A106)))&lt;70,'Scénario référence'!$B$18*(32+38*(1-EXP(-0.0175*$A106))),70*'Scénario référence'!$B$18)</f>
        <v>70</v>
      </c>
      <c r="LM106" s="12">
        <f>IF($A106&gt;30,10,('Scénario référence'!$B$16+'Scénario référence'!$B$17+'Scénario référence'!$B$18+'Scénario référence'!$B$9+'Scénario référence'!$B$10)*$A106*10/30+('Scénario référence'!$F$8+'Scénario référence'!$F$9)*10)</f>
        <v>10</v>
      </c>
      <c r="LN106" s="12">
        <f>VLOOKUP($A106,'Données projet'!$A$434:$I$454,2,0)</f>
        <v>234.76923076923077</v>
      </c>
      <c r="LO106" s="12">
        <f>VLOOKUP($A106,'Données projet'!$A$434:$I$454,9,0)</f>
        <v>5.2583333333333373</v>
      </c>
      <c r="LP106" s="12">
        <f t="array" ref="LP106">INDEX(LO:LO,MIN(IF(ISNUMBER(LO106:LO302),ROW(LO106:LO302),"")))</f>
        <v>5.2583333333333373</v>
      </c>
      <c r="LQ106" s="12">
        <f>IF('Données projet'!$A$434&gt;35,LQ105+LP106-LY105,IF($A106&lt;'Données projet'!$A$434,$CQ$205^$A106,IF($A106='Données projet'!$A$434,'Données projet'!$B$434,LQ105+LP106-LY105)))</f>
        <v>234.76923076923046</v>
      </c>
      <c r="LR106" s="17">
        <f>LQ106*VLOOKUP('Données projet'!$B$24,Paramètres!$A$1:$I$89,3,0)*VLOOKUP('Données projet'!$B$24,Paramètres!$A$1:$I$89,5,0)</f>
        <v>238.0559999999997</v>
      </c>
      <c r="LS106" s="13">
        <f t="shared" si="212"/>
        <v>58.021071638689058</v>
      </c>
      <c r="LT106" s="14">
        <f t="shared" si="165"/>
        <v>515.6675664373829</v>
      </c>
      <c r="LU106" s="59">
        <f t="shared" si="166"/>
        <v>809.00089977071616</v>
      </c>
      <c r="LV106" s="59">
        <f ca="1">AVERAGE(OFFSET($LU$3,0,0,'Données projet'!$E$24+1,1))-AVERAGE(OFFSET($H$3,0,0,'Données projet'!$E$24+1,1))</f>
        <v>260.52627655062872</v>
      </c>
      <c r="LW106" s="59">
        <f t="shared" si="213"/>
        <v>159.20429420478047</v>
      </c>
      <c r="LX106" s="15">
        <f>IF(ISNA(VLOOKUP($A106,'Données projet'!$A$434:$I$454,3,0)),0,VLOOKUP($A106,'Données projet'!$A$434:$I$454,3,0))</f>
        <v>8</v>
      </c>
      <c r="LY106" s="15">
        <f>IF(ISNA(VLOOKUP($A106,'Données projet'!$A$434:$I$454,4,0)),0,VLOOKUP($A106,'Données projet'!$A$434:$I$454,4,0))</f>
        <v>39.512820512820511</v>
      </c>
      <c r="LZ106" s="16">
        <f>IF(ISNA(VLOOKUP($A106,'Données projet'!$A$434:$I$454,5,0)),0%,VLOOKUP($A106,'Données projet'!$A$434:$I$454,5,0)*VLOOKUP('Données projet'!$B$24,Paramètres!$A$1:$I$89,7,0))</f>
        <v>0.30099999999999999</v>
      </c>
      <c r="MA106" s="16">
        <f>IF(ISNA(VLOOKUP($A106,'Données projet'!$A$434:$I$454,6,0)),0%,VLOOKUP($A106,'Données projet'!$A$434:$I$454,6,0)*VLOOKUP('Données projet'!$B$24,Paramètres!$A$1:$I$89,7,0))</f>
        <v>0</v>
      </c>
      <c r="MB106" s="16">
        <f>IF(ISNA(VLOOKUP($A106,'Données projet'!$A$434:$I$454,7,0)),0%,VLOOKUP($A106,'Données projet'!$A$434:$I$454,7,0))</f>
        <v>0</v>
      </c>
      <c r="MC106" s="21">
        <f>EXP(-LN(2)/35)*MC105+(1-EXP(-LN(2)/35))/(LN(2)/35)*LY106*LZ106*VLOOKUP('Données projet'!$B$24,Paramètres!$A$1:$I$89,3,0)*0.475*44/12</f>
        <v>35.774975620598163</v>
      </c>
      <c r="MD106" s="21">
        <f>EXP(-LN(2)/25)*MD105+(1-EXP(-LN(2)/25))/(LN(2)/25)*Calculateur!LY106*Calculateur!MA106*VLOOKUP('Données projet'!$B$24,Paramètres!$A$1:$I$89,3,0)*0.475*44/12</f>
        <v>0</v>
      </c>
      <c r="ME106" s="21">
        <f>EXP(-LN(2)/2)*ME105+(1-EXP(-LN(2)/2))/(LN(2)/2)*LY106*MB106*VLOOKUP('Données projet'!$B$24,Paramètres!$A$1:$I$89,3,0)*0.475*44/12</f>
        <v>0</v>
      </c>
      <c r="MF106" s="22">
        <f t="shared" si="167"/>
        <v>35.774975620598163</v>
      </c>
      <c r="MG106" s="74">
        <f>('Scénario référence'!$F$8+'Scénario référence'!$F$9+'Scénario référence'!$B$17+'Scénario référence'!$B$9+'Scénario référence'!$B$10)*70+IF((45+25*(1-EXP(-0.0175*$A106)))&lt;70,'Scénario référence'!$B$16*(45+25*(1-EXP(-0.0175*$A106))),70*'Scénario référence'!$B$16)+IF((32+38*(1-EXP(-0.0175*$A106)))&lt;70,'Scénario référence'!$B$18*(32+38*(1-EXP(-0.0175*$A106))),70*'Scénario référence'!$B$18)</f>
        <v>70</v>
      </c>
      <c r="MH106" s="12">
        <f>IF($A106&gt;30,10,('Scénario référence'!$B$16+'Scénario référence'!$B$17+'Scénario référence'!$B$18+'Scénario référence'!$B$9+'Scénario référence'!$B$10)*$A106*10/30+('Scénario référence'!$F$8+'Scénario référence'!$F$9)*10)</f>
        <v>10</v>
      </c>
      <c r="MI106" s="12" t="e">
        <f>VLOOKUP($A106,'Données projet'!$A$460:$I$480,2,0)</f>
        <v>#N/A</v>
      </c>
      <c r="MJ106" s="12" t="e">
        <f>VLOOKUP($A106,'Données projet'!$A$460:$I$480,9,0)</f>
        <v>#N/A</v>
      </c>
      <c r="MK106" s="12">
        <f t="array" ref="MK106">INDEX(MJ:MJ,MIN(IF(ISNUMBER(MJ106:MJ302),ROW(MJ106:MJ302),"")))</f>
        <v>0</v>
      </c>
      <c r="ML106" s="12">
        <f>IF('Données projet'!$A$460&gt;35,ML105+MK106-MT105,IF($A106&lt;'Données projet'!$A$460,$CQ$205^$A106,IF($A106='Données projet'!$A$460,'Données projet'!$B$460,ML105+MK106-MT105)))</f>
        <v>0</v>
      </c>
      <c r="MM106" s="17" t="e">
        <f>ML106*VLOOKUP('Données projet'!$B$25,Paramètres!$A$1:$I$89,3,0)*VLOOKUP('Données projet'!$B$25,Paramètres!$A$1:$I$89,5,0)</f>
        <v>#N/A</v>
      </c>
      <c r="MN106" s="13" t="e">
        <f t="shared" si="214"/>
        <v>#N/A</v>
      </c>
      <c r="MO106" s="14" t="e">
        <f t="shared" si="168"/>
        <v>#N/A</v>
      </c>
      <c r="MP106" s="59" t="e">
        <f t="shared" si="169"/>
        <v>#N/A</v>
      </c>
      <c r="MQ106" s="20" t="e">
        <f ca="1">AVERAGE(OFFSET($MP$3,0,0,'Données projet'!$E$25+1,1))-AVERAGE(OFFSET($H$3,0,0,'Données projet'!$E$25+1,1))</f>
        <v>#N/A</v>
      </c>
      <c r="MR106" s="59" t="e">
        <f t="shared" si="215"/>
        <v>#N/A</v>
      </c>
      <c r="MS106" s="15">
        <f>IF(ISNA(VLOOKUP($A106,'Données projet'!$A$460:$I$480,3,0)),0,VLOOKUP($A106,'Données projet'!$A$460:$I$480,3,0))</f>
        <v>0</v>
      </c>
      <c r="MT106" s="15">
        <f>IF(ISNA(VLOOKUP($A106,'Données projet'!$A$460:$I$480,4,0)),0,VLOOKUP($A106,'Données projet'!$A$460:$I$480,4,0))</f>
        <v>0</v>
      </c>
      <c r="MU106" s="16">
        <f>IF(ISNA(VLOOKUP($A106,'Données projet'!$A$460:$I$480,5,0)),0%,VLOOKUP($A106,'Données projet'!$A$460:$I$480,5,0)*VLOOKUP('Données projet'!$B$25,Paramètres!$A$1:$I$89,7,0))</f>
        <v>0</v>
      </c>
      <c r="MV106" s="16">
        <f>IF(ISNA(VLOOKUP($A106,'Données projet'!$A$460:$I$480,6,0)),0%,VLOOKUP($A106,'Données projet'!$A$460:$I$480,6,0)*VLOOKUP('Données projet'!$B$25,Paramètres!$A$1:$I$89,7,0))</f>
        <v>0</v>
      </c>
      <c r="MW106" s="16">
        <f>IF(ISNA(VLOOKUP($A106,'Données projet'!$A$460:$I$480,7,0)),0%,VLOOKUP($A106,'Données projet'!$A$460:$I$480,7,0))</f>
        <v>0</v>
      </c>
      <c r="MX106" s="21" t="e">
        <f>EXP(-LN(2)/35)*MX105+(1-EXP(-LN(2)/35))/(LN(2)/35)*MT106*MU106*VLOOKUP('Données projet'!$B$25,Paramètres!$A$1:$I$89,3,0)*0.475*44/12</f>
        <v>#N/A</v>
      </c>
      <c r="MY106" s="21" t="e">
        <f>EXP(-LN(2)/25)*MY105+(1-EXP(-LN(2)/25))/(LN(2)/25)*Calculateur!MT106*Calculateur!MV106*VLOOKUP('Données projet'!$B$25,Paramètres!$A$1:$I$89,3,0)*0.475*44/12</f>
        <v>#N/A</v>
      </c>
      <c r="MZ106" s="21" t="e">
        <f>EXP(-LN(2)/2)*MZ105+(1-EXP(-LN(2)/2))/(LN(2)/2)*MT106*MW106*VLOOKUP('Données projet'!$B$25,Paramètres!$A$1:$I$89,3,0)*0.475*44/12</f>
        <v>#N/A</v>
      </c>
      <c r="NA106" s="22" t="e">
        <f t="shared" si="170"/>
        <v>#N/A</v>
      </c>
      <c r="NB106" s="74">
        <f>('Scénario référence'!$F$8+'Scénario référence'!$F$9+'Scénario référence'!$B$17+'Scénario référence'!$B$9+'Scénario référence'!$B$10)*70+IF((45+25*(1-EXP(-0.0175*$A106)))&lt;70,'Scénario référence'!$B$16*(45+25*(1-EXP(-0.0175*$A106))),70*'Scénario référence'!$B$16)+IF((32+38*(1-EXP(-0.0175*$A106)))&lt;70,'Scénario référence'!$B$18*(32+38*(1-EXP(-0.0175*$A106))),70*'Scénario référence'!$B$18)</f>
        <v>70</v>
      </c>
      <c r="NC106" s="12">
        <f>IF($A106&gt;30,10,('Scénario référence'!$B$16+'Scénario référence'!$B$17+'Scénario référence'!$B$18+'Scénario référence'!$B$9+'Scénario référence'!$B$10)*$A106*10/30+('Scénario référence'!$F$8+'Scénario référence'!$F$9)*10)</f>
        <v>10</v>
      </c>
      <c r="ND106" s="12" t="e">
        <f>VLOOKUP($A106,'Données projet'!$A$486:$I$506,2,0)</f>
        <v>#N/A</v>
      </c>
      <c r="NE106" s="12" t="e">
        <f>VLOOKUP($A106,'Données projet'!$A$486:$I$506,9,0)</f>
        <v>#N/A</v>
      </c>
      <c r="NF106" s="12">
        <f t="array" ref="NF106">INDEX(NE:NE,MIN(IF(ISNUMBER(NE106:NE302),ROW(NE106:NE302),"")))</f>
        <v>0</v>
      </c>
      <c r="NG106" s="12">
        <f>IF('Données projet'!$A$486&gt;35,NG105+NF106-NO105,IF($A106&lt;'Données projet'!$A$486,$CQ$205^$A106,IF($A106='Données projet'!$A$486,'Données projet'!$B$486,NG105+NF106-NO105)))</f>
        <v>0</v>
      </c>
      <c r="NH106" s="17" t="e">
        <f>NG106*VLOOKUP('Données projet'!$B$26,Paramètres!$A$1:$I$89,3,0)*VLOOKUP('Données projet'!$B$26,Paramètres!$A$1:$I$89,5,0)</f>
        <v>#N/A</v>
      </c>
      <c r="NI106" s="13" t="e">
        <f t="shared" si="216"/>
        <v>#N/A</v>
      </c>
      <c r="NJ106" s="14" t="e">
        <f t="shared" si="171"/>
        <v>#N/A</v>
      </c>
      <c r="NK106" s="59" t="e">
        <f t="shared" si="172"/>
        <v>#N/A</v>
      </c>
      <c r="NL106" s="20" t="e">
        <f ca="1">AVERAGE(OFFSET($NK$3,0,0,'Données projet'!$E$26+1,1))-AVERAGE(OFFSET($H$3,0,0,'Données projet'!$E$26+1,1))</f>
        <v>#N/A</v>
      </c>
      <c r="NM106" s="59" t="e">
        <f t="shared" si="217"/>
        <v>#N/A</v>
      </c>
      <c r="NN106" s="15">
        <f>IF(ISNA(VLOOKUP($A106,'Données projet'!$A$486:$I$506,3,0)),0,VLOOKUP($A106,'Données projet'!$A$486:$I$506,3,0))</f>
        <v>0</v>
      </c>
      <c r="NO106" s="15">
        <f>IF(ISNA(VLOOKUP($A106,'Données projet'!$A$486:$I$506,4,0)),0,VLOOKUP($A106,'Données projet'!$A$486:$I$506,4,0))</f>
        <v>0</v>
      </c>
      <c r="NP106" s="16">
        <f>IF(ISNA(VLOOKUP($A106,'Données projet'!$A$486:$I$506,5,0)),0%,VLOOKUP($A106,'Données projet'!$A$486:$I$506,5,0)*VLOOKUP('Données projet'!$B$26,Paramètres!$A$1:$I$89,7,0))</f>
        <v>0</v>
      </c>
      <c r="NQ106" s="16">
        <f>IF(ISNA(VLOOKUP($A106,'Données projet'!$A$486:$I$506,6,0)),0%,VLOOKUP($A106,'Données projet'!$A$486:$I$506,6,0)*VLOOKUP('Données projet'!$B$26,Paramètres!$A$1:$I$89,7,0))</f>
        <v>0</v>
      </c>
      <c r="NR106" s="16">
        <f>IF(ISNA(VLOOKUP($A106,'Données projet'!$A$486:$I$506,7,0)),0%,VLOOKUP($A106,'Données projet'!$A$486:$I$506,7,0))</f>
        <v>0</v>
      </c>
      <c r="NS106" s="21" t="e">
        <f>EXP(-LN(2)/35)*NS105+(1-EXP(-LN(2)/35))/(LN(2)/35)*NO106*NP106*VLOOKUP('Données projet'!$B$26,Paramètres!$A$1:$I$89,3,0)*0.475*44/12</f>
        <v>#N/A</v>
      </c>
      <c r="NT106" s="21" t="e">
        <f>EXP(-LN(2)/25)*NT105+(1-EXP(-LN(2)/25))/(LN(2)/25)*Calculateur!NO106*Calculateur!NQ106*VLOOKUP('Données projet'!$B$26,Paramètres!$A$1:$I$89,3,0)*0.475*44/12</f>
        <v>#N/A</v>
      </c>
      <c r="NU106" s="21" t="e">
        <f>EXP(-LN(2)/2)*NU105+(1-EXP(-LN(2)/2))/(LN(2)/2)*NO106*NR106*VLOOKUP('Données projet'!$B$26,Paramètres!$A$1:$I$89,3,0)*0.475*44/12</f>
        <v>#N/A</v>
      </c>
      <c r="NV106" s="22" t="e">
        <f t="shared" si="173"/>
        <v>#N/A</v>
      </c>
      <c r="NW106" s="74">
        <f>('Scénario référence'!$F$8+'Scénario référence'!$F$9+'Scénario référence'!$B$17+'Scénario référence'!$B$9+'Scénario référence'!$B$10)*70+IF((45+25*(1-EXP(-0.0175*$A106)))&lt;70,'Scénario référence'!$B$16*(45+25*(1-EXP(-0.0175*$A106))),70*'Scénario référence'!$B$16)+IF((32+38*(1-EXP(-0.0175*$A106)))&lt;70,'Scénario référence'!$B$18*(32+38*(1-EXP(-0.0175*$A106))),70*'Scénario référence'!$B$18)</f>
        <v>70</v>
      </c>
      <c r="NX106" s="12">
        <f>IF($A106&gt;30,10,('Scénario référence'!$B$16+'Scénario référence'!$B$17+'Scénario référence'!$B$18+'Scénario référence'!$B$9+'Scénario référence'!$B$10)*$A106*10/30+('Scénario référence'!$F$8+'Scénario référence'!$F$9)*10)</f>
        <v>10</v>
      </c>
      <c r="NY106" s="12" t="e">
        <f>VLOOKUP($A106,'Données projet'!$A$512:$I$532,2,0)</f>
        <v>#N/A</v>
      </c>
      <c r="NZ106" s="12" t="e">
        <f>VLOOKUP($A106,'Données projet'!$A$512:$I$532,9,0)</f>
        <v>#N/A</v>
      </c>
      <c r="OA106" s="12">
        <f t="array" ref="OA106">INDEX(NZ:NZ,MIN(IF(ISNUMBER(NZ106:NZ302),ROW(NZ106:NZ302),"")))</f>
        <v>0</v>
      </c>
      <c r="OB106" s="12">
        <f>IF('Données projet'!$A$512&gt;35,OB105+OA106-OJ105,IF($A106&lt;'Données projet'!$A$512,$CQ$205^$A106,IF($A106='Données projet'!$A$512,'Données projet'!$B$512,OB105+OA106-OJ105)))</f>
        <v>0</v>
      </c>
      <c r="OC106" s="17" t="e">
        <f>OB106*VLOOKUP('Données projet'!$B$27,Paramètres!$A$1:$I$89,3,0)*VLOOKUP('Données projet'!$B$27,Paramètres!$A$1:$I$89,5,0)</f>
        <v>#N/A</v>
      </c>
      <c r="OD106" s="13" t="e">
        <f t="shared" si="218"/>
        <v>#N/A</v>
      </c>
      <c r="OE106" s="14" t="e">
        <f t="shared" si="174"/>
        <v>#N/A</v>
      </c>
      <c r="OF106" s="59" t="e">
        <f t="shared" si="175"/>
        <v>#N/A</v>
      </c>
      <c r="OG106" s="20" t="e">
        <f ca="1">AVERAGE(OFFSET($OF$3,0,0,'Données projet'!$E$27+1,1))-AVERAGE(OFFSET($H$3,0,0,'Données projet'!$E$27+1,1))</f>
        <v>#N/A</v>
      </c>
      <c r="OH106" s="59" t="e">
        <f t="shared" si="219"/>
        <v>#N/A</v>
      </c>
      <c r="OI106" s="15">
        <f>IF(ISNA(VLOOKUP($A106,'Données projet'!$A$512:$I$532,3,0)),0,VLOOKUP($A106,'Données projet'!$A$512:$I$532,3,0))</f>
        <v>0</v>
      </c>
      <c r="OJ106" s="15">
        <f>IF(ISNA(VLOOKUP($A106,'Données projet'!$A$512:$I$532,4,0)),0,VLOOKUP($A106,'Données projet'!$A$512:$I$532,4,0))</f>
        <v>0</v>
      </c>
      <c r="OK106" s="16">
        <f>IF(ISNA(VLOOKUP($A106,'Données projet'!$A$512:$I$532,5,0)),0%,VLOOKUP($A106,'Données projet'!$A$512:$I$532,5,0)*VLOOKUP('Données projet'!$B$27,Paramètres!$A$1:$I$89,7,0))</f>
        <v>0</v>
      </c>
      <c r="OL106" s="16">
        <f>IF(ISNA(VLOOKUP($A106,'Données projet'!$A$512:$I$532,6,0)),0%,VLOOKUP($A106,'Données projet'!$A$512:$I$532,6,0)*VLOOKUP('Données projet'!$B$27,Paramètres!$A$1:$I$89,7,0))</f>
        <v>0</v>
      </c>
      <c r="OM106" s="16">
        <f>IF(ISNA(VLOOKUP($A106,'Données projet'!$A$512:$I$532,7,0)),0%,VLOOKUP($A106,'Données projet'!$A$512:$I$532,7,0))</f>
        <v>0</v>
      </c>
      <c r="ON106" s="21" t="e">
        <f>EXP(-LN(2)/35)*ON105+(1-EXP(-LN(2)/35))/(LN(2)/35)*OJ106*OK106*VLOOKUP('Données projet'!$B$27,Paramètres!$A$1:$I$89,3,0)*0.475*44/12</f>
        <v>#N/A</v>
      </c>
      <c r="OO106" s="21" t="e">
        <f>EXP(-LN(2)/25)*OO105+(1-EXP(-LN(2)/25))/(LN(2)/25)*Calculateur!OJ106*Calculateur!OL106*VLOOKUP('Données projet'!$B$27,Paramètres!$A$1:$I$89,3,0)*0.475*44/12</f>
        <v>#N/A</v>
      </c>
      <c r="OP106" s="21" t="e">
        <f>EXP(-LN(2)/2)*OP105+(1-EXP(-LN(2)/2))/(LN(2)/2)*OJ106*OM106*VLOOKUP('Données projet'!$B$27,Paramètres!$A$1:$I$89,3,0)*0.475*44/12</f>
        <v>#N/A</v>
      </c>
      <c r="OQ106" s="22" t="e">
        <f t="shared" si="176"/>
        <v>#N/A</v>
      </c>
      <c r="OR106" s="74">
        <f>('Scénario référence'!$F$8+'Scénario référence'!$F$9+'Scénario référence'!$B$17+'Scénario référence'!$B$9+'Scénario référence'!$B$10)*70+IF((45+25*(1-EXP(-0.0175*$A106)))&lt;70,'Scénario référence'!$B$16*(45+25*(1-EXP(-0.0175*$A106))),70*'Scénario référence'!$B$16)+IF((32+38*(1-EXP(-0.0175*$A106)))&lt;70,'Scénario référence'!$B$18*(32+38*(1-EXP(-0.0175*$A106))),70*'Scénario référence'!$B$18)</f>
        <v>70</v>
      </c>
      <c r="OS106" s="12">
        <f>IF($A106&gt;30,10,('Scénario référence'!$B$16+'Scénario référence'!$B$17+'Scénario référence'!$B$18+'Scénario référence'!$B$9+'Scénario référence'!$B$10)*$A106*10/30+('Scénario référence'!$F$8+'Scénario référence'!$F$9)*10)</f>
        <v>10</v>
      </c>
      <c r="OT106" s="12" t="e">
        <f>VLOOKUP($A106,'Données projet'!$A$538:$I$558,2,0)</f>
        <v>#N/A</v>
      </c>
      <c r="OU106" s="12" t="e">
        <f>VLOOKUP($A106,'Données projet'!$A$538:$I$558,9,0)</f>
        <v>#N/A</v>
      </c>
      <c r="OV106" s="12">
        <f t="array" ref="OV106">INDEX(OU:OU,MIN(IF(ISNUMBER(OU106:OU302),ROW(OU106:OU302),"")))</f>
        <v>0</v>
      </c>
      <c r="OW106" s="12">
        <f>IF('Données projet'!$A$538&gt;35,OW105+OV106-PE105,IF($A106&lt;'Données projet'!$A$538,$CQ$205^$A106,IF($A106='Données projet'!$A$538,'Données projet'!$B$538,OW105+OV106-PE105)))</f>
        <v>0</v>
      </c>
      <c r="OX106" s="17" t="e">
        <f>OW106*VLOOKUP('Données projet'!$B$28,Paramètres!$A$1:$I$89,3,0)*VLOOKUP('Données projet'!$B$28,Paramètres!$A$1:$I$89,5,0)</f>
        <v>#N/A</v>
      </c>
      <c r="OY106" s="13" t="e">
        <f t="shared" si="220"/>
        <v>#N/A</v>
      </c>
      <c r="OZ106" s="14" t="e">
        <f t="shared" si="177"/>
        <v>#N/A</v>
      </c>
      <c r="PA106" s="59" t="e">
        <f t="shared" si="178"/>
        <v>#N/A</v>
      </c>
      <c r="PB106" s="20" t="e">
        <f ca="1">AVERAGE(OFFSET($PA$3,0,0,'Données projet'!$E$28+1,1))-AVERAGE(OFFSET($H$3,0,0,'Données projet'!$E$28+1,1))</f>
        <v>#N/A</v>
      </c>
      <c r="PC106" s="59" t="e">
        <f t="shared" si="221"/>
        <v>#N/A</v>
      </c>
      <c r="PD106" s="15">
        <f>IF(ISNA(VLOOKUP($A106,'Données projet'!$A$538:$I$558,3,0)),0,VLOOKUP($A106,'Données projet'!$A$538:$I$558,3,0))</f>
        <v>0</v>
      </c>
      <c r="PE106" s="15">
        <f>IF(ISNA(VLOOKUP($A106,'Données projet'!$A$538:$I$558,4,0)),0,VLOOKUP($A106,'Données projet'!$A$538:$I$558,4,0))</f>
        <v>0</v>
      </c>
      <c r="PF106" s="16">
        <f>IF(ISNA(VLOOKUP($A106,'Données projet'!$A$538:$I$558,5,0)),0%,VLOOKUP($A106,'Données projet'!$A$538:$I$558,5,0)*VLOOKUP('Données projet'!$B$28,Paramètres!$A$1:$I$89,7,0))</f>
        <v>0</v>
      </c>
      <c r="PG106" s="16">
        <f>IF(ISNA(VLOOKUP($A106,'Données projet'!$A$538:$I$558,6,0)),0%,VLOOKUP($A106,'Données projet'!$A$538:$I$558,6,0)*VLOOKUP('Données projet'!$B$28,Paramètres!$A$1:$I$89,7,0))</f>
        <v>0</v>
      </c>
      <c r="PH106" s="16">
        <f>IF(ISNA(VLOOKUP($A106,'Données projet'!$A$538:$I$558,7,0)),0%,VLOOKUP($A106,'Données projet'!$A$538:$I$558,7,0))</f>
        <v>0</v>
      </c>
      <c r="PI106" s="21" t="e">
        <f>EXP(-LN(2)/35)*PI105+(1-EXP(-LN(2)/35))/(LN(2)/35)*PE106*PF106*VLOOKUP('Données projet'!$B$28,Paramètres!$A$1:$I$89,3,0)*0.475*44/12</f>
        <v>#N/A</v>
      </c>
      <c r="PJ106" s="21" t="e">
        <f>EXP(-LN(2)/25)*PJ105+(1-EXP(-LN(2)/25))/(LN(2)/25)*Calculateur!PE106*Calculateur!PG106*VLOOKUP('Données projet'!$B$28,Paramètres!$A$1:$I$89,3,0)*0.475*44/12</f>
        <v>#N/A</v>
      </c>
      <c r="PK106" s="21" t="e">
        <f>EXP(-LN(2)/2)*PK105+(1-EXP(-LN(2)/2))/(LN(2)/2)*PE106*PH106*VLOOKUP('Données projet'!$B$28,Paramètres!$A$1:$I$89,3,0)*0.475*44/12</f>
        <v>#N/A</v>
      </c>
      <c r="PL106" s="22" t="e">
        <f t="shared" si="179"/>
        <v>#N/A</v>
      </c>
    </row>
    <row r="107" spans="1:428" x14ac:dyDescent="0.35">
      <c r="A107" s="10">
        <f t="shared" si="180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181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121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projet'!$A$45:$I$65,2,0)</f>
        <v>#N/A</v>
      </c>
      <c r="L107" s="12" t="e">
        <f>VLOOKUP(A107,'Données projet'!$A$45:$I$65,9,0)</f>
        <v>#N/A</v>
      </c>
      <c r="M107" s="12">
        <f t="array" ref="M107">INDEX(L:L,MIN(IF(ISNUMBER(L107:L303),ROW(L107:L303),"")))</f>
        <v>0</v>
      </c>
      <c r="N107" s="13">
        <f>IF('Données projet'!$A$46&gt;35,N106+M107-V106,IF(A107&lt;'Données projet'!$A$46,$K$205^A107,IF(A107='Données projet'!$A$46,'Données projet'!$B$46,N106+M107-V106)))</f>
        <v>-1.1368683772161603E-13</v>
      </c>
      <c r="O107" s="13">
        <f>N107*VLOOKUP('Données projet'!$B$9,Paramètres!$A$1:$I$89,3,0)*VLOOKUP('Données projet'!$B$9,Paramètres!$A$1:$I$89,5,0)</f>
        <v>-6.3550942286383367E-14</v>
      </c>
      <c r="P107" s="13" t="e">
        <f t="shared" si="182"/>
        <v>#NUM!</v>
      </c>
      <c r="Q107" s="20" t="e">
        <f t="shared" si="222"/>
        <v>#NUM!</v>
      </c>
      <c r="R107" s="59" t="e">
        <f t="shared" si="120"/>
        <v>#NUM!</v>
      </c>
      <c r="S107" s="59">
        <f ca="1">AVERAGE(OFFSET($R$3,0,0,'Données projet'!$E$9+1,1))-AVERAGE(OFFSET($H$3,0,0,'Données projet'!$E$9+1,1))</f>
        <v>274.57619581652199</v>
      </c>
      <c r="T107" s="59">
        <f t="shared" si="183"/>
        <v>366.15117322598775</v>
      </c>
      <c r="U107" s="15">
        <f>IF(ISNA(VLOOKUP(A107,'Données projet'!$A$45:$I$65,3,0)),0,VLOOKUP(A107,'Données projet'!$A$45:$I$65,3,0))</f>
        <v>0</v>
      </c>
      <c r="V107" s="15">
        <f>IF(ISNA(VLOOKUP(A107,'Données projet'!$A$45:$I$65,4,0)),0,VLOOKUP(A107,'Données projet'!$A$45:$I$65,4,0))</f>
        <v>0</v>
      </c>
      <c r="W107" s="16">
        <f>IF(ISNA(VLOOKUP(A107,'Données projet'!$A$45:$I$65,5,0)),0%,VLOOKUP(A107,'Données projet'!$A$45:$I$65,5,0)*VLOOKUP('Données projet'!$B$9,Paramètres!$A$1:$I$89,7,0))</f>
        <v>0</v>
      </c>
      <c r="X107" s="16">
        <f>IF(ISNA(VLOOKUP(A107,'Données projet'!$A$45:$I$65,6,0)),0%,VLOOKUP(A107,'Données projet'!$A$45:$I$65,6,0)*VLOOKUP('Données projet'!$B$9,Paramètres!$A$1:$I$89,7,0))</f>
        <v>0</v>
      </c>
      <c r="Y107" s="16">
        <f>IF(ISNA(VLOOKUP(A107,'Données projet'!$A$45:$I$65,7,0)),0%,VLOOKUP(A107,'Données projet'!$A$45:$I$65,7,0))</f>
        <v>0</v>
      </c>
      <c r="Z107" s="21">
        <f>EXP(-LN(2)/35)*Z106+(1-EXP(-LN(2)/35))/(LN(2)/35)*V107*W107*VLOOKUP('Données projet'!$B$9,Paramètres!$A$1:$I$89,3,0)*0.475*44/12</f>
        <v>85.886973511891227</v>
      </c>
      <c r="AA107" s="21">
        <f>EXP(-LN(2)/25)*AA106+(1-EXP(-LN(2)/25))/(LN(2)/25)*Calculateur!V107*Calculateur!X107*VLOOKUP('Données projet'!$B$9,Paramètres!$A$1:$I$89,3,0)*0.475*44/12</f>
        <v>14.806813182183246</v>
      </c>
      <c r="AB107" s="21">
        <f>EXP(-LN(2)/2)*AB106+(1-EXP(-LN(2)/2))/(LN(2)/2)*V107*Y107*VLOOKUP('Données projet'!$B$9,Paramètres!$A$1:$I$89,3,0)*0.475*44/12</f>
        <v>1.4397913047959261E-6</v>
      </c>
      <c r="AC107" s="22">
        <f t="shared" si="122"/>
        <v>100.69378813386578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projet'!$A$71:$I$91,2,0)</f>
        <v>#N/A</v>
      </c>
      <c r="AG107" s="12" t="e">
        <f>VLOOKUP(A107,'Données projet'!$A$71:$I$91,9,0)</f>
        <v>#N/A</v>
      </c>
      <c r="AH107" s="12">
        <f t="array" ref="AH107">INDEX(AG:AG,MIN(IF(ISNUMBER(AG107:AG303),ROW(AG107:AG303),"")))</f>
        <v>6.9935897435897401</v>
      </c>
      <c r="AI107" s="13">
        <f>IF('Données projet'!$A$72&gt;35,AI106+AH107-AQ106,IF(A107&lt;'Données projet'!$A$72,$AF$205^A107,IF(A107='Données projet'!$A$72,'Données projet'!$B$72,AI106+AH107-AQ106)))</f>
        <v>305.19871794871835</v>
      </c>
      <c r="AJ107" s="13">
        <f>AI107*VLOOKUP('Données projet'!$B$10,Paramètres!$A$1:$I$89,3,0)*VLOOKUP('Données projet'!$B$10,Paramètres!$A$1:$I$89,5,0)</f>
        <v>276.14380000000034</v>
      </c>
      <c r="AK107" s="13">
        <f t="shared" si="184"/>
        <v>66.151426401533939</v>
      </c>
      <c r="AL107" s="20">
        <f t="shared" si="123"/>
        <v>596.16418598267205</v>
      </c>
      <c r="AM107" s="59">
        <f t="shared" si="124"/>
        <v>889.49751931600531</v>
      </c>
      <c r="AN107" s="59">
        <f ca="1">AVERAGE(OFFSET($AM$3,0,0,'Données projet'!$E$10+1,1))-AVERAGE(OFFSET($H$3,0,0,'Données projet'!$E$10+1,1))</f>
        <v>270.87836509222456</v>
      </c>
      <c r="AO107" s="59">
        <f t="shared" si="185"/>
        <v>205.24998237949734</v>
      </c>
      <c r="AP107" s="15">
        <f>IF(ISNA(VLOOKUP(A107,'Données projet'!$A$71:$I$91,3,0)),0,VLOOKUP(A107,'Données projet'!$A$71:$I$91,3,0))</f>
        <v>0</v>
      </c>
      <c r="AQ107" s="15">
        <f>IF(ISNA(VLOOKUP(A107,'Données projet'!$A$71:$I$91,4,0)),0,VLOOKUP(A107,'Données projet'!$A$71:$I$91,4,0))</f>
        <v>0</v>
      </c>
      <c r="AR107" s="16">
        <f>IF(ISNA(VLOOKUP(A107,'Données projet'!$A$71:$I$91,5,0)),0%,VLOOKUP(A107,'Données projet'!$A$71:$I$91,5,0)*VLOOKUP('Données projet'!$B$10,Paramètres!$A$1:$I$89,7,0))</f>
        <v>0</v>
      </c>
      <c r="AS107" s="16">
        <f>IF(ISNA(VLOOKUP(A107,'Données projet'!$A$71:$I$91,6,0)),0%,VLOOKUP(A107,'Données projet'!$A$71:$I$91,6,0)*VLOOKUP('Données projet'!$B$10,Paramètres!$A$1:$I$89,7,0))</f>
        <v>0</v>
      </c>
      <c r="AT107" s="16">
        <f>IF(ISNA(VLOOKUP(A107,'Données projet'!$A$71:$I$91,7,0)),0%,VLOOKUP(A107,'Données projet'!$A$71:$I$91,7,0))</f>
        <v>0</v>
      </c>
      <c r="AU107" s="21">
        <f>EXP(-LN(2)/35)*AU106+(1-EXP(-LN(2)/35))/(LN(2)/35)*AQ107*AR107*VLOOKUP('Données projet'!$B$10,Paramètres!$A$1:$I$89,3,0)*0.475*44/12</f>
        <v>44.511295331941767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125"/>
        <v>44.511295331941767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projet'!$A$97:$I$117,2,0)</f>
        <v>#N/A</v>
      </c>
      <c r="BB107" s="12" t="e">
        <f>VLOOKUP(A107,'Données projet'!$A$97:$I$117,9,0)</f>
        <v>#N/A</v>
      </c>
      <c r="BC107" s="12">
        <f t="array" ref="BC107">INDEX(BB:BB,MIN(IF(ISNUMBER(BB107:BB303),ROW(BB107:BB303),"")))</f>
        <v>0</v>
      </c>
      <c r="BD107" s="12">
        <f>IF('Données projet'!$A$98&gt;35,BD106+BC107-BL106,IF(A107&lt;'Données projet'!$A$98,$BA$205^A107,IF(A107='Données projet'!$A$98,'Données projet'!$B$98,BD106+BC107-BL106)))</f>
        <v>-1.1368683772161603E-13</v>
      </c>
      <c r="BE107" s="13">
        <f>BD107*VLOOKUP('Données projet'!$B$11,Paramètres!$A$1:$I$89,3,0)*VLOOKUP('Données projet'!$B$11,Paramètres!$A$1:$I$89,5,0)</f>
        <v>-5.0249582272954292E-14</v>
      </c>
      <c r="BF107" s="13" t="e">
        <f t="shared" si="186"/>
        <v>#NUM!</v>
      </c>
      <c r="BG107" s="20" t="e">
        <f t="shared" si="126"/>
        <v>#NUM!</v>
      </c>
      <c r="BH107" s="59" t="e">
        <f t="shared" si="127"/>
        <v>#NUM!</v>
      </c>
      <c r="BI107" s="59">
        <f ca="1">AVERAGE(OFFSET($BH$3,0,0,'Données projet'!$E$11+1,1))-AVERAGE(OFFSET($H$3,0,0,'Données projet'!$E$11+1,1))</f>
        <v>211.31057120485542</v>
      </c>
      <c r="BJ107" s="59">
        <f t="shared" si="187"/>
        <v>283.33292006714777</v>
      </c>
      <c r="BK107" s="15">
        <f>IF(ISNA(VLOOKUP(A107,'Données projet'!$A$97:$I$117,3,0)),0,VLOOKUP(A107,'Données projet'!$A$97:$I$117,3,0))</f>
        <v>0</v>
      </c>
      <c r="BL107" s="15">
        <f>IF(ISNA(VLOOKUP(A107,'Données projet'!$A$97:$I$117,4,0)),0,VLOOKUP(A107,'Données projet'!$A$97:$I$117,4,0))</f>
        <v>0</v>
      </c>
      <c r="BM107" s="16">
        <f>IF(ISNA(VLOOKUP(A107,'Données projet'!$A$97:$I$117,5,0)),0%,VLOOKUP(A107,'Données projet'!$A$97:$I$117,5,0)*VLOOKUP('Données projet'!$B$11,Paramètres!$A$1:$I$89,7,0))</f>
        <v>0</v>
      </c>
      <c r="BN107" s="16">
        <f>IF(ISNA(VLOOKUP(A107,'Données projet'!$A$97:$I$117,6,0)),0%,VLOOKUP(A107,'Données projet'!$A$97:$I$117,6,0)*VLOOKUP('Données projet'!$B$11,Paramètres!$A$1:$I$89,7,0))</f>
        <v>0</v>
      </c>
      <c r="BO107" s="16">
        <f>IF(ISNA(VLOOKUP(A107,'Données projet'!$A$97:$I$117,7,0)),0%,VLOOKUP(A107,'Données projet'!$A$97:$I$117,7,0))</f>
        <v>0</v>
      </c>
      <c r="BP107" s="21">
        <f>EXP(-LN(2)/35)*BP106+(1-EXP(-LN(2)/35))/(LN(2)/35)*BL107*BM107*VLOOKUP('Données projet'!$B$11,Paramètres!$A$1:$I$89,3,0)*0.475*44/12</f>
        <v>67.910630218704711</v>
      </c>
      <c r="BQ107" s="21">
        <f>EXP(-LN(2)/25)*BQ106+(1-EXP(-LN(2)/25))/(LN(2)/25)*Calculateur!BL107*Calculateur!BN107*VLOOKUP('Données projet'!$B$11,Paramètres!$A$1:$I$89,3,0)*0.475*44/12</f>
        <v>11.707712748703026</v>
      </c>
      <c r="BR107" s="21">
        <f>EXP(-LN(2)/2)*BR106+(1-EXP(-LN(2)/2))/(LN(2)/2)*BL107*BO107*VLOOKUP('Données projet'!$B$11,Paramètres!$A$1:$I$89,3,0)*0.475*44/12</f>
        <v>1.1384396363502669E-6</v>
      </c>
      <c r="BS107" s="22">
        <f t="shared" si="128"/>
        <v>79.618344105847385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projet'!$A$123:$I$143,2,0)</f>
        <v>#N/A</v>
      </c>
      <c r="BW107" s="12" t="e">
        <f>VLOOKUP(A107,'Données projet'!$A$123:$I$143,9,0)</f>
        <v>#N/A</v>
      </c>
      <c r="BX107" s="12">
        <f t="array" ref="BX107">INDEX(BW:BW,MIN(IF(ISNUMBER(BW107:BW303),ROW(BW107:BW303),"")))</f>
        <v>0</v>
      </c>
      <c r="BY107" s="12">
        <f>IF('Données projet'!$A$124&gt;35,BY106+BX107-CG106,IF(A107&lt;'Données projet'!$A$124,$BV$205^A107,IF(A107='Données projet'!$A$124,'Données projet'!$B$124,BY106+BX107-CG106)))</f>
        <v>0</v>
      </c>
      <c r="BZ107" s="13">
        <f>BY107*VLOOKUP('Données projet'!$B$12,Paramètres!$A$1:$I$89,3,0)*VLOOKUP('Données projet'!$B$12,Paramètres!$A$1:$I$89,5,0)</f>
        <v>0</v>
      </c>
      <c r="CA107" s="13" t="e">
        <f t="shared" si="188"/>
        <v>#NUM!</v>
      </c>
      <c r="CB107" s="20" t="e">
        <f t="shared" si="129"/>
        <v>#NUM!</v>
      </c>
      <c r="CC107" s="59" t="e">
        <f t="shared" si="130"/>
        <v>#NUM!</v>
      </c>
      <c r="CD107" s="59">
        <f ca="1">AVERAGE(OFFSET($CC$3,0,0,'Données projet'!$E$12+1,1))-AVERAGE(OFFSET($H$3,0,0,'Données projet'!$E$12+1,1))</f>
        <v>322.93502595881938</v>
      </c>
      <c r="CE107" s="59">
        <f t="shared" si="189"/>
        <v>302.67072119588164</v>
      </c>
      <c r="CF107" s="15">
        <f>IF(ISNA(VLOOKUP(A107,'Données projet'!$A$123:$I$143,3,0)),0,VLOOKUP(A107,'Données projet'!$A$123:$I$143,3,0))</f>
        <v>0</v>
      </c>
      <c r="CG107" s="15">
        <f>IF(ISNA(VLOOKUP(A107,'Données projet'!$A$123:$I$143,4,0)),0,VLOOKUP(A107,'Données projet'!$A$123:$I$143,4,0))</f>
        <v>0</v>
      </c>
      <c r="CH107" s="16">
        <f>IF(ISNA(VLOOKUP(A107,'Données projet'!$A$123:$I$143,5,0)),0%,VLOOKUP(A107,'Données projet'!$A$123:$I$143,5,0)*VLOOKUP('Données projet'!$B$12,Paramètres!$A$1:$I$89,7,0))</f>
        <v>0</v>
      </c>
      <c r="CI107" s="16">
        <f>IF(ISNA(VLOOKUP(A107,'Données projet'!$A$123:$I$143,6,0)),0%,VLOOKUP(A107,'Données projet'!$A$123:$I$143,6,0)*VLOOKUP('Données projet'!$B$12,Paramètres!$A$1:$I$89,7,0))</f>
        <v>0</v>
      </c>
      <c r="CJ107" s="16">
        <f>IF(ISNA(VLOOKUP(A107,'Données projet'!$A$123:$I$143,7,0)),0%,VLOOKUP(A107,'Données projet'!$A$123:$I$143,7,0))</f>
        <v>0</v>
      </c>
      <c r="CK107" s="21">
        <f>EXP(-LN(2)/35)*CK106+(1-EXP(-LN(2)/35))/(LN(2)/35)*CG107*CH107*VLOOKUP('Données projet'!$B$12,Paramètres!$A$1:$I$89,3,0)*0.475*44/12</f>
        <v>108.19804347002587</v>
      </c>
      <c r="CL107" s="21">
        <f>EXP(-LN(2)/25)*CL106+(1-EXP(-LN(2)/25))/(LN(2)/25)*Calculateur!CG107*Calculateur!CI107*VLOOKUP('Données projet'!$B$12,Paramètres!$A$1:$I$89,3,0)*0.475*44/12</f>
        <v>37.471764418299351</v>
      </c>
      <c r="CM107" s="21">
        <f>EXP(-LN(2)/2)*CM106+(1-EXP(-LN(2)/2))/(LN(2)/2)*CG107*CJ107*VLOOKUP('Données projet'!$B$12,Paramètres!$A$1:$I$89,3,0)*0.475*44/12</f>
        <v>0</v>
      </c>
      <c r="CN107" s="22">
        <f t="shared" si="131"/>
        <v>145.66980788832521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projet'!$A$149:$I$169,2,0)</f>
        <v>#N/A</v>
      </c>
      <c r="CR107" s="12" t="e">
        <f>VLOOKUP(A107,'Données projet'!$A$149:$I$169,9,0)</f>
        <v>#N/A</v>
      </c>
      <c r="CS107" s="12">
        <f t="array" ref="CS107">INDEX(CR:CR,MIN(IF(ISNUMBER(CR107:CR303),ROW(CR107:CR303),"")))</f>
        <v>5.0961538461538449</v>
      </c>
      <c r="CT107" s="12">
        <f>IF('Données projet'!$A$150&gt;35,CT106+CS107-DB106,IF(A107&lt;'Données projet'!$A$150,$CQ$205^A107,IF(A107='Données projet'!$A$150,'Données projet'!$B$150,CT106+CS107-DB106)))</f>
        <v>200.3525641025638</v>
      </c>
      <c r="CU107" s="17">
        <f>CT107*VLOOKUP('Données projet'!$B$13,Paramètres!$A$1:$I$89,3,0)*VLOOKUP('Données projet'!$B$13,Paramètres!$A$1:$I$89,5,0)</f>
        <v>203.15749999999971</v>
      </c>
      <c r="CV107" s="13">
        <f t="shared" si="190"/>
        <v>50.437456773365234</v>
      </c>
      <c r="CW107" s="20">
        <f t="shared" si="132"/>
        <v>441.67788304694392</v>
      </c>
      <c r="CX107" s="59">
        <f t="shared" si="133"/>
        <v>735.01121638027723</v>
      </c>
      <c r="CY107" s="59">
        <f ca="1">AVERAGE(OFFSET($CX$3,0,0,'Données projet'!$E$13+1,1))-AVERAGE(OFFSET($H$3,0,0,'Données projet'!$E$13+1,1))</f>
        <v>250.31277422753283</v>
      </c>
      <c r="CZ107" s="59">
        <f t="shared" si="191"/>
        <v>159.20429420478047</v>
      </c>
      <c r="DA107" s="15">
        <f>IF(ISNA(VLOOKUP(A107,'Données projet'!$A$149:$I$169,3,0)),0,VLOOKUP(A107,'Données projet'!$A$149:$I$169,3,0))</f>
        <v>0</v>
      </c>
      <c r="DB107" s="15">
        <f>IF(ISNA(VLOOKUP(A107,'Données projet'!$A$149:$I$169,4,0)),0,VLOOKUP(A107,'Données projet'!$A$149:$I$169,4,0))</f>
        <v>0</v>
      </c>
      <c r="DC107" s="16">
        <f>IF(ISNA(VLOOKUP(A107,'Données projet'!$A$149:$I$169,5,0)),0%,VLOOKUP(A107,'Données projet'!$A$149:$I$169,5,0)*VLOOKUP('Données projet'!$B$13,Paramètres!$A$1:$I$89,7,0))</f>
        <v>0</v>
      </c>
      <c r="DD107" s="16">
        <f>IF(ISNA(VLOOKUP(A107,'Données projet'!$A$149:$I$169,6,0)),0%,VLOOKUP(A107,'Données projet'!$A$149:$I$169,6,0)*VLOOKUP('Données projet'!$B$13,Paramètres!$A$1:$I$89,7,0))</f>
        <v>0</v>
      </c>
      <c r="DE107" s="16">
        <f>IF(ISNA(VLOOKUP(A107,'Données projet'!$A$149:$I$169,7,0)),0%,VLOOKUP(A107,'Données projet'!$A$149:$I$169,7,0))</f>
        <v>0</v>
      </c>
      <c r="DF107" s="21">
        <f>EXP(-LN(2)/35)*DF106+(1-EXP(-LN(2)/35))/(LN(2)/35)*DB107*DC107*VLOOKUP('Données projet'!$B$13,Paramètres!$A$1:$I$89,3,0)*0.475*44/12</f>
        <v>35.073450169258756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134"/>
        <v>35.073450169258756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projet'!$A$175:$I$195,2,0)</f>
        <v>#N/A</v>
      </c>
      <c r="DM107" s="12" t="e">
        <f>VLOOKUP(A107,'Données projet'!$A$175:$I$195,9,0)</f>
        <v>#N/A</v>
      </c>
      <c r="DN107" s="12">
        <f t="array" ref="DN107">INDEX(DM:DM,MIN(IF(ISNUMBER(DM107:DM303),ROW(DM107:DM303),"")))</f>
        <v>0</v>
      </c>
      <c r="DO107" s="12">
        <f>IF('Données projet'!$A$176&gt;35,DO106+DN107-DW106,IF(A107&lt;'Données projet'!$A$176,$DL$205^A107,IF(A107='Données projet'!$A$176,'Données projet'!$B$176,DO106+DN107-DW106)))</f>
        <v>-2.8421709430404007E-13</v>
      </c>
      <c r="DP107" s="17">
        <f>DO107*VLOOKUP('Données projet'!$B$14,Paramètres!$A$1:$I$89,3,0)*VLOOKUP('Données projet'!$B$14,Paramètres!$A$1:$I$89,5,0)</f>
        <v>-2.0838797354372215E-13</v>
      </c>
      <c r="DQ107" s="13" t="e">
        <f t="shared" si="192"/>
        <v>#NUM!</v>
      </c>
      <c r="DR107" s="20" t="e">
        <f t="shared" si="135"/>
        <v>#NUM!</v>
      </c>
      <c r="DS107" s="59" t="e">
        <f t="shared" si="136"/>
        <v>#NUM!</v>
      </c>
      <c r="DT107" s="59">
        <f ca="1">AVERAGE(OFFSET($DS$3,0,0,'Données projet'!$E$14+1,1))-AVERAGE(OFFSET($H$3,0,0,'Données projet'!$E$14+1,1))</f>
        <v>296.91321813251051</v>
      </c>
      <c r="DU107" s="59">
        <f t="shared" si="193"/>
        <v>291.0718079639509</v>
      </c>
      <c r="DV107" s="15">
        <f>IF(ISNA(VLOOKUP(A107,'Données projet'!$A$175:$I$195,3,0)),0,VLOOKUP(A107,'Données projet'!$A$175:$I$195,3,0))</f>
        <v>0</v>
      </c>
      <c r="DW107" s="15">
        <f>IF(ISNA(VLOOKUP(A107,'Données projet'!$A$175:$I$195,4,0)),0,VLOOKUP(A107,'Données projet'!$A$175:$I$195,4,0))</f>
        <v>0</v>
      </c>
      <c r="DX107" s="16">
        <f>IF(ISNA(VLOOKUP(A107,'Données projet'!$A$175:$I$195,5,0)),0%,VLOOKUP(A107,'Données projet'!$A$175:$I$195,5,0)*VLOOKUP('Données projet'!$B$14,Paramètres!$A$1:$I$89,7,0))</f>
        <v>0</v>
      </c>
      <c r="DY107" s="16">
        <f>IF(ISNA(VLOOKUP(A107,'Données projet'!$A$175:$I$195,6,0)),0%,VLOOKUP(A107,'Données projet'!$A$175:$I$195,6,0)*VLOOKUP('Données projet'!$B$14,Paramètres!$A$1:$I$89,7,0))</f>
        <v>0</v>
      </c>
      <c r="DZ107" s="16">
        <f>IF(ISNA(VLOOKUP(A107,'Données projet'!$A$175:$I$195,7,0)),0%,VLOOKUP(A107,'Données projet'!$A$175:$I$195,7,0))</f>
        <v>0</v>
      </c>
      <c r="EA107" s="21">
        <f>EXP(-LN(2)/35)*EA106+(1-EXP(-LN(2)/35))/(LN(2)/35)*DW107*DX107*VLOOKUP('Données projet'!$B$14,Paramètres!$A$1:$I$89,3,0)*0.475*44/12</f>
        <v>107.838713120919</v>
      </c>
      <c r="EB107" s="21">
        <f>EXP(-LN(2)/25)*EB106+(1-EXP(-LN(2)/25))/(LN(2)/25)*Calculateur!DW107*Calculateur!DY107*VLOOKUP('Données projet'!$B$14,Paramètres!$A$1:$I$89,3,0)*0.475*44/12</f>
        <v>2.7527097990200513</v>
      </c>
      <c r="EC107" s="21">
        <f>EXP(-LN(2)/2)*EC106+(1-EXP(-LN(2)/2))/(LN(2)/2)*DW107*DZ107*VLOOKUP('Données projet'!$B$14,Paramètres!$A$1:$I$89,3,0)*0.475*44/12</f>
        <v>0</v>
      </c>
      <c r="ED107" s="22">
        <f t="shared" si="137"/>
        <v>110.59142291993905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projet'!$A$201:$I$221,2,0)</f>
        <v>#N/A</v>
      </c>
      <c r="EH107" s="12" t="e">
        <f>VLOOKUP(A107,'Données projet'!$A$201:$I$221,9,0)</f>
        <v>#N/A</v>
      </c>
      <c r="EI107" s="12">
        <f t="array" ref="EI107">INDEX(EH:EH,MIN(IF(ISNUMBER(EH107:EH303),ROW(EH107:EH303),"")))</f>
        <v>5.6546153846153828</v>
      </c>
      <c r="EJ107" s="12">
        <f>IF('Données projet'!$A$202&gt;35,EJ106+EI107-ER106,IF(A107&lt;'Données projet'!$A$202,$EG$205^A107,IF(A107='Données projet'!$A$202,'Données projet'!$B$202,EJ106+EI107-ER106)))</f>
        <v>227.81923076923124</v>
      </c>
      <c r="EK107" s="17">
        <f>EJ107*VLOOKUP('Données projet'!$B$15,Paramètres!$A$1:$I$89,3,0)*VLOOKUP('Données projet'!$B$15,Paramètres!$A$1:$I$89,5,0)</f>
        <v>106.61940000000021</v>
      </c>
      <c r="EL107" s="13">
        <f t="shared" si="194"/>
        <v>28.533047633614832</v>
      </c>
      <c r="EM107" s="20">
        <f t="shared" si="138"/>
        <v>235.39051296187952</v>
      </c>
      <c r="EN107" s="59">
        <f t="shared" si="139"/>
        <v>528.72384629521287</v>
      </c>
      <c r="EO107" s="59">
        <f ca="1">AVERAGE(OFFSET($EN$3,0,0,'Données projet'!$E$15+1,1))-AVERAGE(OFFSET($H$3,0,0,'Données projet'!$E$15+1,1))</f>
        <v>147.64256291235483</v>
      </c>
      <c r="EP107" s="59">
        <f t="shared" si="195"/>
        <v>70.859031694091868</v>
      </c>
      <c r="EQ107" s="15">
        <f>IF(ISNA(VLOOKUP(A107,'Données projet'!$A$201:$I$221,3,0)),0,VLOOKUP(A107,'Données projet'!$A$201:$I$221,3,0))</f>
        <v>0</v>
      </c>
      <c r="ER107" s="15">
        <f>IF(ISNA(VLOOKUP(A107,'Données projet'!$A$201:$I$221,4,0)),0,VLOOKUP(A107,'Données projet'!$A$201:$I$221,4,0))</f>
        <v>0</v>
      </c>
      <c r="ES107" s="16">
        <f>IF(ISNA(VLOOKUP(A107,'Données projet'!$A$201:$I$221,5,0)),0%,VLOOKUP(A107,'Données projet'!$A$201:$I$221,5,0)*VLOOKUP('Données projet'!$B$15,Paramètres!$A$1:$I$89,7,0))</f>
        <v>0</v>
      </c>
      <c r="ET107" s="16">
        <f>IF(ISNA(VLOOKUP(A107,'Données projet'!$A$201:$I$221,6,0)),0%,VLOOKUP(A107,'Données projet'!$A$201:$I$221,6,0)*VLOOKUP('Données projet'!$B$15,Paramètres!$A$1:$I$89,7,0))</f>
        <v>0</v>
      </c>
      <c r="EU107" s="16">
        <f>IF(ISNA(VLOOKUP(A107,'Données projet'!$A$201:$I$221,7,0)),0%,VLOOKUP(A107,'Données projet'!$A$201:$I$221,7,0))</f>
        <v>0</v>
      </c>
      <c r="EV107" s="21">
        <f>EXP(-LN(2)/35)*EV106+(1-EXP(-LN(2)/35))/(LN(2)/35)*ER107*ES107*VLOOKUP('Données projet'!$B$15,Paramètres!$A$1:$I$89,3,0)*0.475*44/12</f>
        <v>80.050163955232605</v>
      </c>
      <c r="EW107" s="21">
        <f>EXP(-LN(2)/25)*EW106+(1-EXP(-LN(2)/25))/(LN(2)/25)*Calculateur!ER107*Calculateur!ET107*VLOOKUP('Données projet'!$B$15,Paramètres!$A$1:$I$89,3,0)*0.475*44/12</f>
        <v>21.382327572482481</v>
      </c>
      <c r="EX107" s="21">
        <f>EXP(-LN(2)/2)*EX106+(1-EXP(-LN(2)/2))/(LN(2)/2)*ER107*EU107*VLOOKUP('Données projet'!$B$15,Paramètres!$A$1:$I$89,3,0)*0.475*44/12</f>
        <v>2.4684734888667528</v>
      </c>
      <c r="EY107" s="22">
        <f t="shared" si="140"/>
        <v>103.90096501658184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projet'!$A$227:$I$247,2,0)</f>
        <v>#N/A</v>
      </c>
      <c r="FC107" s="12" t="e">
        <f>VLOOKUP(A107,'Données projet'!$A$227:$I$247,9,0)</f>
        <v>#N/A</v>
      </c>
      <c r="FD107" s="12">
        <f t="array" ref="FD107">INDEX(FC:FC,MIN(IF(ISNUMBER(FC107:FC303),ROW(FC107:FC303),"")))</f>
        <v>0</v>
      </c>
      <c r="FE107" s="12">
        <f>IF('Données projet'!$A$228&gt;35,FE106+FD107-FM106,IF(A107&lt;'Données projet'!$A$228,$FB$205^A107,IF(A107='Données projet'!$A$228,'Données projet'!$B$228,FE106+FD107-FM106)))</f>
        <v>8.5265128291212022E-14</v>
      </c>
      <c r="FF107" s="17">
        <f>FE107*VLOOKUP('Données projet'!$B$16,Paramètres!$A$1:$I$89,3,0)*VLOOKUP('Données projet'!$B$16,Paramètres!$A$1:$I$89,5,0)</f>
        <v>8.9119112089974823E-14</v>
      </c>
      <c r="FG107" s="13">
        <f t="shared" si="196"/>
        <v>1.3568952080113142E-12</v>
      </c>
      <c r="FH107" s="20">
        <f t="shared" si="141"/>
        <v>2.5184749408430782E-12</v>
      </c>
      <c r="FI107" s="59">
        <f t="shared" si="142"/>
        <v>293.33333333333582</v>
      </c>
      <c r="FJ107" s="59">
        <f ca="1">AVERAGE(OFFSET($FI$3,0,0,'Données projet'!$E$16+1,1))-AVERAGE(OFFSET($H$3,0,0,'Données projet'!$E$16+1,1))</f>
        <v>259.03906550253788</v>
      </c>
      <c r="FK107" s="59">
        <f t="shared" si="197"/>
        <v>235.54542903570831</v>
      </c>
      <c r="FL107" s="15">
        <f>IF(ISNA(VLOOKUP(A107,'Données projet'!$A$227:$I$247,3,0)),0,VLOOKUP(A107,'Données projet'!$A$227:$I$247,3,0))</f>
        <v>0</v>
      </c>
      <c r="FM107" s="15">
        <f>IF(ISNA(VLOOKUP(A107,'Données projet'!$A$227:$I$247,4,0)),0,VLOOKUP(A107,'Données projet'!$A$227:$I$247,4,0))</f>
        <v>0</v>
      </c>
      <c r="FN107" s="16">
        <f>IF(ISNA(VLOOKUP(A107,'Données projet'!$A$227:$I$247,5,0)),0%,VLOOKUP(A107,'Données projet'!$A$227:$I$247,5,0)*VLOOKUP('Données projet'!$B$16,Paramètres!$A$1:$I$89,7,0))</f>
        <v>0</v>
      </c>
      <c r="FO107" s="16">
        <f>IF(ISNA(VLOOKUP(A107,'Données projet'!$A$227:$I$247,6,0)),0%,VLOOKUP(A107,'Données projet'!$A$227:$I$247,6,0)*VLOOKUP('Données projet'!$B$16,Paramètres!$A$1:$I$89,7,0))</f>
        <v>0</v>
      </c>
      <c r="FP107" s="16">
        <f>IF(ISNA(VLOOKUP(A107,'Données projet'!$A$227:$I$247,7,0)),0%,VLOOKUP(A107,'Données projet'!$A$227:$I$247,7,0))</f>
        <v>0</v>
      </c>
      <c r="FQ107" s="21">
        <f>EXP(-LN(2)/35)*FQ106+(1-EXP(-LN(2)/35))/(LN(2)/35)*FM107*FN107*VLOOKUP('Données projet'!$B$16,Paramètres!$A$1:$I$89,3,0)*0.475*44/12</f>
        <v>65.161149019638856</v>
      </c>
      <c r="FR107" s="21">
        <f>EXP(-LN(2)/25)*FR106+(1-EXP(-LN(2)/25))/(LN(2)/25)*Calculateur!FM107*Calculateur!FO107*VLOOKUP('Données projet'!$B$16,Paramètres!$A$1:$I$89,3,0)*0.475*44/12</f>
        <v>52.538494215237563</v>
      </c>
      <c r="FS107" s="21">
        <f>EXP(-LN(2)/2)*FS106+(1-EXP(-LN(2)/2))/(LN(2)/2)*FM107*FP107*VLOOKUP('Données projet'!$B$16,Paramètres!$A$1:$I$89,3,0)*0.475*44/12</f>
        <v>0</v>
      </c>
      <c r="FT107" s="22">
        <f t="shared" si="143"/>
        <v>117.69964323487642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projet'!$A$253:$I$273,2,0)</f>
        <v>#N/A</v>
      </c>
      <c r="FX107" s="12" t="e">
        <f>VLOOKUP(A107,'Données projet'!$A$253:$I$273,9,0)</f>
        <v>#N/A</v>
      </c>
      <c r="FY107" s="12">
        <f t="array" ref="FY107">INDEX(FX:FX,MIN(IF(ISNUMBER(FX107:FX303),ROW(FX107:FX303),"")))</f>
        <v>0</v>
      </c>
      <c r="FZ107" s="12">
        <f>IF('Données projet'!$A$254&gt;35,FZ106+FY107-GH106,IF(A107&lt;'Données projet'!$A$254,$FW$205^A107,IF(A107='Données projet'!$A$254,'Données projet'!$B$254,FZ106+FY107-GH106)))</f>
        <v>-1.7053025658242404E-13</v>
      </c>
      <c r="GA107" s="17">
        <f>FZ107*VLOOKUP('Données projet'!$B$17,Paramètres!$A$1:$I$89,3,0)*VLOOKUP('Données projet'!$B$17,Paramètres!$A$1:$I$89,5,0)</f>
        <v>-1.4897523215040567E-13</v>
      </c>
      <c r="GB107" s="13" t="e">
        <f t="shared" si="198"/>
        <v>#NUM!</v>
      </c>
      <c r="GC107" s="20" t="e">
        <f t="shared" si="144"/>
        <v>#NUM!</v>
      </c>
      <c r="GD107" s="59" t="e">
        <f t="shared" si="145"/>
        <v>#NUM!</v>
      </c>
      <c r="GE107" s="59">
        <f ca="1">AVERAGE(OFFSET($GD$3,0,0,'Données projet'!$E$17+1,1))-AVERAGE(OFFSET($H$3,0,0,'Données projet'!$E$17+1,1))</f>
        <v>245.1983232777614</v>
      </c>
      <c r="GF107" s="59">
        <f t="shared" si="199"/>
        <v>242.34010522344573</v>
      </c>
      <c r="GG107" s="15">
        <f>IF(ISNA(VLOOKUP(A107,'Données projet'!$A$253:$I$273,3,0)),0,VLOOKUP(A107,'Données projet'!$A$253:$I$273,3,0))</f>
        <v>0</v>
      </c>
      <c r="GH107" s="15">
        <f>IF(ISNA(VLOOKUP(A107,'Données projet'!$A$253:$I$273,4,0)),0,VLOOKUP(A107,'Données projet'!$A$253:$I$273,4,0))</f>
        <v>0</v>
      </c>
      <c r="GI107" s="16">
        <f>IF(ISNA(VLOOKUP(A107,'Données projet'!$A$253:$I$273,5,0)),0%,VLOOKUP(A107,'Données projet'!$A$253:$I$273,5,0)*VLOOKUP('Données projet'!$B$17,Paramètres!$A$1:$I$89,7,0))</f>
        <v>0</v>
      </c>
      <c r="GJ107" s="16">
        <f>IF(ISNA(VLOOKUP(A107,'Données projet'!$A$253:$I$273,6,0)),0%,VLOOKUP(A107,'Données projet'!$A$253:$I$273,6,0)*VLOOKUP('Données projet'!$B$17,Paramètres!$A$1:$I$89,7,0))</f>
        <v>0</v>
      </c>
      <c r="GK107" s="16">
        <f>IF(ISNA(VLOOKUP(A107,'Données projet'!$A$253:$I$273,7,0)),0%,VLOOKUP(A107,'Données projet'!$A$253:$I$273,7,0))</f>
        <v>0</v>
      </c>
      <c r="GL107" s="21">
        <f>EXP(-LN(2)/35)*GL106+(1-EXP(-LN(2)/35))/(LN(2)/35)*GH107*GI107*VLOOKUP('Données projet'!$B$17,Paramètres!$A$1:$I$89,3,0)*0.475*44/12</f>
        <v>76.60587093189487</v>
      </c>
      <c r="GM107" s="21">
        <f>EXP(-LN(2)/25)*GM106+(1-EXP(-LN(2)/25))/(LN(2)/25)*Calculateur!GH107*Calculateur!GJ107*VLOOKUP('Données projet'!$B$17,Paramètres!$A$1:$I$89,3,0)*0.475*44/12</f>
        <v>11.194673193707295</v>
      </c>
      <c r="GN107" s="21">
        <f>EXP(-LN(2)/2)*GN106+(1-EXP(-LN(2)/2))/(LN(2)/2)*GH107*GK107*VLOOKUP('Données projet'!$B$17,Paramètres!$A$1:$I$89,3,0)*0.475*44/12</f>
        <v>0</v>
      </c>
      <c r="GO107" s="21">
        <f t="shared" si="146"/>
        <v>87.800544125602158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projet'!$A$279:$I$299,2,0)</f>
        <v>#N/A</v>
      </c>
      <c r="GS107" s="12" t="e">
        <f>VLOOKUP(A107,'Données projet'!$A$279:$I$299,9,0)</f>
        <v>#N/A</v>
      </c>
      <c r="GT107" s="12">
        <f t="array" ref="GT107">INDEX(GS:GS,MIN(IF(ISNUMBER(GS107:GS303),ROW(GS107:GS303),"")))</f>
        <v>0</v>
      </c>
      <c r="GU107" s="12">
        <f>IF('Données projet'!$A$280&gt;35,GU106+GT107-HC106,IF(A107&lt;'Données projet'!$A$280,$GR$205^A107,IF(A107='Données projet'!$A$280,'Données projet'!$B$280,GU106+GT107-HC106)))</f>
        <v>-1.1368683772161603E-13</v>
      </c>
      <c r="GV107" s="17">
        <f>GU107*VLOOKUP('Données projet'!$B$18,Paramètres!$A$1:$I$89,3,0)*VLOOKUP('Données projet'!$B$18,Paramètres!$A$1:$I$89,5,0)</f>
        <v>-4.5815795601811263E-14</v>
      </c>
      <c r="GW107" s="13" t="e">
        <f t="shared" si="200"/>
        <v>#NUM!</v>
      </c>
      <c r="GX107" s="20" t="e">
        <f t="shared" si="147"/>
        <v>#NUM!</v>
      </c>
      <c r="GY107" s="59" t="e">
        <f t="shared" si="148"/>
        <v>#NUM!</v>
      </c>
      <c r="GZ107" s="59">
        <f ca="1">AVERAGE(OFFSET($GY$3,0,0,'Données projet'!$E$18+1,1))-AVERAGE(OFFSET($H$3,0,0,'Données projet'!$E$18+1,1))</f>
        <v>324.36162935850876</v>
      </c>
      <c r="HA107" s="59">
        <f t="shared" si="201"/>
        <v>265.23571072429735</v>
      </c>
      <c r="HB107" s="15">
        <f>IF(ISNA(VLOOKUP(A107,'Données projet'!$A$279:$I$299,3,0)),0,VLOOKUP(A107,'Données projet'!$A$279:$I$299,3,0))</f>
        <v>0</v>
      </c>
      <c r="HC107" s="15">
        <f>IF(ISNA(VLOOKUP(A107,'Données projet'!$A$279:$I$299,4,0)),0,VLOOKUP(A107,'Données projet'!$A$279:$I$299,4,0))</f>
        <v>0</v>
      </c>
      <c r="HD107" s="16">
        <f>IF(ISNA(VLOOKUP(A107,'Données projet'!$A$279:$I$299,5,0)),0%,VLOOKUP(A107,'Données projet'!$A$279:$I$299,5,0)*VLOOKUP('Données projet'!$B$18,Paramètres!$A$1:$I$89,7,0))</f>
        <v>0</v>
      </c>
      <c r="HE107" s="16">
        <f>IF(ISNA(VLOOKUP(A107,'Données projet'!$A$279:$I$299,6,0)),0%,VLOOKUP(A107,'Données projet'!$A$279:$I$299,6,0)*VLOOKUP('Données projet'!$B$18,Paramètres!$A$1:$I$89,7,0))</f>
        <v>0</v>
      </c>
      <c r="HF107" s="16">
        <f>IF(ISNA(VLOOKUP($A107,'Données projet'!$A$279:$I$299,7,0)),0%,VLOOKUP($A107,'Données projet'!$A$279:$I$299,7,0))</f>
        <v>0</v>
      </c>
      <c r="HG107" s="21">
        <f>EXP(-LN(2)/35)*HG106+(1-EXP(-LN(2)/35))/(LN(2)/35)*HC107*HD107*VLOOKUP('Données projet'!$B$18,Paramètres!$A$1:$I$89,3,0)*0.475*44/12</f>
        <v>146.79687492114078</v>
      </c>
      <c r="HH107" s="21">
        <f>EXP(-LN(2)/25)*HH106+(1-EXP(-LN(2)/25))/(LN(2)/25)*Calculateur!HC107*Calculateur!HE107*VLOOKUP('Données projet'!$B$18,Paramètres!$A$1:$I$89,3,0)*0.475*44/12</f>
        <v>12.45047893842875</v>
      </c>
      <c r="HI107" s="21">
        <f>EXP(-LN(2)/2)*HI106+(1-EXP(-LN(2)/2))/(LN(2)/2)*HC107*HF107*VLOOKUP('Données projet'!$B$18,Paramètres!$A$1:$I$89,3,0)*0.475*44/12</f>
        <v>2.0867211204540839E-3</v>
      </c>
      <c r="HJ107" s="22">
        <f t="shared" si="149"/>
        <v>159.24944058068999</v>
      </c>
      <c r="HK107" s="74">
        <f>('Scénario référence'!$F$8+'Scénario référence'!$F$9+'Scénario référence'!$B$17+'Scénario référence'!$B$9+'Scénario référence'!$B$10)*70+IF((45+25*(1-EXP(-0.0175*$A107)))&lt;70,'Scénario référence'!$B$16*(45+25*(1-EXP(-0.0175*$A107))),70*'Scénario référence'!$B$16)+IF((32+38*(1-EXP(-0.0175*$A107)))&lt;70,'Scénario référence'!$B$18*(32+38*(1-EXP(-0.0175*$A107))),70*'Scénario référence'!$B$18)</f>
        <v>70</v>
      </c>
      <c r="HL107" s="12">
        <f>IF($A107&gt;30,10,('Scénario référence'!$B$16+'Scénario référence'!$B$17+'Scénario référence'!$B$18+'Scénario référence'!$B$9+'Scénario référence'!$B$10)*$A107*10/30+('Scénario référence'!$F$8+'Scénario référence'!$F$9)*10)</f>
        <v>10</v>
      </c>
      <c r="HM107" s="12" t="e">
        <f>VLOOKUP($A107,'Données projet'!$A$304:$I$324,2,0)</f>
        <v>#N/A</v>
      </c>
      <c r="HN107" s="12" t="e">
        <f>VLOOKUP($A107,'Données projet'!$A$304:$I$324,9,0)</f>
        <v>#N/A</v>
      </c>
      <c r="HO107" s="12">
        <f t="array" ref="HO107">INDEX(HN:HN,MIN(IF(ISNUMBER(HN107:HN303),ROW(HN107:HN303),"")))</f>
        <v>0</v>
      </c>
      <c r="HP107" s="12">
        <f>IF('Données projet'!$A$304&gt;35,HP106+HO107-HX106,IF($A107&lt;'Données projet'!$A$304,$CQ$205^$A107,IF($A107='Données projet'!$A$304,'Données projet'!$B$304,HP106+HO107-HX106)))</f>
        <v>0</v>
      </c>
      <c r="HQ107" s="17">
        <f>HP107*VLOOKUP('Données projet'!$B$19,Paramètres!$A$1:$I$89,3,0)*VLOOKUP('Données projet'!$B$19,Paramètres!$A$1:$I$89,5,0)</f>
        <v>0</v>
      </c>
      <c r="HR107" s="13" t="e">
        <f t="shared" si="202"/>
        <v>#NUM!</v>
      </c>
      <c r="HS107" s="14" t="e">
        <f t="shared" si="150"/>
        <v>#NUM!</v>
      </c>
      <c r="HT107" s="59" t="e">
        <f t="shared" si="151"/>
        <v>#NUM!</v>
      </c>
      <c r="HU107" s="59">
        <f ca="1">AVERAGE(OFFSET(HT$3,0,0,'Données projet'!$E$19+1,1))-AVERAGE(OFFSET($H$3,0,0,'Données projet'!$E$19+1,1))</f>
        <v>91.60721429656013</v>
      </c>
      <c r="HV107" s="59">
        <f t="shared" si="203"/>
        <v>258.94957804210856</v>
      </c>
      <c r="HW107" s="15">
        <f>IF(ISNA(VLOOKUP($A107,'Données projet'!$A$304:$I$324,3,0)),0,VLOOKUP($A107,'Données projet'!$A$304:$I$324,3,0))</f>
        <v>0</v>
      </c>
      <c r="HX107" s="15">
        <f>IF(ISNA(VLOOKUP($A107,'Données projet'!$A$304:$I$324,4,0)),0,VLOOKUP($A107,'Données projet'!$A$304:$I$324,4,0))</f>
        <v>0</v>
      </c>
      <c r="HY107" s="16">
        <f>IF(ISNA(VLOOKUP($A107,'Données projet'!$A$304:$I$324,5,0)),0%,VLOOKUP($A107,'Données projet'!$A$304:$I$324,5,0)*VLOOKUP('Données projet'!$B$19,Paramètres!$A$1:$I$89,7,0))</f>
        <v>0</v>
      </c>
      <c r="HZ107" s="16">
        <f>IF(ISNA(VLOOKUP($A107,'Données projet'!$A$304:$I$324,6,0)),0%,VLOOKUP($A107,'Données projet'!$A$304:$I$324,6,0)*VLOOKUP('Données projet'!$B$19,Paramètres!$A$1:$I$89,7,0))</f>
        <v>0</v>
      </c>
      <c r="IA107" s="16">
        <f>IF(ISNA(VLOOKUP($A107,'Données projet'!$A$304:$I$324,7,0)),0%,VLOOKUP($A107,'Données projet'!$A$304:$I$324,7,0))</f>
        <v>0</v>
      </c>
      <c r="IB107" s="21">
        <f>EXP(-LN(2)/35)*IB106+(1-EXP(-LN(2)/35))/(LN(2)/35)*HX107*HY107*VLOOKUP('Données projet'!$B$19,Paramètres!$A$1:$I$89,3,0)*0.475*44/12</f>
        <v>11.393876488639567</v>
      </c>
      <c r="IC107" s="21">
        <f>EXP(-LN(2)/25)*IC106+(1-EXP(-LN(2)/25))/(LN(2)/25)*Calculateur!HX107*Calculateur!HZ107*VLOOKUP('Données projet'!$B$19,Paramètres!$A$1:$I$89,3,0)*0.475*44/12</f>
        <v>1.2501512872088116</v>
      </c>
      <c r="ID107" s="21">
        <f>EXP(-LN(2)/2)*ID106+(1-EXP(-LN(2)/2))/(LN(2)/2)*HX107*IA107*VLOOKUP('Données projet'!$B$19,Paramètres!$A$1:$I$89,3,0)*0.475*44/12</f>
        <v>4.168049139436171E-12</v>
      </c>
      <c r="IE107" s="22">
        <f t="shared" si="152"/>
        <v>12.644027775852546</v>
      </c>
      <c r="IF107" s="74">
        <f>('Scénario référence'!$F$8+'Scénario référence'!$F$9+'Scénario référence'!$B$17+'Scénario référence'!$B$9+'Scénario référence'!$B$10)*70+IF((45+25*(1-EXP(-0.0175*$A107)))&lt;70,'Scénario référence'!$B$16*(45+25*(1-EXP(-0.0175*$A107))),70*'Scénario référence'!$B$16)+IF((32+38*(1-EXP(-0.0175*$A107)))&lt;70,'Scénario référence'!$B$18*(32+38*(1-EXP(-0.0175*$A107))),70*'Scénario référence'!$B$18)</f>
        <v>70</v>
      </c>
      <c r="IG107" s="12">
        <f>IF($A107&gt;30,10,('Scénario référence'!$B$16+'Scénario référence'!$B$17+'Scénario référence'!$B$18+'Scénario référence'!$B$9+'Scénario référence'!$B$10)*$A107*10/30+('Scénario référence'!$F$8+'Scénario référence'!$F$9)*10)</f>
        <v>10</v>
      </c>
      <c r="IH107" s="12" t="e">
        <f>VLOOKUP($A107,'Données projet'!$A$330:$I$350,2,0)</f>
        <v>#N/A</v>
      </c>
      <c r="II107" s="12" t="e">
        <f>VLOOKUP($A107,'Données projet'!$A$330:$I$350,9,0)</f>
        <v>#N/A</v>
      </c>
      <c r="IJ107" s="12">
        <f t="array" ref="IJ107">INDEX(II:II,MIN(IF(ISNUMBER(II107:II303),ROW(II107:II303),"")))</f>
        <v>0</v>
      </c>
      <c r="IK107" s="12">
        <f>IF('Données projet'!$A$330&gt;35,IK106+IJ107-IS106,IF($A107&lt;'Données projet'!$A$330,$CQ$205^$A107,IF($A107='Données projet'!$A$330,'Données projet'!$B$330,IK106+IJ107-IS106)))</f>
        <v>0</v>
      </c>
      <c r="IL107" s="17">
        <f>IK107*VLOOKUP('Données projet'!$B$20,Paramètres!$A$1:$I$89,3,0)*VLOOKUP('Données projet'!$B$20,Paramètres!$A$1:$I$89,5,0)</f>
        <v>0</v>
      </c>
      <c r="IM107" s="13" t="e">
        <f t="shared" si="204"/>
        <v>#NUM!</v>
      </c>
      <c r="IN107" s="20" t="e">
        <f t="shared" si="153"/>
        <v>#NUM!</v>
      </c>
      <c r="IO107" s="59" t="e">
        <f t="shared" si="154"/>
        <v>#NUM!</v>
      </c>
      <c r="IP107" s="59">
        <f ca="1">AVERAGE(OFFSET(IO$3,0,0,'Données projet'!$E$20+1,1))-AVERAGE(OFFSET($H$3,0,0,'Données projet'!$E$20+1,1))</f>
        <v>91.60721429656013</v>
      </c>
      <c r="IQ107" s="59">
        <f t="shared" si="205"/>
        <v>258.94957804210856</v>
      </c>
      <c r="IR107" s="15">
        <f>IF(ISNA(VLOOKUP($A107,'Données projet'!$A$330:$I$350,3,0)),0,VLOOKUP($A107,'Données projet'!$A$330:$I$350,3,0))</f>
        <v>0</v>
      </c>
      <c r="IS107" s="15">
        <f>IF(ISNA(VLOOKUP($A107,'Données projet'!$A$330:$I$350,4,0)),0,VLOOKUP($A107,'Données projet'!$A$330:$I$350,4,0))</f>
        <v>0</v>
      </c>
      <c r="IT107" s="16">
        <f>IF(ISNA(VLOOKUP($A107,'Données projet'!$A$330:$I$350,5,0)),0%,VLOOKUP($A107,'Données projet'!$A$330:$I$350,5,0)*VLOOKUP('Données projet'!$B$20,Paramètres!$A$1:$I$89,7,0))</f>
        <v>0</v>
      </c>
      <c r="IU107" s="16">
        <f>IF(ISNA(VLOOKUP($A107,'Données projet'!$A$330:$I$350,6,0)),0%,VLOOKUP($A107,'Données projet'!$A$330:$I$350,6,0)*VLOOKUP('Données projet'!$B$20,Paramètres!$A$1:$I$89,7,0))</f>
        <v>0</v>
      </c>
      <c r="IV107" s="16">
        <f>IF(ISNA(VLOOKUP($A107,'Données projet'!$A$330:$I$350,7,0)),0%,VLOOKUP($A107,'Données projet'!$A$330:$I$350,7,0))</f>
        <v>0</v>
      </c>
      <c r="IW107" s="21">
        <f>EXP(-LN(2)/35)*IW106+(1-EXP(-LN(2)/35))/(LN(2)/35)*IS107*IT107*VLOOKUP('Données projet'!$B$20,Paramètres!$A$1:$I$89,3,0)*0.475*44/12</f>
        <v>11.393876488639567</v>
      </c>
      <c r="IX107" s="21">
        <f>EXP(-LN(2)/25)*IX106+(1-EXP(-LN(2)/25))/(LN(2)/25)*Calculateur!IS107*Calculateur!IU107*VLOOKUP('Données projet'!$B$20,Paramètres!$A$1:$I$89,3,0)*0.475*44/12</f>
        <v>1.2501512872088116</v>
      </c>
      <c r="IY107" s="21">
        <f>EXP(-LN(2)/2)*IY106+(1-EXP(-LN(2)/2))/(LN(2)/2)*IS107*IV107*VLOOKUP('Données projet'!$B$20,Paramètres!$A$1:$I$89,3,0)*0.475*44/12</f>
        <v>4.168049139436171E-12</v>
      </c>
      <c r="IZ107" s="22">
        <f t="shared" si="155"/>
        <v>12.644027775852546</v>
      </c>
      <c r="JA107" s="74">
        <f>('Scénario référence'!$F$8+'Scénario référence'!$F$9+'Scénario référence'!$B$17+'Scénario référence'!$B$9+'Scénario référence'!$B$10)*70+IF((45+25*(1-EXP(-0.0175*$A107)))&lt;70,'Scénario référence'!$B$16*(45+25*(1-EXP(-0.0175*$A107))),70*'Scénario référence'!$B$16)+IF((32+38*(1-EXP(-0.0175*$A107)))&lt;70,'Scénario référence'!$B$18*(32+38*(1-EXP(-0.0175*$A107))),70*'Scénario référence'!$B$18)</f>
        <v>70</v>
      </c>
      <c r="JB107" s="12">
        <f>IF($A107&gt;30,10,('Scénario référence'!$B$16+'Scénario référence'!$B$17+'Scénario référence'!$B$18+'Scénario référence'!$B$9+'Scénario référence'!$B$10)*$A107*10/30+('Scénario référence'!$F$8+'Scénario référence'!$F$9)*10)</f>
        <v>10</v>
      </c>
      <c r="JC107" s="12" t="e">
        <f>VLOOKUP($A107,'Données projet'!$A$356:$I$376,2,0)</f>
        <v>#N/A</v>
      </c>
      <c r="JD107" s="12" t="e">
        <f>VLOOKUP($A107,'Données projet'!$A$356:$I$376,9,0)</f>
        <v>#N/A</v>
      </c>
      <c r="JE107" s="12">
        <f t="array" ref="JE107">INDEX(JD:JD,MIN(IF(ISNUMBER(JD107:JD303),ROW(JD107:JD303),"")))</f>
        <v>4.2</v>
      </c>
      <c r="JF107" s="12">
        <f>IF('Données projet'!$A$356&gt;35,JF106+JE107-JN106,IF($A107&lt;'Données projet'!$A$356,$CQ$205^$A107,IF($A107='Données projet'!$A$356,'Données projet'!$B$356,JF106+JE107-JN106)))</f>
        <v>392.79999999999944</v>
      </c>
      <c r="JG107" s="17">
        <f>JF107*VLOOKUP('Données projet'!$B$21,Paramètres!$A$1:$I$89,3,0)*VLOOKUP('Données projet'!$B$21,Paramètres!$A$1:$I$89,5,0)</f>
        <v>318.63935999999956</v>
      </c>
      <c r="JH107" s="13">
        <f t="shared" si="206"/>
        <v>75.070175878644349</v>
      </c>
      <c r="JI107" s="20">
        <f t="shared" si="156"/>
        <v>685.71077498863815</v>
      </c>
      <c r="JJ107" s="59">
        <f t="shared" si="157"/>
        <v>979.04410832197141</v>
      </c>
      <c r="JK107" s="59">
        <f ca="1">AVERAGE(OFFSET($JJ$3,0,0,'Données projet'!$E$22+1,1))-AVERAGE(OFFSET($H$3,0,0,'Données projet'!$E$22+1,1))</f>
        <v>353.35574633294613</v>
      </c>
      <c r="JL107" s="59">
        <f t="shared" si="207"/>
        <v>170.36796666474726</v>
      </c>
      <c r="JM107" s="15">
        <f>IF(ISNA(VLOOKUP($A107,'Données projet'!$A$356:$I$376,3,0)),0,VLOOKUP($A107,'Données projet'!$A$356:$I$376,3,0))</f>
        <v>0</v>
      </c>
      <c r="JN107" s="15">
        <f>IF(ISNA(VLOOKUP($A107,'Données projet'!$A$356:$I$376,4,0)),0,VLOOKUP($A107,'Données projet'!$A$356:$I$376,4,0))</f>
        <v>0</v>
      </c>
      <c r="JO107" s="16">
        <f>IF(ISNA(VLOOKUP($A107,'Données projet'!$A$356:$I$376,5,0)),0%,VLOOKUP($A107,'Données projet'!$A$356:$I$376,5,0)*VLOOKUP('Données projet'!$B$21,Paramètres!$A$1:$I$89,7,0))</f>
        <v>0</v>
      </c>
      <c r="JP107" s="16">
        <f>IF(ISNA(VLOOKUP($A107,'Données projet'!$A$356:$I$376,6,0)),0%,VLOOKUP($A107,'Données projet'!$A$356:$I$376,6,0)*VLOOKUP('Données projet'!$B$21,Paramètres!$A$1:$I$89,7,0))</f>
        <v>0</v>
      </c>
      <c r="JQ107" s="16">
        <f>IF(ISNA(VLOOKUP($A107,'Données projet'!$A$356:$I$376,7,0)),0%,VLOOKUP($A107,'Données projet'!$A$356:$I$376,7,0))</f>
        <v>0</v>
      </c>
      <c r="JR107" s="21">
        <f>EXP(-LN(2)/35)*JR106+(1-EXP(-LN(2)/35))/(LN(2)/35)*JN107*JO107*VLOOKUP('Données projet'!$B$21,Paramètres!$A$1:$I$89,3,0)*0.475*44/12</f>
        <v>3.7489587037255472</v>
      </c>
      <c r="JS107" s="21">
        <f>EXP(-LN(2)/25)*JS106+(1-EXP(-LN(2)/25))/(LN(2)/25)*Calculateur!JN107*Calculateur!JP107*VLOOKUP('Données projet'!$B$21,Paramètres!$A$1:$I$89,3,0)*0.475*44/12</f>
        <v>15.895382287914364</v>
      </c>
      <c r="JT107" s="21">
        <f>EXP(-LN(2)/2)*JT106+(1-EXP(-LN(2)/2))/(LN(2)/2)*JN107*JQ107*VLOOKUP('Données projet'!$B$21,Paramètres!$A$1:$I$89,3,0)*0.475*44/12</f>
        <v>0.96701444075584775</v>
      </c>
      <c r="JU107" s="18">
        <f t="shared" si="158"/>
        <v>20.611355432395758</v>
      </c>
      <c r="JV107" s="74">
        <f>('Scénario référence'!$F$8+'Scénario référence'!$F$9+'Scénario référence'!$B$17+'Scénario référence'!$B$9+'Scénario référence'!$B$10)*70+IF((45+25*(1-EXP(-0.0175*$A107)))&lt;70,'Scénario référence'!$B$16*(45+25*(1-EXP(-0.0175*$A107))),70*'Scénario référence'!$B$16)+IF((32+38*(1-EXP(-0.0175*$A107)))&lt;70,'Scénario référence'!$B$18*(32+38*(1-EXP(-0.0175*$A107))),70*'Scénario référence'!$B$18)</f>
        <v>70</v>
      </c>
      <c r="JW107" s="12">
        <f>IF($A107&gt;30,10,('Scénario référence'!$B$16+'Scénario référence'!$B$17+'Scénario référence'!$B$18+'Scénario référence'!$B$9+'Scénario référence'!$B$10)*$A107*10/30+('Scénario référence'!$F$8+'Scénario référence'!$F$9)*10)</f>
        <v>10</v>
      </c>
      <c r="JX107" s="12" t="e">
        <f>VLOOKUP($A107,'Données projet'!$A$382:$I$402,2,0)</f>
        <v>#N/A</v>
      </c>
      <c r="JY107" s="12" t="e">
        <f>VLOOKUP($A107,'Données projet'!$A$382:$I$402,9,0)</f>
        <v>#N/A</v>
      </c>
      <c r="JZ107" s="12">
        <f t="array" ref="JZ107">INDEX(JY:JY,MIN(IF(ISNUMBER(JY107:JY303),ROW(JY107:JY303),"")))</f>
        <v>6.9935897435897401</v>
      </c>
      <c r="KA107" s="12">
        <f>IF('Données projet'!$A$382&gt;35,KA106+JZ107-KI106,IF($A107&lt;'Données projet'!$A$382,$CQ$205^$A107,IF($A107='Données projet'!$A$382,'Données projet'!$B$382,KA106+JZ107-KI106)))</f>
        <v>305.1987179487183</v>
      </c>
      <c r="KB107" s="17">
        <f>KA107*VLOOKUP('Données projet'!$B$22,Paramètres!$A$1:$I$89,3,0)*VLOOKUP('Données projet'!$B$22,Paramètres!$A$1:$I$89,5,0)</f>
        <v>204.72730000000021</v>
      </c>
      <c r="KC107" s="13">
        <f t="shared" si="208"/>
        <v>50.781668419404411</v>
      </c>
      <c r="KD107" s="20">
        <f t="shared" si="159"/>
        <v>445.0114533304631</v>
      </c>
      <c r="KE107" s="59">
        <f t="shared" si="160"/>
        <v>738.34478666379641</v>
      </c>
      <c r="KF107" s="59">
        <f ca="1">AVERAGE(OFFSET($KE$3,0,0,'Données projet'!$E$22+1,1))-AVERAGE(OFFSET($H$3,0,0,'Données projet'!$E$22+1,1))</f>
        <v>193.91714772848269</v>
      </c>
      <c r="KG107" s="59">
        <f t="shared" si="209"/>
        <v>159.20429420478047</v>
      </c>
      <c r="KH107" s="15">
        <f>IF(ISNA(VLOOKUP($A107,'Données projet'!$A$382:$I$402,3,0)),0,VLOOKUP($A107,'Données projet'!$A$382:$I$402,3,0))</f>
        <v>0</v>
      </c>
      <c r="KI107" s="15">
        <f>IF(ISNA(VLOOKUP($A107,'Données projet'!$A$382:$I$402,4,0)),0,VLOOKUP($A107,'Données projet'!$A$382:$I$402,4,0))</f>
        <v>0</v>
      </c>
      <c r="KJ107" s="16">
        <f>IF(ISNA(VLOOKUP($A107,'Données projet'!$A$382:$I$402,5,0)),0%,VLOOKUP($A107,'Données projet'!$A$382:$I$402,5,0)*VLOOKUP('Données projet'!$B$22,Paramètres!$A$1:$I$89,7,0))</f>
        <v>0</v>
      </c>
      <c r="KK107" s="16">
        <f>IF(ISNA(VLOOKUP($A107,'Données projet'!$A$382:$I$402,6,0)),0%,VLOOKUP($A107,'Données projet'!$A$382:$I$402,6,0)*VLOOKUP('Données projet'!$B$22,Paramètres!$A$1:$I$89,7,0))</f>
        <v>0</v>
      </c>
      <c r="KL107" s="16">
        <f>IF(ISNA(VLOOKUP($A107,'Données projet'!$A$382:$I$402,7,0)),0%,VLOOKUP($A107,'Données projet'!$A$382:$I$402,7,0))</f>
        <v>0</v>
      </c>
      <c r="KM107" s="21">
        <f>EXP(-LN(2)/35)*KM106+(1-EXP(-LN(2)/35))/(LN(2)/35)*KI107*KJ107*VLOOKUP('Données projet'!$B$22,Paramètres!$A$1:$I$89,3,0)*0.475*44/12</f>
        <v>40.674114699877826</v>
      </c>
      <c r="KN107" s="21">
        <f>EXP(-LN(2)/25)*KN106+(1-EXP(-LN(2)/25))/(LN(2)/25)*Calculateur!KI107*Calculateur!KK107*VLOOKUP('Données projet'!$B$22,Paramètres!$A$1:$I$89,3,0)*0.475*44/12</f>
        <v>0</v>
      </c>
      <c r="KO107" s="21">
        <f>EXP(-LN(2)/2)*KO106+(1-EXP(-LN(2)/2))/(LN(2)/2)*KI107*KL107*VLOOKUP('Données projet'!$B$22,Paramètres!$A$1:$I$89,3,0)*0.475*44/12</f>
        <v>0</v>
      </c>
      <c r="KP107" s="22">
        <f t="shared" si="161"/>
        <v>40.674114699877826</v>
      </c>
      <c r="KQ107" s="74">
        <f>('Scénario référence'!$F$8+'Scénario référence'!$F$9+'Scénario référence'!$B$17+'Scénario référence'!$B$9+'Scénario référence'!$B$10)*70+IF((45+25*(1-EXP(-0.0175*$A107)))&lt;70,'Scénario référence'!$B$16*(45+25*(1-EXP(-0.0175*$A107))),70*'Scénario référence'!$B$16)+IF((32+38*(1-EXP(-0.0175*$A107)))&lt;70,'Scénario référence'!$B$18*(32+38*(1-EXP(-0.0175*$A107))),70*'Scénario référence'!$B$18)</f>
        <v>70</v>
      </c>
      <c r="KR107" s="12">
        <f>IF($A107&gt;30,10,('Scénario référence'!$B$16+'Scénario référence'!$B$17+'Scénario référence'!$B$18+'Scénario référence'!$B$9+'Scénario référence'!$B$10)*$A107*10/30+('Scénario référence'!$F$8+'Scénario référence'!$F$9)*10)</f>
        <v>10</v>
      </c>
      <c r="KS107" s="12" t="e">
        <f>VLOOKUP($A107,'Données projet'!$A$408:$I$428,2,0)</f>
        <v>#N/A</v>
      </c>
      <c r="KT107" s="12" t="e">
        <f>VLOOKUP($A107,'Données projet'!$A$408:$I$428,9,0)</f>
        <v>#N/A</v>
      </c>
      <c r="KU107" s="12">
        <f t="array" ref="KU107">INDEX(KT:KT,MIN(IF(ISNUMBER(KT107:KT303),ROW(KT107:KT303),"")))</f>
        <v>0</v>
      </c>
      <c r="KV107" s="12">
        <f>IF('Données projet'!$A$408&gt;35,KV106+KU107-LD106,IF($A107&lt;'Données projet'!$A$408,$CQ$205^$A107,IF($A107='Données projet'!$A$408,'Données projet'!$B$408,KV106+KU107-LD106)))</f>
        <v>-1.1368683772161603E-13</v>
      </c>
      <c r="KW107" s="17">
        <f>KV107*VLOOKUP('Données projet'!$B$23,Paramètres!$A$1:$I$89,3,0)*VLOOKUP('Données projet'!$B$23,Paramètres!$A$1:$I$89,5,0)</f>
        <v>-9.9316821433603781E-14</v>
      </c>
      <c r="KX107" s="13" t="e">
        <f t="shared" si="210"/>
        <v>#NUM!</v>
      </c>
      <c r="KY107" s="14" t="e">
        <f t="shared" si="162"/>
        <v>#NUM!</v>
      </c>
      <c r="KZ107" s="59" t="e">
        <f t="shared" si="163"/>
        <v>#NUM!</v>
      </c>
      <c r="LA107" s="59">
        <f ca="1">AVERAGE(OFFSET($KZ$3,0,0,'Données projet'!$E$23+1,1))-AVERAGE(OFFSET($H$3,0,0,'Données projet'!$E$23+1,1))</f>
        <v>248.33596943633819</v>
      </c>
      <c r="LB107" s="59">
        <f t="shared" si="211"/>
        <v>242.34010522344573</v>
      </c>
      <c r="LC107" s="15">
        <f>IF(ISNA(VLOOKUP($A107,'Données projet'!$A$408:$I$428,3,0)),0,VLOOKUP($A107,'Données projet'!$A$408:$I$428,3,0))</f>
        <v>0</v>
      </c>
      <c r="LD107" s="15">
        <f>IF(ISNA(VLOOKUP($A107,'Données projet'!$A$408:$I$428,4,0)),0,VLOOKUP($A107,'Données projet'!$A$408:$I$428,4,0))</f>
        <v>0</v>
      </c>
      <c r="LE107" s="16">
        <f>IF(ISNA(VLOOKUP($A107,'Données projet'!$A$408:$I$428,5,0)),0%,VLOOKUP($A107,'Données projet'!$A$408:$I$428,5,0)*VLOOKUP('Données projet'!$B$23,Paramètres!$A$1:$I$89,7,0))</f>
        <v>0</v>
      </c>
      <c r="LF107" s="16">
        <f>IF(ISNA(VLOOKUP($A107,'Données projet'!$A$408:$I$428,6,0)),0%,VLOOKUP($A107,'Données projet'!$A$408:$I$428,6,0)*VLOOKUP('Données projet'!$B$23,Paramètres!$A$1:$I$89,7,0))</f>
        <v>0</v>
      </c>
      <c r="LG107" s="16">
        <f>IF(ISNA(VLOOKUP($A107,'Données projet'!$A$408:$I$428,7,0)),0%,VLOOKUP($A107,'Données projet'!$A$408:$I$428,7,0))</f>
        <v>0</v>
      </c>
      <c r="LH107" s="21">
        <f>EXP(-LN(2)/35)*LH106+(1-EXP(-LN(2)/35))/(LN(2)/35)*LD107*LE107*VLOOKUP('Données projet'!$B$23,Paramètres!$A$1:$I$89,3,0)*0.475*44/12</f>
        <v>76.60587093189487</v>
      </c>
      <c r="LI107" s="21">
        <f>EXP(-LN(2)/25)*LI106+(1-EXP(-LN(2)/25))/(LN(2)/25)*Calculateur!LD107*Calculateur!LF107*VLOOKUP('Données projet'!$B$23,Paramètres!$A$1:$I$89,3,0)*0.475*44/12</f>
        <v>11.194673193707295</v>
      </c>
      <c r="LJ107" s="21">
        <f>EXP(-LN(2)/2)*LJ106+(1-EXP(-LN(2)/2))/(LN(2)/2)*LD107*LG107*VLOOKUP('Données projet'!$B$23,Paramètres!$A$1:$I$89,3,0)*0.475*44/12</f>
        <v>0</v>
      </c>
      <c r="LK107" s="22">
        <f t="shared" si="164"/>
        <v>87.800544125602158</v>
      </c>
      <c r="LL107" s="74">
        <f>('Scénario référence'!$F$8+'Scénario référence'!$F$9+'Scénario référence'!$B$17+'Scénario référence'!$B$9+'Scénario référence'!$B$10)*70+IF((45+25*(1-EXP(-0.0175*$A107)))&lt;70,'Scénario référence'!$B$16*(45+25*(1-EXP(-0.0175*$A107))),70*'Scénario référence'!$B$16)+IF((32+38*(1-EXP(-0.0175*$A107)))&lt;70,'Scénario référence'!$B$18*(32+38*(1-EXP(-0.0175*$A107))),70*'Scénario référence'!$B$18)</f>
        <v>70</v>
      </c>
      <c r="LM107" s="12">
        <f>IF($A107&gt;30,10,('Scénario référence'!$B$16+'Scénario référence'!$B$17+'Scénario référence'!$B$18+'Scénario référence'!$B$9+'Scénario référence'!$B$10)*$A107*10/30+('Scénario référence'!$F$8+'Scénario référence'!$F$9)*10)</f>
        <v>10</v>
      </c>
      <c r="LN107" s="12" t="e">
        <f>VLOOKUP($A107,'Données projet'!$A$434:$I$454,2,0)</f>
        <v>#N/A</v>
      </c>
      <c r="LO107" s="12" t="e">
        <f>VLOOKUP($A107,'Données projet'!$A$434:$I$454,9,0)</f>
        <v>#N/A</v>
      </c>
      <c r="LP107" s="12">
        <f t="array" ref="LP107">INDEX(LO:LO,MIN(IF(ISNUMBER(LO107:LO303),ROW(LO107:LO303),"")))</f>
        <v>5.0961538461538449</v>
      </c>
      <c r="LQ107" s="12">
        <f>IF('Données projet'!$A$434&gt;35,LQ106+LP107-LY106,IF($A107&lt;'Données projet'!$A$434,$CQ$205^$A107,IF($A107='Données projet'!$A$434,'Données projet'!$B$434,LQ106+LP107-LY106)))</f>
        <v>200.3525641025638</v>
      </c>
      <c r="LR107" s="17">
        <f>LQ107*VLOOKUP('Données projet'!$B$24,Paramètres!$A$1:$I$89,3,0)*VLOOKUP('Données projet'!$B$24,Paramètres!$A$1:$I$89,5,0)</f>
        <v>203.15749999999971</v>
      </c>
      <c r="LS107" s="13">
        <f t="shared" si="212"/>
        <v>50.437456773365234</v>
      </c>
      <c r="LT107" s="14">
        <f t="shared" si="165"/>
        <v>441.67788304694392</v>
      </c>
      <c r="LU107" s="59">
        <f t="shared" si="166"/>
        <v>735.01121638027723</v>
      </c>
      <c r="LV107" s="59">
        <f ca="1">AVERAGE(OFFSET($LU$3,0,0,'Données projet'!$E$24+1,1))-AVERAGE(OFFSET($H$3,0,0,'Données projet'!$E$24+1,1))</f>
        <v>260.52627655062872</v>
      </c>
      <c r="LW107" s="59">
        <f t="shared" si="213"/>
        <v>159.20429420478047</v>
      </c>
      <c r="LX107" s="15">
        <f>IF(ISNA(VLOOKUP($A107,'Données projet'!$A$434:$I$454,3,0)),0,VLOOKUP($A107,'Données projet'!$A$434:$I$454,3,0))</f>
        <v>0</v>
      </c>
      <c r="LY107" s="15">
        <f>IF(ISNA(VLOOKUP($A107,'Données projet'!$A$434:$I$454,4,0)),0,VLOOKUP($A107,'Données projet'!$A$434:$I$454,4,0))</f>
        <v>0</v>
      </c>
      <c r="LZ107" s="16">
        <f>IF(ISNA(VLOOKUP($A107,'Données projet'!$A$434:$I$454,5,0)),0%,VLOOKUP($A107,'Données projet'!$A$434:$I$454,5,0)*VLOOKUP('Données projet'!$B$24,Paramètres!$A$1:$I$89,7,0))</f>
        <v>0</v>
      </c>
      <c r="MA107" s="16">
        <f>IF(ISNA(VLOOKUP($A107,'Données projet'!$A$434:$I$454,6,0)),0%,VLOOKUP($A107,'Données projet'!$A$434:$I$454,6,0)*VLOOKUP('Données projet'!$B$24,Paramètres!$A$1:$I$89,7,0))</f>
        <v>0</v>
      </c>
      <c r="MB107" s="16">
        <f>IF(ISNA(VLOOKUP($A107,'Données projet'!$A$434:$I$454,7,0)),0%,VLOOKUP($A107,'Données projet'!$A$434:$I$454,7,0))</f>
        <v>0</v>
      </c>
      <c r="MC107" s="21">
        <f>EXP(-LN(2)/35)*MC106+(1-EXP(-LN(2)/35))/(LN(2)/35)*LY107*LZ107*VLOOKUP('Données projet'!$B$24,Paramètres!$A$1:$I$89,3,0)*0.475*44/12</f>
        <v>35.073450169258756</v>
      </c>
      <c r="MD107" s="21">
        <f>EXP(-LN(2)/25)*MD106+(1-EXP(-LN(2)/25))/(LN(2)/25)*Calculateur!LY107*Calculateur!MA107*VLOOKUP('Données projet'!$B$24,Paramètres!$A$1:$I$89,3,0)*0.475*44/12</f>
        <v>0</v>
      </c>
      <c r="ME107" s="21">
        <f>EXP(-LN(2)/2)*ME106+(1-EXP(-LN(2)/2))/(LN(2)/2)*LY107*MB107*VLOOKUP('Données projet'!$B$24,Paramètres!$A$1:$I$89,3,0)*0.475*44/12</f>
        <v>0</v>
      </c>
      <c r="MF107" s="22">
        <f t="shared" si="167"/>
        <v>35.073450169258756</v>
      </c>
      <c r="MG107" s="74">
        <f>('Scénario référence'!$F$8+'Scénario référence'!$F$9+'Scénario référence'!$B$17+'Scénario référence'!$B$9+'Scénario référence'!$B$10)*70+IF((45+25*(1-EXP(-0.0175*$A107)))&lt;70,'Scénario référence'!$B$16*(45+25*(1-EXP(-0.0175*$A107))),70*'Scénario référence'!$B$16)+IF((32+38*(1-EXP(-0.0175*$A107)))&lt;70,'Scénario référence'!$B$18*(32+38*(1-EXP(-0.0175*$A107))),70*'Scénario référence'!$B$18)</f>
        <v>70</v>
      </c>
      <c r="MH107" s="12">
        <f>IF($A107&gt;30,10,('Scénario référence'!$B$16+'Scénario référence'!$B$17+'Scénario référence'!$B$18+'Scénario référence'!$B$9+'Scénario référence'!$B$10)*$A107*10/30+('Scénario référence'!$F$8+'Scénario référence'!$F$9)*10)</f>
        <v>10</v>
      </c>
      <c r="MI107" s="12" t="e">
        <f>VLOOKUP($A107,'Données projet'!$A$460:$I$480,2,0)</f>
        <v>#N/A</v>
      </c>
      <c r="MJ107" s="12" t="e">
        <f>VLOOKUP($A107,'Données projet'!$A$460:$I$480,9,0)</f>
        <v>#N/A</v>
      </c>
      <c r="MK107" s="12">
        <f t="array" ref="MK107">INDEX(MJ:MJ,MIN(IF(ISNUMBER(MJ107:MJ303),ROW(MJ107:MJ303),"")))</f>
        <v>0</v>
      </c>
      <c r="ML107" s="12">
        <f>IF('Données projet'!$A$460&gt;35,ML106+MK107-MT106,IF($A107&lt;'Données projet'!$A$460,$CQ$205^$A107,IF($A107='Données projet'!$A$460,'Données projet'!$B$460,ML106+MK107-MT106)))</f>
        <v>0</v>
      </c>
      <c r="MM107" s="17" t="e">
        <f>ML107*VLOOKUP('Données projet'!$B$25,Paramètres!$A$1:$I$89,3,0)*VLOOKUP('Données projet'!$B$25,Paramètres!$A$1:$I$89,5,0)</f>
        <v>#N/A</v>
      </c>
      <c r="MN107" s="13" t="e">
        <f t="shared" si="214"/>
        <v>#N/A</v>
      </c>
      <c r="MO107" s="14" t="e">
        <f t="shared" si="168"/>
        <v>#N/A</v>
      </c>
      <c r="MP107" s="59" t="e">
        <f t="shared" si="169"/>
        <v>#N/A</v>
      </c>
      <c r="MQ107" s="20" t="e">
        <f ca="1">AVERAGE(OFFSET($MP$3,0,0,'Données projet'!$E$25+1,1))-AVERAGE(OFFSET($H$3,0,0,'Données projet'!$E$25+1,1))</f>
        <v>#N/A</v>
      </c>
      <c r="MR107" s="59" t="e">
        <f t="shared" si="215"/>
        <v>#N/A</v>
      </c>
      <c r="MS107" s="15">
        <f>IF(ISNA(VLOOKUP($A107,'Données projet'!$A$460:$I$480,3,0)),0,VLOOKUP($A107,'Données projet'!$A$460:$I$480,3,0))</f>
        <v>0</v>
      </c>
      <c r="MT107" s="15">
        <f>IF(ISNA(VLOOKUP($A107,'Données projet'!$A$460:$I$480,4,0)),0,VLOOKUP($A107,'Données projet'!$A$460:$I$480,4,0))</f>
        <v>0</v>
      </c>
      <c r="MU107" s="16">
        <f>IF(ISNA(VLOOKUP($A107,'Données projet'!$A$460:$I$480,5,0)),0%,VLOOKUP($A107,'Données projet'!$A$460:$I$480,5,0)*VLOOKUP('Données projet'!$B$25,Paramètres!$A$1:$I$89,7,0))</f>
        <v>0</v>
      </c>
      <c r="MV107" s="16">
        <f>IF(ISNA(VLOOKUP($A107,'Données projet'!$A$460:$I$480,6,0)),0%,VLOOKUP($A107,'Données projet'!$A$460:$I$480,6,0)*VLOOKUP('Données projet'!$B$25,Paramètres!$A$1:$I$89,7,0))</f>
        <v>0</v>
      </c>
      <c r="MW107" s="16">
        <f>IF(ISNA(VLOOKUP($A107,'Données projet'!$A$460:$I$480,7,0)),0%,VLOOKUP($A107,'Données projet'!$A$460:$I$480,7,0))</f>
        <v>0</v>
      </c>
      <c r="MX107" s="21" t="e">
        <f>EXP(-LN(2)/35)*MX106+(1-EXP(-LN(2)/35))/(LN(2)/35)*MT107*MU107*VLOOKUP('Données projet'!$B$25,Paramètres!$A$1:$I$89,3,0)*0.475*44/12</f>
        <v>#N/A</v>
      </c>
      <c r="MY107" s="21" t="e">
        <f>EXP(-LN(2)/25)*MY106+(1-EXP(-LN(2)/25))/(LN(2)/25)*Calculateur!MT107*Calculateur!MV107*VLOOKUP('Données projet'!$B$25,Paramètres!$A$1:$I$89,3,0)*0.475*44/12</f>
        <v>#N/A</v>
      </c>
      <c r="MZ107" s="21" t="e">
        <f>EXP(-LN(2)/2)*MZ106+(1-EXP(-LN(2)/2))/(LN(2)/2)*MT107*MW107*VLOOKUP('Données projet'!$B$25,Paramètres!$A$1:$I$89,3,0)*0.475*44/12</f>
        <v>#N/A</v>
      </c>
      <c r="NA107" s="22" t="e">
        <f t="shared" si="170"/>
        <v>#N/A</v>
      </c>
      <c r="NB107" s="74">
        <f>('Scénario référence'!$F$8+'Scénario référence'!$F$9+'Scénario référence'!$B$17+'Scénario référence'!$B$9+'Scénario référence'!$B$10)*70+IF((45+25*(1-EXP(-0.0175*$A107)))&lt;70,'Scénario référence'!$B$16*(45+25*(1-EXP(-0.0175*$A107))),70*'Scénario référence'!$B$16)+IF((32+38*(1-EXP(-0.0175*$A107)))&lt;70,'Scénario référence'!$B$18*(32+38*(1-EXP(-0.0175*$A107))),70*'Scénario référence'!$B$18)</f>
        <v>70</v>
      </c>
      <c r="NC107" s="12">
        <f>IF($A107&gt;30,10,('Scénario référence'!$B$16+'Scénario référence'!$B$17+'Scénario référence'!$B$18+'Scénario référence'!$B$9+'Scénario référence'!$B$10)*$A107*10/30+('Scénario référence'!$F$8+'Scénario référence'!$F$9)*10)</f>
        <v>10</v>
      </c>
      <c r="ND107" s="12" t="e">
        <f>VLOOKUP($A107,'Données projet'!$A$486:$I$506,2,0)</f>
        <v>#N/A</v>
      </c>
      <c r="NE107" s="12" t="e">
        <f>VLOOKUP($A107,'Données projet'!$A$486:$I$506,9,0)</f>
        <v>#N/A</v>
      </c>
      <c r="NF107" s="12">
        <f t="array" ref="NF107">INDEX(NE:NE,MIN(IF(ISNUMBER(NE107:NE303),ROW(NE107:NE303),"")))</f>
        <v>0</v>
      </c>
      <c r="NG107" s="12">
        <f>IF('Données projet'!$A$486&gt;35,NG106+NF107-NO106,IF($A107&lt;'Données projet'!$A$486,$CQ$205^$A107,IF($A107='Données projet'!$A$486,'Données projet'!$B$486,NG106+NF107-NO106)))</f>
        <v>0</v>
      </c>
      <c r="NH107" s="17" t="e">
        <f>NG107*VLOOKUP('Données projet'!$B$26,Paramètres!$A$1:$I$89,3,0)*VLOOKUP('Données projet'!$B$26,Paramètres!$A$1:$I$89,5,0)</f>
        <v>#N/A</v>
      </c>
      <c r="NI107" s="13" t="e">
        <f t="shared" si="216"/>
        <v>#N/A</v>
      </c>
      <c r="NJ107" s="14" t="e">
        <f t="shared" si="171"/>
        <v>#N/A</v>
      </c>
      <c r="NK107" s="59" t="e">
        <f t="shared" si="172"/>
        <v>#N/A</v>
      </c>
      <c r="NL107" s="20" t="e">
        <f ca="1">AVERAGE(OFFSET($NK$3,0,0,'Données projet'!$E$26+1,1))-AVERAGE(OFFSET($H$3,0,0,'Données projet'!$E$26+1,1))</f>
        <v>#N/A</v>
      </c>
      <c r="NM107" s="59" t="e">
        <f t="shared" si="217"/>
        <v>#N/A</v>
      </c>
      <c r="NN107" s="15">
        <f>IF(ISNA(VLOOKUP($A107,'Données projet'!$A$486:$I$506,3,0)),0,VLOOKUP($A107,'Données projet'!$A$486:$I$506,3,0))</f>
        <v>0</v>
      </c>
      <c r="NO107" s="15">
        <f>IF(ISNA(VLOOKUP($A107,'Données projet'!$A$486:$I$506,4,0)),0,VLOOKUP($A107,'Données projet'!$A$486:$I$506,4,0))</f>
        <v>0</v>
      </c>
      <c r="NP107" s="16">
        <f>IF(ISNA(VLOOKUP($A107,'Données projet'!$A$486:$I$506,5,0)),0%,VLOOKUP($A107,'Données projet'!$A$486:$I$506,5,0)*VLOOKUP('Données projet'!$B$26,Paramètres!$A$1:$I$89,7,0))</f>
        <v>0</v>
      </c>
      <c r="NQ107" s="16">
        <f>IF(ISNA(VLOOKUP($A107,'Données projet'!$A$486:$I$506,6,0)),0%,VLOOKUP($A107,'Données projet'!$A$486:$I$506,6,0)*VLOOKUP('Données projet'!$B$26,Paramètres!$A$1:$I$89,7,0))</f>
        <v>0</v>
      </c>
      <c r="NR107" s="16">
        <f>IF(ISNA(VLOOKUP($A107,'Données projet'!$A$486:$I$506,7,0)),0%,VLOOKUP($A107,'Données projet'!$A$486:$I$506,7,0))</f>
        <v>0</v>
      </c>
      <c r="NS107" s="21" t="e">
        <f>EXP(-LN(2)/35)*NS106+(1-EXP(-LN(2)/35))/(LN(2)/35)*NO107*NP107*VLOOKUP('Données projet'!$B$26,Paramètres!$A$1:$I$89,3,0)*0.475*44/12</f>
        <v>#N/A</v>
      </c>
      <c r="NT107" s="21" t="e">
        <f>EXP(-LN(2)/25)*NT106+(1-EXP(-LN(2)/25))/(LN(2)/25)*Calculateur!NO107*Calculateur!NQ107*VLOOKUP('Données projet'!$B$26,Paramètres!$A$1:$I$89,3,0)*0.475*44/12</f>
        <v>#N/A</v>
      </c>
      <c r="NU107" s="21" t="e">
        <f>EXP(-LN(2)/2)*NU106+(1-EXP(-LN(2)/2))/(LN(2)/2)*NO107*NR107*VLOOKUP('Données projet'!$B$26,Paramètres!$A$1:$I$89,3,0)*0.475*44/12</f>
        <v>#N/A</v>
      </c>
      <c r="NV107" s="22" t="e">
        <f t="shared" si="173"/>
        <v>#N/A</v>
      </c>
      <c r="NW107" s="74">
        <f>('Scénario référence'!$F$8+'Scénario référence'!$F$9+'Scénario référence'!$B$17+'Scénario référence'!$B$9+'Scénario référence'!$B$10)*70+IF((45+25*(1-EXP(-0.0175*$A107)))&lt;70,'Scénario référence'!$B$16*(45+25*(1-EXP(-0.0175*$A107))),70*'Scénario référence'!$B$16)+IF((32+38*(1-EXP(-0.0175*$A107)))&lt;70,'Scénario référence'!$B$18*(32+38*(1-EXP(-0.0175*$A107))),70*'Scénario référence'!$B$18)</f>
        <v>70</v>
      </c>
      <c r="NX107" s="12">
        <f>IF($A107&gt;30,10,('Scénario référence'!$B$16+'Scénario référence'!$B$17+'Scénario référence'!$B$18+'Scénario référence'!$B$9+'Scénario référence'!$B$10)*$A107*10/30+('Scénario référence'!$F$8+'Scénario référence'!$F$9)*10)</f>
        <v>10</v>
      </c>
      <c r="NY107" s="12" t="e">
        <f>VLOOKUP($A107,'Données projet'!$A$512:$I$532,2,0)</f>
        <v>#N/A</v>
      </c>
      <c r="NZ107" s="12" t="e">
        <f>VLOOKUP($A107,'Données projet'!$A$512:$I$532,9,0)</f>
        <v>#N/A</v>
      </c>
      <c r="OA107" s="12">
        <f t="array" ref="OA107">INDEX(NZ:NZ,MIN(IF(ISNUMBER(NZ107:NZ303),ROW(NZ107:NZ303),"")))</f>
        <v>0</v>
      </c>
      <c r="OB107" s="12">
        <f>IF('Données projet'!$A$512&gt;35,OB106+OA107-OJ106,IF($A107&lt;'Données projet'!$A$512,$CQ$205^$A107,IF($A107='Données projet'!$A$512,'Données projet'!$B$512,OB106+OA107-OJ106)))</f>
        <v>0</v>
      </c>
      <c r="OC107" s="17" t="e">
        <f>OB107*VLOOKUP('Données projet'!$B$27,Paramètres!$A$1:$I$89,3,0)*VLOOKUP('Données projet'!$B$27,Paramètres!$A$1:$I$89,5,0)</f>
        <v>#N/A</v>
      </c>
      <c r="OD107" s="13" t="e">
        <f t="shared" si="218"/>
        <v>#N/A</v>
      </c>
      <c r="OE107" s="14" t="e">
        <f t="shared" si="174"/>
        <v>#N/A</v>
      </c>
      <c r="OF107" s="59" t="e">
        <f t="shared" si="175"/>
        <v>#N/A</v>
      </c>
      <c r="OG107" s="20" t="e">
        <f ca="1">AVERAGE(OFFSET($OF$3,0,0,'Données projet'!$E$27+1,1))-AVERAGE(OFFSET($H$3,0,0,'Données projet'!$E$27+1,1))</f>
        <v>#N/A</v>
      </c>
      <c r="OH107" s="59" t="e">
        <f t="shared" si="219"/>
        <v>#N/A</v>
      </c>
      <c r="OI107" s="15">
        <f>IF(ISNA(VLOOKUP($A107,'Données projet'!$A$512:$I$532,3,0)),0,VLOOKUP($A107,'Données projet'!$A$512:$I$532,3,0))</f>
        <v>0</v>
      </c>
      <c r="OJ107" s="15">
        <f>IF(ISNA(VLOOKUP($A107,'Données projet'!$A$512:$I$532,4,0)),0,VLOOKUP($A107,'Données projet'!$A$512:$I$532,4,0))</f>
        <v>0</v>
      </c>
      <c r="OK107" s="16">
        <f>IF(ISNA(VLOOKUP($A107,'Données projet'!$A$512:$I$532,5,0)),0%,VLOOKUP($A107,'Données projet'!$A$512:$I$532,5,0)*VLOOKUP('Données projet'!$B$27,Paramètres!$A$1:$I$89,7,0))</f>
        <v>0</v>
      </c>
      <c r="OL107" s="16">
        <f>IF(ISNA(VLOOKUP($A107,'Données projet'!$A$512:$I$532,6,0)),0%,VLOOKUP($A107,'Données projet'!$A$512:$I$532,6,0)*VLOOKUP('Données projet'!$B$27,Paramètres!$A$1:$I$89,7,0))</f>
        <v>0</v>
      </c>
      <c r="OM107" s="16">
        <f>IF(ISNA(VLOOKUP($A107,'Données projet'!$A$512:$I$532,7,0)),0%,VLOOKUP($A107,'Données projet'!$A$512:$I$532,7,0))</f>
        <v>0</v>
      </c>
      <c r="ON107" s="21" t="e">
        <f>EXP(-LN(2)/35)*ON106+(1-EXP(-LN(2)/35))/(LN(2)/35)*OJ107*OK107*VLOOKUP('Données projet'!$B$27,Paramètres!$A$1:$I$89,3,0)*0.475*44/12</f>
        <v>#N/A</v>
      </c>
      <c r="OO107" s="21" t="e">
        <f>EXP(-LN(2)/25)*OO106+(1-EXP(-LN(2)/25))/(LN(2)/25)*Calculateur!OJ107*Calculateur!OL107*VLOOKUP('Données projet'!$B$27,Paramètres!$A$1:$I$89,3,0)*0.475*44/12</f>
        <v>#N/A</v>
      </c>
      <c r="OP107" s="21" t="e">
        <f>EXP(-LN(2)/2)*OP106+(1-EXP(-LN(2)/2))/(LN(2)/2)*OJ107*OM107*VLOOKUP('Données projet'!$B$27,Paramètres!$A$1:$I$89,3,0)*0.475*44/12</f>
        <v>#N/A</v>
      </c>
      <c r="OQ107" s="22" t="e">
        <f t="shared" si="176"/>
        <v>#N/A</v>
      </c>
      <c r="OR107" s="74">
        <f>('Scénario référence'!$F$8+'Scénario référence'!$F$9+'Scénario référence'!$B$17+'Scénario référence'!$B$9+'Scénario référence'!$B$10)*70+IF((45+25*(1-EXP(-0.0175*$A107)))&lt;70,'Scénario référence'!$B$16*(45+25*(1-EXP(-0.0175*$A107))),70*'Scénario référence'!$B$16)+IF((32+38*(1-EXP(-0.0175*$A107)))&lt;70,'Scénario référence'!$B$18*(32+38*(1-EXP(-0.0175*$A107))),70*'Scénario référence'!$B$18)</f>
        <v>70</v>
      </c>
      <c r="OS107" s="12">
        <f>IF($A107&gt;30,10,('Scénario référence'!$B$16+'Scénario référence'!$B$17+'Scénario référence'!$B$18+'Scénario référence'!$B$9+'Scénario référence'!$B$10)*$A107*10/30+('Scénario référence'!$F$8+'Scénario référence'!$F$9)*10)</f>
        <v>10</v>
      </c>
      <c r="OT107" s="12" t="e">
        <f>VLOOKUP($A107,'Données projet'!$A$538:$I$558,2,0)</f>
        <v>#N/A</v>
      </c>
      <c r="OU107" s="12" t="e">
        <f>VLOOKUP($A107,'Données projet'!$A$538:$I$558,9,0)</f>
        <v>#N/A</v>
      </c>
      <c r="OV107" s="12">
        <f t="array" ref="OV107">INDEX(OU:OU,MIN(IF(ISNUMBER(OU107:OU303),ROW(OU107:OU303),"")))</f>
        <v>0</v>
      </c>
      <c r="OW107" s="12">
        <f>IF('Données projet'!$A$538&gt;35,OW106+OV107-PE106,IF($A107&lt;'Données projet'!$A$538,$CQ$205^$A107,IF($A107='Données projet'!$A$538,'Données projet'!$B$538,OW106+OV107-PE106)))</f>
        <v>0</v>
      </c>
      <c r="OX107" s="17" t="e">
        <f>OW107*VLOOKUP('Données projet'!$B$28,Paramètres!$A$1:$I$89,3,0)*VLOOKUP('Données projet'!$B$28,Paramètres!$A$1:$I$89,5,0)</f>
        <v>#N/A</v>
      </c>
      <c r="OY107" s="13" t="e">
        <f t="shared" si="220"/>
        <v>#N/A</v>
      </c>
      <c r="OZ107" s="14" t="e">
        <f t="shared" si="177"/>
        <v>#N/A</v>
      </c>
      <c r="PA107" s="59" t="e">
        <f t="shared" si="178"/>
        <v>#N/A</v>
      </c>
      <c r="PB107" s="20" t="e">
        <f ca="1">AVERAGE(OFFSET($PA$3,0,0,'Données projet'!$E$28+1,1))-AVERAGE(OFFSET($H$3,0,0,'Données projet'!$E$28+1,1))</f>
        <v>#N/A</v>
      </c>
      <c r="PC107" s="59" t="e">
        <f t="shared" si="221"/>
        <v>#N/A</v>
      </c>
      <c r="PD107" s="15">
        <f>IF(ISNA(VLOOKUP($A107,'Données projet'!$A$538:$I$558,3,0)),0,VLOOKUP($A107,'Données projet'!$A$538:$I$558,3,0))</f>
        <v>0</v>
      </c>
      <c r="PE107" s="15">
        <f>IF(ISNA(VLOOKUP($A107,'Données projet'!$A$538:$I$558,4,0)),0,VLOOKUP($A107,'Données projet'!$A$538:$I$558,4,0))</f>
        <v>0</v>
      </c>
      <c r="PF107" s="16">
        <f>IF(ISNA(VLOOKUP($A107,'Données projet'!$A$538:$I$558,5,0)),0%,VLOOKUP($A107,'Données projet'!$A$538:$I$558,5,0)*VLOOKUP('Données projet'!$B$28,Paramètres!$A$1:$I$89,7,0))</f>
        <v>0</v>
      </c>
      <c r="PG107" s="16">
        <f>IF(ISNA(VLOOKUP($A107,'Données projet'!$A$538:$I$558,6,0)),0%,VLOOKUP($A107,'Données projet'!$A$538:$I$558,6,0)*VLOOKUP('Données projet'!$B$28,Paramètres!$A$1:$I$89,7,0))</f>
        <v>0</v>
      </c>
      <c r="PH107" s="16">
        <f>IF(ISNA(VLOOKUP($A107,'Données projet'!$A$538:$I$558,7,0)),0%,VLOOKUP($A107,'Données projet'!$A$538:$I$558,7,0))</f>
        <v>0</v>
      </c>
      <c r="PI107" s="21" t="e">
        <f>EXP(-LN(2)/35)*PI106+(1-EXP(-LN(2)/35))/(LN(2)/35)*PE107*PF107*VLOOKUP('Données projet'!$B$28,Paramètres!$A$1:$I$89,3,0)*0.475*44/12</f>
        <v>#N/A</v>
      </c>
      <c r="PJ107" s="21" t="e">
        <f>EXP(-LN(2)/25)*PJ106+(1-EXP(-LN(2)/25))/(LN(2)/25)*Calculateur!PE107*Calculateur!PG107*VLOOKUP('Données projet'!$B$28,Paramètres!$A$1:$I$89,3,0)*0.475*44/12</f>
        <v>#N/A</v>
      </c>
      <c r="PK107" s="21" t="e">
        <f>EXP(-LN(2)/2)*PK106+(1-EXP(-LN(2)/2))/(LN(2)/2)*PE107*PH107*VLOOKUP('Données projet'!$B$28,Paramètres!$A$1:$I$89,3,0)*0.475*44/12</f>
        <v>#N/A</v>
      </c>
      <c r="PL107" s="22" t="e">
        <f t="shared" si="179"/>
        <v>#N/A</v>
      </c>
    </row>
    <row r="108" spans="1:428" x14ac:dyDescent="0.35">
      <c r="A108" s="10">
        <f t="shared" si="180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181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121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projet'!$A$45:$I$65,2,0)</f>
        <v>#N/A</v>
      </c>
      <c r="L108" s="12" t="e">
        <f>VLOOKUP(A108,'Données projet'!$A$45:$I$65,9,0)</f>
        <v>#N/A</v>
      </c>
      <c r="M108" s="12">
        <f t="array" ref="M108">INDEX(L:L,MIN(IF(ISNUMBER(L108:L304),ROW(L108:L304),"")))</f>
        <v>0</v>
      </c>
      <c r="N108" s="13">
        <f>IF('Données projet'!$A$46&gt;35,N107+M108-V107,IF(A108&lt;'Données projet'!$A$46,$K$205^A108,IF(A108='Données projet'!$A$46,'Données projet'!$B$46,N107+M108-V107)))</f>
        <v>-1.1368683772161603E-13</v>
      </c>
      <c r="O108" s="13">
        <f>N108*VLOOKUP('Données projet'!$B$9,Paramètres!$A$1:$I$89,3,0)*VLOOKUP('Données projet'!$B$9,Paramètres!$A$1:$I$89,5,0)</f>
        <v>-6.3550942286383367E-14</v>
      </c>
      <c r="P108" s="13" t="e">
        <f t="shared" si="182"/>
        <v>#NUM!</v>
      </c>
      <c r="Q108" s="20" t="e">
        <f t="shared" si="222"/>
        <v>#NUM!</v>
      </c>
      <c r="R108" s="59" t="e">
        <f t="shared" si="120"/>
        <v>#NUM!</v>
      </c>
      <c r="S108" s="59">
        <f ca="1">AVERAGE(OFFSET($R$3,0,0,'Données projet'!$E$9+1,1))-AVERAGE(OFFSET($H$3,0,0,'Données projet'!$E$9+1,1))</f>
        <v>274.57619581652199</v>
      </c>
      <c r="T108" s="59">
        <f t="shared" si="183"/>
        <v>366.15117322598775</v>
      </c>
      <c r="U108" s="15">
        <f>IF(ISNA(VLOOKUP(A108,'Données projet'!$A$45:$I$65,3,0)),0,VLOOKUP(A108,'Données projet'!$A$45:$I$65,3,0))</f>
        <v>0</v>
      </c>
      <c r="V108" s="15">
        <f>IF(ISNA(VLOOKUP(A108,'Données projet'!$A$45:$I$65,4,0)),0,VLOOKUP(A108,'Données projet'!$A$45:$I$65,4,0))</f>
        <v>0</v>
      </c>
      <c r="W108" s="16">
        <f>IF(ISNA(VLOOKUP(A108,'Données projet'!$A$45:$I$65,5,0)),0%,VLOOKUP(A108,'Données projet'!$A$45:$I$65,5,0)*VLOOKUP('Données projet'!$B$9,Paramètres!$A$1:$I$89,7,0))</f>
        <v>0</v>
      </c>
      <c r="X108" s="16">
        <f>IF(ISNA(VLOOKUP(A108,'Données projet'!$A$45:$I$65,6,0)),0%,VLOOKUP(A108,'Données projet'!$A$45:$I$65,6,0)*VLOOKUP('Données projet'!$B$9,Paramètres!$A$1:$I$89,7,0))</f>
        <v>0</v>
      </c>
      <c r="Y108" s="16">
        <f>IF(ISNA(VLOOKUP(A108,'Données projet'!$A$45:$I$65,7,0)),0%,VLOOKUP(A108,'Données projet'!$A$45:$I$65,7,0))</f>
        <v>0</v>
      </c>
      <c r="Z108" s="21">
        <f>EXP(-LN(2)/35)*Z107+(1-EXP(-LN(2)/35))/(LN(2)/35)*V108*W108*VLOOKUP('Données projet'!$B$9,Paramètres!$A$1:$I$89,3,0)*0.475*44/12</f>
        <v>84.202782347204206</v>
      </c>
      <c r="AA108" s="21">
        <f>EXP(-LN(2)/25)*AA107+(1-EXP(-LN(2)/25))/(LN(2)/25)*Calculateur!V108*Calculateur!X108*VLOOKUP('Données projet'!$B$9,Paramètres!$A$1:$I$89,3,0)*0.475*44/12</f>
        <v>14.401920097059982</v>
      </c>
      <c r="AB108" s="21">
        <f>EXP(-LN(2)/2)*AB107+(1-EXP(-LN(2)/2))/(LN(2)/2)*V108*Y108*VLOOKUP('Données projet'!$B$9,Paramètres!$A$1:$I$89,3,0)*0.475*44/12</f>
        <v>1.0180861951146267E-6</v>
      </c>
      <c r="AC108" s="22">
        <f t="shared" si="122"/>
        <v>98.604703462350386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projet'!$A$71:$I$91,2,0)</f>
        <v>#N/A</v>
      </c>
      <c r="AG108" s="12" t="e">
        <f>VLOOKUP(A108,'Données projet'!$A$71:$I$91,9,0)</f>
        <v>#N/A</v>
      </c>
      <c r="AH108" s="12">
        <f t="array" ref="AH108">INDEX(AG:AG,MIN(IF(ISNUMBER(AG108:AG304),ROW(AG108:AG304),"")))</f>
        <v>6.9935897435897401</v>
      </c>
      <c r="AI108" s="13">
        <f>IF('Données projet'!$A$72&gt;35,AI107+AH108-AQ107,IF(A108&lt;'Données projet'!$A$72,$AF$205^A108,IF(A108='Données projet'!$A$72,'Données projet'!$B$72,AI107+AH108-AQ107)))</f>
        <v>312.19230769230808</v>
      </c>
      <c r="AJ108" s="13">
        <f>AI108*VLOOKUP('Données projet'!$B$10,Paramètres!$A$1:$I$89,3,0)*VLOOKUP('Données projet'!$B$10,Paramètres!$A$1:$I$89,5,0)</f>
        <v>282.47160000000031</v>
      </c>
      <c r="AK108" s="13">
        <f t="shared" si="184"/>
        <v>67.489061551962138</v>
      </c>
      <c r="AL108" s="20">
        <f t="shared" si="123"/>
        <v>609.51481886966792</v>
      </c>
      <c r="AM108" s="59">
        <f t="shared" si="124"/>
        <v>902.84815220300129</v>
      </c>
      <c r="AN108" s="59">
        <f ca="1">AVERAGE(OFFSET($AM$3,0,0,'Données projet'!$E$10+1,1))-AVERAGE(OFFSET($H$3,0,0,'Données projet'!$E$10+1,1))</f>
        <v>270.87836509222456</v>
      </c>
      <c r="AO108" s="59">
        <f t="shared" si="185"/>
        <v>205.24998237949734</v>
      </c>
      <c r="AP108" s="15">
        <f>IF(ISNA(VLOOKUP(A108,'Données projet'!$A$71:$I$91,3,0)),0,VLOOKUP(A108,'Données projet'!$A$71:$I$91,3,0))</f>
        <v>0</v>
      </c>
      <c r="AQ108" s="15">
        <f>IF(ISNA(VLOOKUP(A108,'Données projet'!$A$71:$I$91,4,0)),0,VLOOKUP(A108,'Données projet'!$A$71:$I$91,4,0))</f>
        <v>0</v>
      </c>
      <c r="AR108" s="16">
        <f>IF(ISNA(VLOOKUP(A108,'Données projet'!$A$71:$I$91,5,0)),0%,VLOOKUP(A108,'Données projet'!$A$71:$I$91,5,0)*VLOOKUP('Données projet'!$B$10,Paramètres!$A$1:$I$89,7,0))</f>
        <v>0</v>
      </c>
      <c r="AS108" s="16">
        <f>IF(ISNA(VLOOKUP(A108,'Données projet'!$A$71:$I$91,6,0)),0%,VLOOKUP(A108,'Données projet'!$A$71:$I$91,6,0)*VLOOKUP('Données projet'!$B$10,Paramètres!$A$1:$I$89,7,0))</f>
        <v>0</v>
      </c>
      <c r="AT108" s="16">
        <f>IF(ISNA(VLOOKUP(A108,'Données projet'!$A$71:$I$91,7,0)),0%,VLOOKUP(A108,'Données projet'!$A$71:$I$91,7,0))</f>
        <v>0</v>
      </c>
      <c r="AU108" s="21">
        <f>EXP(-LN(2)/35)*AU107+(1-EXP(-LN(2)/35))/(LN(2)/35)*AQ108*AR108*VLOOKUP('Données projet'!$B$10,Paramètres!$A$1:$I$89,3,0)*0.475*44/12</f>
        <v>43.638455979691777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125"/>
        <v>43.638455979691777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projet'!$A$97:$I$117,2,0)</f>
        <v>#N/A</v>
      </c>
      <c r="BB108" s="12" t="e">
        <f>VLOOKUP(A108,'Données projet'!$A$97:$I$117,9,0)</f>
        <v>#N/A</v>
      </c>
      <c r="BC108" s="12">
        <f t="array" ref="BC108">INDEX(BB:BB,MIN(IF(ISNUMBER(BB108:BB304),ROW(BB108:BB304),"")))</f>
        <v>0</v>
      </c>
      <c r="BD108" s="12">
        <f>IF('Données projet'!$A$98&gt;35,BD107+BC108-BL107,IF(A108&lt;'Données projet'!$A$98,$BA$205^A108,IF(A108='Données projet'!$A$98,'Données projet'!$B$98,BD107+BC108-BL107)))</f>
        <v>-1.1368683772161603E-13</v>
      </c>
      <c r="BE108" s="13">
        <f>BD108*VLOOKUP('Données projet'!$B$11,Paramètres!$A$1:$I$89,3,0)*VLOOKUP('Données projet'!$B$11,Paramètres!$A$1:$I$89,5,0)</f>
        <v>-5.0249582272954292E-14</v>
      </c>
      <c r="BF108" s="13" t="e">
        <f t="shared" si="186"/>
        <v>#NUM!</v>
      </c>
      <c r="BG108" s="20" t="e">
        <f t="shared" si="126"/>
        <v>#NUM!</v>
      </c>
      <c r="BH108" s="59" t="e">
        <f t="shared" si="127"/>
        <v>#NUM!</v>
      </c>
      <c r="BI108" s="59">
        <f ca="1">AVERAGE(OFFSET($BH$3,0,0,'Données projet'!$E$11+1,1))-AVERAGE(OFFSET($H$3,0,0,'Données projet'!$E$11+1,1))</f>
        <v>211.31057120485542</v>
      </c>
      <c r="BJ108" s="59">
        <f t="shared" si="187"/>
        <v>283.33292006714777</v>
      </c>
      <c r="BK108" s="15">
        <f>IF(ISNA(VLOOKUP(A108,'Données projet'!$A$97:$I$117,3,0)),0,VLOOKUP(A108,'Données projet'!$A$97:$I$117,3,0))</f>
        <v>0</v>
      </c>
      <c r="BL108" s="15">
        <f>IF(ISNA(VLOOKUP(A108,'Données projet'!$A$97:$I$117,4,0)),0,VLOOKUP(A108,'Données projet'!$A$97:$I$117,4,0))</f>
        <v>0</v>
      </c>
      <c r="BM108" s="16">
        <f>IF(ISNA(VLOOKUP(A108,'Données projet'!$A$97:$I$117,5,0)),0%,VLOOKUP(A108,'Données projet'!$A$97:$I$117,5,0)*VLOOKUP('Données projet'!$B$11,Paramètres!$A$1:$I$89,7,0))</f>
        <v>0</v>
      </c>
      <c r="BN108" s="16">
        <f>IF(ISNA(VLOOKUP(A108,'Données projet'!$A$97:$I$117,6,0)),0%,VLOOKUP(A108,'Données projet'!$A$97:$I$117,6,0)*VLOOKUP('Données projet'!$B$11,Paramètres!$A$1:$I$89,7,0))</f>
        <v>0</v>
      </c>
      <c r="BO108" s="16">
        <f>IF(ISNA(VLOOKUP(A108,'Données projet'!$A$97:$I$117,7,0)),0%,VLOOKUP(A108,'Données projet'!$A$97:$I$117,7,0))</f>
        <v>0</v>
      </c>
      <c r="BP108" s="21">
        <f>EXP(-LN(2)/35)*BP107+(1-EXP(-LN(2)/35))/(LN(2)/35)*BL108*BM108*VLOOKUP('Données projet'!$B$11,Paramètres!$A$1:$I$89,3,0)*0.475*44/12</f>
        <v>66.578944181510323</v>
      </c>
      <c r="BQ108" s="21">
        <f>EXP(-LN(2)/25)*BQ107+(1-EXP(-LN(2)/25))/(LN(2)/25)*Calculateur!BL108*Calculateur!BN108*VLOOKUP('Données projet'!$B$11,Paramètres!$A$1:$I$89,3,0)*0.475*44/12</f>
        <v>11.387564727907886</v>
      </c>
      <c r="BR108" s="21">
        <f>EXP(-LN(2)/2)*BR107+(1-EXP(-LN(2)/2))/(LN(2)/2)*BL108*BO108*VLOOKUP('Données projet'!$B$11,Paramètres!$A$1:$I$89,3,0)*0.475*44/12</f>
        <v>8.0499838683482095E-7</v>
      </c>
      <c r="BS108" s="22">
        <f t="shared" si="128"/>
        <v>77.966509714416603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projet'!$A$123:$I$143,2,0)</f>
        <v>#N/A</v>
      </c>
      <c r="BW108" s="12" t="e">
        <f>VLOOKUP(A108,'Données projet'!$A$123:$I$143,9,0)</f>
        <v>#N/A</v>
      </c>
      <c r="BX108" s="12">
        <f t="array" ref="BX108">INDEX(BW:BW,MIN(IF(ISNUMBER(BW108:BW304),ROW(BW108:BW304),"")))</f>
        <v>0</v>
      </c>
      <c r="BY108" s="12">
        <f>IF('Données projet'!$A$124&gt;35,BY107+BX108-CG107,IF(A108&lt;'Données projet'!$A$124,$BV$205^A108,IF(A108='Données projet'!$A$124,'Données projet'!$B$124,BY107+BX108-CG107)))</f>
        <v>0</v>
      </c>
      <c r="BZ108" s="13">
        <f>BY108*VLOOKUP('Données projet'!$B$12,Paramètres!$A$1:$I$89,3,0)*VLOOKUP('Données projet'!$B$12,Paramètres!$A$1:$I$89,5,0)</f>
        <v>0</v>
      </c>
      <c r="CA108" s="13" t="e">
        <f t="shared" si="188"/>
        <v>#NUM!</v>
      </c>
      <c r="CB108" s="20" t="e">
        <f t="shared" si="129"/>
        <v>#NUM!</v>
      </c>
      <c r="CC108" s="59" t="e">
        <f t="shared" si="130"/>
        <v>#NUM!</v>
      </c>
      <c r="CD108" s="59">
        <f ca="1">AVERAGE(OFFSET($CC$3,0,0,'Données projet'!$E$12+1,1))-AVERAGE(OFFSET($H$3,0,0,'Données projet'!$E$12+1,1))</f>
        <v>322.93502595881938</v>
      </c>
      <c r="CE108" s="59">
        <f t="shared" si="189"/>
        <v>302.67072119588164</v>
      </c>
      <c r="CF108" s="15">
        <f>IF(ISNA(VLOOKUP(A108,'Données projet'!$A$123:$I$143,3,0)),0,VLOOKUP(A108,'Données projet'!$A$123:$I$143,3,0))</f>
        <v>0</v>
      </c>
      <c r="CG108" s="15">
        <f>IF(ISNA(VLOOKUP(A108,'Données projet'!$A$123:$I$143,4,0)),0,VLOOKUP(A108,'Données projet'!$A$123:$I$143,4,0))</f>
        <v>0</v>
      </c>
      <c r="CH108" s="16">
        <f>IF(ISNA(VLOOKUP(A108,'Données projet'!$A$123:$I$143,5,0)),0%,VLOOKUP(A108,'Données projet'!$A$123:$I$143,5,0)*VLOOKUP('Données projet'!$B$12,Paramètres!$A$1:$I$89,7,0))</f>
        <v>0</v>
      </c>
      <c r="CI108" s="16">
        <f>IF(ISNA(VLOOKUP(A108,'Données projet'!$A$123:$I$143,6,0)),0%,VLOOKUP(A108,'Données projet'!$A$123:$I$143,6,0)*VLOOKUP('Données projet'!$B$12,Paramètres!$A$1:$I$89,7,0))</f>
        <v>0</v>
      </c>
      <c r="CJ108" s="16">
        <f>IF(ISNA(VLOOKUP(A108,'Données projet'!$A$123:$I$143,7,0)),0%,VLOOKUP(A108,'Données projet'!$A$123:$I$143,7,0))</f>
        <v>0</v>
      </c>
      <c r="CK108" s="21">
        <f>EXP(-LN(2)/35)*CK107+(1-EXP(-LN(2)/35))/(LN(2)/35)*CG108*CH108*VLOOKUP('Données projet'!$B$12,Paramètres!$A$1:$I$89,3,0)*0.475*44/12</f>
        <v>106.07634583186878</v>
      </c>
      <c r="CL108" s="21">
        <f>EXP(-LN(2)/25)*CL107+(1-EXP(-LN(2)/25))/(LN(2)/25)*Calculateur!CG108*Calculateur!CI108*VLOOKUP('Données projet'!$B$12,Paramètres!$A$1:$I$89,3,0)*0.475*44/12</f>
        <v>36.447097049726509</v>
      </c>
      <c r="CM108" s="21">
        <f>EXP(-LN(2)/2)*CM107+(1-EXP(-LN(2)/2))/(LN(2)/2)*CG108*CJ108*VLOOKUP('Données projet'!$B$12,Paramètres!$A$1:$I$89,3,0)*0.475*44/12</f>
        <v>0</v>
      </c>
      <c r="CN108" s="22">
        <f t="shared" si="131"/>
        <v>142.52344288159529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projet'!$A$149:$I$169,2,0)</f>
        <v>#N/A</v>
      </c>
      <c r="CR108" s="12" t="e">
        <f>VLOOKUP(A108,'Données projet'!$A$149:$I$169,9,0)</f>
        <v>#N/A</v>
      </c>
      <c r="CS108" s="12">
        <f t="array" ref="CS108">INDEX(CR:CR,MIN(IF(ISNUMBER(CR108:CR304),ROW(CR108:CR304),"")))</f>
        <v>5.0961538461538449</v>
      </c>
      <c r="CT108" s="12">
        <f>IF('Données projet'!$A$150&gt;35,CT107+CS108-DB107,IF(A108&lt;'Données projet'!$A$150,$CQ$205^A108,IF(A108='Données projet'!$A$150,'Données projet'!$B$150,CT107+CS108-DB107)))</f>
        <v>205.44871794871764</v>
      </c>
      <c r="CU108" s="17">
        <f>CT108*VLOOKUP('Données projet'!$B$13,Paramètres!$A$1:$I$89,3,0)*VLOOKUP('Données projet'!$B$13,Paramètres!$A$1:$I$89,5,0)</f>
        <v>208.32499999999973</v>
      </c>
      <c r="CV108" s="13">
        <f t="shared" si="190"/>
        <v>51.569385633240543</v>
      </c>
      <c r="CW108" s="20">
        <f t="shared" si="132"/>
        <v>452.64938831122686</v>
      </c>
      <c r="CX108" s="59">
        <f t="shared" si="133"/>
        <v>745.98272164456012</v>
      </c>
      <c r="CY108" s="59">
        <f ca="1">AVERAGE(OFFSET($CX$3,0,0,'Données projet'!$E$13+1,1))-AVERAGE(OFFSET($H$3,0,0,'Données projet'!$E$13+1,1))</f>
        <v>250.31277422753283</v>
      </c>
      <c r="CZ108" s="59">
        <f t="shared" si="191"/>
        <v>159.20429420478047</v>
      </c>
      <c r="DA108" s="15">
        <f>IF(ISNA(VLOOKUP(A108,'Données projet'!$A$149:$I$169,3,0)),0,VLOOKUP(A108,'Données projet'!$A$149:$I$169,3,0))</f>
        <v>0</v>
      </c>
      <c r="DB108" s="15">
        <f>IF(ISNA(VLOOKUP(A108,'Données projet'!$A$149:$I$169,4,0)),0,VLOOKUP(A108,'Données projet'!$A$149:$I$169,4,0))</f>
        <v>0</v>
      </c>
      <c r="DC108" s="16">
        <f>IF(ISNA(VLOOKUP(A108,'Données projet'!$A$149:$I$169,5,0)),0%,VLOOKUP(A108,'Données projet'!$A$149:$I$169,5,0)*VLOOKUP('Données projet'!$B$13,Paramètres!$A$1:$I$89,7,0))</f>
        <v>0</v>
      </c>
      <c r="DD108" s="16">
        <f>IF(ISNA(VLOOKUP(A108,'Données projet'!$A$149:$I$169,6,0)),0%,VLOOKUP(A108,'Données projet'!$A$149:$I$169,6,0)*VLOOKUP('Données projet'!$B$13,Paramètres!$A$1:$I$89,7,0))</f>
        <v>0</v>
      </c>
      <c r="DE108" s="16">
        <f>IF(ISNA(VLOOKUP(A108,'Données projet'!$A$149:$I$169,7,0)),0%,VLOOKUP(A108,'Données projet'!$A$149:$I$169,7,0))</f>
        <v>0</v>
      </c>
      <c r="DF108" s="21">
        <f>EXP(-LN(2)/35)*DF107+(1-EXP(-LN(2)/35))/(LN(2)/35)*DB108*DC108*VLOOKUP('Données projet'!$B$13,Paramètres!$A$1:$I$89,3,0)*0.475*44/12</f>
        <v>34.385681204131842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134"/>
        <v>34.385681204131842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projet'!$A$175:$I$195,2,0)</f>
        <v>#N/A</v>
      </c>
      <c r="DM108" s="12" t="e">
        <f>VLOOKUP(A108,'Données projet'!$A$175:$I$195,9,0)</f>
        <v>#N/A</v>
      </c>
      <c r="DN108" s="12">
        <f t="array" ref="DN108">INDEX(DM:DM,MIN(IF(ISNUMBER(DM108:DM304),ROW(DM108:DM304),"")))</f>
        <v>0</v>
      </c>
      <c r="DO108" s="12">
        <f>IF('Données projet'!$A$176&gt;35,DO107+DN108-DW107,IF(A108&lt;'Données projet'!$A$176,$DL$205^A108,IF(A108='Données projet'!$A$176,'Données projet'!$B$176,DO107+DN108-DW107)))</f>
        <v>-2.8421709430404007E-13</v>
      </c>
      <c r="DP108" s="17">
        <f>DO108*VLOOKUP('Données projet'!$B$14,Paramètres!$A$1:$I$89,3,0)*VLOOKUP('Données projet'!$B$14,Paramètres!$A$1:$I$89,5,0)</f>
        <v>-2.0838797354372215E-13</v>
      </c>
      <c r="DQ108" s="13" t="e">
        <f t="shared" si="192"/>
        <v>#NUM!</v>
      </c>
      <c r="DR108" s="20" t="e">
        <f t="shared" si="135"/>
        <v>#NUM!</v>
      </c>
      <c r="DS108" s="59" t="e">
        <f t="shared" si="136"/>
        <v>#NUM!</v>
      </c>
      <c r="DT108" s="59">
        <f ca="1">AVERAGE(OFFSET($DS$3,0,0,'Données projet'!$E$14+1,1))-AVERAGE(OFFSET($H$3,0,0,'Données projet'!$E$14+1,1))</f>
        <v>296.91321813251051</v>
      </c>
      <c r="DU108" s="59">
        <f t="shared" si="193"/>
        <v>291.0718079639509</v>
      </c>
      <c r="DV108" s="15">
        <f>IF(ISNA(VLOOKUP(A108,'Données projet'!$A$175:$I$195,3,0)),0,VLOOKUP(A108,'Données projet'!$A$175:$I$195,3,0))</f>
        <v>0</v>
      </c>
      <c r="DW108" s="15">
        <f>IF(ISNA(VLOOKUP(A108,'Données projet'!$A$175:$I$195,4,0)),0,VLOOKUP(A108,'Données projet'!$A$175:$I$195,4,0))</f>
        <v>0</v>
      </c>
      <c r="DX108" s="16">
        <f>IF(ISNA(VLOOKUP(A108,'Données projet'!$A$175:$I$195,5,0)),0%,VLOOKUP(A108,'Données projet'!$A$175:$I$195,5,0)*VLOOKUP('Données projet'!$B$14,Paramètres!$A$1:$I$89,7,0))</f>
        <v>0</v>
      </c>
      <c r="DY108" s="16">
        <f>IF(ISNA(VLOOKUP(A108,'Données projet'!$A$175:$I$195,6,0)),0%,VLOOKUP(A108,'Données projet'!$A$175:$I$195,6,0)*VLOOKUP('Données projet'!$B$14,Paramètres!$A$1:$I$89,7,0))</f>
        <v>0</v>
      </c>
      <c r="DZ108" s="16">
        <f>IF(ISNA(VLOOKUP(A108,'Données projet'!$A$175:$I$195,7,0)),0%,VLOOKUP(A108,'Données projet'!$A$175:$I$195,7,0))</f>
        <v>0</v>
      </c>
      <c r="EA108" s="21">
        <f>EXP(-LN(2)/35)*EA107+(1-EXP(-LN(2)/35))/(LN(2)/35)*DW108*DX108*VLOOKUP('Données projet'!$B$14,Paramètres!$A$1:$I$89,3,0)*0.475*44/12</f>
        <v>105.72406173173802</v>
      </c>
      <c r="EB108" s="21">
        <f>EXP(-LN(2)/25)*EB107+(1-EXP(-LN(2)/25))/(LN(2)/25)*Calculateur!DW108*Calculateur!DY108*VLOOKUP('Données projet'!$B$14,Paramètres!$A$1:$I$89,3,0)*0.475*44/12</f>
        <v>2.6774368048071309</v>
      </c>
      <c r="EC108" s="21">
        <f>EXP(-LN(2)/2)*EC107+(1-EXP(-LN(2)/2))/(LN(2)/2)*DW108*DZ108*VLOOKUP('Données projet'!$B$14,Paramètres!$A$1:$I$89,3,0)*0.475*44/12</f>
        <v>0</v>
      </c>
      <c r="ED108" s="22">
        <f t="shared" si="137"/>
        <v>108.40149853654515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projet'!$A$201:$I$221,2,0)</f>
        <v>#N/A</v>
      </c>
      <c r="EH108" s="12" t="e">
        <f>VLOOKUP(A108,'Données projet'!$A$201:$I$221,9,0)</f>
        <v>#N/A</v>
      </c>
      <c r="EI108" s="12">
        <f t="array" ref="EI108">INDEX(EH:EH,MIN(IF(ISNUMBER(EH108:EH304),ROW(EH108:EH304),"")))</f>
        <v>5.6546153846153828</v>
      </c>
      <c r="EJ108" s="12">
        <f>IF('Données projet'!$A$202&gt;35,EJ107+EI108-ER107,IF(A108&lt;'Données projet'!$A$202,$EG$205^A108,IF(A108='Données projet'!$A$202,'Données projet'!$B$202,EJ107+EI108-ER107)))</f>
        <v>233.47384615384664</v>
      </c>
      <c r="EK108" s="17">
        <f>EJ108*VLOOKUP('Données projet'!$B$15,Paramètres!$A$1:$I$89,3,0)*VLOOKUP('Données projet'!$B$15,Paramètres!$A$1:$I$89,5,0)</f>
        <v>109.26576000000023</v>
      </c>
      <c r="EL108" s="13">
        <f t="shared" si="194"/>
        <v>29.15792453003198</v>
      </c>
      <c r="EM108" s="20">
        <f t="shared" si="138"/>
        <v>241.08791722313939</v>
      </c>
      <c r="EN108" s="59">
        <f t="shared" si="139"/>
        <v>534.42125055647273</v>
      </c>
      <c r="EO108" s="59">
        <f ca="1">AVERAGE(OFFSET($EN$3,0,0,'Données projet'!$E$15+1,1))-AVERAGE(OFFSET($H$3,0,0,'Données projet'!$E$15+1,1))</f>
        <v>147.64256291235483</v>
      </c>
      <c r="EP108" s="59">
        <f t="shared" si="195"/>
        <v>70.859031694091868</v>
      </c>
      <c r="EQ108" s="15">
        <f>IF(ISNA(VLOOKUP(A108,'Données projet'!$A$201:$I$221,3,0)),0,VLOOKUP(A108,'Données projet'!$A$201:$I$221,3,0))</f>
        <v>0</v>
      </c>
      <c r="ER108" s="15">
        <f>IF(ISNA(VLOOKUP(A108,'Données projet'!$A$201:$I$221,4,0)),0,VLOOKUP(A108,'Données projet'!$A$201:$I$221,4,0))</f>
        <v>0</v>
      </c>
      <c r="ES108" s="16">
        <f>IF(ISNA(VLOOKUP(A108,'Données projet'!$A$201:$I$221,5,0)),0%,VLOOKUP(A108,'Données projet'!$A$201:$I$221,5,0)*VLOOKUP('Données projet'!$B$15,Paramètres!$A$1:$I$89,7,0))</f>
        <v>0</v>
      </c>
      <c r="ET108" s="16">
        <f>IF(ISNA(VLOOKUP(A108,'Données projet'!$A$201:$I$221,6,0)),0%,VLOOKUP(A108,'Données projet'!$A$201:$I$221,6,0)*VLOOKUP('Données projet'!$B$15,Paramètres!$A$1:$I$89,7,0))</f>
        <v>0</v>
      </c>
      <c r="EU108" s="16">
        <f>IF(ISNA(VLOOKUP(A108,'Données projet'!$A$201:$I$221,7,0)),0%,VLOOKUP(A108,'Données projet'!$A$201:$I$221,7,0))</f>
        <v>0</v>
      </c>
      <c r="EV108" s="21">
        <f>EXP(-LN(2)/35)*EV107+(1-EXP(-LN(2)/35))/(LN(2)/35)*ER108*ES108*VLOOKUP('Données projet'!$B$15,Paramètres!$A$1:$I$89,3,0)*0.475*44/12</f>
        <v>78.480429065849364</v>
      </c>
      <c r="EW108" s="21">
        <f>EXP(-LN(2)/25)*EW107+(1-EXP(-LN(2)/25))/(LN(2)/25)*Calculateur!ER108*Calculateur!ET108*VLOOKUP('Données projet'!$B$15,Paramètres!$A$1:$I$89,3,0)*0.475*44/12</f>
        <v>20.79762670056521</v>
      </c>
      <c r="EX108" s="21">
        <f>EXP(-LN(2)/2)*EX107+(1-EXP(-LN(2)/2))/(LN(2)/2)*ER108*EU108*VLOOKUP('Données projet'!$B$15,Paramètres!$A$1:$I$89,3,0)*0.475*44/12</f>
        <v>1.7454743431568966</v>
      </c>
      <c r="EY108" s="22">
        <f t="shared" si="140"/>
        <v>101.02353010957148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projet'!$A$227:$I$247,2,0)</f>
        <v>#N/A</v>
      </c>
      <c r="FC108" s="12" t="e">
        <f>VLOOKUP(A108,'Données projet'!$A$227:$I$247,9,0)</f>
        <v>#N/A</v>
      </c>
      <c r="FD108" s="12">
        <f t="array" ref="FD108">INDEX(FC:FC,MIN(IF(ISNUMBER(FC108:FC304),ROW(FC108:FC304),"")))</f>
        <v>0</v>
      </c>
      <c r="FE108" s="12">
        <f>IF('Données projet'!$A$228&gt;35,FE107+FD108-FM107,IF(A108&lt;'Données projet'!$A$228,$FB$205^A108,IF(A108='Données projet'!$A$228,'Données projet'!$B$228,FE107+FD108-FM107)))</f>
        <v>8.5265128291212022E-14</v>
      </c>
      <c r="FF108" s="17">
        <f>FE108*VLOOKUP('Données projet'!$B$16,Paramètres!$A$1:$I$89,3,0)*VLOOKUP('Données projet'!$B$16,Paramètres!$A$1:$I$89,5,0)</f>
        <v>8.9119112089974823E-14</v>
      </c>
      <c r="FG108" s="13">
        <f t="shared" si="196"/>
        <v>1.3568952080113142E-12</v>
      </c>
      <c r="FH108" s="20">
        <f t="shared" si="141"/>
        <v>2.5184749408430782E-12</v>
      </c>
      <c r="FI108" s="59">
        <f t="shared" si="142"/>
        <v>293.33333333333582</v>
      </c>
      <c r="FJ108" s="59">
        <f ca="1">AVERAGE(OFFSET($FI$3,0,0,'Données projet'!$E$16+1,1))-AVERAGE(OFFSET($H$3,0,0,'Données projet'!$E$16+1,1))</f>
        <v>259.03906550253788</v>
      </c>
      <c r="FK108" s="59">
        <f t="shared" si="197"/>
        <v>235.54542903570831</v>
      </c>
      <c r="FL108" s="15">
        <f>IF(ISNA(VLOOKUP(A108,'Données projet'!$A$227:$I$247,3,0)),0,VLOOKUP(A108,'Données projet'!$A$227:$I$247,3,0))</f>
        <v>0</v>
      </c>
      <c r="FM108" s="15">
        <f>IF(ISNA(VLOOKUP(A108,'Données projet'!$A$227:$I$247,4,0)),0,VLOOKUP(A108,'Données projet'!$A$227:$I$247,4,0))</f>
        <v>0</v>
      </c>
      <c r="FN108" s="16">
        <f>IF(ISNA(VLOOKUP(A108,'Données projet'!$A$227:$I$247,5,0)),0%,VLOOKUP(A108,'Données projet'!$A$227:$I$247,5,0)*VLOOKUP('Données projet'!$B$16,Paramètres!$A$1:$I$89,7,0))</f>
        <v>0</v>
      </c>
      <c r="FO108" s="16">
        <f>IF(ISNA(VLOOKUP(A108,'Données projet'!$A$227:$I$247,6,0)),0%,VLOOKUP(A108,'Données projet'!$A$227:$I$247,6,0)*VLOOKUP('Données projet'!$B$16,Paramètres!$A$1:$I$89,7,0))</f>
        <v>0</v>
      </c>
      <c r="FP108" s="16">
        <f>IF(ISNA(VLOOKUP(A108,'Données projet'!$A$227:$I$247,7,0)),0%,VLOOKUP(A108,'Données projet'!$A$227:$I$247,7,0))</f>
        <v>0</v>
      </c>
      <c r="FQ108" s="21">
        <f>EXP(-LN(2)/35)*FQ107+(1-EXP(-LN(2)/35))/(LN(2)/35)*FM108*FN108*VLOOKUP('Données projet'!$B$16,Paramètres!$A$1:$I$89,3,0)*0.475*44/12</f>
        <v>63.883378631740207</v>
      </c>
      <c r="FR108" s="21">
        <f>EXP(-LN(2)/25)*FR107+(1-EXP(-LN(2)/25))/(LN(2)/25)*Calculateur!FM108*Calculateur!FO108*VLOOKUP('Données projet'!$B$16,Paramètres!$A$1:$I$89,3,0)*0.475*44/12</f>
        <v>51.101826328042563</v>
      </c>
      <c r="FS108" s="21">
        <f>EXP(-LN(2)/2)*FS107+(1-EXP(-LN(2)/2))/(LN(2)/2)*FM108*FP108*VLOOKUP('Données projet'!$B$16,Paramètres!$A$1:$I$89,3,0)*0.475*44/12</f>
        <v>0</v>
      </c>
      <c r="FT108" s="22">
        <f t="shared" si="143"/>
        <v>114.98520495978278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projet'!$A$253:$I$273,2,0)</f>
        <v>#N/A</v>
      </c>
      <c r="FX108" s="12" t="e">
        <f>VLOOKUP(A108,'Données projet'!$A$253:$I$273,9,0)</f>
        <v>#N/A</v>
      </c>
      <c r="FY108" s="12">
        <f t="array" ref="FY108">INDEX(FX:FX,MIN(IF(ISNUMBER(FX108:FX304),ROW(FX108:FX304),"")))</f>
        <v>0</v>
      </c>
      <c r="FZ108" s="12">
        <f>IF('Données projet'!$A$254&gt;35,FZ107+FY108-GH107,IF(A108&lt;'Données projet'!$A$254,$FW$205^A108,IF(A108='Données projet'!$A$254,'Données projet'!$B$254,FZ107+FY108-GH107)))</f>
        <v>-1.7053025658242404E-13</v>
      </c>
      <c r="GA108" s="17">
        <f>FZ108*VLOOKUP('Données projet'!$B$17,Paramètres!$A$1:$I$89,3,0)*VLOOKUP('Données projet'!$B$17,Paramètres!$A$1:$I$89,5,0)</f>
        <v>-1.4897523215040567E-13</v>
      </c>
      <c r="GB108" s="13" t="e">
        <f t="shared" si="198"/>
        <v>#NUM!</v>
      </c>
      <c r="GC108" s="20" t="e">
        <f t="shared" si="144"/>
        <v>#NUM!</v>
      </c>
      <c r="GD108" s="59" t="e">
        <f t="shared" si="145"/>
        <v>#NUM!</v>
      </c>
      <c r="GE108" s="59">
        <f ca="1">AVERAGE(OFFSET($GD$3,0,0,'Données projet'!$E$17+1,1))-AVERAGE(OFFSET($H$3,0,0,'Données projet'!$E$17+1,1))</f>
        <v>245.1983232777614</v>
      </c>
      <c r="GF108" s="59">
        <f t="shared" si="199"/>
        <v>242.34010522344573</v>
      </c>
      <c r="GG108" s="15">
        <f>IF(ISNA(VLOOKUP(A108,'Données projet'!$A$253:$I$273,3,0)),0,VLOOKUP(A108,'Données projet'!$A$253:$I$273,3,0))</f>
        <v>0</v>
      </c>
      <c r="GH108" s="15">
        <f>IF(ISNA(VLOOKUP(A108,'Données projet'!$A$253:$I$273,4,0)),0,VLOOKUP(A108,'Données projet'!$A$253:$I$273,4,0))</f>
        <v>0</v>
      </c>
      <c r="GI108" s="16">
        <f>IF(ISNA(VLOOKUP(A108,'Données projet'!$A$253:$I$273,5,0)),0%,VLOOKUP(A108,'Données projet'!$A$253:$I$273,5,0)*VLOOKUP('Données projet'!$B$17,Paramètres!$A$1:$I$89,7,0))</f>
        <v>0</v>
      </c>
      <c r="GJ108" s="16">
        <f>IF(ISNA(VLOOKUP(A108,'Données projet'!$A$253:$I$273,6,0)),0%,VLOOKUP(A108,'Données projet'!$A$253:$I$273,6,0)*VLOOKUP('Données projet'!$B$17,Paramètres!$A$1:$I$89,7,0))</f>
        <v>0</v>
      </c>
      <c r="GK108" s="16">
        <f>IF(ISNA(VLOOKUP(A108,'Données projet'!$A$253:$I$273,7,0)),0%,VLOOKUP(A108,'Données projet'!$A$253:$I$273,7,0))</f>
        <v>0</v>
      </c>
      <c r="GL108" s="21">
        <f>EXP(-LN(2)/35)*GL107+(1-EXP(-LN(2)/35))/(LN(2)/35)*GH108*GI108*VLOOKUP('Données projet'!$B$17,Paramètres!$A$1:$I$89,3,0)*0.475*44/12</f>
        <v>75.10367652788797</v>
      </c>
      <c r="GM108" s="21">
        <f>EXP(-LN(2)/25)*GM107+(1-EXP(-LN(2)/25))/(LN(2)/25)*Calculateur!GH108*Calculateur!GJ108*VLOOKUP('Données projet'!$B$17,Paramètres!$A$1:$I$89,3,0)*0.475*44/12</f>
        <v>10.888554266523093</v>
      </c>
      <c r="GN108" s="21">
        <f>EXP(-LN(2)/2)*GN107+(1-EXP(-LN(2)/2))/(LN(2)/2)*GH108*GK108*VLOOKUP('Données projet'!$B$17,Paramètres!$A$1:$I$89,3,0)*0.475*44/12</f>
        <v>0</v>
      </c>
      <c r="GO108" s="21">
        <f t="shared" si="146"/>
        <v>85.992230794411057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projet'!$A$279:$I$299,2,0)</f>
        <v>#N/A</v>
      </c>
      <c r="GS108" s="12" t="e">
        <f>VLOOKUP(A108,'Données projet'!$A$279:$I$299,9,0)</f>
        <v>#N/A</v>
      </c>
      <c r="GT108" s="12">
        <f t="array" ref="GT108">INDEX(GS:GS,MIN(IF(ISNUMBER(GS108:GS304),ROW(GS108:GS304),"")))</f>
        <v>0</v>
      </c>
      <c r="GU108" s="12">
        <f>IF('Données projet'!$A$280&gt;35,GU107+GT108-HC107,IF(A108&lt;'Données projet'!$A$280,$GR$205^A108,IF(A108='Données projet'!$A$280,'Données projet'!$B$280,GU107+GT108-HC107)))</f>
        <v>-1.1368683772161603E-13</v>
      </c>
      <c r="GV108" s="17">
        <f>GU108*VLOOKUP('Données projet'!$B$18,Paramètres!$A$1:$I$89,3,0)*VLOOKUP('Données projet'!$B$18,Paramètres!$A$1:$I$89,5,0)</f>
        <v>-4.5815795601811263E-14</v>
      </c>
      <c r="GW108" s="13" t="e">
        <f t="shared" si="200"/>
        <v>#NUM!</v>
      </c>
      <c r="GX108" s="20" t="e">
        <f t="shared" si="147"/>
        <v>#NUM!</v>
      </c>
      <c r="GY108" s="59" t="e">
        <f t="shared" si="148"/>
        <v>#NUM!</v>
      </c>
      <c r="GZ108" s="59">
        <f ca="1">AVERAGE(OFFSET($GY$3,0,0,'Données projet'!$E$18+1,1))-AVERAGE(OFFSET($H$3,0,0,'Données projet'!$E$18+1,1))</f>
        <v>324.36162935850876</v>
      </c>
      <c r="HA108" s="59">
        <f t="shared" si="201"/>
        <v>265.23571072429735</v>
      </c>
      <c r="HB108" s="15">
        <f>IF(ISNA(VLOOKUP(A108,'Données projet'!$A$279:$I$299,3,0)),0,VLOOKUP(A108,'Données projet'!$A$279:$I$299,3,0))</f>
        <v>0</v>
      </c>
      <c r="HC108" s="15">
        <f>IF(ISNA(VLOOKUP(A108,'Données projet'!$A$279:$I$299,4,0)),0,VLOOKUP(A108,'Données projet'!$A$279:$I$299,4,0))</f>
        <v>0</v>
      </c>
      <c r="HD108" s="16">
        <f>IF(ISNA(VLOOKUP(A108,'Données projet'!$A$279:$I$299,5,0)),0%,VLOOKUP(A108,'Données projet'!$A$279:$I$299,5,0)*VLOOKUP('Données projet'!$B$18,Paramètres!$A$1:$I$89,7,0))</f>
        <v>0</v>
      </c>
      <c r="HE108" s="16">
        <f>IF(ISNA(VLOOKUP(A108,'Données projet'!$A$279:$I$299,6,0)),0%,VLOOKUP(A108,'Données projet'!$A$279:$I$299,6,0)*VLOOKUP('Données projet'!$B$18,Paramètres!$A$1:$I$89,7,0))</f>
        <v>0</v>
      </c>
      <c r="HF108" s="16">
        <f>IF(ISNA(VLOOKUP($A108,'Données projet'!$A$279:$I$299,7,0)),0%,VLOOKUP($A108,'Données projet'!$A$279:$I$299,7,0))</f>
        <v>0</v>
      </c>
      <c r="HG108" s="21">
        <f>EXP(-LN(2)/35)*HG107+(1-EXP(-LN(2)/35))/(LN(2)/35)*HC108*HD108*VLOOKUP('Données projet'!$B$18,Paramètres!$A$1:$I$89,3,0)*0.475*44/12</f>
        <v>143.91827774118985</v>
      </c>
      <c r="HH108" s="21">
        <f>EXP(-LN(2)/25)*HH107+(1-EXP(-LN(2)/25))/(LN(2)/25)*Calculateur!HC108*Calculateur!HE108*VLOOKUP('Données projet'!$B$18,Paramètres!$A$1:$I$89,3,0)*0.475*44/12</f>
        <v>12.110019937115185</v>
      </c>
      <c r="HI108" s="21">
        <f>EXP(-LN(2)/2)*HI107+(1-EXP(-LN(2)/2))/(LN(2)/2)*HC108*HF108*VLOOKUP('Données projet'!$B$18,Paramètres!$A$1:$I$89,3,0)*0.475*44/12</f>
        <v>1.4755346547182732E-3</v>
      </c>
      <c r="HJ108" s="22">
        <f t="shared" si="149"/>
        <v>156.02977321295978</v>
      </c>
      <c r="HK108" s="74">
        <f>('Scénario référence'!$F$8+'Scénario référence'!$F$9+'Scénario référence'!$B$17+'Scénario référence'!$B$9+'Scénario référence'!$B$10)*70+IF((45+25*(1-EXP(-0.0175*$A108)))&lt;70,'Scénario référence'!$B$16*(45+25*(1-EXP(-0.0175*$A108))),70*'Scénario référence'!$B$16)+IF((32+38*(1-EXP(-0.0175*$A108)))&lt;70,'Scénario référence'!$B$18*(32+38*(1-EXP(-0.0175*$A108))),70*'Scénario référence'!$B$18)</f>
        <v>70</v>
      </c>
      <c r="HL108" s="12">
        <f>IF($A108&gt;30,10,('Scénario référence'!$B$16+'Scénario référence'!$B$17+'Scénario référence'!$B$18+'Scénario référence'!$B$9+'Scénario référence'!$B$10)*$A108*10/30+('Scénario référence'!$F$8+'Scénario référence'!$F$9)*10)</f>
        <v>10</v>
      </c>
      <c r="HM108" s="12" t="e">
        <f>VLOOKUP($A108,'Données projet'!$A$304:$I$324,2,0)</f>
        <v>#N/A</v>
      </c>
      <c r="HN108" s="12" t="e">
        <f>VLOOKUP($A108,'Données projet'!$A$304:$I$324,9,0)</f>
        <v>#N/A</v>
      </c>
      <c r="HO108" s="12">
        <f t="array" ref="HO108">INDEX(HN:HN,MIN(IF(ISNUMBER(HN108:HN304),ROW(HN108:HN304),"")))</f>
        <v>0</v>
      </c>
      <c r="HP108" s="12">
        <f>IF('Données projet'!$A$304&gt;35,HP107+HO108-HX107,IF($A108&lt;'Données projet'!$A$304,$CQ$205^$A108,IF($A108='Données projet'!$A$304,'Données projet'!$B$304,HP107+HO108-HX107)))</f>
        <v>0</v>
      </c>
      <c r="HQ108" s="17">
        <f>HP108*VLOOKUP('Données projet'!$B$19,Paramètres!$A$1:$I$89,3,0)*VLOOKUP('Données projet'!$B$19,Paramètres!$A$1:$I$89,5,0)</f>
        <v>0</v>
      </c>
      <c r="HR108" s="13" t="e">
        <f t="shared" si="202"/>
        <v>#NUM!</v>
      </c>
      <c r="HS108" s="14" t="e">
        <f t="shared" si="150"/>
        <v>#NUM!</v>
      </c>
      <c r="HT108" s="59" t="e">
        <f t="shared" si="151"/>
        <v>#NUM!</v>
      </c>
      <c r="HU108" s="59">
        <f ca="1">AVERAGE(OFFSET(HT$3,0,0,'Données projet'!$E$19+1,1))-AVERAGE(OFFSET($H$3,0,0,'Données projet'!$E$19+1,1))</f>
        <v>91.60721429656013</v>
      </c>
      <c r="HV108" s="59">
        <f t="shared" si="203"/>
        <v>258.94957804210856</v>
      </c>
      <c r="HW108" s="15">
        <f>IF(ISNA(VLOOKUP($A108,'Données projet'!$A$304:$I$324,3,0)),0,VLOOKUP($A108,'Données projet'!$A$304:$I$324,3,0))</f>
        <v>0</v>
      </c>
      <c r="HX108" s="15">
        <f>IF(ISNA(VLOOKUP($A108,'Données projet'!$A$304:$I$324,4,0)),0,VLOOKUP($A108,'Données projet'!$A$304:$I$324,4,0))</f>
        <v>0</v>
      </c>
      <c r="HY108" s="16">
        <f>IF(ISNA(VLOOKUP($A108,'Données projet'!$A$304:$I$324,5,0)),0%,VLOOKUP($A108,'Données projet'!$A$304:$I$324,5,0)*VLOOKUP('Données projet'!$B$19,Paramètres!$A$1:$I$89,7,0))</f>
        <v>0</v>
      </c>
      <c r="HZ108" s="16">
        <f>IF(ISNA(VLOOKUP($A108,'Données projet'!$A$304:$I$324,6,0)),0%,VLOOKUP($A108,'Données projet'!$A$304:$I$324,6,0)*VLOOKUP('Données projet'!$B$19,Paramètres!$A$1:$I$89,7,0))</f>
        <v>0</v>
      </c>
      <c r="IA108" s="16">
        <f>IF(ISNA(VLOOKUP($A108,'Données projet'!$A$304:$I$324,7,0)),0%,VLOOKUP($A108,'Données projet'!$A$304:$I$324,7,0))</f>
        <v>0</v>
      </c>
      <c r="IB108" s="21">
        <f>EXP(-LN(2)/35)*IB107+(1-EXP(-LN(2)/35))/(LN(2)/35)*HX108*HY108*VLOOKUP('Données projet'!$B$19,Paramètres!$A$1:$I$89,3,0)*0.475*44/12</f>
        <v>11.170449520275788</v>
      </c>
      <c r="IC108" s="21">
        <f>EXP(-LN(2)/25)*IC107+(1-EXP(-LN(2)/25))/(LN(2)/25)*Calculateur!HX108*Calculateur!HZ108*VLOOKUP('Données projet'!$B$19,Paramètres!$A$1:$I$89,3,0)*0.475*44/12</f>
        <v>1.2159658345174877</v>
      </c>
      <c r="ID108" s="21">
        <f>EXP(-LN(2)/2)*ID107+(1-EXP(-LN(2)/2))/(LN(2)/2)*HX108*IA108*VLOOKUP('Données projet'!$B$19,Paramètres!$A$1:$I$89,3,0)*0.475*44/12</f>
        <v>2.9472558108140703E-12</v>
      </c>
      <c r="IE108" s="22">
        <f t="shared" si="152"/>
        <v>12.386415354796222</v>
      </c>
      <c r="IF108" s="74">
        <f>('Scénario référence'!$F$8+'Scénario référence'!$F$9+'Scénario référence'!$B$17+'Scénario référence'!$B$9+'Scénario référence'!$B$10)*70+IF((45+25*(1-EXP(-0.0175*$A108)))&lt;70,'Scénario référence'!$B$16*(45+25*(1-EXP(-0.0175*$A108))),70*'Scénario référence'!$B$16)+IF((32+38*(1-EXP(-0.0175*$A108)))&lt;70,'Scénario référence'!$B$18*(32+38*(1-EXP(-0.0175*$A108))),70*'Scénario référence'!$B$18)</f>
        <v>70</v>
      </c>
      <c r="IG108" s="12">
        <f>IF($A108&gt;30,10,('Scénario référence'!$B$16+'Scénario référence'!$B$17+'Scénario référence'!$B$18+'Scénario référence'!$B$9+'Scénario référence'!$B$10)*$A108*10/30+('Scénario référence'!$F$8+'Scénario référence'!$F$9)*10)</f>
        <v>10</v>
      </c>
      <c r="IH108" s="12" t="e">
        <f>VLOOKUP($A108,'Données projet'!$A$330:$I$350,2,0)</f>
        <v>#N/A</v>
      </c>
      <c r="II108" s="12" t="e">
        <f>VLOOKUP($A108,'Données projet'!$A$330:$I$350,9,0)</f>
        <v>#N/A</v>
      </c>
      <c r="IJ108" s="12">
        <f t="array" ref="IJ108">INDEX(II:II,MIN(IF(ISNUMBER(II108:II304),ROW(II108:II304),"")))</f>
        <v>0</v>
      </c>
      <c r="IK108" s="12">
        <f>IF('Données projet'!$A$330&gt;35,IK107+IJ108-IS107,IF($A108&lt;'Données projet'!$A$330,$CQ$205^$A108,IF($A108='Données projet'!$A$330,'Données projet'!$B$330,IK107+IJ108-IS107)))</f>
        <v>0</v>
      </c>
      <c r="IL108" s="17">
        <f>IK108*VLOOKUP('Données projet'!$B$20,Paramètres!$A$1:$I$89,3,0)*VLOOKUP('Données projet'!$B$20,Paramètres!$A$1:$I$89,5,0)</f>
        <v>0</v>
      </c>
      <c r="IM108" s="13" t="e">
        <f t="shared" si="204"/>
        <v>#NUM!</v>
      </c>
      <c r="IN108" s="20" t="e">
        <f t="shared" si="153"/>
        <v>#NUM!</v>
      </c>
      <c r="IO108" s="59" t="e">
        <f t="shared" si="154"/>
        <v>#NUM!</v>
      </c>
      <c r="IP108" s="59">
        <f ca="1">AVERAGE(OFFSET(IO$3,0,0,'Données projet'!$E$20+1,1))-AVERAGE(OFFSET($H$3,0,0,'Données projet'!$E$20+1,1))</f>
        <v>91.60721429656013</v>
      </c>
      <c r="IQ108" s="59">
        <f t="shared" si="205"/>
        <v>258.94957804210856</v>
      </c>
      <c r="IR108" s="15">
        <f>IF(ISNA(VLOOKUP($A108,'Données projet'!$A$330:$I$350,3,0)),0,VLOOKUP($A108,'Données projet'!$A$330:$I$350,3,0))</f>
        <v>0</v>
      </c>
      <c r="IS108" s="15">
        <f>IF(ISNA(VLOOKUP($A108,'Données projet'!$A$330:$I$350,4,0)),0,VLOOKUP($A108,'Données projet'!$A$330:$I$350,4,0))</f>
        <v>0</v>
      </c>
      <c r="IT108" s="16">
        <f>IF(ISNA(VLOOKUP($A108,'Données projet'!$A$330:$I$350,5,0)),0%,VLOOKUP($A108,'Données projet'!$A$330:$I$350,5,0)*VLOOKUP('Données projet'!$B$20,Paramètres!$A$1:$I$89,7,0))</f>
        <v>0</v>
      </c>
      <c r="IU108" s="16">
        <f>IF(ISNA(VLOOKUP($A108,'Données projet'!$A$330:$I$350,6,0)),0%,VLOOKUP($A108,'Données projet'!$A$330:$I$350,6,0)*VLOOKUP('Données projet'!$B$20,Paramètres!$A$1:$I$89,7,0))</f>
        <v>0</v>
      </c>
      <c r="IV108" s="16">
        <f>IF(ISNA(VLOOKUP($A108,'Données projet'!$A$330:$I$350,7,0)),0%,VLOOKUP($A108,'Données projet'!$A$330:$I$350,7,0))</f>
        <v>0</v>
      </c>
      <c r="IW108" s="21">
        <f>EXP(-LN(2)/35)*IW107+(1-EXP(-LN(2)/35))/(LN(2)/35)*IS108*IT108*VLOOKUP('Données projet'!$B$20,Paramètres!$A$1:$I$89,3,0)*0.475*44/12</f>
        <v>11.170449520275788</v>
      </c>
      <c r="IX108" s="21">
        <f>EXP(-LN(2)/25)*IX107+(1-EXP(-LN(2)/25))/(LN(2)/25)*Calculateur!IS108*Calculateur!IU108*VLOOKUP('Données projet'!$B$20,Paramètres!$A$1:$I$89,3,0)*0.475*44/12</f>
        <v>1.2159658345174877</v>
      </c>
      <c r="IY108" s="21">
        <f>EXP(-LN(2)/2)*IY107+(1-EXP(-LN(2)/2))/(LN(2)/2)*IS108*IV108*VLOOKUP('Données projet'!$B$20,Paramètres!$A$1:$I$89,3,0)*0.475*44/12</f>
        <v>2.9472558108140703E-12</v>
      </c>
      <c r="IZ108" s="22">
        <f t="shared" si="155"/>
        <v>12.386415354796222</v>
      </c>
      <c r="JA108" s="74">
        <f>('Scénario référence'!$F$8+'Scénario référence'!$F$9+'Scénario référence'!$B$17+'Scénario référence'!$B$9+'Scénario référence'!$B$10)*70+IF((45+25*(1-EXP(-0.0175*$A108)))&lt;70,'Scénario référence'!$B$16*(45+25*(1-EXP(-0.0175*$A108))),70*'Scénario référence'!$B$16)+IF((32+38*(1-EXP(-0.0175*$A108)))&lt;70,'Scénario référence'!$B$18*(32+38*(1-EXP(-0.0175*$A108))),70*'Scénario référence'!$B$18)</f>
        <v>70</v>
      </c>
      <c r="JB108" s="12">
        <f>IF($A108&gt;30,10,('Scénario référence'!$B$16+'Scénario référence'!$B$17+'Scénario référence'!$B$18+'Scénario référence'!$B$9+'Scénario référence'!$B$10)*$A108*10/30+('Scénario référence'!$F$8+'Scénario référence'!$F$9)*10)</f>
        <v>10</v>
      </c>
      <c r="JC108" s="12" t="e">
        <f>VLOOKUP($A108,'Données projet'!$A$356:$I$376,2,0)</f>
        <v>#N/A</v>
      </c>
      <c r="JD108" s="12" t="e">
        <f>VLOOKUP($A108,'Données projet'!$A$356:$I$376,9,0)</f>
        <v>#N/A</v>
      </c>
      <c r="JE108" s="12">
        <f t="array" ref="JE108">INDEX(JD:JD,MIN(IF(ISNUMBER(JD108:JD304),ROW(JD108:JD304),"")))</f>
        <v>4.2</v>
      </c>
      <c r="JF108" s="12">
        <f>IF('Données projet'!$A$356&gt;35,JF107+JE108-JN107,IF($A108&lt;'Données projet'!$A$356,$CQ$205^$A108,IF($A108='Données projet'!$A$356,'Données projet'!$B$356,JF107+JE108-JN107)))</f>
        <v>396.99999999999943</v>
      </c>
      <c r="JG108" s="17">
        <f>JF108*VLOOKUP('Données projet'!$B$21,Paramètres!$A$1:$I$89,3,0)*VLOOKUP('Données projet'!$B$21,Paramètres!$A$1:$I$89,5,0)</f>
        <v>322.04639999999955</v>
      </c>
      <c r="JH108" s="13">
        <f t="shared" si="206"/>
        <v>75.778988881088779</v>
      </c>
      <c r="JI108" s="20">
        <f t="shared" si="156"/>
        <v>692.87921896789533</v>
      </c>
      <c r="JJ108" s="59">
        <f t="shared" si="157"/>
        <v>986.2125523012287</v>
      </c>
      <c r="JK108" s="59">
        <f ca="1">AVERAGE(OFFSET($JJ$3,0,0,'Données projet'!$E$22+1,1))-AVERAGE(OFFSET($H$3,0,0,'Données projet'!$E$22+1,1))</f>
        <v>353.35574633294613</v>
      </c>
      <c r="JL108" s="59">
        <f t="shared" si="207"/>
        <v>170.36796666474726</v>
      </c>
      <c r="JM108" s="15">
        <f>IF(ISNA(VLOOKUP($A108,'Données projet'!$A$356:$I$376,3,0)),0,VLOOKUP($A108,'Données projet'!$A$356:$I$376,3,0))</f>
        <v>0</v>
      </c>
      <c r="JN108" s="15">
        <f>IF(ISNA(VLOOKUP($A108,'Données projet'!$A$356:$I$376,4,0)),0,VLOOKUP($A108,'Données projet'!$A$356:$I$376,4,0))</f>
        <v>0</v>
      </c>
      <c r="JO108" s="16">
        <f>IF(ISNA(VLOOKUP($A108,'Données projet'!$A$356:$I$376,5,0)),0%,VLOOKUP($A108,'Données projet'!$A$356:$I$376,5,0)*VLOOKUP('Données projet'!$B$21,Paramètres!$A$1:$I$89,7,0))</f>
        <v>0</v>
      </c>
      <c r="JP108" s="16">
        <f>IF(ISNA(VLOOKUP($A108,'Données projet'!$A$356:$I$376,6,0)),0%,VLOOKUP($A108,'Données projet'!$A$356:$I$376,6,0)*VLOOKUP('Données projet'!$B$21,Paramètres!$A$1:$I$89,7,0))</f>
        <v>0</v>
      </c>
      <c r="JQ108" s="16">
        <f>IF(ISNA(VLOOKUP($A108,'Données projet'!$A$356:$I$376,7,0)),0%,VLOOKUP($A108,'Données projet'!$A$356:$I$376,7,0))</f>
        <v>0</v>
      </c>
      <c r="JR108" s="21">
        <f>EXP(-LN(2)/35)*JR107+(1-EXP(-LN(2)/35))/(LN(2)/35)*JN108*JO108*VLOOKUP('Données projet'!$B$21,Paramètres!$A$1:$I$89,3,0)*0.475*44/12</f>
        <v>3.6754439101845118</v>
      </c>
      <c r="JS108" s="21">
        <f>EXP(-LN(2)/25)*JS107+(1-EXP(-LN(2)/25))/(LN(2)/25)*Calculateur!JN108*Calculateur!JP108*VLOOKUP('Données projet'!$B$21,Paramètres!$A$1:$I$89,3,0)*0.475*44/12</f>
        <v>15.460722223349521</v>
      </c>
      <c r="JT108" s="21">
        <f>EXP(-LN(2)/2)*JT107+(1-EXP(-LN(2)/2))/(LN(2)/2)*JN108*JQ108*VLOOKUP('Données projet'!$B$21,Paramètres!$A$1:$I$89,3,0)*0.475*44/12</f>
        <v>0.68378246856377689</v>
      </c>
      <c r="JU108" s="18">
        <f t="shared" si="158"/>
        <v>19.81994860209781</v>
      </c>
      <c r="JV108" s="74">
        <f>('Scénario référence'!$F$8+'Scénario référence'!$F$9+'Scénario référence'!$B$17+'Scénario référence'!$B$9+'Scénario référence'!$B$10)*70+IF((45+25*(1-EXP(-0.0175*$A108)))&lt;70,'Scénario référence'!$B$16*(45+25*(1-EXP(-0.0175*$A108))),70*'Scénario référence'!$B$16)+IF((32+38*(1-EXP(-0.0175*$A108)))&lt;70,'Scénario référence'!$B$18*(32+38*(1-EXP(-0.0175*$A108))),70*'Scénario référence'!$B$18)</f>
        <v>70</v>
      </c>
      <c r="JW108" s="12">
        <f>IF($A108&gt;30,10,('Scénario référence'!$B$16+'Scénario référence'!$B$17+'Scénario référence'!$B$18+'Scénario référence'!$B$9+'Scénario référence'!$B$10)*$A108*10/30+('Scénario référence'!$F$8+'Scénario référence'!$F$9)*10)</f>
        <v>10</v>
      </c>
      <c r="JX108" s="12" t="e">
        <f>VLOOKUP($A108,'Données projet'!$A$382:$I$402,2,0)</f>
        <v>#N/A</v>
      </c>
      <c r="JY108" s="12" t="e">
        <f>VLOOKUP($A108,'Données projet'!$A$382:$I$402,9,0)</f>
        <v>#N/A</v>
      </c>
      <c r="JZ108" s="12">
        <f t="array" ref="JZ108">INDEX(JY:JY,MIN(IF(ISNUMBER(JY108:JY304),ROW(JY108:JY304),"")))</f>
        <v>6.9935897435897401</v>
      </c>
      <c r="KA108" s="12">
        <f>IF('Données projet'!$A$382&gt;35,KA107+JZ108-KI107,IF($A108&lt;'Données projet'!$A$382,$CQ$205^$A108,IF($A108='Données projet'!$A$382,'Données projet'!$B$382,KA107+JZ108-KI107)))</f>
        <v>312.19230769230802</v>
      </c>
      <c r="KB108" s="17">
        <f>KA108*VLOOKUP('Données projet'!$B$22,Paramètres!$A$1:$I$89,3,0)*VLOOKUP('Données projet'!$B$22,Paramètres!$A$1:$I$89,5,0)</f>
        <v>209.4186000000002</v>
      </c>
      <c r="KC108" s="13">
        <f t="shared" si="208"/>
        <v>51.808514677607093</v>
      </c>
      <c r="KD108" s="20">
        <f t="shared" si="159"/>
        <v>454.97055806349931</v>
      </c>
      <c r="KE108" s="59">
        <f t="shared" si="160"/>
        <v>748.30389139683257</v>
      </c>
      <c r="KF108" s="59">
        <f ca="1">AVERAGE(OFFSET($KE$3,0,0,'Données projet'!$E$22+1,1))-AVERAGE(OFFSET($H$3,0,0,'Données projet'!$E$22+1,1))</f>
        <v>193.91714772848269</v>
      </c>
      <c r="KG108" s="59">
        <f t="shared" si="209"/>
        <v>159.20429420478047</v>
      </c>
      <c r="KH108" s="15">
        <f>IF(ISNA(VLOOKUP($A108,'Données projet'!$A$382:$I$402,3,0)),0,VLOOKUP($A108,'Données projet'!$A$382:$I$402,3,0))</f>
        <v>0</v>
      </c>
      <c r="KI108" s="15">
        <f>IF(ISNA(VLOOKUP($A108,'Données projet'!$A$382:$I$402,4,0)),0,VLOOKUP($A108,'Données projet'!$A$382:$I$402,4,0))</f>
        <v>0</v>
      </c>
      <c r="KJ108" s="16">
        <f>IF(ISNA(VLOOKUP($A108,'Données projet'!$A$382:$I$402,5,0)),0%,VLOOKUP($A108,'Données projet'!$A$382:$I$402,5,0)*VLOOKUP('Données projet'!$B$22,Paramètres!$A$1:$I$89,7,0))</f>
        <v>0</v>
      </c>
      <c r="KK108" s="16">
        <f>IF(ISNA(VLOOKUP($A108,'Données projet'!$A$382:$I$402,6,0)),0%,VLOOKUP($A108,'Données projet'!$A$382:$I$402,6,0)*VLOOKUP('Données projet'!$B$22,Paramètres!$A$1:$I$89,7,0))</f>
        <v>0</v>
      </c>
      <c r="KL108" s="16">
        <f>IF(ISNA(VLOOKUP($A108,'Données projet'!$A$382:$I$402,7,0)),0%,VLOOKUP($A108,'Données projet'!$A$382:$I$402,7,0))</f>
        <v>0</v>
      </c>
      <c r="KM108" s="21">
        <f>EXP(-LN(2)/35)*KM107+(1-EXP(-LN(2)/35))/(LN(2)/35)*KI108*KJ108*VLOOKUP('Données projet'!$B$22,Paramètres!$A$1:$I$89,3,0)*0.475*44/12</f>
        <v>39.876520119373531</v>
      </c>
      <c r="KN108" s="21">
        <f>EXP(-LN(2)/25)*KN107+(1-EXP(-LN(2)/25))/(LN(2)/25)*Calculateur!KI108*Calculateur!KK108*VLOOKUP('Données projet'!$B$22,Paramètres!$A$1:$I$89,3,0)*0.475*44/12</f>
        <v>0</v>
      </c>
      <c r="KO108" s="21">
        <f>EXP(-LN(2)/2)*KO107+(1-EXP(-LN(2)/2))/(LN(2)/2)*KI108*KL108*VLOOKUP('Données projet'!$B$22,Paramètres!$A$1:$I$89,3,0)*0.475*44/12</f>
        <v>0</v>
      </c>
      <c r="KP108" s="22">
        <f t="shared" si="161"/>
        <v>39.876520119373531</v>
      </c>
      <c r="KQ108" s="74">
        <f>('Scénario référence'!$F$8+'Scénario référence'!$F$9+'Scénario référence'!$B$17+'Scénario référence'!$B$9+'Scénario référence'!$B$10)*70+IF((45+25*(1-EXP(-0.0175*$A108)))&lt;70,'Scénario référence'!$B$16*(45+25*(1-EXP(-0.0175*$A108))),70*'Scénario référence'!$B$16)+IF((32+38*(1-EXP(-0.0175*$A108)))&lt;70,'Scénario référence'!$B$18*(32+38*(1-EXP(-0.0175*$A108))),70*'Scénario référence'!$B$18)</f>
        <v>70</v>
      </c>
      <c r="KR108" s="12">
        <f>IF($A108&gt;30,10,('Scénario référence'!$B$16+'Scénario référence'!$B$17+'Scénario référence'!$B$18+'Scénario référence'!$B$9+'Scénario référence'!$B$10)*$A108*10/30+('Scénario référence'!$F$8+'Scénario référence'!$F$9)*10)</f>
        <v>10</v>
      </c>
      <c r="KS108" s="12" t="e">
        <f>VLOOKUP($A108,'Données projet'!$A$408:$I$428,2,0)</f>
        <v>#N/A</v>
      </c>
      <c r="KT108" s="12" t="e">
        <f>VLOOKUP($A108,'Données projet'!$A$408:$I$428,9,0)</f>
        <v>#N/A</v>
      </c>
      <c r="KU108" s="12">
        <f t="array" ref="KU108">INDEX(KT:KT,MIN(IF(ISNUMBER(KT108:KT304),ROW(KT108:KT304),"")))</f>
        <v>0</v>
      </c>
      <c r="KV108" s="12">
        <f>IF('Données projet'!$A$408&gt;35,KV107+KU108-LD107,IF($A108&lt;'Données projet'!$A$408,$CQ$205^$A108,IF($A108='Données projet'!$A$408,'Données projet'!$B$408,KV107+KU108-LD107)))</f>
        <v>-1.1368683772161603E-13</v>
      </c>
      <c r="KW108" s="17">
        <f>KV108*VLOOKUP('Données projet'!$B$23,Paramètres!$A$1:$I$89,3,0)*VLOOKUP('Données projet'!$B$23,Paramètres!$A$1:$I$89,5,0)</f>
        <v>-9.9316821433603781E-14</v>
      </c>
      <c r="KX108" s="13" t="e">
        <f t="shared" si="210"/>
        <v>#NUM!</v>
      </c>
      <c r="KY108" s="14" t="e">
        <f t="shared" si="162"/>
        <v>#NUM!</v>
      </c>
      <c r="KZ108" s="59" t="e">
        <f t="shared" si="163"/>
        <v>#NUM!</v>
      </c>
      <c r="LA108" s="59">
        <f ca="1">AVERAGE(OFFSET($KZ$3,0,0,'Données projet'!$E$23+1,1))-AVERAGE(OFFSET($H$3,0,0,'Données projet'!$E$23+1,1))</f>
        <v>248.33596943633819</v>
      </c>
      <c r="LB108" s="59">
        <f t="shared" si="211"/>
        <v>242.34010522344573</v>
      </c>
      <c r="LC108" s="15">
        <f>IF(ISNA(VLOOKUP($A108,'Données projet'!$A$408:$I$428,3,0)),0,VLOOKUP($A108,'Données projet'!$A$408:$I$428,3,0))</f>
        <v>0</v>
      </c>
      <c r="LD108" s="15">
        <f>IF(ISNA(VLOOKUP($A108,'Données projet'!$A$408:$I$428,4,0)),0,VLOOKUP($A108,'Données projet'!$A$408:$I$428,4,0))</f>
        <v>0</v>
      </c>
      <c r="LE108" s="16">
        <f>IF(ISNA(VLOOKUP($A108,'Données projet'!$A$408:$I$428,5,0)),0%,VLOOKUP($A108,'Données projet'!$A$408:$I$428,5,0)*VLOOKUP('Données projet'!$B$23,Paramètres!$A$1:$I$89,7,0))</f>
        <v>0</v>
      </c>
      <c r="LF108" s="16">
        <f>IF(ISNA(VLOOKUP($A108,'Données projet'!$A$408:$I$428,6,0)),0%,VLOOKUP($A108,'Données projet'!$A$408:$I$428,6,0)*VLOOKUP('Données projet'!$B$23,Paramètres!$A$1:$I$89,7,0))</f>
        <v>0</v>
      </c>
      <c r="LG108" s="16">
        <f>IF(ISNA(VLOOKUP($A108,'Données projet'!$A$408:$I$428,7,0)),0%,VLOOKUP($A108,'Données projet'!$A$408:$I$428,7,0))</f>
        <v>0</v>
      </c>
      <c r="LH108" s="21">
        <f>EXP(-LN(2)/35)*LH107+(1-EXP(-LN(2)/35))/(LN(2)/35)*LD108*LE108*VLOOKUP('Données projet'!$B$23,Paramètres!$A$1:$I$89,3,0)*0.475*44/12</f>
        <v>75.10367652788797</v>
      </c>
      <c r="LI108" s="21">
        <f>EXP(-LN(2)/25)*LI107+(1-EXP(-LN(2)/25))/(LN(2)/25)*Calculateur!LD108*Calculateur!LF108*VLOOKUP('Données projet'!$B$23,Paramètres!$A$1:$I$89,3,0)*0.475*44/12</f>
        <v>10.888554266523093</v>
      </c>
      <c r="LJ108" s="21">
        <f>EXP(-LN(2)/2)*LJ107+(1-EXP(-LN(2)/2))/(LN(2)/2)*LD108*LG108*VLOOKUP('Données projet'!$B$23,Paramètres!$A$1:$I$89,3,0)*0.475*44/12</f>
        <v>0</v>
      </c>
      <c r="LK108" s="22">
        <f t="shared" si="164"/>
        <v>85.992230794411057</v>
      </c>
      <c r="LL108" s="74">
        <f>('Scénario référence'!$F$8+'Scénario référence'!$F$9+'Scénario référence'!$B$17+'Scénario référence'!$B$9+'Scénario référence'!$B$10)*70+IF((45+25*(1-EXP(-0.0175*$A108)))&lt;70,'Scénario référence'!$B$16*(45+25*(1-EXP(-0.0175*$A108))),70*'Scénario référence'!$B$16)+IF((32+38*(1-EXP(-0.0175*$A108)))&lt;70,'Scénario référence'!$B$18*(32+38*(1-EXP(-0.0175*$A108))),70*'Scénario référence'!$B$18)</f>
        <v>70</v>
      </c>
      <c r="LM108" s="12">
        <f>IF($A108&gt;30,10,('Scénario référence'!$B$16+'Scénario référence'!$B$17+'Scénario référence'!$B$18+'Scénario référence'!$B$9+'Scénario référence'!$B$10)*$A108*10/30+('Scénario référence'!$F$8+'Scénario référence'!$F$9)*10)</f>
        <v>10</v>
      </c>
      <c r="LN108" s="12" t="e">
        <f>VLOOKUP($A108,'Données projet'!$A$434:$I$454,2,0)</f>
        <v>#N/A</v>
      </c>
      <c r="LO108" s="12" t="e">
        <f>VLOOKUP($A108,'Données projet'!$A$434:$I$454,9,0)</f>
        <v>#N/A</v>
      </c>
      <c r="LP108" s="12">
        <f t="array" ref="LP108">INDEX(LO:LO,MIN(IF(ISNUMBER(LO108:LO304),ROW(LO108:LO304),"")))</f>
        <v>5.0961538461538449</v>
      </c>
      <c r="LQ108" s="12">
        <f>IF('Données projet'!$A$434&gt;35,LQ107+LP108-LY107,IF($A108&lt;'Données projet'!$A$434,$CQ$205^$A108,IF($A108='Données projet'!$A$434,'Données projet'!$B$434,LQ107+LP108-LY107)))</f>
        <v>205.44871794871764</v>
      </c>
      <c r="LR108" s="17">
        <f>LQ108*VLOOKUP('Données projet'!$B$24,Paramètres!$A$1:$I$89,3,0)*VLOOKUP('Données projet'!$B$24,Paramètres!$A$1:$I$89,5,0)</f>
        <v>208.32499999999973</v>
      </c>
      <c r="LS108" s="13">
        <f t="shared" si="212"/>
        <v>51.569385633240543</v>
      </c>
      <c r="LT108" s="14">
        <f t="shared" si="165"/>
        <v>452.64938831122686</v>
      </c>
      <c r="LU108" s="59">
        <f t="shared" si="166"/>
        <v>745.98272164456012</v>
      </c>
      <c r="LV108" s="59">
        <f ca="1">AVERAGE(OFFSET($LU$3,0,0,'Données projet'!$E$24+1,1))-AVERAGE(OFFSET($H$3,0,0,'Données projet'!$E$24+1,1))</f>
        <v>260.52627655062872</v>
      </c>
      <c r="LW108" s="59">
        <f t="shared" si="213"/>
        <v>159.20429420478047</v>
      </c>
      <c r="LX108" s="15">
        <f>IF(ISNA(VLOOKUP($A108,'Données projet'!$A$434:$I$454,3,0)),0,VLOOKUP($A108,'Données projet'!$A$434:$I$454,3,0))</f>
        <v>0</v>
      </c>
      <c r="LY108" s="15">
        <f>IF(ISNA(VLOOKUP($A108,'Données projet'!$A$434:$I$454,4,0)),0,VLOOKUP($A108,'Données projet'!$A$434:$I$454,4,0))</f>
        <v>0</v>
      </c>
      <c r="LZ108" s="16">
        <f>IF(ISNA(VLOOKUP($A108,'Données projet'!$A$434:$I$454,5,0)),0%,VLOOKUP($A108,'Données projet'!$A$434:$I$454,5,0)*VLOOKUP('Données projet'!$B$24,Paramètres!$A$1:$I$89,7,0))</f>
        <v>0</v>
      </c>
      <c r="MA108" s="16">
        <f>IF(ISNA(VLOOKUP($A108,'Données projet'!$A$434:$I$454,6,0)),0%,VLOOKUP($A108,'Données projet'!$A$434:$I$454,6,0)*VLOOKUP('Données projet'!$B$24,Paramètres!$A$1:$I$89,7,0))</f>
        <v>0</v>
      </c>
      <c r="MB108" s="16">
        <f>IF(ISNA(VLOOKUP($A108,'Données projet'!$A$434:$I$454,7,0)),0%,VLOOKUP($A108,'Données projet'!$A$434:$I$454,7,0))</f>
        <v>0</v>
      </c>
      <c r="MC108" s="21">
        <f>EXP(-LN(2)/35)*MC107+(1-EXP(-LN(2)/35))/(LN(2)/35)*LY108*LZ108*VLOOKUP('Données projet'!$B$24,Paramètres!$A$1:$I$89,3,0)*0.475*44/12</f>
        <v>34.385681204131842</v>
      </c>
      <c r="MD108" s="21">
        <f>EXP(-LN(2)/25)*MD107+(1-EXP(-LN(2)/25))/(LN(2)/25)*Calculateur!LY108*Calculateur!MA108*VLOOKUP('Données projet'!$B$24,Paramètres!$A$1:$I$89,3,0)*0.475*44/12</f>
        <v>0</v>
      </c>
      <c r="ME108" s="21">
        <f>EXP(-LN(2)/2)*ME107+(1-EXP(-LN(2)/2))/(LN(2)/2)*LY108*MB108*VLOOKUP('Données projet'!$B$24,Paramètres!$A$1:$I$89,3,0)*0.475*44/12</f>
        <v>0</v>
      </c>
      <c r="MF108" s="22">
        <f t="shared" si="167"/>
        <v>34.385681204131842</v>
      </c>
      <c r="MG108" s="74">
        <f>('Scénario référence'!$F$8+'Scénario référence'!$F$9+'Scénario référence'!$B$17+'Scénario référence'!$B$9+'Scénario référence'!$B$10)*70+IF((45+25*(1-EXP(-0.0175*$A108)))&lt;70,'Scénario référence'!$B$16*(45+25*(1-EXP(-0.0175*$A108))),70*'Scénario référence'!$B$16)+IF((32+38*(1-EXP(-0.0175*$A108)))&lt;70,'Scénario référence'!$B$18*(32+38*(1-EXP(-0.0175*$A108))),70*'Scénario référence'!$B$18)</f>
        <v>70</v>
      </c>
      <c r="MH108" s="12">
        <f>IF($A108&gt;30,10,('Scénario référence'!$B$16+'Scénario référence'!$B$17+'Scénario référence'!$B$18+'Scénario référence'!$B$9+'Scénario référence'!$B$10)*$A108*10/30+('Scénario référence'!$F$8+'Scénario référence'!$F$9)*10)</f>
        <v>10</v>
      </c>
      <c r="MI108" s="12" t="e">
        <f>VLOOKUP($A108,'Données projet'!$A$460:$I$480,2,0)</f>
        <v>#N/A</v>
      </c>
      <c r="MJ108" s="12" t="e">
        <f>VLOOKUP($A108,'Données projet'!$A$460:$I$480,9,0)</f>
        <v>#N/A</v>
      </c>
      <c r="MK108" s="12">
        <f t="array" ref="MK108">INDEX(MJ:MJ,MIN(IF(ISNUMBER(MJ108:MJ304),ROW(MJ108:MJ304),"")))</f>
        <v>0</v>
      </c>
      <c r="ML108" s="12">
        <f>IF('Données projet'!$A$460&gt;35,ML107+MK108-MT107,IF($A108&lt;'Données projet'!$A$460,$CQ$205^$A108,IF($A108='Données projet'!$A$460,'Données projet'!$B$460,ML107+MK108-MT107)))</f>
        <v>0</v>
      </c>
      <c r="MM108" s="17" t="e">
        <f>ML108*VLOOKUP('Données projet'!$B$25,Paramètres!$A$1:$I$89,3,0)*VLOOKUP('Données projet'!$B$25,Paramètres!$A$1:$I$89,5,0)</f>
        <v>#N/A</v>
      </c>
      <c r="MN108" s="13" t="e">
        <f t="shared" si="214"/>
        <v>#N/A</v>
      </c>
      <c r="MO108" s="14" t="e">
        <f t="shared" si="168"/>
        <v>#N/A</v>
      </c>
      <c r="MP108" s="59" t="e">
        <f t="shared" si="169"/>
        <v>#N/A</v>
      </c>
      <c r="MQ108" s="20" t="e">
        <f ca="1">AVERAGE(OFFSET($MP$3,0,0,'Données projet'!$E$25+1,1))-AVERAGE(OFFSET($H$3,0,0,'Données projet'!$E$25+1,1))</f>
        <v>#N/A</v>
      </c>
      <c r="MR108" s="59" t="e">
        <f t="shared" si="215"/>
        <v>#N/A</v>
      </c>
      <c r="MS108" s="15">
        <f>IF(ISNA(VLOOKUP($A108,'Données projet'!$A$460:$I$480,3,0)),0,VLOOKUP($A108,'Données projet'!$A$460:$I$480,3,0))</f>
        <v>0</v>
      </c>
      <c r="MT108" s="15">
        <f>IF(ISNA(VLOOKUP($A108,'Données projet'!$A$460:$I$480,4,0)),0,VLOOKUP($A108,'Données projet'!$A$460:$I$480,4,0))</f>
        <v>0</v>
      </c>
      <c r="MU108" s="16">
        <f>IF(ISNA(VLOOKUP($A108,'Données projet'!$A$460:$I$480,5,0)),0%,VLOOKUP($A108,'Données projet'!$A$460:$I$480,5,0)*VLOOKUP('Données projet'!$B$25,Paramètres!$A$1:$I$89,7,0))</f>
        <v>0</v>
      </c>
      <c r="MV108" s="16">
        <f>IF(ISNA(VLOOKUP($A108,'Données projet'!$A$460:$I$480,6,0)),0%,VLOOKUP($A108,'Données projet'!$A$460:$I$480,6,0)*VLOOKUP('Données projet'!$B$25,Paramètres!$A$1:$I$89,7,0))</f>
        <v>0</v>
      </c>
      <c r="MW108" s="16">
        <f>IF(ISNA(VLOOKUP($A108,'Données projet'!$A$460:$I$480,7,0)),0%,VLOOKUP($A108,'Données projet'!$A$460:$I$480,7,0))</f>
        <v>0</v>
      </c>
      <c r="MX108" s="21" t="e">
        <f>EXP(-LN(2)/35)*MX107+(1-EXP(-LN(2)/35))/(LN(2)/35)*MT108*MU108*VLOOKUP('Données projet'!$B$25,Paramètres!$A$1:$I$89,3,0)*0.475*44/12</f>
        <v>#N/A</v>
      </c>
      <c r="MY108" s="21" t="e">
        <f>EXP(-LN(2)/25)*MY107+(1-EXP(-LN(2)/25))/(LN(2)/25)*Calculateur!MT108*Calculateur!MV108*VLOOKUP('Données projet'!$B$25,Paramètres!$A$1:$I$89,3,0)*0.475*44/12</f>
        <v>#N/A</v>
      </c>
      <c r="MZ108" s="21" t="e">
        <f>EXP(-LN(2)/2)*MZ107+(1-EXP(-LN(2)/2))/(LN(2)/2)*MT108*MW108*VLOOKUP('Données projet'!$B$25,Paramètres!$A$1:$I$89,3,0)*0.475*44/12</f>
        <v>#N/A</v>
      </c>
      <c r="NA108" s="22" t="e">
        <f t="shared" si="170"/>
        <v>#N/A</v>
      </c>
      <c r="NB108" s="74">
        <f>('Scénario référence'!$F$8+'Scénario référence'!$F$9+'Scénario référence'!$B$17+'Scénario référence'!$B$9+'Scénario référence'!$B$10)*70+IF((45+25*(1-EXP(-0.0175*$A108)))&lt;70,'Scénario référence'!$B$16*(45+25*(1-EXP(-0.0175*$A108))),70*'Scénario référence'!$B$16)+IF((32+38*(1-EXP(-0.0175*$A108)))&lt;70,'Scénario référence'!$B$18*(32+38*(1-EXP(-0.0175*$A108))),70*'Scénario référence'!$B$18)</f>
        <v>70</v>
      </c>
      <c r="NC108" s="12">
        <f>IF($A108&gt;30,10,('Scénario référence'!$B$16+'Scénario référence'!$B$17+'Scénario référence'!$B$18+'Scénario référence'!$B$9+'Scénario référence'!$B$10)*$A108*10/30+('Scénario référence'!$F$8+'Scénario référence'!$F$9)*10)</f>
        <v>10</v>
      </c>
      <c r="ND108" s="12" t="e">
        <f>VLOOKUP($A108,'Données projet'!$A$486:$I$506,2,0)</f>
        <v>#N/A</v>
      </c>
      <c r="NE108" s="12" t="e">
        <f>VLOOKUP($A108,'Données projet'!$A$486:$I$506,9,0)</f>
        <v>#N/A</v>
      </c>
      <c r="NF108" s="12">
        <f t="array" ref="NF108">INDEX(NE:NE,MIN(IF(ISNUMBER(NE108:NE304),ROW(NE108:NE304),"")))</f>
        <v>0</v>
      </c>
      <c r="NG108" s="12">
        <f>IF('Données projet'!$A$486&gt;35,NG107+NF108-NO107,IF($A108&lt;'Données projet'!$A$486,$CQ$205^$A108,IF($A108='Données projet'!$A$486,'Données projet'!$B$486,NG107+NF108-NO107)))</f>
        <v>0</v>
      </c>
      <c r="NH108" s="17" t="e">
        <f>NG108*VLOOKUP('Données projet'!$B$26,Paramètres!$A$1:$I$89,3,0)*VLOOKUP('Données projet'!$B$26,Paramètres!$A$1:$I$89,5,0)</f>
        <v>#N/A</v>
      </c>
      <c r="NI108" s="13" t="e">
        <f t="shared" si="216"/>
        <v>#N/A</v>
      </c>
      <c r="NJ108" s="14" t="e">
        <f t="shared" si="171"/>
        <v>#N/A</v>
      </c>
      <c r="NK108" s="59" t="e">
        <f t="shared" si="172"/>
        <v>#N/A</v>
      </c>
      <c r="NL108" s="20" t="e">
        <f ca="1">AVERAGE(OFFSET($NK$3,0,0,'Données projet'!$E$26+1,1))-AVERAGE(OFFSET($H$3,0,0,'Données projet'!$E$26+1,1))</f>
        <v>#N/A</v>
      </c>
      <c r="NM108" s="59" t="e">
        <f t="shared" si="217"/>
        <v>#N/A</v>
      </c>
      <c r="NN108" s="15">
        <f>IF(ISNA(VLOOKUP($A108,'Données projet'!$A$486:$I$506,3,0)),0,VLOOKUP($A108,'Données projet'!$A$486:$I$506,3,0))</f>
        <v>0</v>
      </c>
      <c r="NO108" s="15">
        <f>IF(ISNA(VLOOKUP($A108,'Données projet'!$A$486:$I$506,4,0)),0,VLOOKUP($A108,'Données projet'!$A$486:$I$506,4,0))</f>
        <v>0</v>
      </c>
      <c r="NP108" s="16">
        <f>IF(ISNA(VLOOKUP($A108,'Données projet'!$A$486:$I$506,5,0)),0%,VLOOKUP($A108,'Données projet'!$A$486:$I$506,5,0)*VLOOKUP('Données projet'!$B$26,Paramètres!$A$1:$I$89,7,0))</f>
        <v>0</v>
      </c>
      <c r="NQ108" s="16">
        <f>IF(ISNA(VLOOKUP($A108,'Données projet'!$A$486:$I$506,6,0)),0%,VLOOKUP($A108,'Données projet'!$A$486:$I$506,6,0)*VLOOKUP('Données projet'!$B$26,Paramètres!$A$1:$I$89,7,0))</f>
        <v>0</v>
      </c>
      <c r="NR108" s="16">
        <f>IF(ISNA(VLOOKUP($A108,'Données projet'!$A$486:$I$506,7,0)),0%,VLOOKUP($A108,'Données projet'!$A$486:$I$506,7,0))</f>
        <v>0</v>
      </c>
      <c r="NS108" s="21" t="e">
        <f>EXP(-LN(2)/35)*NS107+(1-EXP(-LN(2)/35))/(LN(2)/35)*NO108*NP108*VLOOKUP('Données projet'!$B$26,Paramètres!$A$1:$I$89,3,0)*0.475*44/12</f>
        <v>#N/A</v>
      </c>
      <c r="NT108" s="21" t="e">
        <f>EXP(-LN(2)/25)*NT107+(1-EXP(-LN(2)/25))/(LN(2)/25)*Calculateur!NO108*Calculateur!NQ108*VLOOKUP('Données projet'!$B$26,Paramètres!$A$1:$I$89,3,0)*0.475*44/12</f>
        <v>#N/A</v>
      </c>
      <c r="NU108" s="21" t="e">
        <f>EXP(-LN(2)/2)*NU107+(1-EXP(-LN(2)/2))/(LN(2)/2)*NO108*NR108*VLOOKUP('Données projet'!$B$26,Paramètres!$A$1:$I$89,3,0)*0.475*44/12</f>
        <v>#N/A</v>
      </c>
      <c r="NV108" s="22" t="e">
        <f t="shared" si="173"/>
        <v>#N/A</v>
      </c>
      <c r="NW108" s="74">
        <f>('Scénario référence'!$F$8+'Scénario référence'!$F$9+'Scénario référence'!$B$17+'Scénario référence'!$B$9+'Scénario référence'!$B$10)*70+IF((45+25*(1-EXP(-0.0175*$A108)))&lt;70,'Scénario référence'!$B$16*(45+25*(1-EXP(-0.0175*$A108))),70*'Scénario référence'!$B$16)+IF((32+38*(1-EXP(-0.0175*$A108)))&lt;70,'Scénario référence'!$B$18*(32+38*(1-EXP(-0.0175*$A108))),70*'Scénario référence'!$B$18)</f>
        <v>70</v>
      </c>
      <c r="NX108" s="12">
        <f>IF($A108&gt;30,10,('Scénario référence'!$B$16+'Scénario référence'!$B$17+'Scénario référence'!$B$18+'Scénario référence'!$B$9+'Scénario référence'!$B$10)*$A108*10/30+('Scénario référence'!$F$8+'Scénario référence'!$F$9)*10)</f>
        <v>10</v>
      </c>
      <c r="NY108" s="12" t="e">
        <f>VLOOKUP($A108,'Données projet'!$A$512:$I$532,2,0)</f>
        <v>#N/A</v>
      </c>
      <c r="NZ108" s="12" t="e">
        <f>VLOOKUP($A108,'Données projet'!$A$512:$I$532,9,0)</f>
        <v>#N/A</v>
      </c>
      <c r="OA108" s="12">
        <f t="array" ref="OA108">INDEX(NZ:NZ,MIN(IF(ISNUMBER(NZ108:NZ304),ROW(NZ108:NZ304),"")))</f>
        <v>0</v>
      </c>
      <c r="OB108" s="12">
        <f>IF('Données projet'!$A$512&gt;35,OB107+OA108-OJ107,IF($A108&lt;'Données projet'!$A$512,$CQ$205^$A108,IF($A108='Données projet'!$A$512,'Données projet'!$B$512,OB107+OA108-OJ107)))</f>
        <v>0</v>
      </c>
      <c r="OC108" s="17" t="e">
        <f>OB108*VLOOKUP('Données projet'!$B$27,Paramètres!$A$1:$I$89,3,0)*VLOOKUP('Données projet'!$B$27,Paramètres!$A$1:$I$89,5,0)</f>
        <v>#N/A</v>
      </c>
      <c r="OD108" s="13" t="e">
        <f t="shared" si="218"/>
        <v>#N/A</v>
      </c>
      <c r="OE108" s="14" t="e">
        <f t="shared" si="174"/>
        <v>#N/A</v>
      </c>
      <c r="OF108" s="59" t="e">
        <f t="shared" si="175"/>
        <v>#N/A</v>
      </c>
      <c r="OG108" s="20" t="e">
        <f ca="1">AVERAGE(OFFSET($OF$3,0,0,'Données projet'!$E$27+1,1))-AVERAGE(OFFSET($H$3,0,0,'Données projet'!$E$27+1,1))</f>
        <v>#N/A</v>
      </c>
      <c r="OH108" s="59" t="e">
        <f t="shared" si="219"/>
        <v>#N/A</v>
      </c>
      <c r="OI108" s="15">
        <f>IF(ISNA(VLOOKUP($A108,'Données projet'!$A$512:$I$532,3,0)),0,VLOOKUP($A108,'Données projet'!$A$512:$I$532,3,0))</f>
        <v>0</v>
      </c>
      <c r="OJ108" s="15">
        <f>IF(ISNA(VLOOKUP($A108,'Données projet'!$A$512:$I$532,4,0)),0,VLOOKUP($A108,'Données projet'!$A$512:$I$532,4,0))</f>
        <v>0</v>
      </c>
      <c r="OK108" s="16">
        <f>IF(ISNA(VLOOKUP($A108,'Données projet'!$A$512:$I$532,5,0)),0%,VLOOKUP($A108,'Données projet'!$A$512:$I$532,5,0)*VLOOKUP('Données projet'!$B$27,Paramètres!$A$1:$I$89,7,0))</f>
        <v>0</v>
      </c>
      <c r="OL108" s="16">
        <f>IF(ISNA(VLOOKUP($A108,'Données projet'!$A$512:$I$532,6,0)),0%,VLOOKUP($A108,'Données projet'!$A$512:$I$532,6,0)*VLOOKUP('Données projet'!$B$27,Paramètres!$A$1:$I$89,7,0))</f>
        <v>0</v>
      </c>
      <c r="OM108" s="16">
        <f>IF(ISNA(VLOOKUP($A108,'Données projet'!$A$512:$I$532,7,0)),0%,VLOOKUP($A108,'Données projet'!$A$512:$I$532,7,0))</f>
        <v>0</v>
      </c>
      <c r="ON108" s="21" t="e">
        <f>EXP(-LN(2)/35)*ON107+(1-EXP(-LN(2)/35))/(LN(2)/35)*OJ108*OK108*VLOOKUP('Données projet'!$B$27,Paramètres!$A$1:$I$89,3,0)*0.475*44/12</f>
        <v>#N/A</v>
      </c>
      <c r="OO108" s="21" t="e">
        <f>EXP(-LN(2)/25)*OO107+(1-EXP(-LN(2)/25))/(LN(2)/25)*Calculateur!OJ108*Calculateur!OL108*VLOOKUP('Données projet'!$B$27,Paramètres!$A$1:$I$89,3,0)*0.475*44/12</f>
        <v>#N/A</v>
      </c>
      <c r="OP108" s="21" t="e">
        <f>EXP(-LN(2)/2)*OP107+(1-EXP(-LN(2)/2))/(LN(2)/2)*OJ108*OM108*VLOOKUP('Données projet'!$B$27,Paramètres!$A$1:$I$89,3,0)*0.475*44/12</f>
        <v>#N/A</v>
      </c>
      <c r="OQ108" s="22" t="e">
        <f t="shared" si="176"/>
        <v>#N/A</v>
      </c>
      <c r="OR108" s="74">
        <f>('Scénario référence'!$F$8+'Scénario référence'!$F$9+'Scénario référence'!$B$17+'Scénario référence'!$B$9+'Scénario référence'!$B$10)*70+IF((45+25*(1-EXP(-0.0175*$A108)))&lt;70,'Scénario référence'!$B$16*(45+25*(1-EXP(-0.0175*$A108))),70*'Scénario référence'!$B$16)+IF((32+38*(1-EXP(-0.0175*$A108)))&lt;70,'Scénario référence'!$B$18*(32+38*(1-EXP(-0.0175*$A108))),70*'Scénario référence'!$B$18)</f>
        <v>70</v>
      </c>
      <c r="OS108" s="12">
        <f>IF($A108&gt;30,10,('Scénario référence'!$B$16+'Scénario référence'!$B$17+'Scénario référence'!$B$18+'Scénario référence'!$B$9+'Scénario référence'!$B$10)*$A108*10/30+('Scénario référence'!$F$8+'Scénario référence'!$F$9)*10)</f>
        <v>10</v>
      </c>
      <c r="OT108" s="12" t="e">
        <f>VLOOKUP($A108,'Données projet'!$A$538:$I$558,2,0)</f>
        <v>#N/A</v>
      </c>
      <c r="OU108" s="12" t="e">
        <f>VLOOKUP($A108,'Données projet'!$A$538:$I$558,9,0)</f>
        <v>#N/A</v>
      </c>
      <c r="OV108" s="12">
        <f t="array" ref="OV108">INDEX(OU:OU,MIN(IF(ISNUMBER(OU108:OU304),ROW(OU108:OU304),"")))</f>
        <v>0</v>
      </c>
      <c r="OW108" s="12">
        <f>IF('Données projet'!$A$538&gt;35,OW107+OV108-PE107,IF($A108&lt;'Données projet'!$A$538,$CQ$205^$A108,IF($A108='Données projet'!$A$538,'Données projet'!$B$538,OW107+OV108-PE107)))</f>
        <v>0</v>
      </c>
      <c r="OX108" s="17" t="e">
        <f>OW108*VLOOKUP('Données projet'!$B$28,Paramètres!$A$1:$I$89,3,0)*VLOOKUP('Données projet'!$B$28,Paramètres!$A$1:$I$89,5,0)</f>
        <v>#N/A</v>
      </c>
      <c r="OY108" s="13" t="e">
        <f t="shared" si="220"/>
        <v>#N/A</v>
      </c>
      <c r="OZ108" s="14" t="e">
        <f t="shared" si="177"/>
        <v>#N/A</v>
      </c>
      <c r="PA108" s="59" t="e">
        <f t="shared" si="178"/>
        <v>#N/A</v>
      </c>
      <c r="PB108" s="20" t="e">
        <f ca="1">AVERAGE(OFFSET($PA$3,0,0,'Données projet'!$E$28+1,1))-AVERAGE(OFFSET($H$3,0,0,'Données projet'!$E$28+1,1))</f>
        <v>#N/A</v>
      </c>
      <c r="PC108" s="59" t="e">
        <f t="shared" si="221"/>
        <v>#N/A</v>
      </c>
      <c r="PD108" s="15">
        <f>IF(ISNA(VLOOKUP($A108,'Données projet'!$A$538:$I$558,3,0)),0,VLOOKUP($A108,'Données projet'!$A$538:$I$558,3,0))</f>
        <v>0</v>
      </c>
      <c r="PE108" s="15">
        <f>IF(ISNA(VLOOKUP($A108,'Données projet'!$A$538:$I$558,4,0)),0,VLOOKUP($A108,'Données projet'!$A$538:$I$558,4,0))</f>
        <v>0</v>
      </c>
      <c r="PF108" s="16">
        <f>IF(ISNA(VLOOKUP($A108,'Données projet'!$A$538:$I$558,5,0)),0%,VLOOKUP($A108,'Données projet'!$A$538:$I$558,5,0)*VLOOKUP('Données projet'!$B$28,Paramètres!$A$1:$I$89,7,0))</f>
        <v>0</v>
      </c>
      <c r="PG108" s="16">
        <f>IF(ISNA(VLOOKUP($A108,'Données projet'!$A$538:$I$558,6,0)),0%,VLOOKUP($A108,'Données projet'!$A$538:$I$558,6,0)*VLOOKUP('Données projet'!$B$28,Paramètres!$A$1:$I$89,7,0))</f>
        <v>0</v>
      </c>
      <c r="PH108" s="16">
        <f>IF(ISNA(VLOOKUP($A108,'Données projet'!$A$538:$I$558,7,0)),0%,VLOOKUP($A108,'Données projet'!$A$538:$I$558,7,0))</f>
        <v>0</v>
      </c>
      <c r="PI108" s="21" t="e">
        <f>EXP(-LN(2)/35)*PI107+(1-EXP(-LN(2)/35))/(LN(2)/35)*PE108*PF108*VLOOKUP('Données projet'!$B$28,Paramètres!$A$1:$I$89,3,0)*0.475*44/12</f>
        <v>#N/A</v>
      </c>
      <c r="PJ108" s="21" t="e">
        <f>EXP(-LN(2)/25)*PJ107+(1-EXP(-LN(2)/25))/(LN(2)/25)*Calculateur!PE108*Calculateur!PG108*VLOOKUP('Données projet'!$B$28,Paramètres!$A$1:$I$89,3,0)*0.475*44/12</f>
        <v>#N/A</v>
      </c>
      <c r="PK108" s="21" t="e">
        <f>EXP(-LN(2)/2)*PK107+(1-EXP(-LN(2)/2))/(LN(2)/2)*PE108*PH108*VLOOKUP('Données projet'!$B$28,Paramètres!$A$1:$I$89,3,0)*0.475*44/12</f>
        <v>#N/A</v>
      </c>
      <c r="PL108" s="22" t="e">
        <f t="shared" si="179"/>
        <v>#N/A</v>
      </c>
    </row>
    <row r="109" spans="1:428" x14ac:dyDescent="0.35">
      <c r="A109" s="10">
        <f t="shared" si="180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181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121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projet'!$A$45:$I$65,2,0)</f>
        <v>#N/A</v>
      </c>
      <c r="L109" s="12" t="e">
        <f>VLOOKUP(A109,'Données projet'!$A$45:$I$65,9,0)</f>
        <v>#N/A</v>
      </c>
      <c r="M109" s="12">
        <f t="array" ref="M109">INDEX(L:L,MIN(IF(ISNUMBER(L109:L305),ROW(L109:L305),"")))</f>
        <v>0</v>
      </c>
      <c r="N109" s="13">
        <f>IF('Données projet'!$A$46&gt;35,N108+M109-V108,IF(A109&lt;'Données projet'!$A$46,$K$205^A109,IF(A109='Données projet'!$A$46,'Données projet'!$B$46,N108+M109-V108)))</f>
        <v>-1.1368683772161603E-13</v>
      </c>
      <c r="O109" s="13">
        <f>N109*VLOOKUP('Données projet'!$B$9,Paramètres!$A$1:$I$89,3,0)*VLOOKUP('Données projet'!$B$9,Paramètres!$A$1:$I$89,5,0)</f>
        <v>-6.3550942286383367E-14</v>
      </c>
      <c r="P109" s="13" t="e">
        <f t="shared" si="182"/>
        <v>#NUM!</v>
      </c>
      <c r="Q109" s="20" t="e">
        <f t="shared" si="222"/>
        <v>#NUM!</v>
      </c>
      <c r="R109" s="59" t="e">
        <f t="shared" si="120"/>
        <v>#NUM!</v>
      </c>
      <c r="S109" s="59">
        <f ca="1">AVERAGE(OFFSET($R$3,0,0,'Données projet'!$E$9+1,1))-AVERAGE(OFFSET($H$3,0,0,'Données projet'!$E$9+1,1))</f>
        <v>274.57619581652199</v>
      </c>
      <c r="T109" s="59">
        <f t="shared" si="183"/>
        <v>366.15117322598775</v>
      </c>
      <c r="U109" s="15">
        <f>IF(ISNA(VLOOKUP(A109,'Données projet'!$A$45:$I$65,3,0)),0,VLOOKUP(A109,'Données projet'!$A$45:$I$65,3,0))</f>
        <v>0</v>
      </c>
      <c r="V109" s="15">
        <f>IF(ISNA(VLOOKUP(A109,'Données projet'!$A$45:$I$65,4,0)),0,VLOOKUP(A109,'Données projet'!$A$45:$I$65,4,0))</f>
        <v>0</v>
      </c>
      <c r="W109" s="16">
        <f>IF(ISNA(VLOOKUP(A109,'Données projet'!$A$45:$I$65,5,0)),0%,VLOOKUP(A109,'Données projet'!$A$45:$I$65,5,0)*VLOOKUP('Données projet'!$B$9,Paramètres!$A$1:$I$89,7,0))</f>
        <v>0</v>
      </c>
      <c r="X109" s="16">
        <f>IF(ISNA(VLOOKUP(A109,'Données projet'!$A$45:$I$65,6,0)),0%,VLOOKUP(A109,'Données projet'!$A$45:$I$65,6,0)*VLOOKUP('Données projet'!$B$9,Paramètres!$A$1:$I$89,7,0))</f>
        <v>0</v>
      </c>
      <c r="Y109" s="16">
        <f>IF(ISNA(VLOOKUP(A109,'Données projet'!$A$45:$I$65,7,0)),0%,VLOOKUP(A109,'Données projet'!$A$45:$I$65,7,0))</f>
        <v>0</v>
      </c>
      <c r="Z109" s="21">
        <f>EXP(-LN(2)/35)*Z108+(1-EXP(-LN(2)/35))/(LN(2)/35)*V109*W109*VLOOKUP('Données projet'!$B$9,Paramètres!$A$1:$I$89,3,0)*0.475*44/12</f>
        <v>82.551617144001526</v>
      </c>
      <c r="AA109" s="21">
        <f>EXP(-LN(2)/25)*AA108+(1-EXP(-LN(2)/25))/(LN(2)/25)*Calculateur!V109*Calculateur!X109*VLOOKUP('Données projet'!$B$9,Paramètres!$A$1:$I$89,3,0)*0.475*44/12</f>
        <v>14.008098834641816</v>
      </c>
      <c r="AB109" s="21">
        <f>EXP(-LN(2)/2)*AB108+(1-EXP(-LN(2)/2))/(LN(2)/2)*V109*Y109*VLOOKUP('Données projet'!$B$9,Paramètres!$A$1:$I$89,3,0)*0.475*44/12</f>
        <v>7.1989565239796306E-7</v>
      </c>
      <c r="AC109" s="22">
        <f t="shared" si="122"/>
        <v>96.559716698538992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projet'!$A$71:$I$91,2,0)</f>
        <v>#N/A</v>
      </c>
      <c r="AG109" s="12" t="e">
        <f>VLOOKUP(A109,'Données projet'!$A$71:$I$91,9,0)</f>
        <v>#N/A</v>
      </c>
      <c r="AH109" s="12">
        <f t="array" ref="AH109">INDEX(AG:AG,MIN(IF(ISNUMBER(AG109:AG305),ROW(AG109:AG305),"")))</f>
        <v>6.9935897435897401</v>
      </c>
      <c r="AI109" s="13">
        <f>IF('Données projet'!$A$72&gt;35,AI108+AH109-AQ108,IF(A109&lt;'Données projet'!$A$72,$AF$205^A109,IF(A109='Données projet'!$A$72,'Données projet'!$B$72,AI108+AH109-AQ108)))</f>
        <v>319.1858974358978</v>
      </c>
      <c r="AJ109" s="13">
        <f>AI109*VLOOKUP('Données projet'!$B$10,Paramètres!$A$1:$I$89,3,0)*VLOOKUP('Données projet'!$B$10,Paramètres!$A$1:$I$89,5,0)</f>
        <v>288.79940000000033</v>
      </c>
      <c r="AK109" s="13">
        <f t="shared" si="184"/>
        <v>68.82321300114252</v>
      </c>
      <c r="AL109" s="20">
        <f t="shared" si="123"/>
        <v>622.85938431032366</v>
      </c>
      <c r="AM109" s="59">
        <f t="shared" si="124"/>
        <v>916.19271764365703</v>
      </c>
      <c r="AN109" s="59">
        <f ca="1">AVERAGE(OFFSET($AM$3,0,0,'Données projet'!$E$10+1,1))-AVERAGE(OFFSET($H$3,0,0,'Données projet'!$E$10+1,1))</f>
        <v>270.87836509222456</v>
      </c>
      <c r="AO109" s="59">
        <f t="shared" si="185"/>
        <v>205.24998237949734</v>
      </c>
      <c r="AP109" s="15">
        <f>IF(ISNA(VLOOKUP(A109,'Données projet'!$A$71:$I$91,3,0)),0,VLOOKUP(A109,'Données projet'!$A$71:$I$91,3,0))</f>
        <v>0</v>
      </c>
      <c r="AQ109" s="15">
        <f>IF(ISNA(VLOOKUP(A109,'Données projet'!$A$71:$I$91,4,0)),0,VLOOKUP(A109,'Données projet'!$A$71:$I$91,4,0))</f>
        <v>0</v>
      </c>
      <c r="AR109" s="16">
        <f>IF(ISNA(VLOOKUP(A109,'Données projet'!$A$71:$I$91,5,0)),0%,VLOOKUP(A109,'Données projet'!$A$71:$I$91,5,0)*VLOOKUP('Données projet'!$B$10,Paramètres!$A$1:$I$89,7,0))</f>
        <v>0</v>
      </c>
      <c r="AS109" s="16">
        <f>IF(ISNA(VLOOKUP(A109,'Données projet'!$A$71:$I$91,6,0)),0%,VLOOKUP(A109,'Données projet'!$A$71:$I$91,6,0)*VLOOKUP('Données projet'!$B$10,Paramètres!$A$1:$I$89,7,0))</f>
        <v>0</v>
      </c>
      <c r="AT109" s="16">
        <f>IF(ISNA(VLOOKUP(A109,'Données projet'!$A$71:$I$91,7,0)),0%,VLOOKUP(A109,'Données projet'!$A$71:$I$91,7,0))</f>
        <v>0</v>
      </c>
      <c r="AU109" s="21">
        <f>EXP(-LN(2)/35)*AU108+(1-EXP(-LN(2)/35))/(LN(2)/35)*AQ109*AR109*VLOOKUP('Données projet'!$B$10,Paramètres!$A$1:$I$89,3,0)*0.475*44/12</f>
        <v>42.782732474759975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125"/>
        <v>42.782732474759975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projet'!$A$97:$I$117,2,0)</f>
        <v>#N/A</v>
      </c>
      <c r="BB109" s="12" t="e">
        <f>VLOOKUP(A109,'Données projet'!$A$97:$I$117,9,0)</f>
        <v>#N/A</v>
      </c>
      <c r="BC109" s="12">
        <f t="array" ref="BC109">INDEX(BB:BB,MIN(IF(ISNUMBER(BB109:BB305),ROW(BB109:BB305),"")))</f>
        <v>0</v>
      </c>
      <c r="BD109" s="12">
        <f>IF('Données projet'!$A$98&gt;35,BD108+BC109-BL108,IF(A109&lt;'Données projet'!$A$98,$BA$205^A109,IF(A109='Données projet'!$A$98,'Données projet'!$B$98,BD108+BC109-BL108)))</f>
        <v>-1.1368683772161603E-13</v>
      </c>
      <c r="BE109" s="13">
        <f>BD109*VLOOKUP('Données projet'!$B$11,Paramètres!$A$1:$I$89,3,0)*VLOOKUP('Données projet'!$B$11,Paramètres!$A$1:$I$89,5,0)</f>
        <v>-5.0249582272954292E-14</v>
      </c>
      <c r="BF109" s="13" t="e">
        <f t="shared" si="186"/>
        <v>#NUM!</v>
      </c>
      <c r="BG109" s="20" t="e">
        <f t="shared" si="126"/>
        <v>#NUM!</v>
      </c>
      <c r="BH109" s="59" t="e">
        <f t="shared" si="127"/>
        <v>#NUM!</v>
      </c>
      <c r="BI109" s="59">
        <f ca="1">AVERAGE(OFFSET($BH$3,0,0,'Données projet'!$E$11+1,1))-AVERAGE(OFFSET($H$3,0,0,'Données projet'!$E$11+1,1))</f>
        <v>211.31057120485542</v>
      </c>
      <c r="BJ109" s="59">
        <f t="shared" si="187"/>
        <v>283.33292006714777</v>
      </c>
      <c r="BK109" s="15">
        <f>IF(ISNA(VLOOKUP(A109,'Données projet'!$A$97:$I$117,3,0)),0,VLOOKUP(A109,'Données projet'!$A$97:$I$117,3,0))</f>
        <v>0</v>
      </c>
      <c r="BL109" s="15">
        <f>IF(ISNA(VLOOKUP(A109,'Données projet'!$A$97:$I$117,4,0)),0,VLOOKUP(A109,'Données projet'!$A$97:$I$117,4,0))</f>
        <v>0</v>
      </c>
      <c r="BM109" s="16">
        <f>IF(ISNA(VLOOKUP(A109,'Données projet'!$A$97:$I$117,5,0)),0%,VLOOKUP(A109,'Données projet'!$A$97:$I$117,5,0)*VLOOKUP('Données projet'!$B$11,Paramètres!$A$1:$I$89,7,0))</f>
        <v>0</v>
      </c>
      <c r="BN109" s="16">
        <f>IF(ISNA(VLOOKUP(A109,'Données projet'!$A$97:$I$117,6,0)),0%,VLOOKUP(A109,'Données projet'!$A$97:$I$117,6,0)*VLOOKUP('Données projet'!$B$11,Paramètres!$A$1:$I$89,7,0))</f>
        <v>0</v>
      </c>
      <c r="BO109" s="16">
        <f>IF(ISNA(VLOOKUP(A109,'Données projet'!$A$97:$I$117,7,0)),0%,VLOOKUP(A109,'Données projet'!$A$97:$I$117,7,0))</f>
        <v>0</v>
      </c>
      <c r="BP109" s="21">
        <f>EXP(-LN(2)/35)*BP108+(1-EXP(-LN(2)/35))/(LN(2)/35)*BL109*BM109*VLOOKUP('Données projet'!$B$11,Paramètres!$A$1:$I$89,3,0)*0.475*44/12</f>
        <v>65.27337169525704</v>
      </c>
      <c r="BQ109" s="21">
        <f>EXP(-LN(2)/25)*BQ108+(1-EXP(-LN(2)/25))/(LN(2)/25)*Calculateur!BL109*Calculateur!BN109*VLOOKUP('Données projet'!$B$11,Paramètres!$A$1:$I$89,3,0)*0.475*44/12</f>
        <v>11.076171171577244</v>
      </c>
      <c r="BR109" s="21">
        <f>EXP(-LN(2)/2)*BR108+(1-EXP(-LN(2)/2))/(LN(2)/2)*BL109*BO109*VLOOKUP('Données projet'!$B$11,Paramètres!$A$1:$I$89,3,0)*0.475*44/12</f>
        <v>5.6921981817513347E-7</v>
      </c>
      <c r="BS109" s="22">
        <f t="shared" si="128"/>
        <v>76.349543436054105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projet'!$A$123:$I$143,2,0)</f>
        <v>#N/A</v>
      </c>
      <c r="BW109" s="12" t="e">
        <f>VLOOKUP(A109,'Données projet'!$A$123:$I$143,9,0)</f>
        <v>#N/A</v>
      </c>
      <c r="BX109" s="12">
        <f t="array" ref="BX109">INDEX(BW:BW,MIN(IF(ISNUMBER(BW109:BW305),ROW(BW109:BW305),"")))</f>
        <v>0</v>
      </c>
      <c r="BY109" s="12">
        <f>IF('Données projet'!$A$124&gt;35,BY108+BX109-CG108,IF(A109&lt;'Données projet'!$A$124,$BV$205^A109,IF(A109='Données projet'!$A$124,'Données projet'!$B$124,BY108+BX109-CG108)))</f>
        <v>0</v>
      </c>
      <c r="BZ109" s="13">
        <f>BY109*VLOOKUP('Données projet'!$B$12,Paramètres!$A$1:$I$89,3,0)*VLOOKUP('Données projet'!$B$12,Paramètres!$A$1:$I$89,5,0)</f>
        <v>0</v>
      </c>
      <c r="CA109" s="13" t="e">
        <f t="shared" si="188"/>
        <v>#NUM!</v>
      </c>
      <c r="CB109" s="20" t="e">
        <f t="shared" si="129"/>
        <v>#NUM!</v>
      </c>
      <c r="CC109" s="59" t="e">
        <f t="shared" si="130"/>
        <v>#NUM!</v>
      </c>
      <c r="CD109" s="59">
        <f ca="1">AVERAGE(OFFSET($CC$3,0,0,'Données projet'!$E$12+1,1))-AVERAGE(OFFSET($H$3,0,0,'Données projet'!$E$12+1,1))</f>
        <v>322.93502595881938</v>
      </c>
      <c r="CE109" s="59">
        <f t="shared" si="189"/>
        <v>302.67072119588164</v>
      </c>
      <c r="CF109" s="15">
        <f>IF(ISNA(VLOOKUP(A109,'Données projet'!$A$123:$I$143,3,0)),0,VLOOKUP(A109,'Données projet'!$A$123:$I$143,3,0))</f>
        <v>0</v>
      </c>
      <c r="CG109" s="15">
        <f>IF(ISNA(VLOOKUP(A109,'Données projet'!$A$123:$I$143,4,0)),0,VLOOKUP(A109,'Données projet'!$A$123:$I$143,4,0))</f>
        <v>0</v>
      </c>
      <c r="CH109" s="16">
        <f>IF(ISNA(VLOOKUP(A109,'Données projet'!$A$123:$I$143,5,0)),0%,VLOOKUP(A109,'Données projet'!$A$123:$I$143,5,0)*VLOOKUP('Données projet'!$B$12,Paramètres!$A$1:$I$89,7,0))</f>
        <v>0</v>
      </c>
      <c r="CI109" s="16">
        <f>IF(ISNA(VLOOKUP(A109,'Données projet'!$A$123:$I$143,6,0)),0%,VLOOKUP(A109,'Données projet'!$A$123:$I$143,6,0)*VLOOKUP('Données projet'!$B$12,Paramètres!$A$1:$I$89,7,0))</f>
        <v>0</v>
      </c>
      <c r="CJ109" s="16">
        <f>IF(ISNA(VLOOKUP(A109,'Données projet'!$A$123:$I$143,7,0)),0%,VLOOKUP(A109,'Données projet'!$A$123:$I$143,7,0))</f>
        <v>0</v>
      </c>
      <c r="CK109" s="21">
        <f>EXP(-LN(2)/35)*CK108+(1-EXP(-LN(2)/35))/(LN(2)/35)*CG109*CH109*VLOOKUP('Données projet'!$B$12,Paramètres!$A$1:$I$89,3,0)*0.475*44/12</f>
        <v>103.99625339028817</v>
      </c>
      <c r="CL109" s="21">
        <f>EXP(-LN(2)/25)*CL108+(1-EXP(-LN(2)/25))/(LN(2)/25)*Calculateur!CG109*Calculateur!CI109*VLOOKUP('Données projet'!$B$12,Paramètres!$A$1:$I$89,3,0)*0.475*44/12</f>
        <v>35.450449264232205</v>
      </c>
      <c r="CM109" s="21">
        <f>EXP(-LN(2)/2)*CM108+(1-EXP(-LN(2)/2))/(LN(2)/2)*CG109*CJ109*VLOOKUP('Données projet'!$B$12,Paramètres!$A$1:$I$89,3,0)*0.475*44/12</f>
        <v>0</v>
      </c>
      <c r="CN109" s="22">
        <f t="shared" si="131"/>
        <v>139.44670265452038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projet'!$A$149:$I$169,2,0)</f>
        <v>#N/A</v>
      </c>
      <c r="CR109" s="12" t="e">
        <f>VLOOKUP(A109,'Données projet'!$A$149:$I$169,9,0)</f>
        <v>#N/A</v>
      </c>
      <c r="CS109" s="12">
        <f t="array" ref="CS109">INDEX(CR:CR,MIN(IF(ISNUMBER(CR109:CR305),ROW(CR109:CR305),"")))</f>
        <v>5.0961538461538449</v>
      </c>
      <c r="CT109" s="12">
        <f>IF('Données projet'!$A$150&gt;35,CT108+CS109-DB108,IF(A109&lt;'Données projet'!$A$150,$CQ$205^A109,IF(A109='Données projet'!$A$150,'Données projet'!$B$150,CT108+CS109-DB108)))</f>
        <v>210.54487179487148</v>
      </c>
      <c r="CU109" s="17">
        <f>CT109*VLOOKUP('Données projet'!$B$13,Paramètres!$A$1:$I$89,3,0)*VLOOKUP('Données projet'!$B$13,Paramètres!$A$1:$I$89,5,0)</f>
        <v>213.49249999999969</v>
      </c>
      <c r="CV109" s="13">
        <f t="shared" si="190"/>
        <v>52.698050633588259</v>
      </c>
      <c r="CW109" s="20">
        <f t="shared" si="132"/>
        <v>463.61520902016565</v>
      </c>
      <c r="CX109" s="59">
        <f t="shared" si="133"/>
        <v>756.94854235349896</v>
      </c>
      <c r="CY109" s="59">
        <f ca="1">AVERAGE(OFFSET($CX$3,0,0,'Données projet'!$E$13+1,1))-AVERAGE(OFFSET($H$3,0,0,'Données projet'!$E$13+1,1))</f>
        <v>250.31277422753283</v>
      </c>
      <c r="CZ109" s="59">
        <f t="shared" si="191"/>
        <v>159.20429420478047</v>
      </c>
      <c r="DA109" s="15">
        <f>IF(ISNA(VLOOKUP(A109,'Données projet'!$A$149:$I$169,3,0)),0,VLOOKUP(A109,'Données projet'!$A$149:$I$169,3,0))</f>
        <v>0</v>
      </c>
      <c r="DB109" s="15">
        <f>IF(ISNA(VLOOKUP(A109,'Données projet'!$A$149:$I$169,4,0)),0,VLOOKUP(A109,'Données projet'!$A$149:$I$169,4,0))</f>
        <v>0</v>
      </c>
      <c r="DC109" s="16">
        <f>IF(ISNA(VLOOKUP(A109,'Données projet'!$A$149:$I$169,5,0)),0%,VLOOKUP(A109,'Données projet'!$A$149:$I$169,5,0)*VLOOKUP('Données projet'!$B$13,Paramètres!$A$1:$I$89,7,0))</f>
        <v>0</v>
      </c>
      <c r="DD109" s="16">
        <f>IF(ISNA(VLOOKUP(A109,'Données projet'!$A$149:$I$169,6,0)),0%,VLOOKUP(A109,'Données projet'!$A$149:$I$169,6,0)*VLOOKUP('Données projet'!$B$13,Paramètres!$A$1:$I$89,7,0))</f>
        <v>0</v>
      </c>
      <c r="DE109" s="16">
        <f>IF(ISNA(VLOOKUP(A109,'Données projet'!$A$149:$I$169,7,0)),0%,VLOOKUP(A109,'Données projet'!$A$149:$I$169,7,0))</f>
        <v>0</v>
      </c>
      <c r="DF109" s="21">
        <f>EXP(-LN(2)/35)*DF108+(1-EXP(-LN(2)/35))/(LN(2)/35)*DB109*DC109*VLOOKUP('Données projet'!$B$13,Paramètres!$A$1:$I$89,3,0)*0.475*44/12</f>
        <v>33.711398968913421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134"/>
        <v>33.711398968913421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projet'!$A$175:$I$195,2,0)</f>
        <v>#N/A</v>
      </c>
      <c r="DM109" s="12" t="e">
        <f>VLOOKUP(A109,'Données projet'!$A$175:$I$195,9,0)</f>
        <v>#N/A</v>
      </c>
      <c r="DN109" s="12">
        <f t="array" ref="DN109">INDEX(DM:DM,MIN(IF(ISNUMBER(DM109:DM305),ROW(DM109:DM305),"")))</f>
        <v>0</v>
      </c>
      <c r="DO109" s="12">
        <f>IF('Données projet'!$A$176&gt;35,DO108+DN109-DW108,IF(A109&lt;'Données projet'!$A$176,$DL$205^A109,IF(A109='Données projet'!$A$176,'Données projet'!$B$176,DO108+DN109-DW108)))</f>
        <v>-2.8421709430404007E-13</v>
      </c>
      <c r="DP109" s="17">
        <f>DO109*VLOOKUP('Données projet'!$B$14,Paramètres!$A$1:$I$89,3,0)*VLOOKUP('Données projet'!$B$14,Paramètres!$A$1:$I$89,5,0)</f>
        <v>-2.0838797354372215E-13</v>
      </c>
      <c r="DQ109" s="13" t="e">
        <f t="shared" si="192"/>
        <v>#NUM!</v>
      </c>
      <c r="DR109" s="20" t="e">
        <f t="shared" si="135"/>
        <v>#NUM!</v>
      </c>
      <c r="DS109" s="59" t="e">
        <f t="shared" si="136"/>
        <v>#NUM!</v>
      </c>
      <c r="DT109" s="59">
        <f ca="1">AVERAGE(OFFSET($DS$3,0,0,'Données projet'!$E$14+1,1))-AVERAGE(OFFSET($H$3,0,0,'Données projet'!$E$14+1,1))</f>
        <v>296.91321813251051</v>
      </c>
      <c r="DU109" s="59">
        <f t="shared" si="193"/>
        <v>291.0718079639509</v>
      </c>
      <c r="DV109" s="15">
        <f>IF(ISNA(VLOOKUP(A109,'Données projet'!$A$175:$I$195,3,0)),0,VLOOKUP(A109,'Données projet'!$A$175:$I$195,3,0))</f>
        <v>0</v>
      </c>
      <c r="DW109" s="15">
        <f>IF(ISNA(VLOOKUP(A109,'Données projet'!$A$175:$I$195,4,0)),0,VLOOKUP(A109,'Données projet'!$A$175:$I$195,4,0))</f>
        <v>0</v>
      </c>
      <c r="DX109" s="16">
        <f>IF(ISNA(VLOOKUP(A109,'Données projet'!$A$175:$I$195,5,0)),0%,VLOOKUP(A109,'Données projet'!$A$175:$I$195,5,0)*VLOOKUP('Données projet'!$B$14,Paramètres!$A$1:$I$89,7,0))</f>
        <v>0</v>
      </c>
      <c r="DY109" s="16">
        <f>IF(ISNA(VLOOKUP(A109,'Données projet'!$A$175:$I$195,6,0)),0%,VLOOKUP(A109,'Données projet'!$A$175:$I$195,6,0)*VLOOKUP('Données projet'!$B$14,Paramètres!$A$1:$I$89,7,0))</f>
        <v>0</v>
      </c>
      <c r="DZ109" s="16">
        <f>IF(ISNA(VLOOKUP(A109,'Données projet'!$A$175:$I$195,7,0)),0%,VLOOKUP(A109,'Données projet'!$A$175:$I$195,7,0))</f>
        <v>0</v>
      </c>
      <c r="EA109" s="21">
        <f>EXP(-LN(2)/35)*EA108+(1-EXP(-LN(2)/35))/(LN(2)/35)*DW109*DX109*VLOOKUP('Données projet'!$B$14,Paramètres!$A$1:$I$89,3,0)*0.475*44/12</f>
        <v>103.6508773664889</v>
      </c>
      <c r="EB109" s="21">
        <f>EXP(-LN(2)/25)*EB108+(1-EXP(-LN(2)/25))/(LN(2)/25)*Calculateur!DW109*Calculateur!DY109*VLOOKUP('Données projet'!$B$14,Paramètres!$A$1:$I$89,3,0)*0.475*44/12</f>
        <v>2.6042221545793978</v>
      </c>
      <c r="EC109" s="21">
        <f>EXP(-LN(2)/2)*EC108+(1-EXP(-LN(2)/2))/(LN(2)/2)*DW109*DZ109*VLOOKUP('Données projet'!$B$14,Paramètres!$A$1:$I$89,3,0)*0.475*44/12</f>
        <v>0</v>
      </c>
      <c r="ED109" s="22">
        <f t="shared" si="137"/>
        <v>106.2550995210683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projet'!$A$201:$I$221,2,0)</f>
        <v>#N/A</v>
      </c>
      <c r="EH109" s="12" t="e">
        <f>VLOOKUP(A109,'Données projet'!$A$201:$I$221,9,0)</f>
        <v>#N/A</v>
      </c>
      <c r="EI109" s="12">
        <f t="array" ref="EI109">INDEX(EH:EH,MIN(IF(ISNUMBER(EH109:EH305),ROW(EH109:EH305),"")))</f>
        <v>5.6546153846153828</v>
      </c>
      <c r="EJ109" s="12">
        <f>IF('Données projet'!$A$202&gt;35,EJ108+EI109-ER108,IF(A109&lt;'Données projet'!$A$202,$EG$205^A109,IF(A109='Données projet'!$A$202,'Données projet'!$B$202,EJ108+EI109-ER108)))</f>
        <v>239.12846153846203</v>
      </c>
      <c r="EK109" s="17">
        <f>EJ109*VLOOKUP('Données projet'!$B$15,Paramètres!$A$1:$I$89,3,0)*VLOOKUP('Données projet'!$B$15,Paramètres!$A$1:$I$89,5,0)</f>
        <v>111.91212000000023</v>
      </c>
      <c r="EL109" s="13">
        <f t="shared" si="194"/>
        <v>29.781042105276512</v>
      </c>
      <c r="EM109" s="20">
        <f t="shared" si="138"/>
        <v>246.78225733335694</v>
      </c>
      <c r="EN109" s="59">
        <f t="shared" si="139"/>
        <v>540.1155906666902</v>
      </c>
      <c r="EO109" s="59">
        <f ca="1">AVERAGE(OFFSET($EN$3,0,0,'Données projet'!$E$15+1,1))-AVERAGE(OFFSET($H$3,0,0,'Données projet'!$E$15+1,1))</f>
        <v>147.64256291235483</v>
      </c>
      <c r="EP109" s="59">
        <f t="shared" si="195"/>
        <v>70.859031694091868</v>
      </c>
      <c r="EQ109" s="15">
        <f>IF(ISNA(VLOOKUP(A109,'Données projet'!$A$201:$I$221,3,0)),0,VLOOKUP(A109,'Données projet'!$A$201:$I$221,3,0))</f>
        <v>0</v>
      </c>
      <c r="ER109" s="15">
        <f>IF(ISNA(VLOOKUP(A109,'Données projet'!$A$201:$I$221,4,0)),0,VLOOKUP(A109,'Données projet'!$A$201:$I$221,4,0))</f>
        <v>0</v>
      </c>
      <c r="ES109" s="16">
        <f>IF(ISNA(VLOOKUP(A109,'Données projet'!$A$201:$I$221,5,0)),0%,VLOOKUP(A109,'Données projet'!$A$201:$I$221,5,0)*VLOOKUP('Données projet'!$B$15,Paramètres!$A$1:$I$89,7,0))</f>
        <v>0</v>
      </c>
      <c r="ET109" s="16">
        <f>IF(ISNA(VLOOKUP(A109,'Données projet'!$A$201:$I$221,6,0)),0%,VLOOKUP(A109,'Données projet'!$A$201:$I$221,6,0)*VLOOKUP('Données projet'!$B$15,Paramètres!$A$1:$I$89,7,0))</f>
        <v>0</v>
      </c>
      <c r="EU109" s="16">
        <f>IF(ISNA(VLOOKUP(A109,'Données projet'!$A$201:$I$221,7,0)),0%,VLOOKUP(A109,'Données projet'!$A$201:$I$221,7,0))</f>
        <v>0</v>
      </c>
      <c r="EV109" s="21">
        <f>EXP(-LN(2)/35)*EV108+(1-EXP(-LN(2)/35))/(LN(2)/35)*ER109*ES109*VLOOKUP('Données projet'!$B$15,Paramètres!$A$1:$I$89,3,0)*0.475*44/12</f>
        <v>76.941475720203186</v>
      </c>
      <c r="EW109" s="21">
        <f>EXP(-LN(2)/25)*EW108+(1-EXP(-LN(2)/25))/(LN(2)/25)*Calculateur!ER109*Calculateur!ET109*VLOOKUP('Données projet'!$B$15,Paramètres!$A$1:$I$89,3,0)*0.475*44/12</f>
        <v>20.228914504738601</v>
      </c>
      <c r="EX109" s="21">
        <f>EXP(-LN(2)/2)*EX108+(1-EXP(-LN(2)/2))/(LN(2)/2)*ER109*EU109*VLOOKUP('Données projet'!$B$15,Paramètres!$A$1:$I$89,3,0)*0.475*44/12</f>
        <v>1.2342367444333766</v>
      </c>
      <c r="EY109" s="22">
        <f t="shared" si="140"/>
        <v>98.404626969375158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projet'!$A$227:$I$247,2,0)</f>
        <v>#N/A</v>
      </c>
      <c r="FC109" s="12" t="e">
        <f>VLOOKUP(A109,'Données projet'!$A$227:$I$247,9,0)</f>
        <v>#N/A</v>
      </c>
      <c r="FD109" s="12">
        <f t="array" ref="FD109">INDEX(FC:FC,MIN(IF(ISNUMBER(FC109:FC305),ROW(FC109:FC305),"")))</f>
        <v>0</v>
      </c>
      <c r="FE109" s="12">
        <f>IF('Données projet'!$A$228&gt;35,FE108+FD109-FM108,IF(A109&lt;'Données projet'!$A$228,$FB$205^A109,IF(A109='Données projet'!$A$228,'Données projet'!$B$228,FE108+FD109-FM108)))</f>
        <v>8.5265128291212022E-14</v>
      </c>
      <c r="FF109" s="17">
        <f>FE109*VLOOKUP('Données projet'!$B$16,Paramètres!$A$1:$I$89,3,0)*VLOOKUP('Données projet'!$B$16,Paramètres!$A$1:$I$89,5,0)</f>
        <v>8.9119112089974823E-14</v>
      </c>
      <c r="FG109" s="13">
        <f t="shared" si="196"/>
        <v>1.3568952080113142E-12</v>
      </c>
      <c r="FH109" s="20">
        <f t="shared" si="141"/>
        <v>2.5184749408430782E-12</v>
      </c>
      <c r="FI109" s="59">
        <f t="shared" si="142"/>
        <v>293.33333333333582</v>
      </c>
      <c r="FJ109" s="59">
        <f ca="1">AVERAGE(OFFSET($FI$3,0,0,'Données projet'!$E$16+1,1))-AVERAGE(OFFSET($H$3,0,0,'Données projet'!$E$16+1,1))</f>
        <v>259.03906550253788</v>
      </c>
      <c r="FK109" s="59">
        <f t="shared" si="197"/>
        <v>235.54542903570831</v>
      </c>
      <c r="FL109" s="15">
        <f>IF(ISNA(VLOOKUP(A109,'Données projet'!$A$227:$I$247,3,0)),0,VLOOKUP(A109,'Données projet'!$A$227:$I$247,3,0))</f>
        <v>0</v>
      </c>
      <c r="FM109" s="15">
        <f>IF(ISNA(VLOOKUP(A109,'Données projet'!$A$227:$I$247,4,0)),0,VLOOKUP(A109,'Données projet'!$A$227:$I$247,4,0))</f>
        <v>0</v>
      </c>
      <c r="FN109" s="16">
        <f>IF(ISNA(VLOOKUP(A109,'Données projet'!$A$227:$I$247,5,0)),0%,VLOOKUP(A109,'Données projet'!$A$227:$I$247,5,0)*VLOOKUP('Données projet'!$B$16,Paramètres!$A$1:$I$89,7,0))</f>
        <v>0</v>
      </c>
      <c r="FO109" s="16">
        <f>IF(ISNA(VLOOKUP(A109,'Données projet'!$A$227:$I$247,6,0)),0%,VLOOKUP(A109,'Données projet'!$A$227:$I$247,6,0)*VLOOKUP('Données projet'!$B$16,Paramètres!$A$1:$I$89,7,0))</f>
        <v>0</v>
      </c>
      <c r="FP109" s="16">
        <f>IF(ISNA(VLOOKUP(A109,'Données projet'!$A$227:$I$247,7,0)),0%,VLOOKUP(A109,'Données projet'!$A$227:$I$247,7,0))</f>
        <v>0</v>
      </c>
      <c r="FQ109" s="21">
        <f>EXP(-LN(2)/35)*FQ108+(1-EXP(-LN(2)/35))/(LN(2)/35)*FM109*FN109*VLOOKUP('Données projet'!$B$16,Paramètres!$A$1:$I$89,3,0)*0.475*44/12</f>
        <v>62.630664541785272</v>
      </c>
      <c r="FR109" s="21">
        <f>EXP(-LN(2)/25)*FR108+(1-EXP(-LN(2)/25))/(LN(2)/25)*Calculateur!FM109*Calculateur!FO109*VLOOKUP('Données projet'!$B$16,Paramètres!$A$1:$I$89,3,0)*0.475*44/12</f>
        <v>49.704444199773988</v>
      </c>
      <c r="FS109" s="21">
        <f>EXP(-LN(2)/2)*FS108+(1-EXP(-LN(2)/2))/(LN(2)/2)*FM109*FP109*VLOOKUP('Données projet'!$B$16,Paramètres!$A$1:$I$89,3,0)*0.475*44/12</f>
        <v>0</v>
      </c>
      <c r="FT109" s="22">
        <f t="shared" si="143"/>
        <v>112.33510874155925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projet'!$A$253:$I$273,2,0)</f>
        <v>#N/A</v>
      </c>
      <c r="FX109" s="12" t="e">
        <f>VLOOKUP(A109,'Données projet'!$A$253:$I$273,9,0)</f>
        <v>#N/A</v>
      </c>
      <c r="FY109" s="12">
        <f t="array" ref="FY109">INDEX(FX:FX,MIN(IF(ISNUMBER(FX109:FX305),ROW(FX109:FX305),"")))</f>
        <v>0</v>
      </c>
      <c r="FZ109" s="12">
        <f>IF('Données projet'!$A$254&gt;35,FZ108+FY109-GH108,IF(A109&lt;'Données projet'!$A$254,$FW$205^A109,IF(A109='Données projet'!$A$254,'Données projet'!$B$254,FZ108+FY109-GH108)))</f>
        <v>-1.7053025658242404E-13</v>
      </c>
      <c r="GA109" s="17">
        <f>FZ109*VLOOKUP('Données projet'!$B$17,Paramètres!$A$1:$I$89,3,0)*VLOOKUP('Données projet'!$B$17,Paramètres!$A$1:$I$89,5,0)</f>
        <v>-1.4897523215040567E-13</v>
      </c>
      <c r="GB109" s="13" t="e">
        <f t="shared" si="198"/>
        <v>#NUM!</v>
      </c>
      <c r="GC109" s="20" t="e">
        <f t="shared" si="144"/>
        <v>#NUM!</v>
      </c>
      <c r="GD109" s="59" t="e">
        <f t="shared" si="145"/>
        <v>#NUM!</v>
      </c>
      <c r="GE109" s="59">
        <f ca="1">AVERAGE(OFFSET($GD$3,0,0,'Données projet'!$E$17+1,1))-AVERAGE(OFFSET($H$3,0,0,'Données projet'!$E$17+1,1))</f>
        <v>245.1983232777614</v>
      </c>
      <c r="GF109" s="59">
        <f t="shared" si="199"/>
        <v>242.34010522344573</v>
      </c>
      <c r="GG109" s="15">
        <f>IF(ISNA(VLOOKUP(A109,'Données projet'!$A$253:$I$273,3,0)),0,VLOOKUP(A109,'Données projet'!$A$253:$I$273,3,0))</f>
        <v>0</v>
      </c>
      <c r="GH109" s="15">
        <f>IF(ISNA(VLOOKUP(A109,'Données projet'!$A$253:$I$273,4,0)),0,VLOOKUP(A109,'Données projet'!$A$253:$I$273,4,0))</f>
        <v>0</v>
      </c>
      <c r="GI109" s="16">
        <f>IF(ISNA(VLOOKUP(A109,'Données projet'!$A$253:$I$273,5,0)),0%,VLOOKUP(A109,'Données projet'!$A$253:$I$273,5,0)*VLOOKUP('Données projet'!$B$17,Paramètres!$A$1:$I$89,7,0))</f>
        <v>0</v>
      </c>
      <c r="GJ109" s="16">
        <f>IF(ISNA(VLOOKUP(A109,'Données projet'!$A$253:$I$273,6,0)),0%,VLOOKUP(A109,'Données projet'!$A$253:$I$273,6,0)*VLOOKUP('Données projet'!$B$17,Paramètres!$A$1:$I$89,7,0))</f>
        <v>0</v>
      </c>
      <c r="GK109" s="16">
        <f>IF(ISNA(VLOOKUP(A109,'Données projet'!$A$253:$I$273,7,0)),0%,VLOOKUP(A109,'Données projet'!$A$253:$I$273,7,0))</f>
        <v>0</v>
      </c>
      <c r="GL109" s="21">
        <f>EXP(-LN(2)/35)*GL108+(1-EXP(-LN(2)/35))/(LN(2)/35)*GH109*GI109*VLOOKUP('Données projet'!$B$17,Paramètres!$A$1:$I$89,3,0)*0.475*44/12</f>
        <v>73.63093923989554</v>
      </c>
      <c r="GM109" s="21">
        <f>EXP(-LN(2)/25)*GM108+(1-EXP(-LN(2)/25))/(LN(2)/25)*Calculateur!GH109*Calculateur!GJ109*VLOOKUP('Données projet'!$B$17,Paramètres!$A$1:$I$89,3,0)*0.475*44/12</f>
        <v>10.590806177500836</v>
      </c>
      <c r="GN109" s="21">
        <f>EXP(-LN(2)/2)*GN108+(1-EXP(-LN(2)/2))/(LN(2)/2)*GH109*GK109*VLOOKUP('Données projet'!$B$17,Paramètres!$A$1:$I$89,3,0)*0.475*44/12</f>
        <v>0</v>
      </c>
      <c r="GO109" s="21">
        <f t="shared" si="146"/>
        <v>84.221745417396377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projet'!$A$279:$I$299,2,0)</f>
        <v>#N/A</v>
      </c>
      <c r="GS109" s="12" t="e">
        <f>VLOOKUP(A109,'Données projet'!$A$279:$I$299,9,0)</f>
        <v>#N/A</v>
      </c>
      <c r="GT109" s="12">
        <f t="array" ref="GT109">INDEX(GS:GS,MIN(IF(ISNUMBER(GS109:GS305),ROW(GS109:GS305),"")))</f>
        <v>0</v>
      </c>
      <c r="GU109" s="12">
        <f>IF('Données projet'!$A$280&gt;35,GU108+GT109-HC108,IF(A109&lt;'Données projet'!$A$280,$GR$205^A109,IF(A109='Données projet'!$A$280,'Données projet'!$B$280,GU108+GT109-HC108)))</f>
        <v>-1.1368683772161603E-13</v>
      </c>
      <c r="GV109" s="17">
        <f>GU109*VLOOKUP('Données projet'!$B$18,Paramètres!$A$1:$I$89,3,0)*VLOOKUP('Données projet'!$B$18,Paramètres!$A$1:$I$89,5,0)</f>
        <v>-4.5815795601811263E-14</v>
      </c>
      <c r="GW109" s="13" t="e">
        <f t="shared" si="200"/>
        <v>#NUM!</v>
      </c>
      <c r="GX109" s="20" t="e">
        <f t="shared" si="147"/>
        <v>#NUM!</v>
      </c>
      <c r="GY109" s="59" t="e">
        <f t="shared" si="148"/>
        <v>#NUM!</v>
      </c>
      <c r="GZ109" s="59">
        <f ca="1">AVERAGE(OFFSET($GY$3,0,0,'Données projet'!$E$18+1,1))-AVERAGE(OFFSET($H$3,0,0,'Données projet'!$E$18+1,1))</f>
        <v>324.36162935850876</v>
      </c>
      <c r="HA109" s="59">
        <f t="shared" si="201"/>
        <v>265.23571072429735</v>
      </c>
      <c r="HB109" s="15">
        <f>IF(ISNA(VLOOKUP(A109,'Données projet'!$A$279:$I$299,3,0)),0,VLOOKUP(A109,'Données projet'!$A$279:$I$299,3,0))</f>
        <v>0</v>
      </c>
      <c r="HC109" s="15">
        <f>IF(ISNA(VLOOKUP(A109,'Données projet'!$A$279:$I$299,4,0)),0,VLOOKUP(A109,'Données projet'!$A$279:$I$299,4,0))</f>
        <v>0</v>
      </c>
      <c r="HD109" s="16">
        <f>IF(ISNA(VLOOKUP(A109,'Données projet'!$A$279:$I$299,5,0)),0%,VLOOKUP(A109,'Données projet'!$A$279:$I$299,5,0)*VLOOKUP('Données projet'!$B$18,Paramètres!$A$1:$I$89,7,0))</f>
        <v>0</v>
      </c>
      <c r="HE109" s="16">
        <f>IF(ISNA(VLOOKUP(A109,'Données projet'!$A$279:$I$299,6,0)),0%,VLOOKUP(A109,'Données projet'!$A$279:$I$299,6,0)*VLOOKUP('Données projet'!$B$18,Paramètres!$A$1:$I$89,7,0))</f>
        <v>0</v>
      </c>
      <c r="HF109" s="16">
        <f>IF(ISNA(VLOOKUP($A109,'Données projet'!$A$279:$I$299,7,0)),0%,VLOOKUP($A109,'Données projet'!$A$279:$I$299,7,0))</f>
        <v>0</v>
      </c>
      <c r="HG109" s="21">
        <f>EXP(-LN(2)/35)*HG108+(1-EXP(-LN(2)/35))/(LN(2)/35)*HC109*HD109*VLOOKUP('Données projet'!$B$18,Paramètres!$A$1:$I$89,3,0)*0.475*44/12</f>
        <v>141.09612809616684</v>
      </c>
      <c r="HH109" s="21">
        <f>EXP(-LN(2)/25)*HH108+(1-EXP(-LN(2)/25))/(LN(2)/25)*Calculateur!HC109*Calculateur!HE109*VLOOKUP('Données projet'!$B$18,Paramètres!$A$1:$I$89,3,0)*0.475*44/12</f>
        <v>11.778870805096499</v>
      </c>
      <c r="HI109" s="21">
        <f>EXP(-LN(2)/2)*HI108+(1-EXP(-LN(2)/2))/(LN(2)/2)*HC109*HF109*VLOOKUP('Données projet'!$B$18,Paramètres!$A$1:$I$89,3,0)*0.475*44/12</f>
        <v>1.043360560227042E-3</v>
      </c>
      <c r="HJ109" s="22">
        <f t="shared" si="149"/>
        <v>152.87604226182356</v>
      </c>
      <c r="HK109" s="74">
        <f>('Scénario référence'!$F$8+'Scénario référence'!$F$9+'Scénario référence'!$B$17+'Scénario référence'!$B$9+'Scénario référence'!$B$10)*70+IF((45+25*(1-EXP(-0.0175*$A109)))&lt;70,'Scénario référence'!$B$16*(45+25*(1-EXP(-0.0175*$A109))),70*'Scénario référence'!$B$16)+IF((32+38*(1-EXP(-0.0175*$A109)))&lt;70,'Scénario référence'!$B$18*(32+38*(1-EXP(-0.0175*$A109))),70*'Scénario référence'!$B$18)</f>
        <v>70</v>
      </c>
      <c r="HL109" s="12">
        <f>IF($A109&gt;30,10,('Scénario référence'!$B$16+'Scénario référence'!$B$17+'Scénario référence'!$B$18+'Scénario référence'!$B$9+'Scénario référence'!$B$10)*$A109*10/30+('Scénario référence'!$F$8+'Scénario référence'!$F$9)*10)</f>
        <v>10</v>
      </c>
      <c r="HM109" s="12" t="e">
        <f>VLOOKUP($A109,'Données projet'!$A$304:$I$324,2,0)</f>
        <v>#N/A</v>
      </c>
      <c r="HN109" s="12" t="e">
        <f>VLOOKUP($A109,'Données projet'!$A$304:$I$324,9,0)</f>
        <v>#N/A</v>
      </c>
      <c r="HO109" s="12">
        <f t="array" ref="HO109">INDEX(HN:HN,MIN(IF(ISNUMBER(HN109:HN305),ROW(HN109:HN305),"")))</f>
        <v>0</v>
      </c>
      <c r="HP109" s="12">
        <f>IF('Données projet'!$A$304&gt;35,HP108+HO109-HX108,IF($A109&lt;'Données projet'!$A$304,$CQ$205^$A109,IF($A109='Données projet'!$A$304,'Données projet'!$B$304,HP108+HO109-HX108)))</f>
        <v>0</v>
      </c>
      <c r="HQ109" s="17">
        <f>HP109*VLOOKUP('Données projet'!$B$19,Paramètres!$A$1:$I$89,3,0)*VLOOKUP('Données projet'!$B$19,Paramètres!$A$1:$I$89,5,0)</f>
        <v>0</v>
      </c>
      <c r="HR109" s="13" t="e">
        <f t="shared" si="202"/>
        <v>#NUM!</v>
      </c>
      <c r="HS109" s="14" t="e">
        <f t="shared" si="150"/>
        <v>#NUM!</v>
      </c>
      <c r="HT109" s="59" t="e">
        <f t="shared" si="151"/>
        <v>#NUM!</v>
      </c>
      <c r="HU109" s="59">
        <f ca="1">AVERAGE(OFFSET(HT$3,0,0,'Données projet'!$E$19+1,1))-AVERAGE(OFFSET($H$3,0,0,'Données projet'!$E$19+1,1))</f>
        <v>91.60721429656013</v>
      </c>
      <c r="HV109" s="59">
        <f t="shared" si="203"/>
        <v>258.94957804210856</v>
      </c>
      <c r="HW109" s="15">
        <f>IF(ISNA(VLOOKUP($A109,'Données projet'!$A$304:$I$324,3,0)),0,VLOOKUP($A109,'Données projet'!$A$304:$I$324,3,0))</f>
        <v>0</v>
      </c>
      <c r="HX109" s="15">
        <f>IF(ISNA(VLOOKUP($A109,'Données projet'!$A$304:$I$324,4,0)),0,VLOOKUP($A109,'Données projet'!$A$304:$I$324,4,0))</f>
        <v>0</v>
      </c>
      <c r="HY109" s="16">
        <f>IF(ISNA(VLOOKUP($A109,'Données projet'!$A$304:$I$324,5,0)),0%,VLOOKUP($A109,'Données projet'!$A$304:$I$324,5,0)*VLOOKUP('Données projet'!$B$19,Paramètres!$A$1:$I$89,7,0))</f>
        <v>0</v>
      </c>
      <c r="HZ109" s="16">
        <f>IF(ISNA(VLOOKUP($A109,'Données projet'!$A$304:$I$324,6,0)),0%,VLOOKUP($A109,'Données projet'!$A$304:$I$324,6,0)*VLOOKUP('Données projet'!$B$19,Paramètres!$A$1:$I$89,7,0))</f>
        <v>0</v>
      </c>
      <c r="IA109" s="16">
        <f>IF(ISNA(VLOOKUP($A109,'Données projet'!$A$304:$I$324,7,0)),0%,VLOOKUP($A109,'Données projet'!$A$304:$I$324,7,0))</f>
        <v>0</v>
      </c>
      <c r="IB109" s="21">
        <f>EXP(-LN(2)/35)*IB108+(1-EXP(-LN(2)/35))/(LN(2)/35)*HX109*HY109*VLOOKUP('Données projet'!$B$19,Paramètres!$A$1:$I$89,3,0)*0.475*44/12</f>
        <v>10.95140381848463</v>
      </c>
      <c r="IC109" s="21">
        <f>EXP(-LN(2)/25)*IC108+(1-EXP(-LN(2)/25))/(LN(2)/25)*Calculateur!HX109*Calculateur!HZ109*VLOOKUP('Données projet'!$B$19,Paramètres!$A$1:$I$89,3,0)*0.475*44/12</f>
        <v>1.1827151848277428</v>
      </c>
      <c r="ID109" s="21">
        <f>EXP(-LN(2)/2)*ID108+(1-EXP(-LN(2)/2))/(LN(2)/2)*HX109*IA109*VLOOKUP('Données projet'!$B$19,Paramètres!$A$1:$I$89,3,0)*0.475*44/12</f>
        <v>2.0840245697180855E-12</v>
      </c>
      <c r="IE109" s="22">
        <f t="shared" si="152"/>
        <v>12.134119003314456</v>
      </c>
      <c r="IF109" s="74">
        <f>('Scénario référence'!$F$8+'Scénario référence'!$F$9+'Scénario référence'!$B$17+'Scénario référence'!$B$9+'Scénario référence'!$B$10)*70+IF((45+25*(1-EXP(-0.0175*$A109)))&lt;70,'Scénario référence'!$B$16*(45+25*(1-EXP(-0.0175*$A109))),70*'Scénario référence'!$B$16)+IF((32+38*(1-EXP(-0.0175*$A109)))&lt;70,'Scénario référence'!$B$18*(32+38*(1-EXP(-0.0175*$A109))),70*'Scénario référence'!$B$18)</f>
        <v>70</v>
      </c>
      <c r="IG109" s="12">
        <f>IF($A109&gt;30,10,('Scénario référence'!$B$16+'Scénario référence'!$B$17+'Scénario référence'!$B$18+'Scénario référence'!$B$9+'Scénario référence'!$B$10)*$A109*10/30+('Scénario référence'!$F$8+'Scénario référence'!$F$9)*10)</f>
        <v>10</v>
      </c>
      <c r="IH109" s="12" t="e">
        <f>VLOOKUP($A109,'Données projet'!$A$330:$I$350,2,0)</f>
        <v>#N/A</v>
      </c>
      <c r="II109" s="12" t="e">
        <f>VLOOKUP($A109,'Données projet'!$A$330:$I$350,9,0)</f>
        <v>#N/A</v>
      </c>
      <c r="IJ109" s="12">
        <f t="array" ref="IJ109">INDEX(II:II,MIN(IF(ISNUMBER(II109:II305),ROW(II109:II305),"")))</f>
        <v>0</v>
      </c>
      <c r="IK109" s="12">
        <f>IF('Données projet'!$A$330&gt;35,IK108+IJ109-IS108,IF($A109&lt;'Données projet'!$A$330,$CQ$205^$A109,IF($A109='Données projet'!$A$330,'Données projet'!$B$330,IK108+IJ109-IS108)))</f>
        <v>0</v>
      </c>
      <c r="IL109" s="17">
        <f>IK109*VLOOKUP('Données projet'!$B$20,Paramètres!$A$1:$I$89,3,0)*VLOOKUP('Données projet'!$B$20,Paramètres!$A$1:$I$89,5,0)</f>
        <v>0</v>
      </c>
      <c r="IM109" s="13" t="e">
        <f t="shared" si="204"/>
        <v>#NUM!</v>
      </c>
      <c r="IN109" s="20" t="e">
        <f t="shared" si="153"/>
        <v>#NUM!</v>
      </c>
      <c r="IO109" s="59" t="e">
        <f t="shared" si="154"/>
        <v>#NUM!</v>
      </c>
      <c r="IP109" s="59">
        <f ca="1">AVERAGE(OFFSET(IO$3,0,0,'Données projet'!$E$20+1,1))-AVERAGE(OFFSET($H$3,0,0,'Données projet'!$E$20+1,1))</f>
        <v>91.60721429656013</v>
      </c>
      <c r="IQ109" s="59">
        <f t="shared" si="205"/>
        <v>258.94957804210856</v>
      </c>
      <c r="IR109" s="15">
        <f>IF(ISNA(VLOOKUP($A109,'Données projet'!$A$330:$I$350,3,0)),0,VLOOKUP($A109,'Données projet'!$A$330:$I$350,3,0))</f>
        <v>0</v>
      </c>
      <c r="IS109" s="15">
        <f>IF(ISNA(VLOOKUP($A109,'Données projet'!$A$330:$I$350,4,0)),0,VLOOKUP($A109,'Données projet'!$A$330:$I$350,4,0))</f>
        <v>0</v>
      </c>
      <c r="IT109" s="16">
        <f>IF(ISNA(VLOOKUP($A109,'Données projet'!$A$330:$I$350,5,0)),0%,VLOOKUP($A109,'Données projet'!$A$330:$I$350,5,0)*VLOOKUP('Données projet'!$B$20,Paramètres!$A$1:$I$89,7,0))</f>
        <v>0</v>
      </c>
      <c r="IU109" s="16">
        <f>IF(ISNA(VLOOKUP($A109,'Données projet'!$A$330:$I$350,6,0)),0%,VLOOKUP($A109,'Données projet'!$A$330:$I$350,6,0)*VLOOKUP('Données projet'!$B$20,Paramètres!$A$1:$I$89,7,0))</f>
        <v>0</v>
      </c>
      <c r="IV109" s="16">
        <f>IF(ISNA(VLOOKUP($A109,'Données projet'!$A$330:$I$350,7,0)),0%,VLOOKUP($A109,'Données projet'!$A$330:$I$350,7,0))</f>
        <v>0</v>
      </c>
      <c r="IW109" s="21">
        <f>EXP(-LN(2)/35)*IW108+(1-EXP(-LN(2)/35))/(LN(2)/35)*IS109*IT109*VLOOKUP('Données projet'!$B$20,Paramètres!$A$1:$I$89,3,0)*0.475*44/12</f>
        <v>10.95140381848463</v>
      </c>
      <c r="IX109" s="21">
        <f>EXP(-LN(2)/25)*IX108+(1-EXP(-LN(2)/25))/(LN(2)/25)*Calculateur!IS109*Calculateur!IU109*VLOOKUP('Données projet'!$B$20,Paramètres!$A$1:$I$89,3,0)*0.475*44/12</f>
        <v>1.1827151848277428</v>
      </c>
      <c r="IY109" s="21">
        <f>EXP(-LN(2)/2)*IY108+(1-EXP(-LN(2)/2))/(LN(2)/2)*IS109*IV109*VLOOKUP('Données projet'!$B$20,Paramètres!$A$1:$I$89,3,0)*0.475*44/12</f>
        <v>2.0840245697180855E-12</v>
      </c>
      <c r="IZ109" s="22">
        <f t="shared" si="155"/>
        <v>12.134119003314456</v>
      </c>
      <c r="JA109" s="74">
        <f>('Scénario référence'!$F$8+'Scénario référence'!$F$9+'Scénario référence'!$B$17+'Scénario référence'!$B$9+'Scénario référence'!$B$10)*70+IF((45+25*(1-EXP(-0.0175*$A109)))&lt;70,'Scénario référence'!$B$16*(45+25*(1-EXP(-0.0175*$A109))),70*'Scénario référence'!$B$16)+IF((32+38*(1-EXP(-0.0175*$A109)))&lt;70,'Scénario référence'!$B$18*(32+38*(1-EXP(-0.0175*$A109))),70*'Scénario référence'!$B$18)</f>
        <v>70</v>
      </c>
      <c r="JB109" s="12">
        <f>IF($A109&gt;30,10,('Scénario référence'!$B$16+'Scénario référence'!$B$17+'Scénario référence'!$B$18+'Scénario référence'!$B$9+'Scénario référence'!$B$10)*$A109*10/30+('Scénario référence'!$F$8+'Scénario référence'!$F$9)*10)</f>
        <v>10</v>
      </c>
      <c r="JC109" s="12" t="e">
        <f>VLOOKUP($A109,'Données projet'!$A$356:$I$376,2,0)</f>
        <v>#N/A</v>
      </c>
      <c r="JD109" s="12" t="e">
        <f>VLOOKUP($A109,'Données projet'!$A$356:$I$376,9,0)</f>
        <v>#N/A</v>
      </c>
      <c r="JE109" s="12">
        <f t="array" ref="JE109">INDEX(JD:JD,MIN(IF(ISNUMBER(JD109:JD305),ROW(JD109:JD305),"")))</f>
        <v>4.2</v>
      </c>
      <c r="JF109" s="12">
        <f>IF('Données projet'!$A$356&gt;35,JF108+JE109-JN108,IF($A109&lt;'Données projet'!$A$356,$CQ$205^$A109,IF($A109='Données projet'!$A$356,'Données projet'!$B$356,JF108+JE109-JN108)))</f>
        <v>401.19999999999942</v>
      </c>
      <c r="JG109" s="17">
        <f>JF109*VLOOKUP('Données projet'!$B$21,Paramètres!$A$1:$I$89,3,0)*VLOOKUP('Données projet'!$B$21,Paramètres!$A$1:$I$89,5,0)</f>
        <v>325.45343999999955</v>
      </c>
      <c r="JH109" s="13">
        <f t="shared" si="206"/>
        <v>76.4869295458533</v>
      </c>
      <c r="JI109" s="20">
        <f t="shared" si="156"/>
        <v>700.04614362569373</v>
      </c>
      <c r="JJ109" s="59">
        <f t="shared" si="157"/>
        <v>993.37947695902699</v>
      </c>
      <c r="JK109" s="59">
        <f ca="1">AVERAGE(OFFSET($JJ$3,0,0,'Données projet'!$E$22+1,1))-AVERAGE(OFFSET($H$3,0,0,'Données projet'!$E$22+1,1))</f>
        <v>353.35574633294613</v>
      </c>
      <c r="JL109" s="59">
        <f t="shared" si="207"/>
        <v>170.36796666474726</v>
      </c>
      <c r="JM109" s="15">
        <f>IF(ISNA(VLOOKUP($A109,'Données projet'!$A$356:$I$376,3,0)),0,VLOOKUP($A109,'Données projet'!$A$356:$I$376,3,0))</f>
        <v>0</v>
      </c>
      <c r="JN109" s="15">
        <f>IF(ISNA(VLOOKUP($A109,'Données projet'!$A$356:$I$376,4,0)),0,VLOOKUP($A109,'Données projet'!$A$356:$I$376,4,0))</f>
        <v>0</v>
      </c>
      <c r="JO109" s="16">
        <f>IF(ISNA(VLOOKUP($A109,'Données projet'!$A$356:$I$376,5,0)),0%,VLOOKUP($A109,'Données projet'!$A$356:$I$376,5,0)*VLOOKUP('Données projet'!$B$21,Paramètres!$A$1:$I$89,7,0))</f>
        <v>0</v>
      </c>
      <c r="JP109" s="16">
        <f>IF(ISNA(VLOOKUP($A109,'Données projet'!$A$356:$I$376,6,0)),0%,VLOOKUP($A109,'Données projet'!$A$356:$I$376,6,0)*VLOOKUP('Données projet'!$B$21,Paramètres!$A$1:$I$89,7,0))</f>
        <v>0</v>
      </c>
      <c r="JQ109" s="16">
        <f>IF(ISNA(VLOOKUP($A109,'Données projet'!$A$356:$I$376,7,0)),0%,VLOOKUP($A109,'Données projet'!$A$356:$I$376,7,0))</f>
        <v>0</v>
      </c>
      <c r="JR109" s="21">
        <f>EXP(-LN(2)/35)*JR108+(1-EXP(-LN(2)/35))/(LN(2)/35)*JN109*JO109*VLOOKUP('Données projet'!$B$21,Paramètres!$A$1:$I$89,3,0)*0.475*44/12</f>
        <v>3.6033706969052193</v>
      </c>
      <c r="JS109" s="21">
        <f>EXP(-LN(2)/25)*JS108+(1-EXP(-LN(2)/25))/(LN(2)/25)*Calculateur!JN109*Calculateur!JP109*VLOOKUP('Données projet'!$B$21,Paramètres!$A$1:$I$89,3,0)*0.475*44/12</f>
        <v>15.037947961107982</v>
      </c>
      <c r="JT109" s="21">
        <f>EXP(-LN(2)/2)*JT108+(1-EXP(-LN(2)/2))/(LN(2)/2)*JN109*JQ109*VLOOKUP('Données projet'!$B$21,Paramètres!$A$1:$I$89,3,0)*0.475*44/12</f>
        <v>0.48350722037792393</v>
      </c>
      <c r="JU109" s="18">
        <f t="shared" si="158"/>
        <v>19.124825878391125</v>
      </c>
      <c r="JV109" s="74">
        <f>('Scénario référence'!$F$8+'Scénario référence'!$F$9+'Scénario référence'!$B$17+'Scénario référence'!$B$9+'Scénario référence'!$B$10)*70+IF((45+25*(1-EXP(-0.0175*$A109)))&lt;70,'Scénario référence'!$B$16*(45+25*(1-EXP(-0.0175*$A109))),70*'Scénario référence'!$B$16)+IF((32+38*(1-EXP(-0.0175*$A109)))&lt;70,'Scénario référence'!$B$18*(32+38*(1-EXP(-0.0175*$A109))),70*'Scénario référence'!$B$18)</f>
        <v>70</v>
      </c>
      <c r="JW109" s="12">
        <f>IF($A109&gt;30,10,('Scénario référence'!$B$16+'Scénario référence'!$B$17+'Scénario référence'!$B$18+'Scénario référence'!$B$9+'Scénario référence'!$B$10)*$A109*10/30+('Scénario référence'!$F$8+'Scénario référence'!$F$9)*10)</f>
        <v>10</v>
      </c>
      <c r="JX109" s="12" t="e">
        <f>VLOOKUP($A109,'Données projet'!$A$382:$I$402,2,0)</f>
        <v>#N/A</v>
      </c>
      <c r="JY109" s="12" t="e">
        <f>VLOOKUP($A109,'Données projet'!$A$382:$I$402,9,0)</f>
        <v>#N/A</v>
      </c>
      <c r="JZ109" s="12">
        <f t="array" ref="JZ109">INDEX(JY:JY,MIN(IF(ISNUMBER(JY109:JY305),ROW(JY109:JY305),"")))</f>
        <v>6.9935897435897401</v>
      </c>
      <c r="KA109" s="12">
        <f>IF('Données projet'!$A$382&gt;35,KA108+JZ109-KI108,IF($A109&lt;'Données projet'!$A$382,$CQ$205^$A109,IF($A109='Données projet'!$A$382,'Données projet'!$B$382,KA108+JZ109-KI108)))</f>
        <v>319.18589743589774</v>
      </c>
      <c r="KB109" s="17">
        <f>KA109*VLOOKUP('Données projet'!$B$22,Paramètres!$A$1:$I$89,3,0)*VLOOKUP('Données projet'!$B$22,Paramètres!$A$1:$I$89,5,0)</f>
        <v>214.10990000000018</v>
      </c>
      <c r="KC109" s="13">
        <f t="shared" si="208"/>
        <v>52.832686644849389</v>
      </c>
      <c r="KD109" s="20">
        <f t="shared" si="159"/>
        <v>464.92500507311297</v>
      </c>
      <c r="KE109" s="59">
        <f t="shared" si="160"/>
        <v>758.25833840644623</v>
      </c>
      <c r="KF109" s="59">
        <f ca="1">AVERAGE(OFFSET($KE$3,0,0,'Données projet'!$E$22+1,1))-AVERAGE(OFFSET($H$3,0,0,'Données projet'!$E$22+1,1))</f>
        <v>193.91714772848269</v>
      </c>
      <c r="KG109" s="59">
        <f t="shared" si="209"/>
        <v>159.20429420478047</v>
      </c>
      <c r="KH109" s="15">
        <f>IF(ISNA(VLOOKUP($A109,'Données projet'!$A$382:$I$402,3,0)),0,VLOOKUP($A109,'Données projet'!$A$382:$I$402,3,0))</f>
        <v>0</v>
      </c>
      <c r="KI109" s="15">
        <f>IF(ISNA(VLOOKUP($A109,'Données projet'!$A$382:$I$402,4,0)),0,VLOOKUP($A109,'Données projet'!$A$382:$I$402,4,0))</f>
        <v>0</v>
      </c>
      <c r="KJ109" s="16">
        <f>IF(ISNA(VLOOKUP($A109,'Données projet'!$A$382:$I$402,5,0)),0%,VLOOKUP($A109,'Données projet'!$A$382:$I$402,5,0)*VLOOKUP('Données projet'!$B$22,Paramètres!$A$1:$I$89,7,0))</f>
        <v>0</v>
      </c>
      <c r="KK109" s="16">
        <f>IF(ISNA(VLOOKUP($A109,'Données projet'!$A$382:$I$402,6,0)),0%,VLOOKUP($A109,'Données projet'!$A$382:$I$402,6,0)*VLOOKUP('Données projet'!$B$22,Paramètres!$A$1:$I$89,7,0))</f>
        <v>0</v>
      </c>
      <c r="KL109" s="16">
        <f>IF(ISNA(VLOOKUP($A109,'Données projet'!$A$382:$I$402,7,0)),0%,VLOOKUP($A109,'Données projet'!$A$382:$I$402,7,0))</f>
        <v>0</v>
      </c>
      <c r="KM109" s="21">
        <f>EXP(-LN(2)/35)*KM108+(1-EXP(-LN(2)/35))/(LN(2)/35)*KI109*KJ109*VLOOKUP('Données projet'!$B$22,Paramètres!$A$1:$I$89,3,0)*0.475*44/12</f>
        <v>39.094565882108263</v>
      </c>
      <c r="KN109" s="21">
        <f>EXP(-LN(2)/25)*KN108+(1-EXP(-LN(2)/25))/(LN(2)/25)*Calculateur!KI109*Calculateur!KK109*VLOOKUP('Données projet'!$B$22,Paramètres!$A$1:$I$89,3,0)*0.475*44/12</f>
        <v>0</v>
      </c>
      <c r="KO109" s="21">
        <f>EXP(-LN(2)/2)*KO108+(1-EXP(-LN(2)/2))/(LN(2)/2)*KI109*KL109*VLOOKUP('Données projet'!$B$22,Paramètres!$A$1:$I$89,3,0)*0.475*44/12</f>
        <v>0</v>
      </c>
      <c r="KP109" s="22">
        <f t="shared" si="161"/>
        <v>39.094565882108263</v>
      </c>
      <c r="KQ109" s="74">
        <f>('Scénario référence'!$F$8+'Scénario référence'!$F$9+'Scénario référence'!$B$17+'Scénario référence'!$B$9+'Scénario référence'!$B$10)*70+IF((45+25*(1-EXP(-0.0175*$A109)))&lt;70,'Scénario référence'!$B$16*(45+25*(1-EXP(-0.0175*$A109))),70*'Scénario référence'!$B$16)+IF((32+38*(1-EXP(-0.0175*$A109)))&lt;70,'Scénario référence'!$B$18*(32+38*(1-EXP(-0.0175*$A109))),70*'Scénario référence'!$B$18)</f>
        <v>70</v>
      </c>
      <c r="KR109" s="12">
        <f>IF($A109&gt;30,10,('Scénario référence'!$B$16+'Scénario référence'!$B$17+'Scénario référence'!$B$18+'Scénario référence'!$B$9+'Scénario référence'!$B$10)*$A109*10/30+('Scénario référence'!$F$8+'Scénario référence'!$F$9)*10)</f>
        <v>10</v>
      </c>
      <c r="KS109" s="12" t="e">
        <f>VLOOKUP($A109,'Données projet'!$A$408:$I$428,2,0)</f>
        <v>#N/A</v>
      </c>
      <c r="KT109" s="12" t="e">
        <f>VLOOKUP($A109,'Données projet'!$A$408:$I$428,9,0)</f>
        <v>#N/A</v>
      </c>
      <c r="KU109" s="12">
        <f t="array" ref="KU109">INDEX(KT:KT,MIN(IF(ISNUMBER(KT109:KT305),ROW(KT109:KT305),"")))</f>
        <v>0</v>
      </c>
      <c r="KV109" s="12">
        <f>IF('Données projet'!$A$408&gt;35,KV108+KU109-LD108,IF($A109&lt;'Données projet'!$A$408,$CQ$205^$A109,IF($A109='Données projet'!$A$408,'Données projet'!$B$408,KV108+KU109-LD108)))</f>
        <v>-1.1368683772161603E-13</v>
      </c>
      <c r="KW109" s="17">
        <f>KV109*VLOOKUP('Données projet'!$B$23,Paramètres!$A$1:$I$89,3,0)*VLOOKUP('Données projet'!$B$23,Paramètres!$A$1:$I$89,5,0)</f>
        <v>-9.9316821433603781E-14</v>
      </c>
      <c r="KX109" s="13" t="e">
        <f t="shared" si="210"/>
        <v>#NUM!</v>
      </c>
      <c r="KY109" s="14" t="e">
        <f t="shared" si="162"/>
        <v>#NUM!</v>
      </c>
      <c r="KZ109" s="59" t="e">
        <f t="shared" si="163"/>
        <v>#NUM!</v>
      </c>
      <c r="LA109" s="59">
        <f ca="1">AVERAGE(OFFSET($KZ$3,0,0,'Données projet'!$E$23+1,1))-AVERAGE(OFFSET($H$3,0,0,'Données projet'!$E$23+1,1))</f>
        <v>248.33596943633819</v>
      </c>
      <c r="LB109" s="59">
        <f t="shared" si="211"/>
        <v>242.34010522344573</v>
      </c>
      <c r="LC109" s="15">
        <f>IF(ISNA(VLOOKUP($A109,'Données projet'!$A$408:$I$428,3,0)),0,VLOOKUP($A109,'Données projet'!$A$408:$I$428,3,0))</f>
        <v>0</v>
      </c>
      <c r="LD109" s="15">
        <f>IF(ISNA(VLOOKUP($A109,'Données projet'!$A$408:$I$428,4,0)),0,VLOOKUP($A109,'Données projet'!$A$408:$I$428,4,0))</f>
        <v>0</v>
      </c>
      <c r="LE109" s="16">
        <f>IF(ISNA(VLOOKUP($A109,'Données projet'!$A$408:$I$428,5,0)),0%,VLOOKUP($A109,'Données projet'!$A$408:$I$428,5,0)*VLOOKUP('Données projet'!$B$23,Paramètres!$A$1:$I$89,7,0))</f>
        <v>0</v>
      </c>
      <c r="LF109" s="16">
        <f>IF(ISNA(VLOOKUP($A109,'Données projet'!$A$408:$I$428,6,0)),0%,VLOOKUP($A109,'Données projet'!$A$408:$I$428,6,0)*VLOOKUP('Données projet'!$B$23,Paramètres!$A$1:$I$89,7,0))</f>
        <v>0</v>
      </c>
      <c r="LG109" s="16">
        <f>IF(ISNA(VLOOKUP($A109,'Données projet'!$A$408:$I$428,7,0)),0%,VLOOKUP($A109,'Données projet'!$A$408:$I$428,7,0))</f>
        <v>0</v>
      </c>
      <c r="LH109" s="21">
        <f>EXP(-LN(2)/35)*LH108+(1-EXP(-LN(2)/35))/(LN(2)/35)*LD109*LE109*VLOOKUP('Données projet'!$B$23,Paramètres!$A$1:$I$89,3,0)*0.475*44/12</f>
        <v>73.63093923989554</v>
      </c>
      <c r="LI109" s="21">
        <f>EXP(-LN(2)/25)*LI108+(1-EXP(-LN(2)/25))/(LN(2)/25)*Calculateur!LD109*Calculateur!LF109*VLOOKUP('Données projet'!$B$23,Paramètres!$A$1:$I$89,3,0)*0.475*44/12</f>
        <v>10.590806177500836</v>
      </c>
      <c r="LJ109" s="21">
        <f>EXP(-LN(2)/2)*LJ108+(1-EXP(-LN(2)/2))/(LN(2)/2)*LD109*LG109*VLOOKUP('Données projet'!$B$23,Paramètres!$A$1:$I$89,3,0)*0.475*44/12</f>
        <v>0</v>
      </c>
      <c r="LK109" s="22">
        <f t="shared" si="164"/>
        <v>84.221745417396377</v>
      </c>
      <c r="LL109" s="74">
        <f>('Scénario référence'!$F$8+'Scénario référence'!$F$9+'Scénario référence'!$B$17+'Scénario référence'!$B$9+'Scénario référence'!$B$10)*70+IF((45+25*(1-EXP(-0.0175*$A109)))&lt;70,'Scénario référence'!$B$16*(45+25*(1-EXP(-0.0175*$A109))),70*'Scénario référence'!$B$16)+IF((32+38*(1-EXP(-0.0175*$A109)))&lt;70,'Scénario référence'!$B$18*(32+38*(1-EXP(-0.0175*$A109))),70*'Scénario référence'!$B$18)</f>
        <v>70</v>
      </c>
      <c r="LM109" s="12">
        <f>IF($A109&gt;30,10,('Scénario référence'!$B$16+'Scénario référence'!$B$17+'Scénario référence'!$B$18+'Scénario référence'!$B$9+'Scénario référence'!$B$10)*$A109*10/30+('Scénario référence'!$F$8+'Scénario référence'!$F$9)*10)</f>
        <v>10</v>
      </c>
      <c r="LN109" s="12" t="e">
        <f>VLOOKUP($A109,'Données projet'!$A$434:$I$454,2,0)</f>
        <v>#N/A</v>
      </c>
      <c r="LO109" s="12" t="e">
        <f>VLOOKUP($A109,'Données projet'!$A$434:$I$454,9,0)</f>
        <v>#N/A</v>
      </c>
      <c r="LP109" s="12">
        <f t="array" ref="LP109">INDEX(LO:LO,MIN(IF(ISNUMBER(LO109:LO305),ROW(LO109:LO305),"")))</f>
        <v>5.0961538461538449</v>
      </c>
      <c r="LQ109" s="12">
        <f>IF('Données projet'!$A$434&gt;35,LQ108+LP109-LY108,IF($A109&lt;'Données projet'!$A$434,$CQ$205^$A109,IF($A109='Données projet'!$A$434,'Données projet'!$B$434,LQ108+LP109-LY108)))</f>
        <v>210.54487179487148</v>
      </c>
      <c r="LR109" s="17">
        <f>LQ109*VLOOKUP('Données projet'!$B$24,Paramètres!$A$1:$I$89,3,0)*VLOOKUP('Données projet'!$B$24,Paramètres!$A$1:$I$89,5,0)</f>
        <v>213.49249999999969</v>
      </c>
      <c r="LS109" s="13">
        <f t="shared" si="212"/>
        <v>52.698050633588259</v>
      </c>
      <c r="LT109" s="14">
        <f t="shared" si="165"/>
        <v>463.61520902016565</v>
      </c>
      <c r="LU109" s="59">
        <f t="shared" si="166"/>
        <v>756.94854235349896</v>
      </c>
      <c r="LV109" s="59">
        <f ca="1">AVERAGE(OFFSET($LU$3,0,0,'Données projet'!$E$24+1,1))-AVERAGE(OFFSET($H$3,0,0,'Données projet'!$E$24+1,1))</f>
        <v>260.52627655062872</v>
      </c>
      <c r="LW109" s="59">
        <f t="shared" si="213"/>
        <v>159.20429420478047</v>
      </c>
      <c r="LX109" s="15">
        <f>IF(ISNA(VLOOKUP($A109,'Données projet'!$A$434:$I$454,3,0)),0,VLOOKUP($A109,'Données projet'!$A$434:$I$454,3,0))</f>
        <v>0</v>
      </c>
      <c r="LY109" s="15">
        <f>IF(ISNA(VLOOKUP($A109,'Données projet'!$A$434:$I$454,4,0)),0,VLOOKUP($A109,'Données projet'!$A$434:$I$454,4,0))</f>
        <v>0</v>
      </c>
      <c r="LZ109" s="16">
        <f>IF(ISNA(VLOOKUP($A109,'Données projet'!$A$434:$I$454,5,0)),0%,VLOOKUP($A109,'Données projet'!$A$434:$I$454,5,0)*VLOOKUP('Données projet'!$B$24,Paramètres!$A$1:$I$89,7,0))</f>
        <v>0</v>
      </c>
      <c r="MA109" s="16">
        <f>IF(ISNA(VLOOKUP($A109,'Données projet'!$A$434:$I$454,6,0)),0%,VLOOKUP($A109,'Données projet'!$A$434:$I$454,6,0)*VLOOKUP('Données projet'!$B$24,Paramètres!$A$1:$I$89,7,0))</f>
        <v>0</v>
      </c>
      <c r="MB109" s="16">
        <f>IF(ISNA(VLOOKUP($A109,'Données projet'!$A$434:$I$454,7,0)),0%,VLOOKUP($A109,'Données projet'!$A$434:$I$454,7,0))</f>
        <v>0</v>
      </c>
      <c r="MC109" s="21">
        <f>EXP(-LN(2)/35)*MC108+(1-EXP(-LN(2)/35))/(LN(2)/35)*LY109*LZ109*VLOOKUP('Données projet'!$B$24,Paramètres!$A$1:$I$89,3,0)*0.475*44/12</f>
        <v>33.711398968913421</v>
      </c>
      <c r="MD109" s="21">
        <f>EXP(-LN(2)/25)*MD108+(1-EXP(-LN(2)/25))/(LN(2)/25)*Calculateur!LY109*Calculateur!MA109*VLOOKUP('Données projet'!$B$24,Paramètres!$A$1:$I$89,3,0)*0.475*44/12</f>
        <v>0</v>
      </c>
      <c r="ME109" s="21">
        <f>EXP(-LN(2)/2)*ME108+(1-EXP(-LN(2)/2))/(LN(2)/2)*LY109*MB109*VLOOKUP('Données projet'!$B$24,Paramètres!$A$1:$I$89,3,0)*0.475*44/12</f>
        <v>0</v>
      </c>
      <c r="MF109" s="22">
        <f t="shared" si="167"/>
        <v>33.711398968913421</v>
      </c>
      <c r="MG109" s="74">
        <f>('Scénario référence'!$F$8+'Scénario référence'!$F$9+'Scénario référence'!$B$17+'Scénario référence'!$B$9+'Scénario référence'!$B$10)*70+IF((45+25*(1-EXP(-0.0175*$A109)))&lt;70,'Scénario référence'!$B$16*(45+25*(1-EXP(-0.0175*$A109))),70*'Scénario référence'!$B$16)+IF((32+38*(1-EXP(-0.0175*$A109)))&lt;70,'Scénario référence'!$B$18*(32+38*(1-EXP(-0.0175*$A109))),70*'Scénario référence'!$B$18)</f>
        <v>70</v>
      </c>
      <c r="MH109" s="12">
        <f>IF($A109&gt;30,10,('Scénario référence'!$B$16+'Scénario référence'!$B$17+'Scénario référence'!$B$18+'Scénario référence'!$B$9+'Scénario référence'!$B$10)*$A109*10/30+('Scénario référence'!$F$8+'Scénario référence'!$F$9)*10)</f>
        <v>10</v>
      </c>
      <c r="MI109" s="12" t="e">
        <f>VLOOKUP($A109,'Données projet'!$A$460:$I$480,2,0)</f>
        <v>#N/A</v>
      </c>
      <c r="MJ109" s="12" t="e">
        <f>VLOOKUP($A109,'Données projet'!$A$460:$I$480,9,0)</f>
        <v>#N/A</v>
      </c>
      <c r="MK109" s="12">
        <f t="array" ref="MK109">INDEX(MJ:MJ,MIN(IF(ISNUMBER(MJ109:MJ305),ROW(MJ109:MJ305),"")))</f>
        <v>0</v>
      </c>
      <c r="ML109" s="12">
        <f>IF('Données projet'!$A$460&gt;35,ML108+MK109-MT108,IF($A109&lt;'Données projet'!$A$460,$CQ$205^$A109,IF($A109='Données projet'!$A$460,'Données projet'!$B$460,ML108+MK109-MT108)))</f>
        <v>0</v>
      </c>
      <c r="MM109" s="17" t="e">
        <f>ML109*VLOOKUP('Données projet'!$B$25,Paramètres!$A$1:$I$89,3,0)*VLOOKUP('Données projet'!$B$25,Paramètres!$A$1:$I$89,5,0)</f>
        <v>#N/A</v>
      </c>
      <c r="MN109" s="13" t="e">
        <f t="shared" si="214"/>
        <v>#N/A</v>
      </c>
      <c r="MO109" s="14" t="e">
        <f t="shared" si="168"/>
        <v>#N/A</v>
      </c>
      <c r="MP109" s="59" t="e">
        <f t="shared" si="169"/>
        <v>#N/A</v>
      </c>
      <c r="MQ109" s="20" t="e">
        <f ca="1">AVERAGE(OFFSET($MP$3,0,0,'Données projet'!$E$25+1,1))-AVERAGE(OFFSET($H$3,0,0,'Données projet'!$E$25+1,1))</f>
        <v>#N/A</v>
      </c>
      <c r="MR109" s="59" t="e">
        <f t="shared" si="215"/>
        <v>#N/A</v>
      </c>
      <c r="MS109" s="15">
        <f>IF(ISNA(VLOOKUP($A109,'Données projet'!$A$460:$I$480,3,0)),0,VLOOKUP($A109,'Données projet'!$A$460:$I$480,3,0))</f>
        <v>0</v>
      </c>
      <c r="MT109" s="15">
        <f>IF(ISNA(VLOOKUP($A109,'Données projet'!$A$460:$I$480,4,0)),0,VLOOKUP($A109,'Données projet'!$A$460:$I$480,4,0))</f>
        <v>0</v>
      </c>
      <c r="MU109" s="16">
        <f>IF(ISNA(VLOOKUP($A109,'Données projet'!$A$460:$I$480,5,0)),0%,VLOOKUP($A109,'Données projet'!$A$460:$I$480,5,0)*VLOOKUP('Données projet'!$B$25,Paramètres!$A$1:$I$89,7,0))</f>
        <v>0</v>
      </c>
      <c r="MV109" s="16">
        <f>IF(ISNA(VLOOKUP($A109,'Données projet'!$A$460:$I$480,6,0)),0%,VLOOKUP($A109,'Données projet'!$A$460:$I$480,6,0)*VLOOKUP('Données projet'!$B$25,Paramètres!$A$1:$I$89,7,0))</f>
        <v>0</v>
      </c>
      <c r="MW109" s="16">
        <f>IF(ISNA(VLOOKUP($A109,'Données projet'!$A$460:$I$480,7,0)),0%,VLOOKUP($A109,'Données projet'!$A$460:$I$480,7,0))</f>
        <v>0</v>
      </c>
      <c r="MX109" s="21" t="e">
        <f>EXP(-LN(2)/35)*MX108+(1-EXP(-LN(2)/35))/(LN(2)/35)*MT109*MU109*VLOOKUP('Données projet'!$B$25,Paramètres!$A$1:$I$89,3,0)*0.475*44/12</f>
        <v>#N/A</v>
      </c>
      <c r="MY109" s="21" t="e">
        <f>EXP(-LN(2)/25)*MY108+(1-EXP(-LN(2)/25))/(LN(2)/25)*Calculateur!MT109*Calculateur!MV109*VLOOKUP('Données projet'!$B$25,Paramètres!$A$1:$I$89,3,0)*0.475*44/12</f>
        <v>#N/A</v>
      </c>
      <c r="MZ109" s="21" t="e">
        <f>EXP(-LN(2)/2)*MZ108+(1-EXP(-LN(2)/2))/(LN(2)/2)*MT109*MW109*VLOOKUP('Données projet'!$B$25,Paramètres!$A$1:$I$89,3,0)*0.475*44/12</f>
        <v>#N/A</v>
      </c>
      <c r="NA109" s="22" t="e">
        <f t="shared" si="170"/>
        <v>#N/A</v>
      </c>
      <c r="NB109" s="74">
        <f>('Scénario référence'!$F$8+'Scénario référence'!$F$9+'Scénario référence'!$B$17+'Scénario référence'!$B$9+'Scénario référence'!$B$10)*70+IF((45+25*(1-EXP(-0.0175*$A109)))&lt;70,'Scénario référence'!$B$16*(45+25*(1-EXP(-0.0175*$A109))),70*'Scénario référence'!$B$16)+IF((32+38*(1-EXP(-0.0175*$A109)))&lt;70,'Scénario référence'!$B$18*(32+38*(1-EXP(-0.0175*$A109))),70*'Scénario référence'!$B$18)</f>
        <v>70</v>
      </c>
      <c r="NC109" s="12">
        <f>IF($A109&gt;30,10,('Scénario référence'!$B$16+'Scénario référence'!$B$17+'Scénario référence'!$B$18+'Scénario référence'!$B$9+'Scénario référence'!$B$10)*$A109*10/30+('Scénario référence'!$F$8+'Scénario référence'!$F$9)*10)</f>
        <v>10</v>
      </c>
      <c r="ND109" s="12" t="e">
        <f>VLOOKUP($A109,'Données projet'!$A$486:$I$506,2,0)</f>
        <v>#N/A</v>
      </c>
      <c r="NE109" s="12" t="e">
        <f>VLOOKUP($A109,'Données projet'!$A$486:$I$506,9,0)</f>
        <v>#N/A</v>
      </c>
      <c r="NF109" s="12">
        <f t="array" ref="NF109">INDEX(NE:NE,MIN(IF(ISNUMBER(NE109:NE305),ROW(NE109:NE305),"")))</f>
        <v>0</v>
      </c>
      <c r="NG109" s="12">
        <f>IF('Données projet'!$A$486&gt;35,NG108+NF109-NO108,IF($A109&lt;'Données projet'!$A$486,$CQ$205^$A109,IF($A109='Données projet'!$A$486,'Données projet'!$B$486,NG108+NF109-NO108)))</f>
        <v>0</v>
      </c>
      <c r="NH109" s="17" t="e">
        <f>NG109*VLOOKUP('Données projet'!$B$26,Paramètres!$A$1:$I$89,3,0)*VLOOKUP('Données projet'!$B$26,Paramètres!$A$1:$I$89,5,0)</f>
        <v>#N/A</v>
      </c>
      <c r="NI109" s="13" t="e">
        <f t="shared" si="216"/>
        <v>#N/A</v>
      </c>
      <c r="NJ109" s="14" t="e">
        <f t="shared" si="171"/>
        <v>#N/A</v>
      </c>
      <c r="NK109" s="59" t="e">
        <f t="shared" si="172"/>
        <v>#N/A</v>
      </c>
      <c r="NL109" s="20" t="e">
        <f ca="1">AVERAGE(OFFSET($NK$3,0,0,'Données projet'!$E$26+1,1))-AVERAGE(OFFSET($H$3,0,0,'Données projet'!$E$26+1,1))</f>
        <v>#N/A</v>
      </c>
      <c r="NM109" s="59" t="e">
        <f t="shared" si="217"/>
        <v>#N/A</v>
      </c>
      <c r="NN109" s="15">
        <f>IF(ISNA(VLOOKUP($A109,'Données projet'!$A$486:$I$506,3,0)),0,VLOOKUP($A109,'Données projet'!$A$486:$I$506,3,0))</f>
        <v>0</v>
      </c>
      <c r="NO109" s="15">
        <f>IF(ISNA(VLOOKUP($A109,'Données projet'!$A$486:$I$506,4,0)),0,VLOOKUP($A109,'Données projet'!$A$486:$I$506,4,0))</f>
        <v>0</v>
      </c>
      <c r="NP109" s="16">
        <f>IF(ISNA(VLOOKUP($A109,'Données projet'!$A$486:$I$506,5,0)),0%,VLOOKUP($A109,'Données projet'!$A$486:$I$506,5,0)*VLOOKUP('Données projet'!$B$26,Paramètres!$A$1:$I$89,7,0))</f>
        <v>0</v>
      </c>
      <c r="NQ109" s="16">
        <f>IF(ISNA(VLOOKUP($A109,'Données projet'!$A$486:$I$506,6,0)),0%,VLOOKUP($A109,'Données projet'!$A$486:$I$506,6,0)*VLOOKUP('Données projet'!$B$26,Paramètres!$A$1:$I$89,7,0))</f>
        <v>0</v>
      </c>
      <c r="NR109" s="16">
        <f>IF(ISNA(VLOOKUP($A109,'Données projet'!$A$486:$I$506,7,0)),0%,VLOOKUP($A109,'Données projet'!$A$486:$I$506,7,0))</f>
        <v>0</v>
      </c>
      <c r="NS109" s="21" t="e">
        <f>EXP(-LN(2)/35)*NS108+(1-EXP(-LN(2)/35))/(LN(2)/35)*NO109*NP109*VLOOKUP('Données projet'!$B$26,Paramètres!$A$1:$I$89,3,0)*0.475*44/12</f>
        <v>#N/A</v>
      </c>
      <c r="NT109" s="21" t="e">
        <f>EXP(-LN(2)/25)*NT108+(1-EXP(-LN(2)/25))/(LN(2)/25)*Calculateur!NO109*Calculateur!NQ109*VLOOKUP('Données projet'!$B$26,Paramètres!$A$1:$I$89,3,0)*0.475*44/12</f>
        <v>#N/A</v>
      </c>
      <c r="NU109" s="21" t="e">
        <f>EXP(-LN(2)/2)*NU108+(1-EXP(-LN(2)/2))/(LN(2)/2)*NO109*NR109*VLOOKUP('Données projet'!$B$26,Paramètres!$A$1:$I$89,3,0)*0.475*44/12</f>
        <v>#N/A</v>
      </c>
      <c r="NV109" s="22" t="e">
        <f t="shared" si="173"/>
        <v>#N/A</v>
      </c>
      <c r="NW109" s="74">
        <f>('Scénario référence'!$F$8+'Scénario référence'!$F$9+'Scénario référence'!$B$17+'Scénario référence'!$B$9+'Scénario référence'!$B$10)*70+IF((45+25*(1-EXP(-0.0175*$A109)))&lt;70,'Scénario référence'!$B$16*(45+25*(1-EXP(-0.0175*$A109))),70*'Scénario référence'!$B$16)+IF((32+38*(1-EXP(-0.0175*$A109)))&lt;70,'Scénario référence'!$B$18*(32+38*(1-EXP(-0.0175*$A109))),70*'Scénario référence'!$B$18)</f>
        <v>70</v>
      </c>
      <c r="NX109" s="12">
        <f>IF($A109&gt;30,10,('Scénario référence'!$B$16+'Scénario référence'!$B$17+'Scénario référence'!$B$18+'Scénario référence'!$B$9+'Scénario référence'!$B$10)*$A109*10/30+('Scénario référence'!$F$8+'Scénario référence'!$F$9)*10)</f>
        <v>10</v>
      </c>
      <c r="NY109" s="12" t="e">
        <f>VLOOKUP($A109,'Données projet'!$A$512:$I$532,2,0)</f>
        <v>#N/A</v>
      </c>
      <c r="NZ109" s="12" t="e">
        <f>VLOOKUP($A109,'Données projet'!$A$512:$I$532,9,0)</f>
        <v>#N/A</v>
      </c>
      <c r="OA109" s="12">
        <f t="array" ref="OA109">INDEX(NZ:NZ,MIN(IF(ISNUMBER(NZ109:NZ305),ROW(NZ109:NZ305),"")))</f>
        <v>0</v>
      </c>
      <c r="OB109" s="12">
        <f>IF('Données projet'!$A$512&gt;35,OB108+OA109-OJ108,IF($A109&lt;'Données projet'!$A$512,$CQ$205^$A109,IF($A109='Données projet'!$A$512,'Données projet'!$B$512,OB108+OA109-OJ108)))</f>
        <v>0</v>
      </c>
      <c r="OC109" s="17" t="e">
        <f>OB109*VLOOKUP('Données projet'!$B$27,Paramètres!$A$1:$I$89,3,0)*VLOOKUP('Données projet'!$B$27,Paramètres!$A$1:$I$89,5,0)</f>
        <v>#N/A</v>
      </c>
      <c r="OD109" s="13" t="e">
        <f t="shared" si="218"/>
        <v>#N/A</v>
      </c>
      <c r="OE109" s="14" t="e">
        <f t="shared" si="174"/>
        <v>#N/A</v>
      </c>
      <c r="OF109" s="59" t="e">
        <f t="shared" si="175"/>
        <v>#N/A</v>
      </c>
      <c r="OG109" s="20" t="e">
        <f ca="1">AVERAGE(OFFSET($OF$3,0,0,'Données projet'!$E$27+1,1))-AVERAGE(OFFSET($H$3,0,0,'Données projet'!$E$27+1,1))</f>
        <v>#N/A</v>
      </c>
      <c r="OH109" s="59" t="e">
        <f t="shared" si="219"/>
        <v>#N/A</v>
      </c>
      <c r="OI109" s="15">
        <f>IF(ISNA(VLOOKUP($A109,'Données projet'!$A$512:$I$532,3,0)),0,VLOOKUP($A109,'Données projet'!$A$512:$I$532,3,0))</f>
        <v>0</v>
      </c>
      <c r="OJ109" s="15">
        <f>IF(ISNA(VLOOKUP($A109,'Données projet'!$A$512:$I$532,4,0)),0,VLOOKUP($A109,'Données projet'!$A$512:$I$532,4,0))</f>
        <v>0</v>
      </c>
      <c r="OK109" s="16">
        <f>IF(ISNA(VLOOKUP($A109,'Données projet'!$A$512:$I$532,5,0)),0%,VLOOKUP($A109,'Données projet'!$A$512:$I$532,5,0)*VLOOKUP('Données projet'!$B$27,Paramètres!$A$1:$I$89,7,0))</f>
        <v>0</v>
      </c>
      <c r="OL109" s="16">
        <f>IF(ISNA(VLOOKUP($A109,'Données projet'!$A$512:$I$532,6,0)),0%,VLOOKUP($A109,'Données projet'!$A$512:$I$532,6,0)*VLOOKUP('Données projet'!$B$27,Paramètres!$A$1:$I$89,7,0))</f>
        <v>0</v>
      </c>
      <c r="OM109" s="16">
        <f>IF(ISNA(VLOOKUP($A109,'Données projet'!$A$512:$I$532,7,0)),0%,VLOOKUP($A109,'Données projet'!$A$512:$I$532,7,0))</f>
        <v>0</v>
      </c>
      <c r="ON109" s="21" t="e">
        <f>EXP(-LN(2)/35)*ON108+(1-EXP(-LN(2)/35))/(LN(2)/35)*OJ109*OK109*VLOOKUP('Données projet'!$B$27,Paramètres!$A$1:$I$89,3,0)*0.475*44/12</f>
        <v>#N/A</v>
      </c>
      <c r="OO109" s="21" t="e">
        <f>EXP(-LN(2)/25)*OO108+(1-EXP(-LN(2)/25))/(LN(2)/25)*Calculateur!OJ109*Calculateur!OL109*VLOOKUP('Données projet'!$B$27,Paramètres!$A$1:$I$89,3,0)*0.475*44/12</f>
        <v>#N/A</v>
      </c>
      <c r="OP109" s="21" t="e">
        <f>EXP(-LN(2)/2)*OP108+(1-EXP(-LN(2)/2))/(LN(2)/2)*OJ109*OM109*VLOOKUP('Données projet'!$B$27,Paramètres!$A$1:$I$89,3,0)*0.475*44/12</f>
        <v>#N/A</v>
      </c>
      <c r="OQ109" s="22" t="e">
        <f t="shared" si="176"/>
        <v>#N/A</v>
      </c>
      <c r="OR109" s="74">
        <f>('Scénario référence'!$F$8+'Scénario référence'!$F$9+'Scénario référence'!$B$17+'Scénario référence'!$B$9+'Scénario référence'!$B$10)*70+IF((45+25*(1-EXP(-0.0175*$A109)))&lt;70,'Scénario référence'!$B$16*(45+25*(1-EXP(-0.0175*$A109))),70*'Scénario référence'!$B$16)+IF((32+38*(1-EXP(-0.0175*$A109)))&lt;70,'Scénario référence'!$B$18*(32+38*(1-EXP(-0.0175*$A109))),70*'Scénario référence'!$B$18)</f>
        <v>70</v>
      </c>
      <c r="OS109" s="12">
        <f>IF($A109&gt;30,10,('Scénario référence'!$B$16+'Scénario référence'!$B$17+'Scénario référence'!$B$18+'Scénario référence'!$B$9+'Scénario référence'!$B$10)*$A109*10/30+('Scénario référence'!$F$8+'Scénario référence'!$F$9)*10)</f>
        <v>10</v>
      </c>
      <c r="OT109" s="12" t="e">
        <f>VLOOKUP($A109,'Données projet'!$A$538:$I$558,2,0)</f>
        <v>#N/A</v>
      </c>
      <c r="OU109" s="12" t="e">
        <f>VLOOKUP($A109,'Données projet'!$A$538:$I$558,9,0)</f>
        <v>#N/A</v>
      </c>
      <c r="OV109" s="12">
        <f t="array" ref="OV109">INDEX(OU:OU,MIN(IF(ISNUMBER(OU109:OU305),ROW(OU109:OU305),"")))</f>
        <v>0</v>
      </c>
      <c r="OW109" s="12">
        <f>IF('Données projet'!$A$538&gt;35,OW108+OV109-PE108,IF($A109&lt;'Données projet'!$A$538,$CQ$205^$A109,IF($A109='Données projet'!$A$538,'Données projet'!$B$538,OW108+OV109-PE108)))</f>
        <v>0</v>
      </c>
      <c r="OX109" s="17" t="e">
        <f>OW109*VLOOKUP('Données projet'!$B$28,Paramètres!$A$1:$I$89,3,0)*VLOOKUP('Données projet'!$B$28,Paramètres!$A$1:$I$89,5,0)</f>
        <v>#N/A</v>
      </c>
      <c r="OY109" s="13" t="e">
        <f t="shared" si="220"/>
        <v>#N/A</v>
      </c>
      <c r="OZ109" s="14" t="e">
        <f t="shared" si="177"/>
        <v>#N/A</v>
      </c>
      <c r="PA109" s="59" t="e">
        <f t="shared" si="178"/>
        <v>#N/A</v>
      </c>
      <c r="PB109" s="20" t="e">
        <f ca="1">AVERAGE(OFFSET($PA$3,0,0,'Données projet'!$E$28+1,1))-AVERAGE(OFFSET($H$3,0,0,'Données projet'!$E$28+1,1))</f>
        <v>#N/A</v>
      </c>
      <c r="PC109" s="59" t="e">
        <f t="shared" si="221"/>
        <v>#N/A</v>
      </c>
      <c r="PD109" s="15">
        <f>IF(ISNA(VLOOKUP($A109,'Données projet'!$A$538:$I$558,3,0)),0,VLOOKUP($A109,'Données projet'!$A$538:$I$558,3,0))</f>
        <v>0</v>
      </c>
      <c r="PE109" s="15">
        <f>IF(ISNA(VLOOKUP($A109,'Données projet'!$A$538:$I$558,4,0)),0,VLOOKUP($A109,'Données projet'!$A$538:$I$558,4,0))</f>
        <v>0</v>
      </c>
      <c r="PF109" s="16">
        <f>IF(ISNA(VLOOKUP($A109,'Données projet'!$A$538:$I$558,5,0)),0%,VLOOKUP($A109,'Données projet'!$A$538:$I$558,5,0)*VLOOKUP('Données projet'!$B$28,Paramètres!$A$1:$I$89,7,0))</f>
        <v>0</v>
      </c>
      <c r="PG109" s="16">
        <f>IF(ISNA(VLOOKUP($A109,'Données projet'!$A$538:$I$558,6,0)),0%,VLOOKUP($A109,'Données projet'!$A$538:$I$558,6,0)*VLOOKUP('Données projet'!$B$28,Paramètres!$A$1:$I$89,7,0))</f>
        <v>0</v>
      </c>
      <c r="PH109" s="16">
        <f>IF(ISNA(VLOOKUP($A109,'Données projet'!$A$538:$I$558,7,0)),0%,VLOOKUP($A109,'Données projet'!$A$538:$I$558,7,0))</f>
        <v>0</v>
      </c>
      <c r="PI109" s="21" t="e">
        <f>EXP(-LN(2)/35)*PI108+(1-EXP(-LN(2)/35))/(LN(2)/35)*PE109*PF109*VLOOKUP('Données projet'!$B$28,Paramètres!$A$1:$I$89,3,0)*0.475*44/12</f>
        <v>#N/A</v>
      </c>
      <c r="PJ109" s="21" t="e">
        <f>EXP(-LN(2)/25)*PJ108+(1-EXP(-LN(2)/25))/(LN(2)/25)*Calculateur!PE109*Calculateur!PG109*VLOOKUP('Données projet'!$B$28,Paramètres!$A$1:$I$89,3,0)*0.475*44/12</f>
        <v>#N/A</v>
      </c>
      <c r="PK109" s="21" t="e">
        <f>EXP(-LN(2)/2)*PK108+(1-EXP(-LN(2)/2))/(LN(2)/2)*PE109*PH109*VLOOKUP('Données projet'!$B$28,Paramètres!$A$1:$I$89,3,0)*0.475*44/12</f>
        <v>#N/A</v>
      </c>
      <c r="PL109" s="22" t="e">
        <f t="shared" si="179"/>
        <v>#N/A</v>
      </c>
    </row>
    <row r="110" spans="1:428" x14ac:dyDescent="0.35">
      <c r="A110" s="10">
        <f t="shared" si="180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181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121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projet'!$A$45:$I$65,2,0)</f>
        <v>#N/A</v>
      </c>
      <c r="L110" s="12" t="e">
        <f>VLOOKUP(A110,'Données projet'!$A$45:$I$65,9,0)</f>
        <v>#N/A</v>
      </c>
      <c r="M110" s="12">
        <f t="array" ref="M110">INDEX(L:L,MIN(IF(ISNUMBER(L110:L306),ROW(L110:L306),"")))</f>
        <v>0</v>
      </c>
      <c r="N110" s="13">
        <f>IF('Données projet'!$A$46&gt;35,N109+M110-V109,IF(A110&lt;'Données projet'!$A$46,$K$205^A110,IF(A110='Données projet'!$A$46,'Données projet'!$B$46,N109+M110-V109)))</f>
        <v>-1.1368683772161603E-13</v>
      </c>
      <c r="O110" s="13">
        <f>N110*VLOOKUP('Données projet'!$B$9,Paramètres!$A$1:$I$89,3,0)*VLOOKUP('Données projet'!$B$9,Paramètres!$A$1:$I$89,5,0)</f>
        <v>-6.3550942286383367E-14</v>
      </c>
      <c r="P110" s="13" t="e">
        <f t="shared" si="182"/>
        <v>#NUM!</v>
      </c>
      <c r="Q110" s="20" t="e">
        <f t="shared" si="222"/>
        <v>#NUM!</v>
      </c>
      <c r="R110" s="59" t="e">
        <f t="shared" si="120"/>
        <v>#NUM!</v>
      </c>
      <c r="S110" s="59">
        <f ca="1">AVERAGE(OFFSET($R$3,0,0,'Données projet'!$E$9+1,1))-AVERAGE(OFFSET($H$3,0,0,'Données projet'!$E$9+1,1))</f>
        <v>274.57619581652199</v>
      </c>
      <c r="T110" s="59">
        <f t="shared" si="183"/>
        <v>366.15117322598775</v>
      </c>
      <c r="U110" s="15">
        <f>IF(ISNA(VLOOKUP(A110,'Données projet'!$A$45:$I$65,3,0)),0,VLOOKUP(A110,'Données projet'!$A$45:$I$65,3,0))</f>
        <v>0</v>
      </c>
      <c r="V110" s="15">
        <f>IF(ISNA(VLOOKUP(A110,'Données projet'!$A$45:$I$65,4,0)),0,VLOOKUP(A110,'Données projet'!$A$45:$I$65,4,0))</f>
        <v>0</v>
      </c>
      <c r="W110" s="16">
        <f>IF(ISNA(VLOOKUP(A110,'Données projet'!$A$45:$I$65,5,0)),0%,VLOOKUP(A110,'Données projet'!$A$45:$I$65,5,0)*VLOOKUP('Données projet'!$B$9,Paramètres!$A$1:$I$89,7,0))</f>
        <v>0</v>
      </c>
      <c r="X110" s="16">
        <f>IF(ISNA(VLOOKUP(A110,'Données projet'!$A$45:$I$65,6,0)),0%,VLOOKUP(A110,'Données projet'!$A$45:$I$65,6,0)*VLOOKUP('Données projet'!$B$9,Paramètres!$A$1:$I$89,7,0))</f>
        <v>0</v>
      </c>
      <c r="Y110" s="16">
        <f>IF(ISNA(VLOOKUP(A110,'Données projet'!$A$45:$I$65,7,0)),0%,VLOOKUP(A110,'Données projet'!$A$45:$I$65,7,0))</f>
        <v>0</v>
      </c>
      <c r="Z110" s="21">
        <f>EXP(-LN(2)/35)*Z109+(1-EXP(-LN(2)/35))/(LN(2)/35)*V110*W110*VLOOKUP('Données projet'!$B$9,Paramètres!$A$1:$I$89,3,0)*0.475*44/12</f>
        <v>80.932830283322318</v>
      </c>
      <c r="AA110" s="21">
        <f>EXP(-LN(2)/25)*AA109+(1-EXP(-LN(2)/25))/(LN(2)/25)*Calculateur!V110*Calculateur!X110*VLOOKUP('Données projet'!$B$9,Paramètres!$A$1:$I$89,3,0)*0.475*44/12</f>
        <v>13.625046635354634</v>
      </c>
      <c r="AB110" s="21">
        <f>EXP(-LN(2)/2)*AB109+(1-EXP(-LN(2)/2))/(LN(2)/2)*V110*Y110*VLOOKUP('Données projet'!$B$9,Paramètres!$A$1:$I$89,3,0)*0.475*44/12</f>
        <v>5.0904309755731334E-7</v>
      </c>
      <c r="AC110" s="22">
        <f t="shared" si="122"/>
        <v>94.557877427720058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projet'!$A$71:$I$91,2,0)</f>
        <v>#N/A</v>
      </c>
      <c r="AG110" s="12" t="e">
        <f>VLOOKUP(A110,'Données projet'!$A$71:$I$91,9,0)</f>
        <v>#N/A</v>
      </c>
      <c r="AH110" s="12">
        <f t="array" ref="AH110">INDEX(AG:AG,MIN(IF(ISNUMBER(AG110:AG306),ROW(AG110:AG306),"")))</f>
        <v>6.9935897435897401</v>
      </c>
      <c r="AI110" s="13">
        <f>IF('Données projet'!$A$72&gt;35,AI109+AH110-AQ109,IF(A110&lt;'Données projet'!$A$72,$AF$205^A110,IF(A110='Données projet'!$A$72,'Données projet'!$B$72,AI109+AH110-AQ109)))</f>
        <v>326.17948717948752</v>
      </c>
      <c r="AJ110" s="13">
        <f>AI110*VLOOKUP('Données projet'!$B$10,Paramètres!$A$1:$I$89,3,0)*VLOOKUP('Données projet'!$B$10,Paramètres!$A$1:$I$89,5,0)</f>
        <v>295.1272000000003</v>
      </c>
      <c r="AK110" s="13">
        <f t="shared" si="184"/>
        <v>70.153965869482519</v>
      </c>
      <c r="AL110" s="20">
        <f t="shared" si="123"/>
        <v>636.19803055601596</v>
      </c>
      <c r="AM110" s="59">
        <f t="shared" si="124"/>
        <v>929.53136388934922</v>
      </c>
      <c r="AN110" s="59">
        <f ca="1">AVERAGE(OFFSET($AM$3,0,0,'Données projet'!$E$10+1,1))-AVERAGE(OFFSET($H$3,0,0,'Données projet'!$E$10+1,1))</f>
        <v>270.87836509222456</v>
      </c>
      <c r="AO110" s="59">
        <f t="shared" si="185"/>
        <v>205.24998237949734</v>
      </c>
      <c r="AP110" s="15">
        <f>IF(ISNA(VLOOKUP(A110,'Données projet'!$A$71:$I$91,3,0)),0,VLOOKUP(A110,'Données projet'!$A$71:$I$91,3,0))</f>
        <v>0</v>
      </c>
      <c r="AQ110" s="15">
        <f>IF(ISNA(VLOOKUP(A110,'Données projet'!$A$71:$I$91,4,0)),0,VLOOKUP(A110,'Données projet'!$A$71:$I$91,4,0))</f>
        <v>0</v>
      </c>
      <c r="AR110" s="16">
        <f>IF(ISNA(VLOOKUP(A110,'Données projet'!$A$71:$I$91,5,0)),0%,VLOOKUP(A110,'Données projet'!$A$71:$I$91,5,0)*VLOOKUP('Données projet'!$B$10,Paramètres!$A$1:$I$89,7,0))</f>
        <v>0</v>
      </c>
      <c r="AS110" s="16">
        <f>IF(ISNA(VLOOKUP(A110,'Données projet'!$A$71:$I$91,6,0)),0%,VLOOKUP(A110,'Données projet'!$A$71:$I$91,6,0)*VLOOKUP('Données projet'!$B$10,Paramètres!$A$1:$I$89,7,0))</f>
        <v>0</v>
      </c>
      <c r="AT110" s="16">
        <f>IF(ISNA(VLOOKUP(A110,'Données projet'!$A$71:$I$91,7,0)),0%,VLOOKUP(A110,'Données projet'!$A$71:$I$91,7,0))</f>
        <v>0</v>
      </c>
      <c r="AU110" s="21">
        <f>EXP(-LN(2)/35)*AU109+(1-EXP(-LN(2)/35))/(LN(2)/35)*AQ110*AR110*VLOOKUP('Données projet'!$B$10,Paramètres!$A$1:$I$89,3,0)*0.475*44/12</f>
        <v>41.943789185820087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125"/>
        <v>41.943789185820087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projet'!$A$97:$I$117,2,0)</f>
        <v>#N/A</v>
      </c>
      <c r="BB110" s="12" t="e">
        <f>VLOOKUP(A110,'Données projet'!$A$97:$I$117,9,0)</f>
        <v>#N/A</v>
      </c>
      <c r="BC110" s="12">
        <f t="array" ref="BC110">INDEX(BB:BB,MIN(IF(ISNUMBER(BB110:BB306),ROW(BB110:BB306),"")))</f>
        <v>0</v>
      </c>
      <c r="BD110" s="12">
        <f>IF('Données projet'!$A$98&gt;35,BD109+BC110-BL109,IF(A110&lt;'Données projet'!$A$98,$BA$205^A110,IF(A110='Données projet'!$A$98,'Données projet'!$B$98,BD109+BC110-BL109)))</f>
        <v>-1.1368683772161603E-13</v>
      </c>
      <c r="BE110" s="13">
        <f>BD110*VLOOKUP('Données projet'!$B$11,Paramètres!$A$1:$I$89,3,0)*VLOOKUP('Données projet'!$B$11,Paramètres!$A$1:$I$89,5,0)</f>
        <v>-5.0249582272954292E-14</v>
      </c>
      <c r="BF110" s="13" t="e">
        <f t="shared" si="186"/>
        <v>#NUM!</v>
      </c>
      <c r="BG110" s="20" t="e">
        <f t="shared" si="126"/>
        <v>#NUM!</v>
      </c>
      <c r="BH110" s="59" t="e">
        <f t="shared" si="127"/>
        <v>#NUM!</v>
      </c>
      <c r="BI110" s="59">
        <f ca="1">AVERAGE(OFFSET($BH$3,0,0,'Données projet'!$E$11+1,1))-AVERAGE(OFFSET($H$3,0,0,'Données projet'!$E$11+1,1))</f>
        <v>211.31057120485542</v>
      </c>
      <c r="BJ110" s="59">
        <f t="shared" si="187"/>
        <v>283.33292006714777</v>
      </c>
      <c r="BK110" s="15">
        <f>IF(ISNA(VLOOKUP(A110,'Données projet'!$A$97:$I$117,3,0)),0,VLOOKUP(A110,'Données projet'!$A$97:$I$117,3,0))</f>
        <v>0</v>
      </c>
      <c r="BL110" s="15">
        <f>IF(ISNA(VLOOKUP(A110,'Données projet'!$A$97:$I$117,4,0)),0,VLOOKUP(A110,'Données projet'!$A$97:$I$117,4,0))</f>
        <v>0</v>
      </c>
      <c r="BM110" s="16">
        <f>IF(ISNA(VLOOKUP(A110,'Données projet'!$A$97:$I$117,5,0)),0%,VLOOKUP(A110,'Données projet'!$A$97:$I$117,5,0)*VLOOKUP('Données projet'!$B$11,Paramètres!$A$1:$I$89,7,0))</f>
        <v>0</v>
      </c>
      <c r="BN110" s="16">
        <f>IF(ISNA(VLOOKUP(A110,'Données projet'!$A$97:$I$117,6,0)),0%,VLOOKUP(A110,'Données projet'!$A$97:$I$117,6,0)*VLOOKUP('Données projet'!$B$11,Paramètres!$A$1:$I$89,7,0))</f>
        <v>0</v>
      </c>
      <c r="BO110" s="16">
        <f>IF(ISNA(VLOOKUP(A110,'Données projet'!$A$97:$I$117,7,0)),0%,VLOOKUP(A110,'Données projet'!$A$97:$I$117,7,0))</f>
        <v>0</v>
      </c>
      <c r="BP110" s="21">
        <f>EXP(-LN(2)/35)*BP109+(1-EXP(-LN(2)/35))/(LN(2)/35)*BL110*BM110*VLOOKUP('Données projet'!$B$11,Paramètres!$A$1:$I$89,3,0)*0.475*44/12</f>
        <v>63.993400689138596</v>
      </c>
      <c r="BQ110" s="21">
        <f>EXP(-LN(2)/25)*BQ109+(1-EXP(-LN(2)/25))/(LN(2)/25)*Calculateur!BL110*Calculateur!BN110*VLOOKUP('Données projet'!$B$11,Paramètres!$A$1:$I$89,3,0)*0.475*44/12</f>
        <v>10.773292688419938</v>
      </c>
      <c r="BR110" s="21">
        <f>EXP(-LN(2)/2)*BR109+(1-EXP(-LN(2)/2))/(LN(2)/2)*BL110*BO110*VLOOKUP('Données projet'!$B$11,Paramètres!$A$1:$I$89,3,0)*0.475*44/12</f>
        <v>4.0249919341741047E-7</v>
      </c>
      <c r="BS110" s="22">
        <f t="shared" si="128"/>
        <v>74.766693780057736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projet'!$A$123:$I$143,2,0)</f>
        <v>#N/A</v>
      </c>
      <c r="BW110" s="12" t="e">
        <f>VLOOKUP(A110,'Données projet'!$A$123:$I$143,9,0)</f>
        <v>#N/A</v>
      </c>
      <c r="BX110" s="12">
        <f t="array" ref="BX110">INDEX(BW:BW,MIN(IF(ISNUMBER(BW110:BW306),ROW(BW110:BW306),"")))</f>
        <v>0</v>
      </c>
      <c r="BY110" s="12">
        <f>IF('Données projet'!$A$124&gt;35,BY109+BX110-CG109,IF(A110&lt;'Données projet'!$A$124,$BV$205^A110,IF(A110='Données projet'!$A$124,'Données projet'!$B$124,BY109+BX110-CG109)))</f>
        <v>0</v>
      </c>
      <c r="BZ110" s="13">
        <f>BY110*VLOOKUP('Données projet'!$B$12,Paramètres!$A$1:$I$89,3,0)*VLOOKUP('Données projet'!$B$12,Paramètres!$A$1:$I$89,5,0)</f>
        <v>0</v>
      </c>
      <c r="CA110" s="13" t="e">
        <f t="shared" si="188"/>
        <v>#NUM!</v>
      </c>
      <c r="CB110" s="20" t="e">
        <f t="shared" si="129"/>
        <v>#NUM!</v>
      </c>
      <c r="CC110" s="59" t="e">
        <f t="shared" si="130"/>
        <v>#NUM!</v>
      </c>
      <c r="CD110" s="59">
        <f ca="1">AVERAGE(OFFSET($CC$3,0,0,'Données projet'!$E$12+1,1))-AVERAGE(OFFSET($H$3,0,0,'Données projet'!$E$12+1,1))</f>
        <v>322.93502595881938</v>
      </c>
      <c r="CE110" s="59">
        <f t="shared" si="189"/>
        <v>302.67072119588164</v>
      </c>
      <c r="CF110" s="15">
        <f>IF(ISNA(VLOOKUP(A110,'Données projet'!$A$123:$I$143,3,0)),0,VLOOKUP(A110,'Données projet'!$A$123:$I$143,3,0))</f>
        <v>0</v>
      </c>
      <c r="CG110" s="15">
        <f>IF(ISNA(VLOOKUP(A110,'Données projet'!$A$123:$I$143,4,0)),0,VLOOKUP(A110,'Données projet'!$A$123:$I$143,4,0))</f>
        <v>0</v>
      </c>
      <c r="CH110" s="16">
        <f>IF(ISNA(VLOOKUP(A110,'Données projet'!$A$123:$I$143,5,0)),0%,VLOOKUP(A110,'Données projet'!$A$123:$I$143,5,0)*VLOOKUP('Données projet'!$B$12,Paramètres!$A$1:$I$89,7,0))</f>
        <v>0</v>
      </c>
      <c r="CI110" s="16">
        <f>IF(ISNA(VLOOKUP(A110,'Données projet'!$A$123:$I$143,6,0)),0%,VLOOKUP(A110,'Données projet'!$A$123:$I$143,6,0)*VLOOKUP('Données projet'!$B$12,Paramètres!$A$1:$I$89,7,0))</f>
        <v>0</v>
      </c>
      <c r="CJ110" s="16">
        <f>IF(ISNA(VLOOKUP(A110,'Données projet'!$A$123:$I$143,7,0)),0%,VLOOKUP(A110,'Données projet'!$A$123:$I$143,7,0))</f>
        <v>0</v>
      </c>
      <c r="CK110" s="21">
        <f>EXP(-LN(2)/35)*CK109+(1-EXP(-LN(2)/35))/(LN(2)/35)*CG110*CH110*VLOOKUP('Données projet'!$B$12,Paramètres!$A$1:$I$89,3,0)*0.475*44/12</f>
        <v>101.95695029275585</v>
      </c>
      <c r="CL110" s="21">
        <f>EXP(-LN(2)/25)*CL109+(1-EXP(-LN(2)/25))/(LN(2)/25)*Calculateur!CG110*Calculateur!CI110*VLOOKUP('Données projet'!$B$12,Paramètres!$A$1:$I$89,3,0)*0.475*44/12</f>
        <v>34.481054864843671</v>
      </c>
      <c r="CM110" s="21">
        <f>EXP(-LN(2)/2)*CM109+(1-EXP(-LN(2)/2))/(LN(2)/2)*CG110*CJ110*VLOOKUP('Données projet'!$B$12,Paramètres!$A$1:$I$89,3,0)*0.475*44/12</f>
        <v>0</v>
      </c>
      <c r="CN110" s="22">
        <f t="shared" si="131"/>
        <v>136.43800515759952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projet'!$A$149:$I$169,2,0)</f>
        <v>#N/A</v>
      </c>
      <c r="CR110" s="12" t="e">
        <f>VLOOKUP(A110,'Données projet'!$A$149:$I$169,9,0)</f>
        <v>#N/A</v>
      </c>
      <c r="CS110" s="12">
        <f t="array" ref="CS110">INDEX(CR:CR,MIN(IF(ISNUMBER(CR110:CR306),ROW(CR110:CR306),"")))</f>
        <v>5.0961538461538449</v>
      </c>
      <c r="CT110" s="12">
        <f>IF('Données projet'!$A$150&gt;35,CT109+CS110-DB109,IF(A110&lt;'Données projet'!$A$150,$CQ$205^A110,IF(A110='Données projet'!$A$150,'Données projet'!$B$150,CT109+CS110-DB109)))</f>
        <v>215.64102564102532</v>
      </c>
      <c r="CU110" s="17">
        <f>CT110*VLOOKUP('Données projet'!$B$13,Paramètres!$A$1:$I$89,3,0)*VLOOKUP('Données projet'!$B$13,Paramètres!$A$1:$I$89,5,0)</f>
        <v>218.65999999999968</v>
      </c>
      <c r="CV110" s="13">
        <f t="shared" si="190"/>
        <v>53.823539863729678</v>
      </c>
      <c r="CW110" s="20">
        <f t="shared" si="132"/>
        <v>474.57549859599521</v>
      </c>
      <c r="CX110" s="59">
        <f t="shared" si="133"/>
        <v>767.90883192932847</v>
      </c>
      <c r="CY110" s="59">
        <f ca="1">AVERAGE(OFFSET($CX$3,0,0,'Données projet'!$E$13+1,1))-AVERAGE(OFFSET($H$3,0,0,'Données projet'!$E$13+1,1))</f>
        <v>250.31277422753283</v>
      </c>
      <c r="CZ110" s="59">
        <f t="shared" si="191"/>
        <v>159.20429420478047</v>
      </c>
      <c r="DA110" s="15">
        <f>IF(ISNA(VLOOKUP(A110,'Données projet'!$A$149:$I$169,3,0)),0,VLOOKUP(A110,'Données projet'!$A$149:$I$169,3,0))</f>
        <v>0</v>
      </c>
      <c r="DB110" s="15">
        <f>IF(ISNA(VLOOKUP(A110,'Données projet'!$A$149:$I$169,4,0)),0,VLOOKUP(A110,'Données projet'!$A$149:$I$169,4,0))</f>
        <v>0</v>
      </c>
      <c r="DC110" s="16">
        <f>IF(ISNA(VLOOKUP(A110,'Données projet'!$A$149:$I$169,5,0)),0%,VLOOKUP(A110,'Données projet'!$A$149:$I$169,5,0)*VLOOKUP('Données projet'!$B$13,Paramètres!$A$1:$I$89,7,0))</f>
        <v>0</v>
      </c>
      <c r="DD110" s="16">
        <f>IF(ISNA(VLOOKUP(A110,'Données projet'!$A$149:$I$169,6,0)),0%,VLOOKUP(A110,'Données projet'!$A$149:$I$169,6,0)*VLOOKUP('Données projet'!$B$13,Paramètres!$A$1:$I$89,7,0))</f>
        <v>0</v>
      </c>
      <c r="DE110" s="16">
        <f>IF(ISNA(VLOOKUP(A110,'Données projet'!$A$149:$I$169,7,0)),0%,VLOOKUP(A110,'Données projet'!$A$149:$I$169,7,0))</f>
        <v>0</v>
      </c>
      <c r="DF110" s="21">
        <f>EXP(-LN(2)/35)*DF109+(1-EXP(-LN(2)/35))/(LN(2)/35)*DB110*DC110*VLOOKUP('Données projet'!$B$13,Paramètres!$A$1:$I$89,3,0)*0.475*44/12</f>
        <v>33.05033899705608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134"/>
        <v>33.05033899705608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projet'!$A$175:$I$195,2,0)</f>
        <v>#N/A</v>
      </c>
      <c r="DM110" s="12" t="e">
        <f>VLOOKUP(A110,'Données projet'!$A$175:$I$195,9,0)</f>
        <v>#N/A</v>
      </c>
      <c r="DN110" s="12">
        <f t="array" ref="DN110">INDEX(DM:DM,MIN(IF(ISNUMBER(DM110:DM306),ROW(DM110:DM306),"")))</f>
        <v>0</v>
      </c>
      <c r="DO110" s="12">
        <f>IF('Données projet'!$A$176&gt;35,DO109+DN110-DW109,IF(A110&lt;'Données projet'!$A$176,$DL$205^A110,IF(A110='Données projet'!$A$176,'Données projet'!$B$176,DO109+DN110-DW109)))</f>
        <v>-2.8421709430404007E-13</v>
      </c>
      <c r="DP110" s="17">
        <f>DO110*VLOOKUP('Données projet'!$B$14,Paramètres!$A$1:$I$89,3,0)*VLOOKUP('Données projet'!$B$14,Paramètres!$A$1:$I$89,5,0)</f>
        <v>-2.0838797354372215E-13</v>
      </c>
      <c r="DQ110" s="13" t="e">
        <f t="shared" si="192"/>
        <v>#NUM!</v>
      </c>
      <c r="DR110" s="20" t="e">
        <f t="shared" si="135"/>
        <v>#NUM!</v>
      </c>
      <c r="DS110" s="59" t="e">
        <f t="shared" si="136"/>
        <v>#NUM!</v>
      </c>
      <c r="DT110" s="59">
        <f ca="1">AVERAGE(OFFSET($DS$3,0,0,'Données projet'!$E$14+1,1))-AVERAGE(OFFSET($H$3,0,0,'Données projet'!$E$14+1,1))</f>
        <v>296.91321813251051</v>
      </c>
      <c r="DU110" s="59">
        <f t="shared" si="193"/>
        <v>291.0718079639509</v>
      </c>
      <c r="DV110" s="15">
        <f>IF(ISNA(VLOOKUP(A110,'Données projet'!$A$175:$I$195,3,0)),0,VLOOKUP(A110,'Données projet'!$A$175:$I$195,3,0))</f>
        <v>0</v>
      </c>
      <c r="DW110" s="15">
        <f>IF(ISNA(VLOOKUP(A110,'Données projet'!$A$175:$I$195,4,0)),0,VLOOKUP(A110,'Données projet'!$A$175:$I$195,4,0))</f>
        <v>0</v>
      </c>
      <c r="DX110" s="16">
        <f>IF(ISNA(VLOOKUP(A110,'Données projet'!$A$175:$I$195,5,0)),0%,VLOOKUP(A110,'Données projet'!$A$175:$I$195,5,0)*VLOOKUP('Données projet'!$B$14,Paramètres!$A$1:$I$89,7,0))</f>
        <v>0</v>
      </c>
      <c r="DY110" s="16">
        <f>IF(ISNA(VLOOKUP(A110,'Données projet'!$A$175:$I$195,6,0)),0%,VLOOKUP(A110,'Données projet'!$A$175:$I$195,6,0)*VLOOKUP('Données projet'!$B$14,Paramètres!$A$1:$I$89,7,0))</f>
        <v>0</v>
      </c>
      <c r="DZ110" s="16">
        <f>IF(ISNA(VLOOKUP(A110,'Données projet'!$A$175:$I$195,7,0)),0%,VLOOKUP(A110,'Données projet'!$A$175:$I$195,7,0))</f>
        <v>0</v>
      </c>
      <c r="EA110" s="21">
        <f>EXP(-LN(2)/35)*EA109+(1-EXP(-LN(2)/35))/(LN(2)/35)*DW110*DX110*VLOOKUP('Données projet'!$B$14,Paramètres!$A$1:$I$89,3,0)*0.475*44/12</f>
        <v>101.61834688212471</v>
      </c>
      <c r="EB110" s="21">
        <f>EXP(-LN(2)/25)*EB109+(1-EXP(-LN(2)/25))/(LN(2)/25)*Calculateur!DW110*Calculateur!DY110*VLOOKUP('Données projet'!$B$14,Paramètres!$A$1:$I$89,3,0)*0.475*44/12</f>
        <v>2.533009562812333</v>
      </c>
      <c r="EC110" s="21">
        <f>EXP(-LN(2)/2)*EC109+(1-EXP(-LN(2)/2))/(LN(2)/2)*DW110*DZ110*VLOOKUP('Données projet'!$B$14,Paramètres!$A$1:$I$89,3,0)*0.475*44/12</f>
        <v>0</v>
      </c>
      <c r="ED110" s="22">
        <f t="shared" si="137"/>
        <v>104.15135644493705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projet'!$A$201:$I$221,2,0)</f>
        <v>#N/A</v>
      </c>
      <c r="EH110" s="12" t="e">
        <f>VLOOKUP(A110,'Données projet'!$A$201:$I$221,9,0)</f>
        <v>#N/A</v>
      </c>
      <c r="EI110" s="12">
        <f t="array" ref="EI110">INDEX(EH:EH,MIN(IF(ISNUMBER(EH110:EH306),ROW(EH110:EH306),"")))</f>
        <v>5.6546153846153828</v>
      </c>
      <c r="EJ110" s="12">
        <f>IF('Données projet'!$A$202&gt;35,EJ109+EI110-ER109,IF(A110&lt;'Données projet'!$A$202,$EG$205^A110,IF(A110='Données projet'!$A$202,'Données projet'!$B$202,EJ109+EI110-ER109)))</f>
        <v>244.78307692307743</v>
      </c>
      <c r="EK110" s="17">
        <f>EJ110*VLOOKUP('Données projet'!$B$15,Paramètres!$A$1:$I$89,3,0)*VLOOKUP('Données projet'!$B$15,Paramètres!$A$1:$I$89,5,0)</f>
        <v>114.55848000000023</v>
      </c>
      <c r="EL110" s="13">
        <f t="shared" si="194"/>
        <v>30.402446748991956</v>
      </c>
      <c r="EM110" s="20">
        <f t="shared" si="138"/>
        <v>252.47361408782808</v>
      </c>
      <c r="EN110" s="59">
        <f t="shared" si="139"/>
        <v>545.80694742116134</v>
      </c>
      <c r="EO110" s="59">
        <f ca="1">AVERAGE(OFFSET($EN$3,0,0,'Données projet'!$E$15+1,1))-AVERAGE(OFFSET($H$3,0,0,'Données projet'!$E$15+1,1))</f>
        <v>147.64256291235483</v>
      </c>
      <c r="EP110" s="59">
        <f t="shared" si="195"/>
        <v>70.859031694091868</v>
      </c>
      <c r="EQ110" s="15">
        <f>IF(ISNA(VLOOKUP(A110,'Données projet'!$A$201:$I$221,3,0)),0,VLOOKUP(A110,'Données projet'!$A$201:$I$221,3,0))</f>
        <v>0</v>
      </c>
      <c r="ER110" s="15">
        <f>IF(ISNA(VLOOKUP(A110,'Données projet'!$A$201:$I$221,4,0)),0,VLOOKUP(A110,'Données projet'!$A$201:$I$221,4,0))</f>
        <v>0</v>
      </c>
      <c r="ES110" s="16">
        <f>IF(ISNA(VLOOKUP(A110,'Données projet'!$A$201:$I$221,5,0)),0%,VLOOKUP(A110,'Données projet'!$A$201:$I$221,5,0)*VLOOKUP('Données projet'!$B$15,Paramètres!$A$1:$I$89,7,0))</f>
        <v>0</v>
      </c>
      <c r="ET110" s="16">
        <f>IF(ISNA(VLOOKUP(A110,'Données projet'!$A$201:$I$221,6,0)),0%,VLOOKUP(A110,'Données projet'!$A$201:$I$221,6,0)*VLOOKUP('Données projet'!$B$15,Paramètres!$A$1:$I$89,7,0))</f>
        <v>0</v>
      </c>
      <c r="EU110" s="16">
        <f>IF(ISNA(VLOOKUP(A110,'Données projet'!$A$201:$I$221,7,0)),0%,VLOOKUP(A110,'Données projet'!$A$201:$I$221,7,0))</f>
        <v>0</v>
      </c>
      <c r="EV110" s="21">
        <f>EXP(-LN(2)/35)*EV109+(1-EXP(-LN(2)/35))/(LN(2)/35)*ER110*ES110*VLOOKUP('Données projet'!$B$15,Paramètres!$A$1:$I$89,3,0)*0.475*44/12</f>
        <v>75.432700310996267</v>
      </c>
      <c r="EW110" s="21">
        <f>EXP(-LN(2)/25)*EW109+(1-EXP(-LN(2)/25))/(LN(2)/25)*Calculateur!ER110*Calculateur!ET110*VLOOKUP('Données projet'!$B$15,Paramètres!$A$1:$I$89,3,0)*0.475*44/12</f>
        <v>19.675753773814144</v>
      </c>
      <c r="EX110" s="21">
        <f>EXP(-LN(2)/2)*EX109+(1-EXP(-LN(2)/2))/(LN(2)/2)*ER110*EU110*VLOOKUP('Données projet'!$B$15,Paramètres!$A$1:$I$89,3,0)*0.475*44/12</f>
        <v>0.87273717157844843</v>
      </c>
      <c r="EY110" s="22">
        <f t="shared" si="140"/>
        <v>95.981191256388854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projet'!$A$227:$I$247,2,0)</f>
        <v>#N/A</v>
      </c>
      <c r="FC110" s="12" t="e">
        <f>VLOOKUP(A110,'Données projet'!$A$227:$I$247,9,0)</f>
        <v>#N/A</v>
      </c>
      <c r="FD110" s="12">
        <f t="array" ref="FD110">INDEX(FC:FC,MIN(IF(ISNUMBER(FC110:FC306),ROW(FC110:FC306),"")))</f>
        <v>0</v>
      </c>
      <c r="FE110" s="12">
        <f>IF('Données projet'!$A$228&gt;35,FE109+FD110-FM109,IF(A110&lt;'Données projet'!$A$228,$FB$205^A110,IF(A110='Données projet'!$A$228,'Données projet'!$B$228,FE109+FD110-FM109)))</f>
        <v>8.5265128291212022E-14</v>
      </c>
      <c r="FF110" s="17">
        <f>FE110*VLOOKUP('Données projet'!$B$16,Paramètres!$A$1:$I$89,3,0)*VLOOKUP('Données projet'!$B$16,Paramètres!$A$1:$I$89,5,0)</f>
        <v>8.9119112089974823E-14</v>
      </c>
      <c r="FG110" s="13">
        <f t="shared" si="196"/>
        <v>1.3568952080113142E-12</v>
      </c>
      <c r="FH110" s="20">
        <f t="shared" si="141"/>
        <v>2.5184749408430782E-12</v>
      </c>
      <c r="FI110" s="59">
        <f t="shared" si="142"/>
        <v>293.33333333333582</v>
      </c>
      <c r="FJ110" s="59">
        <f ca="1">AVERAGE(OFFSET($FI$3,0,0,'Données projet'!$E$16+1,1))-AVERAGE(OFFSET($H$3,0,0,'Données projet'!$E$16+1,1))</f>
        <v>259.03906550253788</v>
      </c>
      <c r="FK110" s="59">
        <f t="shared" si="197"/>
        <v>235.54542903570831</v>
      </c>
      <c r="FL110" s="15">
        <f>IF(ISNA(VLOOKUP(A110,'Données projet'!$A$227:$I$247,3,0)),0,VLOOKUP(A110,'Données projet'!$A$227:$I$247,3,0))</f>
        <v>0</v>
      </c>
      <c r="FM110" s="15">
        <f>IF(ISNA(VLOOKUP(A110,'Données projet'!$A$227:$I$247,4,0)),0,VLOOKUP(A110,'Données projet'!$A$227:$I$247,4,0))</f>
        <v>0</v>
      </c>
      <c r="FN110" s="16">
        <f>IF(ISNA(VLOOKUP(A110,'Données projet'!$A$227:$I$247,5,0)),0%,VLOOKUP(A110,'Données projet'!$A$227:$I$247,5,0)*VLOOKUP('Données projet'!$B$16,Paramètres!$A$1:$I$89,7,0))</f>
        <v>0</v>
      </c>
      <c r="FO110" s="16">
        <f>IF(ISNA(VLOOKUP(A110,'Données projet'!$A$227:$I$247,6,0)),0%,VLOOKUP(A110,'Données projet'!$A$227:$I$247,6,0)*VLOOKUP('Données projet'!$B$16,Paramètres!$A$1:$I$89,7,0))</f>
        <v>0</v>
      </c>
      <c r="FP110" s="16">
        <f>IF(ISNA(VLOOKUP(A110,'Données projet'!$A$227:$I$247,7,0)),0%,VLOOKUP(A110,'Données projet'!$A$227:$I$247,7,0))</f>
        <v>0</v>
      </c>
      <c r="FQ110" s="21">
        <f>EXP(-LN(2)/35)*FQ109+(1-EXP(-LN(2)/35))/(LN(2)/35)*FM110*FN110*VLOOKUP('Données projet'!$B$16,Paramètres!$A$1:$I$89,3,0)*0.475*44/12</f>
        <v>61.402515411054203</v>
      </c>
      <c r="FR110" s="21">
        <f>EXP(-LN(2)/25)*FR109+(1-EXP(-LN(2)/25))/(LN(2)/25)*Calculateur!FM110*Calculateur!FO110*VLOOKUP('Données projet'!$B$16,Paramètres!$A$1:$I$89,3,0)*0.475*44/12</f>
        <v>48.345273559288046</v>
      </c>
      <c r="FS110" s="21">
        <f>EXP(-LN(2)/2)*FS109+(1-EXP(-LN(2)/2))/(LN(2)/2)*FM110*FP110*VLOOKUP('Données projet'!$B$16,Paramètres!$A$1:$I$89,3,0)*0.475*44/12</f>
        <v>0</v>
      </c>
      <c r="FT110" s="22">
        <f t="shared" si="143"/>
        <v>109.74778897034224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projet'!$A$253:$I$273,2,0)</f>
        <v>#N/A</v>
      </c>
      <c r="FX110" s="12" t="e">
        <f>VLOOKUP(A110,'Données projet'!$A$253:$I$273,9,0)</f>
        <v>#N/A</v>
      </c>
      <c r="FY110" s="12">
        <f t="array" ref="FY110">INDEX(FX:FX,MIN(IF(ISNUMBER(FX110:FX306),ROW(FX110:FX306),"")))</f>
        <v>0</v>
      </c>
      <c r="FZ110" s="12">
        <f>IF('Données projet'!$A$254&gt;35,FZ109+FY110-GH109,IF(A110&lt;'Données projet'!$A$254,$FW$205^A110,IF(A110='Données projet'!$A$254,'Données projet'!$B$254,FZ109+FY110-GH109)))</f>
        <v>-1.7053025658242404E-13</v>
      </c>
      <c r="GA110" s="17">
        <f>FZ110*VLOOKUP('Données projet'!$B$17,Paramètres!$A$1:$I$89,3,0)*VLOOKUP('Données projet'!$B$17,Paramètres!$A$1:$I$89,5,0)</f>
        <v>-1.4897523215040567E-13</v>
      </c>
      <c r="GB110" s="13" t="e">
        <f t="shared" si="198"/>
        <v>#NUM!</v>
      </c>
      <c r="GC110" s="20" t="e">
        <f t="shared" si="144"/>
        <v>#NUM!</v>
      </c>
      <c r="GD110" s="59" t="e">
        <f t="shared" si="145"/>
        <v>#NUM!</v>
      </c>
      <c r="GE110" s="59">
        <f ca="1">AVERAGE(OFFSET($GD$3,0,0,'Données projet'!$E$17+1,1))-AVERAGE(OFFSET($H$3,0,0,'Données projet'!$E$17+1,1))</f>
        <v>245.1983232777614</v>
      </c>
      <c r="GF110" s="59">
        <f t="shared" si="199"/>
        <v>242.34010522344573</v>
      </c>
      <c r="GG110" s="15">
        <f>IF(ISNA(VLOOKUP(A110,'Données projet'!$A$253:$I$273,3,0)),0,VLOOKUP(A110,'Données projet'!$A$253:$I$273,3,0))</f>
        <v>0</v>
      </c>
      <c r="GH110" s="15">
        <f>IF(ISNA(VLOOKUP(A110,'Données projet'!$A$253:$I$273,4,0)),0,VLOOKUP(A110,'Données projet'!$A$253:$I$273,4,0))</f>
        <v>0</v>
      </c>
      <c r="GI110" s="16">
        <f>IF(ISNA(VLOOKUP(A110,'Données projet'!$A$253:$I$273,5,0)),0%,VLOOKUP(A110,'Données projet'!$A$253:$I$273,5,0)*VLOOKUP('Données projet'!$B$17,Paramètres!$A$1:$I$89,7,0))</f>
        <v>0</v>
      </c>
      <c r="GJ110" s="16">
        <f>IF(ISNA(VLOOKUP(A110,'Données projet'!$A$253:$I$273,6,0)),0%,VLOOKUP(A110,'Données projet'!$A$253:$I$273,6,0)*VLOOKUP('Données projet'!$B$17,Paramètres!$A$1:$I$89,7,0))</f>
        <v>0</v>
      </c>
      <c r="GK110" s="16">
        <f>IF(ISNA(VLOOKUP(A110,'Données projet'!$A$253:$I$273,7,0)),0%,VLOOKUP(A110,'Données projet'!$A$253:$I$273,7,0))</f>
        <v>0</v>
      </c>
      <c r="GL110" s="21">
        <f>EXP(-LN(2)/35)*GL109+(1-EXP(-LN(2)/35))/(LN(2)/35)*GH110*GI110*VLOOKUP('Données projet'!$B$17,Paramètres!$A$1:$I$89,3,0)*0.475*44/12</f>
        <v>72.187081431839587</v>
      </c>
      <c r="GM110" s="21">
        <f>EXP(-LN(2)/25)*GM109+(1-EXP(-LN(2)/25))/(LN(2)/25)*Calculateur!GH110*Calculateur!GJ110*VLOOKUP('Données projet'!$B$17,Paramètres!$A$1:$I$89,3,0)*0.475*44/12</f>
        <v>10.301200025630784</v>
      </c>
      <c r="GN110" s="21">
        <f>EXP(-LN(2)/2)*GN109+(1-EXP(-LN(2)/2))/(LN(2)/2)*GH110*GK110*VLOOKUP('Données projet'!$B$17,Paramètres!$A$1:$I$89,3,0)*0.475*44/12</f>
        <v>0</v>
      </c>
      <c r="GO110" s="21">
        <f t="shared" si="146"/>
        <v>82.488281457470379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projet'!$A$279:$I$299,2,0)</f>
        <v>#N/A</v>
      </c>
      <c r="GS110" s="12" t="e">
        <f>VLOOKUP(A110,'Données projet'!$A$279:$I$299,9,0)</f>
        <v>#N/A</v>
      </c>
      <c r="GT110" s="12">
        <f t="array" ref="GT110">INDEX(GS:GS,MIN(IF(ISNUMBER(GS110:GS306),ROW(GS110:GS306),"")))</f>
        <v>0</v>
      </c>
      <c r="GU110" s="12">
        <f>IF('Données projet'!$A$280&gt;35,GU109+GT110-HC109,IF(A110&lt;'Données projet'!$A$280,$GR$205^A110,IF(A110='Données projet'!$A$280,'Données projet'!$B$280,GU109+GT110-HC109)))</f>
        <v>-1.1368683772161603E-13</v>
      </c>
      <c r="GV110" s="17">
        <f>GU110*VLOOKUP('Données projet'!$B$18,Paramètres!$A$1:$I$89,3,0)*VLOOKUP('Données projet'!$B$18,Paramètres!$A$1:$I$89,5,0)</f>
        <v>-4.5815795601811263E-14</v>
      </c>
      <c r="GW110" s="13" t="e">
        <f t="shared" si="200"/>
        <v>#NUM!</v>
      </c>
      <c r="GX110" s="20" t="e">
        <f t="shared" si="147"/>
        <v>#NUM!</v>
      </c>
      <c r="GY110" s="59" t="e">
        <f t="shared" si="148"/>
        <v>#NUM!</v>
      </c>
      <c r="GZ110" s="59">
        <f ca="1">AVERAGE(OFFSET($GY$3,0,0,'Données projet'!$E$18+1,1))-AVERAGE(OFFSET($H$3,0,0,'Données projet'!$E$18+1,1))</f>
        <v>324.36162935850876</v>
      </c>
      <c r="HA110" s="59">
        <f t="shared" si="201"/>
        <v>265.23571072429735</v>
      </c>
      <c r="HB110" s="15">
        <f>IF(ISNA(VLOOKUP(A110,'Données projet'!$A$279:$I$299,3,0)),0,VLOOKUP(A110,'Données projet'!$A$279:$I$299,3,0))</f>
        <v>0</v>
      </c>
      <c r="HC110" s="15">
        <f>IF(ISNA(VLOOKUP(A110,'Données projet'!$A$279:$I$299,4,0)),0,VLOOKUP(A110,'Données projet'!$A$279:$I$299,4,0))</f>
        <v>0</v>
      </c>
      <c r="HD110" s="16">
        <f>IF(ISNA(VLOOKUP(A110,'Données projet'!$A$279:$I$299,5,0)),0%,VLOOKUP(A110,'Données projet'!$A$279:$I$299,5,0)*VLOOKUP('Données projet'!$B$18,Paramètres!$A$1:$I$89,7,0))</f>
        <v>0</v>
      </c>
      <c r="HE110" s="16">
        <f>IF(ISNA(VLOOKUP(A110,'Données projet'!$A$279:$I$299,6,0)),0%,VLOOKUP(A110,'Données projet'!$A$279:$I$299,6,0)*VLOOKUP('Données projet'!$B$18,Paramètres!$A$1:$I$89,7,0))</f>
        <v>0</v>
      </c>
      <c r="HF110" s="16">
        <f>IF(ISNA(VLOOKUP($A110,'Données projet'!$A$279:$I$299,7,0)),0%,VLOOKUP($A110,'Données projet'!$A$279:$I$299,7,0))</f>
        <v>0</v>
      </c>
      <c r="HG110" s="21">
        <f>EXP(-LN(2)/35)*HG109+(1-EXP(-LN(2)/35))/(LN(2)/35)*HC110*HD110*VLOOKUP('Données projet'!$B$18,Paramètres!$A$1:$I$89,3,0)*0.475*44/12</f>
        <v>138.32931908434142</v>
      </c>
      <c r="HH110" s="21">
        <f>EXP(-LN(2)/25)*HH109+(1-EXP(-LN(2)/25))/(LN(2)/25)*Calculateur!HC110*Calculateur!HE110*VLOOKUP('Données projet'!$B$18,Paramètres!$A$1:$I$89,3,0)*0.475*44/12</f>
        <v>11.456776963507242</v>
      </c>
      <c r="HI110" s="21">
        <f>EXP(-LN(2)/2)*HI109+(1-EXP(-LN(2)/2))/(LN(2)/2)*HC110*HF110*VLOOKUP('Données projet'!$B$18,Paramètres!$A$1:$I$89,3,0)*0.475*44/12</f>
        <v>7.3776732735913661E-4</v>
      </c>
      <c r="HJ110" s="22">
        <f t="shared" si="149"/>
        <v>149.78683381517604</v>
      </c>
      <c r="HK110" s="74">
        <f>('Scénario référence'!$F$8+'Scénario référence'!$F$9+'Scénario référence'!$B$17+'Scénario référence'!$B$9+'Scénario référence'!$B$10)*70+IF((45+25*(1-EXP(-0.0175*$A110)))&lt;70,'Scénario référence'!$B$16*(45+25*(1-EXP(-0.0175*$A110))),70*'Scénario référence'!$B$16)+IF((32+38*(1-EXP(-0.0175*$A110)))&lt;70,'Scénario référence'!$B$18*(32+38*(1-EXP(-0.0175*$A110))),70*'Scénario référence'!$B$18)</f>
        <v>70</v>
      </c>
      <c r="HL110" s="12">
        <f>IF($A110&gt;30,10,('Scénario référence'!$B$16+'Scénario référence'!$B$17+'Scénario référence'!$B$18+'Scénario référence'!$B$9+'Scénario référence'!$B$10)*$A110*10/30+('Scénario référence'!$F$8+'Scénario référence'!$F$9)*10)</f>
        <v>10</v>
      </c>
      <c r="HM110" s="12" t="e">
        <f>VLOOKUP($A110,'Données projet'!$A$304:$I$324,2,0)</f>
        <v>#N/A</v>
      </c>
      <c r="HN110" s="12" t="e">
        <f>VLOOKUP($A110,'Données projet'!$A$304:$I$324,9,0)</f>
        <v>#N/A</v>
      </c>
      <c r="HO110" s="12">
        <f t="array" ref="HO110">INDEX(HN:HN,MIN(IF(ISNUMBER(HN110:HN306),ROW(HN110:HN306),"")))</f>
        <v>0</v>
      </c>
      <c r="HP110" s="12">
        <f>IF('Données projet'!$A$304&gt;35,HP109+HO110-HX109,IF($A110&lt;'Données projet'!$A$304,$CQ$205^$A110,IF($A110='Données projet'!$A$304,'Données projet'!$B$304,HP109+HO110-HX109)))</f>
        <v>0</v>
      </c>
      <c r="HQ110" s="17">
        <f>HP110*VLOOKUP('Données projet'!$B$19,Paramètres!$A$1:$I$89,3,0)*VLOOKUP('Données projet'!$B$19,Paramètres!$A$1:$I$89,5,0)</f>
        <v>0</v>
      </c>
      <c r="HR110" s="13" t="e">
        <f t="shared" si="202"/>
        <v>#NUM!</v>
      </c>
      <c r="HS110" s="14" t="e">
        <f t="shared" si="150"/>
        <v>#NUM!</v>
      </c>
      <c r="HT110" s="59" t="e">
        <f t="shared" si="151"/>
        <v>#NUM!</v>
      </c>
      <c r="HU110" s="59">
        <f ca="1">AVERAGE(OFFSET(HT$3,0,0,'Données projet'!$E$19+1,1))-AVERAGE(OFFSET($H$3,0,0,'Données projet'!$E$19+1,1))</f>
        <v>91.60721429656013</v>
      </c>
      <c r="HV110" s="59">
        <f t="shared" si="203"/>
        <v>258.94957804210856</v>
      </c>
      <c r="HW110" s="15">
        <f>IF(ISNA(VLOOKUP($A110,'Données projet'!$A$304:$I$324,3,0)),0,VLOOKUP($A110,'Données projet'!$A$304:$I$324,3,0))</f>
        <v>0</v>
      </c>
      <c r="HX110" s="15">
        <f>IF(ISNA(VLOOKUP($A110,'Données projet'!$A$304:$I$324,4,0)),0,VLOOKUP($A110,'Données projet'!$A$304:$I$324,4,0))</f>
        <v>0</v>
      </c>
      <c r="HY110" s="16">
        <f>IF(ISNA(VLOOKUP($A110,'Données projet'!$A$304:$I$324,5,0)),0%,VLOOKUP($A110,'Données projet'!$A$304:$I$324,5,0)*VLOOKUP('Données projet'!$B$19,Paramètres!$A$1:$I$89,7,0))</f>
        <v>0</v>
      </c>
      <c r="HZ110" s="16">
        <f>IF(ISNA(VLOOKUP($A110,'Données projet'!$A$304:$I$324,6,0)),0%,VLOOKUP($A110,'Données projet'!$A$304:$I$324,6,0)*VLOOKUP('Données projet'!$B$19,Paramètres!$A$1:$I$89,7,0))</f>
        <v>0</v>
      </c>
      <c r="IA110" s="16">
        <f>IF(ISNA(VLOOKUP($A110,'Données projet'!$A$304:$I$324,7,0)),0%,VLOOKUP($A110,'Données projet'!$A$304:$I$324,7,0))</f>
        <v>0</v>
      </c>
      <c r="IB110" s="21">
        <f>EXP(-LN(2)/35)*IB109+(1-EXP(-LN(2)/35))/(LN(2)/35)*HX110*HY110*VLOOKUP('Données projet'!$B$19,Paramètres!$A$1:$I$89,3,0)*0.475*44/12</f>
        <v>10.736653469300911</v>
      </c>
      <c r="IC110" s="21">
        <f>EXP(-LN(2)/25)*IC109+(1-EXP(-LN(2)/25))/(LN(2)/25)*Calculateur!HX110*Calculateur!HZ110*VLOOKUP('Données projet'!$B$19,Paramètres!$A$1:$I$89,3,0)*0.475*44/12</f>
        <v>1.1503737759023398</v>
      </c>
      <c r="ID110" s="21">
        <f>EXP(-LN(2)/2)*ID109+(1-EXP(-LN(2)/2))/(LN(2)/2)*HX110*IA110*VLOOKUP('Données projet'!$B$19,Paramètres!$A$1:$I$89,3,0)*0.475*44/12</f>
        <v>1.4736279054070352E-12</v>
      </c>
      <c r="IE110" s="22">
        <f t="shared" si="152"/>
        <v>11.887027245204726</v>
      </c>
      <c r="IF110" s="74">
        <f>('Scénario référence'!$F$8+'Scénario référence'!$F$9+'Scénario référence'!$B$17+'Scénario référence'!$B$9+'Scénario référence'!$B$10)*70+IF((45+25*(1-EXP(-0.0175*$A110)))&lt;70,'Scénario référence'!$B$16*(45+25*(1-EXP(-0.0175*$A110))),70*'Scénario référence'!$B$16)+IF((32+38*(1-EXP(-0.0175*$A110)))&lt;70,'Scénario référence'!$B$18*(32+38*(1-EXP(-0.0175*$A110))),70*'Scénario référence'!$B$18)</f>
        <v>70</v>
      </c>
      <c r="IG110" s="12">
        <f>IF($A110&gt;30,10,('Scénario référence'!$B$16+'Scénario référence'!$B$17+'Scénario référence'!$B$18+'Scénario référence'!$B$9+'Scénario référence'!$B$10)*$A110*10/30+('Scénario référence'!$F$8+'Scénario référence'!$F$9)*10)</f>
        <v>10</v>
      </c>
      <c r="IH110" s="12" t="e">
        <f>VLOOKUP($A110,'Données projet'!$A$330:$I$350,2,0)</f>
        <v>#N/A</v>
      </c>
      <c r="II110" s="12" t="e">
        <f>VLOOKUP($A110,'Données projet'!$A$330:$I$350,9,0)</f>
        <v>#N/A</v>
      </c>
      <c r="IJ110" s="12">
        <f t="array" ref="IJ110">INDEX(II:II,MIN(IF(ISNUMBER(II110:II306),ROW(II110:II306),"")))</f>
        <v>0</v>
      </c>
      <c r="IK110" s="12">
        <f>IF('Données projet'!$A$330&gt;35,IK109+IJ110-IS109,IF($A110&lt;'Données projet'!$A$330,$CQ$205^$A110,IF($A110='Données projet'!$A$330,'Données projet'!$B$330,IK109+IJ110-IS109)))</f>
        <v>0</v>
      </c>
      <c r="IL110" s="17">
        <f>IK110*VLOOKUP('Données projet'!$B$20,Paramètres!$A$1:$I$89,3,0)*VLOOKUP('Données projet'!$B$20,Paramètres!$A$1:$I$89,5,0)</f>
        <v>0</v>
      </c>
      <c r="IM110" s="13" t="e">
        <f t="shared" si="204"/>
        <v>#NUM!</v>
      </c>
      <c r="IN110" s="20" t="e">
        <f t="shared" si="153"/>
        <v>#NUM!</v>
      </c>
      <c r="IO110" s="59" t="e">
        <f t="shared" si="154"/>
        <v>#NUM!</v>
      </c>
      <c r="IP110" s="59">
        <f ca="1">AVERAGE(OFFSET(IO$3,0,0,'Données projet'!$E$20+1,1))-AVERAGE(OFFSET($H$3,0,0,'Données projet'!$E$20+1,1))</f>
        <v>91.60721429656013</v>
      </c>
      <c r="IQ110" s="59">
        <f t="shared" si="205"/>
        <v>258.94957804210856</v>
      </c>
      <c r="IR110" s="15">
        <f>IF(ISNA(VLOOKUP($A110,'Données projet'!$A$330:$I$350,3,0)),0,VLOOKUP($A110,'Données projet'!$A$330:$I$350,3,0))</f>
        <v>0</v>
      </c>
      <c r="IS110" s="15">
        <f>IF(ISNA(VLOOKUP($A110,'Données projet'!$A$330:$I$350,4,0)),0,VLOOKUP($A110,'Données projet'!$A$330:$I$350,4,0))</f>
        <v>0</v>
      </c>
      <c r="IT110" s="16">
        <f>IF(ISNA(VLOOKUP($A110,'Données projet'!$A$330:$I$350,5,0)),0%,VLOOKUP($A110,'Données projet'!$A$330:$I$350,5,0)*VLOOKUP('Données projet'!$B$20,Paramètres!$A$1:$I$89,7,0))</f>
        <v>0</v>
      </c>
      <c r="IU110" s="16">
        <f>IF(ISNA(VLOOKUP($A110,'Données projet'!$A$330:$I$350,6,0)),0%,VLOOKUP($A110,'Données projet'!$A$330:$I$350,6,0)*VLOOKUP('Données projet'!$B$20,Paramètres!$A$1:$I$89,7,0))</f>
        <v>0</v>
      </c>
      <c r="IV110" s="16">
        <f>IF(ISNA(VLOOKUP($A110,'Données projet'!$A$330:$I$350,7,0)),0%,VLOOKUP($A110,'Données projet'!$A$330:$I$350,7,0))</f>
        <v>0</v>
      </c>
      <c r="IW110" s="21">
        <f>EXP(-LN(2)/35)*IW109+(1-EXP(-LN(2)/35))/(LN(2)/35)*IS110*IT110*VLOOKUP('Données projet'!$B$20,Paramètres!$A$1:$I$89,3,0)*0.475*44/12</f>
        <v>10.736653469300911</v>
      </c>
      <c r="IX110" s="21">
        <f>EXP(-LN(2)/25)*IX109+(1-EXP(-LN(2)/25))/(LN(2)/25)*Calculateur!IS110*Calculateur!IU110*VLOOKUP('Données projet'!$B$20,Paramètres!$A$1:$I$89,3,0)*0.475*44/12</f>
        <v>1.1503737759023398</v>
      </c>
      <c r="IY110" s="21">
        <f>EXP(-LN(2)/2)*IY109+(1-EXP(-LN(2)/2))/(LN(2)/2)*IS110*IV110*VLOOKUP('Données projet'!$B$20,Paramètres!$A$1:$I$89,3,0)*0.475*44/12</f>
        <v>1.4736279054070352E-12</v>
      </c>
      <c r="IZ110" s="22">
        <f t="shared" si="155"/>
        <v>11.887027245204726</v>
      </c>
      <c r="JA110" s="74">
        <f>('Scénario référence'!$F$8+'Scénario référence'!$F$9+'Scénario référence'!$B$17+'Scénario référence'!$B$9+'Scénario référence'!$B$10)*70+IF((45+25*(1-EXP(-0.0175*$A110)))&lt;70,'Scénario référence'!$B$16*(45+25*(1-EXP(-0.0175*$A110))),70*'Scénario référence'!$B$16)+IF((32+38*(1-EXP(-0.0175*$A110)))&lt;70,'Scénario référence'!$B$18*(32+38*(1-EXP(-0.0175*$A110))),70*'Scénario référence'!$B$18)</f>
        <v>70</v>
      </c>
      <c r="JB110" s="12">
        <f>IF($A110&gt;30,10,('Scénario référence'!$B$16+'Scénario référence'!$B$17+'Scénario référence'!$B$18+'Scénario référence'!$B$9+'Scénario référence'!$B$10)*$A110*10/30+('Scénario référence'!$F$8+'Scénario référence'!$F$9)*10)</f>
        <v>10</v>
      </c>
      <c r="JC110" s="12" t="e">
        <f>VLOOKUP($A110,'Données projet'!$A$356:$I$376,2,0)</f>
        <v>#N/A</v>
      </c>
      <c r="JD110" s="12" t="e">
        <f>VLOOKUP($A110,'Données projet'!$A$356:$I$376,9,0)</f>
        <v>#N/A</v>
      </c>
      <c r="JE110" s="12">
        <f t="array" ref="JE110">INDEX(JD:JD,MIN(IF(ISNUMBER(JD110:JD306),ROW(JD110:JD306),"")))</f>
        <v>4.2</v>
      </c>
      <c r="JF110" s="12">
        <f>IF('Données projet'!$A$356&gt;35,JF109+JE110-JN109,IF($A110&lt;'Données projet'!$A$356,$CQ$205^$A110,IF($A110='Données projet'!$A$356,'Données projet'!$B$356,JF109+JE110-JN109)))</f>
        <v>405.39999999999941</v>
      </c>
      <c r="JG110" s="17">
        <f>JF110*VLOOKUP('Données projet'!$B$21,Paramètres!$A$1:$I$89,3,0)*VLOOKUP('Données projet'!$B$21,Paramètres!$A$1:$I$89,5,0)</f>
        <v>328.86047999999954</v>
      </c>
      <c r="JH110" s="13">
        <f t="shared" si="206"/>
        <v>77.194008062234062</v>
      </c>
      <c r="JI110" s="20">
        <f t="shared" si="156"/>
        <v>707.21156670839002</v>
      </c>
      <c r="JJ110" s="59">
        <f t="shared" si="157"/>
        <v>1000.5449000417234</v>
      </c>
      <c r="JK110" s="59">
        <f ca="1">AVERAGE(OFFSET($JJ$3,0,0,'Données projet'!$E$22+1,1))-AVERAGE(OFFSET($H$3,0,0,'Données projet'!$E$22+1,1))</f>
        <v>353.35574633294613</v>
      </c>
      <c r="JL110" s="59">
        <f t="shared" si="207"/>
        <v>170.36796666474726</v>
      </c>
      <c r="JM110" s="15">
        <f>IF(ISNA(VLOOKUP($A110,'Données projet'!$A$356:$I$376,3,0)),0,VLOOKUP($A110,'Données projet'!$A$356:$I$376,3,0))</f>
        <v>0</v>
      </c>
      <c r="JN110" s="15">
        <f>IF(ISNA(VLOOKUP($A110,'Données projet'!$A$356:$I$376,4,0)),0,VLOOKUP($A110,'Données projet'!$A$356:$I$376,4,0))</f>
        <v>0</v>
      </c>
      <c r="JO110" s="16">
        <f>IF(ISNA(VLOOKUP($A110,'Données projet'!$A$356:$I$376,5,0)),0%,VLOOKUP($A110,'Données projet'!$A$356:$I$376,5,0)*VLOOKUP('Données projet'!$B$21,Paramètres!$A$1:$I$89,7,0))</f>
        <v>0</v>
      </c>
      <c r="JP110" s="16">
        <f>IF(ISNA(VLOOKUP($A110,'Données projet'!$A$356:$I$376,6,0)),0%,VLOOKUP($A110,'Données projet'!$A$356:$I$376,6,0)*VLOOKUP('Données projet'!$B$21,Paramètres!$A$1:$I$89,7,0))</f>
        <v>0</v>
      </c>
      <c r="JQ110" s="16">
        <f>IF(ISNA(VLOOKUP($A110,'Données projet'!$A$356:$I$376,7,0)),0%,VLOOKUP($A110,'Données projet'!$A$356:$I$376,7,0))</f>
        <v>0</v>
      </c>
      <c r="JR110" s="21">
        <f>EXP(-LN(2)/35)*JR109+(1-EXP(-LN(2)/35))/(LN(2)/35)*JN110*JO110*VLOOKUP('Données projet'!$B$21,Paramètres!$A$1:$I$89,3,0)*0.475*44/12</f>
        <v>3.5327107953780144</v>
      </c>
      <c r="JS110" s="21">
        <f>EXP(-LN(2)/25)*JS109+(1-EXP(-LN(2)/25))/(LN(2)/25)*Calculateur!JN110*Calculateur!JP110*VLOOKUP('Données projet'!$B$21,Paramètres!$A$1:$I$89,3,0)*0.475*44/12</f>
        <v>14.62673448330017</v>
      </c>
      <c r="JT110" s="21">
        <f>EXP(-LN(2)/2)*JT109+(1-EXP(-LN(2)/2))/(LN(2)/2)*JN110*JQ110*VLOOKUP('Données projet'!$B$21,Paramètres!$A$1:$I$89,3,0)*0.475*44/12</f>
        <v>0.3418912342818885</v>
      </c>
      <c r="JU110" s="18">
        <f t="shared" si="158"/>
        <v>18.501336512960073</v>
      </c>
      <c r="JV110" s="74">
        <f>('Scénario référence'!$F$8+'Scénario référence'!$F$9+'Scénario référence'!$B$17+'Scénario référence'!$B$9+'Scénario référence'!$B$10)*70+IF((45+25*(1-EXP(-0.0175*$A110)))&lt;70,'Scénario référence'!$B$16*(45+25*(1-EXP(-0.0175*$A110))),70*'Scénario référence'!$B$16)+IF((32+38*(1-EXP(-0.0175*$A110)))&lt;70,'Scénario référence'!$B$18*(32+38*(1-EXP(-0.0175*$A110))),70*'Scénario référence'!$B$18)</f>
        <v>70</v>
      </c>
      <c r="JW110" s="12">
        <f>IF($A110&gt;30,10,('Scénario référence'!$B$16+'Scénario référence'!$B$17+'Scénario référence'!$B$18+'Scénario référence'!$B$9+'Scénario référence'!$B$10)*$A110*10/30+('Scénario référence'!$F$8+'Scénario référence'!$F$9)*10)</f>
        <v>10</v>
      </c>
      <c r="JX110" s="12" t="e">
        <f>VLOOKUP($A110,'Données projet'!$A$382:$I$402,2,0)</f>
        <v>#N/A</v>
      </c>
      <c r="JY110" s="12" t="e">
        <f>VLOOKUP($A110,'Données projet'!$A$382:$I$402,9,0)</f>
        <v>#N/A</v>
      </c>
      <c r="JZ110" s="12">
        <f t="array" ref="JZ110">INDEX(JY:JY,MIN(IF(ISNUMBER(JY110:JY306),ROW(JY110:JY306),"")))</f>
        <v>6.9935897435897401</v>
      </c>
      <c r="KA110" s="12">
        <f>IF('Données projet'!$A$382&gt;35,KA109+JZ110-KI109,IF($A110&lt;'Données projet'!$A$382,$CQ$205^$A110,IF($A110='Données projet'!$A$382,'Données projet'!$B$382,KA109+JZ110-KI109)))</f>
        <v>326.17948717948747</v>
      </c>
      <c r="KB110" s="17">
        <f>KA110*VLOOKUP('Données projet'!$B$22,Paramètres!$A$1:$I$89,3,0)*VLOOKUP('Données projet'!$B$22,Paramètres!$A$1:$I$89,5,0)</f>
        <v>218.80120000000019</v>
      </c>
      <c r="KC110" s="13">
        <f t="shared" si="208"/>
        <v>53.854249664488975</v>
      </c>
      <c r="KD110" s="20">
        <f t="shared" si="159"/>
        <v>474.87490816565196</v>
      </c>
      <c r="KE110" s="59">
        <f t="shared" si="160"/>
        <v>768.20824149898522</v>
      </c>
      <c r="KF110" s="59">
        <f ca="1">AVERAGE(OFFSET($KE$3,0,0,'Données projet'!$E$22+1,1))-AVERAGE(OFFSET($H$3,0,0,'Données projet'!$E$22+1,1))</f>
        <v>193.91714772848269</v>
      </c>
      <c r="KG110" s="59">
        <f t="shared" si="209"/>
        <v>159.20429420478047</v>
      </c>
      <c r="KH110" s="15">
        <f>IF(ISNA(VLOOKUP($A110,'Données projet'!$A$382:$I$402,3,0)),0,VLOOKUP($A110,'Données projet'!$A$382:$I$402,3,0))</f>
        <v>0</v>
      </c>
      <c r="KI110" s="15">
        <f>IF(ISNA(VLOOKUP($A110,'Données projet'!$A$382:$I$402,4,0)),0,VLOOKUP($A110,'Données projet'!$A$382:$I$402,4,0))</f>
        <v>0</v>
      </c>
      <c r="KJ110" s="16">
        <f>IF(ISNA(VLOOKUP($A110,'Données projet'!$A$382:$I$402,5,0)),0%,VLOOKUP($A110,'Données projet'!$A$382:$I$402,5,0)*VLOOKUP('Données projet'!$B$22,Paramètres!$A$1:$I$89,7,0))</f>
        <v>0</v>
      </c>
      <c r="KK110" s="16">
        <f>IF(ISNA(VLOOKUP($A110,'Données projet'!$A$382:$I$402,6,0)),0%,VLOOKUP($A110,'Données projet'!$A$382:$I$402,6,0)*VLOOKUP('Données projet'!$B$22,Paramètres!$A$1:$I$89,7,0))</f>
        <v>0</v>
      </c>
      <c r="KL110" s="16">
        <f>IF(ISNA(VLOOKUP($A110,'Données projet'!$A$382:$I$402,7,0)),0%,VLOOKUP($A110,'Données projet'!$A$382:$I$402,7,0))</f>
        <v>0</v>
      </c>
      <c r="KM110" s="21">
        <f>EXP(-LN(2)/35)*KM109+(1-EXP(-LN(2)/35))/(LN(2)/35)*KI110*KJ110*VLOOKUP('Données projet'!$B$22,Paramètres!$A$1:$I$89,3,0)*0.475*44/12</f>
        <v>38.327945290490774</v>
      </c>
      <c r="KN110" s="21">
        <f>EXP(-LN(2)/25)*KN109+(1-EXP(-LN(2)/25))/(LN(2)/25)*Calculateur!KI110*Calculateur!KK110*VLOOKUP('Données projet'!$B$22,Paramètres!$A$1:$I$89,3,0)*0.475*44/12</f>
        <v>0</v>
      </c>
      <c r="KO110" s="21">
        <f>EXP(-LN(2)/2)*KO109+(1-EXP(-LN(2)/2))/(LN(2)/2)*KI110*KL110*VLOOKUP('Données projet'!$B$22,Paramètres!$A$1:$I$89,3,0)*0.475*44/12</f>
        <v>0</v>
      </c>
      <c r="KP110" s="22">
        <f t="shared" si="161"/>
        <v>38.327945290490774</v>
      </c>
      <c r="KQ110" s="74">
        <f>('Scénario référence'!$F$8+'Scénario référence'!$F$9+'Scénario référence'!$B$17+'Scénario référence'!$B$9+'Scénario référence'!$B$10)*70+IF((45+25*(1-EXP(-0.0175*$A110)))&lt;70,'Scénario référence'!$B$16*(45+25*(1-EXP(-0.0175*$A110))),70*'Scénario référence'!$B$16)+IF((32+38*(1-EXP(-0.0175*$A110)))&lt;70,'Scénario référence'!$B$18*(32+38*(1-EXP(-0.0175*$A110))),70*'Scénario référence'!$B$18)</f>
        <v>70</v>
      </c>
      <c r="KR110" s="12">
        <f>IF($A110&gt;30,10,('Scénario référence'!$B$16+'Scénario référence'!$B$17+'Scénario référence'!$B$18+'Scénario référence'!$B$9+'Scénario référence'!$B$10)*$A110*10/30+('Scénario référence'!$F$8+'Scénario référence'!$F$9)*10)</f>
        <v>10</v>
      </c>
      <c r="KS110" s="12" t="e">
        <f>VLOOKUP($A110,'Données projet'!$A$408:$I$428,2,0)</f>
        <v>#N/A</v>
      </c>
      <c r="KT110" s="12" t="e">
        <f>VLOOKUP($A110,'Données projet'!$A$408:$I$428,9,0)</f>
        <v>#N/A</v>
      </c>
      <c r="KU110" s="12">
        <f t="array" ref="KU110">INDEX(KT:KT,MIN(IF(ISNUMBER(KT110:KT306),ROW(KT110:KT306),"")))</f>
        <v>0</v>
      </c>
      <c r="KV110" s="12">
        <f>IF('Données projet'!$A$408&gt;35,KV109+KU110-LD109,IF($A110&lt;'Données projet'!$A$408,$CQ$205^$A110,IF($A110='Données projet'!$A$408,'Données projet'!$B$408,KV109+KU110-LD109)))</f>
        <v>-1.1368683772161603E-13</v>
      </c>
      <c r="KW110" s="17">
        <f>KV110*VLOOKUP('Données projet'!$B$23,Paramètres!$A$1:$I$89,3,0)*VLOOKUP('Données projet'!$B$23,Paramètres!$A$1:$I$89,5,0)</f>
        <v>-9.9316821433603781E-14</v>
      </c>
      <c r="KX110" s="13" t="e">
        <f t="shared" si="210"/>
        <v>#NUM!</v>
      </c>
      <c r="KY110" s="14" t="e">
        <f t="shared" si="162"/>
        <v>#NUM!</v>
      </c>
      <c r="KZ110" s="59" t="e">
        <f t="shared" si="163"/>
        <v>#NUM!</v>
      </c>
      <c r="LA110" s="59">
        <f ca="1">AVERAGE(OFFSET($KZ$3,0,0,'Données projet'!$E$23+1,1))-AVERAGE(OFFSET($H$3,0,0,'Données projet'!$E$23+1,1))</f>
        <v>248.33596943633819</v>
      </c>
      <c r="LB110" s="59">
        <f t="shared" si="211"/>
        <v>242.34010522344573</v>
      </c>
      <c r="LC110" s="15">
        <f>IF(ISNA(VLOOKUP($A110,'Données projet'!$A$408:$I$428,3,0)),0,VLOOKUP($A110,'Données projet'!$A$408:$I$428,3,0))</f>
        <v>0</v>
      </c>
      <c r="LD110" s="15">
        <f>IF(ISNA(VLOOKUP($A110,'Données projet'!$A$408:$I$428,4,0)),0,VLOOKUP($A110,'Données projet'!$A$408:$I$428,4,0))</f>
        <v>0</v>
      </c>
      <c r="LE110" s="16">
        <f>IF(ISNA(VLOOKUP($A110,'Données projet'!$A$408:$I$428,5,0)),0%,VLOOKUP($A110,'Données projet'!$A$408:$I$428,5,0)*VLOOKUP('Données projet'!$B$23,Paramètres!$A$1:$I$89,7,0))</f>
        <v>0</v>
      </c>
      <c r="LF110" s="16">
        <f>IF(ISNA(VLOOKUP($A110,'Données projet'!$A$408:$I$428,6,0)),0%,VLOOKUP($A110,'Données projet'!$A$408:$I$428,6,0)*VLOOKUP('Données projet'!$B$23,Paramètres!$A$1:$I$89,7,0))</f>
        <v>0</v>
      </c>
      <c r="LG110" s="16">
        <f>IF(ISNA(VLOOKUP($A110,'Données projet'!$A$408:$I$428,7,0)),0%,VLOOKUP($A110,'Données projet'!$A$408:$I$428,7,0))</f>
        <v>0</v>
      </c>
      <c r="LH110" s="21">
        <f>EXP(-LN(2)/35)*LH109+(1-EXP(-LN(2)/35))/(LN(2)/35)*LD110*LE110*VLOOKUP('Données projet'!$B$23,Paramètres!$A$1:$I$89,3,0)*0.475*44/12</f>
        <v>72.187081431839587</v>
      </c>
      <c r="LI110" s="21">
        <f>EXP(-LN(2)/25)*LI109+(1-EXP(-LN(2)/25))/(LN(2)/25)*Calculateur!LD110*Calculateur!LF110*VLOOKUP('Données projet'!$B$23,Paramètres!$A$1:$I$89,3,0)*0.475*44/12</f>
        <v>10.301200025630784</v>
      </c>
      <c r="LJ110" s="21">
        <f>EXP(-LN(2)/2)*LJ109+(1-EXP(-LN(2)/2))/(LN(2)/2)*LD110*LG110*VLOOKUP('Données projet'!$B$23,Paramètres!$A$1:$I$89,3,0)*0.475*44/12</f>
        <v>0</v>
      </c>
      <c r="LK110" s="22">
        <f t="shared" si="164"/>
        <v>82.488281457470379</v>
      </c>
      <c r="LL110" s="74">
        <f>('Scénario référence'!$F$8+'Scénario référence'!$F$9+'Scénario référence'!$B$17+'Scénario référence'!$B$9+'Scénario référence'!$B$10)*70+IF((45+25*(1-EXP(-0.0175*$A110)))&lt;70,'Scénario référence'!$B$16*(45+25*(1-EXP(-0.0175*$A110))),70*'Scénario référence'!$B$16)+IF((32+38*(1-EXP(-0.0175*$A110)))&lt;70,'Scénario référence'!$B$18*(32+38*(1-EXP(-0.0175*$A110))),70*'Scénario référence'!$B$18)</f>
        <v>70</v>
      </c>
      <c r="LM110" s="12">
        <f>IF($A110&gt;30,10,('Scénario référence'!$B$16+'Scénario référence'!$B$17+'Scénario référence'!$B$18+'Scénario référence'!$B$9+'Scénario référence'!$B$10)*$A110*10/30+('Scénario référence'!$F$8+'Scénario référence'!$F$9)*10)</f>
        <v>10</v>
      </c>
      <c r="LN110" s="12" t="e">
        <f>VLOOKUP($A110,'Données projet'!$A$434:$I$454,2,0)</f>
        <v>#N/A</v>
      </c>
      <c r="LO110" s="12" t="e">
        <f>VLOOKUP($A110,'Données projet'!$A$434:$I$454,9,0)</f>
        <v>#N/A</v>
      </c>
      <c r="LP110" s="12">
        <f t="array" ref="LP110">INDEX(LO:LO,MIN(IF(ISNUMBER(LO110:LO306),ROW(LO110:LO306),"")))</f>
        <v>5.0961538461538449</v>
      </c>
      <c r="LQ110" s="12">
        <f>IF('Données projet'!$A$434&gt;35,LQ109+LP110-LY109,IF($A110&lt;'Données projet'!$A$434,$CQ$205^$A110,IF($A110='Données projet'!$A$434,'Données projet'!$B$434,LQ109+LP110-LY109)))</f>
        <v>215.64102564102532</v>
      </c>
      <c r="LR110" s="17">
        <f>LQ110*VLOOKUP('Données projet'!$B$24,Paramètres!$A$1:$I$89,3,0)*VLOOKUP('Données projet'!$B$24,Paramètres!$A$1:$I$89,5,0)</f>
        <v>218.65999999999968</v>
      </c>
      <c r="LS110" s="13">
        <f t="shared" si="212"/>
        <v>53.823539863729678</v>
      </c>
      <c r="LT110" s="14">
        <f t="shared" si="165"/>
        <v>474.57549859599521</v>
      </c>
      <c r="LU110" s="59">
        <f t="shared" si="166"/>
        <v>767.90883192932847</v>
      </c>
      <c r="LV110" s="59">
        <f ca="1">AVERAGE(OFFSET($LU$3,0,0,'Données projet'!$E$24+1,1))-AVERAGE(OFFSET($H$3,0,0,'Données projet'!$E$24+1,1))</f>
        <v>260.52627655062872</v>
      </c>
      <c r="LW110" s="59">
        <f t="shared" si="213"/>
        <v>159.20429420478047</v>
      </c>
      <c r="LX110" s="15">
        <f>IF(ISNA(VLOOKUP($A110,'Données projet'!$A$434:$I$454,3,0)),0,VLOOKUP($A110,'Données projet'!$A$434:$I$454,3,0))</f>
        <v>0</v>
      </c>
      <c r="LY110" s="15">
        <f>IF(ISNA(VLOOKUP($A110,'Données projet'!$A$434:$I$454,4,0)),0,VLOOKUP($A110,'Données projet'!$A$434:$I$454,4,0))</f>
        <v>0</v>
      </c>
      <c r="LZ110" s="16">
        <f>IF(ISNA(VLOOKUP($A110,'Données projet'!$A$434:$I$454,5,0)),0%,VLOOKUP($A110,'Données projet'!$A$434:$I$454,5,0)*VLOOKUP('Données projet'!$B$24,Paramètres!$A$1:$I$89,7,0))</f>
        <v>0</v>
      </c>
      <c r="MA110" s="16">
        <f>IF(ISNA(VLOOKUP($A110,'Données projet'!$A$434:$I$454,6,0)),0%,VLOOKUP($A110,'Données projet'!$A$434:$I$454,6,0)*VLOOKUP('Données projet'!$B$24,Paramètres!$A$1:$I$89,7,0))</f>
        <v>0</v>
      </c>
      <c r="MB110" s="16">
        <f>IF(ISNA(VLOOKUP($A110,'Données projet'!$A$434:$I$454,7,0)),0%,VLOOKUP($A110,'Données projet'!$A$434:$I$454,7,0))</f>
        <v>0</v>
      </c>
      <c r="MC110" s="21">
        <f>EXP(-LN(2)/35)*MC109+(1-EXP(-LN(2)/35))/(LN(2)/35)*LY110*LZ110*VLOOKUP('Données projet'!$B$24,Paramètres!$A$1:$I$89,3,0)*0.475*44/12</f>
        <v>33.05033899705608</v>
      </c>
      <c r="MD110" s="21">
        <f>EXP(-LN(2)/25)*MD109+(1-EXP(-LN(2)/25))/(LN(2)/25)*Calculateur!LY110*Calculateur!MA110*VLOOKUP('Données projet'!$B$24,Paramètres!$A$1:$I$89,3,0)*0.475*44/12</f>
        <v>0</v>
      </c>
      <c r="ME110" s="21">
        <f>EXP(-LN(2)/2)*ME109+(1-EXP(-LN(2)/2))/(LN(2)/2)*LY110*MB110*VLOOKUP('Données projet'!$B$24,Paramètres!$A$1:$I$89,3,0)*0.475*44/12</f>
        <v>0</v>
      </c>
      <c r="MF110" s="22">
        <f t="shared" si="167"/>
        <v>33.05033899705608</v>
      </c>
      <c r="MG110" s="74">
        <f>('Scénario référence'!$F$8+'Scénario référence'!$F$9+'Scénario référence'!$B$17+'Scénario référence'!$B$9+'Scénario référence'!$B$10)*70+IF((45+25*(1-EXP(-0.0175*$A110)))&lt;70,'Scénario référence'!$B$16*(45+25*(1-EXP(-0.0175*$A110))),70*'Scénario référence'!$B$16)+IF((32+38*(1-EXP(-0.0175*$A110)))&lt;70,'Scénario référence'!$B$18*(32+38*(1-EXP(-0.0175*$A110))),70*'Scénario référence'!$B$18)</f>
        <v>70</v>
      </c>
      <c r="MH110" s="12">
        <f>IF($A110&gt;30,10,('Scénario référence'!$B$16+'Scénario référence'!$B$17+'Scénario référence'!$B$18+'Scénario référence'!$B$9+'Scénario référence'!$B$10)*$A110*10/30+('Scénario référence'!$F$8+'Scénario référence'!$F$9)*10)</f>
        <v>10</v>
      </c>
      <c r="MI110" s="12" t="e">
        <f>VLOOKUP($A110,'Données projet'!$A$460:$I$480,2,0)</f>
        <v>#N/A</v>
      </c>
      <c r="MJ110" s="12" t="e">
        <f>VLOOKUP($A110,'Données projet'!$A$460:$I$480,9,0)</f>
        <v>#N/A</v>
      </c>
      <c r="MK110" s="12">
        <f t="array" ref="MK110">INDEX(MJ:MJ,MIN(IF(ISNUMBER(MJ110:MJ306),ROW(MJ110:MJ306),"")))</f>
        <v>0</v>
      </c>
      <c r="ML110" s="12">
        <f>IF('Données projet'!$A$460&gt;35,ML109+MK110-MT109,IF($A110&lt;'Données projet'!$A$460,$CQ$205^$A110,IF($A110='Données projet'!$A$460,'Données projet'!$B$460,ML109+MK110-MT109)))</f>
        <v>0</v>
      </c>
      <c r="MM110" s="17" t="e">
        <f>ML110*VLOOKUP('Données projet'!$B$25,Paramètres!$A$1:$I$89,3,0)*VLOOKUP('Données projet'!$B$25,Paramètres!$A$1:$I$89,5,0)</f>
        <v>#N/A</v>
      </c>
      <c r="MN110" s="13" t="e">
        <f t="shared" si="214"/>
        <v>#N/A</v>
      </c>
      <c r="MO110" s="14" t="e">
        <f t="shared" si="168"/>
        <v>#N/A</v>
      </c>
      <c r="MP110" s="59" t="e">
        <f t="shared" si="169"/>
        <v>#N/A</v>
      </c>
      <c r="MQ110" s="20" t="e">
        <f ca="1">AVERAGE(OFFSET($MP$3,0,0,'Données projet'!$E$25+1,1))-AVERAGE(OFFSET($H$3,0,0,'Données projet'!$E$25+1,1))</f>
        <v>#N/A</v>
      </c>
      <c r="MR110" s="59" t="e">
        <f t="shared" si="215"/>
        <v>#N/A</v>
      </c>
      <c r="MS110" s="15">
        <f>IF(ISNA(VLOOKUP($A110,'Données projet'!$A$460:$I$480,3,0)),0,VLOOKUP($A110,'Données projet'!$A$460:$I$480,3,0))</f>
        <v>0</v>
      </c>
      <c r="MT110" s="15">
        <f>IF(ISNA(VLOOKUP($A110,'Données projet'!$A$460:$I$480,4,0)),0,VLOOKUP($A110,'Données projet'!$A$460:$I$480,4,0))</f>
        <v>0</v>
      </c>
      <c r="MU110" s="16">
        <f>IF(ISNA(VLOOKUP($A110,'Données projet'!$A$460:$I$480,5,0)),0%,VLOOKUP($A110,'Données projet'!$A$460:$I$480,5,0)*VLOOKUP('Données projet'!$B$25,Paramètres!$A$1:$I$89,7,0))</f>
        <v>0</v>
      </c>
      <c r="MV110" s="16">
        <f>IF(ISNA(VLOOKUP($A110,'Données projet'!$A$460:$I$480,6,0)),0%,VLOOKUP($A110,'Données projet'!$A$460:$I$480,6,0)*VLOOKUP('Données projet'!$B$25,Paramètres!$A$1:$I$89,7,0))</f>
        <v>0</v>
      </c>
      <c r="MW110" s="16">
        <f>IF(ISNA(VLOOKUP($A110,'Données projet'!$A$460:$I$480,7,0)),0%,VLOOKUP($A110,'Données projet'!$A$460:$I$480,7,0))</f>
        <v>0</v>
      </c>
      <c r="MX110" s="21" t="e">
        <f>EXP(-LN(2)/35)*MX109+(1-EXP(-LN(2)/35))/(LN(2)/35)*MT110*MU110*VLOOKUP('Données projet'!$B$25,Paramètres!$A$1:$I$89,3,0)*0.475*44/12</f>
        <v>#N/A</v>
      </c>
      <c r="MY110" s="21" t="e">
        <f>EXP(-LN(2)/25)*MY109+(1-EXP(-LN(2)/25))/(LN(2)/25)*Calculateur!MT110*Calculateur!MV110*VLOOKUP('Données projet'!$B$25,Paramètres!$A$1:$I$89,3,0)*0.475*44/12</f>
        <v>#N/A</v>
      </c>
      <c r="MZ110" s="21" t="e">
        <f>EXP(-LN(2)/2)*MZ109+(1-EXP(-LN(2)/2))/(LN(2)/2)*MT110*MW110*VLOOKUP('Données projet'!$B$25,Paramètres!$A$1:$I$89,3,0)*0.475*44/12</f>
        <v>#N/A</v>
      </c>
      <c r="NA110" s="22" t="e">
        <f t="shared" si="170"/>
        <v>#N/A</v>
      </c>
      <c r="NB110" s="74">
        <f>('Scénario référence'!$F$8+'Scénario référence'!$F$9+'Scénario référence'!$B$17+'Scénario référence'!$B$9+'Scénario référence'!$B$10)*70+IF((45+25*(1-EXP(-0.0175*$A110)))&lt;70,'Scénario référence'!$B$16*(45+25*(1-EXP(-0.0175*$A110))),70*'Scénario référence'!$B$16)+IF((32+38*(1-EXP(-0.0175*$A110)))&lt;70,'Scénario référence'!$B$18*(32+38*(1-EXP(-0.0175*$A110))),70*'Scénario référence'!$B$18)</f>
        <v>70</v>
      </c>
      <c r="NC110" s="12">
        <f>IF($A110&gt;30,10,('Scénario référence'!$B$16+'Scénario référence'!$B$17+'Scénario référence'!$B$18+'Scénario référence'!$B$9+'Scénario référence'!$B$10)*$A110*10/30+('Scénario référence'!$F$8+'Scénario référence'!$F$9)*10)</f>
        <v>10</v>
      </c>
      <c r="ND110" s="12" t="e">
        <f>VLOOKUP($A110,'Données projet'!$A$486:$I$506,2,0)</f>
        <v>#N/A</v>
      </c>
      <c r="NE110" s="12" t="e">
        <f>VLOOKUP($A110,'Données projet'!$A$486:$I$506,9,0)</f>
        <v>#N/A</v>
      </c>
      <c r="NF110" s="12">
        <f t="array" ref="NF110">INDEX(NE:NE,MIN(IF(ISNUMBER(NE110:NE306),ROW(NE110:NE306),"")))</f>
        <v>0</v>
      </c>
      <c r="NG110" s="12">
        <f>IF('Données projet'!$A$486&gt;35,NG109+NF110-NO109,IF($A110&lt;'Données projet'!$A$486,$CQ$205^$A110,IF($A110='Données projet'!$A$486,'Données projet'!$B$486,NG109+NF110-NO109)))</f>
        <v>0</v>
      </c>
      <c r="NH110" s="17" t="e">
        <f>NG110*VLOOKUP('Données projet'!$B$26,Paramètres!$A$1:$I$89,3,0)*VLOOKUP('Données projet'!$B$26,Paramètres!$A$1:$I$89,5,0)</f>
        <v>#N/A</v>
      </c>
      <c r="NI110" s="13" t="e">
        <f t="shared" si="216"/>
        <v>#N/A</v>
      </c>
      <c r="NJ110" s="14" t="e">
        <f t="shared" si="171"/>
        <v>#N/A</v>
      </c>
      <c r="NK110" s="59" t="e">
        <f t="shared" si="172"/>
        <v>#N/A</v>
      </c>
      <c r="NL110" s="20" t="e">
        <f ca="1">AVERAGE(OFFSET($NK$3,0,0,'Données projet'!$E$26+1,1))-AVERAGE(OFFSET($H$3,0,0,'Données projet'!$E$26+1,1))</f>
        <v>#N/A</v>
      </c>
      <c r="NM110" s="59" t="e">
        <f t="shared" si="217"/>
        <v>#N/A</v>
      </c>
      <c r="NN110" s="15">
        <f>IF(ISNA(VLOOKUP($A110,'Données projet'!$A$486:$I$506,3,0)),0,VLOOKUP($A110,'Données projet'!$A$486:$I$506,3,0))</f>
        <v>0</v>
      </c>
      <c r="NO110" s="15">
        <f>IF(ISNA(VLOOKUP($A110,'Données projet'!$A$486:$I$506,4,0)),0,VLOOKUP($A110,'Données projet'!$A$486:$I$506,4,0))</f>
        <v>0</v>
      </c>
      <c r="NP110" s="16">
        <f>IF(ISNA(VLOOKUP($A110,'Données projet'!$A$486:$I$506,5,0)),0%,VLOOKUP($A110,'Données projet'!$A$486:$I$506,5,0)*VLOOKUP('Données projet'!$B$26,Paramètres!$A$1:$I$89,7,0))</f>
        <v>0</v>
      </c>
      <c r="NQ110" s="16">
        <f>IF(ISNA(VLOOKUP($A110,'Données projet'!$A$486:$I$506,6,0)),0%,VLOOKUP($A110,'Données projet'!$A$486:$I$506,6,0)*VLOOKUP('Données projet'!$B$26,Paramètres!$A$1:$I$89,7,0))</f>
        <v>0</v>
      </c>
      <c r="NR110" s="16">
        <f>IF(ISNA(VLOOKUP($A110,'Données projet'!$A$486:$I$506,7,0)),0%,VLOOKUP($A110,'Données projet'!$A$486:$I$506,7,0))</f>
        <v>0</v>
      </c>
      <c r="NS110" s="21" t="e">
        <f>EXP(-LN(2)/35)*NS109+(1-EXP(-LN(2)/35))/(LN(2)/35)*NO110*NP110*VLOOKUP('Données projet'!$B$26,Paramètres!$A$1:$I$89,3,0)*0.475*44/12</f>
        <v>#N/A</v>
      </c>
      <c r="NT110" s="21" t="e">
        <f>EXP(-LN(2)/25)*NT109+(1-EXP(-LN(2)/25))/(LN(2)/25)*Calculateur!NO110*Calculateur!NQ110*VLOOKUP('Données projet'!$B$26,Paramètres!$A$1:$I$89,3,0)*0.475*44/12</f>
        <v>#N/A</v>
      </c>
      <c r="NU110" s="21" t="e">
        <f>EXP(-LN(2)/2)*NU109+(1-EXP(-LN(2)/2))/(LN(2)/2)*NO110*NR110*VLOOKUP('Données projet'!$B$26,Paramètres!$A$1:$I$89,3,0)*0.475*44/12</f>
        <v>#N/A</v>
      </c>
      <c r="NV110" s="22" t="e">
        <f t="shared" si="173"/>
        <v>#N/A</v>
      </c>
      <c r="NW110" s="74">
        <f>('Scénario référence'!$F$8+'Scénario référence'!$F$9+'Scénario référence'!$B$17+'Scénario référence'!$B$9+'Scénario référence'!$B$10)*70+IF((45+25*(1-EXP(-0.0175*$A110)))&lt;70,'Scénario référence'!$B$16*(45+25*(1-EXP(-0.0175*$A110))),70*'Scénario référence'!$B$16)+IF((32+38*(1-EXP(-0.0175*$A110)))&lt;70,'Scénario référence'!$B$18*(32+38*(1-EXP(-0.0175*$A110))),70*'Scénario référence'!$B$18)</f>
        <v>70</v>
      </c>
      <c r="NX110" s="12">
        <f>IF($A110&gt;30,10,('Scénario référence'!$B$16+'Scénario référence'!$B$17+'Scénario référence'!$B$18+'Scénario référence'!$B$9+'Scénario référence'!$B$10)*$A110*10/30+('Scénario référence'!$F$8+'Scénario référence'!$F$9)*10)</f>
        <v>10</v>
      </c>
      <c r="NY110" s="12" t="e">
        <f>VLOOKUP($A110,'Données projet'!$A$512:$I$532,2,0)</f>
        <v>#N/A</v>
      </c>
      <c r="NZ110" s="12" t="e">
        <f>VLOOKUP($A110,'Données projet'!$A$512:$I$532,9,0)</f>
        <v>#N/A</v>
      </c>
      <c r="OA110" s="12">
        <f t="array" ref="OA110">INDEX(NZ:NZ,MIN(IF(ISNUMBER(NZ110:NZ306),ROW(NZ110:NZ306),"")))</f>
        <v>0</v>
      </c>
      <c r="OB110" s="12">
        <f>IF('Données projet'!$A$512&gt;35,OB109+OA110-OJ109,IF($A110&lt;'Données projet'!$A$512,$CQ$205^$A110,IF($A110='Données projet'!$A$512,'Données projet'!$B$512,OB109+OA110-OJ109)))</f>
        <v>0</v>
      </c>
      <c r="OC110" s="17" t="e">
        <f>OB110*VLOOKUP('Données projet'!$B$27,Paramètres!$A$1:$I$89,3,0)*VLOOKUP('Données projet'!$B$27,Paramètres!$A$1:$I$89,5,0)</f>
        <v>#N/A</v>
      </c>
      <c r="OD110" s="13" t="e">
        <f t="shared" si="218"/>
        <v>#N/A</v>
      </c>
      <c r="OE110" s="14" t="e">
        <f t="shared" si="174"/>
        <v>#N/A</v>
      </c>
      <c r="OF110" s="59" t="e">
        <f t="shared" si="175"/>
        <v>#N/A</v>
      </c>
      <c r="OG110" s="20" t="e">
        <f ca="1">AVERAGE(OFFSET($OF$3,0,0,'Données projet'!$E$27+1,1))-AVERAGE(OFFSET($H$3,0,0,'Données projet'!$E$27+1,1))</f>
        <v>#N/A</v>
      </c>
      <c r="OH110" s="59" t="e">
        <f t="shared" si="219"/>
        <v>#N/A</v>
      </c>
      <c r="OI110" s="15">
        <f>IF(ISNA(VLOOKUP($A110,'Données projet'!$A$512:$I$532,3,0)),0,VLOOKUP($A110,'Données projet'!$A$512:$I$532,3,0))</f>
        <v>0</v>
      </c>
      <c r="OJ110" s="15">
        <f>IF(ISNA(VLOOKUP($A110,'Données projet'!$A$512:$I$532,4,0)),0,VLOOKUP($A110,'Données projet'!$A$512:$I$532,4,0))</f>
        <v>0</v>
      </c>
      <c r="OK110" s="16">
        <f>IF(ISNA(VLOOKUP($A110,'Données projet'!$A$512:$I$532,5,0)),0%,VLOOKUP($A110,'Données projet'!$A$512:$I$532,5,0)*VLOOKUP('Données projet'!$B$27,Paramètres!$A$1:$I$89,7,0))</f>
        <v>0</v>
      </c>
      <c r="OL110" s="16">
        <f>IF(ISNA(VLOOKUP($A110,'Données projet'!$A$512:$I$532,6,0)),0%,VLOOKUP($A110,'Données projet'!$A$512:$I$532,6,0)*VLOOKUP('Données projet'!$B$27,Paramètres!$A$1:$I$89,7,0))</f>
        <v>0</v>
      </c>
      <c r="OM110" s="16">
        <f>IF(ISNA(VLOOKUP($A110,'Données projet'!$A$512:$I$532,7,0)),0%,VLOOKUP($A110,'Données projet'!$A$512:$I$532,7,0))</f>
        <v>0</v>
      </c>
      <c r="ON110" s="21" t="e">
        <f>EXP(-LN(2)/35)*ON109+(1-EXP(-LN(2)/35))/(LN(2)/35)*OJ110*OK110*VLOOKUP('Données projet'!$B$27,Paramètres!$A$1:$I$89,3,0)*0.475*44/12</f>
        <v>#N/A</v>
      </c>
      <c r="OO110" s="21" t="e">
        <f>EXP(-LN(2)/25)*OO109+(1-EXP(-LN(2)/25))/(LN(2)/25)*Calculateur!OJ110*Calculateur!OL110*VLOOKUP('Données projet'!$B$27,Paramètres!$A$1:$I$89,3,0)*0.475*44/12</f>
        <v>#N/A</v>
      </c>
      <c r="OP110" s="21" t="e">
        <f>EXP(-LN(2)/2)*OP109+(1-EXP(-LN(2)/2))/(LN(2)/2)*OJ110*OM110*VLOOKUP('Données projet'!$B$27,Paramètres!$A$1:$I$89,3,0)*0.475*44/12</f>
        <v>#N/A</v>
      </c>
      <c r="OQ110" s="22" t="e">
        <f t="shared" si="176"/>
        <v>#N/A</v>
      </c>
      <c r="OR110" s="74">
        <f>('Scénario référence'!$F$8+'Scénario référence'!$F$9+'Scénario référence'!$B$17+'Scénario référence'!$B$9+'Scénario référence'!$B$10)*70+IF((45+25*(1-EXP(-0.0175*$A110)))&lt;70,'Scénario référence'!$B$16*(45+25*(1-EXP(-0.0175*$A110))),70*'Scénario référence'!$B$16)+IF((32+38*(1-EXP(-0.0175*$A110)))&lt;70,'Scénario référence'!$B$18*(32+38*(1-EXP(-0.0175*$A110))),70*'Scénario référence'!$B$18)</f>
        <v>70</v>
      </c>
      <c r="OS110" s="12">
        <f>IF($A110&gt;30,10,('Scénario référence'!$B$16+'Scénario référence'!$B$17+'Scénario référence'!$B$18+'Scénario référence'!$B$9+'Scénario référence'!$B$10)*$A110*10/30+('Scénario référence'!$F$8+'Scénario référence'!$F$9)*10)</f>
        <v>10</v>
      </c>
      <c r="OT110" s="12" t="e">
        <f>VLOOKUP($A110,'Données projet'!$A$538:$I$558,2,0)</f>
        <v>#N/A</v>
      </c>
      <c r="OU110" s="12" t="e">
        <f>VLOOKUP($A110,'Données projet'!$A$538:$I$558,9,0)</f>
        <v>#N/A</v>
      </c>
      <c r="OV110" s="12">
        <f t="array" ref="OV110">INDEX(OU:OU,MIN(IF(ISNUMBER(OU110:OU306),ROW(OU110:OU306),"")))</f>
        <v>0</v>
      </c>
      <c r="OW110" s="12">
        <f>IF('Données projet'!$A$538&gt;35,OW109+OV110-PE109,IF($A110&lt;'Données projet'!$A$538,$CQ$205^$A110,IF($A110='Données projet'!$A$538,'Données projet'!$B$538,OW109+OV110-PE109)))</f>
        <v>0</v>
      </c>
      <c r="OX110" s="17" t="e">
        <f>OW110*VLOOKUP('Données projet'!$B$28,Paramètres!$A$1:$I$89,3,0)*VLOOKUP('Données projet'!$B$28,Paramètres!$A$1:$I$89,5,0)</f>
        <v>#N/A</v>
      </c>
      <c r="OY110" s="13" t="e">
        <f t="shared" si="220"/>
        <v>#N/A</v>
      </c>
      <c r="OZ110" s="14" t="e">
        <f t="shared" si="177"/>
        <v>#N/A</v>
      </c>
      <c r="PA110" s="59" t="e">
        <f t="shared" si="178"/>
        <v>#N/A</v>
      </c>
      <c r="PB110" s="20" t="e">
        <f ca="1">AVERAGE(OFFSET($PA$3,0,0,'Données projet'!$E$28+1,1))-AVERAGE(OFFSET($H$3,0,0,'Données projet'!$E$28+1,1))</f>
        <v>#N/A</v>
      </c>
      <c r="PC110" s="59" t="e">
        <f t="shared" si="221"/>
        <v>#N/A</v>
      </c>
      <c r="PD110" s="15">
        <f>IF(ISNA(VLOOKUP($A110,'Données projet'!$A$538:$I$558,3,0)),0,VLOOKUP($A110,'Données projet'!$A$538:$I$558,3,0))</f>
        <v>0</v>
      </c>
      <c r="PE110" s="15">
        <f>IF(ISNA(VLOOKUP($A110,'Données projet'!$A$538:$I$558,4,0)),0,VLOOKUP($A110,'Données projet'!$A$538:$I$558,4,0))</f>
        <v>0</v>
      </c>
      <c r="PF110" s="16">
        <f>IF(ISNA(VLOOKUP($A110,'Données projet'!$A$538:$I$558,5,0)),0%,VLOOKUP($A110,'Données projet'!$A$538:$I$558,5,0)*VLOOKUP('Données projet'!$B$28,Paramètres!$A$1:$I$89,7,0))</f>
        <v>0</v>
      </c>
      <c r="PG110" s="16">
        <f>IF(ISNA(VLOOKUP($A110,'Données projet'!$A$538:$I$558,6,0)),0%,VLOOKUP($A110,'Données projet'!$A$538:$I$558,6,0)*VLOOKUP('Données projet'!$B$28,Paramètres!$A$1:$I$89,7,0))</f>
        <v>0</v>
      </c>
      <c r="PH110" s="16">
        <f>IF(ISNA(VLOOKUP($A110,'Données projet'!$A$538:$I$558,7,0)),0%,VLOOKUP($A110,'Données projet'!$A$538:$I$558,7,0))</f>
        <v>0</v>
      </c>
      <c r="PI110" s="21" t="e">
        <f>EXP(-LN(2)/35)*PI109+(1-EXP(-LN(2)/35))/(LN(2)/35)*PE110*PF110*VLOOKUP('Données projet'!$B$28,Paramètres!$A$1:$I$89,3,0)*0.475*44/12</f>
        <v>#N/A</v>
      </c>
      <c r="PJ110" s="21" t="e">
        <f>EXP(-LN(2)/25)*PJ109+(1-EXP(-LN(2)/25))/(LN(2)/25)*Calculateur!PE110*Calculateur!PG110*VLOOKUP('Données projet'!$B$28,Paramètres!$A$1:$I$89,3,0)*0.475*44/12</f>
        <v>#N/A</v>
      </c>
      <c r="PK110" s="21" t="e">
        <f>EXP(-LN(2)/2)*PK109+(1-EXP(-LN(2)/2))/(LN(2)/2)*PE110*PH110*VLOOKUP('Données projet'!$B$28,Paramètres!$A$1:$I$89,3,0)*0.475*44/12</f>
        <v>#N/A</v>
      </c>
      <c r="PL110" s="22" t="e">
        <f t="shared" si="179"/>
        <v>#N/A</v>
      </c>
    </row>
    <row r="111" spans="1:428" x14ac:dyDescent="0.35">
      <c r="A111" s="10">
        <f t="shared" si="180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181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121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projet'!$A$45:$I$65,2,0)</f>
        <v>#N/A</v>
      </c>
      <c r="L111" s="12" t="e">
        <f>VLOOKUP(A111,'Données projet'!$A$45:$I$65,9,0)</f>
        <v>#N/A</v>
      </c>
      <c r="M111" s="12">
        <f t="array" ref="M111">INDEX(L:L,MIN(IF(ISNUMBER(L111:L307),ROW(L111:L307),"")))</f>
        <v>0</v>
      </c>
      <c r="N111" s="13">
        <f>IF('Données projet'!$A$46&gt;35,N110+M111-V110,IF(A111&lt;'Données projet'!$A$46,$K$205^A111,IF(A111='Données projet'!$A$46,'Données projet'!$B$46,N110+M111-V110)))</f>
        <v>-1.1368683772161603E-13</v>
      </c>
      <c r="O111" s="13">
        <f>N111*VLOOKUP('Données projet'!$B$9,Paramètres!$A$1:$I$89,3,0)*VLOOKUP('Données projet'!$B$9,Paramètres!$A$1:$I$89,5,0)</f>
        <v>-6.3550942286383367E-14</v>
      </c>
      <c r="P111" s="13" t="e">
        <f t="shared" si="182"/>
        <v>#NUM!</v>
      </c>
      <c r="Q111" s="20" t="e">
        <f t="shared" si="222"/>
        <v>#NUM!</v>
      </c>
      <c r="R111" s="59" t="e">
        <f t="shared" si="120"/>
        <v>#NUM!</v>
      </c>
      <c r="S111" s="59">
        <f ca="1">AVERAGE(OFFSET($R$3,0,0,'Données projet'!$E$9+1,1))-AVERAGE(OFFSET($H$3,0,0,'Données projet'!$E$9+1,1))</f>
        <v>274.57619581652199</v>
      </c>
      <c r="T111" s="59">
        <f t="shared" si="183"/>
        <v>366.15117322598775</v>
      </c>
      <c r="U111" s="15">
        <f>IF(ISNA(VLOOKUP(A111,'Données projet'!$A$45:$I$65,3,0)),0,VLOOKUP(A111,'Données projet'!$A$45:$I$65,3,0))</f>
        <v>0</v>
      </c>
      <c r="V111" s="15">
        <f>IF(ISNA(VLOOKUP(A111,'Données projet'!$A$45:$I$65,4,0)),0,VLOOKUP(A111,'Données projet'!$A$45:$I$65,4,0))</f>
        <v>0</v>
      </c>
      <c r="W111" s="16">
        <f>IF(ISNA(VLOOKUP(A111,'Données projet'!$A$45:$I$65,5,0)),0%,VLOOKUP(A111,'Données projet'!$A$45:$I$65,5,0)*VLOOKUP('Données projet'!$B$9,Paramètres!$A$1:$I$89,7,0))</f>
        <v>0</v>
      </c>
      <c r="X111" s="16">
        <f>IF(ISNA(VLOOKUP(A111,'Données projet'!$A$45:$I$65,6,0)),0%,VLOOKUP(A111,'Données projet'!$A$45:$I$65,6,0)*VLOOKUP('Données projet'!$B$9,Paramètres!$A$1:$I$89,7,0))</f>
        <v>0</v>
      </c>
      <c r="Y111" s="16">
        <f>IF(ISNA(VLOOKUP(A111,'Données projet'!$A$45:$I$65,7,0)),0%,VLOOKUP(A111,'Données projet'!$A$45:$I$65,7,0))</f>
        <v>0</v>
      </c>
      <c r="Z111" s="21">
        <f>EXP(-LN(2)/35)*Z110+(1-EXP(-LN(2)/35))/(LN(2)/35)*V111*W111*VLOOKUP('Données projet'!$B$9,Paramètres!$A$1:$I$89,3,0)*0.475*44/12</f>
        <v>79.345786845618534</v>
      </c>
      <c r="AA111" s="21">
        <f>EXP(-LN(2)/25)*AA110+(1-EXP(-LN(2)/25))/(LN(2)/25)*Calculateur!V111*Calculateur!X111*VLOOKUP('Données projet'!$B$9,Paramètres!$A$1:$I$89,3,0)*0.475*44/12</f>
        <v>13.252469018600799</v>
      </c>
      <c r="AB111" s="21">
        <f>EXP(-LN(2)/2)*AB110+(1-EXP(-LN(2)/2))/(LN(2)/2)*V111*Y111*VLOOKUP('Données projet'!$B$9,Paramètres!$A$1:$I$89,3,0)*0.475*44/12</f>
        <v>3.5994782619898153E-7</v>
      </c>
      <c r="AC111" s="22">
        <f t="shared" si="122"/>
        <v>92.598256224167159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projet'!$A$71:$I$91,2,0)</f>
        <v>#N/A</v>
      </c>
      <c r="AG111" s="12" t="e">
        <f>VLOOKUP(A111,'Données projet'!$A$71:$I$91,9,0)</f>
        <v>#N/A</v>
      </c>
      <c r="AH111" s="12">
        <f t="array" ref="AH111">INDEX(AG:AG,MIN(IF(ISNUMBER(AG111:AG307),ROW(AG111:AG307),"")))</f>
        <v>6.9935897435897401</v>
      </c>
      <c r="AI111" s="13">
        <f>IF('Données projet'!$A$72&gt;35,AI110+AH111-AQ110,IF(A111&lt;'Données projet'!$A$72,$AF$205^A111,IF(A111='Données projet'!$A$72,'Données projet'!$B$72,AI110+AH111-AQ110)))</f>
        <v>333.17307692307725</v>
      </c>
      <c r="AJ111" s="13">
        <f>AI111*VLOOKUP('Données projet'!$B$10,Paramètres!$A$1:$I$89,3,0)*VLOOKUP('Données projet'!$B$10,Paramètres!$A$1:$I$89,5,0)</f>
        <v>301.45500000000027</v>
      </c>
      <c r="AK111" s="13">
        <f t="shared" si="184"/>
        <v>71.481401418760342</v>
      </c>
      <c r="AL111" s="20">
        <f t="shared" si="123"/>
        <v>649.53089913767474</v>
      </c>
      <c r="AM111" s="59">
        <f t="shared" si="124"/>
        <v>942.86423247100811</v>
      </c>
      <c r="AN111" s="59">
        <f ca="1">AVERAGE(OFFSET($AM$3,0,0,'Données projet'!$E$10+1,1))-AVERAGE(OFFSET($H$3,0,0,'Données projet'!$E$10+1,1))</f>
        <v>270.87836509222456</v>
      </c>
      <c r="AO111" s="59">
        <f t="shared" si="185"/>
        <v>205.24998237949734</v>
      </c>
      <c r="AP111" s="15">
        <f>IF(ISNA(VLOOKUP(A111,'Données projet'!$A$71:$I$91,3,0)),0,VLOOKUP(A111,'Données projet'!$A$71:$I$91,3,0))</f>
        <v>0</v>
      </c>
      <c r="AQ111" s="15">
        <f>IF(ISNA(VLOOKUP(A111,'Données projet'!$A$71:$I$91,4,0)),0,VLOOKUP(A111,'Données projet'!$A$71:$I$91,4,0))</f>
        <v>0</v>
      </c>
      <c r="AR111" s="16">
        <f>IF(ISNA(VLOOKUP(A111,'Données projet'!$A$71:$I$91,5,0)),0%,VLOOKUP(A111,'Données projet'!$A$71:$I$91,5,0)*VLOOKUP('Données projet'!$B$10,Paramètres!$A$1:$I$89,7,0))</f>
        <v>0</v>
      </c>
      <c r="AS111" s="16">
        <f>IF(ISNA(VLOOKUP(A111,'Données projet'!$A$71:$I$91,6,0)),0%,VLOOKUP(A111,'Données projet'!$A$71:$I$91,6,0)*VLOOKUP('Données projet'!$B$10,Paramètres!$A$1:$I$89,7,0))</f>
        <v>0</v>
      </c>
      <c r="AT111" s="16">
        <f>IF(ISNA(VLOOKUP(A111,'Données projet'!$A$71:$I$91,7,0)),0%,VLOOKUP(A111,'Données projet'!$A$71:$I$91,7,0))</f>
        <v>0</v>
      </c>
      <c r="AU111" s="21">
        <f>EXP(-LN(2)/35)*AU110+(1-EXP(-LN(2)/35))/(LN(2)/35)*AQ111*AR111*VLOOKUP('Données projet'!$B$10,Paramètres!$A$1:$I$89,3,0)*0.475*44/12</f>
        <v>41.121297063071431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125"/>
        <v>41.121297063071431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projet'!$A$97:$I$117,2,0)</f>
        <v>#N/A</v>
      </c>
      <c r="BB111" s="12" t="e">
        <f>VLOOKUP(A111,'Données projet'!$A$97:$I$117,9,0)</f>
        <v>#N/A</v>
      </c>
      <c r="BC111" s="12">
        <f t="array" ref="BC111">INDEX(BB:BB,MIN(IF(ISNUMBER(BB111:BB307),ROW(BB111:BB307),"")))</f>
        <v>0</v>
      </c>
      <c r="BD111" s="12">
        <f>IF('Données projet'!$A$98&gt;35,BD110+BC111-BL110,IF(A111&lt;'Données projet'!$A$98,$BA$205^A111,IF(A111='Données projet'!$A$98,'Données projet'!$B$98,BD110+BC111-BL110)))</f>
        <v>-1.1368683772161603E-13</v>
      </c>
      <c r="BE111" s="13">
        <f>BD111*VLOOKUP('Données projet'!$B$11,Paramètres!$A$1:$I$89,3,0)*VLOOKUP('Données projet'!$B$11,Paramètres!$A$1:$I$89,5,0)</f>
        <v>-5.0249582272954292E-14</v>
      </c>
      <c r="BF111" s="13" t="e">
        <f t="shared" si="186"/>
        <v>#NUM!</v>
      </c>
      <c r="BG111" s="20" t="e">
        <f t="shared" si="126"/>
        <v>#NUM!</v>
      </c>
      <c r="BH111" s="59" t="e">
        <f t="shared" si="127"/>
        <v>#NUM!</v>
      </c>
      <c r="BI111" s="59">
        <f ca="1">AVERAGE(OFFSET($BH$3,0,0,'Données projet'!$E$11+1,1))-AVERAGE(OFFSET($H$3,0,0,'Données projet'!$E$11+1,1))</f>
        <v>211.31057120485542</v>
      </c>
      <c r="BJ111" s="59">
        <f t="shared" si="187"/>
        <v>283.33292006714777</v>
      </c>
      <c r="BK111" s="15">
        <f>IF(ISNA(VLOOKUP(A111,'Données projet'!$A$97:$I$117,3,0)),0,VLOOKUP(A111,'Données projet'!$A$97:$I$117,3,0))</f>
        <v>0</v>
      </c>
      <c r="BL111" s="15">
        <f>IF(ISNA(VLOOKUP(A111,'Données projet'!$A$97:$I$117,4,0)),0,VLOOKUP(A111,'Données projet'!$A$97:$I$117,4,0))</f>
        <v>0</v>
      </c>
      <c r="BM111" s="16">
        <f>IF(ISNA(VLOOKUP(A111,'Données projet'!$A$97:$I$117,5,0)),0%,VLOOKUP(A111,'Données projet'!$A$97:$I$117,5,0)*VLOOKUP('Données projet'!$B$11,Paramètres!$A$1:$I$89,7,0))</f>
        <v>0</v>
      </c>
      <c r="BN111" s="16">
        <f>IF(ISNA(VLOOKUP(A111,'Données projet'!$A$97:$I$117,6,0)),0%,VLOOKUP(A111,'Données projet'!$A$97:$I$117,6,0)*VLOOKUP('Données projet'!$B$11,Paramètres!$A$1:$I$89,7,0))</f>
        <v>0</v>
      </c>
      <c r="BO111" s="16">
        <f>IF(ISNA(VLOOKUP(A111,'Données projet'!$A$97:$I$117,7,0)),0%,VLOOKUP(A111,'Données projet'!$A$97:$I$117,7,0))</f>
        <v>0</v>
      </c>
      <c r="BP111" s="21">
        <f>EXP(-LN(2)/35)*BP110+(1-EXP(-LN(2)/35))/(LN(2)/35)*BL111*BM111*VLOOKUP('Données projet'!$B$11,Paramètres!$A$1:$I$89,3,0)*0.475*44/12</f>
        <v>62.738529133744905</v>
      </c>
      <c r="BQ111" s="21">
        <f>EXP(-LN(2)/25)*BQ110+(1-EXP(-LN(2)/25))/(LN(2)/25)*Calculateur!BL111*Calculateur!BN111*VLOOKUP('Données projet'!$B$11,Paramètres!$A$1:$I$89,3,0)*0.475*44/12</f>
        <v>10.478696433312255</v>
      </c>
      <c r="BR111" s="21">
        <f>EXP(-LN(2)/2)*BR110+(1-EXP(-LN(2)/2))/(LN(2)/2)*BL111*BO111*VLOOKUP('Données projet'!$B$11,Paramètres!$A$1:$I$89,3,0)*0.475*44/12</f>
        <v>2.8460990908756674E-7</v>
      </c>
      <c r="BS111" s="22">
        <f t="shared" si="128"/>
        <v>73.217225851667067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projet'!$A$123:$I$143,2,0)</f>
        <v>#N/A</v>
      </c>
      <c r="BW111" s="12" t="e">
        <f>VLOOKUP(A111,'Données projet'!$A$123:$I$143,9,0)</f>
        <v>#N/A</v>
      </c>
      <c r="BX111" s="12">
        <f t="array" ref="BX111">INDEX(BW:BW,MIN(IF(ISNUMBER(BW111:BW307),ROW(BW111:BW307),"")))</f>
        <v>0</v>
      </c>
      <c r="BY111" s="12">
        <f>IF('Données projet'!$A$124&gt;35,BY110+BX111-CG110,IF(A111&lt;'Données projet'!$A$124,$BV$205^A111,IF(A111='Données projet'!$A$124,'Données projet'!$B$124,BY110+BX111-CG110)))</f>
        <v>0</v>
      </c>
      <c r="BZ111" s="13">
        <f>BY111*VLOOKUP('Données projet'!$B$12,Paramètres!$A$1:$I$89,3,0)*VLOOKUP('Données projet'!$B$12,Paramètres!$A$1:$I$89,5,0)</f>
        <v>0</v>
      </c>
      <c r="CA111" s="13" t="e">
        <f t="shared" si="188"/>
        <v>#NUM!</v>
      </c>
      <c r="CB111" s="20" t="e">
        <f t="shared" si="129"/>
        <v>#NUM!</v>
      </c>
      <c r="CC111" s="59" t="e">
        <f t="shared" si="130"/>
        <v>#NUM!</v>
      </c>
      <c r="CD111" s="59">
        <f ca="1">AVERAGE(OFFSET($CC$3,0,0,'Données projet'!$E$12+1,1))-AVERAGE(OFFSET($H$3,0,0,'Données projet'!$E$12+1,1))</f>
        <v>322.93502595881938</v>
      </c>
      <c r="CE111" s="59">
        <f t="shared" si="189"/>
        <v>302.67072119588164</v>
      </c>
      <c r="CF111" s="15">
        <f>IF(ISNA(VLOOKUP(A111,'Données projet'!$A$123:$I$143,3,0)),0,VLOOKUP(A111,'Données projet'!$A$123:$I$143,3,0))</f>
        <v>0</v>
      </c>
      <c r="CG111" s="15">
        <f>IF(ISNA(VLOOKUP(A111,'Données projet'!$A$123:$I$143,4,0)),0,VLOOKUP(A111,'Données projet'!$A$123:$I$143,4,0))</f>
        <v>0</v>
      </c>
      <c r="CH111" s="16">
        <f>IF(ISNA(VLOOKUP(A111,'Données projet'!$A$123:$I$143,5,0)),0%,VLOOKUP(A111,'Données projet'!$A$123:$I$143,5,0)*VLOOKUP('Données projet'!$B$12,Paramètres!$A$1:$I$89,7,0))</f>
        <v>0</v>
      </c>
      <c r="CI111" s="16">
        <f>IF(ISNA(VLOOKUP(A111,'Données projet'!$A$123:$I$143,6,0)),0%,VLOOKUP(A111,'Données projet'!$A$123:$I$143,6,0)*VLOOKUP('Données projet'!$B$12,Paramètres!$A$1:$I$89,7,0))</f>
        <v>0</v>
      </c>
      <c r="CJ111" s="16">
        <f>IF(ISNA(VLOOKUP(A111,'Données projet'!$A$123:$I$143,7,0)),0%,VLOOKUP(A111,'Données projet'!$A$123:$I$143,7,0))</f>
        <v>0</v>
      </c>
      <c r="CK111" s="21">
        <f>EXP(-LN(2)/35)*CK110+(1-EXP(-LN(2)/35))/(LN(2)/35)*CG111*CH111*VLOOKUP('Données projet'!$B$12,Paramètres!$A$1:$I$89,3,0)*0.475*44/12</f>
        <v>99.957636685114068</v>
      </c>
      <c r="CL111" s="21">
        <f>EXP(-LN(2)/25)*CL110+(1-EXP(-LN(2)/25))/(LN(2)/25)*Calculateur!CG111*Calculateur!CI111*VLOOKUP('Données projet'!$B$12,Paramètres!$A$1:$I$89,3,0)*0.475*44/12</f>
        <v>33.53816860628465</v>
      </c>
      <c r="CM111" s="21">
        <f>EXP(-LN(2)/2)*CM110+(1-EXP(-LN(2)/2))/(LN(2)/2)*CG111*CJ111*VLOOKUP('Données projet'!$B$12,Paramètres!$A$1:$I$89,3,0)*0.475*44/12</f>
        <v>0</v>
      </c>
      <c r="CN111" s="22">
        <f t="shared" si="131"/>
        <v>133.49580529139871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projet'!$A$149:$I$169,2,0)</f>
        <v>#N/A</v>
      </c>
      <c r="CR111" s="12" t="e">
        <f>VLOOKUP(A111,'Données projet'!$A$149:$I$169,9,0)</f>
        <v>#N/A</v>
      </c>
      <c r="CS111" s="12">
        <f t="array" ref="CS111">INDEX(CR:CR,MIN(IF(ISNUMBER(CR111:CR307),ROW(CR111:CR307),"")))</f>
        <v>5.0961538461538449</v>
      </c>
      <c r="CT111" s="12">
        <f>IF('Données projet'!$A$150&gt;35,CT110+CS111-DB110,IF(A111&lt;'Données projet'!$A$150,$CQ$205^A111,IF(A111='Données projet'!$A$150,'Données projet'!$B$150,CT110+CS111-DB110)))</f>
        <v>220.73717948717916</v>
      </c>
      <c r="CU111" s="17">
        <f>CT111*VLOOKUP('Données projet'!$B$13,Paramètres!$A$1:$I$89,3,0)*VLOOKUP('Données projet'!$B$13,Paramètres!$A$1:$I$89,5,0)</f>
        <v>223.82749999999967</v>
      </c>
      <c r="CV111" s="13">
        <f t="shared" si="190"/>
        <v>54.94593701193218</v>
      </c>
      <c r="CW111" s="20">
        <f t="shared" si="132"/>
        <v>485.53040279578119</v>
      </c>
      <c r="CX111" s="59">
        <f t="shared" si="133"/>
        <v>778.8637361291145</v>
      </c>
      <c r="CY111" s="59">
        <f ca="1">AVERAGE(OFFSET($CX$3,0,0,'Données projet'!$E$13+1,1))-AVERAGE(OFFSET($H$3,0,0,'Données projet'!$E$13+1,1))</f>
        <v>250.31277422753283</v>
      </c>
      <c r="CZ111" s="59">
        <f t="shared" si="191"/>
        <v>159.20429420478047</v>
      </c>
      <c r="DA111" s="15">
        <f>IF(ISNA(VLOOKUP(A111,'Données projet'!$A$149:$I$169,3,0)),0,VLOOKUP(A111,'Données projet'!$A$149:$I$169,3,0))</f>
        <v>0</v>
      </c>
      <c r="DB111" s="15">
        <f>IF(ISNA(VLOOKUP(A111,'Données projet'!$A$149:$I$169,4,0)),0,VLOOKUP(A111,'Données projet'!$A$149:$I$169,4,0))</f>
        <v>0</v>
      </c>
      <c r="DC111" s="16">
        <f>IF(ISNA(VLOOKUP(A111,'Données projet'!$A$149:$I$169,5,0)),0%,VLOOKUP(A111,'Données projet'!$A$149:$I$169,5,0)*VLOOKUP('Données projet'!$B$13,Paramètres!$A$1:$I$89,7,0))</f>
        <v>0</v>
      </c>
      <c r="DD111" s="16">
        <f>IF(ISNA(VLOOKUP(A111,'Données projet'!$A$149:$I$169,6,0)),0%,VLOOKUP(A111,'Données projet'!$A$149:$I$169,6,0)*VLOOKUP('Données projet'!$B$13,Paramètres!$A$1:$I$89,7,0))</f>
        <v>0</v>
      </c>
      <c r="DE111" s="16">
        <f>IF(ISNA(VLOOKUP(A111,'Données projet'!$A$149:$I$169,7,0)),0%,VLOOKUP(A111,'Données projet'!$A$149:$I$169,7,0))</f>
        <v>0</v>
      </c>
      <c r="DF111" s="21">
        <f>EXP(-LN(2)/35)*DF110+(1-EXP(-LN(2)/35))/(LN(2)/35)*DB111*DC111*VLOOKUP('Données projet'!$B$13,Paramètres!$A$1:$I$89,3,0)*0.475*44/12</f>
        <v>32.402242008040091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134"/>
        <v>32.402242008040091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projet'!$A$175:$I$195,2,0)</f>
        <v>#N/A</v>
      </c>
      <c r="DM111" s="12" t="e">
        <f>VLOOKUP(A111,'Données projet'!$A$175:$I$195,9,0)</f>
        <v>#N/A</v>
      </c>
      <c r="DN111" s="12">
        <f t="array" ref="DN111">INDEX(DM:DM,MIN(IF(ISNUMBER(DM111:DM307),ROW(DM111:DM307),"")))</f>
        <v>0</v>
      </c>
      <c r="DO111" s="12">
        <f>IF('Données projet'!$A$176&gt;35,DO110+DN111-DW110,IF(A111&lt;'Données projet'!$A$176,$DL$205^A111,IF(A111='Données projet'!$A$176,'Données projet'!$B$176,DO110+DN111-DW110)))</f>
        <v>-2.8421709430404007E-13</v>
      </c>
      <c r="DP111" s="17">
        <f>DO111*VLOOKUP('Données projet'!$B$14,Paramètres!$A$1:$I$89,3,0)*VLOOKUP('Données projet'!$B$14,Paramètres!$A$1:$I$89,5,0)</f>
        <v>-2.0838797354372215E-13</v>
      </c>
      <c r="DQ111" s="13" t="e">
        <f t="shared" si="192"/>
        <v>#NUM!</v>
      </c>
      <c r="DR111" s="20" t="e">
        <f t="shared" si="135"/>
        <v>#NUM!</v>
      </c>
      <c r="DS111" s="59" t="e">
        <f t="shared" si="136"/>
        <v>#NUM!</v>
      </c>
      <c r="DT111" s="59">
        <f ca="1">AVERAGE(OFFSET($DS$3,0,0,'Données projet'!$E$14+1,1))-AVERAGE(OFFSET($H$3,0,0,'Données projet'!$E$14+1,1))</f>
        <v>296.91321813251051</v>
      </c>
      <c r="DU111" s="59">
        <f t="shared" si="193"/>
        <v>291.0718079639509</v>
      </c>
      <c r="DV111" s="15">
        <f>IF(ISNA(VLOOKUP(A111,'Données projet'!$A$175:$I$195,3,0)),0,VLOOKUP(A111,'Données projet'!$A$175:$I$195,3,0))</f>
        <v>0</v>
      </c>
      <c r="DW111" s="15">
        <f>IF(ISNA(VLOOKUP(A111,'Données projet'!$A$175:$I$195,4,0)),0,VLOOKUP(A111,'Données projet'!$A$175:$I$195,4,0))</f>
        <v>0</v>
      </c>
      <c r="DX111" s="16">
        <f>IF(ISNA(VLOOKUP(A111,'Données projet'!$A$175:$I$195,5,0)),0%,VLOOKUP(A111,'Données projet'!$A$175:$I$195,5,0)*VLOOKUP('Données projet'!$B$14,Paramètres!$A$1:$I$89,7,0))</f>
        <v>0</v>
      </c>
      <c r="DY111" s="16">
        <f>IF(ISNA(VLOOKUP(A111,'Données projet'!$A$175:$I$195,6,0)),0%,VLOOKUP(A111,'Données projet'!$A$175:$I$195,6,0)*VLOOKUP('Données projet'!$B$14,Paramètres!$A$1:$I$89,7,0))</f>
        <v>0</v>
      </c>
      <c r="DZ111" s="16">
        <f>IF(ISNA(VLOOKUP(A111,'Données projet'!$A$175:$I$195,7,0)),0%,VLOOKUP(A111,'Données projet'!$A$175:$I$195,7,0))</f>
        <v>0</v>
      </c>
      <c r="EA111" s="21">
        <f>EXP(-LN(2)/35)*EA110+(1-EXP(-LN(2)/35))/(LN(2)/35)*DW111*DX111*VLOOKUP('Données projet'!$B$14,Paramètres!$A$1:$I$89,3,0)*0.475*44/12</f>
        <v>99.625673080837728</v>
      </c>
      <c r="EB111" s="21">
        <f>EXP(-LN(2)/25)*EB110+(1-EXP(-LN(2)/25))/(LN(2)/25)*Calculateur!DW111*Calculateur!DY111*VLOOKUP('Données projet'!$B$14,Paramètres!$A$1:$I$89,3,0)*0.475*44/12</f>
        <v>2.463744283112046</v>
      </c>
      <c r="EC111" s="21">
        <f>EXP(-LN(2)/2)*EC110+(1-EXP(-LN(2)/2))/(LN(2)/2)*DW111*DZ111*VLOOKUP('Données projet'!$B$14,Paramètres!$A$1:$I$89,3,0)*0.475*44/12</f>
        <v>0</v>
      </c>
      <c r="ED111" s="22">
        <f t="shared" si="137"/>
        <v>102.08941736394978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projet'!$A$201:$I$221,2,0)</f>
        <v>#N/A</v>
      </c>
      <c r="EH111" s="12" t="e">
        <f>VLOOKUP(A111,'Données projet'!$A$201:$I$221,9,0)</f>
        <v>#N/A</v>
      </c>
      <c r="EI111" s="12">
        <f t="array" ref="EI111">INDEX(EH:EH,MIN(IF(ISNUMBER(EH111:EH307),ROW(EH111:EH307),"")))</f>
        <v>5.6546153846153828</v>
      </c>
      <c r="EJ111" s="12">
        <f>IF('Données projet'!$A$202&gt;35,EJ110+EI111-ER110,IF(A111&lt;'Données projet'!$A$202,$EG$205^A111,IF(A111='Données projet'!$A$202,'Données projet'!$B$202,EJ110+EI111-ER110)))</f>
        <v>250.43769230769283</v>
      </c>
      <c r="EK111" s="17">
        <f>EJ111*VLOOKUP('Données projet'!$B$15,Paramètres!$A$1:$I$89,3,0)*VLOOKUP('Données projet'!$B$15,Paramètres!$A$1:$I$89,5,0)</f>
        <v>117.20484000000023</v>
      </c>
      <c r="EL111" s="13">
        <f t="shared" si="194"/>
        <v>31.02218258527553</v>
      </c>
      <c r="EM111" s="20">
        <f t="shared" si="138"/>
        <v>258.16206433602196</v>
      </c>
      <c r="EN111" s="59">
        <f t="shared" si="139"/>
        <v>551.49539766935527</v>
      </c>
      <c r="EO111" s="59">
        <f ca="1">AVERAGE(OFFSET($EN$3,0,0,'Données projet'!$E$15+1,1))-AVERAGE(OFFSET($H$3,0,0,'Données projet'!$E$15+1,1))</f>
        <v>147.64256291235483</v>
      </c>
      <c r="EP111" s="59">
        <f t="shared" si="195"/>
        <v>70.859031694091868</v>
      </c>
      <c r="EQ111" s="15">
        <f>IF(ISNA(VLOOKUP(A111,'Données projet'!$A$201:$I$221,3,0)),0,VLOOKUP(A111,'Données projet'!$A$201:$I$221,3,0))</f>
        <v>0</v>
      </c>
      <c r="ER111" s="15">
        <f>IF(ISNA(VLOOKUP(A111,'Données projet'!$A$201:$I$221,4,0)),0,VLOOKUP(A111,'Données projet'!$A$201:$I$221,4,0))</f>
        <v>0</v>
      </c>
      <c r="ES111" s="16">
        <f>IF(ISNA(VLOOKUP(A111,'Données projet'!$A$201:$I$221,5,0)),0%,VLOOKUP(A111,'Données projet'!$A$201:$I$221,5,0)*VLOOKUP('Données projet'!$B$15,Paramètres!$A$1:$I$89,7,0))</f>
        <v>0</v>
      </c>
      <c r="ET111" s="16">
        <f>IF(ISNA(VLOOKUP(A111,'Données projet'!$A$201:$I$221,6,0)),0%,VLOOKUP(A111,'Données projet'!$A$201:$I$221,6,0)*VLOOKUP('Données projet'!$B$15,Paramètres!$A$1:$I$89,7,0))</f>
        <v>0</v>
      </c>
      <c r="EU111" s="16">
        <f>IF(ISNA(VLOOKUP(A111,'Données projet'!$A$201:$I$221,7,0)),0%,VLOOKUP(A111,'Données projet'!$A$201:$I$221,7,0))</f>
        <v>0</v>
      </c>
      <c r="EV111" s="21">
        <f>EXP(-LN(2)/35)*EV110+(1-EXP(-LN(2)/35))/(LN(2)/35)*ER111*ES111*VLOOKUP('Données projet'!$B$15,Paramètres!$A$1:$I$89,3,0)*0.475*44/12</f>
        <v>73.953511067301775</v>
      </c>
      <c r="EW111" s="21">
        <f>EXP(-LN(2)/25)*EW110+(1-EXP(-LN(2)/25))/(LN(2)/25)*Calculateur!ER111*Calculateur!ET111*VLOOKUP('Données projet'!$B$15,Paramètres!$A$1:$I$89,3,0)*0.475*44/12</f>
        <v>19.137719252166274</v>
      </c>
      <c r="EX111" s="21">
        <f>EXP(-LN(2)/2)*EX110+(1-EXP(-LN(2)/2))/(LN(2)/2)*ER111*EU111*VLOOKUP('Données projet'!$B$15,Paramètres!$A$1:$I$89,3,0)*0.475*44/12</f>
        <v>0.61711837221668842</v>
      </c>
      <c r="EY111" s="22">
        <f t="shared" si="140"/>
        <v>93.708348691684748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projet'!$A$227:$I$247,2,0)</f>
        <v>#N/A</v>
      </c>
      <c r="FC111" s="12" t="e">
        <f>VLOOKUP(A111,'Données projet'!$A$227:$I$247,9,0)</f>
        <v>#N/A</v>
      </c>
      <c r="FD111" s="12">
        <f t="array" ref="FD111">INDEX(FC:FC,MIN(IF(ISNUMBER(FC111:FC307),ROW(FC111:FC307),"")))</f>
        <v>0</v>
      </c>
      <c r="FE111" s="12">
        <f>IF('Données projet'!$A$228&gt;35,FE110+FD111-FM110,IF(A111&lt;'Données projet'!$A$228,$FB$205^A111,IF(A111='Données projet'!$A$228,'Données projet'!$B$228,FE110+FD111-FM110)))</f>
        <v>8.5265128291212022E-14</v>
      </c>
      <c r="FF111" s="17">
        <f>FE111*VLOOKUP('Données projet'!$B$16,Paramètres!$A$1:$I$89,3,0)*VLOOKUP('Données projet'!$B$16,Paramètres!$A$1:$I$89,5,0)</f>
        <v>8.9119112089974823E-14</v>
      </c>
      <c r="FG111" s="13">
        <f t="shared" si="196"/>
        <v>1.3568952080113142E-12</v>
      </c>
      <c r="FH111" s="20">
        <f t="shared" si="141"/>
        <v>2.5184749408430782E-12</v>
      </c>
      <c r="FI111" s="59">
        <f t="shared" si="142"/>
        <v>293.33333333333582</v>
      </c>
      <c r="FJ111" s="59">
        <f ca="1">AVERAGE(OFFSET($FI$3,0,0,'Données projet'!$E$16+1,1))-AVERAGE(OFFSET($H$3,0,0,'Données projet'!$E$16+1,1))</f>
        <v>259.03906550253788</v>
      </c>
      <c r="FK111" s="59">
        <f t="shared" si="197"/>
        <v>235.54542903570831</v>
      </c>
      <c r="FL111" s="15">
        <f>IF(ISNA(VLOOKUP(A111,'Données projet'!$A$227:$I$247,3,0)),0,VLOOKUP(A111,'Données projet'!$A$227:$I$247,3,0))</f>
        <v>0</v>
      </c>
      <c r="FM111" s="15">
        <f>IF(ISNA(VLOOKUP(A111,'Données projet'!$A$227:$I$247,4,0)),0,VLOOKUP(A111,'Données projet'!$A$227:$I$247,4,0))</f>
        <v>0</v>
      </c>
      <c r="FN111" s="16">
        <f>IF(ISNA(VLOOKUP(A111,'Données projet'!$A$227:$I$247,5,0)),0%,VLOOKUP(A111,'Données projet'!$A$227:$I$247,5,0)*VLOOKUP('Données projet'!$B$16,Paramètres!$A$1:$I$89,7,0))</f>
        <v>0</v>
      </c>
      <c r="FO111" s="16">
        <f>IF(ISNA(VLOOKUP(A111,'Données projet'!$A$227:$I$247,6,0)),0%,VLOOKUP(A111,'Données projet'!$A$227:$I$247,6,0)*VLOOKUP('Données projet'!$B$16,Paramètres!$A$1:$I$89,7,0))</f>
        <v>0</v>
      </c>
      <c r="FP111" s="16">
        <f>IF(ISNA(VLOOKUP(A111,'Données projet'!$A$227:$I$247,7,0)),0%,VLOOKUP(A111,'Données projet'!$A$227:$I$247,7,0))</f>
        <v>0</v>
      </c>
      <c r="FQ111" s="21">
        <f>EXP(-LN(2)/35)*FQ110+(1-EXP(-LN(2)/35))/(LN(2)/35)*FM111*FN111*VLOOKUP('Données projet'!$B$16,Paramètres!$A$1:$I$89,3,0)*0.475*44/12</f>
        <v>60.198449535679771</v>
      </c>
      <c r="FR111" s="21">
        <f>EXP(-LN(2)/25)*FR110+(1-EXP(-LN(2)/25))/(LN(2)/25)*Calculateur!FM111*Calculateur!FO111*VLOOKUP('Données projet'!$B$16,Paramètres!$A$1:$I$89,3,0)*0.475*44/12</f>
        <v>47.023269511441875</v>
      </c>
      <c r="FS111" s="21">
        <f>EXP(-LN(2)/2)*FS110+(1-EXP(-LN(2)/2))/(LN(2)/2)*FM111*FP111*VLOOKUP('Données projet'!$B$16,Paramètres!$A$1:$I$89,3,0)*0.475*44/12</f>
        <v>0</v>
      </c>
      <c r="FT111" s="22">
        <f t="shared" si="143"/>
        <v>107.22171904712164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projet'!$A$253:$I$273,2,0)</f>
        <v>#N/A</v>
      </c>
      <c r="FX111" s="12" t="e">
        <f>VLOOKUP(A111,'Données projet'!$A$253:$I$273,9,0)</f>
        <v>#N/A</v>
      </c>
      <c r="FY111" s="12">
        <f t="array" ref="FY111">INDEX(FX:FX,MIN(IF(ISNUMBER(FX111:FX307),ROW(FX111:FX307),"")))</f>
        <v>0</v>
      </c>
      <c r="FZ111" s="12">
        <f>IF('Données projet'!$A$254&gt;35,FZ110+FY111-GH110,IF(A111&lt;'Données projet'!$A$254,$FW$205^A111,IF(A111='Données projet'!$A$254,'Données projet'!$B$254,FZ110+FY111-GH110)))</f>
        <v>-1.7053025658242404E-13</v>
      </c>
      <c r="GA111" s="17">
        <f>FZ111*VLOOKUP('Données projet'!$B$17,Paramètres!$A$1:$I$89,3,0)*VLOOKUP('Données projet'!$B$17,Paramètres!$A$1:$I$89,5,0)</f>
        <v>-1.4897523215040567E-13</v>
      </c>
      <c r="GB111" s="13" t="e">
        <f t="shared" si="198"/>
        <v>#NUM!</v>
      </c>
      <c r="GC111" s="20" t="e">
        <f t="shared" si="144"/>
        <v>#NUM!</v>
      </c>
      <c r="GD111" s="59" t="e">
        <f t="shared" si="145"/>
        <v>#NUM!</v>
      </c>
      <c r="GE111" s="59">
        <f ca="1">AVERAGE(OFFSET($GD$3,0,0,'Données projet'!$E$17+1,1))-AVERAGE(OFFSET($H$3,0,0,'Données projet'!$E$17+1,1))</f>
        <v>245.1983232777614</v>
      </c>
      <c r="GF111" s="59">
        <f t="shared" si="199"/>
        <v>242.34010522344573</v>
      </c>
      <c r="GG111" s="15">
        <f>IF(ISNA(VLOOKUP(A111,'Données projet'!$A$253:$I$273,3,0)),0,VLOOKUP(A111,'Données projet'!$A$253:$I$273,3,0))</f>
        <v>0</v>
      </c>
      <c r="GH111" s="15">
        <f>IF(ISNA(VLOOKUP(A111,'Données projet'!$A$253:$I$273,4,0)),0,VLOOKUP(A111,'Données projet'!$A$253:$I$273,4,0))</f>
        <v>0</v>
      </c>
      <c r="GI111" s="16">
        <f>IF(ISNA(VLOOKUP(A111,'Données projet'!$A$253:$I$273,5,0)),0%,VLOOKUP(A111,'Données projet'!$A$253:$I$273,5,0)*VLOOKUP('Données projet'!$B$17,Paramètres!$A$1:$I$89,7,0))</f>
        <v>0</v>
      </c>
      <c r="GJ111" s="16">
        <f>IF(ISNA(VLOOKUP(A111,'Données projet'!$A$253:$I$273,6,0)),0%,VLOOKUP(A111,'Données projet'!$A$253:$I$273,6,0)*VLOOKUP('Données projet'!$B$17,Paramètres!$A$1:$I$89,7,0))</f>
        <v>0</v>
      </c>
      <c r="GK111" s="16">
        <f>IF(ISNA(VLOOKUP(A111,'Données projet'!$A$253:$I$273,7,0)),0%,VLOOKUP(A111,'Données projet'!$A$253:$I$273,7,0))</f>
        <v>0</v>
      </c>
      <c r="GL111" s="21">
        <f>EXP(-LN(2)/35)*GL110+(1-EXP(-LN(2)/35))/(LN(2)/35)*GH111*GI111*VLOOKUP('Données projet'!$B$17,Paramètres!$A$1:$I$89,3,0)*0.475*44/12</f>
        <v>70.771536794733308</v>
      </c>
      <c r="GM111" s="21">
        <f>EXP(-LN(2)/25)*GM110+(1-EXP(-LN(2)/25))/(LN(2)/25)*Calculateur!GH111*Calculateur!GJ111*VLOOKUP('Données projet'!$B$17,Paramètres!$A$1:$I$89,3,0)*0.475*44/12</f>
        <v>10.019513169213345</v>
      </c>
      <c r="GN111" s="21">
        <f>EXP(-LN(2)/2)*GN110+(1-EXP(-LN(2)/2))/(LN(2)/2)*GH111*GK111*VLOOKUP('Données projet'!$B$17,Paramètres!$A$1:$I$89,3,0)*0.475*44/12</f>
        <v>0</v>
      </c>
      <c r="GO111" s="21">
        <f t="shared" si="146"/>
        <v>80.791049963946648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projet'!$A$279:$I$299,2,0)</f>
        <v>#N/A</v>
      </c>
      <c r="GS111" s="12" t="e">
        <f>VLOOKUP(A111,'Données projet'!$A$279:$I$299,9,0)</f>
        <v>#N/A</v>
      </c>
      <c r="GT111" s="12">
        <f t="array" ref="GT111">INDEX(GS:GS,MIN(IF(ISNUMBER(GS111:GS307),ROW(GS111:GS307),"")))</f>
        <v>0</v>
      </c>
      <c r="GU111" s="12">
        <f>IF('Données projet'!$A$280&gt;35,GU110+GT111-HC110,IF(A111&lt;'Données projet'!$A$280,$GR$205^A111,IF(A111='Données projet'!$A$280,'Données projet'!$B$280,GU110+GT111-HC110)))</f>
        <v>-1.1368683772161603E-13</v>
      </c>
      <c r="GV111" s="17">
        <f>GU111*VLOOKUP('Données projet'!$B$18,Paramètres!$A$1:$I$89,3,0)*VLOOKUP('Données projet'!$B$18,Paramètres!$A$1:$I$89,5,0)</f>
        <v>-4.5815795601811263E-14</v>
      </c>
      <c r="GW111" s="13" t="e">
        <f t="shared" si="200"/>
        <v>#NUM!</v>
      </c>
      <c r="GX111" s="20" t="e">
        <f t="shared" si="147"/>
        <v>#NUM!</v>
      </c>
      <c r="GY111" s="59" t="e">
        <f t="shared" si="148"/>
        <v>#NUM!</v>
      </c>
      <c r="GZ111" s="59">
        <f ca="1">AVERAGE(OFFSET($GY$3,0,0,'Données projet'!$E$18+1,1))-AVERAGE(OFFSET($H$3,0,0,'Données projet'!$E$18+1,1))</f>
        <v>324.36162935850876</v>
      </c>
      <c r="HA111" s="59">
        <f t="shared" si="201"/>
        <v>265.23571072429735</v>
      </c>
      <c r="HB111" s="15">
        <f>IF(ISNA(VLOOKUP(A111,'Données projet'!$A$279:$I$299,3,0)),0,VLOOKUP(A111,'Données projet'!$A$279:$I$299,3,0))</f>
        <v>0</v>
      </c>
      <c r="HC111" s="15">
        <f>IF(ISNA(VLOOKUP(A111,'Données projet'!$A$279:$I$299,4,0)),0,VLOOKUP(A111,'Données projet'!$A$279:$I$299,4,0))</f>
        <v>0</v>
      </c>
      <c r="HD111" s="16">
        <f>IF(ISNA(VLOOKUP(A111,'Données projet'!$A$279:$I$299,5,0)),0%,VLOOKUP(A111,'Données projet'!$A$279:$I$299,5,0)*VLOOKUP('Données projet'!$B$18,Paramètres!$A$1:$I$89,7,0))</f>
        <v>0</v>
      </c>
      <c r="HE111" s="16">
        <f>IF(ISNA(VLOOKUP(A111,'Données projet'!$A$279:$I$299,6,0)),0%,VLOOKUP(A111,'Données projet'!$A$279:$I$299,6,0)*VLOOKUP('Données projet'!$B$18,Paramètres!$A$1:$I$89,7,0))</f>
        <v>0</v>
      </c>
      <c r="HF111" s="16">
        <f>IF(ISNA(VLOOKUP($A111,'Données projet'!$A$279:$I$299,7,0)),0%,VLOOKUP($A111,'Données projet'!$A$279:$I$299,7,0))</f>
        <v>0</v>
      </c>
      <c r="HG111" s="21">
        <f>EXP(-LN(2)/35)*HG110+(1-EXP(-LN(2)/35))/(LN(2)/35)*HC111*HD111*VLOOKUP('Données projet'!$B$18,Paramètres!$A$1:$I$89,3,0)*0.475*44/12</f>
        <v>135.61676550965103</v>
      </c>
      <c r="HH111" s="21">
        <f>EXP(-LN(2)/25)*HH110+(1-EXP(-LN(2)/25))/(LN(2)/25)*Calculateur!HC111*Calculateur!HE111*VLOOKUP('Données projet'!$B$18,Paramètres!$A$1:$I$89,3,0)*0.475*44/12</f>
        <v>11.14349079495442</v>
      </c>
      <c r="HI111" s="21">
        <f>EXP(-LN(2)/2)*HI110+(1-EXP(-LN(2)/2))/(LN(2)/2)*HC111*HF111*VLOOKUP('Données projet'!$B$18,Paramètres!$A$1:$I$89,3,0)*0.475*44/12</f>
        <v>5.2168028011352098E-4</v>
      </c>
      <c r="HJ111" s="22">
        <f t="shared" si="149"/>
        <v>146.76077798488558</v>
      </c>
      <c r="HK111" s="74">
        <f>('Scénario référence'!$F$8+'Scénario référence'!$F$9+'Scénario référence'!$B$17+'Scénario référence'!$B$9+'Scénario référence'!$B$10)*70+IF((45+25*(1-EXP(-0.0175*$A111)))&lt;70,'Scénario référence'!$B$16*(45+25*(1-EXP(-0.0175*$A111))),70*'Scénario référence'!$B$16)+IF((32+38*(1-EXP(-0.0175*$A111)))&lt;70,'Scénario référence'!$B$18*(32+38*(1-EXP(-0.0175*$A111))),70*'Scénario référence'!$B$18)</f>
        <v>70</v>
      </c>
      <c r="HL111" s="12">
        <f>IF($A111&gt;30,10,('Scénario référence'!$B$16+'Scénario référence'!$B$17+'Scénario référence'!$B$18+'Scénario référence'!$B$9+'Scénario référence'!$B$10)*$A111*10/30+('Scénario référence'!$F$8+'Scénario référence'!$F$9)*10)</f>
        <v>10</v>
      </c>
      <c r="HM111" s="12" t="e">
        <f>VLOOKUP($A111,'Données projet'!$A$304:$I$324,2,0)</f>
        <v>#N/A</v>
      </c>
      <c r="HN111" s="12" t="e">
        <f>VLOOKUP($A111,'Données projet'!$A$304:$I$324,9,0)</f>
        <v>#N/A</v>
      </c>
      <c r="HO111" s="12">
        <f t="array" ref="HO111">INDEX(HN:HN,MIN(IF(ISNUMBER(HN111:HN307),ROW(HN111:HN307),"")))</f>
        <v>0</v>
      </c>
      <c r="HP111" s="12">
        <f>IF('Données projet'!$A$304&gt;35,HP110+HO111-HX110,IF($A111&lt;'Données projet'!$A$304,$CQ$205^$A111,IF($A111='Données projet'!$A$304,'Données projet'!$B$304,HP110+HO111-HX110)))</f>
        <v>0</v>
      </c>
      <c r="HQ111" s="17">
        <f>HP111*VLOOKUP('Données projet'!$B$19,Paramètres!$A$1:$I$89,3,0)*VLOOKUP('Données projet'!$B$19,Paramètres!$A$1:$I$89,5,0)</f>
        <v>0</v>
      </c>
      <c r="HR111" s="13" t="e">
        <f t="shared" si="202"/>
        <v>#NUM!</v>
      </c>
      <c r="HS111" s="14" t="e">
        <f t="shared" si="150"/>
        <v>#NUM!</v>
      </c>
      <c r="HT111" s="59" t="e">
        <f t="shared" si="151"/>
        <v>#NUM!</v>
      </c>
      <c r="HU111" s="59">
        <f ca="1">AVERAGE(OFFSET(HT$3,0,0,'Données projet'!$E$19+1,1))-AVERAGE(OFFSET($H$3,0,0,'Données projet'!$E$19+1,1))</f>
        <v>91.60721429656013</v>
      </c>
      <c r="HV111" s="59">
        <f t="shared" si="203"/>
        <v>258.94957804210856</v>
      </c>
      <c r="HW111" s="15">
        <f>IF(ISNA(VLOOKUP($A111,'Données projet'!$A$304:$I$324,3,0)),0,VLOOKUP($A111,'Données projet'!$A$304:$I$324,3,0))</f>
        <v>0</v>
      </c>
      <c r="HX111" s="15">
        <f>IF(ISNA(VLOOKUP($A111,'Données projet'!$A$304:$I$324,4,0)),0,VLOOKUP($A111,'Données projet'!$A$304:$I$324,4,0))</f>
        <v>0</v>
      </c>
      <c r="HY111" s="16">
        <f>IF(ISNA(VLOOKUP($A111,'Données projet'!$A$304:$I$324,5,0)),0%,VLOOKUP($A111,'Données projet'!$A$304:$I$324,5,0)*VLOOKUP('Données projet'!$B$19,Paramètres!$A$1:$I$89,7,0))</f>
        <v>0</v>
      </c>
      <c r="HZ111" s="16">
        <f>IF(ISNA(VLOOKUP($A111,'Données projet'!$A$304:$I$324,6,0)),0%,VLOOKUP($A111,'Données projet'!$A$304:$I$324,6,0)*VLOOKUP('Données projet'!$B$19,Paramètres!$A$1:$I$89,7,0))</f>
        <v>0</v>
      </c>
      <c r="IA111" s="16">
        <f>IF(ISNA(VLOOKUP($A111,'Données projet'!$A$304:$I$324,7,0)),0%,VLOOKUP($A111,'Données projet'!$A$304:$I$324,7,0))</f>
        <v>0</v>
      </c>
      <c r="IB111" s="21">
        <f>EXP(-LN(2)/35)*IB110+(1-EXP(-LN(2)/35))/(LN(2)/35)*HX111*HY111*VLOOKUP('Données projet'!$B$19,Paramètres!$A$1:$I$89,3,0)*0.475*44/12</f>
        <v>10.526114243479904</v>
      </c>
      <c r="IC111" s="21">
        <f>EXP(-LN(2)/25)*IC110+(1-EXP(-LN(2)/25))/(LN(2)/25)*Calculateur!HX111*Calculateur!HZ111*VLOOKUP('Données projet'!$B$19,Paramètres!$A$1:$I$89,3,0)*0.475*44/12</f>
        <v>1.1189167445047628</v>
      </c>
      <c r="ID111" s="21">
        <f>EXP(-LN(2)/2)*ID110+(1-EXP(-LN(2)/2))/(LN(2)/2)*HX111*IA111*VLOOKUP('Données projet'!$B$19,Paramètres!$A$1:$I$89,3,0)*0.475*44/12</f>
        <v>1.0420122848590428E-12</v>
      </c>
      <c r="IE111" s="22">
        <f t="shared" si="152"/>
        <v>11.645030987985709</v>
      </c>
      <c r="IF111" s="74">
        <f>('Scénario référence'!$F$8+'Scénario référence'!$F$9+'Scénario référence'!$B$17+'Scénario référence'!$B$9+'Scénario référence'!$B$10)*70+IF((45+25*(1-EXP(-0.0175*$A111)))&lt;70,'Scénario référence'!$B$16*(45+25*(1-EXP(-0.0175*$A111))),70*'Scénario référence'!$B$16)+IF((32+38*(1-EXP(-0.0175*$A111)))&lt;70,'Scénario référence'!$B$18*(32+38*(1-EXP(-0.0175*$A111))),70*'Scénario référence'!$B$18)</f>
        <v>70</v>
      </c>
      <c r="IG111" s="12">
        <f>IF($A111&gt;30,10,('Scénario référence'!$B$16+'Scénario référence'!$B$17+'Scénario référence'!$B$18+'Scénario référence'!$B$9+'Scénario référence'!$B$10)*$A111*10/30+('Scénario référence'!$F$8+'Scénario référence'!$F$9)*10)</f>
        <v>10</v>
      </c>
      <c r="IH111" s="12" t="e">
        <f>VLOOKUP($A111,'Données projet'!$A$330:$I$350,2,0)</f>
        <v>#N/A</v>
      </c>
      <c r="II111" s="12" t="e">
        <f>VLOOKUP($A111,'Données projet'!$A$330:$I$350,9,0)</f>
        <v>#N/A</v>
      </c>
      <c r="IJ111" s="12">
        <f t="array" ref="IJ111">INDEX(II:II,MIN(IF(ISNUMBER(II111:II307),ROW(II111:II307),"")))</f>
        <v>0</v>
      </c>
      <c r="IK111" s="12">
        <f>IF('Données projet'!$A$330&gt;35,IK110+IJ111-IS110,IF($A111&lt;'Données projet'!$A$330,$CQ$205^$A111,IF($A111='Données projet'!$A$330,'Données projet'!$B$330,IK110+IJ111-IS110)))</f>
        <v>0</v>
      </c>
      <c r="IL111" s="17">
        <f>IK111*VLOOKUP('Données projet'!$B$20,Paramètres!$A$1:$I$89,3,0)*VLOOKUP('Données projet'!$B$20,Paramètres!$A$1:$I$89,5,0)</f>
        <v>0</v>
      </c>
      <c r="IM111" s="13" t="e">
        <f t="shared" si="204"/>
        <v>#NUM!</v>
      </c>
      <c r="IN111" s="20" t="e">
        <f t="shared" si="153"/>
        <v>#NUM!</v>
      </c>
      <c r="IO111" s="59" t="e">
        <f t="shared" si="154"/>
        <v>#NUM!</v>
      </c>
      <c r="IP111" s="59">
        <f ca="1">AVERAGE(OFFSET(IO$3,0,0,'Données projet'!$E$20+1,1))-AVERAGE(OFFSET($H$3,0,0,'Données projet'!$E$20+1,1))</f>
        <v>91.60721429656013</v>
      </c>
      <c r="IQ111" s="59">
        <f t="shared" si="205"/>
        <v>258.94957804210856</v>
      </c>
      <c r="IR111" s="15">
        <f>IF(ISNA(VLOOKUP($A111,'Données projet'!$A$330:$I$350,3,0)),0,VLOOKUP($A111,'Données projet'!$A$330:$I$350,3,0))</f>
        <v>0</v>
      </c>
      <c r="IS111" s="15">
        <f>IF(ISNA(VLOOKUP($A111,'Données projet'!$A$330:$I$350,4,0)),0,VLOOKUP($A111,'Données projet'!$A$330:$I$350,4,0))</f>
        <v>0</v>
      </c>
      <c r="IT111" s="16">
        <f>IF(ISNA(VLOOKUP($A111,'Données projet'!$A$330:$I$350,5,0)),0%,VLOOKUP($A111,'Données projet'!$A$330:$I$350,5,0)*VLOOKUP('Données projet'!$B$20,Paramètres!$A$1:$I$89,7,0))</f>
        <v>0</v>
      </c>
      <c r="IU111" s="16">
        <f>IF(ISNA(VLOOKUP($A111,'Données projet'!$A$330:$I$350,6,0)),0%,VLOOKUP($A111,'Données projet'!$A$330:$I$350,6,0)*VLOOKUP('Données projet'!$B$20,Paramètres!$A$1:$I$89,7,0))</f>
        <v>0</v>
      </c>
      <c r="IV111" s="16">
        <f>IF(ISNA(VLOOKUP($A111,'Données projet'!$A$330:$I$350,7,0)),0%,VLOOKUP($A111,'Données projet'!$A$330:$I$350,7,0))</f>
        <v>0</v>
      </c>
      <c r="IW111" s="21">
        <f>EXP(-LN(2)/35)*IW110+(1-EXP(-LN(2)/35))/(LN(2)/35)*IS111*IT111*VLOOKUP('Données projet'!$B$20,Paramètres!$A$1:$I$89,3,0)*0.475*44/12</f>
        <v>10.526114243479904</v>
      </c>
      <c r="IX111" s="21">
        <f>EXP(-LN(2)/25)*IX110+(1-EXP(-LN(2)/25))/(LN(2)/25)*Calculateur!IS111*Calculateur!IU111*VLOOKUP('Données projet'!$B$20,Paramètres!$A$1:$I$89,3,0)*0.475*44/12</f>
        <v>1.1189167445047628</v>
      </c>
      <c r="IY111" s="21">
        <f>EXP(-LN(2)/2)*IY110+(1-EXP(-LN(2)/2))/(LN(2)/2)*IS111*IV111*VLOOKUP('Données projet'!$B$20,Paramètres!$A$1:$I$89,3,0)*0.475*44/12</f>
        <v>1.0420122848590428E-12</v>
      </c>
      <c r="IZ111" s="22">
        <f t="shared" si="155"/>
        <v>11.645030987985709</v>
      </c>
      <c r="JA111" s="74">
        <f>('Scénario référence'!$F$8+'Scénario référence'!$F$9+'Scénario référence'!$B$17+'Scénario référence'!$B$9+'Scénario référence'!$B$10)*70+IF((45+25*(1-EXP(-0.0175*$A111)))&lt;70,'Scénario référence'!$B$16*(45+25*(1-EXP(-0.0175*$A111))),70*'Scénario référence'!$B$16)+IF((32+38*(1-EXP(-0.0175*$A111)))&lt;70,'Scénario référence'!$B$18*(32+38*(1-EXP(-0.0175*$A111))),70*'Scénario référence'!$B$18)</f>
        <v>70</v>
      </c>
      <c r="JB111" s="12">
        <f>IF($A111&gt;30,10,('Scénario référence'!$B$16+'Scénario référence'!$B$17+'Scénario référence'!$B$18+'Scénario référence'!$B$9+'Scénario référence'!$B$10)*$A111*10/30+('Scénario référence'!$F$8+'Scénario référence'!$F$9)*10)</f>
        <v>10</v>
      </c>
      <c r="JC111" s="12" t="e">
        <f>VLOOKUP($A111,'Données projet'!$A$356:$I$376,2,0)</f>
        <v>#N/A</v>
      </c>
      <c r="JD111" s="12" t="e">
        <f>VLOOKUP($A111,'Données projet'!$A$356:$I$376,9,0)</f>
        <v>#N/A</v>
      </c>
      <c r="JE111" s="12">
        <f t="array" ref="JE111">INDEX(JD:JD,MIN(IF(ISNUMBER(JD111:JD307),ROW(JD111:JD307),"")))</f>
        <v>4.2</v>
      </c>
      <c r="JF111" s="12">
        <f>IF('Données projet'!$A$356&gt;35,JF110+JE111-JN110,IF($A111&lt;'Données projet'!$A$356,$CQ$205^$A111,IF($A111='Données projet'!$A$356,'Données projet'!$B$356,JF110+JE111-JN110)))</f>
        <v>409.5999999999994</v>
      </c>
      <c r="JG111" s="17">
        <f>JF111*VLOOKUP('Données projet'!$B$21,Paramètres!$A$1:$I$89,3,0)*VLOOKUP('Données projet'!$B$21,Paramètres!$A$1:$I$89,5,0)</f>
        <v>332.26751999999954</v>
      </c>
      <c r="JH111" s="13">
        <f t="shared" si="206"/>
        <v>77.90023439623765</v>
      </c>
      <c r="JI111" s="20">
        <f t="shared" si="156"/>
        <v>714.37550557344639</v>
      </c>
      <c r="JJ111" s="59">
        <f t="shared" si="157"/>
        <v>1007.7088389067796</v>
      </c>
      <c r="JK111" s="59">
        <f ca="1">AVERAGE(OFFSET($JJ$3,0,0,'Données projet'!$E$22+1,1))-AVERAGE(OFFSET($H$3,0,0,'Données projet'!$E$22+1,1))</f>
        <v>353.35574633294613</v>
      </c>
      <c r="JL111" s="59">
        <f t="shared" si="207"/>
        <v>170.36796666474726</v>
      </c>
      <c r="JM111" s="15">
        <f>IF(ISNA(VLOOKUP($A111,'Données projet'!$A$356:$I$376,3,0)),0,VLOOKUP($A111,'Données projet'!$A$356:$I$376,3,0))</f>
        <v>0</v>
      </c>
      <c r="JN111" s="15">
        <f>IF(ISNA(VLOOKUP($A111,'Données projet'!$A$356:$I$376,4,0)),0,VLOOKUP($A111,'Données projet'!$A$356:$I$376,4,0))</f>
        <v>0</v>
      </c>
      <c r="JO111" s="16">
        <f>IF(ISNA(VLOOKUP($A111,'Données projet'!$A$356:$I$376,5,0)),0%,VLOOKUP($A111,'Données projet'!$A$356:$I$376,5,0)*VLOOKUP('Données projet'!$B$21,Paramètres!$A$1:$I$89,7,0))</f>
        <v>0</v>
      </c>
      <c r="JP111" s="16">
        <f>IF(ISNA(VLOOKUP($A111,'Données projet'!$A$356:$I$376,6,0)),0%,VLOOKUP($A111,'Données projet'!$A$356:$I$376,6,0)*VLOOKUP('Données projet'!$B$21,Paramètres!$A$1:$I$89,7,0))</f>
        <v>0</v>
      </c>
      <c r="JQ111" s="16">
        <f>IF(ISNA(VLOOKUP($A111,'Données projet'!$A$356:$I$376,7,0)),0%,VLOOKUP($A111,'Données projet'!$A$356:$I$376,7,0))</f>
        <v>0</v>
      </c>
      <c r="JR111" s="21">
        <f>EXP(-LN(2)/35)*JR110+(1-EXP(-LN(2)/35))/(LN(2)/35)*JN111*JO111*VLOOKUP('Données projet'!$B$21,Paramètres!$A$1:$I$89,3,0)*0.475*44/12</f>
        <v>3.4634364914214735</v>
      </c>
      <c r="JS111" s="21">
        <f>EXP(-LN(2)/25)*JS110+(1-EXP(-LN(2)/25))/(LN(2)/25)*Calculateur!JN111*Calculateur!JP111*VLOOKUP('Données projet'!$B$21,Paramètres!$A$1:$I$89,3,0)*0.475*44/12</f>
        <v>14.226765659667791</v>
      </c>
      <c r="JT111" s="21">
        <f>EXP(-LN(2)/2)*JT110+(1-EXP(-LN(2)/2))/(LN(2)/2)*JN111*JQ111*VLOOKUP('Données projet'!$B$21,Paramètres!$A$1:$I$89,3,0)*0.475*44/12</f>
        <v>0.24175361018896199</v>
      </c>
      <c r="JU111" s="18">
        <f t="shared" si="158"/>
        <v>17.931955761278225</v>
      </c>
      <c r="JV111" s="74">
        <f>('Scénario référence'!$F$8+'Scénario référence'!$F$9+'Scénario référence'!$B$17+'Scénario référence'!$B$9+'Scénario référence'!$B$10)*70+IF((45+25*(1-EXP(-0.0175*$A111)))&lt;70,'Scénario référence'!$B$16*(45+25*(1-EXP(-0.0175*$A111))),70*'Scénario référence'!$B$16)+IF((32+38*(1-EXP(-0.0175*$A111)))&lt;70,'Scénario référence'!$B$18*(32+38*(1-EXP(-0.0175*$A111))),70*'Scénario référence'!$B$18)</f>
        <v>70</v>
      </c>
      <c r="JW111" s="12">
        <f>IF($A111&gt;30,10,('Scénario référence'!$B$16+'Scénario référence'!$B$17+'Scénario référence'!$B$18+'Scénario référence'!$B$9+'Scénario référence'!$B$10)*$A111*10/30+('Scénario référence'!$F$8+'Scénario référence'!$F$9)*10)</f>
        <v>10</v>
      </c>
      <c r="JX111" s="12" t="e">
        <f>VLOOKUP($A111,'Données projet'!$A$382:$I$402,2,0)</f>
        <v>#N/A</v>
      </c>
      <c r="JY111" s="12" t="e">
        <f>VLOOKUP($A111,'Données projet'!$A$382:$I$402,9,0)</f>
        <v>#N/A</v>
      </c>
      <c r="JZ111" s="12">
        <f t="array" ref="JZ111">INDEX(JY:JY,MIN(IF(ISNUMBER(JY111:JY307),ROW(JY111:JY307),"")))</f>
        <v>6.9935897435897401</v>
      </c>
      <c r="KA111" s="12">
        <f>IF('Données projet'!$A$382&gt;35,KA110+JZ111-KI110,IF($A111&lt;'Données projet'!$A$382,$CQ$205^$A111,IF($A111='Données projet'!$A$382,'Données projet'!$B$382,KA110+JZ111-KI110)))</f>
        <v>333.17307692307719</v>
      </c>
      <c r="KB111" s="17">
        <f>KA111*VLOOKUP('Données projet'!$B$22,Paramètres!$A$1:$I$89,3,0)*VLOOKUP('Données projet'!$B$22,Paramètres!$A$1:$I$89,5,0)</f>
        <v>223.49250000000018</v>
      </c>
      <c r="KC111" s="13">
        <f t="shared" si="208"/>
        <v>54.873266117775856</v>
      </c>
      <c r="KD111" s="20">
        <f t="shared" si="159"/>
        <v>484.82037598845983</v>
      </c>
      <c r="KE111" s="59">
        <f t="shared" si="160"/>
        <v>778.15370932179314</v>
      </c>
      <c r="KF111" s="59">
        <f ca="1">AVERAGE(OFFSET($KE$3,0,0,'Données projet'!$E$22+1,1))-AVERAGE(OFFSET($H$3,0,0,'Données projet'!$E$22+1,1))</f>
        <v>193.91714772848269</v>
      </c>
      <c r="KG111" s="59">
        <f t="shared" si="209"/>
        <v>159.20429420478047</v>
      </c>
      <c r="KH111" s="15">
        <f>IF(ISNA(VLOOKUP($A111,'Données projet'!$A$382:$I$402,3,0)),0,VLOOKUP($A111,'Données projet'!$A$382:$I$402,3,0))</f>
        <v>0</v>
      </c>
      <c r="KI111" s="15">
        <f>IF(ISNA(VLOOKUP($A111,'Données projet'!$A$382:$I$402,4,0)),0,VLOOKUP($A111,'Données projet'!$A$382:$I$402,4,0))</f>
        <v>0</v>
      </c>
      <c r="KJ111" s="16">
        <f>IF(ISNA(VLOOKUP($A111,'Données projet'!$A$382:$I$402,5,0)),0%,VLOOKUP($A111,'Données projet'!$A$382:$I$402,5,0)*VLOOKUP('Données projet'!$B$22,Paramètres!$A$1:$I$89,7,0))</f>
        <v>0</v>
      </c>
      <c r="KK111" s="16">
        <f>IF(ISNA(VLOOKUP($A111,'Données projet'!$A$382:$I$402,6,0)),0%,VLOOKUP($A111,'Données projet'!$A$382:$I$402,6,0)*VLOOKUP('Données projet'!$B$22,Paramètres!$A$1:$I$89,7,0))</f>
        <v>0</v>
      </c>
      <c r="KL111" s="16">
        <f>IF(ISNA(VLOOKUP($A111,'Données projet'!$A$382:$I$402,7,0)),0%,VLOOKUP($A111,'Données projet'!$A$382:$I$402,7,0))</f>
        <v>0</v>
      </c>
      <c r="KM111" s="21">
        <f>EXP(-LN(2)/35)*KM110+(1-EXP(-LN(2)/35))/(LN(2)/35)*KI111*KJ111*VLOOKUP('Données projet'!$B$22,Paramètres!$A$1:$I$89,3,0)*0.475*44/12</f>
        <v>37.576357661082518</v>
      </c>
      <c r="KN111" s="21">
        <f>EXP(-LN(2)/25)*KN110+(1-EXP(-LN(2)/25))/(LN(2)/25)*Calculateur!KI111*Calculateur!KK111*VLOOKUP('Données projet'!$B$22,Paramètres!$A$1:$I$89,3,0)*0.475*44/12</f>
        <v>0</v>
      </c>
      <c r="KO111" s="21">
        <f>EXP(-LN(2)/2)*KO110+(1-EXP(-LN(2)/2))/(LN(2)/2)*KI111*KL111*VLOOKUP('Données projet'!$B$22,Paramètres!$A$1:$I$89,3,0)*0.475*44/12</f>
        <v>0</v>
      </c>
      <c r="KP111" s="22">
        <f t="shared" si="161"/>
        <v>37.576357661082518</v>
      </c>
      <c r="KQ111" s="74">
        <f>('Scénario référence'!$F$8+'Scénario référence'!$F$9+'Scénario référence'!$B$17+'Scénario référence'!$B$9+'Scénario référence'!$B$10)*70+IF((45+25*(1-EXP(-0.0175*$A111)))&lt;70,'Scénario référence'!$B$16*(45+25*(1-EXP(-0.0175*$A111))),70*'Scénario référence'!$B$16)+IF((32+38*(1-EXP(-0.0175*$A111)))&lt;70,'Scénario référence'!$B$18*(32+38*(1-EXP(-0.0175*$A111))),70*'Scénario référence'!$B$18)</f>
        <v>70</v>
      </c>
      <c r="KR111" s="12">
        <f>IF($A111&gt;30,10,('Scénario référence'!$B$16+'Scénario référence'!$B$17+'Scénario référence'!$B$18+'Scénario référence'!$B$9+'Scénario référence'!$B$10)*$A111*10/30+('Scénario référence'!$F$8+'Scénario référence'!$F$9)*10)</f>
        <v>10</v>
      </c>
      <c r="KS111" s="12" t="e">
        <f>VLOOKUP($A111,'Données projet'!$A$408:$I$428,2,0)</f>
        <v>#N/A</v>
      </c>
      <c r="KT111" s="12" t="e">
        <f>VLOOKUP($A111,'Données projet'!$A$408:$I$428,9,0)</f>
        <v>#N/A</v>
      </c>
      <c r="KU111" s="12">
        <f t="array" ref="KU111">INDEX(KT:KT,MIN(IF(ISNUMBER(KT111:KT307),ROW(KT111:KT307),"")))</f>
        <v>0</v>
      </c>
      <c r="KV111" s="12">
        <f>IF('Données projet'!$A$408&gt;35,KV110+KU111-LD110,IF($A111&lt;'Données projet'!$A$408,$CQ$205^$A111,IF($A111='Données projet'!$A$408,'Données projet'!$B$408,KV110+KU111-LD110)))</f>
        <v>-1.1368683772161603E-13</v>
      </c>
      <c r="KW111" s="17">
        <f>KV111*VLOOKUP('Données projet'!$B$23,Paramètres!$A$1:$I$89,3,0)*VLOOKUP('Données projet'!$B$23,Paramètres!$A$1:$I$89,5,0)</f>
        <v>-9.9316821433603781E-14</v>
      </c>
      <c r="KX111" s="13" t="e">
        <f t="shared" si="210"/>
        <v>#NUM!</v>
      </c>
      <c r="KY111" s="14" t="e">
        <f t="shared" si="162"/>
        <v>#NUM!</v>
      </c>
      <c r="KZ111" s="59" t="e">
        <f t="shared" si="163"/>
        <v>#NUM!</v>
      </c>
      <c r="LA111" s="59">
        <f ca="1">AVERAGE(OFFSET($KZ$3,0,0,'Données projet'!$E$23+1,1))-AVERAGE(OFFSET($H$3,0,0,'Données projet'!$E$23+1,1))</f>
        <v>248.33596943633819</v>
      </c>
      <c r="LB111" s="59">
        <f t="shared" si="211"/>
        <v>242.34010522344573</v>
      </c>
      <c r="LC111" s="15">
        <f>IF(ISNA(VLOOKUP($A111,'Données projet'!$A$408:$I$428,3,0)),0,VLOOKUP($A111,'Données projet'!$A$408:$I$428,3,0))</f>
        <v>0</v>
      </c>
      <c r="LD111" s="15">
        <f>IF(ISNA(VLOOKUP($A111,'Données projet'!$A$408:$I$428,4,0)),0,VLOOKUP($A111,'Données projet'!$A$408:$I$428,4,0))</f>
        <v>0</v>
      </c>
      <c r="LE111" s="16">
        <f>IF(ISNA(VLOOKUP($A111,'Données projet'!$A$408:$I$428,5,0)),0%,VLOOKUP($A111,'Données projet'!$A$408:$I$428,5,0)*VLOOKUP('Données projet'!$B$23,Paramètres!$A$1:$I$89,7,0))</f>
        <v>0</v>
      </c>
      <c r="LF111" s="16">
        <f>IF(ISNA(VLOOKUP($A111,'Données projet'!$A$408:$I$428,6,0)),0%,VLOOKUP($A111,'Données projet'!$A$408:$I$428,6,0)*VLOOKUP('Données projet'!$B$23,Paramètres!$A$1:$I$89,7,0))</f>
        <v>0</v>
      </c>
      <c r="LG111" s="16">
        <f>IF(ISNA(VLOOKUP($A111,'Données projet'!$A$408:$I$428,7,0)),0%,VLOOKUP($A111,'Données projet'!$A$408:$I$428,7,0))</f>
        <v>0</v>
      </c>
      <c r="LH111" s="21">
        <f>EXP(-LN(2)/35)*LH110+(1-EXP(-LN(2)/35))/(LN(2)/35)*LD111*LE111*VLOOKUP('Données projet'!$B$23,Paramètres!$A$1:$I$89,3,0)*0.475*44/12</f>
        <v>70.771536794733308</v>
      </c>
      <c r="LI111" s="21">
        <f>EXP(-LN(2)/25)*LI110+(1-EXP(-LN(2)/25))/(LN(2)/25)*Calculateur!LD111*Calculateur!LF111*VLOOKUP('Données projet'!$B$23,Paramètres!$A$1:$I$89,3,0)*0.475*44/12</f>
        <v>10.019513169213345</v>
      </c>
      <c r="LJ111" s="21">
        <f>EXP(-LN(2)/2)*LJ110+(1-EXP(-LN(2)/2))/(LN(2)/2)*LD111*LG111*VLOOKUP('Données projet'!$B$23,Paramètres!$A$1:$I$89,3,0)*0.475*44/12</f>
        <v>0</v>
      </c>
      <c r="LK111" s="22">
        <f t="shared" si="164"/>
        <v>80.791049963946648</v>
      </c>
      <c r="LL111" s="74">
        <f>('Scénario référence'!$F$8+'Scénario référence'!$F$9+'Scénario référence'!$B$17+'Scénario référence'!$B$9+'Scénario référence'!$B$10)*70+IF((45+25*(1-EXP(-0.0175*$A111)))&lt;70,'Scénario référence'!$B$16*(45+25*(1-EXP(-0.0175*$A111))),70*'Scénario référence'!$B$16)+IF((32+38*(1-EXP(-0.0175*$A111)))&lt;70,'Scénario référence'!$B$18*(32+38*(1-EXP(-0.0175*$A111))),70*'Scénario référence'!$B$18)</f>
        <v>70</v>
      </c>
      <c r="LM111" s="12">
        <f>IF($A111&gt;30,10,('Scénario référence'!$B$16+'Scénario référence'!$B$17+'Scénario référence'!$B$18+'Scénario référence'!$B$9+'Scénario référence'!$B$10)*$A111*10/30+('Scénario référence'!$F$8+'Scénario référence'!$F$9)*10)</f>
        <v>10</v>
      </c>
      <c r="LN111" s="12" t="e">
        <f>VLOOKUP($A111,'Données projet'!$A$434:$I$454,2,0)</f>
        <v>#N/A</v>
      </c>
      <c r="LO111" s="12" t="e">
        <f>VLOOKUP($A111,'Données projet'!$A$434:$I$454,9,0)</f>
        <v>#N/A</v>
      </c>
      <c r="LP111" s="12">
        <f t="array" ref="LP111">INDEX(LO:LO,MIN(IF(ISNUMBER(LO111:LO307),ROW(LO111:LO307),"")))</f>
        <v>5.0961538461538449</v>
      </c>
      <c r="LQ111" s="12">
        <f>IF('Données projet'!$A$434&gt;35,LQ110+LP111-LY110,IF($A111&lt;'Données projet'!$A$434,$CQ$205^$A111,IF($A111='Données projet'!$A$434,'Données projet'!$B$434,LQ110+LP111-LY110)))</f>
        <v>220.73717948717916</v>
      </c>
      <c r="LR111" s="17">
        <f>LQ111*VLOOKUP('Données projet'!$B$24,Paramètres!$A$1:$I$89,3,0)*VLOOKUP('Données projet'!$B$24,Paramètres!$A$1:$I$89,5,0)</f>
        <v>223.82749999999967</v>
      </c>
      <c r="LS111" s="13">
        <f t="shared" si="212"/>
        <v>54.94593701193218</v>
      </c>
      <c r="LT111" s="14">
        <f t="shared" si="165"/>
        <v>485.53040279578119</v>
      </c>
      <c r="LU111" s="59">
        <f t="shared" si="166"/>
        <v>778.8637361291145</v>
      </c>
      <c r="LV111" s="59">
        <f ca="1">AVERAGE(OFFSET($LU$3,0,0,'Données projet'!$E$24+1,1))-AVERAGE(OFFSET($H$3,0,0,'Données projet'!$E$24+1,1))</f>
        <v>260.52627655062872</v>
      </c>
      <c r="LW111" s="59">
        <f t="shared" si="213"/>
        <v>159.20429420478047</v>
      </c>
      <c r="LX111" s="15">
        <f>IF(ISNA(VLOOKUP($A111,'Données projet'!$A$434:$I$454,3,0)),0,VLOOKUP($A111,'Données projet'!$A$434:$I$454,3,0))</f>
        <v>0</v>
      </c>
      <c r="LY111" s="15">
        <f>IF(ISNA(VLOOKUP($A111,'Données projet'!$A$434:$I$454,4,0)),0,VLOOKUP($A111,'Données projet'!$A$434:$I$454,4,0))</f>
        <v>0</v>
      </c>
      <c r="LZ111" s="16">
        <f>IF(ISNA(VLOOKUP($A111,'Données projet'!$A$434:$I$454,5,0)),0%,VLOOKUP($A111,'Données projet'!$A$434:$I$454,5,0)*VLOOKUP('Données projet'!$B$24,Paramètres!$A$1:$I$89,7,0))</f>
        <v>0</v>
      </c>
      <c r="MA111" s="16">
        <f>IF(ISNA(VLOOKUP($A111,'Données projet'!$A$434:$I$454,6,0)),0%,VLOOKUP($A111,'Données projet'!$A$434:$I$454,6,0)*VLOOKUP('Données projet'!$B$24,Paramètres!$A$1:$I$89,7,0))</f>
        <v>0</v>
      </c>
      <c r="MB111" s="16">
        <f>IF(ISNA(VLOOKUP($A111,'Données projet'!$A$434:$I$454,7,0)),0%,VLOOKUP($A111,'Données projet'!$A$434:$I$454,7,0))</f>
        <v>0</v>
      </c>
      <c r="MC111" s="21">
        <f>EXP(-LN(2)/35)*MC110+(1-EXP(-LN(2)/35))/(LN(2)/35)*LY111*LZ111*VLOOKUP('Données projet'!$B$24,Paramètres!$A$1:$I$89,3,0)*0.475*44/12</f>
        <v>32.402242008040091</v>
      </c>
      <c r="MD111" s="21">
        <f>EXP(-LN(2)/25)*MD110+(1-EXP(-LN(2)/25))/(LN(2)/25)*Calculateur!LY111*Calculateur!MA111*VLOOKUP('Données projet'!$B$24,Paramètres!$A$1:$I$89,3,0)*0.475*44/12</f>
        <v>0</v>
      </c>
      <c r="ME111" s="21">
        <f>EXP(-LN(2)/2)*ME110+(1-EXP(-LN(2)/2))/(LN(2)/2)*LY111*MB111*VLOOKUP('Données projet'!$B$24,Paramètres!$A$1:$I$89,3,0)*0.475*44/12</f>
        <v>0</v>
      </c>
      <c r="MF111" s="22">
        <f t="shared" si="167"/>
        <v>32.402242008040091</v>
      </c>
      <c r="MG111" s="74">
        <f>('Scénario référence'!$F$8+'Scénario référence'!$F$9+'Scénario référence'!$B$17+'Scénario référence'!$B$9+'Scénario référence'!$B$10)*70+IF((45+25*(1-EXP(-0.0175*$A111)))&lt;70,'Scénario référence'!$B$16*(45+25*(1-EXP(-0.0175*$A111))),70*'Scénario référence'!$B$16)+IF((32+38*(1-EXP(-0.0175*$A111)))&lt;70,'Scénario référence'!$B$18*(32+38*(1-EXP(-0.0175*$A111))),70*'Scénario référence'!$B$18)</f>
        <v>70</v>
      </c>
      <c r="MH111" s="12">
        <f>IF($A111&gt;30,10,('Scénario référence'!$B$16+'Scénario référence'!$B$17+'Scénario référence'!$B$18+'Scénario référence'!$B$9+'Scénario référence'!$B$10)*$A111*10/30+('Scénario référence'!$F$8+'Scénario référence'!$F$9)*10)</f>
        <v>10</v>
      </c>
      <c r="MI111" s="12" t="e">
        <f>VLOOKUP($A111,'Données projet'!$A$460:$I$480,2,0)</f>
        <v>#N/A</v>
      </c>
      <c r="MJ111" s="12" t="e">
        <f>VLOOKUP($A111,'Données projet'!$A$460:$I$480,9,0)</f>
        <v>#N/A</v>
      </c>
      <c r="MK111" s="12">
        <f t="array" ref="MK111">INDEX(MJ:MJ,MIN(IF(ISNUMBER(MJ111:MJ307),ROW(MJ111:MJ307),"")))</f>
        <v>0</v>
      </c>
      <c r="ML111" s="12">
        <f>IF('Données projet'!$A$460&gt;35,ML110+MK111-MT110,IF($A111&lt;'Données projet'!$A$460,$CQ$205^$A111,IF($A111='Données projet'!$A$460,'Données projet'!$B$460,ML110+MK111-MT110)))</f>
        <v>0</v>
      </c>
      <c r="MM111" s="17" t="e">
        <f>ML111*VLOOKUP('Données projet'!$B$25,Paramètres!$A$1:$I$89,3,0)*VLOOKUP('Données projet'!$B$25,Paramètres!$A$1:$I$89,5,0)</f>
        <v>#N/A</v>
      </c>
      <c r="MN111" s="13" t="e">
        <f t="shared" si="214"/>
        <v>#N/A</v>
      </c>
      <c r="MO111" s="14" t="e">
        <f t="shared" si="168"/>
        <v>#N/A</v>
      </c>
      <c r="MP111" s="59" t="e">
        <f t="shared" si="169"/>
        <v>#N/A</v>
      </c>
      <c r="MQ111" s="20" t="e">
        <f ca="1">AVERAGE(OFFSET($MP$3,0,0,'Données projet'!$E$25+1,1))-AVERAGE(OFFSET($H$3,0,0,'Données projet'!$E$25+1,1))</f>
        <v>#N/A</v>
      </c>
      <c r="MR111" s="59" t="e">
        <f t="shared" si="215"/>
        <v>#N/A</v>
      </c>
      <c r="MS111" s="15">
        <f>IF(ISNA(VLOOKUP($A111,'Données projet'!$A$460:$I$480,3,0)),0,VLOOKUP($A111,'Données projet'!$A$460:$I$480,3,0))</f>
        <v>0</v>
      </c>
      <c r="MT111" s="15">
        <f>IF(ISNA(VLOOKUP($A111,'Données projet'!$A$460:$I$480,4,0)),0,VLOOKUP($A111,'Données projet'!$A$460:$I$480,4,0))</f>
        <v>0</v>
      </c>
      <c r="MU111" s="16">
        <f>IF(ISNA(VLOOKUP($A111,'Données projet'!$A$460:$I$480,5,0)),0%,VLOOKUP($A111,'Données projet'!$A$460:$I$480,5,0)*VLOOKUP('Données projet'!$B$25,Paramètres!$A$1:$I$89,7,0))</f>
        <v>0</v>
      </c>
      <c r="MV111" s="16">
        <f>IF(ISNA(VLOOKUP($A111,'Données projet'!$A$460:$I$480,6,0)),0%,VLOOKUP($A111,'Données projet'!$A$460:$I$480,6,0)*VLOOKUP('Données projet'!$B$25,Paramètres!$A$1:$I$89,7,0))</f>
        <v>0</v>
      </c>
      <c r="MW111" s="16">
        <f>IF(ISNA(VLOOKUP($A111,'Données projet'!$A$460:$I$480,7,0)),0%,VLOOKUP($A111,'Données projet'!$A$460:$I$480,7,0))</f>
        <v>0</v>
      </c>
      <c r="MX111" s="21" t="e">
        <f>EXP(-LN(2)/35)*MX110+(1-EXP(-LN(2)/35))/(LN(2)/35)*MT111*MU111*VLOOKUP('Données projet'!$B$25,Paramètres!$A$1:$I$89,3,0)*0.475*44/12</f>
        <v>#N/A</v>
      </c>
      <c r="MY111" s="21" t="e">
        <f>EXP(-LN(2)/25)*MY110+(1-EXP(-LN(2)/25))/(LN(2)/25)*Calculateur!MT111*Calculateur!MV111*VLOOKUP('Données projet'!$B$25,Paramètres!$A$1:$I$89,3,0)*0.475*44/12</f>
        <v>#N/A</v>
      </c>
      <c r="MZ111" s="21" t="e">
        <f>EXP(-LN(2)/2)*MZ110+(1-EXP(-LN(2)/2))/(LN(2)/2)*MT111*MW111*VLOOKUP('Données projet'!$B$25,Paramètres!$A$1:$I$89,3,0)*0.475*44/12</f>
        <v>#N/A</v>
      </c>
      <c r="NA111" s="22" t="e">
        <f t="shared" si="170"/>
        <v>#N/A</v>
      </c>
      <c r="NB111" s="74">
        <f>('Scénario référence'!$F$8+'Scénario référence'!$F$9+'Scénario référence'!$B$17+'Scénario référence'!$B$9+'Scénario référence'!$B$10)*70+IF((45+25*(1-EXP(-0.0175*$A111)))&lt;70,'Scénario référence'!$B$16*(45+25*(1-EXP(-0.0175*$A111))),70*'Scénario référence'!$B$16)+IF((32+38*(1-EXP(-0.0175*$A111)))&lt;70,'Scénario référence'!$B$18*(32+38*(1-EXP(-0.0175*$A111))),70*'Scénario référence'!$B$18)</f>
        <v>70</v>
      </c>
      <c r="NC111" s="12">
        <f>IF($A111&gt;30,10,('Scénario référence'!$B$16+'Scénario référence'!$B$17+'Scénario référence'!$B$18+'Scénario référence'!$B$9+'Scénario référence'!$B$10)*$A111*10/30+('Scénario référence'!$F$8+'Scénario référence'!$F$9)*10)</f>
        <v>10</v>
      </c>
      <c r="ND111" s="12" t="e">
        <f>VLOOKUP($A111,'Données projet'!$A$486:$I$506,2,0)</f>
        <v>#N/A</v>
      </c>
      <c r="NE111" s="12" t="e">
        <f>VLOOKUP($A111,'Données projet'!$A$486:$I$506,9,0)</f>
        <v>#N/A</v>
      </c>
      <c r="NF111" s="12">
        <f t="array" ref="NF111">INDEX(NE:NE,MIN(IF(ISNUMBER(NE111:NE307),ROW(NE111:NE307),"")))</f>
        <v>0</v>
      </c>
      <c r="NG111" s="12">
        <f>IF('Données projet'!$A$486&gt;35,NG110+NF111-NO110,IF($A111&lt;'Données projet'!$A$486,$CQ$205^$A111,IF($A111='Données projet'!$A$486,'Données projet'!$B$486,NG110+NF111-NO110)))</f>
        <v>0</v>
      </c>
      <c r="NH111" s="17" t="e">
        <f>NG111*VLOOKUP('Données projet'!$B$26,Paramètres!$A$1:$I$89,3,0)*VLOOKUP('Données projet'!$B$26,Paramètres!$A$1:$I$89,5,0)</f>
        <v>#N/A</v>
      </c>
      <c r="NI111" s="13" t="e">
        <f t="shared" si="216"/>
        <v>#N/A</v>
      </c>
      <c r="NJ111" s="14" t="e">
        <f t="shared" si="171"/>
        <v>#N/A</v>
      </c>
      <c r="NK111" s="59" t="e">
        <f t="shared" si="172"/>
        <v>#N/A</v>
      </c>
      <c r="NL111" s="20" t="e">
        <f ca="1">AVERAGE(OFFSET($NK$3,0,0,'Données projet'!$E$26+1,1))-AVERAGE(OFFSET($H$3,0,0,'Données projet'!$E$26+1,1))</f>
        <v>#N/A</v>
      </c>
      <c r="NM111" s="59" t="e">
        <f t="shared" si="217"/>
        <v>#N/A</v>
      </c>
      <c r="NN111" s="15">
        <f>IF(ISNA(VLOOKUP($A111,'Données projet'!$A$486:$I$506,3,0)),0,VLOOKUP($A111,'Données projet'!$A$486:$I$506,3,0))</f>
        <v>0</v>
      </c>
      <c r="NO111" s="15">
        <f>IF(ISNA(VLOOKUP($A111,'Données projet'!$A$486:$I$506,4,0)),0,VLOOKUP($A111,'Données projet'!$A$486:$I$506,4,0))</f>
        <v>0</v>
      </c>
      <c r="NP111" s="16">
        <f>IF(ISNA(VLOOKUP($A111,'Données projet'!$A$486:$I$506,5,0)),0%,VLOOKUP($A111,'Données projet'!$A$486:$I$506,5,0)*VLOOKUP('Données projet'!$B$26,Paramètres!$A$1:$I$89,7,0))</f>
        <v>0</v>
      </c>
      <c r="NQ111" s="16">
        <f>IF(ISNA(VLOOKUP($A111,'Données projet'!$A$486:$I$506,6,0)),0%,VLOOKUP($A111,'Données projet'!$A$486:$I$506,6,0)*VLOOKUP('Données projet'!$B$26,Paramètres!$A$1:$I$89,7,0))</f>
        <v>0</v>
      </c>
      <c r="NR111" s="16">
        <f>IF(ISNA(VLOOKUP($A111,'Données projet'!$A$486:$I$506,7,0)),0%,VLOOKUP($A111,'Données projet'!$A$486:$I$506,7,0))</f>
        <v>0</v>
      </c>
      <c r="NS111" s="21" t="e">
        <f>EXP(-LN(2)/35)*NS110+(1-EXP(-LN(2)/35))/(LN(2)/35)*NO111*NP111*VLOOKUP('Données projet'!$B$26,Paramètres!$A$1:$I$89,3,0)*0.475*44/12</f>
        <v>#N/A</v>
      </c>
      <c r="NT111" s="21" t="e">
        <f>EXP(-LN(2)/25)*NT110+(1-EXP(-LN(2)/25))/(LN(2)/25)*Calculateur!NO111*Calculateur!NQ111*VLOOKUP('Données projet'!$B$26,Paramètres!$A$1:$I$89,3,0)*0.475*44/12</f>
        <v>#N/A</v>
      </c>
      <c r="NU111" s="21" t="e">
        <f>EXP(-LN(2)/2)*NU110+(1-EXP(-LN(2)/2))/(LN(2)/2)*NO111*NR111*VLOOKUP('Données projet'!$B$26,Paramètres!$A$1:$I$89,3,0)*0.475*44/12</f>
        <v>#N/A</v>
      </c>
      <c r="NV111" s="22" t="e">
        <f t="shared" si="173"/>
        <v>#N/A</v>
      </c>
      <c r="NW111" s="74">
        <f>('Scénario référence'!$F$8+'Scénario référence'!$F$9+'Scénario référence'!$B$17+'Scénario référence'!$B$9+'Scénario référence'!$B$10)*70+IF((45+25*(1-EXP(-0.0175*$A111)))&lt;70,'Scénario référence'!$B$16*(45+25*(1-EXP(-0.0175*$A111))),70*'Scénario référence'!$B$16)+IF((32+38*(1-EXP(-0.0175*$A111)))&lt;70,'Scénario référence'!$B$18*(32+38*(1-EXP(-0.0175*$A111))),70*'Scénario référence'!$B$18)</f>
        <v>70</v>
      </c>
      <c r="NX111" s="12">
        <f>IF($A111&gt;30,10,('Scénario référence'!$B$16+'Scénario référence'!$B$17+'Scénario référence'!$B$18+'Scénario référence'!$B$9+'Scénario référence'!$B$10)*$A111*10/30+('Scénario référence'!$F$8+'Scénario référence'!$F$9)*10)</f>
        <v>10</v>
      </c>
      <c r="NY111" s="12" t="e">
        <f>VLOOKUP($A111,'Données projet'!$A$512:$I$532,2,0)</f>
        <v>#N/A</v>
      </c>
      <c r="NZ111" s="12" t="e">
        <f>VLOOKUP($A111,'Données projet'!$A$512:$I$532,9,0)</f>
        <v>#N/A</v>
      </c>
      <c r="OA111" s="12">
        <f t="array" ref="OA111">INDEX(NZ:NZ,MIN(IF(ISNUMBER(NZ111:NZ307),ROW(NZ111:NZ307),"")))</f>
        <v>0</v>
      </c>
      <c r="OB111" s="12">
        <f>IF('Données projet'!$A$512&gt;35,OB110+OA111-OJ110,IF($A111&lt;'Données projet'!$A$512,$CQ$205^$A111,IF($A111='Données projet'!$A$512,'Données projet'!$B$512,OB110+OA111-OJ110)))</f>
        <v>0</v>
      </c>
      <c r="OC111" s="17" t="e">
        <f>OB111*VLOOKUP('Données projet'!$B$27,Paramètres!$A$1:$I$89,3,0)*VLOOKUP('Données projet'!$B$27,Paramètres!$A$1:$I$89,5,0)</f>
        <v>#N/A</v>
      </c>
      <c r="OD111" s="13" t="e">
        <f t="shared" si="218"/>
        <v>#N/A</v>
      </c>
      <c r="OE111" s="14" t="e">
        <f t="shared" si="174"/>
        <v>#N/A</v>
      </c>
      <c r="OF111" s="59" t="e">
        <f t="shared" si="175"/>
        <v>#N/A</v>
      </c>
      <c r="OG111" s="20" t="e">
        <f ca="1">AVERAGE(OFFSET($OF$3,0,0,'Données projet'!$E$27+1,1))-AVERAGE(OFFSET($H$3,0,0,'Données projet'!$E$27+1,1))</f>
        <v>#N/A</v>
      </c>
      <c r="OH111" s="59" t="e">
        <f t="shared" si="219"/>
        <v>#N/A</v>
      </c>
      <c r="OI111" s="15">
        <f>IF(ISNA(VLOOKUP($A111,'Données projet'!$A$512:$I$532,3,0)),0,VLOOKUP($A111,'Données projet'!$A$512:$I$532,3,0))</f>
        <v>0</v>
      </c>
      <c r="OJ111" s="15">
        <f>IF(ISNA(VLOOKUP($A111,'Données projet'!$A$512:$I$532,4,0)),0,VLOOKUP($A111,'Données projet'!$A$512:$I$532,4,0))</f>
        <v>0</v>
      </c>
      <c r="OK111" s="16">
        <f>IF(ISNA(VLOOKUP($A111,'Données projet'!$A$512:$I$532,5,0)),0%,VLOOKUP($A111,'Données projet'!$A$512:$I$532,5,0)*VLOOKUP('Données projet'!$B$27,Paramètres!$A$1:$I$89,7,0))</f>
        <v>0</v>
      </c>
      <c r="OL111" s="16">
        <f>IF(ISNA(VLOOKUP($A111,'Données projet'!$A$512:$I$532,6,0)),0%,VLOOKUP($A111,'Données projet'!$A$512:$I$532,6,0)*VLOOKUP('Données projet'!$B$27,Paramètres!$A$1:$I$89,7,0))</f>
        <v>0</v>
      </c>
      <c r="OM111" s="16">
        <f>IF(ISNA(VLOOKUP($A111,'Données projet'!$A$512:$I$532,7,0)),0%,VLOOKUP($A111,'Données projet'!$A$512:$I$532,7,0))</f>
        <v>0</v>
      </c>
      <c r="ON111" s="21" t="e">
        <f>EXP(-LN(2)/35)*ON110+(1-EXP(-LN(2)/35))/(LN(2)/35)*OJ111*OK111*VLOOKUP('Données projet'!$B$27,Paramètres!$A$1:$I$89,3,0)*0.475*44/12</f>
        <v>#N/A</v>
      </c>
      <c r="OO111" s="21" t="e">
        <f>EXP(-LN(2)/25)*OO110+(1-EXP(-LN(2)/25))/(LN(2)/25)*Calculateur!OJ111*Calculateur!OL111*VLOOKUP('Données projet'!$B$27,Paramètres!$A$1:$I$89,3,0)*0.475*44/12</f>
        <v>#N/A</v>
      </c>
      <c r="OP111" s="21" t="e">
        <f>EXP(-LN(2)/2)*OP110+(1-EXP(-LN(2)/2))/(LN(2)/2)*OJ111*OM111*VLOOKUP('Données projet'!$B$27,Paramètres!$A$1:$I$89,3,0)*0.475*44/12</f>
        <v>#N/A</v>
      </c>
      <c r="OQ111" s="22" t="e">
        <f t="shared" si="176"/>
        <v>#N/A</v>
      </c>
      <c r="OR111" s="74">
        <f>('Scénario référence'!$F$8+'Scénario référence'!$F$9+'Scénario référence'!$B$17+'Scénario référence'!$B$9+'Scénario référence'!$B$10)*70+IF((45+25*(1-EXP(-0.0175*$A111)))&lt;70,'Scénario référence'!$B$16*(45+25*(1-EXP(-0.0175*$A111))),70*'Scénario référence'!$B$16)+IF((32+38*(1-EXP(-0.0175*$A111)))&lt;70,'Scénario référence'!$B$18*(32+38*(1-EXP(-0.0175*$A111))),70*'Scénario référence'!$B$18)</f>
        <v>70</v>
      </c>
      <c r="OS111" s="12">
        <f>IF($A111&gt;30,10,('Scénario référence'!$B$16+'Scénario référence'!$B$17+'Scénario référence'!$B$18+'Scénario référence'!$B$9+'Scénario référence'!$B$10)*$A111*10/30+('Scénario référence'!$F$8+'Scénario référence'!$F$9)*10)</f>
        <v>10</v>
      </c>
      <c r="OT111" s="12" t="e">
        <f>VLOOKUP($A111,'Données projet'!$A$538:$I$558,2,0)</f>
        <v>#N/A</v>
      </c>
      <c r="OU111" s="12" t="e">
        <f>VLOOKUP($A111,'Données projet'!$A$538:$I$558,9,0)</f>
        <v>#N/A</v>
      </c>
      <c r="OV111" s="12">
        <f t="array" ref="OV111">INDEX(OU:OU,MIN(IF(ISNUMBER(OU111:OU307),ROW(OU111:OU307),"")))</f>
        <v>0</v>
      </c>
      <c r="OW111" s="12">
        <f>IF('Données projet'!$A$538&gt;35,OW110+OV111-PE110,IF($A111&lt;'Données projet'!$A$538,$CQ$205^$A111,IF($A111='Données projet'!$A$538,'Données projet'!$B$538,OW110+OV111-PE110)))</f>
        <v>0</v>
      </c>
      <c r="OX111" s="17" t="e">
        <f>OW111*VLOOKUP('Données projet'!$B$28,Paramètres!$A$1:$I$89,3,0)*VLOOKUP('Données projet'!$B$28,Paramètres!$A$1:$I$89,5,0)</f>
        <v>#N/A</v>
      </c>
      <c r="OY111" s="13" t="e">
        <f t="shared" si="220"/>
        <v>#N/A</v>
      </c>
      <c r="OZ111" s="14" t="e">
        <f t="shared" si="177"/>
        <v>#N/A</v>
      </c>
      <c r="PA111" s="59" t="e">
        <f t="shared" si="178"/>
        <v>#N/A</v>
      </c>
      <c r="PB111" s="20" t="e">
        <f ca="1">AVERAGE(OFFSET($PA$3,0,0,'Données projet'!$E$28+1,1))-AVERAGE(OFFSET($H$3,0,0,'Données projet'!$E$28+1,1))</f>
        <v>#N/A</v>
      </c>
      <c r="PC111" s="59" t="e">
        <f t="shared" si="221"/>
        <v>#N/A</v>
      </c>
      <c r="PD111" s="15">
        <f>IF(ISNA(VLOOKUP($A111,'Données projet'!$A$538:$I$558,3,0)),0,VLOOKUP($A111,'Données projet'!$A$538:$I$558,3,0))</f>
        <v>0</v>
      </c>
      <c r="PE111" s="15">
        <f>IF(ISNA(VLOOKUP($A111,'Données projet'!$A$538:$I$558,4,0)),0,VLOOKUP($A111,'Données projet'!$A$538:$I$558,4,0))</f>
        <v>0</v>
      </c>
      <c r="PF111" s="16">
        <f>IF(ISNA(VLOOKUP($A111,'Données projet'!$A$538:$I$558,5,0)),0%,VLOOKUP($A111,'Données projet'!$A$538:$I$558,5,0)*VLOOKUP('Données projet'!$B$28,Paramètres!$A$1:$I$89,7,0))</f>
        <v>0</v>
      </c>
      <c r="PG111" s="16">
        <f>IF(ISNA(VLOOKUP($A111,'Données projet'!$A$538:$I$558,6,0)),0%,VLOOKUP($A111,'Données projet'!$A$538:$I$558,6,0)*VLOOKUP('Données projet'!$B$28,Paramètres!$A$1:$I$89,7,0))</f>
        <v>0</v>
      </c>
      <c r="PH111" s="16">
        <f>IF(ISNA(VLOOKUP($A111,'Données projet'!$A$538:$I$558,7,0)),0%,VLOOKUP($A111,'Données projet'!$A$538:$I$558,7,0))</f>
        <v>0</v>
      </c>
      <c r="PI111" s="21" t="e">
        <f>EXP(-LN(2)/35)*PI110+(1-EXP(-LN(2)/35))/(LN(2)/35)*PE111*PF111*VLOOKUP('Données projet'!$B$28,Paramètres!$A$1:$I$89,3,0)*0.475*44/12</f>
        <v>#N/A</v>
      </c>
      <c r="PJ111" s="21" t="e">
        <f>EXP(-LN(2)/25)*PJ110+(1-EXP(-LN(2)/25))/(LN(2)/25)*Calculateur!PE111*Calculateur!PG111*VLOOKUP('Données projet'!$B$28,Paramètres!$A$1:$I$89,3,0)*0.475*44/12</f>
        <v>#N/A</v>
      </c>
      <c r="PK111" s="21" t="e">
        <f>EXP(-LN(2)/2)*PK110+(1-EXP(-LN(2)/2))/(LN(2)/2)*PE111*PH111*VLOOKUP('Données projet'!$B$28,Paramètres!$A$1:$I$89,3,0)*0.475*44/12</f>
        <v>#N/A</v>
      </c>
      <c r="PL111" s="22" t="e">
        <f t="shared" si="179"/>
        <v>#N/A</v>
      </c>
    </row>
    <row r="112" spans="1:428" x14ac:dyDescent="0.35">
      <c r="A112" s="10">
        <f t="shared" si="180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181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121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projet'!$A$45:$I$65,2,0)</f>
        <v>#N/A</v>
      </c>
      <c r="L112" s="12" t="e">
        <f>VLOOKUP(A112,'Données projet'!$A$45:$I$65,9,0)</f>
        <v>#N/A</v>
      </c>
      <c r="M112" s="12">
        <f t="array" ref="M112">INDEX(L:L,MIN(IF(ISNUMBER(L112:L308),ROW(L112:L308),"")))</f>
        <v>0</v>
      </c>
      <c r="N112" s="13">
        <f>IF('Données projet'!$A$46&gt;35,N111+M112-V111,IF(A112&lt;'Données projet'!$A$46,$K$205^A112,IF(A112='Données projet'!$A$46,'Données projet'!$B$46,N111+M112-V111)))</f>
        <v>-1.1368683772161603E-13</v>
      </c>
      <c r="O112" s="13">
        <f>N112*VLOOKUP('Données projet'!$B$9,Paramètres!$A$1:$I$89,3,0)*VLOOKUP('Données projet'!$B$9,Paramètres!$A$1:$I$89,5,0)</f>
        <v>-6.3550942286383367E-14</v>
      </c>
      <c r="P112" s="13" t="e">
        <f t="shared" si="182"/>
        <v>#NUM!</v>
      </c>
      <c r="Q112" s="20" t="e">
        <f t="shared" si="222"/>
        <v>#NUM!</v>
      </c>
      <c r="R112" s="59" t="e">
        <f t="shared" si="120"/>
        <v>#NUM!</v>
      </c>
      <c r="S112" s="59">
        <f ca="1">AVERAGE(OFFSET($R$3,0,0,'Données projet'!$E$9+1,1))-AVERAGE(OFFSET($H$3,0,0,'Données projet'!$E$9+1,1))</f>
        <v>274.57619581652199</v>
      </c>
      <c r="T112" s="59">
        <f t="shared" si="183"/>
        <v>366.15117322598775</v>
      </c>
      <c r="U112" s="15">
        <f>IF(ISNA(VLOOKUP(A112,'Données projet'!$A$45:$I$65,3,0)),0,VLOOKUP(A112,'Données projet'!$A$45:$I$65,3,0))</f>
        <v>0</v>
      </c>
      <c r="V112" s="15">
        <f>IF(ISNA(VLOOKUP(A112,'Données projet'!$A$45:$I$65,4,0)),0,VLOOKUP(A112,'Données projet'!$A$45:$I$65,4,0))</f>
        <v>0</v>
      </c>
      <c r="W112" s="16">
        <f>IF(ISNA(VLOOKUP(A112,'Données projet'!$A$45:$I$65,5,0)),0%,VLOOKUP(A112,'Données projet'!$A$45:$I$65,5,0)*VLOOKUP('Données projet'!$B$9,Paramètres!$A$1:$I$89,7,0))</f>
        <v>0</v>
      </c>
      <c r="X112" s="16">
        <f>IF(ISNA(VLOOKUP(A112,'Données projet'!$A$45:$I$65,6,0)),0%,VLOOKUP(A112,'Données projet'!$A$45:$I$65,6,0)*VLOOKUP('Données projet'!$B$9,Paramètres!$A$1:$I$89,7,0))</f>
        <v>0</v>
      </c>
      <c r="Y112" s="16">
        <f>IF(ISNA(VLOOKUP(A112,'Données projet'!$A$45:$I$65,7,0)),0%,VLOOKUP(A112,'Données projet'!$A$45:$I$65,7,0))</f>
        <v>0</v>
      </c>
      <c r="Z112" s="21">
        <f>EXP(-LN(2)/35)*Z111+(1-EXP(-LN(2)/35))/(LN(2)/35)*V112*W112*VLOOKUP('Données projet'!$B$9,Paramètres!$A$1:$I$89,3,0)*0.475*44/12</f>
        <v>77.789864361727211</v>
      </c>
      <c r="AA112" s="21">
        <f>EXP(-LN(2)/25)*AA111+(1-EXP(-LN(2)/25))/(LN(2)/25)*Calculateur!V112*Calculateur!X112*VLOOKUP('Données projet'!$B$9,Paramètres!$A$1:$I$89,3,0)*0.475*44/12</f>
        <v>12.890079556370104</v>
      </c>
      <c r="AB112" s="21">
        <f>EXP(-LN(2)/2)*AB111+(1-EXP(-LN(2)/2))/(LN(2)/2)*V112*Y112*VLOOKUP('Données projet'!$B$9,Paramètres!$A$1:$I$89,3,0)*0.475*44/12</f>
        <v>2.5452154877865667E-7</v>
      </c>
      <c r="AC112" s="22">
        <f t="shared" si="122"/>
        <v>90.67994417261886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>
        <f>VLOOKUP(A112,'Données projet'!$A$71:$I$91,2,0)</f>
        <v>340.16666666666663</v>
      </c>
      <c r="AG112" s="12">
        <f>VLOOKUP(A112,'Données projet'!$A$71:$I$91,9,0)</f>
        <v>6.9935897435897401</v>
      </c>
      <c r="AH112" s="12">
        <f t="array" ref="AH112">INDEX(AG:AG,MIN(IF(ISNUMBER(AG112:AG308),ROW(AG112:AG308),"")))</f>
        <v>6.9935897435897401</v>
      </c>
      <c r="AI112" s="13">
        <f>IF('Données projet'!$A$72&gt;35,AI111+AH112-AQ111,IF(A112&lt;'Données projet'!$A$72,$AF$205^A112,IF(A112='Données projet'!$A$72,'Données projet'!$B$72,AI111+AH112-AQ111)))</f>
        <v>340.16666666666697</v>
      </c>
      <c r="AJ112" s="13">
        <f>AI112*VLOOKUP('Données projet'!$B$10,Paramètres!$A$1:$I$89,3,0)*VLOOKUP('Données projet'!$B$10,Paramètres!$A$1:$I$89,5,0)</f>
        <v>307.78280000000024</v>
      </c>
      <c r="AK112" s="13">
        <f t="shared" si="184"/>
        <v>72.805597304306232</v>
      </c>
      <c r="AL112" s="20">
        <f t="shared" si="123"/>
        <v>662.85812530500039</v>
      </c>
      <c r="AM112" s="59">
        <f t="shared" si="124"/>
        <v>956.19145863833364</v>
      </c>
      <c r="AN112" s="59">
        <f ca="1">AVERAGE(OFFSET($AM$3,0,0,'Données projet'!$E$10+1,1))-AVERAGE(OFFSET($H$3,0,0,'Données projet'!$E$10+1,1))</f>
        <v>270.87836509222456</v>
      </c>
      <c r="AO112" s="59">
        <f t="shared" si="185"/>
        <v>205.24998237949734</v>
      </c>
      <c r="AP112" s="15">
        <f>IF(ISNA(VLOOKUP(A112,'Données projet'!$A$71:$I$91,3,0)),0,VLOOKUP(A112,'Données projet'!$A$71:$I$91,3,0))</f>
        <v>10</v>
      </c>
      <c r="AQ112" s="15">
        <f>IF(ISNA(VLOOKUP(A112,'Données projet'!$A$71:$I$91,4,0)),0,VLOOKUP(A112,'Données projet'!$A$71:$I$91,4,0))</f>
        <v>51.28846153846154</v>
      </c>
      <c r="AR112" s="16">
        <f>IF(ISNA(VLOOKUP(A112,'Données projet'!$A$71:$I$91,5,0)),0%,VLOOKUP(A112,'Données projet'!$A$71:$I$91,5,0)*VLOOKUP('Données projet'!$B$10,Paramètres!$A$1:$I$89,7,0))</f>
        <v>0.38700000000000001</v>
      </c>
      <c r="AS112" s="16">
        <f>IF(ISNA(VLOOKUP(A112,'Données projet'!$A$71:$I$91,6,0)),0%,VLOOKUP(A112,'Données projet'!$A$71:$I$91,6,0)*VLOOKUP('Données projet'!$B$10,Paramètres!$A$1:$I$89,7,0))</f>
        <v>0</v>
      </c>
      <c r="AT112" s="16">
        <f>IF(ISNA(VLOOKUP(A112,'Données projet'!$A$71:$I$91,7,0)),0%,VLOOKUP(A112,'Données projet'!$A$71:$I$91,7,0))</f>
        <v>0</v>
      </c>
      <c r="AU112" s="21">
        <f>EXP(-LN(2)/35)*AU111+(1-EXP(-LN(2)/35))/(LN(2)/35)*AQ112*AR112*VLOOKUP('Données projet'!$B$10,Paramètres!$A$1:$I$89,3,0)*0.475*44/12</f>
        <v>60.168125359190398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125"/>
        <v>60.168125359190398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projet'!$A$97:$I$117,2,0)</f>
        <v>#N/A</v>
      </c>
      <c r="BB112" s="12" t="e">
        <f>VLOOKUP(A112,'Données projet'!$A$97:$I$117,9,0)</f>
        <v>#N/A</v>
      </c>
      <c r="BC112" s="12">
        <f t="array" ref="BC112">INDEX(BB:BB,MIN(IF(ISNUMBER(BB112:BB308),ROW(BB112:BB308),"")))</f>
        <v>0</v>
      </c>
      <c r="BD112" s="12">
        <f>IF('Données projet'!$A$98&gt;35,BD111+BC112-BL111,IF(A112&lt;'Données projet'!$A$98,$BA$205^A112,IF(A112='Données projet'!$A$98,'Données projet'!$B$98,BD111+BC112-BL111)))</f>
        <v>-1.1368683772161603E-13</v>
      </c>
      <c r="BE112" s="13">
        <f>BD112*VLOOKUP('Données projet'!$B$11,Paramètres!$A$1:$I$89,3,0)*VLOOKUP('Données projet'!$B$11,Paramètres!$A$1:$I$89,5,0)</f>
        <v>-5.0249582272954292E-14</v>
      </c>
      <c r="BF112" s="13" t="e">
        <f t="shared" si="186"/>
        <v>#NUM!</v>
      </c>
      <c r="BG112" s="20" t="e">
        <f t="shared" si="126"/>
        <v>#NUM!</v>
      </c>
      <c r="BH112" s="59" t="e">
        <f t="shared" si="127"/>
        <v>#NUM!</v>
      </c>
      <c r="BI112" s="59">
        <f ca="1">AVERAGE(OFFSET($BH$3,0,0,'Données projet'!$E$11+1,1))-AVERAGE(OFFSET($H$3,0,0,'Données projet'!$E$11+1,1))</f>
        <v>211.31057120485542</v>
      </c>
      <c r="BJ112" s="59">
        <f t="shared" si="187"/>
        <v>283.33292006714777</v>
      </c>
      <c r="BK112" s="15">
        <f>IF(ISNA(VLOOKUP(A112,'Données projet'!$A$97:$I$117,3,0)),0,VLOOKUP(A112,'Données projet'!$A$97:$I$117,3,0))</f>
        <v>0</v>
      </c>
      <c r="BL112" s="15">
        <f>IF(ISNA(VLOOKUP(A112,'Données projet'!$A$97:$I$117,4,0)),0,VLOOKUP(A112,'Données projet'!$A$97:$I$117,4,0))</f>
        <v>0</v>
      </c>
      <c r="BM112" s="16">
        <f>IF(ISNA(VLOOKUP(A112,'Données projet'!$A$97:$I$117,5,0)),0%,VLOOKUP(A112,'Données projet'!$A$97:$I$117,5,0)*VLOOKUP('Données projet'!$B$11,Paramètres!$A$1:$I$89,7,0))</f>
        <v>0</v>
      </c>
      <c r="BN112" s="16">
        <f>IF(ISNA(VLOOKUP(A112,'Données projet'!$A$97:$I$117,6,0)),0%,VLOOKUP(A112,'Données projet'!$A$97:$I$117,6,0)*VLOOKUP('Données projet'!$B$11,Paramètres!$A$1:$I$89,7,0))</f>
        <v>0</v>
      </c>
      <c r="BO112" s="16">
        <f>IF(ISNA(VLOOKUP(A112,'Données projet'!$A$97:$I$117,7,0)),0%,VLOOKUP(A112,'Données projet'!$A$97:$I$117,7,0))</f>
        <v>0</v>
      </c>
      <c r="BP112" s="21">
        <f>EXP(-LN(2)/35)*BP111+(1-EXP(-LN(2)/35))/(LN(2)/35)*BL112*BM112*VLOOKUP('Données projet'!$B$11,Paramètres!$A$1:$I$89,3,0)*0.475*44/12</f>
        <v>61.508264844156415</v>
      </c>
      <c r="BQ112" s="21">
        <f>EXP(-LN(2)/25)*BQ111+(1-EXP(-LN(2)/25))/(LN(2)/25)*Calculateur!BL112*Calculateur!BN112*VLOOKUP('Données projet'!$B$11,Paramètres!$A$1:$I$89,3,0)*0.475*44/12</f>
        <v>10.192155928292635</v>
      </c>
      <c r="BR112" s="21">
        <f>EXP(-LN(2)/2)*BR111+(1-EXP(-LN(2)/2))/(LN(2)/2)*BL112*BO112*VLOOKUP('Données projet'!$B$11,Paramètres!$A$1:$I$89,3,0)*0.475*44/12</f>
        <v>2.0124959670870524E-7</v>
      </c>
      <c r="BS112" s="22">
        <f t="shared" si="128"/>
        <v>71.700420973698641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projet'!$A$123:$I$143,2,0)</f>
        <v>#N/A</v>
      </c>
      <c r="BW112" s="12" t="e">
        <f>VLOOKUP(A112,'Données projet'!$A$123:$I$143,9,0)</f>
        <v>#N/A</v>
      </c>
      <c r="BX112" s="12">
        <f t="array" ref="BX112">INDEX(BW:BW,MIN(IF(ISNUMBER(BW112:BW308),ROW(BW112:BW308),"")))</f>
        <v>0</v>
      </c>
      <c r="BY112" s="12">
        <f>IF('Données projet'!$A$124&gt;35,BY111+BX112-CG111,IF(A112&lt;'Données projet'!$A$124,$BV$205^A112,IF(A112='Données projet'!$A$124,'Données projet'!$B$124,BY111+BX112-CG111)))</f>
        <v>0</v>
      </c>
      <c r="BZ112" s="13">
        <f>BY112*VLOOKUP('Données projet'!$B$12,Paramètres!$A$1:$I$89,3,0)*VLOOKUP('Données projet'!$B$12,Paramètres!$A$1:$I$89,5,0)</f>
        <v>0</v>
      </c>
      <c r="CA112" s="13" t="e">
        <f t="shared" si="188"/>
        <v>#NUM!</v>
      </c>
      <c r="CB112" s="20" t="e">
        <f t="shared" si="129"/>
        <v>#NUM!</v>
      </c>
      <c r="CC112" s="59" t="e">
        <f t="shared" si="130"/>
        <v>#NUM!</v>
      </c>
      <c r="CD112" s="59">
        <f ca="1">AVERAGE(OFFSET($CC$3,0,0,'Données projet'!$E$12+1,1))-AVERAGE(OFFSET($H$3,0,0,'Données projet'!$E$12+1,1))</f>
        <v>322.93502595881938</v>
      </c>
      <c r="CE112" s="59">
        <f t="shared" si="189"/>
        <v>302.67072119588164</v>
      </c>
      <c r="CF112" s="15">
        <f>IF(ISNA(VLOOKUP(A112,'Données projet'!$A$123:$I$143,3,0)),0,VLOOKUP(A112,'Données projet'!$A$123:$I$143,3,0))</f>
        <v>0</v>
      </c>
      <c r="CG112" s="15">
        <f>IF(ISNA(VLOOKUP(A112,'Données projet'!$A$123:$I$143,4,0)),0,VLOOKUP(A112,'Données projet'!$A$123:$I$143,4,0))</f>
        <v>0</v>
      </c>
      <c r="CH112" s="16">
        <f>IF(ISNA(VLOOKUP(A112,'Données projet'!$A$123:$I$143,5,0)),0%,VLOOKUP(A112,'Données projet'!$A$123:$I$143,5,0)*VLOOKUP('Données projet'!$B$12,Paramètres!$A$1:$I$89,7,0))</f>
        <v>0</v>
      </c>
      <c r="CI112" s="16">
        <f>IF(ISNA(VLOOKUP(A112,'Données projet'!$A$123:$I$143,6,0)),0%,VLOOKUP(A112,'Données projet'!$A$123:$I$143,6,0)*VLOOKUP('Données projet'!$B$12,Paramètres!$A$1:$I$89,7,0))</f>
        <v>0</v>
      </c>
      <c r="CJ112" s="16">
        <f>IF(ISNA(VLOOKUP(A112,'Données projet'!$A$123:$I$143,7,0)),0%,VLOOKUP(A112,'Données projet'!$A$123:$I$143,7,0))</f>
        <v>0</v>
      </c>
      <c r="CK112" s="21">
        <f>EXP(-LN(2)/35)*CK111+(1-EXP(-LN(2)/35))/(LN(2)/35)*CG112*CH112*VLOOKUP('Données projet'!$B$12,Paramètres!$A$1:$I$89,3,0)*0.475*44/12</f>
        <v>97.997528397857252</v>
      </c>
      <c r="CL112" s="21">
        <f>EXP(-LN(2)/25)*CL111+(1-EXP(-LN(2)/25))/(LN(2)/25)*Calculateur!CG112*Calculateur!CI112*VLOOKUP('Données projet'!$B$12,Paramètres!$A$1:$I$89,3,0)*0.475*44/12</f>
        <v>32.62106562205016</v>
      </c>
      <c r="CM112" s="21">
        <f>EXP(-LN(2)/2)*CM111+(1-EXP(-LN(2)/2))/(LN(2)/2)*CG112*CJ112*VLOOKUP('Données projet'!$B$12,Paramètres!$A$1:$I$89,3,0)*0.475*44/12</f>
        <v>0</v>
      </c>
      <c r="CN112" s="22">
        <f t="shared" si="131"/>
        <v>130.61859401990742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projet'!$A$149:$I$169,2,0)</f>
        <v>#N/A</v>
      </c>
      <c r="CR112" s="12" t="e">
        <f>VLOOKUP(A112,'Données projet'!$A$149:$I$169,9,0)</f>
        <v>#N/A</v>
      </c>
      <c r="CS112" s="12">
        <f t="array" ref="CS112">INDEX(CR:CR,MIN(IF(ISNUMBER(CR112:CR308),ROW(CR112:CR308),"")))</f>
        <v>5.0961538461538449</v>
      </c>
      <c r="CT112" s="12">
        <f>IF('Données projet'!$A$150&gt;35,CT111+CS112-DB111,IF(A112&lt;'Données projet'!$A$150,$CQ$205^A112,IF(A112='Données projet'!$A$150,'Données projet'!$B$150,CT111+CS112-DB111)))</f>
        <v>225.833333333333</v>
      </c>
      <c r="CU112" s="17">
        <f>CT112*VLOOKUP('Données projet'!$B$13,Paramètres!$A$1:$I$89,3,0)*VLOOKUP('Données projet'!$B$13,Paramètres!$A$1:$I$89,5,0)</f>
        <v>228.99499999999969</v>
      </c>
      <c r="CV112" s="13">
        <f t="shared" si="190"/>
        <v>56.065321681745388</v>
      </c>
      <c r="CW112" s="20">
        <f t="shared" si="132"/>
        <v>496.48006026237272</v>
      </c>
      <c r="CX112" s="59">
        <f t="shared" si="133"/>
        <v>789.81339359570597</v>
      </c>
      <c r="CY112" s="59">
        <f ca="1">AVERAGE(OFFSET($CX$3,0,0,'Données projet'!$E$13+1,1))-AVERAGE(OFFSET($H$3,0,0,'Données projet'!$E$13+1,1))</f>
        <v>250.31277422753283</v>
      </c>
      <c r="CZ112" s="59">
        <f t="shared" si="191"/>
        <v>159.20429420478047</v>
      </c>
      <c r="DA112" s="15">
        <f>IF(ISNA(VLOOKUP(A112,'Données projet'!$A$149:$I$169,3,0)),0,VLOOKUP(A112,'Données projet'!$A$149:$I$169,3,0))</f>
        <v>0</v>
      </c>
      <c r="DB112" s="15">
        <f>IF(ISNA(VLOOKUP(A112,'Données projet'!$A$149:$I$169,4,0)),0,VLOOKUP(A112,'Données projet'!$A$149:$I$169,4,0))</f>
        <v>0</v>
      </c>
      <c r="DC112" s="16">
        <f>IF(ISNA(VLOOKUP(A112,'Données projet'!$A$149:$I$169,5,0)),0%,VLOOKUP(A112,'Données projet'!$A$149:$I$169,5,0)*VLOOKUP('Données projet'!$B$13,Paramètres!$A$1:$I$89,7,0))</f>
        <v>0</v>
      </c>
      <c r="DD112" s="16">
        <f>IF(ISNA(VLOOKUP(A112,'Données projet'!$A$149:$I$169,6,0)),0%,VLOOKUP(A112,'Données projet'!$A$149:$I$169,6,0)*VLOOKUP('Données projet'!$B$13,Paramètres!$A$1:$I$89,7,0))</f>
        <v>0</v>
      </c>
      <c r="DE112" s="16">
        <f>IF(ISNA(VLOOKUP(A112,'Données projet'!$A$149:$I$169,7,0)),0%,VLOOKUP(A112,'Données projet'!$A$149:$I$169,7,0))</f>
        <v>0</v>
      </c>
      <c r="DF112" s="21">
        <f>EXP(-LN(2)/35)*DF111+(1-EXP(-LN(2)/35))/(LN(2)/35)*DB112*DC112*VLOOKUP('Données projet'!$B$13,Paramètres!$A$1:$I$89,3,0)*0.475*44/12</f>
        <v>31.766853805678576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134"/>
        <v>31.766853805678576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projet'!$A$175:$I$195,2,0)</f>
        <v>#N/A</v>
      </c>
      <c r="DM112" s="12" t="e">
        <f>VLOOKUP(A112,'Données projet'!$A$175:$I$195,9,0)</f>
        <v>#N/A</v>
      </c>
      <c r="DN112" s="12">
        <f t="array" ref="DN112">INDEX(DM:DM,MIN(IF(ISNUMBER(DM112:DM308),ROW(DM112:DM308),"")))</f>
        <v>0</v>
      </c>
      <c r="DO112" s="12">
        <f>IF('Données projet'!$A$176&gt;35,DO111+DN112-DW111,IF(A112&lt;'Données projet'!$A$176,$DL$205^A112,IF(A112='Données projet'!$A$176,'Données projet'!$B$176,DO111+DN112-DW111)))</f>
        <v>-2.8421709430404007E-13</v>
      </c>
      <c r="DP112" s="17">
        <f>DO112*VLOOKUP('Données projet'!$B$14,Paramètres!$A$1:$I$89,3,0)*VLOOKUP('Données projet'!$B$14,Paramètres!$A$1:$I$89,5,0)</f>
        <v>-2.0838797354372215E-13</v>
      </c>
      <c r="DQ112" s="13" t="e">
        <f t="shared" si="192"/>
        <v>#NUM!</v>
      </c>
      <c r="DR112" s="20" t="e">
        <f t="shared" si="135"/>
        <v>#NUM!</v>
      </c>
      <c r="DS112" s="59" t="e">
        <f t="shared" si="136"/>
        <v>#NUM!</v>
      </c>
      <c r="DT112" s="59">
        <f ca="1">AVERAGE(OFFSET($DS$3,0,0,'Données projet'!$E$14+1,1))-AVERAGE(OFFSET($H$3,0,0,'Données projet'!$E$14+1,1))</f>
        <v>296.91321813251051</v>
      </c>
      <c r="DU112" s="59">
        <f t="shared" si="193"/>
        <v>291.0718079639509</v>
      </c>
      <c r="DV112" s="15">
        <f>IF(ISNA(VLOOKUP(A112,'Données projet'!$A$175:$I$195,3,0)),0,VLOOKUP(A112,'Données projet'!$A$175:$I$195,3,0))</f>
        <v>0</v>
      </c>
      <c r="DW112" s="15">
        <f>IF(ISNA(VLOOKUP(A112,'Données projet'!$A$175:$I$195,4,0)),0,VLOOKUP(A112,'Données projet'!$A$175:$I$195,4,0))</f>
        <v>0</v>
      </c>
      <c r="DX112" s="16">
        <f>IF(ISNA(VLOOKUP(A112,'Données projet'!$A$175:$I$195,5,0)),0%,VLOOKUP(A112,'Données projet'!$A$175:$I$195,5,0)*VLOOKUP('Données projet'!$B$14,Paramètres!$A$1:$I$89,7,0))</f>
        <v>0</v>
      </c>
      <c r="DY112" s="16">
        <f>IF(ISNA(VLOOKUP(A112,'Données projet'!$A$175:$I$195,6,0)),0%,VLOOKUP(A112,'Données projet'!$A$175:$I$195,6,0)*VLOOKUP('Données projet'!$B$14,Paramètres!$A$1:$I$89,7,0))</f>
        <v>0</v>
      </c>
      <c r="DZ112" s="16">
        <f>IF(ISNA(VLOOKUP(A112,'Données projet'!$A$175:$I$195,7,0)),0%,VLOOKUP(A112,'Données projet'!$A$175:$I$195,7,0))</f>
        <v>0</v>
      </c>
      <c r="EA112" s="21">
        <f>EXP(-LN(2)/35)*EA111+(1-EXP(-LN(2)/35))/(LN(2)/35)*DW112*DX112*VLOOKUP('Données projet'!$B$14,Paramètres!$A$1:$I$89,3,0)*0.475*44/12</f>
        <v>97.672074397382971</v>
      </c>
      <c r="EB112" s="21">
        <f>EXP(-LN(2)/25)*EB111+(1-EXP(-LN(2)/25))/(LN(2)/25)*Calculateur!DW112*Calculateur!DY112*VLOOKUP('Données projet'!$B$14,Paramètres!$A$1:$I$89,3,0)*0.475*44/12</f>
        <v>2.3963730661276661</v>
      </c>
      <c r="EC112" s="21">
        <f>EXP(-LN(2)/2)*EC111+(1-EXP(-LN(2)/2))/(LN(2)/2)*DW112*DZ112*VLOOKUP('Données projet'!$B$14,Paramètres!$A$1:$I$89,3,0)*0.475*44/12</f>
        <v>0</v>
      </c>
      <c r="ED112" s="22">
        <f t="shared" si="137"/>
        <v>100.06844746351064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>
        <f>VLOOKUP(A112,'Données projet'!$A$201:$I$221,2,0)</f>
        <v>256.09230769230771</v>
      </c>
      <c r="EH112" s="12">
        <f>VLOOKUP(A112,'Données projet'!$A$201:$I$221,9,0)</f>
        <v>5.6546153846153828</v>
      </c>
      <c r="EI112" s="12">
        <f t="array" ref="EI112">INDEX(EH:EH,MIN(IF(ISNUMBER(EH112:EH308),ROW(EH112:EH308),"")))</f>
        <v>5.6546153846153828</v>
      </c>
      <c r="EJ112" s="12">
        <f>IF('Données projet'!$A$202&gt;35,EJ111+EI112-ER111,IF(A112&lt;'Données projet'!$A$202,$EG$205^A112,IF(A112='Données projet'!$A$202,'Données projet'!$B$202,EJ111+EI112-ER111)))</f>
        <v>256.09230769230822</v>
      </c>
      <c r="EK112" s="17">
        <f>EJ112*VLOOKUP('Données projet'!$B$15,Paramètres!$A$1:$I$89,3,0)*VLOOKUP('Données projet'!$B$15,Paramètres!$A$1:$I$89,5,0)</f>
        <v>119.85120000000023</v>
      </c>
      <c r="EL112" s="13">
        <f t="shared" si="194"/>
        <v>31.640291631938272</v>
      </c>
      <c r="EM112" s="20">
        <f t="shared" si="138"/>
        <v>263.8476812589596</v>
      </c>
      <c r="EN112" s="59">
        <f t="shared" si="139"/>
        <v>557.18101459229297</v>
      </c>
      <c r="EO112" s="59">
        <f ca="1">AVERAGE(OFFSET($EN$3,0,0,'Données projet'!$E$15+1,1))-AVERAGE(OFFSET($H$3,0,0,'Données projet'!$E$15+1,1))</f>
        <v>147.64256291235483</v>
      </c>
      <c r="EP112" s="59">
        <f t="shared" si="195"/>
        <v>70.859031694091868</v>
      </c>
      <c r="EQ112" s="15">
        <f>IF(ISNA(VLOOKUP(A112,'Données projet'!$A$201:$I$221,3,0)),0,VLOOKUP(A112,'Données projet'!$A$201:$I$221,3,0))</f>
        <v>6</v>
      </c>
      <c r="ER112" s="15">
        <f>IF(ISNA(VLOOKUP(A112,'Données projet'!$A$201:$I$221,4,0)),0,VLOOKUP(A112,'Données projet'!$A$201:$I$221,4,0))</f>
        <v>256.09230769230771</v>
      </c>
      <c r="ES112" s="16">
        <f>IF(ISNA(VLOOKUP(A112,'Données projet'!$A$201:$I$221,5,0)),0%,VLOOKUP(A112,'Données projet'!$A$201:$I$221,5,0)*VLOOKUP('Données projet'!$B$15,Paramètres!$A$1:$I$89,7,0))</f>
        <v>0.38500000000000001</v>
      </c>
      <c r="ET112" s="16">
        <f>IF(ISNA(VLOOKUP(A112,'Données projet'!$A$201:$I$221,6,0)),0%,VLOOKUP(A112,'Données projet'!$A$201:$I$221,6,0)*VLOOKUP('Données projet'!$B$15,Paramètres!$A$1:$I$89,7,0))</f>
        <v>9.240000000000001E-2</v>
      </c>
      <c r="EU112" s="16">
        <f>IF(ISNA(VLOOKUP(A112,'Données projet'!$A$201:$I$221,7,0)),0%,VLOOKUP(A112,'Données projet'!$A$201:$I$221,7,0))</f>
        <v>0.13200000000000001</v>
      </c>
      <c r="EV112" s="21">
        <f>EXP(-LN(2)/35)*EV111+(1-EXP(-LN(2)/35))/(LN(2)/35)*ER112*ES112*VLOOKUP('Données projet'!$B$15,Paramètres!$A$1:$I$89,3,0)*0.475*44/12</f>
        <v>133.7146094392433</v>
      </c>
      <c r="EW112" s="21">
        <f>EXP(-LN(2)/25)*EW111+(1-EXP(-LN(2)/25))/(LN(2)/25)*Calculateur!ER112*Calculateur!ET112*VLOOKUP('Données projet'!$B$15,Paramètres!$A$1:$I$89,3,0)*0.475*44/12</f>
        <v>33.247261987462423</v>
      </c>
      <c r="EX112" s="21">
        <f>EXP(-LN(2)/2)*EX111+(1-EXP(-LN(2)/2))/(LN(2)/2)*ER112*EU112*VLOOKUP('Données projet'!$B$15,Paramètres!$A$1:$I$89,3,0)*0.475*44/12</f>
        <v>18.348689324713348</v>
      </c>
      <c r="EY112" s="22">
        <f t="shared" si="140"/>
        <v>185.31056075141908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projet'!$A$227:$I$247,2,0)</f>
        <v>#N/A</v>
      </c>
      <c r="FC112" s="12" t="e">
        <f>VLOOKUP(A112,'Données projet'!$A$227:$I$247,9,0)</f>
        <v>#N/A</v>
      </c>
      <c r="FD112" s="12">
        <f t="array" ref="FD112">INDEX(FC:FC,MIN(IF(ISNUMBER(FC112:FC308),ROW(FC112:FC308),"")))</f>
        <v>0</v>
      </c>
      <c r="FE112" s="12">
        <f>IF('Données projet'!$A$228&gt;35,FE111+FD112-FM111,IF(A112&lt;'Données projet'!$A$228,$FB$205^A112,IF(A112='Données projet'!$A$228,'Données projet'!$B$228,FE111+FD112-FM111)))</f>
        <v>8.5265128291212022E-14</v>
      </c>
      <c r="FF112" s="17">
        <f>FE112*VLOOKUP('Données projet'!$B$16,Paramètres!$A$1:$I$89,3,0)*VLOOKUP('Données projet'!$B$16,Paramètres!$A$1:$I$89,5,0)</f>
        <v>8.9119112089974823E-14</v>
      </c>
      <c r="FG112" s="13">
        <f t="shared" si="196"/>
        <v>1.3568952080113142E-12</v>
      </c>
      <c r="FH112" s="20">
        <f t="shared" si="141"/>
        <v>2.5184749408430782E-12</v>
      </c>
      <c r="FI112" s="59">
        <f t="shared" si="142"/>
        <v>293.33333333333582</v>
      </c>
      <c r="FJ112" s="59">
        <f ca="1">AVERAGE(OFFSET($FI$3,0,0,'Données projet'!$E$16+1,1))-AVERAGE(OFFSET($H$3,0,0,'Données projet'!$E$16+1,1))</f>
        <v>259.03906550253788</v>
      </c>
      <c r="FK112" s="59">
        <f t="shared" si="197"/>
        <v>235.54542903570831</v>
      </c>
      <c r="FL112" s="15">
        <f>IF(ISNA(VLOOKUP(A112,'Données projet'!$A$227:$I$247,3,0)),0,VLOOKUP(A112,'Données projet'!$A$227:$I$247,3,0))</f>
        <v>0</v>
      </c>
      <c r="FM112" s="15">
        <f>IF(ISNA(VLOOKUP(A112,'Données projet'!$A$227:$I$247,4,0)),0,VLOOKUP(A112,'Données projet'!$A$227:$I$247,4,0))</f>
        <v>0</v>
      </c>
      <c r="FN112" s="16">
        <f>IF(ISNA(VLOOKUP(A112,'Données projet'!$A$227:$I$247,5,0)),0%,VLOOKUP(A112,'Données projet'!$A$227:$I$247,5,0)*VLOOKUP('Données projet'!$B$16,Paramètres!$A$1:$I$89,7,0))</f>
        <v>0</v>
      </c>
      <c r="FO112" s="16">
        <f>IF(ISNA(VLOOKUP(A112,'Données projet'!$A$227:$I$247,6,0)),0%,VLOOKUP(A112,'Données projet'!$A$227:$I$247,6,0)*VLOOKUP('Données projet'!$B$16,Paramètres!$A$1:$I$89,7,0))</f>
        <v>0</v>
      </c>
      <c r="FP112" s="16">
        <f>IF(ISNA(VLOOKUP(A112,'Données projet'!$A$227:$I$247,7,0)),0%,VLOOKUP(A112,'Données projet'!$A$227:$I$247,7,0))</f>
        <v>0</v>
      </c>
      <c r="FQ112" s="21">
        <f>EXP(-LN(2)/35)*FQ111+(1-EXP(-LN(2)/35))/(LN(2)/35)*FM112*FN112*VLOOKUP('Données projet'!$B$16,Paramètres!$A$1:$I$89,3,0)*0.475*44/12</f>
        <v>59.017994657713764</v>
      </c>
      <c r="FR112" s="21">
        <f>EXP(-LN(2)/25)*FR111+(1-EXP(-LN(2)/25))/(LN(2)/25)*Calculateur!FM112*Calculateur!FO112*VLOOKUP('Données projet'!$B$16,Paramètres!$A$1:$I$89,3,0)*0.475*44/12</f>
        <v>45.737415733805229</v>
      </c>
      <c r="FS112" s="21">
        <f>EXP(-LN(2)/2)*FS111+(1-EXP(-LN(2)/2))/(LN(2)/2)*FM112*FP112*VLOOKUP('Données projet'!$B$16,Paramètres!$A$1:$I$89,3,0)*0.475*44/12</f>
        <v>0</v>
      </c>
      <c r="FT112" s="22">
        <f t="shared" si="143"/>
        <v>104.75541039151899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projet'!$A$253:$I$273,2,0)</f>
        <v>#N/A</v>
      </c>
      <c r="FX112" s="12" t="e">
        <f>VLOOKUP(A112,'Données projet'!$A$253:$I$273,9,0)</f>
        <v>#N/A</v>
      </c>
      <c r="FY112" s="12">
        <f t="array" ref="FY112">INDEX(FX:FX,MIN(IF(ISNUMBER(FX112:FX308),ROW(FX112:FX308),"")))</f>
        <v>0</v>
      </c>
      <c r="FZ112" s="12">
        <f>IF('Données projet'!$A$254&gt;35,FZ111+FY112-GH111,IF(A112&lt;'Données projet'!$A$254,$FW$205^A112,IF(A112='Données projet'!$A$254,'Données projet'!$B$254,FZ111+FY112-GH111)))</f>
        <v>-1.7053025658242404E-13</v>
      </c>
      <c r="GA112" s="17">
        <f>FZ112*VLOOKUP('Données projet'!$B$17,Paramètres!$A$1:$I$89,3,0)*VLOOKUP('Données projet'!$B$17,Paramètres!$A$1:$I$89,5,0)</f>
        <v>-1.4897523215040567E-13</v>
      </c>
      <c r="GB112" s="13" t="e">
        <f t="shared" si="198"/>
        <v>#NUM!</v>
      </c>
      <c r="GC112" s="20" t="e">
        <f t="shared" si="144"/>
        <v>#NUM!</v>
      </c>
      <c r="GD112" s="59" t="e">
        <f t="shared" si="145"/>
        <v>#NUM!</v>
      </c>
      <c r="GE112" s="59">
        <f ca="1">AVERAGE(OFFSET($GD$3,0,0,'Données projet'!$E$17+1,1))-AVERAGE(OFFSET($H$3,0,0,'Données projet'!$E$17+1,1))</f>
        <v>245.1983232777614</v>
      </c>
      <c r="GF112" s="59">
        <f t="shared" si="199"/>
        <v>242.34010522344573</v>
      </c>
      <c r="GG112" s="15">
        <f>IF(ISNA(VLOOKUP(A112,'Données projet'!$A$253:$I$273,3,0)),0,VLOOKUP(A112,'Données projet'!$A$253:$I$273,3,0))</f>
        <v>0</v>
      </c>
      <c r="GH112" s="15">
        <f>IF(ISNA(VLOOKUP(A112,'Données projet'!$A$253:$I$273,4,0)),0,VLOOKUP(A112,'Données projet'!$A$253:$I$273,4,0))</f>
        <v>0</v>
      </c>
      <c r="GI112" s="16">
        <f>IF(ISNA(VLOOKUP(A112,'Données projet'!$A$253:$I$273,5,0)),0%,VLOOKUP(A112,'Données projet'!$A$253:$I$273,5,0)*VLOOKUP('Données projet'!$B$17,Paramètres!$A$1:$I$89,7,0))</f>
        <v>0</v>
      </c>
      <c r="GJ112" s="16">
        <f>IF(ISNA(VLOOKUP(A112,'Données projet'!$A$253:$I$273,6,0)),0%,VLOOKUP(A112,'Données projet'!$A$253:$I$273,6,0)*VLOOKUP('Données projet'!$B$17,Paramètres!$A$1:$I$89,7,0))</f>
        <v>0</v>
      </c>
      <c r="GK112" s="16">
        <f>IF(ISNA(VLOOKUP(A112,'Données projet'!$A$253:$I$273,7,0)),0%,VLOOKUP(A112,'Données projet'!$A$253:$I$273,7,0))</f>
        <v>0</v>
      </c>
      <c r="GL112" s="21">
        <f>EXP(-LN(2)/35)*GL111+(1-EXP(-LN(2)/35))/(LN(2)/35)*GH112*GI112*VLOOKUP('Données projet'!$B$17,Paramètres!$A$1:$I$89,3,0)*0.475*44/12</f>
        <v>69.383750124563704</v>
      </c>
      <c r="GM112" s="21">
        <f>EXP(-LN(2)/25)*GM111+(1-EXP(-LN(2)/25))/(LN(2)/25)*Calculateur!GH112*Calculateur!GJ112*VLOOKUP('Données projet'!$B$17,Paramètres!$A$1:$I$89,3,0)*0.475*44/12</f>
        <v>9.7455290546979096</v>
      </c>
      <c r="GN112" s="21">
        <f>EXP(-LN(2)/2)*GN111+(1-EXP(-LN(2)/2))/(LN(2)/2)*GH112*GK112*VLOOKUP('Données projet'!$B$17,Paramètres!$A$1:$I$89,3,0)*0.475*44/12</f>
        <v>0</v>
      </c>
      <c r="GO112" s="21">
        <f t="shared" si="146"/>
        <v>79.129279179261616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projet'!$A$279:$I$299,2,0)</f>
        <v>#N/A</v>
      </c>
      <c r="GS112" s="12" t="e">
        <f>VLOOKUP(A112,'Données projet'!$A$279:$I$299,9,0)</f>
        <v>#N/A</v>
      </c>
      <c r="GT112" s="12">
        <f t="array" ref="GT112">INDEX(GS:GS,MIN(IF(ISNUMBER(GS112:GS308),ROW(GS112:GS308),"")))</f>
        <v>0</v>
      </c>
      <c r="GU112" s="12">
        <f>IF('Données projet'!$A$280&gt;35,GU111+GT112-HC111,IF(A112&lt;'Données projet'!$A$280,$GR$205^A112,IF(A112='Données projet'!$A$280,'Données projet'!$B$280,GU111+GT112-HC111)))</f>
        <v>-1.1368683772161603E-13</v>
      </c>
      <c r="GV112" s="17">
        <f>GU112*VLOOKUP('Données projet'!$B$18,Paramètres!$A$1:$I$89,3,0)*VLOOKUP('Données projet'!$B$18,Paramètres!$A$1:$I$89,5,0)</f>
        <v>-4.5815795601811263E-14</v>
      </c>
      <c r="GW112" s="13" t="e">
        <f t="shared" si="200"/>
        <v>#NUM!</v>
      </c>
      <c r="GX112" s="20" t="e">
        <f t="shared" si="147"/>
        <v>#NUM!</v>
      </c>
      <c r="GY112" s="59" t="e">
        <f t="shared" si="148"/>
        <v>#NUM!</v>
      </c>
      <c r="GZ112" s="59">
        <f ca="1">AVERAGE(OFFSET($GY$3,0,0,'Données projet'!$E$18+1,1))-AVERAGE(OFFSET($H$3,0,0,'Données projet'!$E$18+1,1))</f>
        <v>324.36162935850876</v>
      </c>
      <c r="HA112" s="59">
        <f t="shared" si="201"/>
        <v>265.23571072429735</v>
      </c>
      <c r="HB112" s="15">
        <f>IF(ISNA(VLOOKUP(A112,'Données projet'!$A$279:$I$299,3,0)),0,VLOOKUP(A112,'Données projet'!$A$279:$I$299,3,0))</f>
        <v>0</v>
      </c>
      <c r="HC112" s="15">
        <f>IF(ISNA(VLOOKUP(A112,'Données projet'!$A$279:$I$299,4,0)),0,VLOOKUP(A112,'Données projet'!$A$279:$I$299,4,0))</f>
        <v>0</v>
      </c>
      <c r="HD112" s="16">
        <f>IF(ISNA(VLOOKUP(A112,'Données projet'!$A$279:$I$299,5,0)),0%,VLOOKUP(A112,'Données projet'!$A$279:$I$299,5,0)*VLOOKUP('Données projet'!$B$18,Paramètres!$A$1:$I$89,7,0))</f>
        <v>0</v>
      </c>
      <c r="HE112" s="16">
        <f>IF(ISNA(VLOOKUP(A112,'Données projet'!$A$279:$I$299,6,0)),0%,VLOOKUP(A112,'Données projet'!$A$279:$I$299,6,0)*VLOOKUP('Données projet'!$B$18,Paramètres!$A$1:$I$89,7,0))</f>
        <v>0</v>
      </c>
      <c r="HF112" s="16">
        <f>IF(ISNA(VLOOKUP($A112,'Données projet'!$A$279:$I$299,7,0)),0%,VLOOKUP($A112,'Données projet'!$A$279:$I$299,7,0))</f>
        <v>0</v>
      </c>
      <c r="HG112" s="21">
        <f>EXP(-LN(2)/35)*HG111+(1-EXP(-LN(2)/35))/(LN(2)/35)*HC112*HD112*VLOOKUP('Données projet'!$B$18,Paramètres!$A$1:$I$89,3,0)*0.475*44/12</f>
        <v>132.957403456066</v>
      </c>
      <c r="HH112" s="21">
        <f>EXP(-LN(2)/25)*HH111+(1-EXP(-LN(2)/25))/(LN(2)/25)*Calculateur!HC112*Calculateur!HE112*VLOOKUP('Données projet'!$B$18,Paramètres!$A$1:$I$89,3,0)*0.475*44/12</f>
        <v>10.83877145315568</v>
      </c>
      <c r="HI112" s="21">
        <f>EXP(-LN(2)/2)*HI111+(1-EXP(-LN(2)/2))/(LN(2)/2)*HC112*HF112*VLOOKUP('Données projet'!$B$18,Paramètres!$A$1:$I$89,3,0)*0.475*44/12</f>
        <v>3.688836636795683E-4</v>
      </c>
      <c r="HJ112" s="22">
        <f t="shared" si="149"/>
        <v>143.79654379288536</v>
      </c>
      <c r="HK112" s="74">
        <f>('Scénario référence'!$F$8+'Scénario référence'!$F$9+'Scénario référence'!$B$17+'Scénario référence'!$B$9+'Scénario référence'!$B$10)*70+IF((45+25*(1-EXP(-0.0175*$A112)))&lt;70,'Scénario référence'!$B$16*(45+25*(1-EXP(-0.0175*$A112))),70*'Scénario référence'!$B$16)+IF((32+38*(1-EXP(-0.0175*$A112)))&lt;70,'Scénario référence'!$B$18*(32+38*(1-EXP(-0.0175*$A112))),70*'Scénario référence'!$B$18)</f>
        <v>70</v>
      </c>
      <c r="HL112" s="12">
        <f>IF($A112&gt;30,10,('Scénario référence'!$B$16+'Scénario référence'!$B$17+'Scénario référence'!$B$18+'Scénario référence'!$B$9+'Scénario référence'!$B$10)*$A112*10/30+('Scénario référence'!$F$8+'Scénario référence'!$F$9)*10)</f>
        <v>10</v>
      </c>
      <c r="HM112" s="12" t="e">
        <f>VLOOKUP($A112,'Données projet'!$A$304:$I$324,2,0)</f>
        <v>#N/A</v>
      </c>
      <c r="HN112" s="12" t="e">
        <f>VLOOKUP($A112,'Données projet'!$A$304:$I$324,9,0)</f>
        <v>#N/A</v>
      </c>
      <c r="HO112" s="12">
        <f t="array" ref="HO112">INDEX(HN:HN,MIN(IF(ISNUMBER(HN112:HN308),ROW(HN112:HN308),"")))</f>
        <v>0</v>
      </c>
      <c r="HP112" s="12">
        <f>IF('Données projet'!$A$304&gt;35,HP111+HO112-HX111,IF($A112&lt;'Données projet'!$A$304,$CQ$205^$A112,IF($A112='Données projet'!$A$304,'Données projet'!$B$304,HP111+HO112-HX111)))</f>
        <v>0</v>
      </c>
      <c r="HQ112" s="17">
        <f>HP112*VLOOKUP('Données projet'!$B$19,Paramètres!$A$1:$I$89,3,0)*VLOOKUP('Données projet'!$B$19,Paramètres!$A$1:$I$89,5,0)</f>
        <v>0</v>
      </c>
      <c r="HR112" s="13" t="e">
        <f t="shared" si="202"/>
        <v>#NUM!</v>
      </c>
      <c r="HS112" s="14" t="e">
        <f t="shared" si="150"/>
        <v>#NUM!</v>
      </c>
      <c r="HT112" s="59" t="e">
        <f t="shared" si="151"/>
        <v>#NUM!</v>
      </c>
      <c r="HU112" s="59">
        <f ca="1">AVERAGE(OFFSET(HT$3,0,0,'Données projet'!$E$19+1,1))-AVERAGE(OFFSET($H$3,0,0,'Données projet'!$E$19+1,1))</f>
        <v>91.60721429656013</v>
      </c>
      <c r="HV112" s="59">
        <f t="shared" si="203"/>
        <v>258.94957804210856</v>
      </c>
      <c r="HW112" s="15">
        <f>IF(ISNA(VLOOKUP($A112,'Données projet'!$A$304:$I$324,3,0)),0,VLOOKUP($A112,'Données projet'!$A$304:$I$324,3,0))</f>
        <v>0</v>
      </c>
      <c r="HX112" s="15">
        <f>IF(ISNA(VLOOKUP($A112,'Données projet'!$A$304:$I$324,4,0)),0,VLOOKUP($A112,'Données projet'!$A$304:$I$324,4,0))</f>
        <v>0</v>
      </c>
      <c r="HY112" s="16">
        <f>IF(ISNA(VLOOKUP($A112,'Données projet'!$A$304:$I$324,5,0)),0%,VLOOKUP($A112,'Données projet'!$A$304:$I$324,5,0)*VLOOKUP('Données projet'!$B$19,Paramètres!$A$1:$I$89,7,0))</f>
        <v>0</v>
      </c>
      <c r="HZ112" s="16">
        <f>IF(ISNA(VLOOKUP($A112,'Données projet'!$A$304:$I$324,6,0)),0%,VLOOKUP($A112,'Données projet'!$A$304:$I$324,6,0)*VLOOKUP('Données projet'!$B$19,Paramètres!$A$1:$I$89,7,0))</f>
        <v>0</v>
      </c>
      <c r="IA112" s="16">
        <f>IF(ISNA(VLOOKUP($A112,'Données projet'!$A$304:$I$324,7,0)),0%,VLOOKUP($A112,'Données projet'!$A$304:$I$324,7,0))</f>
        <v>0</v>
      </c>
      <c r="IB112" s="21">
        <f>EXP(-LN(2)/35)*IB111+(1-EXP(-LN(2)/35))/(LN(2)/35)*HX112*HY112*VLOOKUP('Données projet'!$B$19,Paramètres!$A$1:$I$89,3,0)*0.475*44/12</f>
        <v>10.319703563461001</v>
      </c>
      <c r="IC112" s="21">
        <f>EXP(-LN(2)/25)*IC111+(1-EXP(-LN(2)/25))/(LN(2)/25)*Calculateur!HX112*Calculateur!HZ112*VLOOKUP('Données projet'!$B$19,Paramètres!$A$1:$I$89,3,0)*0.475*44/12</f>
        <v>1.0883199072850058</v>
      </c>
      <c r="ID112" s="21">
        <f>EXP(-LN(2)/2)*ID111+(1-EXP(-LN(2)/2))/(LN(2)/2)*HX112*IA112*VLOOKUP('Données projet'!$B$19,Paramètres!$A$1:$I$89,3,0)*0.475*44/12</f>
        <v>7.3681395270351758E-13</v>
      </c>
      <c r="IE112" s="22">
        <f t="shared" si="152"/>
        <v>11.408023470746745</v>
      </c>
      <c r="IF112" s="74">
        <f>('Scénario référence'!$F$8+'Scénario référence'!$F$9+'Scénario référence'!$B$17+'Scénario référence'!$B$9+'Scénario référence'!$B$10)*70+IF((45+25*(1-EXP(-0.0175*$A112)))&lt;70,'Scénario référence'!$B$16*(45+25*(1-EXP(-0.0175*$A112))),70*'Scénario référence'!$B$16)+IF((32+38*(1-EXP(-0.0175*$A112)))&lt;70,'Scénario référence'!$B$18*(32+38*(1-EXP(-0.0175*$A112))),70*'Scénario référence'!$B$18)</f>
        <v>70</v>
      </c>
      <c r="IG112" s="12">
        <f>IF($A112&gt;30,10,('Scénario référence'!$B$16+'Scénario référence'!$B$17+'Scénario référence'!$B$18+'Scénario référence'!$B$9+'Scénario référence'!$B$10)*$A112*10/30+('Scénario référence'!$F$8+'Scénario référence'!$F$9)*10)</f>
        <v>10</v>
      </c>
      <c r="IH112" s="12" t="e">
        <f>VLOOKUP($A112,'Données projet'!$A$330:$I$350,2,0)</f>
        <v>#N/A</v>
      </c>
      <c r="II112" s="12" t="e">
        <f>VLOOKUP($A112,'Données projet'!$A$330:$I$350,9,0)</f>
        <v>#N/A</v>
      </c>
      <c r="IJ112" s="12">
        <f t="array" ref="IJ112">INDEX(II:II,MIN(IF(ISNUMBER(II112:II308),ROW(II112:II308),"")))</f>
        <v>0</v>
      </c>
      <c r="IK112" s="12">
        <f>IF('Données projet'!$A$330&gt;35,IK111+IJ112-IS111,IF($A112&lt;'Données projet'!$A$330,$CQ$205^$A112,IF($A112='Données projet'!$A$330,'Données projet'!$B$330,IK111+IJ112-IS111)))</f>
        <v>0</v>
      </c>
      <c r="IL112" s="17">
        <f>IK112*VLOOKUP('Données projet'!$B$20,Paramètres!$A$1:$I$89,3,0)*VLOOKUP('Données projet'!$B$20,Paramètres!$A$1:$I$89,5,0)</f>
        <v>0</v>
      </c>
      <c r="IM112" s="13" t="e">
        <f t="shared" si="204"/>
        <v>#NUM!</v>
      </c>
      <c r="IN112" s="20" t="e">
        <f t="shared" si="153"/>
        <v>#NUM!</v>
      </c>
      <c r="IO112" s="59" t="e">
        <f t="shared" si="154"/>
        <v>#NUM!</v>
      </c>
      <c r="IP112" s="59">
        <f ca="1">AVERAGE(OFFSET(IO$3,0,0,'Données projet'!$E$20+1,1))-AVERAGE(OFFSET($H$3,0,0,'Données projet'!$E$20+1,1))</f>
        <v>91.60721429656013</v>
      </c>
      <c r="IQ112" s="59">
        <f t="shared" si="205"/>
        <v>258.94957804210856</v>
      </c>
      <c r="IR112" s="15">
        <f>IF(ISNA(VLOOKUP($A112,'Données projet'!$A$330:$I$350,3,0)),0,VLOOKUP($A112,'Données projet'!$A$330:$I$350,3,0))</f>
        <v>0</v>
      </c>
      <c r="IS112" s="15">
        <f>IF(ISNA(VLOOKUP($A112,'Données projet'!$A$330:$I$350,4,0)),0,VLOOKUP($A112,'Données projet'!$A$330:$I$350,4,0))</f>
        <v>0</v>
      </c>
      <c r="IT112" s="16">
        <f>IF(ISNA(VLOOKUP($A112,'Données projet'!$A$330:$I$350,5,0)),0%,VLOOKUP($A112,'Données projet'!$A$330:$I$350,5,0)*VLOOKUP('Données projet'!$B$20,Paramètres!$A$1:$I$89,7,0))</f>
        <v>0</v>
      </c>
      <c r="IU112" s="16">
        <f>IF(ISNA(VLOOKUP($A112,'Données projet'!$A$330:$I$350,6,0)),0%,VLOOKUP($A112,'Données projet'!$A$330:$I$350,6,0)*VLOOKUP('Données projet'!$B$20,Paramètres!$A$1:$I$89,7,0))</f>
        <v>0</v>
      </c>
      <c r="IV112" s="16">
        <f>IF(ISNA(VLOOKUP($A112,'Données projet'!$A$330:$I$350,7,0)),0%,VLOOKUP($A112,'Données projet'!$A$330:$I$350,7,0))</f>
        <v>0</v>
      </c>
      <c r="IW112" s="21">
        <f>EXP(-LN(2)/35)*IW111+(1-EXP(-LN(2)/35))/(LN(2)/35)*IS112*IT112*VLOOKUP('Données projet'!$B$20,Paramètres!$A$1:$I$89,3,0)*0.475*44/12</f>
        <v>10.319703563461001</v>
      </c>
      <c r="IX112" s="21">
        <f>EXP(-LN(2)/25)*IX111+(1-EXP(-LN(2)/25))/(LN(2)/25)*Calculateur!IS112*Calculateur!IU112*VLOOKUP('Données projet'!$B$20,Paramètres!$A$1:$I$89,3,0)*0.475*44/12</f>
        <v>1.0883199072850058</v>
      </c>
      <c r="IY112" s="21">
        <f>EXP(-LN(2)/2)*IY111+(1-EXP(-LN(2)/2))/(LN(2)/2)*IS112*IV112*VLOOKUP('Données projet'!$B$20,Paramètres!$A$1:$I$89,3,0)*0.475*44/12</f>
        <v>7.3681395270351758E-13</v>
      </c>
      <c r="IZ112" s="22">
        <f t="shared" si="155"/>
        <v>11.408023470746745</v>
      </c>
      <c r="JA112" s="74">
        <f>('Scénario référence'!$F$8+'Scénario référence'!$F$9+'Scénario référence'!$B$17+'Scénario référence'!$B$9+'Scénario référence'!$B$10)*70+IF((45+25*(1-EXP(-0.0175*$A112)))&lt;70,'Scénario référence'!$B$16*(45+25*(1-EXP(-0.0175*$A112))),70*'Scénario référence'!$B$16)+IF((32+38*(1-EXP(-0.0175*$A112)))&lt;70,'Scénario référence'!$B$18*(32+38*(1-EXP(-0.0175*$A112))),70*'Scénario référence'!$B$18)</f>
        <v>70</v>
      </c>
      <c r="JB112" s="12">
        <f>IF($A112&gt;30,10,('Scénario référence'!$B$16+'Scénario référence'!$B$17+'Scénario référence'!$B$18+'Scénario référence'!$B$9+'Scénario référence'!$B$10)*$A112*10/30+('Scénario référence'!$F$8+'Scénario référence'!$F$9)*10)</f>
        <v>10</v>
      </c>
      <c r="JC112" s="12" t="e">
        <f>VLOOKUP($A112,'Données projet'!$A$356:$I$376,2,0)</f>
        <v>#N/A</v>
      </c>
      <c r="JD112" s="12" t="e">
        <f>VLOOKUP($A112,'Données projet'!$A$356:$I$376,9,0)</f>
        <v>#N/A</v>
      </c>
      <c r="JE112" s="12">
        <f t="array" ref="JE112">INDEX(JD:JD,MIN(IF(ISNUMBER(JD112:JD308),ROW(JD112:JD308),"")))</f>
        <v>4.2</v>
      </c>
      <c r="JF112" s="12">
        <f>IF('Données projet'!$A$356&gt;35,JF111+JE112-JN111,IF($A112&lt;'Données projet'!$A$356,$CQ$205^$A112,IF($A112='Données projet'!$A$356,'Données projet'!$B$356,JF111+JE112-JN111)))</f>
        <v>413.79999999999939</v>
      </c>
      <c r="JG112" s="17">
        <f>JF112*VLOOKUP('Données projet'!$B$21,Paramètres!$A$1:$I$89,3,0)*VLOOKUP('Données projet'!$B$21,Paramètres!$A$1:$I$89,5,0)</f>
        <v>335.67455999999953</v>
      </c>
      <c r="JH112" s="13">
        <f t="shared" si="206"/>
        <v>78.605618297712269</v>
      </c>
      <c r="JI112" s="20">
        <f t="shared" si="156"/>
        <v>721.53797720184809</v>
      </c>
      <c r="JJ112" s="59">
        <f t="shared" si="157"/>
        <v>1014.8713105351815</v>
      </c>
      <c r="JK112" s="59">
        <f ca="1">AVERAGE(OFFSET($JJ$3,0,0,'Données projet'!$E$22+1,1))-AVERAGE(OFFSET($H$3,0,0,'Données projet'!$E$22+1,1))</f>
        <v>353.35574633294613</v>
      </c>
      <c r="JL112" s="59">
        <f t="shared" si="207"/>
        <v>170.36796666474726</v>
      </c>
      <c r="JM112" s="15">
        <f>IF(ISNA(VLOOKUP($A112,'Données projet'!$A$356:$I$376,3,0)),0,VLOOKUP($A112,'Données projet'!$A$356:$I$376,3,0))</f>
        <v>0</v>
      </c>
      <c r="JN112" s="15">
        <f>IF(ISNA(VLOOKUP($A112,'Données projet'!$A$356:$I$376,4,0)),0,VLOOKUP($A112,'Données projet'!$A$356:$I$376,4,0))</f>
        <v>0</v>
      </c>
      <c r="JO112" s="16">
        <f>IF(ISNA(VLOOKUP($A112,'Données projet'!$A$356:$I$376,5,0)),0%,VLOOKUP($A112,'Données projet'!$A$356:$I$376,5,0)*VLOOKUP('Données projet'!$B$21,Paramètres!$A$1:$I$89,7,0))</f>
        <v>0</v>
      </c>
      <c r="JP112" s="16">
        <f>IF(ISNA(VLOOKUP($A112,'Données projet'!$A$356:$I$376,6,0)),0%,VLOOKUP($A112,'Données projet'!$A$356:$I$376,6,0)*VLOOKUP('Données projet'!$B$21,Paramètres!$A$1:$I$89,7,0))</f>
        <v>0</v>
      </c>
      <c r="JQ112" s="16">
        <f>IF(ISNA(VLOOKUP($A112,'Données projet'!$A$356:$I$376,7,0)),0%,VLOOKUP($A112,'Données projet'!$A$356:$I$376,7,0))</f>
        <v>0</v>
      </c>
      <c r="JR112" s="21">
        <f>EXP(-LN(2)/35)*JR111+(1-EXP(-LN(2)/35))/(LN(2)/35)*JN112*JO112*VLOOKUP('Données projet'!$B$21,Paramètres!$A$1:$I$89,3,0)*0.475*44/12</f>
        <v>3.3955206143123675</v>
      </c>
      <c r="JS112" s="21">
        <f>EXP(-LN(2)/25)*JS111+(1-EXP(-LN(2)/25))/(LN(2)/25)*Calculateur!JN112*Calculateur!JP112*VLOOKUP('Données projet'!$B$21,Paramètres!$A$1:$I$89,3,0)*0.475*44/12</f>
        <v>13.837734004551084</v>
      </c>
      <c r="JT112" s="21">
        <f>EXP(-LN(2)/2)*JT111+(1-EXP(-LN(2)/2))/(LN(2)/2)*JN112*JQ112*VLOOKUP('Données projet'!$B$21,Paramètres!$A$1:$I$89,3,0)*0.475*44/12</f>
        <v>0.17094561714094428</v>
      </c>
      <c r="JU112" s="18">
        <f t="shared" si="158"/>
        <v>17.404200236004396</v>
      </c>
      <c r="JV112" s="74">
        <f>('Scénario référence'!$F$8+'Scénario référence'!$F$9+'Scénario référence'!$B$17+'Scénario référence'!$B$9+'Scénario référence'!$B$10)*70+IF((45+25*(1-EXP(-0.0175*$A112)))&lt;70,'Scénario référence'!$B$16*(45+25*(1-EXP(-0.0175*$A112))),70*'Scénario référence'!$B$16)+IF((32+38*(1-EXP(-0.0175*$A112)))&lt;70,'Scénario référence'!$B$18*(32+38*(1-EXP(-0.0175*$A112))),70*'Scénario référence'!$B$18)</f>
        <v>70</v>
      </c>
      <c r="JW112" s="12">
        <f>IF($A112&gt;30,10,('Scénario référence'!$B$16+'Scénario référence'!$B$17+'Scénario référence'!$B$18+'Scénario référence'!$B$9+'Scénario référence'!$B$10)*$A112*10/30+('Scénario référence'!$F$8+'Scénario référence'!$F$9)*10)</f>
        <v>10</v>
      </c>
      <c r="JX112" s="12">
        <f>VLOOKUP($A112,'Données projet'!$A$382:$I$402,2,0)</f>
        <v>340.16666666666663</v>
      </c>
      <c r="JY112" s="12">
        <f>VLOOKUP($A112,'Données projet'!$A$382:$I$402,9,0)</f>
        <v>6.9935897435897401</v>
      </c>
      <c r="JZ112" s="12">
        <f t="array" ref="JZ112">INDEX(JY:JY,MIN(IF(ISNUMBER(JY112:JY308),ROW(JY112:JY308),"")))</f>
        <v>6.9935897435897401</v>
      </c>
      <c r="KA112" s="12">
        <f>IF('Données projet'!$A$382&gt;35,KA111+JZ112-KI111,IF($A112&lt;'Données projet'!$A$382,$CQ$205^$A112,IF($A112='Données projet'!$A$382,'Données projet'!$B$382,KA111+JZ112-KI111)))</f>
        <v>340.16666666666691</v>
      </c>
      <c r="KB112" s="17">
        <f>KA112*VLOOKUP('Données projet'!$B$22,Paramètres!$A$1:$I$89,3,0)*VLOOKUP('Données projet'!$B$22,Paramètres!$A$1:$I$89,5,0)</f>
        <v>228.18380000000016</v>
      </c>
      <c r="KC112" s="13">
        <f t="shared" si="208"/>
        <v>55.889795617441671</v>
      </c>
      <c r="KD112" s="20">
        <f t="shared" si="159"/>
        <v>494.76151236704442</v>
      </c>
      <c r="KE112" s="59">
        <f t="shared" si="160"/>
        <v>788.09484570037773</v>
      </c>
      <c r="KF112" s="59">
        <f ca="1">AVERAGE(OFFSET($KE$3,0,0,'Données projet'!$E$22+1,1))-AVERAGE(OFFSET($H$3,0,0,'Données projet'!$E$22+1,1))</f>
        <v>193.91714772848269</v>
      </c>
      <c r="KG112" s="59">
        <f t="shared" si="209"/>
        <v>159.20429420478047</v>
      </c>
      <c r="KH112" s="15">
        <f>IF(ISNA(VLOOKUP($A112,'Données projet'!$A$382:$I$402,3,0)),0,VLOOKUP($A112,'Données projet'!$A$382:$I$402,3,0))</f>
        <v>10</v>
      </c>
      <c r="KI112" s="15">
        <f>IF(ISNA(VLOOKUP($A112,'Données projet'!$A$382:$I$402,4,0)),0,VLOOKUP($A112,'Données projet'!$A$382:$I$402,4,0))</f>
        <v>51.28846153846154</v>
      </c>
      <c r="KJ112" s="16">
        <f>IF(ISNA(VLOOKUP($A112,'Données projet'!$A$382:$I$402,5,0)),0%,VLOOKUP($A112,'Données projet'!$A$382:$I$402,5,0)*VLOOKUP('Données projet'!$B$22,Paramètres!$A$1:$I$89,7,0))</f>
        <v>0.47700000000000004</v>
      </c>
      <c r="KK112" s="16">
        <f>IF(ISNA(VLOOKUP($A112,'Données projet'!$A$382:$I$402,6,0)),0%,VLOOKUP($A112,'Données projet'!$A$382:$I$402,6,0)*VLOOKUP('Données projet'!$B$22,Paramètres!$A$1:$I$89,7,0))</f>
        <v>0</v>
      </c>
      <c r="KL112" s="16">
        <f>IF(ISNA(VLOOKUP($A112,'Données projet'!$A$382:$I$402,7,0)),0%,VLOOKUP($A112,'Données projet'!$A$382:$I$402,7,0))</f>
        <v>0</v>
      </c>
      <c r="KM112" s="21">
        <f>EXP(-LN(2)/35)*KM111+(1-EXP(-LN(2)/35))/(LN(2)/35)*KI112*KJ112*VLOOKUP('Données projet'!$B$22,Paramètres!$A$1:$I$89,3,0)*0.475*44/12</f>
        <v>54.981218000639501</v>
      </c>
      <c r="KN112" s="21">
        <f>EXP(-LN(2)/25)*KN111+(1-EXP(-LN(2)/25))/(LN(2)/25)*Calculateur!KI112*Calculateur!KK112*VLOOKUP('Données projet'!$B$22,Paramètres!$A$1:$I$89,3,0)*0.475*44/12</f>
        <v>0</v>
      </c>
      <c r="KO112" s="21">
        <f>EXP(-LN(2)/2)*KO111+(1-EXP(-LN(2)/2))/(LN(2)/2)*KI112*KL112*VLOOKUP('Données projet'!$B$22,Paramètres!$A$1:$I$89,3,0)*0.475*44/12</f>
        <v>0</v>
      </c>
      <c r="KP112" s="22">
        <f t="shared" si="161"/>
        <v>54.981218000639501</v>
      </c>
      <c r="KQ112" s="74">
        <f>('Scénario référence'!$F$8+'Scénario référence'!$F$9+'Scénario référence'!$B$17+'Scénario référence'!$B$9+'Scénario référence'!$B$10)*70+IF((45+25*(1-EXP(-0.0175*$A112)))&lt;70,'Scénario référence'!$B$16*(45+25*(1-EXP(-0.0175*$A112))),70*'Scénario référence'!$B$16)+IF((32+38*(1-EXP(-0.0175*$A112)))&lt;70,'Scénario référence'!$B$18*(32+38*(1-EXP(-0.0175*$A112))),70*'Scénario référence'!$B$18)</f>
        <v>70</v>
      </c>
      <c r="KR112" s="12">
        <f>IF($A112&gt;30,10,('Scénario référence'!$B$16+'Scénario référence'!$B$17+'Scénario référence'!$B$18+'Scénario référence'!$B$9+'Scénario référence'!$B$10)*$A112*10/30+('Scénario référence'!$F$8+'Scénario référence'!$F$9)*10)</f>
        <v>10</v>
      </c>
      <c r="KS112" s="12" t="e">
        <f>VLOOKUP($A112,'Données projet'!$A$408:$I$428,2,0)</f>
        <v>#N/A</v>
      </c>
      <c r="KT112" s="12" t="e">
        <f>VLOOKUP($A112,'Données projet'!$A$408:$I$428,9,0)</f>
        <v>#N/A</v>
      </c>
      <c r="KU112" s="12">
        <f t="array" ref="KU112">INDEX(KT:KT,MIN(IF(ISNUMBER(KT112:KT308),ROW(KT112:KT308),"")))</f>
        <v>0</v>
      </c>
      <c r="KV112" s="12">
        <f>IF('Données projet'!$A$408&gt;35,KV111+KU112-LD111,IF($A112&lt;'Données projet'!$A$408,$CQ$205^$A112,IF($A112='Données projet'!$A$408,'Données projet'!$B$408,KV111+KU112-LD111)))</f>
        <v>-1.1368683772161603E-13</v>
      </c>
      <c r="KW112" s="17">
        <f>KV112*VLOOKUP('Données projet'!$B$23,Paramètres!$A$1:$I$89,3,0)*VLOOKUP('Données projet'!$B$23,Paramètres!$A$1:$I$89,5,0)</f>
        <v>-9.9316821433603781E-14</v>
      </c>
      <c r="KX112" s="13" t="e">
        <f t="shared" si="210"/>
        <v>#NUM!</v>
      </c>
      <c r="KY112" s="14" t="e">
        <f t="shared" si="162"/>
        <v>#NUM!</v>
      </c>
      <c r="KZ112" s="59" t="e">
        <f t="shared" si="163"/>
        <v>#NUM!</v>
      </c>
      <c r="LA112" s="59">
        <f ca="1">AVERAGE(OFFSET($KZ$3,0,0,'Données projet'!$E$23+1,1))-AVERAGE(OFFSET($H$3,0,0,'Données projet'!$E$23+1,1))</f>
        <v>248.33596943633819</v>
      </c>
      <c r="LB112" s="59">
        <f t="shared" si="211"/>
        <v>242.34010522344573</v>
      </c>
      <c r="LC112" s="15">
        <f>IF(ISNA(VLOOKUP($A112,'Données projet'!$A$408:$I$428,3,0)),0,VLOOKUP($A112,'Données projet'!$A$408:$I$428,3,0))</f>
        <v>0</v>
      </c>
      <c r="LD112" s="15">
        <f>IF(ISNA(VLOOKUP($A112,'Données projet'!$A$408:$I$428,4,0)),0,VLOOKUP($A112,'Données projet'!$A$408:$I$428,4,0))</f>
        <v>0</v>
      </c>
      <c r="LE112" s="16">
        <f>IF(ISNA(VLOOKUP($A112,'Données projet'!$A$408:$I$428,5,0)),0%,VLOOKUP($A112,'Données projet'!$A$408:$I$428,5,0)*VLOOKUP('Données projet'!$B$23,Paramètres!$A$1:$I$89,7,0))</f>
        <v>0</v>
      </c>
      <c r="LF112" s="16">
        <f>IF(ISNA(VLOOKUP($A112,'Données projet'!$A$408:$I$428,6,0)),0%,VLOOKUP($A112,'Données projet'!$A$408:$I$428,6,0)*VLOOKUP('Données projet'!$B$23,Paramètres!$A$1:$I$89,7,0))</f>
        <v>0</v>
      </c>
      <c r="LG112" s="16">
        <f>IF(ISNA(VLOOKUP($A112,'Données projet'!$A$408:$I$428,7,0)),0%,VLOOKUP($A112,'Données projet'!$A$408:$I$428,7,0))</f>
        <v>0</v>
      </c>
      <c r="LH112" s="21">
        <f>EXP(-LN(2)/35)*LH111+(1-EXP(-LN(2)/35))/(LN(2)/35)*LD112*LE112*VLOOKUP('Données projet'!$B$23,Paramètres!$A$1:$I$89,3,0)*0.475*44/12</f>
        <v>69.383750124563704</v>
      </c>
      <c r="LI112" s="21">
        <f>EXP(-LN(2)/25)*LI111+(1-EXP(-LN(2)/25))/(LN(2)/25)*Calculateur!LD112*Calculateur!LF112*VLOOKUP('Données projet'!$B$23,Paramètres!$A$1:$I$89,3,0)*0.475*44/12</f>
        <v>9.7455290546979096</v>
      </c>
      <c r="LJ112" s="21">
        <f>EXP(-LN(2)/2)*LJ111+(1-EXP(-LN(2)/2))/(LN(2)/2)*LD112*LG112*VLOOKUP('Données projet'!$B$23,Paramètres!$A$1:$I$89,3,0)*0.475*44/12</f>
        <v>0</v>
      </c>
      <c r="LK112" s="22">
        <f t="shared" si="164"/>
        <v>79.129279179261616</v>
      </c>
      <c r="LL112" s="74">
        <f>('Scénario référence'!$F$8+'Scénario référence'!$F$9+'Scénario référence'!$B$17+'Scénario référence'!$B$9+'Scénario référence'!$B$10)*70+IF((45+25*(1-EXP(-0.0175*$A112)))&lt;70,'Scénario référence'!$B$16*(45+25*(1-EXP(-0.0175*$A112))),70*'Scénario référence'!$B$16)+IF((32+38*(1-EXP(-0.0175*$A112)))&lt;70,'Scénario référence'!$B$18*(32+38*(1-EXP(-0.0175*$A112))),70*'Scénario référence'!$B$18)</f>
        <v>70</v>
      </c>
      <c r="LM112" s="12">
        <f>IF($A112&gt;30,10,('Scénario référence'!$B$16+'Scénario référence'!$B$17+'Scénario référence'!$B$18+'Scénario référence'!$B$9+'Scénario référence'!$B$10)*$A112*10/30+('Scénario référence'!$F$8+'Scénario référence'!$F$9)*10)</f>
        <v>10</v>
      </c>
      <c r="LN112" s="12" t="e">
        <f>VLOOKUP($A112,'Données projet'!$A$434:$I$454,2,0)</f>
        <v>#N/A</v>
      </c>
      <c r="LO112" s="12" t="e">
        <f>VLOOKUP($A112,'Données projet'!$A$434:$I$454,9,0)</f>
        <v>#N/A</v>
      </c>
      <c r="LP112" s="12">
        <f t="array" ref="LP112">INDEX(LO:LO,MIN(IF(ISNUMBER(LO112:LO308),ROW(LO112:LO308),"")))</f>
        <v>5.0961538461538449</v>
      </c>
      <c r="LQ112" s="12">
        <f>IF('Données projet'!$A$434&gt;35,LQ111+LP112-LY111,IF($A112&lt;'Données projet'!$A$434,$CQ$205^$A112,IF($A112='Données projet'!$A$434,'Données projet'!$B$434,LQ111+LP112-LY111)))</f>
        <v>225.833333333333</v>
      </c>
      <c r="LR112" s="17">
        <f>LQ112*VLOOKUP('Données projet'!$B$24,Paramètres!$A$1:$I$89,3,0)*VLOOKUP('Données projet'!$B$24,Paramètres!$A$1:$I$89,5,0)</f>
        <v>228.99499999999969</v>
      </c>
      <c r="LS112" s="13">
        <f t="shared" si="212"/>
        <v>56.065321681745388</v>
      </c>
      <c r="LT112" s="14">
        <f t="shared" si="165"/>
        <v>496.48006026237272</v>
      </c>
      <c r="LU112" s="59">
        <f t="shared" si="166"/>
        <v>789.81339359570597</v>
      </c>
      <c r="LV112" s="59">
        <f ca="1">AVERAGE(OFFSET($LU$3,0,0,'Données projet'!$E$24+1,1))-AVERAGE(OFFSET($H$3,0,0,'Données projet'!$E$24+1,1))</f>
        <v>260.52627655062872</v>
      </c>
      <c r="LW112" s="59">
        <f t="shared" si="213"/>
        <v>159.20429420478047</v>
      </c>
      <c r="LX112" s="15">
        <f>IF(ISNA(VLOOKUP($A112,'Données projet'!$A$434:$I$454,3,0)),0,VLOOKUP($A112,'Données projet'!$A$434:$I$454,3,0))</f>
        <v>0</v>
      </c>
      <c r="LY112" s="15">
        <f>IF(ISNA(VLOOKUP($A112,'Données projet'!$A$434:$I$454,4,0)),0,VLOOKUP($A112,'Données projet'!$A$434:$I$454,4,0))</f>
        <v>0</v>
      </c>
      <c r="LZ112" s="16">
        <f>IF(ISNA(VLOOKUP($A112,'Données projet'!$A$434:$I$454,5,0)),0%,VLOOKUP($A112,'Données projet'!$A$434:$I$454,5,0)*VLOOKUP('Données projet'!$B$24,Paramètres!$A$1:$I$89,7,0))</f>
        <v>0</v>
      </c>
      <c r="MA112" s="16">
        <f>IF(ISNA(VLOOKUP($A112,'Données projet'!$A$434:$I$454,6,0)),0%,VLOOKUP($A112,'Données projet'!$A$434:$I$454,6,0)*VLOOKUP('Données projet'!$B$24,Paramètres!$A$1:$I$89,7,0))</f>
        <v>0</v>
      </c>
      <c r="MB112" s="16">
        <f>IF(ISNA(VLOOKUP($A112,'Données projet'!$A$434:$I$454,7,0)),0%,VLOOKUP($A112,'Données projet'!$A$434:$I$454,7,0))</f>
        <v>0</v>
      </c>
      <c r="MC112" s="21">
        <f>EXP(-LN(2)/35)*MC111+(1-EXP(-LN(2)/35))/(LN(2)/35)*LY112*LZ112*VLOOKUP('Données projet'!$B$24,Paramètres!$A$1:$I$89,3,0)*0.475*44/12</f>
        <v>31.766853805678576</v>
      </c>
      <c r="MD112" s="21">
        <f>EXP(-LN(2)/25)*MD111+(1-EXP(-LN(2)/25))/(LN(2)/25)*Calculateur!LY112*Calculateur!MA112*VLOOKUP('Données projet'!$B$24,Paramètres!$A$1:$I$89,3,0)*0.475*44/12</f>
        <v>0</v>
      </c>
      <c r="ME112" s="21">
        <f>EXP(-LN(2)/2)*ME111+(1-EXP(-LN(2)/2))/(LN(2)/2)*LY112*MB112*VLOOKUP('Données projet'!$B$24,Paramètres!$A$1:$I$89,3,0)*0.475*44/12</f>
        <v>0</v>
      </c>
      <c r="MF112" s="22">
        <f t="shared" si="167"/>
        <v>31.766853805678576</v>
      </c>
      <c r="MG112" s="74">
        <f>('Scénario référence'!$F$8+'Scénario référence'!$F$9+'Scénario référence'!$B$17+'Scénario référence'!$B$9+'Scénario référence'!$B$10)*70+IF((45+25*(1-EXP(-0.0175*$A112)))&lt;70,'Scénario référence'!$B$16*(45+25*(1-EXP(-0.0175*$A112))),70*'Scénario référence'!$B$16)+IF((32+38*(1-EXP(-0.0175*$A112)))&lt;70,'Scénario référence'!$B$18*(32+38*(1-EXP(-0.0175*$A112))),70*'Scénario référence'!$B$18)</f>
        <v>70</v>
      </c>
      <c r="MH112" s="12">
        <f>IF($A112&gt;30,10,('Scénario référence'!$B$16+'Scénario référence'!$B$17+'Scénario référence'!$B$18+'Scénario référence'!$B$9+'Scénario référence'!$B$10)*$A112*10/30+('Scénario référence'!$F$8+'Scénario référence'!$F$9)*10)</f>
        <v>10</v>
      </c>
      <c r="MI112" s="12" t="e">
        <f>VLOOKUP($A112,'Données projet'!$A$460:$I$480,2,0)</f>
        <v>#N/A</v>
      </c>
      <c r="MJ112" s="12" t="e">
        <f>VLOOKUP($A112,'Données projet'!$A$460:$I$480,9,0)</f>
        <v>#N/A</v>
      </c>
      <c r="MK112" s="12">
        <f t="array" ref="MK112">INDEX(MJ:MJ,MIN(IF(ISNUMBER(MJ112:MJ308),ROW(MJ112:MJ308),"")))</f>
        <v>0</v>
      </c>
      <c r="ML112" s="12">
        <f>IF('Données projet'!$A$460&gt;35,ML111+MK112-MT111,IF($A112&lt;'Données projet'!$A$460,$CQ$205^$A112,IF($A112='Données projet'!$A$460,'Données projet'!$B$460,ML111+MK112-MT111)))</f>
        <v>0</v>
      </c>
      <c r="MM112" s="17" t="e">
        <f>ML112*VLOOKUP('Données projet'!$B$25,Paramètres!$A$1:$I$89,3,0)*VLOOKUP('Données projet'!$B$25,Paramètres!$A$1:$I$89,5,0)</f>
        <v>#N/A</v>
      </c>
      <c r="MN112" s="13" t="e">
        <f t="shared" si="214"/>
        <v>#N/A</v>
      </c>
      <c r="MO112" s="14" t="e">
        <f t="shared" si="168"/>
        <v>#N/A</v>
      </c>
      <c r="MP112" s="59" t="e">
        <f t="shared" si="169"/>
        <v>#N/A</v>
      </c>
      <c r="MQ112" s="20" t="e">
        <f ca="1">AVERAGE(OFFSET($MP$3,0,0,'Données projet'!$E$25+1,1))-AVERAGE(OFFSET($H$3,0,0,'Données projet'!$E$25+1,1))</f>
        <v>#N/A</v>
      </c>
      <c r="MR112" s="59" t="e">
        <f t="shared" si="215"/>
        <v>#N/A</v>
      </c>
      <c r="MS112" s="15">
        <f>IF(ISNA(VLOOKUP($A112,'Données projet'!$A$460:$I$480,3,0)),0,VLOOKUP($A112,'Données projet'!$A$460:$I$480,3,0))</f>
        <v>0</v>
      </c>
      <c r="MT112" s="15">
        <f>IF(ISNA(VLOOKUP($A112,'Données projet'!$A$460:$I$480,4,0)),0,VLOOKUP($A112,'Données projet'!$A$460:$I$480,4,0))</f>
        <v>0</v>
      </c>
      <c r="MU112" s="16">
        <f>IF(ISNA(VLOOKUP($A112,'Données projet'!$A$460:$I$480,5,0)),0%,VLOOKUP($A112,'Données projet'!$A$460:$I$480,5,0)*VLOOKUP('Données projet'!$B$25,Paramètres!$A$1:$I$89,7,0))</f>
        <v>0</v>
      </c>
      <c r="MV112" s="16">
        <f>IF(ISNA(VLOOKUP($A112,'Données projet'!$A$460:$I$480,6,0)),0%,VLOOKUP($A112,'Données projet'!$A$460:$I$480,6,0)*VLOOKUP('Données projet'!$B$25,Paramètres!$A$1:$I$89,7,0))</f>
        <v>0</v>
      </c>
      <c r="MW112" s="16">
        <f>IF(ISNA(VLOOKUP($A112,'Données projet'!$A$460:$I$480,7,0)),0%,VLOOKUP($A112,'Données projet'!$A$460:$I$480,7,0))</f>
        <v>0</v>
      </c>
      <c r="MX112" s="21" t="e">
        <f>EXP(-LN(2)/35)*MX111+(1-EXP(-LN(2)/35))/(LN(2)/35)*MT112*MU112*VLOOKUP('Données projet'!$B$25,Paramètres!$A$1:$I$89,3,0)*0.475*44/12</f>
        <v>#N/A</v>
      </c>
      <c r="MY112" s="21" t="e">
        <f>EXP(-LN(2)/25)*MY111+(1-EXP(-LN(2)/25))/(LN(2)/25)*Calculateur!MT112*Calculateur!MV112*VLOOKUP('Données projet'!$B$25,Paramètres!$A$1:$I$89,3,0)*0.475*44/12</f>
        <v>#N/A</v>
      </c>
      <c r="MZ112" s="21" t="e">
        <f>EXP(-LN(2)/2)*MZ111+(1-EXP(-LN(2)/2))/(LN(2)/2)*MT112*MW112*VLOOKUP('Données projet'!$B$25,Paramètres!$A$1:$I$89,3,0)*0.475*44/12</f>
        <v>#N/A</v>
      </c>
      <c r="NA112" s="22" t="e">
        <f t="shared" si="170"/>
        <v>#N/A</v>
      </c>
      <c r="NB112" s="74">
        <f>('Scénario référence'!$F$8+'Scénario référence'!$F$9+'Scénario référence'!$B$17+'Scénario référence'!$B$9+'Scénario référence'!$B$10)*70+IF((45+25*(1-EXP(-0.0175*$A112)))&lt;70,'Scénario référence'!$B$16*(45+25*(1-EXP(-0.0175*$A112))),70*'Scénario référence'!$B$16)+IF((32+38*(1-EXP(-0.0175*$A112)))&lt;70,'Scénario référence'!$B$18*(32+38*(1-EXP(-0.0175*$A112))),70*'Scénario référence'!$B$18)</f>
        <v>70</v>
      </c>
      <c r="NC112" s="12">
        <f>IF($A112&gt;30,10,('Scénario référence'!$B$16+'Scénario référence'!$B$17+'Scénario référence'!$B$18+'Scénario référence'!$B$9+'Scénario référence'!$B$10)*$A112*10/30+('Scénario référence'!$F$8+'Scénario référence'!$F$9)*10)</f>
        <v>10</v>
      </c>
      <c r="ND112" s="12" t="e">
        <f>VLOOKUP($A112,'Données projet'!$A$486:$I$506,2,0)</f>
        <v>#N/A</v>
      </c>
      <c r="NE112" s="12" t="e">
        <f>VLOOKUP($A112,'Données projet'!$A$486:$I$506,9,0)</f>
        <v>#N/A</v>
      </c>
      <c r="NF112" s="12">
        <f t="array" ref="NF112">INDEX(NE:NE,MIN(IF(ISNUMBER(NE112:NE308),ROW(NE112:NE308),"")))</f>
        <v>0</v>
      </c>
      <c r="NG112" s="12">
        <f>IF('Données projet'!$A$486&gt;35,NG111+NF112-NO111,IF($A112&lt;'Données projet'!$A$486,$CQ$205^$A112,IF($A112='Données projet'!$A$486,'Données projet'!$B$486,NG111+NF112-NO111)))</f>
        <v>0</v>
      </c>
      <c r="NH112" s="17" t="e">
        <f>NG112*VLOOKUP('Données projet'!$B$26,Paramètres!$A$1:$I$89,3,0)*VLOOKUP('Données projet'!$B$26,Paramètres!$A$1:$I$89,5,0)</f>
        <v>#N/A</v>
      </c>
      <c r="NI112" s="13" t="e">
        <f t="shared" si="216"/>
        <v>#N/A</v>
      </c>
      <c r="NJ112" s="14" t="e">
        <f t="shared" si="171"/>
        <v>#N/A</v>
      </c>
      <c r="NK112" s="59" t="e">
        <f t="shared" si="172"/>
        <v>#N/A</v>
      </c>
      <c r="NL112" s="20" t="e">
        <f ca="1">AVERAGE(OFFSET($NK$3,0,0,'Données projet'!$E$26+1,1))-AVERAGE(OFFSET($H$3,0,0,'Données projet'!$E$26+1,1))</f>
        <v>#N/A</v>
      </c>
      <c r="NM112" s="59" t="e">
        <f t="shared" si="217"/>
        <v>#N/A</v>
      </c>
      <c r="NN112" s="15">
        <f>IF(ISNA(VLOOKUP($A112,'Données projet'!$A$486:$I$506,3,0)),0,VLOOKUP($A112,'Données projet'!$A$486:$I$506,3,0))</f>
        <v>0</v>
      </c>
      <c r="NO112" s="15">
        <f>IF(ISNA(VLOOKUP($A112,'Données projet'!$A$486:$I$506,4,0)),0,VLOOKUP($A112,'Données projet'!$A$486:$I$506,4,0))</f>
        <v>0</v>
      </c>
      <c r="NP112" s="16">
        <f>IF(ISNA(VLOOKUP($A112,'Données projet'!$A$486:$I$506,5,0)),0%,VLOOKUP($A112,'Données projet'!$A$486:$I$506,5,0)*VLOOKUP('Données projet'!$B$26,Paramètres!$A$1:$I$89,7,0))</f>
        <v>0</v>
      </c>
      <c r="NQ112" s="16">
        <f>IF(ISNA(VLOOKUP($A112,'Données projet'!$A$486:$I$506,6,0)),0%,VLOOKUP($A112,'Données projet'!$A$486:$I$506,6,0)*VLOOKUP('Données projet'!$B$26,Paramètres!$A$1:$I$89,7,0))</f>
        <v>0</v>
      </c>
      <c r="NR112" s="16">
        <f>IF(ISNA(VLOOKUP($A112,'Données projet'!$A$486:$I$506,7,0)),0%,VLOOKUP($A112,'Données projet'!$A$486:$I$506,7,0))</f>
        <v>0</v>
      </c>
      <c r="NS112" s="21" t="e">
        <f>EXP(-LN(2)/35)*NS111+(1-EXP(-LN(2)/35))/(LN(2)/35)*NO112*NP112*VLOOKUP('Données projet'!$B$26,Paramètres!$A$1:$I$89,3,0)*0.475*44/12</f>
        <v>#N/A</v>
      </c>
      <c r="NT112" s="21" t="e">
        <f>EXP(-LN(2)/25)*NT111+(1-EXP(-LN(2)/25))/(LN(2)/25)*Calculateur!NO112*Calculateur!NQ112*VLOOKUP('Données projet'!$B$26,Paramètres!$A$1:$I$89,3,0)*0.475*44/12</f>
        <v>#N/A</v>
      </c>
      <c r="NU112" s="21" t="e">
        <f>EXP(-LN(2)/2)*NU111+(1-EXP(-LN(2)/2))/(LN(2)/2)*NO112*NR112*VLOOKUP('Données projet'!$B$26,Paramètres!$A$1:$I$89,3,0)*0.475*44/12</f>
        <v>#N/A</v>
      </c>
      <c r="NV112" s="22" t="e">
        <f t="shared" si="173"/>
        <v>#N/A</v>
      </c>
      <c r="NW112" s="74">
        <f>('Scénario référence'!$F$8+'Scénario référence'!$F$9+'Scénario référence'!$B$17+'Scénario référence'!$B$9+'Scénario référence'!$B$10)*70+IF((45+25*(1-EXP(-0.0175*$A112)))&lt;70,'Scénario référence'!$B$16*(45+25*(1-EXP(-0.0175*$A112))),70*'Scénario référence'!$B$16)+IF((32+38*(1-EXP(-0.0175*$A112)))&lt;70,'Scénario référence'!$B$18*(32+38*(1-EXP(-0.0175*$A112))),70*'Scénario référence'!$B$18)</f>
        <v>70</v>
      </c>
      <c r="NX112" s="12">
        <f>IF($A112&gt;30,10,('Scénario référence'!$B$16+'Scénario référence'!$B$17+'Scénario référence'!$B$18+'Scénario référence'!$B$9+'Scénario référence'!$B$10)*$A112*10/30+('Scénario référence'!$F$8+'Scénario référence'!$F$9)*10)</f>
        <v>10</v>
      </c>
      <c r="NY112" s="12" t="e">
        <f>VLOOKUP($A112,'Données projet'!$A$512:$I$532,2,0)</f>
        <v>#N/A</v>
      </c>
      <c r="NZ112" s="12" t="e">
        <f>VLOOKUP($A112,'Données projet'!$A$512:$I$532,9,0)</f>
        <v>#N/A</v>
      </c>
      <c r="OA112" s="12">
        <f t="array" ref="OA112">INDEX(NZ:NZ,MIN(IF(ISNUMBER(NZ112:NZ308),ROW(NZ112:NZ308),"")))</f>
        <v>0</v>
      </c>
      <c r="OB112" s="12">
        <f>IF('Données projet'!$A$512&gt;35,OB111+OA112-OJ111,IF($A112&lt;'Données projet'!$A$512,$CQ$205^$A112,IF($A112='Données projet'!$A$512,'Données projet'!$B$512,OB111+OA112-OJ111)))</f>
        <v>0</v>
      </c>
      <c r="OC112" s="17" t="e">
        <f>OB112*VLOOKUP('Données projet'!$B$27,Paramètres!$A$1:$I$89,3,0)*VLOOKUP('Données projet'!$B$27,Paramètres!$A$1:$I$89,5,0)</f>
        <v>#N/A</v>
      </c>
      <c r="OD112" s="13" t="e">
        <f t="shared" si="218"/>
        <v>#N/A</v>
      </c>
      <c r="OE112" s="14" t="e">
        <f t="shared" si="174"/>
        <v>#N/A</v>
      </c>
      <c r="OF112" s="59" t="e">
        <f t="shared" si="175"/>
        <v>#N/A</v>
      </c>
      <c r="OG112" s="20" t="e">
        <f ca="1">AVERAGE(OFFSET($OF$3,0,0,'Données projet'!$E$27+1,1))-AVERAGE(OFFSET($H$3,0,0,'Données projet'!$E$27+1,1))</f>
        <v>#N/A</v>
      </c>
      <c r="OH112" s="59" t="e">
        <f t="shared" si="219"/>
        <v>#N/A</v>
      </c>
      <c r="OI112" s="15">
        <f>IF(ISNA(VLOOKUP($A112,'Données projet'!$A$512:$I$532,3,0)),0,VLOOKUP($A112,'Données projet'!$A$512:$I$532,3,0))</f>
        <v>0</v>
      </c>
      <c r="OJ112" s="15">
        <f>IF(ISNA(VLOOKUP($A112,'Données projet'!$A$512:$I$532,4,0)),0,VLOOKUP($A112,'Données projet'!$A$512:$I$532,4,0))</f>
        <v>0</v>
      </c>
      <c r="OK112" s="16">
        <f>IF(ISNA(VLOOKUP($A112,'Données projet'!$A$512:$I$532,5,0)),0%,VLOOKUP($A112,'Données projet'!$A$512:$I$532,5,0)*VLOOKUP('Données projet'!$B$27,Paramètres!$A$1:$I$89,7,0))</f>
        <v>0</v>
      </c>
      <c r="OL112" s="16">
        <f>IF(ISNA(VLOOKUP($A112,'Données projet'!$A$512:$I$532,6,0)),0%,VLOOKUP($A112,'Données projet'!$A$512:$I$532,6,0)*VLOOKUP('Données projet'!$B$27,Paramètres!$A$1:$I$89,7,0))</f>
        <v>0</v>
      </c>
      <c r="OM112" s="16">
        <f>IF(ISNA(VLOOKUP($A112,'Données projet'!$A$512:$I$532,7,0)),0%,VLOOKUP($A112,'Données projet'!$A$512:$I$532,7,0))</f>
        <v>0</v>
      </c>
      <c r="ON112" s="21" t="e">
        <f>EXP(-LN(2)/35)*ON111+(1-EXP(-LN(2)/35))/(LN(2)/35)*OJ112*OK112*VLOOKUP('Données projet'!$B$27,Paramètres!$A$1:$I$89,3,0)*0.475*44/12</f>
        <v>#N/A</v>
      </c>
      <c r="OO112" s="21" t="e">
        <f>EXP(-LN(2)/25)*OO111+(1-EXP(-LN(2)/25))/(LN(2)/25)*Calculateur!OJ112*Calculateur!OL112*VLOOKUP('Données projet'!$B$27,Paramètres!$A$1:$I$89,3,0)*0.475*44/12</f>
        <v>#N/A</v>
      </c>
      <c r="OP112" s="21" t="e">
        <f>EXP(-LN(2)/2)*OP111+(1-EXP(-LN(2)/2))/(LN(2)/2)*OJ112*OM112*VLOOKUP('Données projet'!$B$27,Paramètres!$A$1:$I$89,3,0)*0.475*44/12</f>
        <v>#N/A</v>
      </c>
      <c r="OQ112" s="22" t="e">
        <f t="shared" si="176"/>
        <v>#N/A</v>
      </c>
      <c r="OR112" s="74">
        <f>('Scénario référence'!$F$8+'Scénario référence'!$F$9+'Scénario référence'!$B$17+'Scénario référence'!$B$9+'Scénario référence'!$B$10)*70+IF((45+25*(1-EXP(-0.0175*$A112)))&lt;70,'Scénario référence'!$B$16*(45+25*(1-EXP(-0.0175*$A112))),70*'Scénario référence'!$B$16)+IF((32+38*(1-EXP(-0.0175*$A112)))&lt;70,'Scénario référence'!$B$18*(32+38*(1-EXP(-0.0175*$A112))),70*'Scénario référence'!$B$18)</f>
        <v>70</v>
      </c>
      <c r="OS112" s="12">
        <f>IF($A112&gt;30,10,('Scénario référence'!$B$16+'Scénario référence'!$B$17+'Scénario référence'!$B$18+'Scénario référence'!$B$9+'Scénario référence'!$B$10)*$A112*10/30+('Scénario référence'!$F$8+'Scénario référence'!$F$9)*10)</f>
        <v>10</v>
      </c>
      <c r="OT112" s="12" t="e">
        <f>VLOOKUP($A112,'Données projet'!$A$538:$I$558,2,0)</f>
        <v>#N/A</v>
      </c>
      <c r="OU112" s="12" t="e">
        <f>VLOOKUP($A112,'Données projet'!$A$538:$I$558,9,0)</f>
        <v>#N/A</v>
      </c>
      <c r="OV112" s="12">
        <f t="array" ref="OV112">INDEX(OU:OU,MIN(IF(ISNUMBER(OU112:OU308),ROW(OU112:OU308),"")))</f>
        <v>0</v>
      </c>
      <c r="OW112" s="12">
        <f>IF('Données projet'!$A$538&gt;35,OW111+OV112-PE111,IF($A112&lt;'Données projet'!$A$538,$CQ$205^$A112,IF($A112='Données projet'!$A$538,'Données projet'!$B$538,OW111+OV112-PE111)))</f>
        <v>0</v>
      </c>
      <c r="OX112" s="17" t="e">
        <f>OW112*VLOOKUP('Données projet'!$B$28,Paramètres!$A$1:$I$89,3,0)*VLOOKUP('Données projet'!$B$28,Paramètres!$A$1:$I$89,5,0)</f>
        <v>#N/A</v>
      </c>
      <c r="OY112" s="13" t="e">
        <f t="shared" si="220"/>
        <v>#N/A</v>
      </c>
      <c r="OZ112" s="14" t="e">
        <f t="shared" si="177"/>
        <v>#N/A</v>
      </c>
      <c r="PA112" s="59" t="e">
        <f t="shared" si="178"/>
        <v>#N/A</v>
      </c>
      <c r="PB112" s="20" t="e">
        <f ca="1">AVERAGE(OFFSET($PA$3,0,0,'Données projet'!$E$28+1,1))-AVERAGE(OFFSET($H$3,0,0,'Données projet'!$E$28+1,1))</f>
        <v>#N/A</v>
      </c>
      <c r="PC112" s="59" t="e">
        <f t="shared" si="221"/>
        <v>#N/A</v>
      </c>
      <c r="PD112" s="15">
        <f>IF(ISNA(VLOOKUP($A112,'Données projet'!$A$538:$I$558,3,0)),0,VLOOKUP($A112,'Données projet'!$A$538:$I$558,3,0))</f>
        <v>0</v>
      </c>
      <c r="PE112" s="15">
        <f>IF(ISNA(VLOOKUP($A112,'Données projet'!$A$538:$I$558,4,0)),0,VLOOKUP($A112,'Données projet'!$A$538:$I$558,4,0))</f>
        <v>0</v>
      </c>
      <c r="PF112" s="16">
        <f>IF(ISNA(VLOOKUP($A112,'Données projet'!$A$538:$I$558,5,0)),0%,VLOOKUP($A112,'Données projet'!$A$538:$I$558,5,0)*VLOOKUP('Données projet'!$B$28,Paramètres!$A$1:$I$89,7,0))</f>
        <v>0</v>
      </c>
      <c r="PG112" s="16">
        <f>IF(ISNA(VLOOKUP($A112,'Données projet'!$A$538:$I$558,6,0)),0%,VLOOKUP($A112,'Données projet'!$A$538:$I$558,6,0)*VLOOKUP('Données projet'!$B$28,Paramètres!$A$1:$I$89,7,0))</f>
        <v>0</v>
      </c>
      <c r="PH112" s="16">
        <f>IF(ISNA(VLOOKUP($A112,'Données projet'!$A$538:$I$558,7,0)),0%,VLOOKUP($A112,'Données projet'!$A$538:$I$558,7,0))</f>
        <v>0</v>
      </c>
      <c r="PI112" s="21" t="e">
        <f>EXP(-LN(2)/35)*PI111+(1-EXP(-LN(2)/35))/(LN(2)/35)*PE112*PF112*VLOOKUP('Données projet'!$B$28,Paramètres!$A$1:$I$89,3,0)*0.475*44/12</f>
        <v>#N/A</v>
      </c>
      <c r="PJ112" s="21" t="e">
        <f>EXP(-LN(2)/25)*PJ111+(1-EXP(-LN(2)/25))/(LN(2)/25)*Calculateur!PE112*Calculateur!PG112*VLOOKUP('Données projet'!$B$28,Paramètres!$A$1:$I$89,3,0)*0.475*44/12</f>
        <v>#N/A</v>
      </c>
      <c r="PK112" s="21" t="e">
        <f>EXP(-LN(2)/2)*PK111+(1-EXP(-LN(2)/2))/(LN(2)/2)*PE112*PH112*VLOOKUP('Données projet'!$B$28,Paramètres!$A$1:$I$89,3,0)*0.475*44/12</f>
        <v>#N/A</v>
      </c>
      <c r="PL112" s="22" t="e">
        <f t="shared" si="179"/>
        <v>#N/A</v>
      </c>
    </row>
    <row r="113" spans="1:428" x14ac:dyDescent="0.35">
      <c r="A113" s="10">
        <f t="shared" si="180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181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121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projet'!$A$45:$I$65,2,0)</f>
        <v>#N/A</v>
      </c>
      <c r="L113" s="12" t="e">
        <f>VLOOKUP(A113,'Données projet'!$A$45:$I$65,9,0)</f>
        <v>#N/A</v>
      </c>
      <c r="M113" s="12">
        <f t="array" ref="M113">INDEX(L:L,MIN(IF(ISNUMBER(L113:L309),ROW(L113:L309),"")))</f>
        <v>0</v>
      </c>
      <c r="N113" s="13">
        <f>IF('Données projet'!$A$46&gt;35,N112+M113-V112,IF(A113&lt;'Données projet'!$A$46,$K$205^A113,IF(A113='Données projet'!$A$46,'Données projet'!$B$46,N112+M113-V112)))</f>
        <v>-1.1368683772161603E-13</v>
      </c>
      <c r="O113" s="13">
        <f>N113*VLOOKUP('Données projet'!$B$9,Paramètres!$A$1:$I$89,3,0)*VLOOKUP('Données projet'!$B$9,Paramètres!$A$1:$I$89,5,0)</f>
        <v>-6.3550942286383367E-14</v>
      </c>
      <c r="P113" s="13" t="e">
        <f t="shared" si="182"/>
        <v>#NUM!</v>
      </c>
      <c r="Q113" s="20" t="e">
        <f t="shared" si="222"/>
        <v>#NUM!</v>
      </c>
      <c r="R113" s="59" t="e">
        <f t="shared" si="120"/>
        <v>#NUM!</v>
      </c>
      <c r="S113" s="59">
        <f ca="1">AVERAGE(OFFSET($R$3,0,0,'Données projet'!$E$9+1,1))-AVERAGE(OFFSET($H$3,0,0,'Données projet'!$E$9+1,1))</f>
        <v>274.57619581652199</v>
      </c>
      <c r="T113" s="59">
        <f t="shared" si="183"/>
        <v>366.15117322598775</v>
      </c>
      <c r="U113" s="15">
        <f>IF(ISNA(VLOOKUP(A113,'Données projet'!$A$45:$I$65,3,0)),0,VLOOKUP(A113,'Données projet'!$A$45:$I$65,3,0))</f>
        <v>0</v>
      </c>
      <c r="V113" s="15">
        <f>IF(ISNA(VLOOKUP(A113,'Données projet'!$A$45:$I$65,4,0)),0,VLOOKUP(A113,'Données projet'!$A$45:$I$65,4,0))</f>
        <v>0</v>
      </c>
      <c r="W113" s="16">
        <f>IF(ISNA(VLOOKUP(A113,'Données projet'!$A$45:$I$65,5,0)),0%,VLOOKUP(A113,'Données projet'!$A$45:$I$65,5,0)*VLOOKUP('Données projet'!$B$9,Paramètres!$A$1:$I$89,7,0))</f>
        <v>0</v>
      </c>
      <c r="X113" s="16">
        <f>IF(ISNA(VLOOKUP(A113,'Données projet'!$A$45:$I$65,6,0)),0%,VLOOKUP(A113,'Données projet'!$A$45:$I$65,6,0)*VLOOKUP('Données projet'!$B$9,Paramètres!$A$1:$I$89,7,0))</f>
        <v>0</v>
      </c>
      <c r="Y113" s="16">
        <f>IF(ISNA(VLOOKUP(A113,'Données projet'!$A$45:$I$65,7,0)),0%,VLOOKUP(A113,'Données projet'!$A$45:$I$65,7,0))</f>
        <v>0</v>
      </c>
      <c r="Z113" s="21">
        <f>EXP(-LN(2)/35)*Z112+(1-EXP(-LN(2)/35))/(LN(2)/35)*V113*W113*VLOOKUP('Données projet'!$B$9,Paramètres!$A$1:$I$89,3,0)*0.475*44/12</f>
        <v>76.264452568725986</v>
      </c>
      <c r="AA113" s="21">
        <f>EXP(-LN(2)/25)*AA112+(1-EXP(-LN(2)/25))/(LN(2)/25)*Calculateur!V113*Calculateur!X113*VLOOKUP('Données projet'!$B$9,Paramètres!$A$1:$I$89,3,0)*0.475*44/12</f>
        <v>12.53759965304134</v>
      </c>
      <c r="AB113" s="21">
        <f>EXP(-LN(2)/2)*AB112+(1-EXP(-LN(2)/2))/(LN(2)/2)*V113*Y113*VLOOKUP('Données projet'!$B$9,Paramètres!$A$1:$I$89,3,0)*0.475*44/12</f>
        <v>1.7997391309949077E-7</v>
      </c>
      <c r="AC113" s="22">
        <f t="shared" si="122"/>
        <v>88.802052401741236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projet'!$A$71:$I$91,2,0)</f>
        <v>#N/A</v>
      </c>
      <c r="AG113" s="12" t="e">
        <f>VLOOKUP(A113,'Données projet'!$A$71:$I$91,9,0)</f>
        <v>#N/A</v>
      </c>
      <c r="AH113" s="12">
        <f t="array" ref="AH113">INDEX(AG:AG,MIN(IF(ISNUMBER(AG113:AG309),ROW(AG113:AG309),"")))</f>
        <v>6.8461538461538511</v>
      </c>
      <c r="AI113" s="13">
        <f>IF('Données projet'!$A$72&gt;35,AI112+AH113-AQ112,IF(A113&lt;'Données projet'!$A$72,$AF$205^A113,IF(A113='Données projet'!$A$72,'Données projet'!$B$72,AI112+AH113-AQ112)))</f>
        <v>295.72435897435929</v>
      </c>
      <c r="AJ113" s="13">
        <f>AI113*VLOOKUP('Données projet'!$B$10,Paramètres!$A$1:$I$89,3,0)*VLOOKUP('Données projet'!$B$10,Paramètres!$A$1:$I$89,5,0)</f>
        <v>267.57140000000027</v>
      </c>
      <c r="AK113" s="13">
        <f t="shared" si="184"/>
        <v>64.333588350286504</v>
      </c>
      <c r="AL113" s="20">
        <f t="shared" si="123"/>
        <v>578.06785471008277</v>
      </c>
      <c r="AM113" s="59">
        <f t="shared" si="124"/>
        <v>871.40118804341614</v>
      </c>
      <c r="AN113" s="59">
        <f ca="1">AVERAGE(OFFSET($AM$3,0,0,'Données projet'!$E$10+1,1))-AVERAGE(OFFSET($H$3,0,0,'Données projet'!$E$10+1,1))</f>
        <v>270.87836509222456</v>
      </c>
      <c r="AO113" s="59">
        <f t="shared" si="185"/>
        <v>205.24998237949734</v>
      </c>
      <c r="AP113" s="15">
        <f>IF(ISNA(VLOOKUP(A113,'Données projet'!$A$71:$I$91,3,0)),0,VLOOKUP(A113,'Données projet'!$A$71:$I$91,3,0))</f>
        <v>0</v>
      </c>
      <c r="AQ113" s="15">
        <f>IF(ISNA(VLOOKUP(A113,'Données projet'!$A$71:$I$91,4,0)),0,VLOOKUP(A113,'Données projet'!$A$71:$I$91,4,0))</f>
        <v>0</v>
      </c>
      <c r="AR113" s="16">
        <f>IF(ISNA(VLOOKUP(A113,'Données projet'!$A$71:$I$91,5,0)),0%,VLOOKUP(A113,'Données projet'!$A$71:$I$91,5,0)*VLOOKUP('Données projet'!$B$10,Paramètres!$A$1:$I$89,7,0))</f>
        <v>0</v>
      </c>
      <c r="AS113" s="16">
        <f>IF(ISNA(VLOOKUP(A113,'Données projet'!$A$71:$I$91,6,0)),0%,VLOOKUP(A113,'Données projet'!$A$71:$I$91,6,0)*VLOOKUP('Données projet'!$B$10,Paramètres!$A$1:$I$89,7,0))</f>
        <v>0</v>
      </c>
      <c r="AT113" s="16">
        <f>IF(ISNA(VLOOKUP(A113,'Données projet'!$A$71:$I$91,7,0)),0%,VLOOKUP(A113,'Données projet'!$A$71:$I$91,7,0))</f>
        <v>0</v>
      </c>
      <c r="AU113" s="21">
        <f>EXP(-LN(2)/35)*AU112+(1-EXP(-LN(2)/35))/(LN(2)/35)*AQ113*AR113*VLOOKUP('Données projet'!$B$10,Paramètres!$A$1:$I$89,3,0)*0.475*44/12</f>
        <v>58.988265119829428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125"/>
        <v>58.988265119829428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projet'!$A$97:$I$117,2,0)</f>
        <v>#N/A</v>
      </c>
      <c r="BB113" s="12" t="e">
        <f>VLOOKUP(A113,'Données projet'!$A$97:$I$117,9,0)</f>
        <v>#N/A</v>
      </c>
      <c r="BC113" s="12">
        <f t="array" ref="BC113">INDEX(BB:BB,MIN(IF(ISNUMBER(BB113:BB309),ROW(BB113:BB309),"")))</f>
        <v>0</v>
      </c>
      <c r="BD113" s="12">
        <f>IF('Données projet'!$A$98&gt;35,BD112+BC113-BL112,IF(A113&lt;'Données projet'!$A$98,$BA$205^A113,IF(A113='Données projet'!$A$98,'Données projet'!$B$98,BD112+BC113-BL112)))</f>
        <v>-1.1368683772161603E-13</v>
      </c>
      <c r="BE113" s="13">
        <f>BD113*VLOOKUP('Données projet'!$B$11,Paramètres!$A$1:$I$89,3,0)*VLOOKUP('Données projet'!$B$11,Paramètres!$A$1:$I$89,5,0)</f>
        <v>-5.0249582272954292E-14</v>
      </c>
      <c r="BF113" s="13" t="e">
        <f t="shared" si="186"/>
        <v>#NUM!</v>
      </c>
      <c r="BG113" s="20" t="e">
        <f t="shared" si="126"/>
        <v>#NUM!</v>
      </c>
      <c r="BH113" s="59" t="e">
        <f t="shared" si="127"/>
        <v>#NUM!</v>
      </c>
      <c r="BI113" s="59">
        <f ca="1">AVERAGE(OFFSET($BH$3,0,0,'Données projet'!$E$11+1,1))-AVERAGE(OFFSET($H$3,0,0,'Données projet'!$E$11+1,1))</f>
        <v>211.31057120485542</v>
      </c>
      <c r="BJ113" s="59">
        <f t="shared" si="187"/>
        <v>283.33292006714777</v>
      </c>
      <c r="BK113" s="15">
        <f>IF(ISNA(VLOOKUP(A113,'Données projet'!$A$97:$I$117,3,0)),0,VLOOKUP(A113,'Données projet'!$A$97:$I$117,3,0))</f>
        <v>0</v>
      </c>
      <c r="BL113" s="15">
        <f>IF(ISNA(VLOOKUP(A113,'Données projet'!$A$97:$I$117,4,0)),0,VLOOKUP(A113,'Données projet'!$A$97:$I$117,4,0))</f>
        <v>0</v>
      </c>
      <c r="BM113" s="16">
        <f>IF(ISNA(VLOOKUP(A113,'Données projet'!$A$97:$I$117,5,0)),0%,VLOOKUP(A113,'Données projet'!$A$97:$I$117,5,0)*VLOOKUP('Données projet'!$B$11,Paramètres!$A$1:$I$89,7,0))</f>
        <v>0</v>
      </c>
      <c r="BN113" s="16">
        <f>IF(ISNA(VLOOKUP(A113,'Données projet'!$A$97:$I$117,6,0)),0%,VLOOKUP(A113,'Données projet'!$A$97:$I$117,6,0)*VLOOKUP('Données projet'!$B$11,Paramètres!$A$1:$I$89,7,0))</f>
        <v>0</v>
      </c>
      <c r="BO113" s="16">
        <f>IF(ISNA(VLOOKUP(A113,'Données projet'!$A$97:$I$117,7,0)),0%,VLOOKUP(A113,'Données projet'!$A$97:$I$117,7,0))</f>
        <v>0</v>
      </c>
      <c r="BP113" s="21">
        <f>EXP(-LN(2)/35)*BP112+(1-EXP(-LN(2)/35))/(LN(2)/35)*BL113*BM113*VLOOKUP('Données projet'!$B$11,Paramètres!$A$1:$I$89,3,0)*0.475*44/12</f>
        <v>60.302125286899631</v>
      </c>
      <c r="BQ113" s="21">
        <f>EXP(-LN(2)/25)*BQ112+(1-EXP(-LN(2)/25))/(LN(2)/25)*Calculateur!BL113*Calculateur!BN113*VLOOKUP('Données projet'!$B$11,Paramètres!$A$1:$I$89,3,0)*0.475*44/12</f>
        <v>9.9134508884512869</v>
      </c>
      <c r="BR113" s="21">
        <f>EXP(-LN(2)/2)*BR112+(1-EXP(-LN(2)/2))/(LN(2)/2)*BL113*BO113*VLOOKUP('Données projet'!$B$11,Paramètres!$A$1:$I$89,3,0)*0.475*44/12</f>
        <v>1.4230495454378337E-7</v>
      </c>
      <c r="BS113" s="22">
        <f t="shared" si="128"/>
        <v>70.215576317655874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projet'!$A$123:$I$143,2,0)</f>
        <v>#N/A</v>
      </c>
      <c r="BW113" s="12" t="e">
        <f>VLOOKUP(A113,'Données projet'!$A$123:$I$143,9,0)</f>
        <v>#N/A</v>
      </c>
      <c r="BX113" s="12">
        <f t="array" ref="BX113">INDEX(BW:BW,MIN(IF(ISNUMBER(BW113:BW309),ROW(BW113:BW309),"")))</f>
        <v>0</v>
      </c>
      <c r="BY113" s="12">
        <f>IF('Données projet'!$A$124&gt;35,BY112+BX113-CG112,IF(A113&lt;'Données projet'!$A$124,$BV$205^A113,IF(A113='Données projet'!$A$124,'Données projet'!$B$124,BY112+BX113-CG112)))</f>
        <v>0</v>
      </c>
      <c r="BZ113" s="13">
        <f>BY113*VLOOKUP('Données projet'!$B$12,Paramètres!$A$1:$I$89,3,0)*VLOOKUP('Données projet'!$B$12,Paramètres!$A$1:$I$89,5,0)</f>
        <v>0</v>
      </c>
      <c r="CA113" s="13" t="e">
        <f t="shared" si="188"/>
        <v>#NUM!</v>
      </c>
      <c r="CB113" s="20" t="e">
        <f t="shared" si="129"/>
        <v>#NUM!</v>
      </c>
      <c r="CC113" s="59" t="e">
        <f t="shared" si="130"/>
        <v>#NUM!</v>
      </c>
      <c r="CD113" s="59">
        <f ca="1">AVERAGE(OFFSET($CC$3,0,0,'Données projet'!$E$12+1,1))-AVERAGE(OFFSET($H$3,0,0,'Données projet'!$E$12+1,1))</f>
        <v>322.93502595881938</v>
      </c>
      <c r="CE113" s="59">
        <f t="shared" si="189"/>
        <v>302.67072119588164</v>
      </c>
      <c r="CF113" s="15">
        <f>IF(ISNA(VLOOKUP(A113,'Données projet'!$A$123:$I$143,3,0)),0,VLOOKUP(A113,'Données projet'!$A$123:$I$143,3,0))</f>
        <v>0</v>
      </c>
      <c r="CG113" s="15">
        <f>IF(ISNA(VLOOKUP(A113,'Données projet'!$A$123:$I$143,4,0)),0,VLOOKUP(A113,'Données projet'!$A$123:$I$143,4,0))</f>
        <v>0</v>
      </c>
      <c r="CH113" s="16">
        <f>IF(ISNA(VLOOKUP(A113,'Données projet'!$A$123:$I$143,5,0)),0%,VLOOKUP(A113,'Données projet'!$A$123:$I$143,5,0)*VLOOKUP('Données projet'!$B$12,Paramètres!$A$1:$I$89,7,0))</f>
        <v>0</v>
      </c>
      <c r="CI113" s="16">
        <f>IF(ISNA(VLOOKUP(A113,'Données projet'!$A$123:$I$143,6,0)),0%,VLOOKUP(A113,'Données projet'!$A$123:$I$143,6,0)*VLOOKUP('Données projet'!$B$12,Paramètres!$A$1:$I$89,7,0))</f>
        <v>0</v>
      </c>
      <c r="CJ113" s="16">
        <f>IF(ISNA(VLOOKUP(A113,'Données projet'!$A$123:$I$143,7,0)),0%,VLOOKUP(A113,'Données projet'!$A$123:$I$143,7,0))</f>
        <v>0</v>
      </c>
      <c r="CK113" s="21">
        <f>EXP(-LN(2)/35)*CK112+(1-EXP(-LN(2)/35))/(LN(2)/35)*CG113*CH113*VLOOKUP('Données projet'!$B$12,Paramètres!$A$1:$I$89,3,0)*0.475*44/12</f>
        <v>96.07585663856554</v>
      </c>
      <c r="CL113" s="21">
        <f>EXP(-LN(2)/25)*CL112+(1-EXP(-LN(2)/25))/(LN(2)/25)*Calculateur!CG113*Calculateur!CI113*VLOOKUP('Données projet'!$B$12,Paramètres!$A$1:$I$89,3,0)*0.475*44/12</f>
        <v>31.729040867147916</v>
      </c>
      <c r="CM113" s="21">
        <f>EXP(-LN(2)/2)*CM112+(1-EXP(-LN(2)/2))/(LN(2)/2)*CG113*CJ113*VLOOKUP('Données projet'!$B$12,Paramètres!$A$1:$I$89,3,0)*0.475*44/12</f>
        <v>0</v>
      </c>
      <c r="CN113" s="22">
        <f t="shared" si="131"/>
        <v>127.80489750571346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projet'!$A$149:$I$169,2,0)</f>
        <v>#N/A</v>
      </c>
      <c r="CR113" s="12" t="e">
        <f>VLOOKUP(A113,'Données projet'!$A$149:$I$169,9,0)</f>
        <v>#N/A</v>
      </c>
      <c r="CS113" s="12">
        <f t="array" ref="CS113">INDEX(CR:CR,MIN(IF(ISNUMBER(CR113:CR309),ROW(CR113:CR309),"")))</f>
        <v>5.0961538461538449</v>
      </c>
      <c r="CT113" s="12">
        <f>IF('Données projet'!$A$150&gt;35,CT112+CS113-DB112,IF(A113&lt;'Données projet'!$A$150,$CQ$205^A113,IF(A113='Données projet'!$A$150,'Données projet'!$B$150,CT112+CS113-DB112)))</f>
        <v>230.92948717948684</v>
      </c>
      <c r="CU113" s="17">
        <f>CT113*VLOOKUP('Données projet'!$B$13,Paramètres!$A$1:$I$89,3,0)*VLOOKUP('Données projet'!$B$13,Paramètres!$A$1:$I$89,5,0)</f>
        <v>234.16249999999968</v>
      </c>
      <c r="CV113" s="13">
        <f t="shared" si="190"/>
        <v>57.181769678978526</v>
      </c>
      <c r="CW113" s="20">
        <f t="shared" si="132"/>
        <v>507.42460302422029</v>
      </c>
      <c r="CX113" s="59">
        <f t="shared" si="133"/>
        <v>800.7579363575536</v>
      </c>
      <c r="CY113" s="59">
        <f ca="1">AVERAGE(OFFSET($CX$3,0,0,'Données projet'!$E$13+1,1))-AVERAGE(OFFSET($H$3,0,0,'Données projet'!$E$13+1,1))</f>
        <v>250.31277422753283</v>
      </c>
      <c r="CZ113" s="59">
        <f t="shared" si="191"/>
        <v>159.20429420478047</v>
      </c>
      <c r="DA113" s="15">
        <f>IF(ISNA(VLOOKUP(A113,'Données projet'!$A$149:$I$169,3,0)),0,VLOOKUP(A113,'Données projet'!$A$149:$I$169,3,0))</f>
        <v>0</v>
      </c>
      <c r="DB113" s="15">
        <f>IF(ISNA(VLOOKUP(A113,'Données projet'!$A$149:$I$169,4,0)),0,VLOOKUP(A113,'Données projet'!$A$149:$I$169,4,0))</f>
        <v>0</v>
      </c>
      <c r="DC113" s="16">
        <f>IF(ISNA(VLOOKUP(A113,'Données projet'!$A$149:$I$169,5,0)),0%,VLOOKUP(A113,'Données projet'!$A$149:$I$169,5,0)*VLOOKUP('Données projet'!$B$13,Paramètres!$A$1:$I$89,7,0))</f>
        <v>0</v>
      </c>
      <c r="DD113" s="16">
        <f>IF(ISNA(VLOOKUP(A113,'Données projet'!$A$149:$I$169,6,0)),0%,VLOOKUP(A113,'Données projet'!$A$149:$I$169,6,0)*VLOOKUP('Données projet'!$B$13,Paramètres!$A$1:$I$89,7,0))</f>
        <v>0</v>
      </c>
      <c r="DE113" s="16">
        <f>IF(ISNA(VLOOKUP(A113,'Données projet'!$A$149:$I$169,7,0)),0%,VLOOKUP(A113,'Données projet'!$A$149:$I$169,7,0))</f>
        <v>0</v>
      </c>
      <c r="DF113" s="21">
        <f>EXP(-LN(2)/35)*DF112+(1-EXP(-LN(2)/35))/(LN(2)/35)*DB113*DC113*VLOOKUP('Données projet'!$B$13,Paramètres!$A$1:$I$89,3,0)*0.475*44/12</f>
        <v>31.143925178416833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134"/>
        <v>31.143925178416833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projet'!$A$175:$I$195,2,0)</f>
        <v>#N/A</v>
      </c>
      <c r="DM113" s="12" t="e">
        <f>VLOOKUP(A113,'Données projet'!$A$175:$I$195,9,0)</f>
        <v>#N/A</v>
      </c>
      <c r="DN113" s="12">
        <f t="array" ref="DN113">INDEX(DM:DM,MIN(IF(ISNUMBER(DM113:DM309),ROW(DM113:DM309),"")))</f>
        <v>0</v>
      </c>
      <c r="DO113" s="12">
        <f>IF('Données projet'!$A$176&gt;35,DO112+DN113-DW112,IF(A113&lt;'Données projet'!$A$176,$DL$205^A113,IF(A113='Données projet'!$A$176,'Données projet'!$B$176,DO112+DN113-DW112)))</f>
        <v>-2.8421709430404007E-13</v>
      </c>
      <c r="DP113" s="17">
        <f>DO113*VLOOKUP('Données projet'!$B$14,Paramètres!$A$1:$I$89,3,0)*VLOOKUP('Données projet'!$B$14,Paramètres!$A$1:$I$89,5,0)</f>
        <v>-2.0838797354372215E-13</v>
      </c>
      <c r="DQ113" s="13" t="e">
        <f t="shared" si="192"/>
        <v>#NUM!</v>
      </c>
      <c r="DR113" s="20" t="e">
        <f t="shared" si="135"/>
        <v>#NUM!</v>
      </c>
      <c r="DS113" s="59" t="e">
        <f t="shared" si="136"/>
        <v>#NUM!</v>
      </c>
      <c r="DT113" s="59">
        <f ca="1">AVERAGE(OFFSET($DS$3,0,0,'Données projet'!$E$14+1,1))-AVERAGE(OFFSET($H$3,0,0,'Données projet'!$E$14+1,1))</f>
        <v>296.91321813251051</v>
      </c>
      <c r="DU113" s="59">
        <f t="shared" si="193"/>
        <v>291.0718079639509</v>
      </c>
      <c r="DV113" s="15">
        <f>IF(ISNA(VLOOKUP(A113,'Données projet'!$A$175:$I$195,3,0)),0,VLOOKUP(A113,'Données projet'!$A$175:$I$195,3,0))</f>
        <v>0</v>
      </c>
      <c r="DW113" s="15">
        <f>IF(ISNA(VLOOKUP(A113,'Données projet'!$A$175:$I$195,4,0)),0,VLOOKUP(A113,'Données projet'!$A$175:$I$195,4,0))</f>
        <v>0</v>
      </c>
      <c r="DX113" s="16">
        <f>IF(ISNA(VLOOKUP(A113,'Données projet'!$A$175:$I$195,5,0)),0%,VLOOKUP(A113,'Données projet'!$A$175:$I$195,5,0)*VLOOKUP('Données projet'!$B$14,Paramètres!$A$1:$I$89,7,0))</f>
        <v>0</v>
      </c>
      <c r="DY113" s="16">
        <f>IF(ISNA(VLOOKUP(A113,'Données projet'!$A$175:$I$195,6,0)),0%,VLOOKUP(A113,'Données projet'!$A$175:$I$195,6,0)*VLOOKUP('Données projet'!$B$14,Paramètres!$A$1:$I$89,7,0))</f>
        <v>0</v>
      </c>
      <c r="DZ113" s="16">
        <f>IF(ISNA(VLOOKUP(A113,'Données projet'!$A$175:$I$195,7,0)),0%,VLOOKUP(A113,'Données projet'!$A$175:$I$195,7,0))</f>
        <v>0</v>
      </c>
      <c r="EA113" s="21">
        <f>EXP(-LN(2)/35)*EA112+(1-EXP(-LN(2)/35))/(LN(2)/35)*DW113*DX113*VLOOKUP('Données projet'!$B$14,Paramètres!$A$1:$I$89,3,0)*0.475*44/12</f>
        <v>95.756784592533222</v>
      </c>
      <c r="EB113" s="21">
        <f>EXP(-LN(2)/25)*EB112+(1-EXP(-LN(2)/25))/(LN(2)/25)*Calculateur!DW113*Calculateur!DY113*VLOOKUP('Données projet'!$B$14,Paramètres!$A$1:$I$89,3,0)*0.475*44/12</f>
        <v>2.3308441186146225</v>
      </c>
      <c r="EC113" s="21">
        <f>EXP(-LN(2)/2)*EC112+(1-EXP(-LN(2)/2))/(LN(2)/2)*DW113*DZ113*VLOOKUP('Données projet'!$B$14,Paramètres!$A$1:$I$89,3,0)*0.475*44/12</f>
        <v>0</v>
      </c>
      <c r="ED113" s="22">
        <f t="shared" si="137"/>
        <v>98.087628711147843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projet'!$A$201:$I$221,2,0)</f>
        <v>#N/A</v>
      </c>
      <c r="EH113" s="12" t="e">
        <f>VLOOKUP(A113,'Données projet'!$A$201:$I$221,9,0)</f>
        <v>#N/A</v>
      </c>
      <c r="EI113" s="12">
        <f t="array" ref="EI113">INDEX(EH:EH,MIN(IF(ISNUMBER(EH113:EH309),ROW(EH113:EH309),"")))</f>
        <v>0</v>
      </c>
      <c r="EJ113" s="12">
        <f>IF('Données projet'!$A$202&gt;35,EJ112+EI113-ER112,IF(A113&lt;'Données projet'!$A$202,$EG$205^A113,IF(A113='Données projet'!$A$202,'Données projet'!$B$202,EJ112+EI113-ER112)))</f>
        <v>5.1159076974727213E-13</v>
      </c>
      <c r="EK113" s="17">
        <f>EJ113*VLOOKUP('Données projet'!$B$15,Paramètres!$A$1:$I$89,3,0)*VLOOKUP('Données projet'!$B$15,Paramètres!$A$1:$I$89,5,0)</f>
        <v>2.3942448024172334E-13</v>
      </c>
      <c r="EL113" s="13">
        <f t="shared" si="194"/>
        <v>3.2492669905861755E-12</v>
      </c>
      <c r="EM113" s="20">
        <f t="shared" si="138"/>
        <v>6.0761376450252565E-12</v>
      </c>
      <c r="EN113" s="59">
        <f t="shared" si="139"/>
        <v>293.3333333333394</v>
      </c>
      <c r="EO113" s="59">
        <f ca="1">AVERAGE(OFFSET($EN$3,0,0,'Données projet'!$E$15+1,1))-AVERAGE(OFFSET($H$3,0,0,'Données projet'!$E$15+1,1))</f>
        <v>147.64256291235483</v>
      </c>
      <c r="EP113" s="59">
        <f t="shared" si="195"/>
        <v>70.859031694091868</v>
      </c>
      <c r="EQ113" s="15">
        <f>IF(ISNA(VLOOKUP(A113,'Données projet'!$A$201:$I$221,3,0)),0,VLOOKUP(A113,'Données projet'!$A$201:$I$221,3,0))</f>
        <v>0</v>
      </c>
      <c r="ER113" s="15">
        <f>IF(ISNA(VLOOKUP(A113,'Données projet'!$A$201:$I$221,4,0)),0,VLOOKUP(A113,'Données projet'!$A$201:$I$221,4,0))</f>
        <v>0</v>
      </c>
      <c r="ES113" s="16">
        <f>IF(ISNA(VLOOKUP(A113,'Données projet'!$A$201:$I$221,5,0)),0%,VLOOKUP(A113,'Données projet'!$A$201:$I$221,5,0)*VLOOKUP('Données projet'!$B$15,Paramètres!$A$1:$I$89,7,0))</f>
        <v>0</v>
      </c>
      <c r="ET113" s="16">
        <f>IF(ISNA(VLOOKUP(A113,'Données projet'!$A$201:$I$221,6,0)),0%,VLOOKUP(A113,'Données projet'!$A$201:$I$221,6,0)*VLOOKUP('Données projet'!$B$15,Paramètres!$A$1:$I$89,7,0))</f>
        <v>0</v>
      </c>
      <c r="EU113" s="16">
        <f>IF(ISNA(VLOOKUP(A113,'Données projet'!$A$201:$I$221,7,0)),0%,VLOOKUP(A113,'Données projet'!$A$201:$I$221,7,0))</f>
        <v>0</v>
      </c>
      <c r="EV113" s="21">
        <f>EXP(-LN(2)/35)*EV112+(1-EXP(-LN(2)/35))/(LN(2)/35)*ER113*ES113*VLOOKUP('Données projet'!$B$15,Paramètres!$A$1:$I$89,3,0)*0.475*44/12</f>
        <v>131.09254750599834</v>
      </c>
      <c r="EW113" s="21">
        <f>EXP(-LN(2)/25)*EW112+(1-EXP(-LN(2)/25))/(LN(2)/25)*Calculateur!ER113*Calculateur!ET113*VLOOKUP('Données projet'!$B$15,Paramètres!$A$1:$I$89,3,0)*0.475*44/12</f>
        <v>32.338113860017742</v>
      </c>
      <c r="EX113" s="21">
        <f>EXP(-LN(2)/2)*EX112+(1-EXP(-LN(2)/2))/(LN(2)/2)*ER113*EU113*VLOOKUP('Données projet'!$B$15,Paramètres!$A$1:$I$89,3,0)*0.475*44/12</f>
        <v>12.974482647390023</v>
      </c>
      <c r="EY113" s="22">
        <f t="shared" si="140"/>
        <v>176.4051440134061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projet'!$A$227:$I$247,2,0)</f>
        <v>#N/A</v>
      </c>
      <c r="FC113" s="12" t="e">
        <f>VLOOKUP(A113,'Données projet'!$A$227:$I$247,9,0)</f>
        <v>#N/A</v>
      </c>
      <c r="FD113" s="12">
        <f t="array" ref="FD113">INDEX(FC:FC,MIN(IF(ISNUMBER(FC113:FC309),ROW(FC113:FC309),"")))</f>
        <v>0</v>
      </c>
      <c r="FE113" s="12">
        <f>IF('Données projet'!$A$228&gt;35,FE112+FD113-FM112,IF(A113&lt;'Données projet'!$A$228,$FB$205^A113,IF(A113='Données projet'!$A$228,'Données projet'!$B$228,FE112+FD113-FM112)))</f>
        <v>8.5265128291212022E-14</v>
      </c>
      <c r="FF113" s="17">
        <f>FE113*VLOOKUP('Données projet'!$B$16,Paramètres!$A$1:$I$89,3,0)*VLOOKUP('Données projet'!$B$16,Paramètres!$A$1:$I$89,5,0)</f>
        <v>8.9119112089974823E-14</v>
      </c>
      <c r="FG113" s="13">
        <f t="shared" si="196"/>
        <v>1.3568952080113142E-12</v>
      </c>
      <c r="FH113" s="20">
        <f t="shared" si="141"/>
        <v>2.5184749408430782E-12</v>
      </c>
      <c r="FI113" s="59">
        <f t="shared" si="142"/>
        <v>293.33333333333582</v>
      </c>
      <c r="FJ113" s="59">
        <f ca="1">AVERAGE(OFFSET($FI$3,0,0,'Données projet'!$E$16+1,1))-AVERAGE(OFFSET($H$3,0,0,'Données projet'!$E$16+1,1))</f>
        <v>259.03906550253788</v>
      </c>
      <c r="FK113" s="59">
        <f t="shared" si="197"/>
        <v>235.54542903570831</v>
      </c>
      <c r="FL113" s="15">
        <f>IF(ISNA(VLOOKUP(A113,'Données projet'!$A$227:$I$247,3,0)),0,VLOOKUP(A113,'Données projet'!$A$227:$I$247,3,0))</f>
        <v>0</v>
      </c>
      <c r="FM113" s="15">
        <f>IF(ISNA(VLOOKUP(A113,'Données projet'!$A$227:$I$247,4,0)),0,VLOOKUP(A113,'Données projet'!$A$227:$I$247,4,0))</f>
        <v>0</v>
      </c>
      <c r="FN113" s="16">
        <f>IF(ISNA(VLOOKUP(A113,'Données projet'!$A$227:$I$247,5,0)),0%,VLOOKUP(A113,'Données projet'!$A$227:$I$247,5,0)*VLOOKUP('Données projet'!$B$16,Paramètres!$A$1:$I$89,7,0))</f>
        <v>0</v>
      </c>
      <c r="FO113" s="16">
        <f>IF(ISNA(VLOOKUP(A113,'Données projet'!$A$227:$I$247,6,0)),0%,VLOOKUP(A113,'Données projet'!$A$227:$I$247,6,0)*VLOOKUP('Données projet'!$B$16,Paramètres!$A$1:$I$89,7,0))</f>
        <v>0</v>
      </c>
      <c r="FP113" s="16">
        <f>IF(ISNA(VLOOKUP(A113,'Données projet'!$A$227:$I$247,7,0)),0%,VLOOKUP(A113,'Données projet'!$A$227:$I$247,7,0))</f>
        <v>0</v>
      </c>
      <c r="FQ113" s="21">
        <f>EXP(-LN(2)/35)*FQ112+(1-EXP(-LN(2)/35))/(LN(2)/35)*FM113*FN113*VLOOKUP('Données projet'!$B$16,Paramètres!$A$1:$I$89,3,0)*0.475*44/12</f>
        <v>57.860687779898285</v>
      </c>
      <c r="FR113" s="21">
        <f>EXP(-LN(2)/25)*FR112+(1-EXP(-LN(2)/25))/(LN(2)/25)*Calculateur!FM113*Calculateur!FO113*VLOOKUP('Données projet'!$B$16,Paramètres!$A$1:$I$89,3,0)*0.475*44/12</f>
        <v>44.486723695338164</v>
      </c>
      <c r="FS113" s="21">
        <f>EXP(-LN(2)/2)*FS112+(1-EXP(-LN(2)/2))/(LN(2)/2)*FM113*FP113*VLOOKUP('Données projet'!$B$16,Paramètres!$A$1:$I$89,3,0)*0.475*44/12</f>
        <v>0</v>
      </c>
      <c r="FT113" s="22">
        <f t="shared" si="143"/>
        <v>102.34741147523644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projet'!$A$253:$I$273,2,0)</f>
        <v>#N/A</v>
      </c>
      <c r="FX113" s="12" t="e">
        <f>VLOOKUP(A113,'Données projet'!$A$253:$I$273,9,0)</f>
        <v>#N/A</v>
      </c>
      <c r="FY113" s="12">
        <f t="array" ref="FY113">INDEX(FX:FX,MIN(IF(ISNUMBER(FX113:FX309),ROW(FX113:FX309),"")))</f>
        <v>0</v>
      </c>
      <c r="FZ113" s="12">
        <f>IF('Données projet'!$A$254&gt;35,FZ112+FY113-GH112,IF(A113&lt;'Données projet'!$A$254,$FW$205^A113,IF(A113='Données projet'!$A$254,'Données projet'!$B$254,FZ112+FY113-GH112)))</f>
        <v>-1.7053025658242404E-13</v>
      </c>
      <c r="GA113" s="17">
        <f>FZ113*VLOOKUP('Données projet'!$B$17,Paramètres!$A$1:$I$89,3,0)*VLOOKUP('Données projet'!$B$17,Paramètres!$A$1:$I$89,5,0)</f>
        <v>-1.4897523215040567E-13</v>
      </c>
      <c r="GB113" s="13" t="e">
        <f t="shared" si="198"/>
        <v>#NUM!</v>
      </c>
      <c r="GC113" s="20" t="e">
        <f t="shared" si="144"/>
        <v>#NUM!</v>
      </c>
      <c r="GD113" s="59" t="e">
        <f t="shared" si="145"/>
        <v>#NUM!</v>
      </c>
      <c r="GE113" s="59">
        <f ca="1">AVERAGE(OFFSET($GD$3,0,0,'Données projet'!$E$17+1,1))-AVERAGE(OFFSET($H$3,0,0,'Données projet'!$E$17+1,1))</f>
        <v>245.1983232777614</v>
      </c>
      <c r="GF113" s="59">
        <f t="shared" si="199"/>
        <v>242.34010522344573</v>
      </c>
      <c r="GG113" s="15">
        <f>IF(ISNA(VLOOKUP(A113,'Données projet'!$A$253:$I$273,3,0)),0,VLOOKUP(A113,'Données projet'!$A$253:$I$273,3,0))</f>
        <v>0</v>
      </c>
      <c r="GH113" s="15">
        <f>IF(ISNA(VLOOKUP(A113,'Données projet'!$A$253:$I$273,4,0)),0,VLOOKUP(A113,'Données projet'!$A$253:$I$273,4,0))</f>
        <v>0</v>
      </c>
      <c r="GI113" s="16">
        <f>IF(ISNA(VLOOKUP(A113,'Données projet'!$A$253:$I$273,5,0)),0%,VLOOKUP(A113,'Données projet'!$A$253:$I$273,5,0)*VLOOKUP('Données projet'!$B$17,Paramètres!$A$1:$I$89,7,0))</f>
        <v>0</v>
      </c>
      <c r="GJ113" s="16">
        <f>IF(ISNA(VLOOKUP(A113,'Données projet'!$A$253:$I$273,6,0)),0%,VLOOKUP(A113,'Données projet'!$A$253:$I$273,6,0)*VLOOKUP('Données projet'!$B$17,Paramètres!$A$1:$I$89,7,0))</f>
        <v>0</v>
      </c>
      <c r="GK113" s="16">
        <f>IF(ISNA(VLOOKUP(A113,'Données projet'!$A$253:$I$273,7,0)),0%,VLOOKUP(A113,'Données projet'!$A$253:$I$273,7,0))</f>
        <v>0</v>
      </c>
      <c r="GL113" s="21">
        <f>EXP(-LN(2)/35)*GL112+(1-EXP(-LN(2)/35))/(LN(2)/35)*GH113*GI113*VLOOKUP('Données projet'!$B$17,Paramètres!$A$1:$I$89,3,0)*0.475*44/12</f>
        <v>68.023177104529836</v>
      </c>
      <c r="GM113" s="21">
        <f>EXP(-LN(2)/25)*GM112+(1-EXP(-LN(2)/25))/(LN(2)/25)*Calculateur!GH113*Calculateur!GJ113*VLOOKUP('Données projet'!$B$17,Paramètres!$A$1:$I$89,3,0)*0.475*44/12</f>
        <v>9.4790370502020966</v>
      </c>
      <c r="GN113" s="21">
        <f>EXP(-LN(2)/2)*GN112+(1-EXP(-LN(2)/2))/(LN(2)/2)*GH113*GK113*VLOOKUP('Données projet'!$B$17,Paramètres!$A$1:$I$89,3,0)*0.475*44/12</f>
        <v>0</v>
      </c>
      <c r="GO113" s="21">
        <f t="shared" si="146"/>
        <v>77.502214154731931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projet'!$A$279:$I$299,2,0)</f>
        <v>#N/A</v>
      </c>
      <c r="GS113" s="12" t="e">
        <f>VLOOKUP(A113,'Données projet'!$A$279:$I$299,9,0)</f>
        <v>#N/A</v>
      </c>
      <c r="GT113" s="12">
        <f t="array" ref="GT113">INDEX(GS:GS,MIN(IF(ISNUMBER(GS113:GS309),ROW(GS113:GS309),"")))</f>
        <v>0</v>
      </c>
      <c r="GU113" s="12">
        <f>IF('Données projet'!$A$280&gt;35,GU112+GT113-HC112,IF(A113&lt;'Données projet'!$A$280,$GR$205^A113,IF(A113='Données projet'!$A$280,'Données projet'!$B$280,GU112+GT113-HC112)))</f>
        <v>-1.1368683772161603E-13</v>
      </c>
      <c r="GV113" s="17">
        <f>GU113*VLOOKUP('Données projet'!$B$18,Paramètres!$A$1:$I$89,3,0)*VLOOKUP('Données projet'!$B$18,Paramètres!$A$1:$I$89,5,0)</f>
        <v>-4.5815795601811263E-14</v>
      </c>
      <c r="GW113" s="13" t="e">
        <f t="shared" si="200"/>
        <v>#NUM!</v>
      </c>
      <c r="GX113" s="20" t="e">
        <f t="shared" si="147"/>
        <v>#NUM!</v>
      </c>
      <c r="GY113" s="59" t="e">
        <f t="shared" si="148"/>
        <v>#NUM!</v>
      </c>
      <c r="GZ113" s="59">
        <f ca="1">AVERAGE(OFFSET($GY$3,0,0,'Données projet'!$E$18+1,1))-AVERAGE(OFFSET($H$3,0,0,'Données projet'!$E$18+1,1))</f>
        <v>324.36162935850876</v>
      </c>
      <c r="HA113" s="59">
        <f t="shared" si="201"/>
        <v>265.23571072429735</v>
      </c>
      <c r="HB113" s="15">
        <f>IF(ISNA(VLOOKUP(A113,'Données projet'!$A$279:$I$299,3,0)),0,VLOOKUP(A113,'Données projet'!$A$279:$I$299,3,0))</f>
        <v>0</v>
      </c>
      <c r="HC113" s="15">
        <f>IF(ISNA(VLOOKUP(A113,'Données projet'!$A$279:$I$299,4,0)),0,VLOOKUP(A113,'Données projet'!$A$279:$I$299,4,0))</f>
        <v>0</v>
      </c>
      <c r="HD113" s="16">
        <f>IF(ISNA(VLOOKUP(A113,'Données projet'!$A$279:$I$299,5,0)),0%,VLOOKUP(A113,'Données projet'!$A$279:$I$299,5,0)*VLOOKUP('Données projet'!$B$18,Paramètres!$A$1:$I$89,7,0))</f>
        <v>0</v>
      </c>
      <c r="HE113" s="16">
        <f>IF(ISNA(VLOOKUP(A113,'Données projet'!$A$279:$I$299,6,0)),0%,VLOOKUP(A113,'Données projet'!$A$279:$I$299,6,0)*VLOOKUP('Données projet'!$B$18,Paramètres!$A$1:$I$89,7,0))</f>
        <v>0</v>
      </c>
      <c r="HF113" s="16">
        <f>IF(ISNA(VLOOKUP($A113,'Données projet'!$A$279:$I$299,7,0)),0%,VLOOKUP($A113,'Données projet'!$A$279:$I$299,7,0))</f>
        <v>0</v>
      </c>
      <c r="HG113" s="21">
        <f>EXP(-LN(2)/35)*HG112+(1-EXP(-LN(2)/35))/(LN(2)/35)*HC113*HD113*VLOOKUP('Données projet'!$B$18,Paramètres!$A$1:$I$89,3,0)*0.475*44/12</f>
        <v>130.35018987030108</v>
      </c>
      <c r="HH113" s="21">
        <f>EXP(-LN(2)/25)*HH112+(1-EXP(-LN(2)/25))/(LN(2)/25)*Calculateur!HC113*Calculateur!HE113*VLOOKUP('Données projet'!$B$18,Paramètres!$A$1:$I$89,3,0)*0.475*44/12</f>
        <v>10.54238467778292</v>
      </c>
      <c r="HI113" s="21">
        <f>EXP(-LN(2)/2)*HI112+(1-EXP(-LN(2)/2))/(LN(2)/2)*HC113*HF113*VLOOKUP('Données projet'!$B$18,Paramètres!$A$1:$I$89,3,0)*0.475*44/12</f>
        <v>2.6084014005676049E-4</v>
      </c>
      <c r="HJ113" s="22">
        <f t="shared" si="149"/>
        <v>140.89283538822403</v>
      </c>
      <c r="HK113" s="74">
        <f>('Scénario référence'!$F$8+'Scénario référence'!$F$9+'Scénario référence'!$B$17+'Scénario référence'!$B$9+'Scénario référence'!$B$10)*70+IF((45+25*(1-EXP(-0.0175*$A113)))&lt;70,'Scénario référence'!$B$16*(45+25*(1-EXP(-0.0175*$A113))),70*'Scénario référence'!$B$16)+IF((32+38*(1-EXP(-0.0175*$A113)))&lt;70,'Scénario référence'!$B$18*(32+38*(1-EXP(-0.0175*$A113))),70*'Scénario référence'!$B$18)</f>
        <v>70</v>
      </c>
      <c r="HL113" s="12">
        <f>IF($A113&gt;30,10,('Scénario référence'!$B$16+'Scénario référence'!$B$17+'Scénario référence'!$B$18+'Scénario référence'!$B$9+'Scénario référence'!$B$10)*$A113*10/30+('Scénario référence'!$F$8+'Scénario référence'!$F$9)*10)</f>
        <v>10</v>
      </c>
      <c r="HM113" s="12" t="e">
        <f>VLOOKUP($A113,'Données projet'!$A$304:$I$324,2,0)</f>
        <v>#N/A</v>
      </c>
      <c r="HN113" s="12" t="e">
        <f>VLOOKUP($A113,'Données projet'!$A$304:$I$324,9,0)</f>
        <v>#N/A</v>
      </c>
      <c r="HO113" s="12">
        <f t="array" ref="HO113">INDEX(HN:HN,MIN(IF(ISNUMBER(HN113:HN309),ROW(HN113:HN309),"")))</f>
        <v>0</v>
      </c>
      <c r="HP113" s="12">
        <f>IF('Données projet'!$A$304&gt;35,HP112+HO113-HX112,IF($A113&lt;'Données projet'!$A$304,$CQ$205^$A113,IF($A113='Données projet'!$A$304,'Données projet'!$B$304,HP112+HO113-HX112)))</f>
        <v>0</v>
      </c>
      <c r="HQ113" s="17">
        <f>HP113*VLOOKUP('Données projet'!$B$19,Paramètres!$A$1:$I$89,3,0)*VLOOKUP('Données projet'!$B$19,Paramètres!$A$1:$I$89,5,0)</f>
        <v>0</v>
      </c>
      <c r="HR113" s="13" t="e">
        <f t="shared" si="202"/>
        <v>#NUM!</v>
      </c>
      <c r="HS113" s="14" t="e">
        <f t="shared" si="150"/>
        <v>#NUM!</v>
      </c>
      <c r="HT113" s="59" t="e">
        <f t="shared" si="151"/>
        <v>#NUM!</v>
      </c>
      <c r="HU113" s="59">
        <f ca="1">AVERAGE(OFFSET(HT$3,0,0,'Données projet'!$E$19+1,1))-AVERAGE(OFFSET($H$3,0,0,'Données projet'!$E$19+1,1))</f>
        <v>91.60721429656013</v>
      </c>
      <c r="HV113" s="59">
        <f t="shared" si="203"/>
        <v>258.94957804210856</v>
      </c>
      <c r="HW113" s="15">
        <f>IF(ISNA(VLOOKUP($A113,'Données projet'!$A$304:$I$324,3,0)),0,VLOOKUP($A113,'Données projet'!$A$304:$I$324,3,0))</f>
        <v>0</v>
      </c>
      <c r="HX113" s="15">
        <f>IF(ISNA(VLOOKUP($A113,'Données projet'!$A$304:$I$324,4,0)),0,VLOOKUP($A113,'Données projet'!$A$304:$I$324,4,0))</f>
        <v>0</v>
      </c>
      <c r="HY113" s="16">
        <f>IF(ISNA(VLOOKUP($A113,'Données projet'!$A$304:$I$324,5,0)),0%,VLOOKUP($A113,'Données projet'!$A$304:$I$324,5,0)*VLOOKUP('Données projet'!$B$19,Paramètres!$A$1:$I$89,7,0))</f>
        <v>0</v>
      </c>
      <c r="HZ113" s="16">
        <f>IF(ISNA(VLOOKUP($A113,'Données projet'!$A$304:$I$324,6,0)),0%,VLOOKUP($A113,'Données projet'!$A$304:$I$324,6,0)*VLOOKUP('Données projet'!$B$19,Paramètres!$A$1:$I$89,7,0))</f>
        <v>0</v>
      </c>
      <c r="IA113" s="16">
        <f>IF(ISNA(VLOOKUP($A113,'Données projet'!$A$304:$I$324,7,0)),0%,VLOOKUP($A113,'Données projet'!$A$304:$I$324,7,0))</f>
        <v>0</v>
      </c>
      <c r="IB113" s="21">
        <f>EXP(-LN(2)/35)*IB112+(1-EXP(-LN(2)/35))/(LN(2)/35)*HX113*HY113*VLOOKUP('Données projet'!$B$19,Paramètres!$A$1:$I$89,3,0)*0.475*44/12</f>
        <v>10.117340470979185</v>
      </c>
      <c r="IC113" s="21">
        <f>EXP(-LN(2)/25)*IC112+(1-EXP(-LN(2)/25))/(LN(2)/25)*Calculateur!HX113*Calculateur!HZ113*VLOOKUP('Données projet'!$B$19,Paramètres!$A$1:$I$89,3,0)*0.475*44/12</f>
        <v>1.0585597421880408</v>
      </c>
      <c r="ID113" s="21">
        <f>EXP(-LN(2)/2)*ID112+(1-EXP(-LN(2)/2))/(LN(2)/2)*HX113*IA113*VLOOKUP('Données projet'!$B$19,Paramètres!$A$1:$I$89,3,0)*0.475*44/12</f>
        <v>5.2100614242952138E-13</v>
      </c>
      <c r="IE113" s="22">
        <f t="shared" si="152"/>
        <v>11.175900213167747</v>
      </c>
      <c r="IF113" s="74">
        <f>('Scénario référence'!$F$8+'Scénario référence'!$F$9+'Scénario référence'!$B$17+'Scénario référence'!$B$9+'Scénario référence'!$B$10)*70+IF((45+25*(1-EXP(-0.0175*$A113)))&lt;70,'Scénario référence'!$B$16*(45+25*(1-EXP(-0.0175*$A113))),70*'Scénario référence'!$B$16)+IF((32+38*(1-EXP(-0.0175*$A113)))&lt;70,'Scénario référence'!$B$18*(32+38*(1-EXP(-0.0175*$A113))),70*'Scénario référence'!$B$18)</f>
        <v>70</v>
      </c>
      <c r="IG113" s="12">
        <f>IF($A113&gt;30,10,('Scénario référence'!$B$16+'Scénario référence'!$B$17+'Scénario référence'!$B$18+'Scénario référence'!$B$9+'Scénario référence'!$B$10)*$A113*10/30+('Scénario référence'!$F$8+'Scénario référence'!$F$9)*10)</f>
        <v>10</v>
      </c>
      <c r="IH113" s="12" t="e">
        <f>VLOOKUP($A113,'Données projet'!$A$330:$I$350,2,0)</f>
        <v>#N/A</v>
      </c>
      <c r="II113" s="12" t="e">
        <f>VLOOKUP($A113,'Données projet'!$A$330:$I$350,9,0)</f>
        <v>#N/A</v>
      </c>
      <c r="IJ113" s="12">
        <f t="array" ref="IJ113">INDEX(II:II,MIN(IF(ISNUMBER(II113:II309),ROW(II113:II309),"")))</f>
        <v>0</v>
      </c>
      <c r="IK113" s="12">
        <f>IF('Données projet'!$A$330&gt;35,IK112+IJ113-IS112,IF($A113&lt;'Données projet'!$A$330,$CQ$205^$A113,IF($A113='Données projet'!$A$330,'Données projet'!$B$330,IK112+IJ113-IS112)))</f>
        <v>0</v>
      </c>
      <c r="IL113" s="17">
        <f>IK113*VLOOKUP('Données projet'!$B$20,Paramètres!$A$1:$I$89,3,0)*VLOOKUP('Données projet'!$B$20,Paramètres!$A$1:$I$89,5,0)</f>
        <v>0</v>
      </c>
      <c r="IM113" s="13" t="e">
        <f t="shared" si="204"/>
        <v>#NUM!</v>
      </c>
      <c r="IN113" s="20" t="e">
        <f t="shared" si="153"/>
        <v>#NUM!</v>
      </c>
      <c r="IO113" s="59" t="e">
        <f t="shared" si="154"/>
        <v>#NUM!</v>
      </c>
      <c r="IP113" s="59">
        <f ca="1">AVERAGE(OFFSET(IO$3,0,0,'Données projet'!$E$20+1,1))-AVERAGE(OFFSET($H$3,0,0,'Données projet'!$E$20+1,1))</f>
        <v>91.60721429656013</v>
      </c>
      <c r="IQ113" s="59">
        <f t="shared" si="205"/>
        <v>258.94957804210856</v>
      </c>
      <c r="IR113" s="15">
        <f>IF(ISNA(VLOOKUP($A113,'Données projet'!$A$330:$I$350,3,0)),0,VLOOKUP($A113,'Données projet'!$A$330:$I$350,3,0))</f>
        <v>0</v>
      </c>
      <c r="IS113" s="15">
        <f>IF(ISNA(VLOOKUP($A113,'Données projet'!$A$330:$I$350,4,0)),0,VLOOKUP($A113,'Données projet'!$A$330:$I$350,4,0))</f>
        <v>0</v>
      </c>
      <c r="IT113" s="16">
        <f>IF(ISNA(VLOOKUP($A113,'Données projet'!$A$330:$I$350,5,0)),0%,VLOOKUP($A113,'Données projet'!$A$330:$I$350,5,0)*VLOOKUP('Données projet'!$B$20,Paramètres!$A$1:$I$89,7,0))</f>
        <v>0</v>
      </c>
      <c r="IU113" s="16">
        <f>IF(ISNA(VLOOKUP($A113,'Données projet'!$A$330:$I$350,6,0)),0%,VLOOKUP($A113,'Données projet'!$A$330:$I$350,6,0)*VLOOKUP('Données projet'!$B$20,Paramètres!$A$1:$I$89,7,0))</f>
        <v>0</v>
      </c>
      <c r="IV113" s="16">
        <f>IF(ISNA(VLOOKUP($A113,'Données projet'!$A$330:$I$350,7,0)),0%,VLOOKUP($A113,'Données projet'!$A$330:$I$350,7,0))</f>
        <v>0</v>
      </c>
      <c r="IW113" s="21">
        <f>EXP(-LN(2)/35)*IW112+(1-EXP(-LN(2)/35))/(LN(2)/35)*IS113*IT113*VLOOKUP('Données projet'!$B$20,Paramètres!$A$1:$I$89,3,0)*0.475*44/12</f>
        <v>10.117340470979185</v>
      </c>
      <c r="IX113" s="21">
        <f>EXP(-LN(2)/25)*IX112+(1-EXP(-LN(2)/25))/(LN(2)/25)*Calculateur!IS113*Calculateur!IU113*VLOOKUP('Données projet'!$B$20,Paramètres!$A$1:$I$89,3,0)*0.475*44/12</f>
        <v>1.0585597421880408</v>
      </c>
      <c r="IY113" s="21">
        <f>EXP(-LN(2)/2)*IY112+(1-EXP(-LN(2)/2))/(LN(2)/2)*IS113*IV113*VLOOKUP('Données projet'!$B$20,Paramètres!$A$1:$I$89,3,0)*0.475*44/12</f>
        <v>5.2100614242952138E-13</v>
      </c>
      <c r="IZ113" s="22">
        <f t="shared" si="155"/>
        <v>11.175900213167747</v>
      </c>
      <c r="JA113" s="74">
        <f>('Scénario référence'!$F$8+'Scénario référence'!$F$9+'Scénario référence'!$B$17+'Scénario référence'!$B$9+'Scénario référence'!$B$10)*70+IF((45+25*(1-EXP(-0.0175*$A113)))&lt;70,'Scénario référence'!$B$16*(45+25*(1-EXP(-0.0175*$A113))),70*'Scénario référence'!$B$16)+IF((32+38*(1-EXP(-0.0175*$A113)))&lt;70,'Scénario référence'!$B$18*(32+38*(1-EXP(-0.0175*$A113))),70*'Scénario référence'!$B$18)</f>
        <v>70</v>
      </c>
      <c r="JB113" s="12">
        <f>IF($A113&gt;30,10,('Scénario référence'!$B$16+'Scénario référence'!$B$17+'Scénario référence'!$B$18+'Scénario référence'!$B$9+'Scénario référence'!$B$10)*$A113*10/30+('Scénario référence'!$F$8+'Scénario référence'!$F$9)*10)</f>
        <v>10</v>
      </c>
      <c r="JC113" s="12">
        <f>VLOOKUP($A113,'Données projet'!$A$356:$I$376,2,0)</f>
        <v>418</v>
      </c>
      <c r="JD113" s="12">
        <f>VLOOKUP($A113,'Données projet'!$A$356:$I$376,9,0)</f>
        <v>4.2</v>
      </c>
      <c r="JE113" s="12">
        <f t="array" ref="JE113">INDEX(JD:JD,MIN(IF(ISNUMBER(JD113:JD309),ROW(JD113:JD309),"")))</f>
        <v>4.2</v>
      </c>
      <c r="JF113" s="12">
        <f>IF('Données projet'!$A$356&gt;35,JF112+JE113-JN112,IF($A113&lt;'Données projet'!$A$356,$CQ$205^$A113,IF($A113='Données projet'!$A$356,'Données projet'!$B$356,JF112+JE113-JN112)))</f>
        <v>417.99999999999937</v>
      </c>
      <c r="JG113" s="17">
        <f>JF113*VLOOKUP('Données projet'!$B$21,Paramètres!$A$1:$I$89,3,0)*VLOOKUP('Données projet'!$B$21,Paramètres!$A$1:$I$89,5,0)</f>
        <v>339.08159999999953</v>
      </c>
      <c r="JH113" s="13">
        <f t="shared" si="206"/>
        <v>79.310169307181852</v>
      </c>
      <c r="JI113" s="20">
        <f t="shared" si="156"/>
        <v>728.69899821000763</v>
      </c>
      <c r="JJ113" s="59">
        <f t="shared" si="157"/>
        <v>1022.0323315433409</v>
      </c>
      <c r="JK113" s="59">
        <f ca="1">AVERAGE(OFFSET($JJ$3,0,0,'Données projet'!$E$22+1,1))-AVERAGE(OFFSET($H$3,0,0,'Données projet'!$E$22+1,1))</f>
        <v>353.35574633294613</v>
      </c>
      <c r="JL113" s="59">
        <f t="shared" si="207"/>
        <v>170.36796666474726</v>
      </c>
      <c r="JM113" s="15">
        <f>IF(ISNA(VLOOKUP($A113,'Données projet'!$A$356:$I$376,3,0)),0,VLOOKUP($A113,'Données projet'!$A$356:$I$376,3,0))</f>
        <v>15</v>
      </c>
      <c r="JN113" s="15">
        <f>IF(ISNA(VLOOKUP($A113,'Données projet'!$A$356:$I$376,4,0)),0,VLOOKUP($A113,'Données projet'!$A$356:$I$376,4,0))</f>
        <v>22</v>
      </c>
      <c r="JO113" s="16">
        <f>IF(ISNA(VLOOKUP($A113,'Données projet'!$A$356:$I$376,5,0)),0%,VLOOKUP($A113,'Données projet'!$A$356:$I$376,5,0)*VLOOKUP('Données projet'!$B$21,Paramètres!$A$1:$I$89,7,0))</f>
        <v>8.6000000000000007E-2</v>
      </c>
      <c r="JP113" s="16">
        <f>IF(ISNA(VLOOKUP($A113,'Données projet'!$A$356:$I$376,6,0)),0%,VLOOKUP($A113,'Données projet'!$A$356:$I$376,6,0)*VLOOKUP('Données projet'!$B$21,Paramètres!$A$1:$I$89,7,0))</f>
        <v>0.215</v>
      </c>
      <c r="JQ113" s="16">
        <f>IF(ISNA(VLOOKUP($A113,'Données projet'!$A$356:$I$376,7,0)),0%,VLOOKUP($A113,'Données projet'!$A$356:$I$376,7,0))</f>
        <v>0.2</v>
      </c>
      <c r="JR113" s="21">
        <f>EXP(-LN(2)/35)*JR112+(1-EXP(-LN(2)/35))/(LN(2)/35)*JN113*JO113*VLOOKUP('Données projet'!$B$21,Paramètres!$A$1:$I$89,3,0)*0.475*44/12</f>
        <v>5.025601852120305</v>
      </c>
      <c r="JS113" s="21">
        <f>EXP(-LN(2)/25)*JS112+(1-EXP(-LN(2)/25))/(LN(2)/25)*Calculateur!JN113*Calculateur!JP113*VLOOKUP('Données projet'!$B$21,Paramètres!$A$1:$I$89,3,0)*0.475*44/12</f>
        <v>17.684302710809149</v>
      </c>
      <c r="JT113" s="21">
        <f>EXP(-LN(2)/2)*JT112+(1-EXP(-LN(2)/2))/(LN(2)/2)*JN113*JQ113*VLOOKUP('Données projet'!$B$21,Paramètres!$A$1:$I$89,3,0)*0.475*44/12</f>
        <v>3.4885885508572012</v>
      </c>
      <c r="JU113" s="18">
        <f t="shared" si="158"/>
        <v>26.198493113786654</v>
      </c>
      <c r="JV113" s="74">
        <f>('Scénario référence'!$F$8+'Scénario référence'!$F$9+'Scénario référence'!$B$17+'Scénario référence'!$B$9+'Scénario référence'!$B$10)*70+IF((45+25*(1-EXP(-0.0175*$A113)))&lt;70,'Scénario référence'!$B$16*(45+25*(1-EXP(-0.0175*$A113))),70*'Scénario référence'!$B$16)+IF((32+38*(1-EXP(-0.0175*$A113)))&lt;70,'Scénario référence'!$B$18*(32+38*(1-EXP(-0.0175*$A113))),70*'Scénario référence'!$B$18)</f>
        <v>70</v>
      </c>
      <c r="JW113" s="12">
        <f>IF($A113&gt;30,10,('Scénario référence'!$B$16+'Scénario référence'!$B$17+'Scénario référence'!$B$18+'Scénario référence'!$B$9+'Scénario référence'!$B$10)*$A113*10/30+('Scénario référence'!$F$8+'Scénario référence'!$F$9)*10)</f>
        <v>10</v>
      </c>
      <c r="JX113" s="12" t="e">
        <f>VLOOKUP($A113,'Données projet'!$A$382:$I$402,2,0)</f>
        <v>#N/A</v>
      </c>
      <c r="JY113" s="12" t="e">
        <f>VLOOKUP($A113,'Données projet'!$A$382:$I$402,9,0)</f>
        <v>#N/A</v>
      </c>
      <c r="JZ113" s="12">
        <f t="array" ref="JZ113">INDEX(JY:JY,MIN(IF(ISNUMBER(JY113:JY309),ROW(JY113:JY309),"")))</f>
        <v>6.8461538461538511</v>
      </c>
      <c r="KA113" s="12">
        <f>IF('Données projet'!$A$382&gt;35,KA112+JZ113-KI112,IF($A113&lt;'Données projet'!$A$382,$CQ$205^$A113,IF($A113='Données projet'!$A$382,'Données projet'!$B$382,KA112+JZ113-KI112)))</f>
        <v>295.72435897435923</v>
      </c>
      <c r="KB113" s="17">
        <f>KA113*VLOOKUP('Données projet'!$B$22,Paramètres!$A$1:$I$89,3,0)*VLOOKUP('Données projet'!$B$22,Paramètres!$A$1:$I$89,5,0)</f>
        <v>198.37190000000018</v>
      </c>
      <c r="KC113" s="13">
        <f t="shared" si="208"/>
        <v>49.386190586495843</v>
      </c>
      <c r="KD113" s="20">
        <f t="shared" si="159"/>
        <v>431.51200777148057</v>
      </c>
      <c r="KE113" s="59">
        <f t="shared" si="160"/>
        <v>724.84534110481388</v>
      </c>
      <c r="KF113" s="59">
        <f ca="1">AVERAGE(OFFSET($KE$3,0,0,'Données projet'!$E$22+1,1))-AVERAGE(OFFSET($H$3,0,0,'Données projet'!$E$22+1,1))</f>
        <v>193.91714772848269</v>
      </c>
      <c r="KG113" s="59">
        <f t="shared" si="209"/>
        <v>159.20429420478047</v>
      </c>
      <c r="KH113" s="15">
        <f>IF(ISNA(VLOOKUP($A113,'Données projet'!$A$382:$I$402,3,0)),0,VLOOKUP($A113,'Données projet'!$A$382:$I$402,3,0))</f>
        <v>0</v>
      </c>
      <c r="KI113" s="15">
        <f>IF(ISNA(VLOOKUP($A113,'Données projet'!$A$382:$I$402,4,0)),0,VLOOKUP($A113,'Données projet'!$A$382:$I$402,4,0))</f>
        <v>0</v>
      </c>
      <c r="KJ113" s="16">
        <f>IF(ISNA(VLOOKUP($A113,'Données projet'!$A$382:$I$402,5,0)),0%,VLOOKUP($A113,'Données projet'!$A$382:$I$402,5,0)*VLOOKUP('Données projet'!$B$22,Paramètres!$A$1:$I$89,7,0))</f>
        <v>0</v>
      </c>
      <c r="KK113" s="16">
        <f>IF(ISNA(VLOOKUP($A113,'Données projet'!$A$382:$I$402,6,0)),0%,VLOOKUP($A113,'Données projet'!$A$382:$I$402,6,0)*VLOOKUP('Données projet'!$B$22,Paramètres!$A$1:$I$89,7,0))</f>
        <v>0</v>
      </c>
      <c r="KL113" s="16">
        <f>IF(ISNA(VLOOKUP($A113,'Données projet'!$A$382:$I$402,7,0)),0%,VLOOKUP($A113,'Données projet'!$A$382:$I$402,7,0))</f>
        <v>0</v>
      </c>
      <c r="KM113" s="21">
        <f>EXP(-LN(2)/35)*KM112+(1-EXP(-LN(2)/35))/(LN(2)/35)*KI113*KJ113*VLOOKUP('Données projet'!$B$22,Paramètres!$A$1:$I$89,3,0)*0.475*44/12</f>
        <v>53.903069850878609</v>
      </c>
      <c r="KN113" s="21">
        <f>EXP(-LN(2)/25)*KN112+(1-EXP(-LN(2)/25))/(LN(2)/25)*Calculateur!KI113*Calculateur!KK113*VLOOKUP('Données projet'!$B$22,Paramètres!$A$1:$I$89,3,0)*0.475*44/12</f>
        <v>0</v>
      </c>
      <c r="KO113" s="21">
        <f>EXP(-LN(2)/2)*KO112+(1-EXP(-LN(2)/2))/(LN(2)/2)*KI113*KL113*VLOOKUP('Données projet'!$B$22,Paramètres!$A$1:$I$89,3,0)*0.475*44/12</f>
        <v>0</v>
      </c>
      <c r="KP113" s="22">
        <f t="shared" si="161"/>
        <v>53.903069850878609</v>
      </c>
      <c r="KQ113" s="74">
        <f>('Scénario référence'!$F$8+'Scénario référence'!$F$9+'Scénario référence'!$B$17+'Scénario référence'!$B$9+'Scénario référence'!$B$10)*70+IF((45+25*(1-EXP(-0.0175*$A113)))&lt;70,'Scénario référence'!$B$16*(45+25*(1-EXP(-0.0175*$A113))),70*'Scénario référence'!$B$16)+IF((32+38*(1-EXP(-0.0175*$A113)))&lt;70,'Scénario référence'!$B$18*(32+38*(1-EXP(-0.0175*$A113))),70*'Scénario référence'!$B$18)</f>
        <v>70</v>
      </c>
      <c r="KR113" s="12">
        <f>IF($A113&gt;30,10,('Scénario référence'!$B$16+'Scénario référence'!$B$17+'Scénario référence'!$B$18+'Scénario référence'!$B$9+'Scénario référence'!$B$10)*$A113*10/30+('Scénario référence'!$F$8+'Scénario référence'!$F$9)*10)</f>
        <v>10</v>
      </c>
      <c r="KS113" s="12" t="e">
        <f>VLOOKUP($A113,'Données projet'!$A$408:$I$428,2,0)</f>
        <v>#N/A</v>
      </c>
      <c r="KT113" s="12" t="e">
        <f>VLOOKUP($A113,'Données projet'!$A$408:$I$428,9,0)</f>
        <v>#N/A</v>
      </c>
      <c r="KU113" s="12">
        <f t="array" ref="KU113">INDEX(KT:KT,MIN(IF(ISNUMBER(KT113:KT309),ROW(KT113:KT309),"")))</f>
        <v>0</v>
      </c>
      <c r="KV113" s="12">
        <f>IF('Données projet'!$A$408&gt;35,KV112+KU113-LD112,IF($A113&lt;'Données projet'!$A$408,$CQ$205^$A113,IF($A113='Données projet'!$A$408,'Données projet'!$B$408,KV112+KU113-LD112)))</f>
        <v>-1.1368683772161603E-13</v>
      </c>
      <c r="KW113" s="17">
        <f>KV113*VLOOKUP('Données projet'!$B$23,Paramètres!$A$1:$I$89,3,0)*VLOOKUP('Données projet'!$B$23,Paramètres!$A$1:$I$89,5,0)</f>
        <v>-9.9316821433603781E-14</v>
      </c>
      <c r="KX113" s="13" t="e">
        <f t="shared" si="210"/>
        <v>#NUM!</v>
      </c>
      <c r="KY113" s="14" t="e">
        <f t="shared" si="162"/>
        <v>#NUM!</v>
      </c>
      <c r="KZ113" s="59" t="e">
        <f t="shared" si="163"/>
        <v>#NUM!</v>
      </c>
      <c r="LA113" s="59">
        <f ca="1">AVERAGE(OFFSET($KZ$3,0,0,'Données projet'!$E$23+1,1))-AVERAGE(OFFSET($H$3,0,0,'Données projet'!$E$23+1,1))</f>
        <v>248.33596943633819</v>
      </c>
      <c r="LB113" s="59">
        <f t="shared" si="211"/>
        <v>242.34010522344573</v>
      </c>
      <c r="LC113" s="15">
        <f>IF(ISNA(VLOOKUP($A113,'Données projet'!$A$408:$I$428,3,0)),0,VLOOKUP($A113,'Données projet'!$A$408:$I$428,3,0))</f>
        <v>0</v>
      </c>
      <c r="LD113" s="15">
        <f>IF(ISNA(VLOOKUP($A113,'Données projet'!$A$408:$I$428,4,0)),0,VLOOKUP($A113,'Données projet'!$A$408:$I$428,4,0))</f>
        <v>0</v>
      </c>
      <c r="LE113" s="16">
        <f>IF(ISNA(VLOOKUP($A113,'Données projet'!$A$408:$I$428,5,0)),0%,VLOOKUP($A113,'Données projet'!$A$408:$I$428,5,0)*VLOOKUP('Données projet'!$B$23,Paramètres!$A$1:$I$89,7,0))</f>
        <v>0</v>
      </c>
      <c r="LF113" s="16">
        <f>IF(ISNA(VLOOKUP($A113,'Données projet'!$A$408:$I$428,6,0)),0%,VLOOKUP($A113,'Données projet'!$A$408:$I$428,6,0)*VLOOKUP('Données projet'!$B$23,Paramètres!$A$1:$I$89,7,0))</f>
        <v>0</v>
      </c>
      <c r="LG113" s="16">
        <f>IF(ISNA(VLOOKUP($A113,'Données projet'!$A$408:$I$428,7,0)),0%,VLOOKUP($A113,'Données projet'!$A$408:$I$428,7,0))</f>
        <v>0</v>
      </c>
      <c r="LH113" s="21">
        <f>EXP(-LN(2)/35)*LH112+(1-EXP(-LN(2)/35))/(LN(2)/35)*LD113*LE113*VLOOKUP('Données projet'!$B$23,Paramètres!$A$1:$I$89,3,0)*0.475*44/12</f>
        <v>68.023177104529836</v>
      </c>
      <c r="LI113" s="21">
        <f>EXP(-LN(2)/25)*LI112+(1-EXP(-LN(2)/25))/(LN(2)/25)*Calculateur!LD113*Calculateur!LF113*VLOOKUP('Données projet'!$B$23,Paramètres!$A$1:$I$89,3,0)*0.475*44/12</f>
        <v>9.4790370502020966</v>
      </c>
      <c r="LJ113" s="21">
        <f>EXP(-LN(2)/2)*LJ112+(1-EXP(-LN(2)/2))/(LN(2)/2)*LD113*LG113*VLOOKUP('Données projet'!$B$23,Paramètres!$A$1:$I$89,3,0)*0.475*44/12</f>
        <v>0</v>
      </c>
      <c r="LK113" s="22">
        <f t="shared" si="164"/>
        <v>77.502214154731931</v>
      </c>
      <c r="LL113" s="74">
        <f>('Scénario référence'!$F$8+'Scénario référence'!$F$9+'Scénario référence'!$B$17+'Scénario référence'!$B$9+'Scénario référence'!$B$10)*70+IF((45+25*(1-EXP(-0.0175*$A113)))&lt;70,'Scénario référence'!$B$16*(45+25*(1-EXP(-0.0175*$A113))),70*'Scénario référence'!$B$16)+IF((32+38*(1-EXP(-0.0175*$A113)))&lt;70,'Scénario référence'!$B$18*(32+38*(1-EXP(-0.0175*$A113))),70*'Scénario référence'!$B$18)</f>
        <v>70</v>
      </c>
      <c r="LM113" s="12">
        <f>IF($A113&gt;30,10,('Scénario référence'!$B$16+'Scénario référence'!$B$17+'Scénario référence'!$B$18+'Scénario référence'!$B$9+'Scénario référence'!$B$10)*$A113*10/30+('Scénario référence'!$F$8+'Scénario référence'!$F$9)*10)</f>
        <v>10</v>
      </c>
      <c r="LN113" s="12" t="e">
        <f>VLOOKUP($A113,'Données projet'!$A$434:$I$454,2,0)</f>
        <v>#N/A</v>
      </c>
      <c r="LO113" s="12" t="e">
        <f>VLOOKUP($A113,'Données projet'!$A$434:$I$454,9,0)</f>
        <v>#N/A</v>
      </c>
      <c r="LP113" s="12">
        <f t="array" ref="LP113">INDEX(LO:LO,MIN(IF(ISNUMBER(LO113:LO309),ROW(LO113:LO309),"")))</f>
        <v>5.0961538461538449</v>
      </c>
      <c r="LQ113" s="12">
        <f>IF('Données projet'!$A$434&gt;35,LQ112+LP113-LY112,IF($A113&lt;'Données projet'!$A$434,$CQ$205^$A113,IF($A113='Données projet'!$A$434,'Données projet'!$B$434,LQ112+LP113-LY112)))</f>
        <v>230.92948717948684</v>
      </c>
      <c r="LR113" s="17">
        <f>LQ113*VLOOKUP('Données projet'!$B$24,Paramètres!$A$1:$I$89,3,0)*VLOOKUP('Données projet'!$B$24,Paramètres!$A$1:$I$89,5,0)</f>
        <v>234.16249999999968</v>
      </c>
      <c r="LS113" s="13">
        <f t="shared" si="212"/>
        <v>57.181769678978526</v>
      </c>
      <c r="LT113" s="14">
        <f t="shared" si="165"/>
        <v>507.42460302422029</v>
      </c>
      <c r="LU113" s="59">
        <f t="shared" si="166"/>
        <v>800.7579363575536</v>
      </c>
      <c r="LV113" s="59">
        <f ca="1">AVERAGE(OFFSET($LU$3,0,0,'Données projet'!$E$24+1,1))-AVERAGE(OFFSET($H$3,0,0,'Données projet'!$E$24+1,1))</f>
        <v>260.52627655062872</v>
      </c>
      <c r="LW113" s="59">
        <f t="shared" si="213"/>
        <v>159.20429420478047</v>
      </c>
      <c r="LX113" s="15">
        <f>IF(ISNA(VLOOKUP($A113,'Données projet'!$A$434:$I$454,3,0)),0,VLOOKUP($A113,'Données projet'!$A$434:$I$454,3,0))</f>
        <v>0</v>
      </c>
      <c r="LY113" s="15">
        <f>IF(ISNA(VLOOKUP($A113,'Données projet'!$A$434:$I$454,4,0)),0,VLOOKUP($A113,'Données projet'!$A$434:$I$454,4,0))</f>
        <v>0</v>
      </c>
      <c r="LZ113" s="16">
        <f>IF(ISNA(VLOOKUP($A113,'Données projet'!$A$434:$I$454,5,0)),0%,VLOOKUP($A113,'Données projet'!$A$434:$I$454,5,0)*VLOOKUP('Données projet'!$B$24,Paramètres!$A$1:$I$89,7,0))</f>
        <v>0</v>
      </c>
      <c r="MA113" s="16">
        <f>IF(ISNA(VLOOKUP($A113,'Données projet'!$A$434:$I$454,6,0)),0%,VLOOKUP($A113,'Données projet'!$A$434:$I$454,6,0)*VLOOKUP('Données projet'!$B$24,Paramètres!$A$1:$I$89,7,0))</f>
        <v>0</v>
      </c>
      <c r="MB113" s="16">
        <f>IF(ISNA(VLOOKUP($A113,'Données projet'!$A$434:$I$454,7,0)),0%,VLOOKUP($A113,'Données projet'!$A$434:$I$454,7,0))</f>
        <v>0</v>
      </c>
      <c r="MC113" s="21">
        <f>EXP(-LN(2)/35)*MC112+(1-EXP(-LN(2)/35))/(LN(2)/35)*LY113*LZ113*VLOOKUP('Données projet'!$B$24,Paramètres!$A$1:$I$89,3,0)*0.475*44/12</f>
        <v>31.143925178416833</v>
      </c>
      <c r="MD113" s="21">
        <f>EXP(-LN(2)/25)*MD112+(1-EXP(-LN(2)/25))/(LN(2)/25)*Calculateur!LY113*Calculateur!MA113*VLOOKUP('Données projet'!$B$24,Paramètres!$A$1:$I$89,3,0)*0.475*44/12</f>
        <v>0</v>
      </c>
      <c r="ME113" s="21">
        <f>EXP(-LN(2)/2)*ME112+(1-EXP(-LN(2)/2))/(LN(2)/2)*LY113*MB113*VLOOKUP('Données projet'!$B$24,Paramètres!$A$1:$I$89,3,0)*0.475*44/12</f>
        <v>0</v>
      </c>
      <c r="MF113" s="22">
        <f t="shared" si="167"/>
        <v>31.143925178416833</v>
      </c>
      <c r="MG113" s="74">
        <f>('Scénario référence'!$F$8+'Scénario référence'!$F$9+'Scénario référence'!$B$17+'Scénario référence'!$B$9+'Scénario référence'!$B$10)*70+IF((45+25*(1-EXP(-0.0175*$A113)))&lt;70,'Scénario référence'!$B$16*(45+25*(1-EXP(-0.0175*$A113))),70*'Scénario référence'!$B$16)+IF((32+38*(1-EXP(-0.0175*$A113)))&lt;70,'Scénario référence'!$B$18*(32+38*(1-EXP(-0.0175*$A113))),70*'Scénario référence'!$B$18)</f>
        <v>70</v>
      </c>
      <c r="MH113" s="12">
        <f>IF($A113&gt;30,10,('Scénario référence'!$B$16+'Scénario référence'!$B$17+'Scénario référence'!$B$18+'Scénario référence'!$B$9+'Scénario référence'!$B$10)*$A113*10/30+('Scénario référence'!$F$8+'Scénario référence'!$F$9)*10)</f>
        <v>10</v>
      </c>
      <c r="MI113" s="12" t="e">
        <f>VLOOKUP($A113,'Données projet'!$A$460:$I$480,2,0)</f>
        <v>#N/A</v>
      </c>
      <c r="MJ113" s="12" t="e">
        <f>VLOOKUP($A113,'Données projet'!$A$460:$I$480,9,0)</f>
        <v>#N/A</v>
      </c>
      <c r="MK113" s="12">
        <f t="array" ref="MK113">INDEX(MJ:MJ,MIN(IF(ISNUMBER(MJ113:MJ309),ROW(MJ113:MJ309),"")))</f>
        <v>0</v>
      </c>
      <c r="ML113" s="12">
        <f>IF('Données projet'!$A$460&gt;35,ML112+MK113-MT112,IF($A113&lt;'Données projet'!$A$460,$CQ$205^$A113,IF($A113='Données projet'!$A$460,'Données projet'!$B$460,ML112+MK113-MT112)))</f>
        <v>0</v>
      </c>
      <c r="MM113" s="17" t="e">
        <f>ML113*VLOOKUP('Données projet'!$B$25,Paramètres!$A$1:$I$89,3,0)*VLOOKUP('Données projet'!$B$25,Paramètres!$A$1:$I$89,5,0)</f>
        <v>#N/A</v>
      </c>
      <c r="MN113" s="13" t="e">
        <f t="shared" si="214"/>
        <v>#N/A</v>
      </c>
      <c r="MO113" s="14" t="e">
        <f t="shared" si="168"/>
        <v>#N/A</v>
      </c>
      <c r="MP113" s="59" t="e">
        <f t="shared" si="169"/>
        <v>#N/A</v>
      </c>
      <c r="MQ113" s="20" t="e">
        <f ca="1">AVERAGE(OFFSET($MP$3,0,0,'Données projet'!$E$25+1,1))-AVERAGE(OFFSET($H$3,0,0,'Données projet'!$E$25+1,1))</f>
        <v>#N/A</v>
      </c>
      <c r="MR113" s="59" t="e">
        <f t="shared" si="215"/>
        <v>#N/A</v>
      </c>
      <c r="MS113" s="15">
        <f>IF(ISNA(VLOOKUP($A113,'Données projet'!$A$460:$I$480,3,0)),0,VLOOKUP($A113,'Données projet'!$A$460:$I$480,3,0))</f>
        <v>0</v>
      </c>
      <c r="MT113" s="15">
        <f>IF(ISNA(VLOOKUP($A113,'Données projet'!$A$460:$I$480,4,0)),0,VLOOKUP($A113,'Données projet'!$A$460:$I$480,4,0))</f>
        <v>0</v>
      </c>
      <c r="MU113" s="16">
        <f>IF(ISNA(VLOOKUP($A113,'Données projet'!$A$460:$I$480,5,0)),0%,VLOOKUP($A113,'Données projet'!$A$460:$I$480,5,0)*VLOOKUP('Données projet'!$B$25,Paramètres!$A$1:$I$89,7,0))</f>
        <v>0</v>
      </c>
      <c r="MV113" s="16">
        <f>IF(ISNA(VLOOKUP($A113,'Données projet'!$A$460:$I$480,6,0)),0%,VLOOKUP($A113,'Données projet'!$A$460:$I$480,6,0)*VLOOKUP('Données projet'!$B$25,Paramètres!$A$1:$I$89,7,0))</f>
        <v>0</v>
      </c>
      <c r="MW113" s="16">
        <f>IF(ISNA(VLOOKUP($A113,'Données projet'!$A$460:$I$480,7,0)),0%,VLOOKUP($A113,'Données projet'!$A$460:$I$480,7,0))</f>
        <v>0</v>
      </c>
      <c r="MX113" s="21" t="e">
        <f>EXP(-LN(2)/35)*MX112+(1-EXP(-LN(2)/35))/(LN(2)/35)*MT113*MU113*VLOOKUP('Données projet'!$B$25,Paramètres!$A$1:$I$89,3,0)*0.475*44/12</f>
        <v>#N/A</v>
      </c>
      <c r="MY113" s="21" t="e">
        <f>EXP(-LN(2)/25)*MY112+(1-EXP(-LN(2)/25))/(LN(2)/25)*Calculateur!MT113*Calculateur!MV113*VLOOKUP('Données projet'!$B$25,Paramètres!$A$1:$I$89,3,0)*0.475*44/12</f>
        <v>#N/A</v>
      </c>
      <c r="MZ113" s="21" t="e">
        <f>EXP(-LN(2)/2)*MZ112+(1-EXP(-LN(2)/2))/(LN(2)/2)*MT113*MW113*VLOOKUP('Données projet'!$B$25,Paramètres!$A$1:$I$89,3,0)*0.475*44/12</f>
        <v>#N/A</v>
      </c>
      <c r="NA113" s="22" t="e">
        <f t="shared" si="170"/>
        <v>#N/A</v>
      </c>
      <c r="NB113" s="74">
        <f>('Scénario référence'!$F$8+'Scénario référence'!$F$9+'Scénario référence'!$B$17+'Scénario référence'!$B$9+'Scénario référence'!$B$10)*70+IF((45+25*(1-EXP(-0.0175*$A113)))&lt;70,'Scénario référence'!$B$16*(45+25*(1-EXP(-0.0175*$A113))),70*'Scénario référence'!$B$16)+IF((32+38*(1-EXP(-0.0175*$A113)))&lt;70,'Scénario référence'!$B$18*(32+38*(1-EXP(-0.0175*$A113))),70*'Scénario référence'!$B$18)</f>
        <v>70</v>
      </c>
      <c r="NC113" s="12">
        <f>IF($A113&gt;30,10,('Scénario référence'!$B$16+'Scénario référence'!$B$17+'Scénario référence'!$B$18+'Scénario référence'!$B$9+'Scénario référence'!$B$10)*$A113*10/30+('Scénario référence'!$F$8+'Scénario référence'!$F$9)*10)</f>
        <v>10</v>
      </c>
      <c r="ND113" s="12" t="e">
        <f>VLOOKUP($A113,'Données projet'!$A$486:$I$506,2,0)</f>
        <v>#N/A</v>
      </c>
      <c r="NE113" s="12" t="e">
        <f>VLOOKUP($A113,'Données projet'!$A$486:$I$506,9,0)</f>
        <v>#N/A</v>
      </c>
      <c r="NF113" s="12">
        <f t="array" ref="NF113">INDEX(NE:NE,MIN(IF(ISNUMBER(NE113:NE309),ROW(NE113:NE309),"")))</f>
        <v>0</v>
      </c>
      <c r="NG113" s="12">
        <f>IF('Données projet'!$A$486&gt;35,NG112+NF113-NO112,IF($A113&lt;'Données projet'!$A$486,$CQ$205^$A113,IF($A113='Données projet'!$A$486,'Données projet'!$B$486,NG112+NF113-NO112)))</f>
        <v>0</v>
      </c>
      <c r="NH113" s="17" t="e">
        <f>NG113*VLOOKUP('Données projet'!$B$26,Paramètres!$A$1:$I$89,3,0)*VLOOKUP('Données projet'!$B$26,Paramètres!$A$1:$I$89,5,0)</f>
        <v>#N/A</v>
      </c>
      <c r="NI113" s="13" t="e">
        <f t="shared" si="216"/>
        <v>#N/A</v>
      </c>
      <c r="NJ113" s="14" t="e">
        <f t="shared" si="171"/>
        <v>#N/A</v>
      </c>
      <c r="NK113" s="59" t="e">
        <f t="shared" si="172"/>
        <v>#N/A</v>
      </c>
      <c r="NL113" s="20" t="e">
        <f ca="1">AVERAGE(OFFSET($NK$3,0,0,'Données projet'!$E$26+1,1))-AVERAGE(OFFSET($H$3,0,0,'Données projet'!$E$26+1,1))</f>
        <v>#N/A</v>
      </c>
      <c r="NM113" s="59" t="e">
        <f t="shared" si="217"/>
        <v>#N/A</v>
      </c>
      <c r="NN113" s="15">
        <f>IF(ISNA(VLOOKUP($A113,'Données projet'!$A$486:$I$506,3,0)),0,VLOOKUP($A113,'Données projet'!$A$486:$I$506,3,0))</f>
        <v>0</v>
      </c>
      <c r="NO113" s="15">
        <f>IF(ISNA(VLOOKUP($A113,'Données projet'!$A$486:$I$506,4,0)),0,VLOOKUP($A113,'Données projet'!$A$486:$I$506,4,0))</f>
        <v>0</v>
      </c>
      <c r="NP113" s="16">
        <f>IF(ISNA(VLOOKUP($A113,'Données projet'!$A$486:$I$506,5,0)),0%,VLOOKUP($A113,'Données projet'!$A$486:$I$506,5,0)*VLOOKUP('Données projet'!$B$26,Paramètres!$A$1:$I$89,7,0))</f>
        <v>0</v>
      </c>
      <c r="NQ113" s="16">
        <f>IF(ISNA(VLOOKUP($A113,'Données projet'!$A$486:$I$506,6,0)),0%,VLOOKUP($A113,'Données projet'!$A$486:$I$506,6,0)*VLOOKUP('Données projet'!$B$26,Paramètres!$A$1:$I$89,7,0))</f>
        <v>0</v>
      </c>
      <c r="NR113" s="16">
        <f>IF(ISNA(VLOOKUP($A113,'Données projet'!$A$486:$I$506,7,0)),0%,VLOOKUP($A113,'Données projet'!$A$486:$I$506,7,0))</f>
        <v>0</v>
      </c>
      <c r="NS113" s="21" t="e">
        <f>EXP(-LN(2)/35)*NS112+(1-EXP(-LN(2)/35))/(LN(2)/35)*NO113*NP113*VLOOKUP('Données projet'!$B$26,Paramètres!$A$1:$I$89,3,0)*0.475*44/12</f>
        <v>#N/A</v>
      </c>
      <c r="NT113" s="21" t="e">
        <f>EXP(-LN(2)/25)*NT112+(1-EXP(-LN(2)/25))/(LN(2)/25)*Calculateur!NO113*Calculateur!NQ113*VLOOKUP('Données projet'!$B$26,Paramètres!$A$1:$I$89,3,0)*0.475*44/12</f>
        <v>#N/A</v>
      </c>
      <c r="NU113" s="21" t="e">
        <f>EXP(-LN(2)/2)*NU112+(1-EXP(-LN(2)/2))/(LN(2)/2)*NO113*NR113*VLOOKUP('Données projet'!$B$26,Paramètres!$A$1:$I$89,3,0)*0.475*44/12</f>
        <v>#N/A</v>
      </c>
      <c r="NV113" s="22" t="e">
        <f t="shared" si="173"/>
        <v>#N/A</v>
      </c>
      <c r="NW113" s="74">
        <f>('Scénario référence'!$F$8+'Scénario référence'!$F$9+'Scénario référence'!$B$17+'Scénario référence'!$B$9+'Scénario référence'!$B$10)*70+IF((45+25*(1-EXP(-0.0175*$A113)))&lt;70,'Scénario référence'!$B$16*(45+25*(1-EXP(-0.0175*$A113))),70*'Scénario référence'!$B$16)+IF((32+38*(1-EXP(-0.0175*$A113)))&lt;70,'Scénario référence'!$B$18*(32+38*(1-EXP(-0.0175*$A113))),70*'Scénario référence'!$B$18)</f>
        <v>70</v>
      </c>
      <c r="NX113" s="12">
        <f>IF($A113&gt;30,10,('Scénario référence'!$B$16+'Scénario référence'!$B$17+'Scénario référence'!$B$18+'Scénario référence'!$B$9+'Scénario référence'!$B$10)*$A113*10/30+('Scénario référence'!$F$8+'Scénario référence'!$F$9)*10)</f>
        <v>10</v>
      </c>
      <c r="NY113" s="12" t="e">
        <f>VLOOKUP($A113,'Données projet'!$A$512:$I$532,2,0)</f>
        <v>#N/A</v>
      </c>
      <c r="NZ113" s="12" t="e">
        <f>VLOOKUP($A113,'Données projet'!$A$512:$I$532,9,0)</f>
        <v>#N/A</v>
      </c>
      <c r="OA113" s="12">
        <f t="array" ref="OA113">INDEX(NZ:NZ,MIN(IF(ISNUMBER(NZ113:NZ309),ROW(NZ113:NZ309),"")))</f>
        <v>0</v>
      </c>
      <c r="OB113" s="12">
        <f>IF('Données projet'!$A$512&gt;35,OB112+OA113-OJ112,IF($A113&lt;'Données projet'!$A$512,$CQ$205^$A113,IF($A113='Données projet'!$A$512,'Données projet'!$B$512,OB112+OA113-OJ112)))</f>
        <v>0</v>
      </c>
      <c r="OC113" s="17" t="e">
        <f>OB113*VLOOKUP('Données projet'!$B$27,Paramètres!$A$1:$I$89,3,0)*VLOOKUP('Données projet'!$B$27,Paramètres!$A$1:$I$89,5,0)</f>
        <v>#N/A</v>
      </c>
      <c r="OD113" s="13" t="e">
        <f t="shared" si="218"/>
        <v>#N/A</v>
      </c>
      <c r="OE113" s="14" t="e">
        <f t="shared" si="174"/>
        <v>#N/A</v>
      </c>
      <c r="OF113" s="59" t="e">
        <f t="shared" si="175"/>
        <v>#N/A</v>
      </c>
      <c r="OG113" s="20" t="e">
        <f ca="1">AVERAGE(OFFSET($OF$3,0,0,'Données projet'!$E$27+1,1))-AVERAGE(OFFSET($H$3,0,0,'Données projet'!$E$27+1,1))</f>
        <v>#N/A</v>
      </c>
      <c r="OH113" s="59" t="e">
        <f t="shared" si="219"/>
        <v>#N/A</v>
      </c>
      <c r="OI113" s="15">
        <f>IF(ISNA(VLOOKUP($A113,'Données projet'!$A$512:$I$532,3,0)),0,VLOOKUP($A113,'Données projet'!$A$512:$I$532,3,0))</f>
        <v>0</v>
      </c>
      <c r="OJ113" s="15">
        <f>IF(ISNA(VLOOKUP($A113,'Données projet'!$A$512:$I$532,4,0)),0,VLOOKUP($A113,'Données projet'!$A$512:$I$532,4,0))</f>
        <v>0</v>
      </c>
      <c r="OK113" s="16">
        <f>IF(ISNA(VLOOKUP($A113,'Données projet'!$A$512:$I$532,5,0)),0%,VLOOKUP($A113,'Données projet'!$A$512:$I$532,5,0)*VLOOKUP('Données projet'!$B$27,Paramètres!$A$1:$I$89,7,0))</f>
        <v>0</v>
      </c>
      <c r="OL113" s="16">
        <f>IF(ISNA(VLOOKUP($A113,'Données projet'!$A$512:$I$532,6,0)),0%,VLOOKUP($A113,'Données projet'!$A$512:$I$532,6,0)*VLOOKUP('Données projet'!$B$27,Paramètres!$A$1:$I$89,7,0))</f>
        <v>0</v>
      </c>
      <c r="OM113" s="16">
        <f>IF(ISNA(VLOOKUP($A113,'Données projet'!$A$512:$I$532,7,0)),0%,VLOOKUP($A113,'Données projet'!$A$512:$I$532,7,0))</f>
        <v>0</v>
      </c>
      <c r="ON113" s="21" t="e">
        <f>EXP(-LN(2)/35)*ON112+(1-EXP(-LN(2)/35))/(LN(2)/35)*OJ113*OK113*VLOOKUP('Données projet'!$B$27,Paramètres!$A$1:$I$89,3,0)*0.475*44/12</f>
        <v>#N/A</v>
      </c>
      <c r="OO113" s="21" t="e">
        <f>EXP(-LN(2)/25)*OO112+(1-EXP(-LN(2)/25))/(LN(2)/25)*Calculateur!OJ113*Calculateur!OL113*VLOOKUP('Données projet'!$B$27,Paramètres!$A$1:$I$89,3,0)*0.475*44/12</f>
        <v>#N/A</v>
      </c>
      <c r="OP113" s="21" t="e">
        <f>EXP(-LN(2)/2)*OP112+(1-EXP(-LN(2)/2))/(LN(2)/2)*OJ113*OM113*VLOOKUP('Données projet'!$B$27,Paramètres!$A$1:$I$89,3,0)*0.475*44/12</f>
        <v>#N/A</v>
      </c>
      <c r="OQ113" s="22" t="e">
        <f t="shared" si="176"/>
        <v>#N/A</v>
      </c>
      <c r="OR113" s="74">
        <f>('Scénario référence'!$F$8+'Scénario référence'!$F$9+'Scénario référence'!$B$17+'Scénario référence'!$B$9+'Scénario référence'!$B$10)*70+IF((45+25*(1-EXP(-0.0175*$A113)))&lt;70,'Scénario référence'!$B$16*(45+25*(1-EXP(-0.0175*$A113))),70*'Scénario référence'!$B$16)+IF((32+38*(1-EXP(-0.0175*$A113)))&lt;70,'Scénario référence'!$B$18*(32+38*(1-EXP(-0.0175*$A113))),70*'Scénario référence'!$B$18)</f>
        <v>70</v>
      </c>
      <c r="OS113" s="12">
        <f>IF($A113&gt;30,10,('Scénario référence'!$B$16+'Scénario référence'!$B$17+'Scénario référence'!$B$18+'Scénario référence'!$B$9+'Scénario référence'!$B$10)*$A113*10/30+('Scénario référence'!$F$8+'Scénario référence'!$F$9)*10)</f>
        <v>10</v>
      </c>
      <c r="OT113" s="12" t="e">
        <f>VLOOKUP($A113,'Données projet'!$A$538:$I$558,2,0)</f>
        <v>#N/A</v>
      </c>
      <c r="OU113" s="12" t="e">
        <f>VLOOKUP($A113,'Données projet'!$A$538:$I$558,9,0)</f>
        <v>#N/A</v>
      </c>
      <c r="OV113" s="12">
        <f t="array" ref="OV113">INDEX(OU:OU,MIN(IF(ISNUMBER(OU113:OU309),ROW(OU113:OU309),"")))</f>
        <v>0</v>
      </c>
      <c r="OW113" s="12">
        <f>IF('Données projet'!$A$538&gt;35,OW112+OV113-PE112,IF($A113&lt;'Données projet'!$A$538,$CQ$205^$A113,IF($A113='Données projet'!$A$538,'Données projet'!$B$538,OW112+OV113-PE112)))</f>
        <v>0</v>
      </c>
      <c r="OX113" s="17" t="e">
        <f>OW113*VLOOKUP('Données projet'!$B$28,Paramètres!$A$1:$I$89,3,0)*VLOOKUP('Données projet'!$B$28,Paramètres!$A$1:$I$89,5,0)</f>
        <v>#N/A</v>
      </c>
      <c r="OY113" s="13" t="e">
        <f t="shared" si="220"/>
        <v>#N/A</v>
      </c>
      <c r="OZ113" s="14" t="e">
        <f t="shared" si="177"/>
        <v>#N/A</v>
      </c>
      <c r="PA113" s="59" t="e">
        <f t="shared" si="178"/>
        <v>#N/A</v>
      </c>
      <c r="PB113" s="20" t="e">
        <f ca="1">AVERAGE(OFFSET($PA$3,0,0,'Données projet'!$E$28+1,1))-AVERAGE(OFFSET($H$3,0,0,'Données projet'!$E$28+1,1))</f>
        <v>#N/A</v>
      </c>
      <c r="PC113" s="59" t="e">
        <f t="shared" si="221"/>
        <v>#N/A</v>
      </c>
      <c r="PD113" s="15">
        <f>IF(ISNA(VLOOKUP($A113,'Données projet'!$A$538:$I$558,3,0)),0,VLOOKUP($A113,'Données projet'!$A$538:$I$558,3,0))</f>
        <v>0</v>
      </c>
      <c r="PE113" s="15">
        <f>IF(ISNA(VLOOKUP($A113,'Données projet'!$A$538:$I$558,4,0)),0,VLOOKUP($A113,'Données projet'!$A$538:$I$558,4,0))</f>
        <v>0</v>
      </c>
      <c r="PF113" s="16">
        <f>IF(ISNA(VLOOKUP($A113,'Données projet'!$A$538:$I$558,5,0)),0%,VLOOKUP($A113,'Données projet'!$A$538:$I$558,5,0)*VLOOKUP('Données projet'!$B$28,Paramètres!$A$1:$I$89,7,0))</f>
        <v>0</v>
      </c>
      <c r="PG113" s="16">
        <f>IF(ISNA(VLOOKUP($A113,'Données projet'!$A$538:$I$558,6,0)),0%,VLOOKUP($A113,'Données projet'!$A$538:$I$558,6,0)*VLOOKUP('Données projet'!$B$28,Paramètres!$A$1:$I$89,7,0))</f>
        <v>0</v>
      </c>
      <c r="PH113" s="16">
        <f>IF(ISNA(VLOOKUP($A113,'Données projet'!$A$538:$I$558,7,0)),0%,VLOOKUP($A113,'Données projet'!$A$538:$I$558,7,0))</f>
        <v>0</v>
      </c>
      <c r="PI113" s="21" t="e">
        <f>EXP(-LN(2)/35)*PI112+(1-EXP(-LN(2)/35))/(LN(2)/35)*PE113*PF113*VLOOKUP('Données projet'!$B$28,Paramètres!$A$1:$I$89,3,0)*0.475*44/12</f>
        <v>#N/A</v>
      </c>
      <c r="PJ113" s="21" t="e">
        <f>EXP(-LN(2)/25)*PJ112+(1-EXP(-LN(2)/25))/(LN(2)/25)*Calculateur!PE113*Calculateur!PG113*VLOOKUP('Données projet'!$B$28,Paramètres!$A$1:$I$89,3,0)*0.475*44/12</f>
        <v>#N/A</v>
      </c>
      <c r="PK113" s="21" t="e">
        <f>EXP(-LN(2)/2)*PK112+(1-EXP(-LN(2)/2))/(LN(2)/2)*PE113*PH113*VLOOKUP('Données projet'!$B$28,Paramètres!$A$1:$I$89,3,0)*0.475*44/12</f>
        <v>#N/A</v>
      </c>
      <c r="PL113" s="22" t="e">
        <f t="shared" si="179"/>
        <v>#N/A</v>
      </c>
    </row>
    <row r="114" spans="1:428" x14ac:dyDescent="0.35">
      <c r="A114" s="10">
        <f t="shared" si="180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181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121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projet'!$A$45:$I$65,2,0)</f>
        <v>#N/A</v>
      </c>
      <c r="L114" s="12" t="e">
        <f>VLOOKUP(A114,'Données projet'!$A$45:$I$65,9,0)</f>
        <v>#N/A</v>
      </c>
      <c r="M114" s="12">
        <f t="array" ref="M114">INDEX(L:L,MIN(IF(ISNUMBER(L114:L310),ROW(L114:L310),"")))</f>
        <v>0</v>
      </c>
      <c r="N114" s="13">
        <f>IF('Données projet'!$A$46&gt;35,N113+M114-V113,IF(A114&lt;'Données projet'!$A$46,$K$205^A114,IF(A114='Données projet'!$A$46,'Données projet'!$B$46,N113+M114-V113)))</f>
        <v>-1.1368683772161603E-13</v>
      </c>
      <c r="O114" s="13">
        <f>N114*VLOOKUP('Données projet'!$B$9,Paramètres!$A$1:$I$89,3,0)*VLOOKUP('Données projet'!$B$9,Paramètres!$A$1:$I$89,5,0)</f>
        <v>-6.3550942286383367E-14</v>
      </c>
      <c r="P114" s="13" t="e">
        <f t="shared" si="182"/>
        <v>#NUM!</v>
      </c>
      <c r="Q114" s="20" t="e">
        <f t="shared" si="222"/>
        <v>#NUM!</v>
      </c>
      <c r="R114" s="59" t="e">
        <f t="shared" si="120"/>
        <v>#NUM!</v>
      </c>
      <c r="S114" s="59">
        <f ca="1">AVERAGE(OFFSET($R$3,0,0,'Données projet'!$E$9+1,1))-AVERAGE(OFFSET($H$3,0,0,'Données projet'!$E$9+1,1))</f>
        <v>274.57619581652199</v>
      </c>
      <c r="T114" s="59">
        <f t="shared" si="183"/>
        <v>366.15117322598775</v>
      </c>
      <c r="U114" s="15">
        <f>IF(ISNA(VLOOKUP(A114,'Données projet'!$A$45:$I$65,3,0)),0,VLOOKUP(A114,'Données projet'!$A$45:$I$65,3,0))</f>
        <v>0</v>
      </c>
      <c r="V114" s="15">
        <f>IF(ISNA(VLOOKUP(A114,'Données projet'!$A$45:$I$65,4,0)),0,VLOOKUP(A114,'Données projet'!$A$45:$I$65,4,0))</f>
        <v>0</v>
      </c>
      <c r="W114" s="16">
        <f>IF(ISNA(VLOOKUP(A114,'Données projet'!$A$45:$I$65,5,0)),0%,VLOOKUP(A114,'Données projet'!$A$45:$I$65,5,0)*VLOOKUP('Données projet'!$B$9,Paramètres!$A$1:$I$89,7,0))</f>
        <v>0</v>
      </c>
      <c r="X114" s="16">
        <f>IF(ISNA(VLOOKUP(A114,'Données projet'!$A$45:$I$65,6,0)),0%,VLOOKUP(A114,'Données projet'!$A$45:$I$65,6,0)*VLOOKUP('Données projet'!$B$9,Paramètres!$A$1:$I$89,7,0))</f>
        <v>0</v>
      </c>
      <c r="Y114" s="16">
        <f>IF(ISNA(VLOOKUP(A114,'Données projet'!$A$45:$I$65,7,0)),0%,VLOOKUP(A114,'Données projet'!$A$45:$I$65,7,0))</f>
        <v>0</v>
      </c>
      <c r="Z114" s="21">
        <f>EXP(-LN(2)/35)*Z113+(1-EXP(-LN(2)/35))/(LN(2)/35)*V114*W114*VLOOKUP('Données projet'!$B$9,Paramètres!$A$1:$I$89,3,0)*0.475*44/12</f>
        <v>74.768953170576196</v>
      </c>
      <c r="AA114" s="21">
        <f>EXP(-LN(2)/25)*AA113+(1-EXP(-LN(2)/25))/(LN(2)/25)*Calculateur!V114*Calculateur!X114*VLOOKUP('Données projet'!$B$9,Paramètres!$A$1:$I$89,3,0)*0.475*44/12</f>
        <v>12.194758331205215</v>
      </c>
      <c r="AB114" s="21">
        <f>EXP(-LN(2)/2)*AB113+(1-EXP(-LN(2)/2))/(LN(2)/2)*V114*Y114*VLOOKUP('Données projet'!$B$9,Paramètres!$A$1:$I$89,3,0)*0.475*44/12</f>
        <v>1.2726077438932834E-7</v>
      </c>
      <c r="AC114" s="22">
        <f t="shared" si="122"/>
        <v>86.96371162904218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projet'!$A$71:$I$91,2,0)</f>
        <v>#N/A</v>
      </c>
      <c r="AG114" s="12" t="e">
        <f>VLOOKUP(A114,'Données projet'!$A$71:$I$91,9,0)</f>
        <v>#N/A</v>
      </c>
      <c r="AH114" s="12">
        <f t="array" ref="AH114">INDEX(AG:AG,MIN(IF(ISNUMBER(AG114:AG310),ROW(AG114:AG310),"")))</f>
        <v>6.8461538461538511</v>
      </c>
      <c r="AI114" s="13">
        <f>IF('Données projet'!$A$72&gt;35,AI113+AH114-AQ113,IF(A114&lt;'Données projet'!$A$72,$AF$205^A114,IF(A114='Données projet'!$A$72,'Données projet'!$B$72,AI113+AH114-AQ113)))</f>
        <v>302.57051282051316</v>
      </c>
      <c r="AJ114" s="13">
        <f>AI114*VLOOKUP('Données projet'!$B$10,Paramètres!$A$1:$I$89,3,0)*VLOOKUP('Données projet'!$B$10,Paramètres!$A$1:$I$89,5,0)</f>
        <v>273.7658000000003</v>
      </c>
      <c r="AK114" s="13">
        <f t="shared" si="184"/>
        <v>65.647821692657914</v>
      </c>
      <c r="AL114" s="20">
        <f t="shared" si="123"/>
        <v>591.14539111471311</v>
      </c>
      <c r="AM114" s="59">
        <f t="shared" si="124"/>
        <v>884.47872444804648</v>
      </c>
      <c r="AN114" s="59">
        <f ca="1">AVERAGE(OFFSET($AM$3,0,0,'Données projet'!$E$10+1,1))-AVERAGE(OFFSET($H$3,0,0,'Données projet'!$E$10+1,1))</f>
        <v>270.87836509222456</v>
      </c>
      <c r="AO114" s="59">
        <f t="shared" si="185"/>
        <v>205.24998237949734</v>
      </c>
      <c r="AP114" s="15">
        <f>IF(ISNA(VLOOKUP(A114,'Données projet'!$A$71:$I$91,3,0)),0,VLOOKUP(A114,'Données projet'!$A$71:$I$91,3,0))</f>
        <v>0</v>
      </c>
      <c r="AQ114" s="15">
        <f>IF(ISNA(VLOOKUP(A114,'Données projet'!$A$71:$I$91,4,0)),0,VLOOKUP(A114,'Données projet'!$A$71:$I$91,4,0))</f>
        <v>0</v>
      </c>
      <c r="AR114" s="16">
        <f>IF(ISNA(VLOOKUP(A114,'Données projet'!$A$71:$I$91,5,0)),0%,VLOOKUP(A114,'Données projet'!$A$71:$I$91,5,0)*VLOOKUP('Données projet'!$B$10,Paramètres!$A$1:$I$89,7,0))</f>
        <v>0</v>
      </c>
      <c r="AS114" s="16">
        <f>IF(ISNA(VLOOKUP(A114,'Données projet'!$A$71:$I$91,6,0)),0%,VLOOKUP(A114,'Données projet'!$A$71:$I$91,6,0)*VLOOKUP('Données projet'!$B$10,Paramètres!$A$1:$I$89,7,0))</f>
        <v>0</v>
      </c>
      <c r="AT114" s="16">
        <f>IF(ISNA(VLOOKUP(A114,'Données projet'!$A$71:$I$91,7,0)),0%,VLOOKUP(A114,'Données projet'!$A$71:$I$91,7,0))</f>
        <v>0</v>
      </c>
      <c r="AU114" s="21">
        <f>EXP(-LN(2)/35)*AU113+(1-EXP(-LN(2)/35))/(LN(2)/35)*AQ114*AR114*VLOOKUP('Données projet'!$B$10,Paramètres!$A$1:$I$89,3,0)*0.475*44/12</f>
        <v>57.831541220118638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125"/>
        <v>57.831541220118638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projet'!$A$97:$I$117,2,0)</f>
        <v>#N/A</v>
      </c>
      <c r="BB114" s="12" t="e">
        <f>VLOOKUP(A114,'Données projet'!$A$97:$I$117,9,0)</f>
        <v>#N/A</v>
      </c>
      <c r="BC114" s="12">
        <f t="array" ref="BC114">INDEX(BB:BB,MIN(IF(ISNUMBER(BB114:BB310),ROW(BB114:BB310),"")))</f>
        <v>0</v>
      </c>
      <c r="BD114" s="12">
        <f>IF('Données projet'!$A$98&gt;35,BD113+BC114-BL113,IF(A114&lt;'Données projet'!$A$98,$BA$205^A114,IF(A114='Données projet'!$A$98,'Données projet'!$B$98,BD113+BC114-BL113)))</f>
        <v>-1.1368683772161603E-13</v>
      </c>
      <c r="BE114" s="13">
        <f>BD114*VLOOKUP('Données projet'!$B$11,Paramètres!$A$1:$I$89,3,0)*VLOOKUP('Données projet'!$B$11,Paramètres!$A$1:$I$89,5,0)</f>
        <v>-5.0249582272954292E-14</v>
      </c>
      <c r="BF114" s="13" t="e">
        <f t="shared" si="186"/>
        <v>#NUM!</v>
      </c>
      <c r="BG114" s="20" t="e">
        <f t="shared" si="126"/>
        <v>#NUM!</v>
      </c>
      <c r="BH114" s="59" t="e">
        <f t="shared" si="127"/>
        <v>#NUM!</v>
      </c>
      <c r="BI114" s="59">
        <f ca="1">AVERAGE(OFFSET($BH$3,0,0,'Données projet'!$E$11+1,1))-AVERAGE(OFFSET($H$3,0,0,'Données projet'!$E$11+1,1))</f>
        <v>211.31057120485542</v>
      </c>
      <c r="BJ114" s="59">
        <f t="shared" si="187"/>
        <v>283.33292006714777</v>
      </c>
      <c r="BK114" s="15">
        <f>IF(ISNA(VLOOKUP(A114,'Données projet'!$A$97:$I$117,3,0)),0,VLOOKUP(A114,'Données projet'!$A$97:$I$117,3,0))</f>
        <v>0</v>
      </c>
      <c r="BL114" s="15">
        <f>IF(ISNA(VLOOKUP(A114,'Données projet'!$A$97:$I$117,4,0)),0,VLOOKUP(A114,'Données projet'!$A$97:$I$117,4,0))</f>
        <v>0</v>
      </c>
      <c r="BM114" s="16">
        <f>IF(ISNA(VLOOKUP(A114,'Données projet'!$A$97:$I$117,5,0)),0%,VLOOKUP(A114,'Données projet'!$A$97:$I$117,5,0)*VLOOKUP('Données projet'!$B$11,Paramètres!$A$1:$I$89,7,0))</f>
        <v>0</v>
      </c>
      <c r="BN114" s="16">
        <f>IF(ISNA(VLOOKUP(A114,'Données projet'!$A$97:$I$117,6,0)),0%,VLOOKUP(A114,'Données projet'!$A$97:$I$117,6,0)*VLOOKUP('Données projet'!$B$11,Paramètres!$A$1:$I$89,7,0))</f>
        <v>0</v>
      </c>
      <c r="BO114" s="16">
        <f>IF(ISNA(VLOOKUP(A114,'Données projet'!$A$97:$I$117,7,0)),0%,VLOOKUP(A114,'Données projet'!$A$97:$I$117,7,0))</f>
        <v>0</v>
      </c>
      <c r="BP114" s="21">
        <f>EXP(-LN(2)/35)*BP113+(1-EXP(-LN(2)/35))/(LN(2)/35)*BL114*BM114*VLOOKUP('Données projet'!$B$11,Paramètres!$A$1:$I$89,3,0)*0.475*44/12</f>
        <v>59.119637390688169</v>
      </c>
      <c r="BQ114" s="21">
        <f>EXP(-LN(2)/25)*BQ113+(1-EXP(-LN(2)/25))/(LN(2)/25)*Calculateur!BL114*Calculateur!BN114*VLOOKUP('Données projet'!$B$11,Paramètres!$A$1:$I$89,3,0)*0.475*44/12</f>
        <v>9.6423670525808625</v>
      </c>
      <c r="BR114" s="21">
        <f>EXP(-LN(2)/2)*BR113+(1-EXP(-LN(2)/2))/(LN(2)/2)*BL114*BO114*VLOOKUP('Données projet'!$B$11,Paramètres!$A$1:$I$89,3,0)*0.475*44/12</f>
        <v>1.0062479835435262E-7</v>
      </c>
      <c r="BS114" s="22">
        <f t="shared" si="128"/>
        <v>68.762004543893838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projet'!$A$123:$I$143,2,0)</f>
        <v>#N/A</v>
      </c>
      <c r="BW114" s="12" t="e">
        <f>VLOOKUP(A114,'Données projet'!$A$123:$I$143,9,0)</f>
        <v>#N/A</v>
      </c>
      <c r="BX114" s="12">
        <f t="array" ref="BX114">INDEX(BW:BW,MIN(IF(ISNUMBER(BW114:BW310),ROW(BW114:BW310),"")))</f>
        <v>0</v>
      </c>
      <c r="BY114" s="12">
        <f>IF('Données projet'!$A$124&gt;35,BY113+BX114-CG113,IF(A114&lt;'Données projet'!$A$124,$BV$205^A114,IF(A114='Données projet'!$A$124,'Données projet'!$B$124,BY113+BX114-CG113)))</f>
        <v>0</v>
      </c>
      <c r="BZ114" s="13">
        <f>BY114*VLOOKUP('Données projet'!$B$12,Paramètres!$A$1:$I$89,3,0)*VLOOKUP('Données projet'!$B$12,Paramètres!$A$1:$I$89,5,0)</f>
        <v>0</v>
      </c>
      <c r="CA114" s="13" t="e">
        <f t="shared" si="188"/>
        <v>#NUM!</v>
      </c>
      <c r="CB114" s="20" t="e">
        <f t="shared" si="129"/>
        <v>#NUM!</v>
      </c>
      <c r="CC114" s="59" t="e">
        <f t="shared" si="130"/>
        <v>#NUM!</v>
      </c>
      <c r="CD114" s="59">
        <f ca="1">AVERAGE(OFFSET($CC$3,0,0,'Données projet'!$E$12+1,1))-AVERAGE(OFFSET($H$3,0,0,'Données projet'!$E$12+1,1))</f>
        <v>322.93502595881938</v>
      </c>
      <c r="CE114" s="59">
        <f t="shared" si="189"/>
        <v>302.67072119588164</v>
      </c>
      <c r="CF114" s="15">
        <f>IF(ISNA(VLOOKUP(A114,'Données projet'!$A$123:$I$143,3,0)),0,VLOOKUP(A114,'Données projet'!$A$123:$I$143,3,0))</f>
        <v>0</v>
      </c>
      <c r="CG114" s="15">
        <f>IF(ISNA(VLOOKUP(A114,'Données projet'!$A$123:$I$143,4,0)),0,VLOOKUP(A114,'Données projet'!$A$123:$I$143,4,0))</f>
        <v>0</v>
      </c>
      <c r="CH114" s="16">
        <f>IF(ISNA(VLOOKUP(A114,'Données projet'!$A$123:$I$143,5,0)),0%,VLOOKUP(A114,'Données projet'!$A$123:$I$143,5,0)*VLOOKUP('Données projet'!$B$12,Paramètres!$A$1:$I$89,7,0))</f>
        <v>0</v>
      </c>
      <c r="CI114" s="16">
        <f>IF(ISNA(VLOOKUP(A114,'Données projet'!$A$123:$I$143,6,0)),0%,VLOOKUP(A114,'Données projet'!$A$123:$I$143,6,0)*VLOOKUP('Données projet'!$B$12,Paramètres!$A$1:$I$89,7,0))</f>
        <v>0</v>
      </c>
      <c r="CJ114" s="16">
        <f>IF(ISNA(VLOOKUP(A114,'Données projet'!$A$123:$I$143,7,0)),0%,VLOOKUP(A114,'Données projet'!$A$123:$I$143,7,0))</f>
        <v>0</v>
      </c>
      <c r="CK114" s="21">
        <f>EXP(-LN(2)/35)*CK113+(1-EXP(-LN(2)/35))/(LN(2)/35)*CG114*CH114*VLOOKUP('Données projet'!$B$12,Paramètres!$A$1:$I$89,3,0)*0.475*44/12</f>
        <v>94.191867690369506</v>
      </c>
      <c r="CL114" s="21">
        <f>EXP(-LN(2)/25)*CL113+(1-EXP(-LN(2)/25))/(LN(2)/25)*Calculateur!CG114*Calculateur!CI114*VLOOKUP('Données projet'!$B$12,Paramètres!$A$1:$I$89,3,0)*0.475*44/12</f>
        <v>30.861408576078013</v>
      </c>
      <c r="CM114" s="21">
        <f>EXP(-LN(2)/2)*CM113+(1-EXP(-LN(2)/2))/(LN(2)/2)*CG114*CJ114*VLOOKUP('Données projet'!$B$12,Paramètres!$A$1:$I$89,3,0)*0.475*44/12</f>
        <v>0</v>
      </c>
      <c r="CN114" s="22">
        <f t="shared" si="131"/>
        <v>125.05327626644751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projet'!$A$149:$I$169,2,0)</f>
        <v>#N/A</v>
      </c>
      <c r="CR114" s="12" t="e">
        <f>VLOOKUP(A114,'Données projet'!$A$149:$I$169,9,0)</f>
        <v>#N/A</v>
      </c>
      <c r="CS114" s="12">
        <f t="array" ref="CS114">INDEX(CR:CR,MIN(IF(ISNUMBER(CR114:CR310),ROW(CR114:CR310),"")))</f>
        <v>5.0961538461538449</v>
      </c>
      <c r="CT114" s="12">
        <f>IF('Données projet'!$A$150&gt;35,CT113+CS114-DB113,IF(A114&lt;'Données projet'!$A$150,$CQ$205^A114,IF(A114='Données projet'!$A$150,'Données projet'!$B$150,CT113+CS114-DB113)))</f>
        <v>236.02564102564068</v>
      </c>
      <c r="CU114" s="17">
        <f>CT114*VLOOKUP('Données projet'!$B$13,Paramètres!$A$1:$I$89,3,0)*VLOOKUP('Données projet'!$B$13,Paramètres!$A$1:$I$89,5,0)</f>
        <v>239.32999999999967</v>
      </c>
      <c r="CV114" s="13">
        <f t="shared" si="190"/>
        <v>58.295353272631196</v>
      </c>
      <c r="CW114" s="20">
        <f t="shared" si="132"/>
        <v>518.36415694983214</v>
      </c>
      <c r="CX114" s="59">
        <f t="shared" si="133"/>
        <v>811.69749028316551</v>
      </c>
      <c r="CY114" s="59">
        <f ca="1">AVERAGE(OFFSET($CX$3,0,0,'Données projet'!$E$13+1,1))-AVERAGE(OFFSET($H$3,0,0,'Données projet'!$E$13+1,1))</f>
        <v>250.31277422753283</v>
      </c>
      <c r="CZ114" s="59">
        <f t="shared" si="191"/>
        <v>159.20429420478047</v>
      </c>
      <c r="DA114" s="15">
        <f>IF(ISNA(VLOOKUP(A114,'Données projet'!$A$149:$I$169,3,0)),0,VLOOKUP(A114,'Données projet'!$A$149:$I$169,3,0))</f>
        <v>0</v>
      </c>
      <c r="DB114" s="15">
        <f>IF(ISNA(VLOOKUP(A114,'Données projet'!$A$149:$I$169,4,0)),0,VLOOKUP(A114,'Données projet'!$A$149:$I$169,4,0))</f>
        <v>0</v>
      </c>
      <c r="DC114" s="16">
        <f>IF(ISNA(VLOOKUP(A114,'Données projet'!$A$149:$I$169,5,0)),0%,VLOOKUP(A114,'Données projet'!$A$149:$I$169,5,0)*VLOOKUP('Données projet'!$B$13,Paramètres!$A$1:$I$89,7,0))</f>
        <v>0</v>
      </c>
      <c r="DD114" s="16">
        <f>IF(ISNA(VLOOKUP(A114,'Données projet'!$A$149:$I$169,6,0)),0%,VLOOKUP(A114,'Données projet'!$A$149:$I$169,6,0)*VLOOKUP('Données projet'!$B$13,Paramètres!$A$1:$I$89,7,0))</f>
        <v>0</v>
      </c>
      <c r="DE114" s="16">
        <f>IF(ISNA(VLOOKUP(A114,'Données projet'!$A$149:$I$169,7,0)),0%,VLOOKUP(A114,'Données projet'!$A$149:$I$169,7,0))</f>
        <v>0</v>
      </c>
      <c r="DF114" s="21">
        <f>EXP(-LN(2)/35)*DF113+(1-EXP(-LN(2)/35))/(LN(2)/35)*DB114*DC114*VLOOKUP('Données projet'!$B$13,Paramètres!$A$1:$I$89,3,0)*0.475*44/12</f>
        <v>30.533211801586745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134"/>
        <v>30.533211801586745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projet'!$A$175:$I$195,2,0)</f>
        <v>#N/A</v>
      </c>
      <c r="DM114" s="12" t="e">
        <f>VLOOKUP(A114,'Données projet'!$A$175:$I$195,9,0)</f>
        <v>#N/A</v>
      </c>
      <c r="DN114" s="12">
        <f t="array" ref="DN114">INDEX(DM:DM,MIN(IF(ISNUMBER(DM114:DM310),ROW(DM114:DM310),"")))</f>
        <v>0</v>
      </c>
      <c r="DO114" s="12">
        <f>IF('Données projet'!$A$176&gt;35,DO113+DN114-DW113,IF(A114&lt;'Données projet'!$A$176,$DL$205^A114,IF(A114='Données projet'!$A$176,'Données projet'!$B$176,DO113+DN114-DW113)))</f>
        <v>-2.8421709430404007E-13</v>
      </c>
      <c r="DP114" s="17">
        <f>DO114*VLOOKUP('Données projet'!$B$14,Paramètres!$A$1:$I$89,3,0)*VLOOKUP('Données projet'!$B$14,Paramètres!$A$1:$I$89,5,0)</f>
        <v>-2.0838797354372215E-13</v>
      </c>
      <c r="DQ114" s="13" t="e">
        <f t="shared" si="192"/>
        <v>#NUM!</v>
      </c>
      <c r="DR114" s="20" t="e">
        <f t="shared" si="135"/>
        <v>#NUM!</v>
      </c>
      <c r="DS114" s="59" t="e">
        <f t="shared" si="136"/>
        <v>#NUM!</v>
      </c>
      <c r="DT114" s="59">
        <f ca="1">AVERAGE(OFFSET($DS$3,0,0,'Données projet'!$E$14+1,1))-AVERAGE(OFFSET($H$3,0,0,'Données projet'!$E$14+1,1))</f>
        <v>296.91321813251051</v>
      </c>
      <c r="DU114" s="59">
        <f t="shared" si="193"/>
        <v>291.0718079639509</v>
      </c>
      <c r="DV114" s="15">
        <f>IF(ISNA(VLOOKUP(A114,'Données projet'!$A$175:$I$195,3,0)),0,VLOOKUP(A114,'Données projet'!$A$175:$I$195,3,0))</f>
        <v>0</v>
      </c>
      <c r="DW114" s="15">
        <f>IF(ISNA(VLOOKUP(A114,'Données projet'!$A$175:$I$195,4,0)),0,VLOOKUP(A114,'Données projet'!$A$175:$I$195,4,0))</f>
        <v>0</v>
      </c>
      <c r="DX114" s="16">
        <f>IF(ISNA(VLOOKUP(A114,'Données projet'!$A$175:$I$195,5,0)),0%,VLOOKUP(A114,'Données projet'!$A$175:$I$195,5,0)*VLOOKUP('Données projet'!$B$14,Paramètres!$A$1:$I$89,7,0))</f>
        <v>0</v>
      </c>
      <c r="DY114" s="16">
        <f>IF(ISNA(VLOOKUP(A114,'Données projet'!$A$175:$I$195,6,0)),0%,VLOOKUP(A114,'Données projet'!$A$175:$I$195,6,0)*VLOOKUP('Données projet'!$B$14,Paramètres!$A$1:$I$89,7,0))</f>
        <v>0</v>
      </c>
      <c r="DZ114" s="16">
        <f>IF(ISNA(VLOOKUP(A114,'Données projet'!$A$175:$I$195,7,0)),0%,VLOOKUP(A114,'Données projet'!$A$175:$I$195,7,0))</f>
        <v>0</v>
      </c>
      <c r="EA114" s="21">
        <f>EXP(-LN(2)/35)*EA113+(1-EXP(-LN(2)/35))/(LN(2)/35)*DW114*DX114*VLOOKUP('Données projet'!$B$14,Paramètres!$A$1:$I$89,3,0)*0.475*44/12</f>
        <v>93.879052452545153</v>
      </c>
      <c r="EB114" s="21">
        <f>EXP(-LN(2)/25)*EB113+(1-EXP(-LN(2)/25))/(LN(2)/25)*Calculateur!DW114*Calculateur!DY114*VLOOKUP('Données projet'!$B$14,Paramètres!$A$1:$I$89,3,0)*0.475*44/12</f>
        <v>2.2671070636173405</v>
      </c>
      <c r="EC114" s="21">
        <f>EXP(-LN(2)/2)*EC113+(1-EXP(-LN(2)/2))/(LN(2)/2)*DW114*DZ114*VLOOKUP('Données projet'!$B$14,Paramètres!$A$1:$I$89,3,0)*0.475*44/12</f>
        <v>0</v>
      </c>
      <c r="ED114" s="22">
        <f t="shared" si="137"/>
        <v>96.146159516162498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projet'!$A$201:$I$221,2,0)</f>
        <v>#N/A</v>
      </c>
      <c r="EH114" s="12" t="e">
        <f>VLOOKUP(A114,'Données projet'!$A$201:$I$221,9,0)</f>
        <v>#N/A</v>
      </c>
      <c r="EI114" s="12">
        <f t="array" ref="EI114">INDEX(EH:EH,MIN(IF(ISNUMBER(EH114:EH310),ROW(EH114:EH310),"")))</f>
        <v>0</v>
      </c>
      <c r="EJ114" s="12">
        <f>IF('Données projet'!$A$202&gt;35,EJ113+EI114-ER113,IF(A114&lt;'Données projet'!$A$202,$EG$205^A114,IF(A114='Données projet'!$A$202,'Données projet'!$B$202,EJ113+EI114-ER113)))</f>
        <v>5.1159076974727213E-13</v>
      </c>
      <c r="EK114" s="17">
        <f>EJ114*VLOOKUP('Données projet'!$B$15,Paramètres!$A$1:$I$89,3,0)*VLOOKUP('Données projet'!$B$15,Paramètres!$A$1:$I$89,5,0)</f>
        <v>2.3942448024172334E-13</v>
      </c>
      <c r="EL114" s="13">
        <f t="shared" si="194"/>
        <v>3.2492669905861755E-12</v>
      </c>
      <c r="EM114" s="20">
        <f t="shared" si="138"/>
        <v>6.0761376450252565E-12</v>
      </c>
      <c r="EN114" s="59">
        <f t="shared" si="139"/>
        <v>293.3333333333394</v>
      </c>
      <c r="EO114" s="59">
        <f ca="1">AVERAGE(OFFSET($EN$3,0,0,'Données projet'!$E$15+1,1))-AVERAGE(OFFSET($H$3,0,0,'Données projet'!$E$15+1,1))</f>
        <v>147.64256291235483</v>
      </c>
      <c r="EP114" s="59">
        <f t="shared" si="195"/>
        <v>70.859031694091868</v>
      </c>
      <c r="EQ114" s="15">
        <f>IF(ISNA(VLOOKUP(A114,'Données projet'!$A$201:$I$221,3,0)),0,VLOOKUP(A114,'Données projet'!$A$201:$I$221,3,0))</f>
        <v>0</v>
      </c>
      <c r="ER114" s="15">
        <f>IF(ISNA(VLOOKUP(A114,'Données projet'!$A$201:$I$221,4,0)),0,VLOOKUP(A114,'Données projet'!$A$201:$I$221,4,0))</f>
        <v>0</v>
      </c>
      <c r="ES114" s="16">
        <f>IF(ISNA(VLOOKUP(A114,'Données projet'!$A$201:$I$221,5,0)),0%,VLOOKUP(A114,'Données projet'!$A$201:$I$221,5,0)*VLOOKUP('Données projet'!$B$15,Paramètres!$A$1:$I$89,7,0))</f>
        <v>0</v>
      </c>
      <c r="ET114" s="16">
        <f>IF(ISNA(VLOOKUP(A114,'Données projet'!$A$201:$I$221,6,0)),0%,VLOOKUP(A114,'Données projet'!$A$201:$I$221,6,0)*VLOOKUP('Données projet'!$B$15,Paramètres!$A$1:$I$89,7,0))</f>
        <v>0</v>
      </c>
      <c r="EU114" s="16">
        <f>IF(ISNA(VLOOKUP(A114,'Données projet'!$A$201:$I$221,7,0)),0%,VLOOKUP(A114,'Données projet'!$A$201:$I$221,7,0))</f>
        <v>0</v>
      </c>
      <c r="EV114" s="21">
        <f>EXP(-LN(2)/35)*EV113+(1-EXP(-LN(2)/35))/(LN(2)/35)*ER114*ES114*VLOOKUP('Données projet'!$B$15,Paramètres!$A$1:$I$89,3,0)*0.475*44/12</f>
        <v>128.52190260796445</v>
      </c>
      <c r="EW114" s="21">
        <f>EXP(-LN(2)/25)*EW113+(1-EXP(-LN(2)/25))/(LN(2)/25)*Calculateur!ER114*Calculateur!ET114*VLOOKUP('Données projet'!$B$15,Paramètres!$A$1:$I$89,3,0)*0.475*44/12</f>
        <v>31.453826435928057</v>
      </c>
      <c r="EX114" s="21">
        <f>EXP(-LN(2)/2)*EX113+(1-EXP(-LN(2)/2))/(LN(2)/2)*ER114*EU114*VLOOKUP('Données projet'!$B$15,Paramètres!$A$1:$I$89,3,0)*0.475*44/12</f>
        <v>9.1743446623566758</v>
      </c>
      <c r="EY114" s="22">
        <f t="shared" si="140"/>
        <v>169.15007370624917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projet'!$A$227:$I$247,2,0)</f>
        <v>#N/A</v>
      </c>
      <c r="FC114" s="12" t="e">
        <f>VLOOKUP(A114,'Données projet'!$A$227:$I$247,9,0)</f>
        <v>#N/A</v>
      </c>
      <c r="FD114" s="12">
        <f t="array" ref="FD114">INDEX(FC:FC,MIN(IF(ISNUMBER(FC114:FC310),ROW(FC114:FC310),"")))</f>
        <v>0</v>
      </c>
      <c r="FE114" s="12">
        <f>IF('Données projet'!$A$228&gt;35,FE113+FD114-FM113,IF(A114&lt;'Données projet'!$A$228,$FB$205^A114,IF(A114='Données projet'!$A$228,'Données projet'!$B$228,FE113+FD114-FM113)))</f>
        <v>8.5265128291212022E-14</v>
      </c>
      <c r="FF114" s="17">
        <f>FE114*VLOOKUP('Données projet'!$B$16,Paramètres!$A$1:$I$89,3,0)*VLOOKUP('Données projet'!$B$16,Paramètres!$A$1:$I$89,5,0)</f>
        <v>8.9119112089974823E-14</v>
      </c>
      <c r="FG114" s="13">
        <f t="shared" si="196"/>
        <v>1.3568952080113142E-12</v>
      </c>
      <c r="FH114" s="20">
        <f t="shared" si="141"/>
        <v>2.5184749408430782E-12</v>
      </c>
      <c r="FI114" s="59">
        <f t="shared" si="142"/>
        <v>293.33333333333582</v>
      </c>
      <c r="FJ114" s="59">
        <f ca="1">AVERAGE(OFFSET($FI$3,0,0,'Données projet'!$E$16+1,1))-AVERAGE(OFFSET($H$3,0,0,'Données projet'!$E$16+1,1))</f>
        <v>259.03906550253788</v>
      </c>
      <c r="FK114" s="59">
        <f t="shared" si="197"/>
        <v>235.54542903570831</v>
      </c>
      <c r="FL114" s="15">
        <f>IF(ISNA(VLOOKUP(A114,'Données projet'!$A$227:$I$247,3,0)),0,VLOOKUP(A114,'Données projet'!$A$227:$I$247,3,0))</f>
        <v>0</v>
      </c>
      <c r="FM114" s="15">
        <f>IF(ISNA(VLOOKUP(A114,'Données projet'!$A$227:$I$247,4,0)),0,VLOOKUP(A114,'Données projet'!$A$227:$I$247,4,0))</f>
        <v>0</v>
      </c>
      <c r="FN114" s="16">
        <f>IF(ISNA(VLOOKUP(A114,'Données projet'!$A$227:$I$247,5,0)),0%,VLOOKUP(A114,'Données projet'!$A$227:$I$247,5,0)*VLOOKUP('Données projet'!$B$16,Paramètres!$A$1:$I$89,7,0))</f>
        <v>0</v>
      </c>
      <c r="FO114" s="16">
        <f>IF(ISNA(VLOOKUP(A114,'Données projet'!$A$227:$I$247,6,0)),0%,VLOOKUP(A114,'Données projet'!$A$227:$I$247,6,0)*VLOOKUP('Données projet'!$B$16,Paramètres!$A$1:$I$89,7,0))</f>
        <v>0</v>
      </c>
      <c r="FP114" s="16">
        <f>IF(ISNA(VLOOKUP(A114,'Données projet'!$A$227:$I$247,7,0)),0%,VLOOKUP(A114,'Données projet'!$A$227:$I$247,7,0))</f>
        <v>0</v>
      </c>
      <c r="FQ114" s="21">
        <f>EXP(-LN(2)/35)*FQ113+(1-EXP(-LN(2)/35))/(LN(2)/35)*FM114*FN114*VLOOKUP('Données projet'!$B$16,Paramètres!$A$1:$I$89,3,0)*0.475*44/12</f>
        <v>56.726074984069278</v>
      </c>
      <c r="FR114" s="21">
        <f>EXP(-LN(2)/25)*FR113+(1-EXP(-LN(2)/25))/(LN(2)/25)*Calculateur!FM114*Calculateur!FO114*VLOOKUP('Données projet'!$B$16,Paramètres!$A$1:$I$89,3,0)*0.475*44/12</f>
        <v>43.270231896434019</v>
      </c>
      <c r="FS114" s="21">
        <f>EXP(-LN(2)/2)*FS113+(1-EXP(-LN(2)/2))/(LN(2)/2)*FM114*FP114*VLOOKUP('Données projet'!$B$16,Paramètres!$A$1:$I$89,3,0)*0.475*44/12</f>
        <v>0</v>
      </c>
      <c r="FT114" s="22">
        <f t="shared" si="143"/>
        <v>99.996306880503298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projet'!$A$253:$I$273,2,0)</f>
        <v>#N/A</v>
      </c>
      <c r="FX114" s="12" t="e">
        <f>VLOOKUP(A114,'Données projet'!$A$253:$I$273,9,0)</f>
        <v>#N/A</v>
      </c>
      <c r="FY114" s="12">
        <f t="array" ref="FY114">INDEX(FX:FX,MIN(IF(ISNUMBER(FX114:FX310),ROW(FX114:FX310),"")))</f>
        <v>0</v>
      </c>
      <c r="FZ114" s="12">
        <f>IF('Données projet'!$A$254&gt;35,FZ113+FY114-GH113,IF(A114&lt;'Données projet'!$A$254,$FW$205^A114,IF(A114='Données projet'!$A$254,'Données projet'!$B$254,FZ113+FY114-GH113)))</f>
        <v>-1.7053025658242404E-13</v>
      </c>
      <c r="GA114" s="17">
        <f>FZ114*VLOOKUP('Données projet'!$B$17,Paramètres!$A$1:$I$89,3,0)*VLOOKUP('Données projet'!$B$17,Paramètres!$A$1:$I$89,5,0)</f>
        <v>-1.4897523215040567E-13</v>
      </c>
      <c r="GB114" s="13" t="e">
        <f t="shared" si="198"/>
        <v>#NUM!</v>
      </c>
      <c r="GC114" s="20" t="e">
        <f t="shared" si="144"/>
        <v>#NUM!</v>
      </c>
      <c r="GD114" s="59" t="e">
        <f t="shared" si="145"/>
        <v>#NUM!</v>
      </c>
      <c r="GE114" s="59">
        <f ca="1">AVERAGE(OFFSET($GD$3,0,0,'Données projet'!$E$17+1,1))-AVERAGE(OFFSET($H$3,0,0,'Données projet'!$E$17+1,1))</f>
        <v>245.1983232777614</v>
      </c>
      <c r="GF114" s="59">
        <f t="shared" si="199"/>
        <v>242.34010522344573</v>
      </c>
      <c r="GG114" s="15">
        <f>IF(ISNA(VLOOKUP(A114,'Données projet'!$A$253:$I$273,3,0)),0,VLOOKUP(A114,'Données projet'!$A$253:$I$273,3,0))</f>
        <v>0</v>
      </c>
      <c r="GH114" s="15">
        <f>IF(ISNA(VLOOKUP(A114,'Données projet'!$A$253:$I$273,4,0)),0,VLOOKUP(A114,'Données projet'!$A$253:$I$273,4,0))</f>
        <v>0</v>
      </c>
      <c r="GI114" s="16">
        <f>IF(ISNA(VLOOKUP(A114,'Données projet'!$A$253:$I$273,5,0)),0%,VLOOKUP(A114,'Données projet'!$A$253:$I$273,5,0)*VLOOKUP('Données projet'!$B$17,Paramètres!$A$1:$I$89,7,0))</f>
        <v>0</v>
      </c>
      <c r="GJ114" s="16">
        <f>IF(ISNA(VLOOKUP(A114,'Données projet'!$A$253:$I$273,6,0)),0%,VLOOKUP(A114,'Données projet'!$A$253:$I$273,6,0)*VLOOKUP('Données projet'!$B$17,Paramètres!$A$1:$I$89,7,0))</f>
        <v>0</v>
      </c>
      <c r="GK114" s="16">
        <f>IF(ISNA(VLOOKUP(A114,'Données projet'!$A$253:$I$273,7,0)),0%,VLOOKUP(A114,'Données projet'!$A$253:$I$273,7,0))</f>
        <v>0</v>
      </c>
      <c r="GL114" s="21">
        <f>EXP(-LN(2)/35)*GL113+(1-EXP(-LN(2)/35))/(LN(2)/35)*GH114*GI114*VLOOKUP('Données projet'!$B$17,Paramètres!$A$1:$I$89,3,0)*0.475*44/12</f>
        <v>66.689284091551244</v>
      </c>
      <c r="GM114" s="21">
        <f>EXP(-LN(2)/25)*GM113+(1-EXP(-LN(2)/25))/(LN(2)/25)*Calculateur!GH114*Calculateur!GJ114*VLOOKUP('Données projet'!$B$17,Paramètres!$A$1:$I$89,3,0)*0.475*44/12</f>
        <v>9.2198322835834272</v>
      </c>
      <c r="GN114" s="21">
        <f>EXP(-LN(2)/2)*GN113+(1-EXP(-LN(2)/2))/(LN(2)/2)*GH114*GK114*VLOOKUP('Données projet'!$B$17,Paramètres!$A$1:$I$89,3,0)*0.475*44/12</f>
        <v>0</v>
      </c>
      <c r="GO114" s="21">
        <f t="shared" si="146"/>
        <v>75.909116375134673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projet'!$A$279:$I$299,2,0)</f>
        <v>#N/A</v>
      </c>
      <c r="GS114" s="12" t="e">
        <f>VLOOKUP(A114,'Données projet'!$A$279:$I$299,9,0)</f>
        <v>#N/A</v>
      </c>
      <c r="GT114" s="12">
        <f t="array" ref="GT114">INDEX(GS:GS,MIN(IF(ISNUMBER(GS114:GS310),ROW(GS114:GS310),"")))</f>
        <v>0</v>
      </c>
      <c r="GU114" s="12">
        <f>IF('Données projet'!$A$280&gt;35,GU113+GT114-HC113,IF(A114&lt;'Données projet'!$A$280,$GR$205^A114,IF(A114='Données projet'!$A$280,'Données projet'!$B$280,GU113+GT114-HC113)))</f>
        <v>-1.1368683772161603E-13</v>
      </c>
      <c r="GV114" s="17">
        <f>GU114*VLOOKUP('Données projet'!$B$18,Paramètres!$A$1:$I$89,3,0)*VLOOKUP('Données projet'!$B$18,Paramètres!$A$1:$I$89,5,0)</f>
        <v>-4.5815795601811263E-14</v>
      </c>
      <c r="GW114" s="13" t="e">
        <f t="shared" si="200"/>
        <v>#NUM!</v>
      </c>
      <c r="GX114" s="20" t="e">
        <f t="shared" si="147"/>
        <v>#NUM!</v>
      </c>
      <c r="GY114" s="59" t="e">
        <f t="shared" si="148"/>
        <v>#NUM!</v>
      </c>
      <c r="GZ114" s="59">
        <f ca="1">AVERAGE(OFFSET($GY$3,0,0,'Données projet'!$E$18+1,1))-AVERAGE(OFFSET($H$3,0,0,'Données projet'!$E$18+1,1))</f>
        <v>324.36162935850876</v>
      </c>
      <c r="HA114" s="59">
        <f t="shared" si="201"/>
        <v>265.23571072429735</v>
      </c>
      <c r="HB114" s="15">
        <f>IF(ISNA(VLOOKUP(A114,'Données projet'!$A$279:$I$299,3,0)),0,VLOOKUP(A114,'Données projet'!$A$279:$I$299,3,0))</f>
        <v>0</v>
      </c>
      <c r="HC114" s="15">
        <f>IF(ISNA(VLOOKUP(A114,'Données projet'!$A$279:$I$299,4,0)),0,VLOOKUP(A114,'Données projet'!$A$279:$I$299,4,0))</f>
        <v>0</v>
      </c>
      <c r="HD114" s="16">
        <f>IF(ISNA(VLOOKUP(A114,'Données projet'!$A$279:$I$299,5,0)),0%,VLOOKUP(A114,'Données projet'!$A$279:$I$299,5,0)*VLOOKUP('Données projet'!$B$18,Paramètres!$A$1:$I$89,7,0))</f>
        <v>0</v>
      </c>
      <c r="HE114" s="16">
        <f>IF(ISNA(VLOOKUP(A114,'Données projet'!$A$279:$I$299,6,0)),0%,VLOOKUP(A114,'Données projet'!$A$279:$I$299,6,0)*VLOOKUP('Données projet'!$B$18,Paramètres!$A$1:$I$89,7,0))</f>
        <v>0</v>
      </c>
      <c r="HF114" s="16">
        <f>IF(ISNA(VLOOKUP($A114,'Données projet'!$A$279:$I$299,7,0)),0%,VLOOKUP($A114,'Données projet'!$A$279:$I$299,7,0))</f>
        <v>0</v>
      </c>
      <c r="HG114" s="21">
        <f>EXP(-LN(2)/35)*HG113+(1-EXP(-LN(2)/35))/(LN(2)/35)*HC114*HD114*VLOOKUP('Données projet'!$B$18,Paramètres!$A$1:$I$89,3,0)*0.475*44/12</f>
        <v>127.79410215270975</v>
      </c>
      <c r="HH114" s="21">
        <f>EXP(-LN(2)/25)*HH113+(1-EXP(-LN(2)/25))/(LN(2)/25)*Calculateur!HC114*Calculateur!HE114*VLOOKUP('Données projet'!$B$18,Paramètres!$A$1:$I$89,3,0)*0.475*44/12</f>
        <v>10.25410261436903</v>
      </c>
      <c r="HI114" s="21">
        <f>EXP(-LN(2)/2)*HI113+(1-EXP(-LN(2)/2))/(LN(2)/2)*HC114*HF114*VLOOKUP('Données projet'!$B$18,Paramètres!$A$1:$I$89,3,0)*0.475*44/12</f>
        <v>1.8444183183978415E-4</v>
      </c>
      <c r="HJ114" s="22">
        <f t="shared" si="149"/>
        <v>138.04838920891061</v>
      </c>
      <c r="HK114" s="74">
        <f>('Scénario référence'!$F$8+'Scénario référence'!$F$9+'Scénario référence'!$B$17+'Scénario référence'!$B$9+'Scénario référence'!$B$10)*70+IF((45+25*(1-EXP(-0.0175*$A114)))&lt;70,'Scénario référence'!$B$16*(45+25*(1-EXP(-0.0175*$A114))),70*'Scénario référence'!$B$16)+IF((32+38*(1-EXP(-0.0175*$A114)))&lt;70,'Scénario référence'!$B$18*(32+38*(1-EXP(-0.0175*$A114))),70*'Scénario référence'!$B$18)</f>
        <v>70</v>
      </c>
      <c r="HL114" s="12">
        <f>IF($A114&gt;30,10,('Scénario référence'!$B$16+'Scénario référence'!$B$17+'Scénario référence'!$B$18+'Scénario référence'!$B$9+'Scénario référence'!$B$10)*$A114*10/30+('Scénario référence'!$F$8+'Scénario référence'!$F$9)*10)</f>
        <v>10</v>
      </c>
      <c r="HM114" s="12" t="e">
        <f>VLOOKUP($A114,'Données projet'!$A$304:$I$324,2,0)</f>
        <v>#N/A</v>
      </c>
      <c r="HN114" s="12" t="e">
        <f>VLOOKUP($A114,'Données projet'!$A$304:$I$324,9,0)</f>
        <v>#N/A</v>
      </c>
      <c r="HO114" s="12">
        <f t="array" ref="HO114">INDEX(HN:HN,MIN(IF(ISNUMBER(HN114:HN310),ROW(HN114:HN310),"")))</f>
        <v>0</v>
      </c>
      <c r="HP114" s="12">
        <f>IF('Données projet'!$A$304&gt;35,HP113+HO114-HX113,IF($A114&lt;'Données projet'!$A$304,$CQ$205^$A114,IF($A114='Données projet'!$A$304,'Données projet'!$B$304,HP113+HO114-HX113)))</f>
        <v>0</v>
      </c>
      <c r="HQ114" s="17">
        <f>HP114*VLOOKUP('Données projet'!$B$19,Paramètres!$A$1:$I$89,3,0)*VLOOKUP('Données projet'!$B$19,Paramètres!$A$1:$I$89,5,0)</f>
        <v>0</v>
      </c>
      <c r="HR114" s="13" t="e">
        <f t="shared" si="202"/>
        <v>#NUM!</v>
      </c>
      <c r="HS114" s="14" t="e">
        <f t="shared" si="150"/>
        <v>#NUM!</v>
      </c>
      <c r="HT114" s="59" t="e">
        <f t="shared" si="151"/>
        <v>#NUM!</v>
      </c>
      <c r="HU114" s="59">
        <f ca="1">AVERAGE(OFFSET(HT$3,0,0,'Données projet'!$E$19+1,1))-AVERAGE(OFFSET($H$3,0,0,'Données projet'!$E$19+1,1))</f>
        <v>91.60721429656013</v>
      </c>
      <c r="HV114" s="59">
        <f t="shared" si="203"/>
        <v>258.94957804210856</v>
      </c>
      <c r="HW114" s="15">
        <f>IF(ISNA(VLOOKUP($A114,'Données projet'!$A$304:$I$324,3,0)),0,VLOOKUP($A114,'Données projet'!$A$304:$I$324,3,0))</f>
        <v>0</v>
      </c>
      <c r="HX114" s="15">
        <f>IF(ISNA(VLOOKUP($A114,'Données projet'!$A$304:$I$324,4,0)),0,VLOOKUP($A114,'Données projet'!$A$304:$I$324,4,0))</f>
        <v>0</v>
      </c>
      <c r="HY114" s="16">
        <f>IF(ISNA(VLOOKUP($A114,'Données projet'!$A$304:$I$324,5,0)),0%,VLOOKUP($A114,'Données projet'!$A$304:$I$324,5,0)*VLOOKUP('Données projet'!$B$19,Paramètres!$A$1:$I$89,7,0))</f>
        <v>0</v>
      </c>
      <c r="HZ114" s="16">
        <f>IF(ISNA(VLOOKUP($A114,'Données projet'!$A$304:$I$324,6,0)),0%,VLOOKUP($A114,'Données projet'!$A$304:$I$324,6,0)*VLOOKUP('Données projet'!$B$19,Paramètres!$A$1:$I$89,7,0))</f>
        <v>0</v>
      </c>
      <c r="IA114" s="16">
        <f>IF(ISNA(VLOOKUP($A114,'Données projet'!$A$304:$I$324,7,0)),0%,VLOOKUP($A114,'Données projet'!$A$304:$I$324,7,0))</f>
        <v>0</v>
      </c>
      <c r="IB114" s="21">
        <f>EXP(-LN(2)/35)*IB113+(1-EXP(-LN(2)/35))/(LN(2)/35)*HX114*HY114*VLOOKUP('Données projet'!$B$19,Paramètres!$A$1:$I$89,3,0)*0.475*44/12</f>
        <v>9.9189455953116372</v>
      </c>
      <c r="IC114" s="21">
        <f>EXP(-LN(2)/25)*IC113+(1-EXP(-LN(2)/25))/(LN(2)/25)*Calculateur!HX114*Calculateur!HZ114*VLOOKUP('Données projet'!$B$19,Paramètres!$A$1:$I$89,3,0)*0.475*44/12</f>
        <v>1.0296133703706714</v>
      </c>
      <c r="ID114" s="21">
        <f>EXP(-LN(2)/2)*ID113+(1-EXP(-LN(2)/2))/(LN(2)/2)*HX114*IA114*VLOOKUP('Données projet'!$B$19,Paramètres!$A$1:$I$89,3,0)*0.475*44/12</f>
        <v>3.6840697635175879E-13</v>
      </c>
      <c r="IE114" s="22">
        <f t="shared" si="152"/>
        <v>10.948558965682677</v>
      </c>
      <c r="IF114" s="74">
        <f>('Scénario référence'!$F$8+'Scénario référence'!$F$9+'Scénario référence'!$B$17+'Scénario référence'!$B$9+'Scénario référence'!$B$10)*70+IF((45+25*(1-EXP(-0.0175*$A114)))&lt;70,'Scénario référence'!$B$16*(45+25*(1-EXP(-0.0175*$A114))),70*'Scénario référence'!$B$16)+IF((32+38*(1-EXP(-0.0175*$A114)))&lt;70,'Scénario référence'!$B$18*(32+38*(1-EXP(-0.0175*$A114))),70*'Scénario référence'!$B$18)</f>
        <v>70</v>
      </c>
      <c r="IG114" s="12">
        <f>IF($A114&gt;30,10,('Scénario référence'!$B$16+'Scénario référence'!$B$17+'Scénario référence'!$B$18+'Scénario référence'!$B$9+'Scénario référence'!$B$10)*$A114*10/30+('Scénario référence'!$F$8+'Scénario référence'!$F$9)*10)</f>
        <v>10</v>
      </c>
      <c r="IH114" s="12" t="e">
        <f>VLOOKUP($A114,'Données projet'!$A$330:$I$350,2,0)</f>
        <v>#N/A</v>
      </c>
      <c r="II114" s="12" t="e">
        <f>VLOOKUP($A114,'Données projet'!$A$330:$I$350,9,0)</f>
        <v>#N/A</v>
      </c>
      <c r="IJ114" s="12">
        <f t="array" ref="IJ114">INDEX(II:II,MIN(IF(ISNUMBER(II114:II310),ROW(II114:II310),"")))</f>
        <v>0</v>
      </c>
      <c r="IK114" s="12">
        <f>IF('Données projet'!$A$330&gt;35,IK113+IJ114-IS113,IF($A114&lt;'Données projet'!$A$330,$CQ$205^$A114,IF($A114='Données projet'!$A$330,'Données projet'!$B$330,IK113+IJ114-IS113)))</f>
        <v>0</v>
      </c>
      <c r="IL114" s="17">
        <f>IK114*VLOOKUP('Données projet'!$B$20,Paramètres!$A$1:$I$89,3,0)*VLOOKUP('Données projet'!$B$20,Paramètres!$A$1:$I$89,5,0)</f>
        <v>0</v>
      </c>
      <c r="IM114" s="13" t="e">
        <f t="shared" si="204"/>
        <v>#NUM!</v>
      </c>
      <c r="IN114" s="20" t="e">
        <f t="shared" si="153"/>
        <v>#NUM!</v>
      </c>
      <c r="IO114" s="59" t="e">
        <f t="shared" si="154"/>
        <v>#NUM!</v>
      </c>
      <c r="IP114" s="59">
        <f ca="1">AVERAGE(OFFSET(IO$3,0,0,'Données projet'!$E$20+1,1))-AVERAGE(OFFSET($H$3,0,0,'Données projet'!$E$20+1,1))</f>
        <v>91.60721429656013</v>
      </c>
      <c r="IQ114" s="59">
        <f t="shared" si="205"/>
        <v>258.94957804210856</v>
      </c>
      <c r="IR114" s="15">
        <f>IF(ISNA(VLOOKUP($A114,'Données projet'!$A$330:$I$350,3,0)),0,VLOOKUP($A114,'Données projet'!$A$330:$I$350,3,0))</f>
        <v>0</v>
      </c>
      <c r="IS114" s="15">
        <f>IF(ISNA(VLOOKUP($A114,'Données projet'!$A$330:$I$350,4,0)),0,VLOOKUP($A114,'Données projet'!$A$330:$I$350,4,0))</f>
        <v>0</v>
      </c>
      <c r="IT114" s="16">
        <f>IF(ISNA(VLOOKUP($A114,'Données projet'!$A$330:$I$350,5,0)),0%,VLOOKUP($A114,'Données projet'!$A$330:$I$350,5,0)*VLOOKUP('Données projet'!$B$20,Paramètres!$A$1:$I$89,7,0))</f>
        <v>0</v>
      </c>
      <c r="IU114" s="16">
        <f>IF(ISNA(VLOOKUP($A114,'Données projet'!$A$330:$I$350,6,0)),0%,VLOOKUP($A114,'Données projet'!$A$330:$I$350,6,0)*VLOOKUP('Données projet'!$B$20,Paramètres!$A$1:$I$89,7,0))</f>
        <v>0</v>
      </c>
      <c r="IV114" s="16">
        <f>IF(ISNA(VLOOKUP($A114,'Données projet'!$A$330:$I$350,7,0)),0%,VLOOKUP($A114,'Données projet'!$A$330:$I$350,7,0))</f>
        <v>0</v>
      </c>
      <c r="IW114" s="21">
        <f>EXP(-LN(2)/35)*IW113+(1-EXP(-LN(2)/35))/(LN(2)/35)*IS114*IT114*VLOOKUP('Données projet'!$B$20,Paramètres!$A$1:$I$89,3,0)*0.475*44/12</f>
        <v>9.9189455953116372</v>
      </c>
      <c r="IX114" s="21">
        <f>EXP(-LN(2)/25)*IX113+(1-EXP(-LN(2)/25))/(LN(2)/25)*Calculateur!IS114*Calculateur!IU114*VLOOKUP('Données projet'!$B$20,Paramètres!$A$1:$I$89,3,0)*0.475*44/12</f>
        <v>1.0296133703706714</v>
      </c>
      <c r="IY114" s="21">
        <f>EXP(-LN(2)/2)*IY113+(1-EXP(-LN(2)/2))/(LN(2)/2)*IS114*IV114*VLOOKUP('Données projet'!$B$20,Paramètres!$A$1:$I$89,3,0)*0.475*44/12</f>
        <v>3.6840697635175879E-13</v>
      </c>
      <c r="IZ114" s="22">
        <f t="shared" si="155"/>
        <v>10.948558965682677</v>
      </c>
      <c r="JA114" s="74">
        <f>('Scénario référence'!$F$8+'Scénario référence'!$F$9+'Scénario référence'!$B$17+'Scénario référence'!$B$9+'Scénario référence'!$B$10)*70+IF((45+25*(1-EXP(-0.0175*$A114)))&lt;70,'Scénario référence'!$B$16*(45+25*(1-EXP(-0.0175*$A114))),70*'Scénario référence'!$B$16)+IF((32+38*(1-EXP(-0.0175*$A114)))&lt;70,'Scénario référence'!$B$18*(32+38*(1-EXP(-0.0175*$A114))),70*'Scénario référence'!$B$18)</f>
        <v>70</v>
      </c>
      <c r="JB114" s="12">
        <f>IF($A114&gt;30,10,('Scénario référence'!$B$16+'Scénario référence'!$B$17+'Scénario référence'!$B$18+'Scénario référence'!$B$9+'Scénario référence'!$B$10)*$A114*10/30+('Scénario référence'!$F$8+'Scénario référence'!$F$9)*10)</f>
        <v>10</v>
      </c>
      <c r="JC114" s="12" t="e">
        <f>VLOOKUP($A114,'Données projet'!$A$356:$I$376,2,0)</f>
        <v>#N/A</v>
      </c>
      <c r="JD114" s="12" t="e">
        <f>VLOOKUP($A114,'Données projet'!$A$356:$I$376,9,0)</f>
        <v>#N/A</v>
      </c>
      <c r="JE114" s="12">
        <f t="array" ref="JE114">INDEX(JD:JD,MIN(IF(ISNUMBER(JD114:JD310),ROW(JD114:JD310),"")))</f>
        <v>2.2000000000000002</v>
      </c>
      <c r="JF114" s="12">
        <f>IF('Données projet'!$A$356&gt;35,JF113+JE114-JN113,IF($A114&lt;'Données projet'!$A$356,$CQ$205^$A114,IF($A114='Données projet'!$A$356,'Données projet'!$B$356,JF113+JE114-JN113)))</f>
        <v>398.19999999999936</v>
      </c>
      <c r="JG114" s="17">
        <f>JF114*VLOOKUP('Données projet'!$B$21,Paramètres!$A$1:$I$89,3,0)*VLOOKUP('Données projet'!$B$21,Paramètres!$A$1:$I$89,5,0)</f>
        <v>323.01983999999953</v>
      </c>
      <c r="JH114" s="13">
        <f t="shared" si="206"/>
        <v>75.981346206643551</v>
      </c>
      <c r="JI114" s="20">
        <f t="shared" si="156"/>
        <v>694.92706597656991</v>
      </c>
      <c r="JJ114" s="59">
        <f t="shared" si="157"/>
        <v>988.26039930990328</v>
      </c>
      <c r="JK114" s="59">
        <f ca="1">AVERAGE(OFFSET($JJ$3,0,0,'Données projet'!$E$22+1,1))-AVERAGE(OFFSET($H$3,0,0,'Données projet'!$E$22+1,1))</f>
        <v>353.35574633294613</v>
      </c>
      <c r="JL114" s="59">
        <f t="shared" si="207"/>
        <v>170.36796666474726</v>
      </c>
      <c r="JM114" s="15">
        <f>IF(ISNA(VLOOKUP($A114,'Données projet'!$A$356:$I$376,3,0)),0,VLOOKUP($A114,'Données projet'!$A$356:$I$376,3,0))</f>
        <v>0</v>
      </c>
      <c r="JN114" s="15">
        <f>IF(ISNA(VLOOKUP($A114,'Données projet'!$A$356:$I$376,4,0)),0,VLOOKUP($A114,'Données projet'!$A$356:$I$376,4,0))</f>
        <v>0</v>
      </c>
      <c r="JO114" s="16">
        <f>IF(ISNA(VLOOKUP($A114,'Données projet'!$A$356:$I$376,5,0)),0%,VLOOKUP($A114,'Données projet'!$A$356:$I$376,5,0)*VLOOKUP('Données projet'!$B$21,Paramètres!$A$1:$I$89,7,0))</f>
        <v>0</v>
      </c>
      <c r="JP114" s="16">
        <f>IF(ISNA(VLOOKUP($A114,'Données projet'!$A$356:$I$376,6,0)),0%,VLOOKUP($A114,'Données projet'!$A$356:$I$376,6,0)*VLOOKUP('Données projet'!$B$21,Paramètres!$A$1:$I$89,7,0))</f>
        <v>0</v>
      </c>
      <c r="JQ114" s="16">
        <f>IF(ISNA(VLOOKUP($A114,'Données projet'!$A$356:$I$376,7,0)),0%,VLOOKUP($A114,'Données projet'!$A$356:$I$376,7,0))</f>
        <v>0</v>
      </c>
      <c r="JR114" s="21">
        <f>EXP(-LN(2)/35)*JR113+(1-EXP(-LN(2)/35))/(LN(2)/35)*JN114*JO114*VLOOKUP('Données projet'!$B$21,Paramètres!$A$1:$I$89,3,0)*0.475*44/12</f>
        <v>4.927052865114681</v>
      </c>
      <c r="JS114" s="21">
        <f>EXP(-LN(2)/25)*JS113+(1-EXP(-LN(2)/25))/(LN(2)/25)*Calculateur!JN114*Calculateur!JP114*VLOOKUP('Données projet'!$B$21,Paramètres!$A$1:$I$89,3,0)*0.475*44/12</f>
        <v>17.200724523205011</v>
      </c>
      <c r="JT114" s="21">
        <f>EXP(-LN(2)/2)*JT113+(1-EXP(-LN(2)/2))/(LN(2)/2)*JN114*JQ114*VLOOKUP('Données projet'!$B$21,Paramètres!$A$1:$I$89,3,0)*0.475*44/12</f>
        <v>2.4668046210808781</v>
      </c>
      <c r="JU114" s="18">
        <f t="shared" si="158"/>
        <v>24.594582009400572</v>
      </c>
      <c r="JV114" s="74">
        <f>('Scénario référence'!$F$8+'Scénario référence'!$F$9+'Scénario référence'!$B$17+'Scénario référence'!$B$9+'Scénario référence'!$B$10)*70+IF((45+25*(1-EXP(-0.0175*$A114)))&lt;70,'Scénario référence'!$B$16*(45+25*(1-EXP(-0.0175*$A114))),70*'Scénario référence'!$B$16)+IF((32+38*(1-EXP(-0.0175*$A114)))&lt;70,'Scénario référence'!$B$18*(32+38*(1-EXP(-0.0175*$A114))),70*'Scénario référence'!$B$18)</f>
        <v>70</v>
      </c>
      <c r="JW114" s="12">
        <f>IF($A114&gt;30,10,('Scénario référence'!$B$16+'Scénario référence'!$B$17+'Scénario référence'!$B$18+'Scénario référence'!$B$9+'Scénario référence'!$B$10)*$A114*10/30+('Scénario référence'!$F$8+'Scénario référence'!$F$9)*10)</f>
        <v>10</v>
      </c>
      <c r="JX114" s="12" t="e">
        <f>VLOOKUP($A114,'Données projet'!$A$382:$I$402,2,0)</f>
        <v>#N/A</v>
      </c>
      <c r="JY114" s="12" t="e">
        <f>VLOOKUP($A114,'Données projet'!$A$382:$I$402,9,0)</f>
        <v>#N/A</v>
      </c>
      <c r="JZ114" s="12">
        <f t="array" ref="JZ114">INDEX(JY:JY,MIN(IF(ISNUMBER(JY114:JY310),ROW(JY114:JY310),"")))</f>
        <v>6.8461538461538511</v>
      </c>
      <c r="KA114" s="12">
        <f>IF('Données projet'!$A$382&gt;35,KA113+JZ114-KI113,IF($A114&lt;'Données projet'!$A$382,$CQ$205^$A114,IF($A114='Données projet'!$A$382,'Données projet'!$B$382,KA113+JZ114-KI113)))</f>
        <v>302.5705128205131</v>
      </c>
      <c r="KB114" s="17">
        <f>KA114*VLOOKUP('Données projet'!$B$22,Paramètres!$A$1:$I$89,3,0)*VLOOKUP('Données projet'!$B$22,Paramètres!$A$1:$I$89,5,0)</f>
        <v>202.96430000000021</v>
      </c>
      <c r="KC114" s="13">
        <f t="shared" si="208"/>
        <v>50.395072260685758</v>
      </c>
      <c r="KD114" s="20">
        <f t="shared" si="159"/>
        <v>441.267573354028</v>
      </c>
      <c r="KE114" s="59">
        <f t="shared" si="160"/>
        <v>734.60090668736132</v>
      </c>
      <c r="KF114" s="59">
        <f ca="1">AVERAGE(OFFSET($KE$3,0,0,'Données projet'!$E$22+1,1))-AVERAGE(OFFSET($H$3,0,0,'Données projet'!$E$22+1,1))</f>
        <v>193.91714772848269</v>
      </c>
      <c r="KG114" s="59">
        <f t="shared" si="209"/>
        <v>159.20429420478047</v>
      </c>
      <c r="KH114" s="15">
        <f>IF(ISNA(VLOOKUP($A114,'Données projet'!$A$382:$I$402,3,0)),0,VLOOKUP($A114,'Données projet'!$A$382:$I$402,3,0))</f>
        <v>0</v>
      </c>
      <c r="KI114" s="15">
        <f>IF(ISNA(VLOOKUP($A114,'Données projet'!$A$382:$I$402,4,0)),0,VLOOKUP($A114,'Données projet'!$A$382:$I$402,4,0))</f>
        <v>0</v>
      </c>
      <c r="KJ114" s="16">
        <f>IF(ISNA(VLOOKUP($A114,'Données projet'!$A$382:$I$402,5,0)),0%,VLOOKUP($A114,'Données projet'!$A$382:$I$402,5,0)*VLOOKUP('Données projet'!$B$22,Paramètres!$A$1:$I$89,7,0))</f>
        <v>0</v>
      </c>
      <c r="KK114" s="16">
        <f>IF(ISNA(VLOOKUP($A114,'Données projet'!$A$382:$I$402,6,0)),0%,VLOOKUP($A114,'Données projet'!$A$382:$I$402,6,0)*VLOOKUP('Données projet'!$B$22,Paramètres!$A$1:$I$89,7,0))</f>
        <v>0</v>
      </c>
      <c r="KL114" s="16">
        <f>IF(ISNA(VLOOKUP($A114,'Données projet'!$A$382:$I$402,7,0)),0%,VLOOKUP($A114,'Données projet'!$A$382:$I$402,7,0))</f>
        <v>0</v>
      </c>
      <c r="KM114" s="21">
        <f>EXP(-LN(2)/35)*KM113+(1-EXP(-LN(2)/35))/(LN(2)/35)*KI114*KJ114*VLOOKUP('Données projet'!$B$22,Paramètres!$A$1:$I$89,3,0)*0.475*44/12</f>
        <v>52.84606352872909</v>
      </c>
      <c r="KN114" s="21">
        <f>EXP(-LN(2)/25)*KN113+(1-EXP(-LN(2)/25))/(LN(2)/25)*Calculateur!KI114*Calculateur!KK114*VLOOKUP('Données projet'!$B$22,Paramètres!$A$1:$I$89,3,0)*0.475*44/12</f>
        <v>0</v>
      </c>
      <c r="KO114" s="21">
        <f>EXP(-LN(2)/2)*KO113+(1-EXP(-LN(2)/2))/(LN(2)/2)*KI114*KL114*VLOOKUP('Données projet'!$B$22,Paramètres!$A$1:$I$89,3,0)*0.475*44/12</f>
        <v>0</v>
      </c>
      <c r="KP114" s="22">
        <f t="shared" si="161"/>
        <v>52.84606352872909</v>
      </c>
      <c r="KQ114" s="74">
        <f>('Scénario référence'!$F$8+'Scénario référence'!$F$9+'Scénario référence'!$B$17+'Scénario référence'!$B$9+'Scénario référence'!$B$10)*70+IF((45+25*(1-EXP(-0.0175*$A114)))&lt;70,'Scénario référence'!$B$16*(45+25*(1-EXP(-0.0175*$A114))),70*'Scénario référence'!$B$16)+IF((32+38*(1-EXP(-0.0175*$A114)))&lt;70,'Scénario référence'!$B$18*(32+38*(1-EXP(-0.0175*$A114))),70*'Scénario référence'!$B$18)</f>
        <v>70</v>
      </c>
      <c r="KR114" s="12">
        <f>IF($A114&gt;30,10,('Scénario référence'!$B$16+'Scénario référence'!$B$17+'Scénario référence'!$B$18+'Scénario référence'!$B$9+'Scénario référence'!$B$10)*$A114*10/30+('Scénario référence'!$F$8+'Scénario référence'!$F$9)*10)</f>
        <v>10</v>
      </c>
      <c r="KS114" s="12" t="e">
        <f>VLOOKUP($A114,'Données projet'!$A$408:$I$428,2,0)</f>
        <v>#N/A</v>
      </c>
      <c r="KT114" s="12" t="e">
        <f>VLOOKUP($A114,'Données projet'!$A$408:$I$428,9,0)</f>
        <v>#N/A</v>
      </c>
      <c r="KU114" s="12">
        <f t="array" ref="KU114">INDEX(KT:KT,MIN(IF(ISNUMBER(KT114:KT310),ROW(KT114:KT310),"")))</f>
        <v>0</v>
      </c>
      <c r="KV114" s="12">
        <f>IF('Données projet'!$A$408&gt;35,KV113+KU114-LD113,IF($A114&lt;'Données projet'!$A$408,$CQ$205^$A114,IF($A114='Données projet'!$A$408,'Données projet'!$B$408,KV113+KU114-LD113)))</f>
        <v>-1.1368683772161603E-13</v>
      </c>
      <c r="KW114" s="17">
        <f>KV114*VLOOKUP('Données projet'!$B$23,Paramètres!$A$1:$I$89,3,0)*VLOOKUP('Données projet'!$B$23,Paramètres!$A$1:$I$89,5,0)</f>
        <v>-9.9316821433603781E-14</v>
      </c>
      <c r="KX114" s="13" t="e">
        <f t="shared" si="210"/>
        <v>#NUM!</v>
      </c>
      <c r="KY114" s="14" t="e">
        <f t="shared" si="162"/>
        <v>#NUM!</v>
      </c>
      <c r="KZ114" s="59" t="e">
        <f t="shared" si="163"/>
        <v>#NUM!</v>
      </c>
      <c r="LA114" s="59">
        <f ca="1">AVERAGE(OFFSET($KZ$3,0,0,'Données projet'!$E$23+1,1))-AVERAGE(OFFSET($H$3,0,0,'Données projet'!$E$23+1,1))</f>
        <v>248.33596943633819</v>
      </c>
      <c r="LB114" s="59">
        <f t="shared" si="211"/>
        <v>242.34010522344573</v>
      </c>
      <c r="LC114" s="15">
        <f>IF(ISNA(VLOOKUP($A114,'Données projet'!$A$408:$I$428,3,0)),0,VLOOKUP($A114,'Données projet'!$A$408:$I$428,3,0))</f>
        <v>0</v>
      </c>
      <c r="LD114" s="15">
        <f>IF(ISNA(VLOOKUP($A114,'Données projet'!$A$408:$I$428,4,0)),0,VLOOKUP($A114,'Données projet'!$A$408:$I$428,4,0))</f>
        <v>0</v>
      </c>
      <c r="LE114" s="16">
        <f>IF(ISNA(VLOOKUP($A114,'Données projet'!$A$408:$I$428,5,0)),0%,VLOOKUP($A114,'Données projet'!$A$408:$I$428,5,0)*VLOOKUP('Données projet'!$B$23,Paramètres!$A$1:$I$89,7,0))</f>
        <v>0</v>
      </c>
      <c r="LF114" s="16">
        <f>IF(ISNA(VLOOKUP($A114,'Données projet'!$A$408:$I$428,6,0)),0%,VLOOKUP($A114,'Données projet'!$A$408:$I$428,6,0)*VLOOKUP('Données projet'!$B$23,Paramètres!$A$1:$I$89,7,0))</f>
        <v>0</v>
      </c>
      <c r="LG114" s="16">
        <f>IF(ISNA(VLOOKUP($A114,'Données projet'!$A$408:$I$428,7,0)),0%,VLOOKUP($A114,'Données projet'!$A$408:$I$428,7,0))</f>
        <v>0</v>
      </c>
      <c r="LH114" s="21">
        <f>EXP(-LN(2)/35)*LH113+(1-EXP(-LN(2)/35))/(LN(2)/35)*LD114*LE114*VLOOKUP('Données projet'!$B$23,Paramètres!$A$1:$I$89,3,0)*0.475*44/12</f>
        <v>66.689284091551244</v>
      </c>
      <c r="LI114" s="21">
        <f>EXP(-LN(2)/25)*LI113+(1-EXP(-LN(2)/25))/(LN(2)/25)*Calculateur!LD114*Calculateur!LF114*VLOOKUP('Données projet'!$B$23,Paramètres!$A$1:$I$89,3,0)*0.475*44/12</f>
        <v>9.2198322835834272</v>
      </c>
      <c r="LJ114" s="21">
        <f>EXP(-LN(2)/2)*LJ113+(1-EXP(-LN(2)/2))/(LN(2)/2)*LD114*LG114*VLOOKUP('Données projet'!$B$23,Paramètres!$A$1:$I$89,3,0)*0.475*44/12</f>
        <v>0</v>
      </c>
      <c r="LK114" s="22">
        <f t="shared" si="164"/>
        <v>75.909116375134673</v>
      </c>
      <c r="LL114" s="74">
        <f>('Scénario référence'!$F$8+'Scénario référence'!$F$9+'Scénario référence'!$B$17+'Scénario référence'!$B$9+'Scénario référence'!$B$10)*70+IF((45+25*(1-EXP(-0.0175*$A114)))&lt;70,'Scénario référence'!$B$16*(45+25*(1-EXP(-0.0175*$A114))),70*'Scénario référence'!$B$16)+IF((32+38*(1-EXP(-0.0175*$A114)))&lt;70,'Scénario référence'!$B$18*(32+38*(1-EXP(-0.0175*$A114))),70*'Scénario référence'!$B$18)</f>
        <v>70</v>
      </c>
      <c r="LM114" s="12">
        <f>IF($A114&gt;30,10,('Scénario référence'!$B$16+'Scénario référence'!$B$17+'Scénario référence'!$B$18+'Scénario référence'!$B$9+'Scénario référence'!$B$10)*$A114*10/30+('Scénario référence'!$F$8+'Scénario référence'!$F$9)*10)</f>
        <v>10</v>
      </c>
      <c r="LN114" s="12" t="e">
        <f>VLOOKUP($A114,'Données projet'!$A$434:$I$454,2,0)</f>
        <v>#N/A</v>
      </c>
      <c r="LO114" s="12" t="e">
        <f>VLOOKUP($A114,'Données projet'!$A$434:$I$454,9,0)</f>
        <v>#N/A</v>
      </c>
      <c r="LP114" s="12">
        <f t="array" ref="LP114">INDEX(LO:LO,MIN(IF(ISNUMBER(LO114:LO310),ROW(LO114:LO310),"")))</f>
        <v>5.0961538461538449</v>
      </c>
      <c r="LQ114" s="12">
        <f>IF('Données projet'!$A$434&gt;35,LQ113+LP114-LY113,IF($A114&lt;'Données projet'!$A$434,$CQ$205^$A114,IF($A114='Données projet'!$A$434,'Données projet'!$B$434,LQ113+LP114-LY113)))</f>
        <v>236.02564102564068</v>
      </c>
      <c r="LR114" s="17">
        <f>LQ114*VLOOKUP('Données projet'!$B$24,Paramètres!$A$1:$I$89,3,0)*VLOOKUP('Données projet'!$B$24,Paramètres!$A$1:$I$89,5,0)</f>
        <v>239.32999999999967</v>
      </c>
      <c r="LS114" s="13">
        <f t="shared" si="212"/>
        <v>58.295353272631196</v>
      </c>
      <c r="LT114" s="14">
        <f t="shared" si="165"/>
        <v>518.36415694983214</v>
      </c>
      <c r="LU114" s="59">
        <f t="shared" si="166"/>
        <v>811.69749028316551</v>
      </c>
      <c r="LV114" s="59">
        <f ca="1">AVERAGE(OFFSET($LU$3,0,0,'Données projet'!$E$24+1,1))-AVERAGE(OFFSET($H$3,0,0,'Données projet'!$E$24+1,1))</f>
        <v>260.52627655062872</v>
      </c>
      <c r="LW114" s="59">
        <f t="shared" si="213"/>
        <v>159.20429420478047</v>
      </c>
      <c r="LX114" s="15">
        <f>IF(ISNA(VLOOKUP($A114,'Données projet'!$A$434:$I$454,3,0)),0,VLOOKUP($A114,'Données projet'!$A$434:$I$454,3,0))</f>
        <v>0</v>
      </c>
      <c r="LY114" s="15">
        <f>IF(ISNA(VLOOKUP($A114,'Données projet'!$A$434:$I$454,4,0)),0,VLOOKUP($A114,'Données projet'!$A$434:$I$454,4,0))</f>
        <v>0</v>
      </c>
      <c r="LZ114" s="16">
        <f>IF(ISNA(VLOOKUP($A114,'Données projet'!$A$434:$I$454,5,0)),0%,VLOOKUP($A114,'Données projet'!$A$434:$I$454,5,0)*VLOOKUP('Données projet'!$B$24,Paramètres!$A$1:$I$89,7,0))</f>
        <v>0</v>
      </c>
      <c r="MA114" s="16">
        <f>IF(ISNA(VLOOKUP($A114,'Données projet'!$A$434:$I$454,6,0)),0%,VLOOKUP($A114,'Données projet'!$A$434:$I$454,6,0)*VLOOKUP('Données projet'!$B$24,Paramètres!$A$1:$I$89,7,0))</f>
        <v>0</v>
      </c>
      <c r="MB114" s="16">
        <f>IF(ISNA(VLOOKUP($A114,'Données projet'!$A$434:$I$454,7,0)),0%,VLOOKUP($A114,'Données projet'!$A$434:$I$454,7,0))</f>
        <v>0</v>
      </c>
      <c r="MC114" s="21">
        <f>EXP(-LN(2)/35)*MC113+(1-EXP(-LN(2)/35))/(LN(2)/35)*LY114*LZ114*VLOOKUP('Données projet'!$B$24,Paramètres!$A$1:$I$89,3,0)*0.475*44/12</f>
        <v>30.533211801586745</v>
      </c>
      <c r="MD114" s="21">
        <f>EXP(-LN(2)/25)*MD113+(1-EXP(-LN(2)/25))/(LN(2)/25)*Calculateur!LY114*Calculateur!MA114*VLOOKUP('Données projet'!$B$24,Paramètres!$A$1:$I$89,3,0)*0.475*44/12</f>
        <v>0</v>
      </c>
      <c r="ME114" s="21">
        <f>EXP(-LN(2)/2)*ME113+(1-EXP(-LN(2)/2))/(LN(2)/2)*LY114*MB114*VLOOKUP('Données projet'!$B$24,Paramètres!$A$1:$I$89,3,0)*0.475*44/12</f>
        <v>0</v>
      </c>
      <c r="MF114" s="22">
        <f t="shared" si="167"/>
        <v>30.533211801586745</v>
      </c>
      <c r="MG114" s="74">
        <f>('Scénario référence'!$F$8+'Scénario référence'!$F$9+'Scénario référence'!$B$17+'Scénario référence'!$B$9+'Scénario référence'!$B$10)*70+IF((45+25*(1-EXP(-0.0175*$A114)))&lt;70,'Scénario référence'!$B$16*(45+25*(1-EXP(-0.0175*$A114))),70*'Scénario référence'!$B$16)+IF((32+38*(1-EXP(-0.0175*$A114)))&lt;70,'Scénario référence'!$B$18*(32+38*(1-EXP(-0.0175*$A114))),70*'Scénario référence'!$B$18)</f>
        <v>70</v>
      </c>
      <c r="MH114" s="12">
        <f>IF($A114&gt;30,10,('Scénario référence'!$B$16+'Scénario référence'!$B$17+'Scénario référence'!$B$18+'Scénario référence'!$B$9+'Scénario référence'!$B$10)*$A114*10/30+('Scénario référence'!$F$8+'Scénario référence'!$F$9)*10)</f>
        <v>10</v>
      </c>
      <c r="MI114" s="12" t="e">
        <f>VLOOKUP($A114,'Données projet'!$A$460:$I$480,2,0)</f>
        <v>#N/A</v>
      </c>
      <c r="MJ114" s="12" t="e">
        <f>VLOOKUP($A114,'Données projet'!$A$460:$I$480,9,0)</f>
        <v>#N/A</v>
      </c>
      <c r="MK114" s="12">
        <f t="array" ref="MK114">INDEX(MJ:MJ,MIN(IF(ISNUMBER(MJ114:MJ310),ROW(MJ114:MJ310),"")))</f>
        <v>0</v>
      </c>
      <c r="ML114" s="12">
        <f>IF('Données projet'!$A$460&gt;35,ML113+MK114-MT113,IF($A114&lt;'Données projet'!$A$460,$CQ$205^$A114,IF($A114='Données projet'!$A$460,'Données projet'!$B$460,ML113+MK114-MT113)))</f>
        <v>0</v>
      </c>
      <c r="MM114" s="17" t="e">
        <f>ML114*VLOOKUP('Données projet'!$B$25,Paramètres!$A$1:$I$89,3,0)*VLOOKUP('Données projet'!$B$25,Paramètres!$A$1:$I$89,5,0)</f>
        <v>#N/A</v>
      </c>
      <c r="MN114" s="13" t="e">
        <f t="shared" si="214"/>
        <v>#N/A</v>
      </c>
      <c r="MO114" s="14" t="e">
        <f t="shared" si="168"/>
        <v>#N/A</v>
      </c>
      <c r="MP114" s="59" t="e">
        <f t="shared" si="169"/>
        <v>#N/A</v>
      </c>
      <c r="MQ114" s="20" t="e">
        <f ca="1">AVERAGE(OFFSET($MP$3,0,0,'Données projet'!$E$25+1,1))-AVERAGE(OFFSET($H$3,0,0,'Données projet'!$E$25+1,1))</f>
        <v>#N/A</v>
      </c>
      <c r="MR114" s="59" t="e">
        <f t="shared" si="215"/>
        <v>#N/A</v>
      </c>
      <c r="MS114" s="15">
        <f>IF(ISNA(VLOOKUP($A114,'Données projet'!$A$460:$I$480,3,0)),0,VLOOKUP($A114,'Données projet'!$A$460:$I$480,3,0))</f>
        <v>0</v>
      </c>
      <c r="MT114" s="15">
        <f>IF(ISNA(VLOOKUP($A114,'Données projet'!$A$460:$I$480,4,0)),0,VLOOKUP($A114,'Données projet'!$A$460:$I$480,4,0))</f>
        <v>0</v>
      </c>
      <c r="MU114" s="16">
        <f>IF(ISNA(VLOOKUP($A114,'Données projet'!$A$460:$I$480,5,0)),0%,VLOOKUP($A114,'Données projet'!$A$460:$I$480,5,0)*VLOOKUP('Données projet'!$B$25,Paramètres!$A$1:$I$89,7,0))</f>
        <v>0</v>
      </c>
      <c r="MV114" s="16">
        <f>IF(ISNA(VLOOKUP($A114,'Données projet'!$A$460:$I$480,6,0)),0%,VLOOKUP($A114,'Données projet'!$A$460:$I$480,6,0)*VLOOKUP('Données projet'!$B$25,Paramètres!$A$1:$I$89,7,0))</f>
        <v>0</v>
      </c>
      <c r="MW114" s="16">
        <f>IF(ISNA(VLOOKUP($A114,'Données projet'!$A$460:$I$480,7,0)),0%,VLOOKUP($A114,'Données projet'!$A$460:$I$480,7,0))</f>
        <v>0</v>
      </c>
      <c r="MX114" s="21" t="e">
        <f>EXP(-LN(2)/35)*MX113+(1-EXP(-LN(2)/35))/(LN(2)/35)*MT114*MU114*VLOOKUP('Données projet'!$B$25,Paramètres!$A$1:$I$89,3,0)*0.475*44/12</f>
        <v>#N/A</v>
      </c>
      <c r="MY114" s="21" t="e">
        <f>EXP(-LN(2)/25)*MY113+(1-EXP(-LN(2)/25))/(LN(2)/25)*Calculateur!MT114*Calculateur!MV114*VLOOKUP('Données projet'!$B$25,Paramètres!$A$1:$I$89,3,0)*0.475*44/12</f>
        <v>#N/A</v>
      </c>
      <c r="MZ114" s="21" t="e">
        <f>EXP(-LN(2)/2)*MZ113+(1-EXP(-LN(2)/2))/(LN(2)/2)*MT114*MW114*VLOOKUP('Données projet'!$B$25,Paramètres!$A$1:$I$89,3,0)*0.475*44/12</f>
        <v>#N/A</v>
      </c>
      <c r="NA114" s="22" t="e">
        <f t="shared" si="170"/>
        <v>#N/A</v>
      </c>
      <c r="NB114" s="74">
        <f>('Scénario référence'!$F$8+'Scénario référence'!$F$9+'Scénario référence'!$B$17+'Scénario référence'!$B$9+'Scénario référence'!$B$10)*70+IF((45+25*(1-EXP(-0.0175*$A114)))&lt;70,'Scénario référence'!$B$16*(45+25*(1-EXP(-0.0175*$A114))),70*'Scénario référence'!$B$16)+IF((32+38*(1-EXP(-0.0175*$A114)))&lt;70,'Scénario référence'!$B$18*(32+38*(1-EXP(-0.0175*$A114))),70*'Scénario référence'!$B$18)</f>
        <v>70</v>
      </c>
      <c r="NC114" s="12">
        <f>IF($A114&gt;30,10,('Scénario référence'!$B$16+'Scénario référence'!$B$17+'Scénario référence'!$B$18+'Scénario référence'!$B$9+'Scénario référence'!$B$10)*$A114*10/30+('Scénario référence'!$F$8+'Scénario référence'!$F$9)*10)</f>
        <v>10</v>
      </c>
      <c r="ND114" s="12" t="e">
        <f>VLOOKUP($A114,'Données projet'!$A$486:$I$506,2,0)</f>
        <v>#N/A</v>
      </c>
      <c r="NE114" s="12" t="e">
        <f>VLOOKUP($A114,'Données projet'!$A$486:$I$506,9,0)</f>
        <v>#N/A</v>
      </c>
      <c r="NF114" s="12">
        <f t="array" ref="NF114">INDEX(NE:NE,MIN(IF(ISNUMBER(NE114:NE310),ROW(NE114:NE310),"")))</f>
        <v>0</v>
      </c>
      <c r="NG114" s="12">
        <f>IF('Données projet'!$A$486&gt;35,NG113+NF114-NO113,IF($A114&lt;'Données projet'!$A$486,$CQ$205^$A114,IF($A114='Données projet'!$A$486,'Données projet'!$B$486,NG113+NF114-NO113)))</f>
        <v>0</v>
      </c>
      <c r="NH114" s="17" t="e">
        <f>NG114*VLOOKUP('Données projet'!$B$26,Paramètres!$A$1:$I$89,3,0)*VLOOKUP('Données projet'!$B$26,Paramètres!$A$1:$I$89,5,0)</f>
        <v>#N/A</v>
      </c>
      <c r="NI114" s="13" t="e">
        <f t="shared" si="216"/>
        <v>#N/A</v>
      </c>
      <c r="NJ114" s="14" t="e">
        <f t="shared" si="171"/>
        <v>#N/A</v>
      </c>
      <c r="NK114" s="59" t="e">
        <f t="shared" si="172"/>
        <v>#N/A</v>
      </c>
      <c r="NL114" s="20" t="e">
        <f ca="1">AVERAGE(OFFSET($NK$3,0,0,'Données projet'!$E$26+1,1))-AVERAGE(OFFSET($H$3,0,0,'Données projet'!$E$26+1,1))</f>
        <v>#N/A</v>
      </c>
      <c r="NM114" s="59" t="e">
        <f t="shared" si="217"/>
        <v>#N/A</v>
      </c>
      <c r="NN114" s="15">
        <f>IF(ISNA(VLOOKUP($A114,'Données projet'!$A$486:$I$506,3,0)),0,VLOOKUP($A114,'Données projet'!$A$486:$I$506,3,0))</f>
        <v>0</v>
      </c>
      <c r="NO114" s="15">
        <f>IF(ISNA(VLOOKUP($A114,'Données projet'!$A$486:$I$506,4,0)),0,VLOOKUP($A114,'Données projet'!$A$486:$I$506,4,0))</f>
        <v>0</v>
      </c>
      <c r="NP114" s="16">
        <f>IF(ISNA(VLOOKUP($A114,'Données projet'!$A$486:$I$506,5,0)),0%,VLOOKUP($A114,'Données projet'!$A$486:$I$506,5,0)*VLOOKUP('Données projet'!$B$26,Paramètres!$A$1:$I$89,7,0))</f>
        <v>0</v>
      </c>
      <c r="NQ114" s="16">
        <f>IF(ISNA(VLOOKUP($A114,'Données projet'!$A$486:$I$506,6,0)),0%,VLOOKUP($A114,'Données projet'!$A$486:$I$506,6,0)*VLOOKUP('Données projet'!$B$26,Paramètres!$A$1:$I$89,7,0))</f>
        <v>0</v>
      </c>
      <c r="NR114" s="16">
        <f>IF(ISNA(VLOOKUP($A114,'Données projet'!$A$486:$I$506,7,0)),0%,VLOOKUP($A114,'Données projet'!$A$486:$I$506,7,0))</f>
        <v>0</v>
      </c>
      <c r="NS114" s="21" t="e">
        <f>EXP(-LN(2)/35)*NS113+(1-EXP(-LN(2)/35))/(LN(2)/35)*NO114*NP114*VLOOKUP('Données projet'!$B$26,Paramètres!$A$1:$I$89,3,0)*0.475*44/12</f>
        <v>#N/A</v>
      </c>
      <c r="NT114" s="21" t="e">
        <f>EXP(-LN(2)/25)*NT113+(1-EXP(-LN(2)/25))/(LN(2)/25)*Calculateur!NO114*Calculateur!NQ114*VLOOKUP('Données projet'!$B$26,Paramètres!$A$1:$I$89,3,0)*0.475*44/12</f>
        <v>#N/A</v>
      </c>
      <c r="NU114" s="21" t="e">
        <f>EXP(-LN(2)/2)*NU113+(1-EXP(-LN(2)/2))/(LN(2)/2)*NO114*NR114*VLOOKUP('Données projet'!$B$26,Paramètres!$A$1:$I$89,3,0)*0.475*44/12</f>
        <v>#N/A</v>
      </c>
      <c r="NV114" s="22" t="e">
        <f t="shared" si="173"/>
        <v>#N/A</v>
      </c>
      <c r="NW114" s="74">
        <f>('Scénario référence'!$F$8+'Scénario référence'!$F$9+'Scénario référence'!$B$17+'Scénario référence'!$B$9+'Scénario référence'!$B$10)*70+IF((45+25*(1-EXP(-0.0175*$A114)))&lt;70,'Scénario référence'!$B$16*(45+25*(1-EXP(-0.0175*$A114))),70*'Scénario référence'!$B$16)+IF((32+38*(1-EXP(-0.0175*$A114)))&lt;70,'Scénario référence'!$B$18*(32+38*(1-EXP(-0.0175*$A114))),70*'Scénario référence'!$B$18)</f>
        <v>70</v>
      </c>
      <c r="NX114" s="12">
        <f>IF($A114&gt;30,10,('Scénario référence'!$B$16+'Scénario référence'!$B$17+'Scénario référence'!$B$18+'Scénario référence'!$B$9+'Scénario référence'!$B$10)*$A114*10/30+('Scénario référence'!$F$8+'Scénario référence'!$F$9)*10)</f>
        <v>10</v>
      </c>
      <c r="NY114" s="12" t="e">
        <f>VLOOKUP($A114,'Données projet'!$A$512:$I$532,2,0)</f>
        <v>#N/A</v>
      </c>
      <c r="NZ114" s="12" t="e">
        <f>VLOOKUP($A114,'Données projet'!$A$512:$I$532,9,0)</f>
        <v>#N/A</v>
      </c>
      <c r="OA114" s="12">
        <f t="array" ref="OA114">INDEX(NZ:NZ,MIN(IF(ISNUMBER(NZ114:NZ310),ROW(NZ114:NZ310),"")))</f>
        <v>0</v>
      </c>
      <c r="OB114" s="12">
        <f>IF('Données projet'!$A$512&gt;35,OB113+OA114-OJ113,IF($A114&lt;'Données projet'!$A$512,$CQ$205^$A114,IF($A114='Données projet'!$A$512,'Données projet'!$B$512,OB113+OA114-OJ113)))</f>
        <v>0</v>
      </c>
      <c r="OC114" s="17" t="e">
        <f>OB114*VLOOKUP('Données projet'!$B$27,Paramètres!$A$1:$I$89,3,0)*VLOOKUP('Données projet'!$B$27,Paramètres!$A$1:$I$89,5,0)</f>
        <v>#N/A</v>
      </c>
      <c r="OD114" s="13" t="e">
        <f t="shared" si="218"/>
        <v>#N/A</v>
      </c>
      <c r="OE114" s="14" t="e">
        <f t="shared" si="174"/>
        <v>#N/A</v>
      </c>
      <c r="OF114" s="59" t="e">
        <f t="shared" si="175"/>
        <v>#N/A</v>
      </c>
      <c r="OG114" s="20" t="e">
        <f ca="1">AVERAGE(OFFSET($OF$3,0,0,'Données projet'!$E$27+1,1))-AVERAGE(OFFSET($H$3,0,0,'Données projet'!$E$27+1,1))</f>
        <v>#N/A</v>
      </c>
      <c r="OH114" s="59" t="e">
        <f t="shared" si="219"/>
        <v>#N/A</v>
      </c>
      <c r="OI114" s="15">
        <f>IF(ISNA(VLOOKUP($A114,'Données projet'!$A$512:$I$532,3,0)),0,VLOOKUP($A114,'Données projet'!$A$512:$I$532,3,0))</f>
        <v>0</v>
      </c>
      <c r="OJ114" s="15">
        <f>IF(ISNA(VLOOKUP($A114,'Données projet'!$A$512:$I$532,4,0)),0,VLOOKUP($A114,'Données projet'!$A$512:$I$532,4,0))</f>
        <v>0</v>
      </c>
      <c r="OK114" s="16">
        <f>IF(ISNA(VLOOKUP($A114,'Données projet'!$A$512:$I$532,5,0)),0%,VLOOKUP($A114,'Données projet'!$A$512:$I$532,5,0)*VLOOKUP('Données projet'!$B$27,Paramètres!$A$1:$I$89,7,0))</f>
        <v>0</v>
      </c>
      <c r="OL114" s="16">
        <f>IF(ISNA(VLOOKUP($A114,'Données projet'!$A$512:$I$532,6,0)),0%,VLOOKUP($A114,'Données projet'!$A$512:$I$532,6,0)*VLOOKUP('Données projet'!$B$27,Paramètres!$A$1:$I$89,7,0))</f>
        <v>0</v>
      </c>
      <c r="OM114" s="16">
        <f>IF(ISNA(VLOOKUP($A114,'Données projet'!$A$512:$I$532,7,0)),0%,VLOOKUP($A114,'Données projet'!$A$512:$I$532,7,0))</f>
        <v>0</v>
      </c>
      <c r="ON114" s="21" t="e">
        <f>EXP(-LN(2)/35)*ON113+(1-EXP(-LN(2)/35))/(LN(2)/35)*OJ114*OK114*VLOOKUP('Données projet'!$B$27,Paramètres!$A$1:$I$89,3,0)*0.475*44/12</f>
        <v>#N/A</v>
      </c>
      <c r="OO114" s="21" t="e">
        <f>EXP(-LN(2)/25)*OO113+(1-EXP(-LN(2)/25))/(LN(2)/25)*Calculateur!OJ114*Calculateur!OL114*VLOOKUP('Données projet'!$B$27,Paramètres!$A$1:$I$89,3,0)*0.475*44/12</f>
        <v>#N/A</v>
      </c>
      <c r="OP114" s="21" t="e">
        <f>EXP(-LN(2)/2)*OP113+(1-EXP(-LN(2)/2))/(LN(2)/2)*OJ114*OM114*VLOOKUP('Données projet'!$B$27,Paramètres!$A$1:$I$89,3,0)*0.475*44/12</f>
        <v>#N/A</v>
      </c>
      <c r="OQ114" s="22" t="e">
        <f t="shared" si="176"/>
        <v>#N/A</v>
      </c>
      <c r="OR114" s="74">
        <f>('Scénario référence'!$F$8+'Scénario référence'!$F$9+'Scénario référence'!$B$17+'Scénario référence'!$B$9+'Scénario référence'!$B$10)*70+IF((45+25*(1-EXP(-0.0175*$A114)))&lt;70,'Scénario référence'!$B$16*(45+25*(1-EXP(-0.0175*$A114))),70*'Scénario référence'!$B$16)+IF((32+38*(1-EXP(-0.0175*$A114)))&lt;70,'Scénario référence'!$B$18*(32+38*(1-EXP(-0.0175*$A114))),70*'Scénario référence'!$B$18)</f>
        <v>70</v>
      </c>
      <c r="OS114" s="12">
        <f>IF($A114&gt;30,10,('Scénario référence'!$B$16+'Scénario référence'!$B$17+'Scénario référence'!$B$18+'Scénario référence'!$B$9+'Scénario référence'!$B$10)*$A114*10/30+('Scénario référence'!$F$8+'Scénario référence'!$F$9)*10)</f>
        <v>10</v>
      </c>
      <c r="OT114" s="12" t="e">
        <f>VLOOKUP($A114,'Données projet'!$A$538:$I$558,2,0)</f>
        <v>#N/A</v>
      </c>
      <c r="OU114" s="12" t="e">
        <f>VLOOKUP($A114,'Données projet'!$A$538:$I$558,9,0)</f>
        <v>#N/A</v>
      </c>
      <c r="OV114" s="12">
        <f t="array" ref="OV114">INDEX(OU:OU,MIN(IF(ISNUMBER(OU114:OU310),ROW(OU114:OU310),"")))</f>
        <v>0</v>
      </c>
      <c r="OW114" s="12">
        <f>IF('Données projet'!$A$538&gt;35,OW113+OV114-PE113,IF($A114&lt;'Données projet'!$A$538,$CQ$205^$A114,IF($A114='Données projet'!$A$538,'Données projet'!$B$538,OW113+OV114-PE113)))</f>
        <v>0</v>
      </c>
      <c r="OX114" s="17" t="e">
        <f>OW114*VLOOKUP('Données projet'!$B$28,Paramètres!$A$1:$I$89,3,0)*VLOOKUP('Données projet'!$B$28,Paramètres!$A$1:$I$89,5,0)</f>
        <v>#N/A</v>
      </c>
      <c r="OY114" s="13" t="e">
        <f t="shared" si="220"/>
        <v>#N/A</v>
      </c>
      <c r="OZ114" s="14" t="e">
        <f t="shared" si="177"/>
        <v>#N/A</v>
      </c>
      <c r="PA114" s="59" t="e">
        <f t="shared" si="178"/>
        <v>#N/A</v>
      </c>
      <c r="PB114" s="20" t="e">
        <f ca="1">AVERAGE(OFFSET($PA$3,0,0,'Données projet'!$E$28+1,1))-AVERAGE(OFFSET($H$3,0,0,'Données projet'!$E$28+1,1))</f>
        <v>#N/A</v>
      </c>
      <c r="PC114" s="59" t="e">
        <f t="shared" si="221"/>
        <v>#N/A</v>
      </c>
      <c r="PD114" s="15">
        <f>IF(ISNA(VLOOKUP($A114,'Données projet'!$A$538:$I$558,3,0)),0,VLOOKUP($A114,'Données projet'!$A$538:$I$558,3,0))</f>
        <v>0</v>
      </c>
      <c r="PE114" s="15">
        <f>IF(ISNA(VLOOKUP($A114,'Données projet'!$A$538:$I$558,4,0)),0,VLOOKUP($A114,'Données projet'!$A$538:$I$558,4,0))</f>
        <v>0</v>
      </c>
      <c r="PF114" s="16">
        <f>IF(ISNA(VLOOKUP($A114,'Données projet'!$A$538:$I$558,5,0)),0%,VLOOKUP($A114,'Données projet'!$A$538:$I$558,5,0)*VLOOKUP('Données projet'!$B$28,Paramètres!$A$1:$I$89,7,0))</f>
        <v>0</v>
      </c>
      <c r="PG114" s="16">
        <f>IF(ISNA(VLOOKUP($A114,'Données projet'!$A$538:$I$558,6,0)),0%,VLOOKUP($A114,'Données projet'!$A$538:$I$558,6,0)*VLOOKUP('Données projet'!$B$28,Paramètres!$A$1:$I$89,7,0))</f>
        <v>0</v>
      </c>
      <c r="PH114" s="16">
        <f>IF(ISNA(VLOOKUP($A114,'Données projet'!$A$538:$I$558,7,0)),0%,VLOOKUP($A114,'Données projet'!$A$538:$I$558,7,0))</f>
        <v>0</v>
      </c>
      <c r="PI114" s="21" t="e">
        <f>EXP(-LN(2)/35)*PI113+(1-EXP(-LN(2)/35))/(LN(2)/35)*PE114*PF114*VLOOKUP('Données projet'!$B$28,Paramètres!$A$1:$I$89,3,0)*0.475*44/12</f>
        <v>#N/A</v>
      </c>
      <c r="PJ114" s="21" t="e">
        <f>EXP(-LN(2)/25)*PJ113+(1-EXP(-LN(2)/25))/(LN(2)/25)*Calculateur!PE114*Calculateur!PG114*VLOOKUP('Données projet'!$B$28,Paramètres!$A$1:$I$89,3,0)*0.475*44/12</f>
        <v>#N/A</v>
      </c>
      <c r="PK114" s="21" t="e">
        <f>EXP(-LN(2)/2)*PK113+(1-EXP(-LN(2)/2))/(LN(2)/2)*PE114*PH114*VLOOKUP('Données projet'!$B$28,Paramètres!$A$1:$I$89,3,0)*0.475*44/12</f>
        <v>#N/A</v>
      </c>
      <c r="PL114" s="22" t="e">
        <f t="shared" si="179"/>
        <v>#N/A</v>
      </c>
    </row>
    <row r="115" spans="1:428" x14ac:dyDescent="0.35">
      <c r="A115" s="10">
        <f t="shared" si="180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181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121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projet'!$A$45:$I$65,2,0)</f>
        <v>#N/A</v>
      </c>
      <c r="L115" s="12" t="e">
        <f>VLOOKUP(A115,'Données projet'!$A$45:$I$65,9,0)</f>
        <v>#N/A</v>
      </c>
      <c r="M115" s="12">
        <f t="array" ref="M115">INDEX(L:L,MIN(IF(ISNUMBER(L115:L311),ROW(L115:L311),"")))</f>
        <v>0</v>
      </c>
      <c r="N115" s="13">
        <f>IF('Données projet'!$A$46&gt;35,N114+M115-V114,IF(A115&lt;'Données projet'!$A$46,$K$205^A115,IF(A115='Données projet'!$A$46,'Données projet'!$B$46,N114+M115-V114)))</f>
        <v>-1.1368683772161603E-13</v>
      </c>
      <c r="O115" s="13">
        <f>N115*VLOOKUP('Données projet'!$B$9,Paramètres!$A$1:$I$89,3,0)*VLOOKUP('Données projet'!$B$9,Paramètres!$A$1:$I$89,5,0)</f>
        <v>-6.3550942286383367E-14</v>
      </c>
      <c r="P115" s="13" t="e">
        <f t="shared" si="182"/>
        <v>#NUM!</v>
      </c>
      <c r="Q115" s="20" t="e">
        <f t="shared" si="222"/>
        <v>#NUM!</v>
      </c>
      <c r="R115" s="59" t="e">
        <f t="shared" si="120"/>
        <v>#NUM!</v>
      </c>
      <c r="S115" s="59">
        <f ca="1">AVERAGE(OFFSET($R$3,0,0,'Données projet'!$E$9+1,1))-AVERAGE(OFFSET($H$3,0,0,'Données projet'!$E$9+1,1))</f>
        <v>274.57619581652199</v>
      </c>
      <c r="T115" s="59">
        <f t="shared" si="183"/>
        <v>366.15117322598775</v>
      </c>
      <c r="U115" s="15">
        <f>IF(ISNA(VLOOKUP(A115,'Données projet'!$A$45:$I$65,3,0)),0,VLOOKUP(A115,'Données projet'!$A$45:$I$65,3,0))</f>
        <v>0</v>
      </c>
      <c r="V115" s="15">
        <f>IF(ISNA(VLOOKUP(A115,'Données projet'!$A$45:$I$65,4,0)),0,VLOOKUP(A115,'Données projet'!$A$45:$I$65,4,0))</f>
        <v>0</v>
      </c>
      <c r="W115" s="16">
        <f>IF(ISNA(VLOOKUP(A115,'Données projet'!$A$45:$I$65,5,0)),0%,VLOOKUP(A115,'Données projet'!$A$45:$I$65,5,0)*VLOOKUP('Données projet'!$B$9,Paramètres!$A$1:$I$89,7,0))</f>
        <v>0</v>
      </c>
      <c r="X115" s="16">
        <f>IF(ISNA(VLOOKUP(A115,'Données projet'!$A$45:$I$65,6,0)),0%,VLOOKUP(A115,'Données projet'!$A$45:$I$65,6,0)*VLOOKUP('Données projet'!$B$9,Paramètres!$A$1:$I$89,7,0))</f>
        <v>0</v>
      </c>
      <c r="Y115" s="16">
        <f>IF(ISNA(VLOOKUP(A115,'Données projet'!$A$45:$I$65,7,0)),0%,VLOOKUP(A115,'Données projet'!$A$45:$I$65,7,0))</f>
        <v>0</v>
      </c>
      <c r="Z115" s="21">
        <f>EXP(-LN(2)/35)*Z114+(1-EXP(-LN(2)/35))/(LN(2)/35)*V115*W115*VLOOKUP('Données projet'!$B$9,Paramètres!$A$1:$I$89,3,0)*0.475*44/12</f>
        <v>73.302779603459555</v>
      </c>
      <c r="AA115" s="21">
        <f>EXP(-LN(2)/25)*AA114+(1-EXP(-LN(2)/25))/(LN(2)/25)*Calculateur!V115*Calculateur!X115*VLOOKUP('Données projet'!$B$9,Paramètres!$A$1:$I$89,3,0)*0.475*44/12</f>
        <v>11.861292023343939</v>
      </c>
      <c r="AB115" s="21">
        <f>EXP(-LN(2)/2)*AB114+(1-EXP(-LN(2)/2))/(LN(2)/2)*V115*Y115*VLOOKUP('Données projet'!$B$9,Paramètres!$A$1:$I$89,3,0)*0.475*44/12</f>
        <v>8.9986956549745383E-8</v>
      </c>
      <c r="AC115" s="22">
        <f t="shared" si="122"/>
        <v>85.164071716790446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projet'!$A$71:$I$91,2,0)</f>
        <v>#N/A</v>
      </c>
      <c r="AG115" s="12" t="e">
        <f>VLOOKUP(A115,'Données projet'!$A$71:$I$91,9,0)</f>
        <v>#N/A</v>
      </c>
      <c r="AH115" s="12">
        <f t="array" ref="AH115">INDEX(AG:AG,MIN(IF(ISNUMBER(AG115:AG311),ROW(AG115:AG311),"")))</f>
        <v>6.8461538461538511</v>
      </c>
      <c r="AI115" s="13">
        <f>IF('Données projet'!$A$72&gt;35,AI114+AH115-AQ114,IF(A115&lt;'Données projet'!$A$72,$AF$205^A115,IF(A115='Données projet'!$A$72,'Données projet'!$B$72,AI114+AH115-AQ114)))</f>
        <v>309.41666666666703</v>
      </c>
      <c r="AJ115" s="13">
        <f>AI115*VLOOKUP('Données projet'!$B$10,Paramètres!$A$1:$I$89,3,0)*VLOOKUP('Données projet'!$B$10,Paramètres!$A$1:$I$89,5,0)</f>
        <v>279.96020000000033</v>
      </c>
      <c r="AK115" s="13">
        <f t="shared" si="184"/>
        <v>66.958597927408931</v>
      </c>
      <c r="AL115" s="20">
        <f t="shared" si="123"/>
        <v>604.2169063902378</v>
      </c>
      <c r="AM115" s="59">
        <f t="shared" si="124"/>
        <v>897.55023972357117</v>
      </c>
      <c r="AN115" s="59">
        <f ca="1">AVERAGE(OFFSET($AM$3,0,0,'Données projet'!$E$10+1,1))-AVERAGE(OFFSET($H$3,0,0,'Données projet'!$E$10+1,1))</f>
        <v>270.87836509222456</v>
      </c>
      <c r="AO115" s="59">
        <f t="shared" si="185"/>
        <v>205.24998237949734</v>
      </c>
      <c r="AP115" s="15">
        <f>IF(ISNA(VLOOKUP(A115,'Données projet'!$A$71:$I$91,3,0)),0,VLOOKUP(A115,'Données projet'!$A$71:$I$91,3,0))</f>
        <v>0</v>
      </c>
      <c r="AQ115" s="15">
        <f>IF(ISNA(VLOOKUP(A115,'Données projet'!$A$71:$I$91,4,0)),0,VLOOKUP(A115,'Données projet'!$A$71:$I$91,4,0))</f>
        <v>0</v>
      </c>
      <c r="AR115" s="16">
        <f>IF(ISNA(VLOOKUP(A115,'Données projet'!$A$71:$I$91,5,0)),0%,VLOOKUP(A115,'Données projet'!$A$71:$I$91,5,0)*VLOOKUP('Données projet'!$B$10,Paramètres!$A$1:$I$89,7,0))</f>
        <v>0</v>
      </c>
      <c r="AS115" s="16">
        <f>IF(ISNA(VLOOKUP(A115,'Données projet'!$A$71:$I$91,6,0)),0%,VLOOKUP(A115,'Données projet'!$A$71:$I$91,6,0)*VLOOKUP('Données projet'!$B$10,Paramètres!$A$1:$I$89,7,0))</f>
        <v>0</v>
      </c>
      <c r="AT115" s="16">
        <f>IF(ISNA(VLOOKUP(A115,'Données projet'!$A$71:$I$91,7,0)),0%,VLOOKUP(A115,'Données projet'!$A$71:$I$91,7,0))</f>
        <v>0</v>
      </c>
      <c r="AU115" s="21">
        <f>EXP(-LN(2)/35)*AU114+(1-EXP(-LN(2)/35))/(LN(2)/35)*AQ115*AR115*VLOOKUP('Données projet'!$B$10,Paramètres!$A$1:$I$89,3,0)*0.475*44/12</f>
        <v>56.697499970549259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125"/>
        <v>56.697499970549259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projet'!$A$97:$I$117,2,0)</f>
        <v>#N/A</v>
      </c>
      <c r="BB115" s="12" t="e">
        <f>VLOOKUP(A115,'Données projet'!$A$97:$I$117,9,0)</f>
        <v>#N/A</v>
      </c>
      <c r="BC115" s="12">
        <f t="array" ref="BC115">INDEX(BB:BB,MIN(IF(ISNUMBER(BB115:BB311),ROW(BB115:BB311),"")))</f>
        <v>0</v>
      </c>
      <c r="BD115" s="12">
        <f>IF('Données projet'!$A$98&gt;35,BD114+BC115-BL114,IF(A115&lt;'Données projet'!$A$98,$BA$205^A115,IF(A115='Données projet'!$A$98,'Données projet'!$B$98,BD114+BC115-BL114)))</f>
        <v>-1.1368683772161603E-13</v>
      </c>
      <c r="BE115" s="13">
        <f>BD115*VLOOKUP('Données projet'!$B$11,Paramètres!$A$1:$I$89,3,0)*VLOOKUP('Données projet'!$B$11,Paramètres!$A$1:$I$89,5,0)</f>
        <v>-5.0249582272954292E-14</v>
      </c>
      <c r="BF115" s="13" t="e">
        <f t="shared" si="186"/>
        <v>#NUM!</v>
      </c>
      <c r="BG115" s="20" t="e">
        <f t="shared" si="126"/>
        <v>#NUM!</v>
      </c>
      <c r="BH115" s="59" t="e">
        <f t="shared" si="127"/>
        <v>#NUM!</v>
      </c>
      <c r="BI115" s="59">
        <f ca="1">AVERAGE(OFFSET($BH$3,0,0,'Données projet'!$E$11+1,1))-AVERAGE(OFFSET($H$3,0,0,'Données projet'!$E$11+1,1))</f>
        <v>211.31057120485542</v>
      </c>
      <c r="BJ115" s="59">
        <f t="shared" si="187"/>
        <v>283.33292006714777</v>
      </c>
      <c r="BK115" s="15">
        <f>IF(ISNA(VLOOKUP(A115,'Données projet'!$A$97:$I$117,3,0)),0,VLOOKUP(A115,'Données projet'!$A$97:$I$117,3,0))</f>
        <v>0</v>
      </c>
      <c r="BL115" s="15">
        <f>IF(ISNA(VLOOKUP(A115,'Données projet'!$A$97:$I$117,4,0)),0,VLOOKUP(A115,'Données projet'!$A$97:$I$117,4,0))</f>
        <v>0</v>
      </c>
      <c r="BM115" s="16">
        <f>IF(ISNA(VLOOKUP(A115,'Données projet'!$A$97:$I$117,5,0)),0%,VLOOKUP(A115,'Données projet'!$A$97:$I$117,5,0)*VLOOKUP('Données projet'!$B$11,Paramètres!$A$1:$I$89,7,0))</f>
        <v>0</v>
      </c>
      <c r="BN115" s="16">
        <f>IF(ISNA(VLOOKUP(A115,'Données projet'!$A$97:$I$117,6,0)),0%,VLOOKUP(A115,'Données projet'!$A$97:$I$117,6,0)*VLOOKUP('Données projet'!$B$11,Paramètres!$A$1:$I$89,7,0))</f>
        <v>0</v>
      </c>
      <c r="BO115" s="16">
        <f>IF(ISNA(VLOOKUP(A115,'Données projet'!$A$97:$I$117,7,0)),0%,VLOOKUP(A115,'Données projet'!$A$97:$I$117,7,0))</f>
        <v>0</v>
      </c>
      <c r="BP115" s="21">
        <f>EXP(-LN(2)/35)*BP114+(1-EXP(-LN(2)/35))/(LN(2)/35)*BL115*BM115*VLOOKUP('Données projet'!$B$11,Paramètres!$A$1:$I$89,3,0)*0.475*44/12</f>
        <v>57.960337360875009</v>
      </c>
      <c r="BQ115" s="21">
        <f>EXP(-LN(2)/25)*BQ114+(1-EXP(-LN(2)/25))/(LN(2)/25)*Calculateur!BL115*Calculateur!BN115*VLOOKUP('Données projet'!$B$11,Paramètres!$A$1:$I$89,3,0)*0.475*44/12</f>
        <v>9.3786960184579939</v>
      </c>
      <c r="BR115" s="21">
        <f>EXP(-LN(2)/2)*BR114+(1-EXP(-LN(2)/2))/(LN(2)/2)*BL115*BO115*VLOOKUP('Données projet'!$B$11,Paramètres!$A$1:$I$89,3,0)*0.475*44/12</f>
        <v>7.1152477271891684E-8</v>
      </c>
      <c r="BS115" s="22">
        <f t="shared" si="128"/>
        <v>67.339033450485474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projet'!$A$123:$I$143,2,0)</f>
        <v>#N/A</v>
      </c>
      <c r="BW115" s="12" t="e">
        <f>VLOOKUP(A115,'Données projet'!$A$123:$I$143,9,0)</f>
        <v>#N/A</v>
      </c>
      <c r="BX115" s="12">
        <f t="array" ref="BX115">INDEX(BW:BW,MIN(IF(ISNUMBER(BW115:BW311),ROW(BW115:BW311),"")))</f>
        <v>0</v>
      </c>
      <c r="BY115" s="12">
        <f>IF('Données projet'!$A$124&gt;35,BY114+BX115-CG114,IF(A115&lt;'Données projet'!$A$124,$BV$205^A115,IF(A115='Données projet'!$A$124,'Données projet'!$B$124,BY114+BX115-CG114)))</f>
        <v>0</v>
      </c>
      <c r="BZ115" s="13">
        <f>BY115*VLOOKUP('Données projet'!$B$12,Paramètres!$A$1:$I$89,3,0)*VLOOKUP('Données projet'!$B$12,Paramètres!$A$1:$I$89,5,0)</f>
        <v>0</v>
      </c>
      <c r="CA115" s="13" t="e">
        <f t="shared" si="188"/>
        <v>#NUM!</v>
      </c>
      <c r="CB115" s="20" t="e">
        <f t="shared" si="129"/>
        <v>#NUM!</v>
      </c>
      <c r="CC115" s="59" t="e">
        <f t="shared" si="130"/>
        <v>#NUM!</v>
      </c>
      <c r="CD115" s="59">
        <f ca="1">AVERAGE(OFFSET($CC$3,0,0,'Données projet'!$E$12+1,1))-AVERAGE(OFFSET($H$3,0,0,'Données projet'!$E$12+1,1))</f>
        <v>322.93502595881938</v>
      </c>
      <c r="CE115" s="59">
        <f t="shared" si="189"/>
        <v>302.67072119588164</v>
      </c>
      <c r="CF115" s="15">
        <f>IF(ISNA(VLOOKUP(A115,'Données projet'!$A$123:$I$143,3,0)),0,VLOOKUP(A115,'Données projet'!$A$123:$I$143,3,0))</f>
        <v>0</v>
      </c>
      <c r="CG115" s="15">
        <f>IF(ISNA(VLOOKUP(A115,'Données projet'!$A$123:$I$143,4,0)),0,VLOOKUP(A115,'Données projet'!$A$123:$I$143,4,0))</f>
        <v>0</v>
      </c>
      <c r="CH115" s="16">
        <f>IF(ISNA(VLOOKUP(A115,'Données projet'!$A$123:$I$143,5,0)),0%,VLOOKUP(A115,'Données projet'!$A$123:$I$143,5,0)*VLOOKUP('Données projet'!$B$12,Paramètres!$A$1:$I$89,7,0))</f>
        <v>0</v>
      </c>
      <c r="CI115" s="16">
        <f>IF(ISNA(VLOOKUP(A115,'Données projet'!$A$123:$I$143,6,0)),0%,VLOOKUP(A115,'Données projet'!$A$123:$I$143,6,0)*VLOOKUP('Données projet'!$B$12,Paramètres!$A$1:$I$89,7,0))</f>
        <v>0</v>
      </c>
      <c r="CJ115" s="16">
        <f>IF(ISNA(VLOOKUP(A115,'Données projet'!$A$123:$I$143,7,0)),0%,VLOOKUP(A115,'Données projet'!$A$123:$I$143,7,0))</f>
        <v>0</v>
      </c>
      <c r="CK115" s="21">
        <f>EXP(-LN(2)/35)*CK114+(1-EXP(-LN(2)/35))/(LN(2)/35)*CG115*CH115*VLOOKUP('Données projet'!$B$12,Paramètres!$A$1:$I$89,3,0)*0.475*44/12</f>
        <v>92.344822616327804</v>
      </c>
      <c r="CL115" s="21">
        <f>EXP(-LN(2)/25)*CL114+(1-EXP(-LN(2)/25))/(LN(2)/25)*Calculateur!CG115*Calculateur!CI115*VLOOKUP('Données projet'!$B$12,Paramètres!$A$1:$I$89,3,0)*0.475*44/12</f>
        <v>30.017501735634216</v>
      </c>
      <c r="CM115" s="21">
        <f>EXP(-LN(2)/2)*CM114+(1-EXP(-LN(2)/2))/(LN(2)/2)*CG115*CJ115*VLOOKUP('Données projet'!$B$12,Paramètres!$A$1:$I$89,3,0)*0.475*44/12</f>
        <v>0</v>
      </c>
      <c r="CN115" s="22">
        <f t="shared" si="131"/>
        <v>122.36232435196202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projet'!$A$149:$I$169,2,0)</f>
        <v>#N/A</v>
      </c>
      <c r="CR115" s="12" t="e">
        <f>VLOOKUP(A115,'Données projet'!$A$149:$I$169,9,0)</f>
        <v>#N/A</v>
      </c>
      <c r="CS115" s="12">
        <f t="array" ref="CS115">INDEX(CR:CR,MIN(IF(ISNUMBER(CR115:CR311),ROW(CR115:CR311),"")))</f>
        <v>5.0961538461538449</v>
      </c>
      <c r="CT115" s="12">
        <f>IF('Données projet'!$A$150&gt;35,CT114+CS115-DB114,IF(A115&lt;'Données projet'!$A$150,$CQ$205^A115,IF(A115='Données projet'!$A$150,'Données projet'!$B$150,CT114+CS115-DB114)))</f>
        <v>241.12179487179452</v>
      </c>
      <c r="CU115" s="17">
        <f>CT115*VLOOKUP('Données projet'!$B$13,Paramètres!$A$1:$I$89,3,0)*VLOOKUP('Données projet'!$B$13,Paramètres!$A$1:$I$89,5,0)</f>
        <v>244.49749999999963</v>
      </c>
      <c r="CV115" s="13">
        <f t="shared" si="190"/>
        <v>59.406141432653072</v>
      </c>
      <c r="CW115" s="20">
        <f t="shared" si="132"/>
        <v>529.29884216187008</v>
      </c>
      <c r="CX115" s="59">
        <f t="shared" si="133"/>
        <v>822.63217549520346</v>
      </c>
      <c r="CY115" s="59">
        <f ca="1">AVERAGE(OFFSET($CX$3,0,0,'Données projet'!$E$13+1,1))-AVERAGE(OFFSET($H$3,0,0,'Données projet'!$E$13+1,1))</f>
        <v>250.31277422753283</v>
      </c>
      <c r="CZ115" s="59">
        <f t="shared" si="191"/>
        <v>159.20429420478047</v>
      </c>
      <c r="DA115" s="15">
        <f>IF(ISNA(VLOOKUP(A115,'Données projet'!$A$149:$I$169,3,0)),0,VLOOKUP(A115,'Données projet'!$A$149:$I$169,3,0))</f>
        <v>0</v>
      </c>
      <c r="DB115" s="15">
        <f>IF(ISNA(VLOOKUP(A115,'Données projet'!$A$149:$I$169,4,0)),0,VLOOKUP(A115,'Données projet'!$A$149:$I$169,4,0))</f>
        <v>0</v>
      </c>
      <c r="DC115" s="16">
        <f>IF(ISNA(VLOOKUP(A115,'Données projet'!$A$149:$I$169,5,0)),0%,VLOOKUP(A115,'Données projet'!$A$149:$I$169,5,0)*VLOOKUP('Données projet'!$B$13,Paramètres!$A$1:$I$89,7,0))</f>
        <v>0</v>
      </c>
      <c r="DD115" s="16">
        <f>IF(ISNA(VLOOKUP(A115,'Données projet'!$A$149:$I$169,6,0)),0%,VLOOKUP(A115,'Données projet'!$A$149:$I$169,6,0)*VLOOKUP('Données projet'!$B$13,Paramètres!$A$1:$I$89,7,0))</f>
        <v>0</v>
      </c>
      <c r="DE115" s="16">
        <f>IF(ISNA(VLOOKUP(A115,'Données projet'!$A$149:$I$169,7,0)),0%,VLOOKUP(A115,'Données projet'!$A$149:$I$169,7,0))</f>
        <v>0</v>
      </c>
      <c r="DF115" s="21">
        <f>EXP(-LN(2)/35)*DF114+(1-EXP(-LN(2)/35))/(LN(2)/35)*DB115*DC115*VLOOKUP('Données projet'!$B$13,Paramètres!$A$1:$I$89,3,0)*0.475*44/12</f>
        <v>29.934474141577919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134"/>
        <v>29.934474141577919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projet'!$A$175:$I$195,2,0)</f>
        <v>#N/A</v>
      </c>
      <c r="DM115" s="12" t="e">
        <f>VLOOKUP(A115,'Données projet'!$A$175:$I$195,9,0)</f>
        <v>#N/A</v>
      </c>
      <c r="DN115" s="12">
        <f t="array" ref="DN115">INDEX(DM:DM,MIN(IF(ISNUMBER(DM115:DM311),ROW(DM115:DM311),"")))</f>
        <v>0</v>
      </c>
      <c r="DO115" s="12">
        <f>IF('Données projet'!$A$176&gt;35,DO114+DN115-DW114,IF(A115&lt;'Données projet'!$A$176,$DL$205^A115,IF(A115='Données projet'!$A$176,'Données projet'!$B$176,DO114+DN115-DW114)))</f>
        <v>-2.8421709430404007E-13</v>
      </c>
      <c r="DP115" s="17">
        <f>DO115*VLOOKUP('Données projet'!$B$14,Paramètres!$A$1:$I$89,3,0)*VLOOKUP('Données projet'!$B$14,Paramètres!$A$1:$I$89,5,0)</f>
        <v>-2.0838797354372215E-13</v>
      </c>
      <c r="DQ115" s="13" t="e">
        <f t="shared" si="192"/>
        <v>#NUM!</v>
      </c>
      <c r="DR115" s="20" t="e">
        <f t="shared" si="135"/>
        <v>#NUM!</v>
      </c>
      <c r="DS115" s="59" t="e">
        <f t="shared" si="136"/>
        <v>#NUM!</v>
      </c>
      <c r="DT115" s="59">
        <f ca="1">AVERAGE(OFFSET($DS$3,0,0,'Données projet'!$E$14+1,1))-AVERAGE(OFFSET($H$3,0,0,'Données projet'!$E$14+1,1))</f>
        <v>296.91321813251051</v>
      </c>
      <c r="DU115" s="59">
        <f t="shared" si="193"/>
        <v>291.0718079639509</v>
      </c>
      <c r="DV115" s="15">
        <f>IF(ISNA(VLOOKUP(A115,'Données projet'!$A$175:$I$195,3,0)),0,VLOOKUP(A115,'Données projet'!$A$175:$I$195,3,0))</f>
        <v>0</v>
      </c>
      <c r="DW115" s="15">
        <f>IF(ISNA(VLOOKUP(A115,'Données projet'!$A$175:$I$195,4,0)),0,VLOOKUP(A115,'Données projet'!$A$175:$I$195,4,0))</f>
        <v>0</v>
      </c>
      <c r="DX115" s="16">
        <f>IF(ISNA(VLOOKUP(A115,'Données projet'!$A$175:$I$195,5,0)),0%,VLOOKUP(A115,'Données projet'!$A$175:$I$195,5,0)*VLOOKUP('Données projet'!$B$14,Paramètres!$A$1:$I$89,7,0))</f>
        <v>0</v>
      </c>
      <c r="DY115" s="16">
        <f>IF(ISNA(VLOOKUP(A115,'Données projet'!$A$175:$I$195,6,0)),0%,VLOOKUP(A115,'Données projet'!$A$175:$I$195,6,0)*VLOOKUP('Données projet'!$B$14,Paramètres!$A$1:$I$89,7,0))</f>
        <v>0</v>
      </c>
      <c r="DZ115" s="16">
        <f>IF(ISNA(VLOOKUP(A115,'Données projet'!$A$175:$I$195,7,0)),0%,VLOOKUP(A115,'Données projet'!$A$175:$I$195,7,0))</f>
        <v>0</v>
      </c>
      <c r="EA115" s="21">
        <f>EXP(-LN(2)/35)*EA114+(1-EXP(-LN(2)/35))/(LN(2)/35)*DW115*DX115*VLOOKUP('Données projet'!$B$14,Paramètres!$A$1:$I$89,3,0)*0.475*44/12</f>
        <v>92.038141494518726</v>
      </c>
      <c r="EB115" s="21">
        <f>EXP(-LN(2)/25)*EB114+(1-EXP(-LN(2)/25))/(LN(2)/25)*Calculateur!DW115*Calculateur!DY115*VLOOKUP('Données projet'!$B$14,Paramètres!$A$1:$I$89,3,0)*0.475*44/12</f>
        <v>2.2051129017407454</v>
      </c>
      <c r="EC115" s="21">
        <f>EXP(-LN(2)/2)*EC114+(1-EXP(-LN(2)/2))/(LN(2)/2)*DW115*DZ115*VLOOKUP('Données projet'!$B$14,Paramètres!$A$1:$I$89,3,0)*0.475*44/12</f>
        <v>0</v>
      </c>
      <c r="ED115" s="22">
        <f t="shared" si="137"/>
        <v>94.243254396259474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projet'!$A$201:$I$221,2,0)</f>
        <v>#N/A</v>
      </c>
      <c r="EH115" s="12" t="e">
        <f>VLOOKUP(A115,'Données projet'!$A$201:$I$221,9,0)</f>
        <v>#N/A</v>
      </c>
      <c r="EI115" s="12">
        <f t="array" ref="EI115">INDEX(EH:EH,MIN(IF(ISNUMBER(EH115:EH311),ROW(EH115:EH311),"")))</f>
        <v>0</v>
      </c>
      <c r="EJ115" s="12">
        <f>IF('Données projet'!$A$202&gt;35,EJ114+EI115-ER114,IF(A115&lt;'Données projet'!$A$202,$EG$205^A115,IF(A115='Données projet'!$A$202,'Données projet'!$B$202,EJ114+EI115-ER114)))</f>
        <v>5.1159076974727213E-13</v>
      </c>
      <c r="EK115" s="17">
        <f>EJ115*VLOOKUP('Données projet'!$B$15,Paramètres!$A$1:$I$89,3,0)*VLOOKUP('Données projet'!$B$15,Paramètres!$A$1:$I$89,5,0)</f>
        <v>2.3942448024172334E-13</v>
      </c>
      <c r="EL115" s="13">
        <f t="shared" si="194"/>
        <v>3.2492669905861755E-12</v>
      </c>
      <c r="EM115" s="20">
        <f t="shared" si="138"/>
        <v>6.0761376450252565E-12</v>
      </c>
      <c r="EN115" s="59">
        <f t="shared" si="139"/>
        <v>293.3333333333394</v>
      </c>
      <c r="EO115" s="59">
        <f ca="1">AVERAGE(OFFSET($EN$3,0,0,'Données projet'!$E$15+1,1))-AVERAGE(OFFSET($H$3,0,0,'Données projet'!$E$15+1,1))</f>
        <v>147.64256291235483</v>
      </c>
      <c r="EP115" s="59">
        <f t="shared" si="195"/>
        <v>70.859031694091868</v>
      </c>
      <c r="EQ115" s="15">
        <f>IF(ISNA(VLOOKUP(A115,'Données projet'!$A$201:$I$221,3,0)),0,VLOOKUP(A115,'Données projet'!$A$201:$I$221,3,0))</f>
        <v>0</v>
      </c>
      <c r="ER115" s="15">
        <f>IF(ISNA(VLOOKUP(A115,'Données projet'!$A$201:$I$221,4,0)),0,VLOOKUP(A115,'Données projet'!$A$201:$I$221,4,0))</f>
        <v>0</v>
      </c>
      <c r="ES115" s="16">
        <f>IF(ISNA(VLOOKUP(A115,'Données projet'!$A$201:$I$221,5,0)),0%,VLOOKUP(A115,'Données projet'!$A$201:$I$221,5,0)*VLOOKUP('Données projet'!$B$15,Paramètres!$A$1:$I$89,7,0))</f>
        <v>0</v>
      </c>
      <c r="ET115" s="16">
        <f>IF(ISNA(VLOOKUP(A115,'Données projet'!$A$201:$I$221,6,0)),0%,VLOOKUP(A115,'Données projet'!$A$201:$I$221,6,0)*VLOOKUP('Données projet'!$B$15,Paramètres!$A$1:$I$89,7,0))</f>
        <v>0</v>
      </c>
      <c r="EU115" s="16">
        <f>IF(ISNA(VLOOKUP(A115,'Données projet'!$A$201:$I$221,7,0)),0%,VLOOKUP(A115,'Données projet'!$A$201:$I$221,7,0))</f>
        <v>0</v>
      </c>
      <c r="EV115" s="21">
        <f>EXP(-LN(2)/35)*EV114+(1-EXP(-LN(2)/35))/(LN(2)/35)*ER115*ES115*VLOOKUP('Données projet'!$B$15,Paramètres!$A$1:$I$89,3,0)*0.475*44/12</f>
        <v>126.00166648844242</v>
      </c>
      <c r="EW115" s="21">
        <f>EXP(-LN(2)/25)*EW114+(1-EXP(-LN(2)/25))/(LN(2)/25)*Calculateur!ER115*Calculateur!ET115*VLOOKUP('Données projet'!$B$15,Paramètres!$A$1:$I$89,3,0)*0.475*44/12</f>
        <v>30.593719897952763</v>
      </c>
      <c r="EX115" s="21">
        <f>EXP(-LN(2)/2)*EX114+(1-EXP(-LN(2)/2))/(LN(2)/2)*ER115*EU115*VLOOKUP('Données projet'!$B$15,Paramètres!$A$1:$I$89,3,0)*0.475*44/12</f>
        <v>6.4872413236950131</v>
      </c>
      <c r="EY115" s="22">
        <f t="shared" si="140"/>
        <v>163.08262771009018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projet'!$A$227:$I$247,2,0)</f>
        <v>#N/A</v>
      </c>
      <c r="FC115" s="12" t="e">
        <f>VLOOKUP(A115,'Données projet'!$A$227:$I$247,9,0)</f>
        <v>#N/A</v>
      </c>
      <c r="FD115" s="12">
        <f t="array" ref="FD115">INDEX(FC:FC,MIN(IF(ISNUMBER(FC115:FC311),ROW(FC115:FC311),"")))</f>
        <v>0</v>
      </c>
      <c r="FE115" s="12">
        <f>IF('Données projet'!$A$228&gt;35,FE114+FD115-FM114,IF(A115&lt;'Données projet'!$A$228,$FB$205^A115,IF(A115='Données projet'!$A$228,'Données projet'!$B$228,FE114+FD115-FM114)))</f>
        <v>8.5265128291212022E-14</v>
      </c>
      <c r="FF115" s="17">
        <f>FE115*VLOOKUP('Données projet'!$B$16,Paramètres!$A$1:$I$89,3,0)*VLOOKUP('Données projet'!$B$16,Paramètres!$A$1:$I$89,5,0)</f>
        <v>8.9119112089974823E-14</v>
      </c>
      <c r="FG115" s="13">
        <f t="shared" si="196"/>
        <v>1.3568952080113142E-12</v>
      </c>
      <c r="FH115" s="20">
        <f t="shared" si="141"/>
        <v>2.5184749408430782E-12</v>
      </c>
      <c r="FI115" s="59">
        <f t="shared" si="142"/>
        <v>293.33333333333582</v>
      </c>
      <c r="FJ115" s="59">
        <f ca="1">AVERAGE(OFFSET($FI$3,0,0,'Données projet'!$E$16+1,1))-AVERAGE(OFFSET($H$3,0,0,'Données projet'!$E$16+1,1))</f>
        <v>259.03906550253788</v>
      </c>
      <c r="FK115" s="59">
        <f t="shared" si="197"/>
        <v>235.54542903570831</v>
      </c>
      <c r="FL115" s="15">
        <f>IF(ISNA(VLOOKUP(A115,'Données projet'!$A$227:$I$247,3,0)),0,VLOOKUP(A115,'Données projet'!$A$227:$I$247,3,0))</f>
        <v>0</v>
      </c>
      <c r="FM115" s="15">
        <f>IF(ISNA(VLOOKUP(A115,'Données projet'!$A$227:$I$247,4,0)),0,VLOOKUP(A115,'Données projet'!$A$227:$I$247,4,0))</f>
        <v>0</v>
      </c>
      <c r="FN115" s="16">
        <f>IF(ISNA(VLOOKUP(A115,'Données projet'!$A$227:$I$247,5,0)),0%,VLOOKUP(A115,'Données projet'!$A$227:$I$247,5,0)*VLOOKUP('Données projet'!$B$16,Paramètres!$A$1:$I$89,7,0))</f>
        <v>0</v>
      </c>
      <c r="FO115" s="16">
        <f>IF(ISNA(VLOOKUP(A115,'Données projet'!$A$227:$I$247,6,0)),0%,VLOOKUP(A115,'Données projet'!$A$227:$I$247,6,0)*VLOOKUP('Données projet'!$B$16,Paramètres!$A$1:$I$89,7,0))</f>
        <v>0</v>
      </c>
      <c r="FP115" s="16">
        <f>IF(ISNA(VLOOKUP(A115,'Données projet'!$A$227:$I$247,7,0)),0%,VLOOKUP(A115,'Données projet'!$A$227:$I$247,7,0))</f>
        <v>0</v>
      </c>
      <c r="FQ115" s="21">
        <f>EXP(-LN(2)/35)*FQ114+(1-EXP(-LN(2)/35))/(LN(2)/35)*FM115*FN115*VLOOKUP('Données projet'!$B$16,Paramètres!$A$1:$I$89,3,0)*0.475*44/12</f>
        <v>55.613711253121004</v>
      </c>
      <c r="FR115" s="21">
        <f>EXP(-LN(2)/25)*FR114+(1-EXP(-LN(2)/25))/(LN(2)/25)*Calculateur!FM115*Calculateur!FO115*VLOOKUP('Données projet'!$B$16,Paramètres!$A$1:$I$89,3,0)*0.475*44/12</f>
        <v>42.087005129743432</v>
      </c>
      <c r="FS115" s="21">
        <f>EXP(-LN(2)/2)*FS114+(1-EXP(-LN(2)/2))/(LN(2)/2)*FM115*FP115*VLOOKUP('Données projet'!$B$16,Paramètres!$A$1:$I$89,3,0)*0.475*44/12</f>
        <v>0</v>
      </c>
      <c r="FT115" s="22">
        <f t="shared" si="143"/>
        <v>97.700716382864442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projet'!$A$253:$I$273,2,0)</f>
        <v>#N/A</v>
      </c>
      <c r="FX115" s="12" t="e">
        <f>VLOOKUP(A115,'Données projet'!$A$253:$I$273,9,0)</f>
        <v>#N/A</v>
      </c>
      <c r="FY115" s="12">
        <f t="array" ref="FY115">INDEX(FX:FX,MIN(IF(ISNUMBER(FX115:FX311),ROW(FX115:FX311),"")))</f>
        <v>0</v>
      </c>
      <c r="FZ115" s="12">
        <f>IF('Données projet'!$A$254&gt;35,FZ114+FY115-GH114,IF(A115&lt;'Données projet'!$A$254,$FW$205^A115,IF(A115='Données projet'!$A$254,'Données projet'!$B$254,FZ114+FY115-GH114)))</f>
        <v>-1.7053025658242404E-13</v>
      </c>
      <c r="GA115" s="17">
        <f>FZ115*VLOOKUP('Données projet'!$B$17,Paramètres!$A$1:$I$89,3,0)*VLOOKUP('Données projet'!$B$17,Paramètres!$A$1:$I$89,5,0)</f>
        <v>-1.4897523215040567E-13</v>
      </c>
      <c r="GB115" s="13" t="e">
        <f t="shared" si="198"/>
        <v>#NUM!</v>
      </c>
      <c r="GC115" s="20" t="e">
        <f t="shared" si="144"/>
        <v>#NUM!</v>
      </c>
      <c r="GD115" s="59" t="e">
        <f t="shared" si="145"/>
        <v>#NUM!</v>
      </c>
      <c r="GE115" s="59">
        <f ca="1">AVERAGE(OFFSET($GD$3,0,0,'Données projet'!$E$17+1,1))-AVERAGE(OFFSET($H$3,0,0,'Données projet'!$E$17+1,1))</f>
        <v>245.1983232777614</v>
      </c>
      <c r="GF115" s="59">
        <f t="shared" si="199"/>
        <v>242.34010522344573</v>
      </c>
      <c r="GG115" s="15">
        <f>IF(ISNA(VLOOKUP(A115,'Données projet'!$A$253:$I$273,3,0)),0,VLOOKUP(A115,'Données projet'!$A$253:$I$273,3,0))</f>
        <v>0</v>
      </c>
      <c r="GH115" s="15">
        <f>IF(ISNA(VLOOKUP(A115,'Données projet'!$A$253:$I$273,4,0)),0,VLOOKUP(A115,'Données projet'!$A$253:$I$273,4,0))</f>
        <v>0</v>
      </c>
      <c r="GI115" s="16">
        <f>IF(ISNA(VLOOKUP(A115,'Données projet'!$A$253:$I$273,5,0)),0%,VLOOKUP(A115,'Données projet'!$A$253:$I$273,5,0)*VLOOKUP('Données projet'!$B$17,Paramètres!$A$1:$I$89,7,0))</f>
        <v>0</v>
      </c>
      <c r="GJ115" s="16">
        <f>IF(ISNA(VLOOKUP(A115,'Données projet'!$A$253:$I$273,6,0)),0%,VLOOKUP(A115,'Données projet'!$A$253:$I$273,6,0)*VLOOKUP('Données projet'!$B$17,Paramètres!$A$1:$I$89,7,0))</f>
        <v>0</v>
      </c>
      <c r="GK115" s="16">
        <f>IF(ISNA(VLOOKUP(A115,'Données projet'!$A$253:$I$273,7,0)),0%,VLOOKUP(A115,'Données projet'!$A$253:$I$273,7,0))</f>
        <v>0</v>
      </c>
      <c r="GL115" s="21">
        <f>EXP(-LN(2)/35)*GL114+(1-EXP(-LN(2)/35))/(LN(2)/35)*GH115*GI115*VLOOKUP('Données projet'!$B$17,Paramètres!$A$1:$I$89,3,0)*0.475*44/12</f>
        <v>65.381547906962751</v>
      </c>
      <c r="GM115" s="21">
        <f>EXP(-LN(2)/25)*GM114+(1-EXP(-LN(2)/25))/(LN(2)/25)*Calculateur!GH115*Calculateur!GJ115*VLOOKUP('Données projet'!$B$17,Paramètres!$A$1:$I$89,3,0)*0.475*44/12</f>
        <v>8.96771548493893</v>
      </c>
      <c r="GN115" s="21">
        <f>EXP(-LN(2)/2)*GN114+(1-EXP(-LN(2)/2))/(LN(2)/2)*GH115*GK115*VLOOKUP('Données projet'!$B$17,Paramètres!$A$1:$I$89,3,0)*0.475*44/12</f>
        <v>0</v>
      </c>
      <c r="GO115" s="21">
        <f t="shared" si="146"/>
        <v>74.349263391901687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projet'!$A$279:$I$299,2,0)</f>
        <v>#N/A</v>
      </c>
      <c r="GS115" s="12" t="e">
        <f>VLOOKUP(A115,'Données projet'!$A$279:$I$299,9,0)</f>
        <v>#N/A</v>
      </c>
      <c r="GT115" s="12">
        <f t="array" ref="GT115">INDEX(GS:GS,MIN(IF(ISNUMBER(GS115:GS311),ROW(GS115:GS311),"")))</f>
        <v>0</v>
      </c>
      <c r="GU115" s="12">
        <f>IF('Données projet'!$A$280&gt;35,GU114+GT115-HC114,IF(A115&lt;'Données projet'!$A$280,$GR$205^A115,IF(A115='Données projet'!$A$280,'Données projet'!$B$280,GU114+GT115-HC114)))</f>
        <v>-1.1368683772161603E-13</v>
      </c>
      <c r="GV115" s="17">
        <f>GU115*VLOOKUP('Données projet'!$B$18,Paramètres!$A$1:$I$89,3,0)*VLOOKUP('Données projet'!$B$18,Paramètres!$A$1:$I$89,5,0)</f>
        <v>-4.5815795601811263E-14</v>
      </c>
      <c r="GW115" s="13" t="e">
        <f t="shared" si="200"/>
        <v>#NUM!</v>
      </c>
      <c r="GX115" s="20" t="e">
        <f t="shared" si="147"/>
        <v>#NUM!</v>
      </c>
      <c r="GY115" s="59" t="e">
        <f t="shared" si="148"/>
        <v>#NUM!</v>
      </c>
      <c r="GZ115" s="59">
        <f ca="1">AVERAGE(OFFSET($GY$3,0,0,'Données projet'!$E$18+1,1))-AVERAGE(OFFSET($H$3,0,0,'Données projet'!$E$18+1,1))</f>
        <v>324.36162935850876</v>
      </c>
      <c r="HA115" s="59">
        <f t="shared" si="201"/>
        <v>265.23571072429735</v>
      </c>
      <c r="HB115" s="15">
        <f>IF(ISNA(VLOOKUP(A115,'Données projet'!$A$279:$I$299,3,0)),0,VLOOKUP(A115,'Données projet'!$A$279:$I$299,3,0))</f>
        <v>0</v>
      </c>
      <c r="HC115" s="15">
        <f>IF(ISNA(VLOOKUP(A115,'Données projet'!$A$279:$I$299,4,0)),0,VLOOKUP(A115,'Données projet'!$A$279:$I$299,4,0))</f>
        <v>0</v>
      </c>
      <c r="HD115" s="16">
        <f>IF(ISNA(VLOOKUP(A115,'Données projet'!$A$279:$I$299,5,0)),0%,VLOOKUP(A115,'Données projet'!$A$279:$I$299,5,0)*VLOOKUP('Données projet'!$B$18,Paramètres!$A$1:$I$89,7,0))</f>
        <v>0</v>
      </c>
      <c r="HE115" s="16">
        <f>IF(ISNA(VLOOKUP(A115,'Données projet'!$A$279:$I$299,6,0)),0%,VLOOKUP(A115,'Données projet'!$A$279:$I$299,6,0)*VLOOKUP('Données projet'!$B$18,Paramètres!$A$1:$I$89,7,0))</f>
        <v>0</v>
      </c>
      <c r="HF115" s="16">
        <f>IF(ISNA(VLOOKUP($A115,'Données projet'!$A$279:$I$299,7,0)),0%,VLOOKUP($A115,'Données projet'!$A$279:$I$299,7,0))</f>
        <v>0</v>
      </c>
      <c r="HG115" s="21">
        <f>EXP(-LN(2)/35)*HG114+(1-EXP(-LN(2)/35))/(LN(2)/35)*HC115*HD115*VLOOKUP('Données projet'!$B$18,Paramètres!$A$1:$I$89,3,0)*0.475*44/12</f>
        <v>125.28813775620083</v>
      </c>
      <c r="HH115" s="21">
        <f>EXP(-LN(2)/25)*HH114+(1-EXP(-LN(2)/25))/(LN(2)/25)*Calculateur!HC115*Calculateur!HE115*VLOOKUP('Données projet'!$B$18,Paramètres!$A$1:$I$89,3,0)*0.475*44/12</f>
        <v>9.9737036391392877</v>
      </c>
      <c r="HI115" s="21">
        <f>EXP(-LN(2)/2)*HI114+(1-EXP(-LN(2)/2))/(LN(2)/2)*HC115*HF115*VLOOKUP('Données projet'!$B$18,Paramètres!$A$1:$I$89,3,0)*0.475*44/12</f>
        <v>1.3042007002838025E-4</v>
      </c>
      <c r="HJ115" s="22">
        <f t="shared" si="149"/>
        <v>135.26197181541016</v>
      </c>
      <c r="HK115" s="74">
        <f>('Scénario référence'!$F$8+'Scénario référence'!$F$9+'Scénario référence'!$B$17+'Scénario référence'!$B$9+'Scénario référence'!$B$10)*70+IF((45+25*(1-EXP(-0.0175*$A115)))&lt;70,'Scénario référence'!$B$16*(45+25*(1-EXP(-0.0175*$A115))),70*'Scénario référence'!$B$16)+IF((32+38*(1-EXP(-0.0175*$A115)))&lt;70,'Scénario référence'!$B$18*(32+38*(1-EXP(-0.0175*$A115))),70*'Scénario référence'!$B$18)</f>
        <v>70</v>
      </c>
      <c r="HL115" s="12">
        <f>IF($A115&gt;30,10,('Scénario référence'!$B$16+'Scénario référence'!$B$17+'Scénario référence'!$B$18+'Scénario référence'!$B$9+'Scénario référence'!$B$10)*$A115*10/30+('Scénario référence'!$F$8+'Scénario référence'!$F$9)*10)</f>
        <v>10</v>
      </c>
      <c r="HM115" s="12" t="e">
        <f>VLOOKUP($A115,'Données projet'!$A$304:$I$324,2,0)</f>
        <v>#N/A</v>
      </c>
      <c r="HN115" s="12" t="e">
        <f>VLOOKUP($A115,'Données projet'!$A$304:$I$324,9,0)</f>
        <v>#N/A</v>
      </c>
      <c r="HO115" s="12">
        <f t="array" ref="HO115">INDEX(HN:HN,MIN(IF(ISNUMBER(HN115:HN311),ROW(HN115:HN311),"")))</f>
        <v>0</v>
      </c>
      <c r="HP115" s="12">
        <f>IF('Données projet'!$A$304&gt;35,HP114+HO115-HX114,IF($A115&lt;'Données projet'!$A$304,$CQ$205^$A115,IF($A115='Données projet'!$A$304,'Données projet'!$B$304,HP114+HO115-HX114)))</f>
        <v>0</v>
      </c>
      <c r="HQ115" s="17">
        <f>HP115*VLOOKUP('Données projet'!$B$19,Paramètres!$A$1:$I$89,3,0)*VLOOKUP('Données projet'!$B$19,Paramètres!$A$1:$I$89,5,0)</f>
        <v>0</v>
      </c>
      <c r="HR115" s="13" t="e">
        <f t="shared" si="202"/>
        <v>#NUM!</v>
      </c>
      <c r="HS115" s="14" t="e">
        <f t="shared" si="150"/>
        <v>#NUM!</v>
      </c>
      <c r="HT115" s="59" t="e">
        <f t="shared" si="151"/>
        <v>#NUM!</v>
      </c>
      <c r="HU115" s="59">
        <f ca="1">AVERAGE(OFFSET(HT$3,0,0,'Données projet'!$E$19+1,1))-AVERAGE(OFFSET($H$3,0,0,'Données projet'!$E$19+1,1))</f>
        <v>91.60721429656013</v>
      </c>
      <c r="HV115" s="59">
        <f t="shared" si="203"/>
        <v>258.94957804210856</v>
      </c>
      <c r="HW115" s="15">
        <f>IF(ISNA(VLOOKUP($A115,'Données projet'!$A$304:$I$324,3,0)),0,VLOOKUP($A115,'Données projet'!$A$304:$I$324,3,0))</f>
        <v>0</v>
      </c>
      <c r="HX115" s="15">
        <f>IF(ISNA(VLOOKUP($A115,'Données projet'!$A$304:$I$324,4,0)),0,VLOOKUP($A115,'Données projet'!$A$304:$I$324,4,0))</f>
        <v>0</v>
      </c>
      <c r="HY115" s="16">
        <f>IF(ISNA(VLOOKUP($A115,'Données projet'!$A$304:$I$324,5,0)),0%,VLOOKUP($A115,'Données projet'!$A$304:$I$324,5,0)*VLOOKUP('Données projet'!$B$19,Paramètres!$A$1:$I$89,7,0))</f>
        <v>0</v>
      </c>
      <c r="HZ115" s="16">
        <f>IF(ISNA(VLOOKUP($A115,'Données projet'!$A$304:$I$324,6,0)),0%,VLOOKUP($A115,'Données projet'!$A$304:$I$324,6,0)*VLOOKUP('Données projet'!$B$19,Paramètres!$A$1:$I$89,7,0))</f>
        <v>0</v>
      </c>
      <c r="IA115" s="16">
        <f>IF(ISNA(VLOOKUP($A115,'Données projet'!$A$304:$I$324,7,0)),0%,VLOOKUP($A115,'Données projet'!$A$304:$I$324,7,0))</f>
        <v>0</v>
      </c>
      <c r="IB115" s="21">
        <f>EXP(-LN(2)/35)*IB114+(1-EXP(-LN(2)/35))/(LN(2)/35)*HX115*HY115*VLOOKUP('Données projet'!$B$19,Paramètres!$A$1:$I$89,3,0)*0.475*44/12</f>
        <v>9.724441122147006</v>
      </c>
      <c r="IC115" s="21">
        <f>EXP(-LN(2)/25)*IC114+(1-EXP(-LN(2)/25))/(LN(2)/25)*Calculateur!HX115*Calculateur!HZ115*VLOOKUP('Données projet'!$B$19,Paramètres!$A$1:$I$89,3,0)*0.475*44/12</f>
        <v>1.0014585386128714</v>
      </c>
      <c r="ID115" s="21">
        <f>EXP(-LN(2)/2)*ID114+(1-EXP(-LN(2)/2))/(LN(2)/2)*HX115*IA115*VLOOKUP('Données projet'!$B$19,Paramètres!$A$1:$I$89,3,0)*0.475*44/12</f>
        <v>2.6050307121476069E-13</v>
      </c>
      <c r="IE115" s="22">
        <f t="shared" si="152"/>
        <v>10.725899660760138</v>
      </c>
      <c r="IF115" s="74">
        <f>('Scénario référence'!$F$8+'Scénario référence'!$F$9+'Scénario référence'!$B$17+'Scénario référence'!$B$9+'Scénario référence'!$B$10)*70+IF((45+25*(1-EXP(-0.0175*$A115)))&lt;70,'Scénario référence'!$B$16*(45+25*(1-EXP(-0.0175*$A115))),70*'Scénario référence'!$B$16)+IF((32+38*(1-EXP(-0.0175*$A115)))&lt;70,'Scénario référence'!$B$18*(32+38*(1-EXP(-0.0175*$A115))),70*'Scénario référence'!$B$18)</f>
        <v>70</v>
      </c>
      <c r="IG115" s="12">
        <f>IF($A115&gt;30,10,('Scénario référence'!$B$16+'Scénario référence'!$B$17+'Scénario référence'!$B$18+'Scénario référence'!$B$9+'Scénario référence'!$B$10)*$A115*10/30+('Scénario référence'!$F$8+'Scénario référence'!$F$9)*10)</f>
        <v>10</v>
      </c>
      <c r="IH115" s="12" t="e">
        <f>VLOOKUP($A115,'Données projet'!$A$330:$I$350,2,0)</f>
        <v>#N/A</v>
      </c>
      <c r="II115" s="12" t="e">
        <f>VLOOKUP($A115,'Données projet'!$A$330:$I$350,9,0)</f>
        <v>#N/A</v>
      </c>
      <c r="IJ115" s="12">
        <f t="array" ref="IJ115">INDEX(II:II,MIN(IF(ISNUMBER(II115:II311),ROW(II115:II311),"")))</f>
        <v>0</v>
      </c>
      <c r="IK115" s="12">
        <f>IF('Données projet'!$A$330&gt;35,IK114+IJ115-IS114,IF($A115&lt;'Données projet'!$A$330,$CQ$205^$A115,IF($A115='Données projet'!$A$330,'Données projet'!$B$330,IK114+IJ115-IS114)))</f>
        <v>0</v>
      </c>
      <c r="IL115" s="17">
        <f>IK115*VLOOKUP('Données projet'!$B$20,Paramètres!$A$1:$I$89,3,0)*VLOOKUP('Données projet'!$B$20,Paramètres!$A$1:$I$89,5,0)</f>
        <v>0</v>
      </c>
      <c r="IM115" s="13" t="e">
        <f t="shared" si="204"/>
        <v>#NUM!</v>
      </c>
      <c r="IN115" s="20" t="e">
        <f t="shared" si="153"/>
        <v>#NUM!</v>
      </c>
      <c r="IO115" s="59" t="e">
        <f t="shared" si="154"/>
        <v>#NUM!</v>
      </c>
      <c r="IP115" s="59">
        <f ca="1">AVERAGE(OFFSET(IO$3,0,0,'Données projet'!$E$20+1,1))-AVERAGE(OFFSET($H$3,0,0,'Données projet'!$E$20+1,1))</f>
        <v>91.60721429656013</v>
      </c>
      <c r="IQ115" s="59">
        <f t="shared" si="205"/>
        <v>258.94957804210856</v>
      </c>
      <c r="IR115" s="15">
        <f>IF(ISNA(VLOOKUP($A115,'Données projet'!$A$330:$I$350,3,0)),0,VLOOKUP($A115,'Données projet'!$A$330:$I$350,3,0))</f>
        <v>0</v>
      </c>
      <c r="IS115" s="15">
        <f>IF(ISNA(VLOOKUP($A115,'Données projet'!$A$330:$I$350,4,0)),0,VLOOKUP($A115,'Données projet'!$A$330:$I$350,4,0))</f>
        <v>0</v>
      </c>
      <c r="IT115" s="16">
        <f>IF(ISNA(VLOOKUP($A115,'Données projet'!$A$330:$I$350,5,0)),0%,VLOOKUP($A115,'Données projet'!$A$330:$I$350,5,0)*VLOOKUP('Données projet'!$B$20,Paramètres!$A$1:$I$89,7,0))</f>
        <v>0</v>
      </c>
      <c r="IU115" s="16">
        <f>IF(ISNA(VLOOKUP($A115,'Données projet'!$A$330:$I$350,6,0)),0%,VLOOKUP($A115,'Données projet'!$A$330:$I$350,6,0)*VLOOKUP('Données projet'!$B$20,Paramètres!$A$1:$I$89,7,0))</f>
        <v>0</v>
      </c>
      <c r="IV115" s="16">
        <f>IF(ISNA(VLOOKUP($A115,'Données projet'!$A$330:$I$350,7,0)),0%,VLOOKUP($A115,'Données projet'!$A$330:$I$350,7,0))</f>
        <v>0</v>
      </c>
      <c r="IW115" s="21">
        <f>EXP(-LN(2)/35)*IW114+(1-EXP(-LN(2)/35))/(LN(2)/35)*IS115*IT115*VLOOKUP('Données projet'!$B$20,Paramètres!$A$1:$I$89,3,0)*0.475*44/12</f>
        <v>9.724441122147006</v>
      </c>
      <c r="IX115" s="21">
        <f>EXP(-LN(2)/25)*IX114+(1-EXP(-LN(2)/25))/(LN(2)/25)*Calculateur!IS115*Calculateur!IU115*VLOOKUP('Données projet'!$B$20,Paramètres!$A$1:$I$89,3,0)*0.475*44/12</f>
        <v>1.0014585386128714</v>
      </c>
      <c r="IY115" s="21">
        <f>EXP(-LN(2)/2)*IY114+(1-EXP(-LN(2)/2))/(LN(2)/2)*IS115*IV115*VLOOKUP('Données projet'!$B$20,Paramètres!$A$1:$I$89,3,0)*0.475*44/12</f>
        <v>2.6050307121476069E-13</v>
      </c>
      <c r="IZ115" s="22">
        <f t="shared" si="155"/>
        <v>10.725899660760138</v>
      </c>
      <c r="JA115" s="74">
        <f>('Scénario référence'!$F$8+'Scénario référence'!$F$9+'Scénario référence'!$B$17+'Scénario référence'!$B$9+'Scénario référence'!$B$10)*70+IF((45+25*(1-EXP(-0.0175*$A115)))&lt;70,'Scénario référence'!$B$16*(45+25*(1-EXP(-0.0175*$A115))),70*'Scénario référence'!$B$16)+IF((32+38*(1-EXP(-0.0175*$A115)))&lt;70,'Scénario référence'!$B$18*(32+38*(1-EXP(-0.0175*$A115))),70*'Scénario référence'!$B$18)</f>
        <v>70</v>
      </c>
      <c r="JB115" s="12">
        <f>IF($A115&gt;30,10,('Scénario référence'!$B$16+'Scénario référence'!$B$17+'Scénario référence'!$B$18+'Scénario référence'!$B$9+'Scénario référence'!$B$10)*$A115*10/30+('Scénario référence'!$F$8+'Scénario référence'!$F$9)*10)</f>
        <v>10</v>
      </c>
      <c r="JC115" s="12" t="e">
        <f>VLOOKUP($A115,'Données projet'!$A$356:$I$376,2,0)</f>
        <v>#N/A</v>
      </c>
      <c r="JD115" s="12" t="e">
        <f>VLOOKUP($A115,'Données projet'!$A$356:$I$376,9,0)</f>
        <v>#N/A</v>
      </c>
      <c r="JE115" s="12">
        <f t="array" ref="JE115">INDEX(JD:JD,MIN(IF(ISNUMBER(JD115:JD311),ROW(JD115:JD311),"")))</f>
        <v>2.2000000000000002</v>
      </c>
      <c r="JF115" s="12">
        <f>IF('Données projet'!$A$356&gt;35,JF114+JE115-JN114,IF($A115&lt;'Données projet'!$A$356,$CQ$205^$A115,IF($A115='Données projet'!$A$356,'Données projet'!$B$356,JF114+JE115-JN114)))</f>
        <v>400.39999999999935</v>
      </c>
      <c r="JG115" s="17">
        <f>JF115*VLOOKUP('Données projet'!$B$21,Paramètres!$A$1:$I$89,3,0)*VLOOKUP('Données projet'!$B$21,Paramètres!$A$1:$I$89,5,0)</f>
        <v>324.8044799999995</v>
      </c>
      <c r="JH115" s="13">
        <f t="shared" si="206"/>
        <v>76.352150483034919</v>
      </c>
      <c r="JI115" s="20">
        <f t="shared" si="156"/>
        <v>698.68113142461823</v>
      </c>
      <c r="JJ115" s="59">
        <f t="shared" si="157"/>
        <v>992.0144647579516</v>
      </c>
      <c r="JK115" s="59">
        <f ca="1">AVERAGE(OFFSET($JJ$3,0,0,'Données projet'!$E$22+1,1))-AVERAGE(OFFSET($H$3,0,0,'Données projet'!$E$22+1,1))</f>
        <v>353.35574633294613</v>
      </c>
      <c r="JL115" s="59">
        <f t="shared" si="207"/>
        <v>170.36796666474726</v>
      </c>
      <c r="JM115" s="15">
        <f>IF(ISNA(VLOOKUP($A115,'Données projet'!$A$356:$I$376,3,0)),0,VLOOKUP($A115,'Données projet'!$A$356:$I$376,3,0))</f>
        <v>0</v>
      </c>
      <c r="JN115" s="15">
        <f>IF(ISNA(VLOOKUP($A115,'Données projet'!$A$356:$I$376,4,0)),0,VLOOKUP($A115,'Données projet'!$A$356:$I$376,4,0))</f>
        <v>0</v>
      </c>
      <c r="JO115" s="16">
        <f>IF(ISNA(VLOOKUP($A115,'Données projet'!$A$356:$I$376,5,0)),0%,VLOOKUP($A115,'Données projet'!$A$356:$I$376,5,0)*VLOOKUP('Données projet'!$B$21,Paramètres!$A$1:$I$89,7,0))</f>
        <v>0</v>
      </c>
      <c r="JP115" s="16">
        <f>IF(ISNA(VLOOKUP($A115,'Données projet'!$A$356:$I$376,6,0)),0%,VLOOKUP($A115,'Données projet'!$A$356:$I$376,6,0)*VLOOKUP('Données projet'!$B$21,Paramètres!$A$1:$I$89,7,0))</f>
        <v>0</v>
      </c>
      <c r="JQ115" s="16">
        <f>IF(ISNA(VLOOKUP($A115,'Données projet'!$A$356:$I$376,7,0)),0%,VLOOKUP($A115,'Données projet'!$A$356:$I$376,7,0))</f>
        <v>0</v>
      </c>
      <c r="JR115" s="21">
        <f>EXP(-LN(2)/35)*JR114+(1-EXP(-LN(2)/35))/(LN(2)/35)*JN115*JO115*VLOOKUP('Données projet'!$B$21,Paramètres!$A$1:$I$89,3,0)*0.475*44/12</f>
        <v>4.8304363636352905</v>
      </c>
      <c r="JS115" s="21">
        <f>EXP(-LN(2)/25)*JS114+(1-EXP(-LN(2)/25))/(LN(2)/25)*Calculateur!JN115*Calculateur!JP115*VLOOKUP('Données projet'!$B$21,Paramètres!$A$1:$I$89,3,0)*0.475*44/12</f>
        <v>16.730369806571179</v>
      </c>
      <c r="JT115" s="21">
        <f>EXP(-LN(2)/2)*JT114+(1-EXP(-LN(2)/2))/(LN(2)/2)*JN115*JQ115*VLOOKUP('Données projet'!$B$21,Paramètres!$A$1:$I$89,3,0)*0.475*44/12</f>
        <v>1.7442942754286008</v>
      </c>
      <c r="JU115" s="18">
        <f t="shared" si="158"/>
        <v>23.30510044563507</v>
      </c>
      <c r="JV115" s="74">
        <f>('Scénario référence'!$F$8+'Scénario référence'!$F$9+'Scénario référence'!$B$17+'Scénario référence'!$B$9+'Scénario référence'!$B$10)*70+IF((45+25*(1-EXP(-0.0175*$A115)))&lt;70,'Scénario référence'!$B$16*(45+25*(1-EXP(-0.0175*$A115))),70*'Scénario référence'!$B$16)+IF((32+38*(1-EXP(-0.0175*$A115)))&lt;70,'Scénario référence'!$B$18*(32+38*(1-EXP(-0.0175*$A115))),70*'Scénario référence'!$B$18)</f>
        <v>70</v>
      </c>
      <c r="JW115" s="12">
        <f>IF($A115&gt;30,10,('Scénario référence'!$B$16+'Scénario référence'!$B$17+'Scénario référence'!$B$18+'Scénario référence'!$B$9+'Scénario référence'!$B$10)*$A115*10/30+('Scénario référence'!$F$8+'Scénario référence'!$F$9)*10)</f>
        <v>10</v>
      </c>
      <c r="JX115" s="12" t="e">
        <f>VLOOKUP($A115,'Données projet'!$A$382:$I$402,2,0)</f>
        <v>#N/A</v>
      </c>
      <c r="JY115" s="12" t="e">
        <f>VLOOKUP($A115,'Données projet'!$A$382:$I$402,9,0)</f>
        <v>#N/A</v>
      </c>
      <c r="JZ115" s="12">
        <f t="array" ref="JZ115">INDEX(JY:JY,MIN(IF(ISNUMBER(JY115:JY311),ROW(JY115:JY311),"")))</f>
        <v>6.8461538461538511</v>
      </c>
      <c r="KA115" s="12">
        <f>IF('Données projet'!$A$382&gt;35,KA114+JZ115-KI114,IF($A115&lt;'Données projet'!$A$382,$CQ$205^$A115,IF($A115='Données projet'!$A$382,'Données projet'!$B$382,KA114+JZ115-KI114)))</f>
        <v>309.41666666666697</v>
      </c>
      <c r="KB115" s="17">
        <f>KA115*VLOOKUP('Données projet'!$B$22,Paramètres!$A$1:$I$89,3,0)*VLOOKUP('Données projet'!$B$22,Paramètres!$A$1:$I$89,5,0)</f>
        <v>207.55670000000021</v>
      </c>
      <c r="KC115" s="13">
        <f t="shared" si="208"/>
        <v>51.401300058724914</v>
      </c>
      <c r="KD115" s="20">
        <f t="shared" si="159"/>
        <v>451.01851676894626</v>
      </c>
      <c r="KE115" s="59">
        <f t="shared" si="160"/>
        <v>744.35185010227951</v>
      </c>
      <c r="KF115" s="59">
        <f ca="1">AVERAGE(OFFSET($KE$3,0,0,'Données projet'!$E$22+1,1))-AVERAGE(OFFSET($H$3,0,0,'Données projet'!$E$22+1,1))</f>
        <v>193.91714772848269</v>
      </c>
      <c r="KG115" s="59">
        <f t="shared" si="209"/>
        <v>159.20429420478047</v>
      </c>
      <c r="KH115" s="15">
        <f>IF(ISNA(VLOOKUP($A115,'Données projet'!$A$382:$I$402,3,0)),0,VLOOKUP($A115,'Données projet'!$A$382:$I$402,3,0))</f>
        <v>0</v>
      </c>
      <c r="KI115" s="15">
        <f>IF(ISNA(VLOOKUP($A115,'Données projet'!$A$382:$I$402,4,0)),0,VLOOKUP($A115,'Données projet'!$A$382:$I$402,4,0))</f>
        <v>0</v>
      </c>
      <c r="KJ115" s="16">
        <f>IF(ISNA(VLOOKUP($A115,'Données projet'!$A$382:$I$402,5,0)),0%,VLOOKUP($A115,'Données projet'!$A$382:$I$402,5,0)*VLOOKUP('Données projet'!$B$22,Paramètres!$A$1:$I$89,7,0))</f>
        <v>0</v>
      </c>
      <c r="KK115" s="16">
        <f>IF(ISNA(VLOOKUP($A115,'Données projet'!$A$382:$I$402,6,0)),0%,VLOOKUP($A115,'Données projet'!$A$382:$I$402,6,0)*VLOOKUP('Données projet'!$B$22,Paramètres!$A$1:$I$89,7,0))</f>
        <v>0</v>
      </c>
      <c r="KL115" s="16">
        <f>IF(ISNA(VLOOKUP($A115,'Données projet'!$A$382:$I$402,7,0)),0%,VLOOKUP($A115,'Données projet'!$A$382:$I$402,7,0))</f>
        <v>0</v>
      </c>
      <c r="KM115" s="21">
        <f>EXP(-LN(2)/35)*KM114+(1-EXP(-LN(2)/35))/(LN(2)/35)*KI115*KJ115*VLOOKUP('Données projet'!$B$22,Paramètres!$A$1:$I$89,3,0)*0.475*44/12</f>
        <v>51.809784455846732</v>
      </c>
      <c r="KN115" s="21">
        <f>EXP(-LN(2)/25)*KN114+(1-EXP(-LN(2)/25))/(LN(2)/25)*Calculateur!KI115*Calculateur!KK115*VLOOKUP('Données projet'!$B$22,Paramètres!$A$1:$I$89,3,0)*0.475*44/12</f>
        <v>0</v>
      </c>
      <c r="KO115" s="21">
        <f>EXP(-LN(2)/2)*KO114+(1-EXP(-LN(2)/2))/(LN(2)/2)*KI115*KL115*VLOOKUP('Données projet'!$B$22,Paramètres!$A$1:$I$89,3,0)*0.475*44/12</f>
        <v>0</v>
      </c>
      <c r="KP115" s="22">
        <f t="shared" si="161"/>
        <v>51.809784455846732</v>
      </c>
      <c r="KQ115" s="74">
        <f>('Scénario référence'!$F$8+'Scénario référence'!$F$9+'Scénario référence'!$B$17+'Scénario référence'!$B$9+'Scénario référence'!$B$10)*70+IF((45+25*(1-EXP(-0.0175*$A115)))&lt;70,'Scénario référence'!$B$16*(45+25*(1-EXP(-0.0175*$A115))),70*'Scénario référence'!$B$16)+IF((32+38*(1-EXP(-0.0175*$A115)))&lt;70,'Scénario référence'!$B$18*(32+38*(1-EXP(-0.0175*$A115))),70*'Scénario référence'!$B$18)</f>
        <v>70</v>
      </c>
      <c r="KR115" s="12">
        <f>IF($A115&gt;30,10,('Scénario référence'!$B$16+'Scénario référence'!$B$17+'Scénario référence'!$B$18+'Scénario référence'!$B$9+'Scénario référence'!$B$10)*$A115*10/30+('Scénario référence'!$F$8+'Scénario référence'!$F$9)*10)</f>
        <v>10</v>
      </c>
      <c r="KS115" s="12" t="e">
        <f>VLOOKUP($A115,'Données projet'!$A$408:$I$428,2,0)</f>
        <v>#N/A</v>
      </c>
      <c r="KT115" s="12" t="e">
        <f>VLOOKUP($A115,'Données projet'!$A$408:$I$428,9,0)</f>
        <v>#N/A</v>
      </c>
      <c r="KU115" s="12">
        <f t="array" ref="KU115">INDEX(KT:KT,MIN(IF(ISNUMBER(KT115:KT311),ROW(KT115:KT311),"")))</f>
        <v>0</v>
      </c>
      <c r="KV115" s="12">
        <f>IF('Données projet'!$A$408&gt;35,KV114+KU115-LD114,IF($A115&lt;'Données projet'!$A$408,$CQ$205^$A115,IF($A115='Données projet'!$A$408,'Données projet'!$B$408,KV114+KU115-LD114)))</f>
        <v>-1.1368683772161603E-13</v>
      </c>
      <c r="KW115" s="17">
        <f>KV115*VLOOKUP('Données projet'!$B$23,Paramètres!$A$1:$I$89,3,0)*VLOOKUP('Données projet'!$B$23,Paramètres!$A$1:$I$89,5,0)</f>
        <v>-9.9316821433603781E-14</v>
      </c>
      <c r="KX115" s="13" t="e">
        <f t="shared" si="210"/>
        <v>#NUM!</v>
      </c>
      <c r="KY115" s="14" t="e">
        <f t="shared" si="162"/>
        <v>#NUM!</v>
      </c>
      <c r="KZ115" s="59" t="e">
        <f t="shared" si="163"/>
        <v>#NUM!</v>
      </c>
      <c r="LA115" s="59">
        <f ca="1">AVERAGE(OFFSET($KZ$3,0,0,'Données projet'!$E$23+1,1))-AVERAGE(OFFSET($H$3,0,0,'Données projet'!$E$23+1,1))</f>
        <v>248.33596943633819</v>
      </c>
      <c r="LB115" s="59">
        <f t="shared" si="211"/>
        <v>242.34010522344573</v>
      </c>
      <c r="LC115" s="15">
        <f>IF(ISNA(VLOOKUP($A115,'Données projet'!$A$408:$I$428,3,0)),0,VLOOKUP($A115,'Données projet'!$A$408:$I$428,3,0))</f>
        <v>0</v>
      </c>
      <c r="LD115" s="15">
        <f>IF(ISNA(VLOOKUP($A115,'Données projet'!$A$408:$I$428,4,0)),0,VLOOKUP($A115,'Données projet'!$A$408:$I$428,4,0))</f>
        <v>0</v>
      </c>
      <c r="LE115" s="16">
        <f>IF(ISNA(VLOOKUP($A115,'Données projet'!$A$408:$I$428,5,0)),0%,VLOOKUP($A115,'Données projet'!$A$408:$I$428,5,0)*VLOOKUP('Données projet'!$B$23,Paramètres!$A$1:$I$89,7,0))</f>
        <v>0</v>
      </c>
      <c r="LF115" s="16">
        <f>IF(ISNA(VLOOKUP($A115,'Données projet'!$A$408:$I$428,6,0)),0%,VLOOKUP($A115,'Données projet'!$A$408:$I$428,6,0)*VLOOKUP('Données projet'!$B$23,Paramètres!$A$1:$I$89,7,0))</f>
        <v>0</v>
      </c>
      <c r="LG115" s="16">
        <f>IF(ISNA(VLOOKUP($A115,'Données projet'!$A$408:$I$428,7,0)),0%,VLOOKUP($A115,'Données projet'!$A$408:$I$428,7,0))</f>
        <v>0</v>
      </c>
      <c r="LH115" s="21">
        <f>EXP(-LN(2)/35)*LH114+(1-EXP(-LN(2)/35))/(LN(2)/35)*LD115*LE115*VLOOKUP('Données projet'!$B$23,Paramètres!$A$1:$I$89,3,0)*0.475*44/12</f>
        <v>65.381547906962751</v>
      </c>
      <c r="LI115" s="21">
        <f>EXP(-LN(2)/25)*LI114+(1-EXP(-LN(2)/25))/(LN(2)/25)*Calculateur!LD115*Calculateur!LF115*VLOOKUP('Données projet'!$B$23,Paramètres!$A$1:$I$89,3,0)*0.475*44/12</f>
        <v>8.96771548493893</v>
      </c>
      <c r="LJ115" s="21">
        <f>EXP(-LN(2)/2)*LJ114+(1-EXP(-LN(2)/2))/(LN(2)/2)*LD115*LG115*VLOOKUP('Données projet'!$B$23,Paramètres!$A$1:$I$89,3,0)*0.475*44/12</f>
        <v>0</v>
      </c>
      <c r="LK115" s="22">
        <f t="shared" si="164"/>
        <v>74.349263391901687</v>
      </c>
      <c r="LL115" s="74">
        <f>('Scénario référence'!$F$8+'Scénario référence'!$F$9+'Scénario référence'!$B$17+'Scénario référence'!$B$9+'Scénario référence'!$B$10)*70+IF((45+25*(1-EXP(-0.0175*$A115)))&lt;70,'Scénario référence'!$B$16*(45+25*(1-EXP(-0.0175*$A115))),70*'Scénario référence'!$B$16)+IF((32+38*(1-EXP(-0.0175*$A115)))&lt;70,'Scénario référence'!$B$18*(32+38*(1-EXP(-0.0175*$A115))),70*'Scénario référence'!$B$18)</f>
        <v>70</v>
      </c>
      <c r="LM115" s="12">
        <f>IF($A115&gt;30,10,('Scénario référence'!$B$16+'Scénario référence'!$B$17+'Scénario référence'!$B$18+'Scénario référence'!$B$9+'Scénario référence'!$B$10)*$A115*10/30+('Scénario référence'!$F$8+'Scénario référence'!$F$9)*10)</f>
        <v>10</v>
      </c>
      <c r="LN115" s="12" t="e">
        <f>VLOOKUP($A115,'Données projet'!$A$434:$I$454,2,0)</f>
        <v>#N/A</v>
      </c>
      <c r="LO115" s="12" t="e">
        <f>VLOOKUP($A115,'Données projet'!$A$434:$I$454,9,0)</f>
        <v>#N/A</v>
      </c>
      <c r="LP115" s="12">
        <f t="array" ref="LP115">INDEX(LO:LO,MIN(IF(ISNUMBER(LO115:LO311),ROW(LO115:LO311),"")))</f>
        <v>5.0961538461538449</v>
      </c>
      <c r="LQ115" s="12">
        <f>IF('Données projet'!$A$434&gt;35,LQ114+LP115-LY114,IF($A115&lt;'Données projet'!$A$434,$CQ$205^$A115,IF($A115='Données projet'!$A$434,'Données projet'!$B$434,LQ114+LP115-LY114)))</f>
        <v>241.12179487179452</v>
      </c>
      <c r="LR115" s="17">
        <f>LQ115*VLOOKUP('Données projet'!$B$24,Paramètres!$A$1:$I$89,3,0)*VLOOKUP('Données projet'!$B$24,Paramètres!$A$1:$I$89,5,0)</f>
        <v>244.49749999999963</v>
      </c>
      <c r="LS115" s="13">
        <f t="shared" si="212"/>
        <v>59.406141432653072</v>
      </c>
      <c r="LT115" s="14">
        <f t="shared" si="165"/>
        <v>529.29884216187008</v>
      </c>
      <c r="LU115" s="59">
        <f t="shared" si="166"/>
        <v>822.63217549520346</v>
      </c>
      <c r="LV115" s="59">
        <f ca="1">AVERAGE(OFFSET($LU$3,0,0,'Données projet'!$E$24+1,1))-AVERAGE(OFFSET($H$3,0,0,'Données projet'!$E$24+1,1))</f>
        <v>260.52627655062872</v>
      </c>
      <c r="LW115" s="59">
        <f t="shared" si="213"/>
        <v>159.20429420478047</v>
      </c>
      <c r="LX115" s="15">
        <f>IF(ISNA(VLOOKUP($A115,'Données projet'!$A$434:$I$454,3,0)),0,VLOOKUP($A115,'Données projet'!$A$434:$I$454,3,0))</f>
        <v>0</v>
      </c>
      <c r="LY115" s="15">
        <f>IF(ISNA(VLOOKUP($A115,'Données projet'!$A$434:$I$454,4,0)),0,VLOOKUP($A115,'Données projet'!$A$434:$I$454,4,0))</f>
        <v>0</v>
      </c>
      <c r="LZ115" s="16">
        <f>IF(ISNA(VLOOKUP($A115,'Données projet'!$A$434:$I$454,5,0)),0%,VLOOKUP($A115,'Données projet'!$A$434:$I$454,5,0)*VLOOKUP('Données projet'!$B$24,Paramètres!$A$1:$I$89,7,0))</f>
        <v>0</v>
      </c>
      <c r="MA115" s="16">
        <f>IF(ISNA(VLOOKUP($A115,'Données projet'!$A$434:$I$454,6,0)),0%,VLOOKUP($A115,'Données projet'!$A$434:$I$454,6,0)*VLOOKUP('Données projet'!$B$24,Paramètres!$A$1:$I$89,7,0))</f>
        <v>0</v>
      </c>
      <c r="MB115" s="16">
        <f>IF(ISNA(VLOOKUP($A115,'Données projet'!$A$434:$I$454,7,0)),0%,VLOOKUP($A115,'Données projet'!$A$434:$I$454,7,0))</f>
        <v>0</v>
      </c>
      <c r="MC115" s="21">
        <f>EXP(-LN(2)/35)*MC114+(1-EXP(-LN(2)/35))/(LN(2)/35)*LY115*LZ115*VLOOKUP('Données projet'!$B$24,Paramètres!$A$1:$I$89,3,0)*0.475*44/12</f>
        <v>29.934474141577919</v>
      </c>
      <c r="MD115" s="21">
        <f>EXP(-LN(2)/25)*MD114+(1-EXP(-LN(2)/25))/(LN(2)/25)*Calculateur!LY115*Calculateur!MA115*VLOOKUP('Données projet'!$B$24,Paramètres!$A$1:$I$89,3,0)*0.475*44/12</f>
        <v>0</v>
      </c>
      <c r="ME115" s="21">
        <f>EXP(-LN(2)/2)*ME114+(1-EXP(-LN(2)/2))/(LN(2)/2)*LY115*MB115*VLOOKUP('Données projet'!$B$24,Paramètres!$A$1:$I$89,3,0)*0.475*44/12</f>
        <v>0</v>
      </c>
      <c r="MF115" s="22">
        <f t="shared" si="167"/>
        <v>29.934474141577919</v>
      </c>
      <c r="MG115" s="74">
        <f>('Scénario référence'!$F$8+'Scénario référence'!$F$9+'Scénario référence'!$B$17+'Scénario référence'!$B$9+'Scénario référence'!$B$10)*70+IF((45+25*(1-EXP(-0.0175*$A115)))&lt;70,'Scénario référence'!$B$16*(45+25*(1-EXP(-0.0175*$A115))),70*'Scénario référence'!$B$16)+IF((32+38*(1-EXP(-0.0175*$A115)))&lt;70,'Scénario référence'!$B$18*(32+38*(1-EXP(-0.0175*$A115))),70*'Scénario référence'!$B$18)</f>
        <v>70</v>
      </c>
      <c r="MH115" s="12">
        <f>IF($A115&gt;30,10,('Scénario référence'!$B$16+'Scénario référence'!$B$17+'Scénario référence'!$B$18+'Scénario référence'!$B$9+'Scénario référence'!$B$10)*$A115*10/30+('Scénario référence'!$F$8+'Scénario référence'!$F$9)*10)</f>
        <v>10</v>
      </c>
      <c r="MI115" s="12" t="e">
        <f>VLOOKUP($A115,'Données projet'!$A$460:$I$480,2,0)</f>
        <v>#N/A</v>
      </c>
      <c r="MJ115" s="12" t="e">
        <f>VLOOKUP($A115,'Données projet'!$A$460:$I$480,9,0)</f>
        <v>#N/A</v>
      </c>
      <c r="MK115" s="12">
        <f t="array" ref="MK115">INDEX(MJ:MJ,MIN(IF(ISNUMBER(MJ115:MJ311),ROW(MJ115:MJ311),"")))</f>
        <v>0</v>
      </c>
      <c r="ML115" s="12">
        <f>IF('Données projet'!$A$460&gt;35,ML114+MK115-MT114,IF($A115&lt;'Données projet'!$A$460,$CQ$205^$A115,IF($A115='Données projet'!$A$460,'Données projet'!$B$460,ML114+MK115-MT114)))</f>
        <v>0</v>
      </c>
      <c r="MM115" s="17" t="e">
        <f>ML115*VLOOKUP('Données projet'!$B$25,Paramètres!$A$1:$I$89,3,0)*VLOOKUP('Données projet'!$B$25,Paramètres!$A$1:$I$89,5,0)</f>
        <v>#N/A</v>
      </c>
      <c r="MN115" s="13" t="e">
        <f t="shared" si="214"/>
        <v>#N/A</v>
      </c>
      <c r="MO115" s="14" t="e">
        <f t="shared" si="168"/>
        <v>#N/A</v>
      </c>
      <c r="MP115" s="59" t="e">
        <f t="shared" si="169"/>
        <v>#N/A</v>
      </c>
      <c r="MQ115" s="20" t="e">
        <f ca="1">AVERAGE(OFFSET($MP$3,0,0,'Données projet'!$E$25+1,1))-AVERAGE(OFFSET($H$3,0,0,'Données projet'!$E$25+1,1))</f>
        <v>#N/A</v>
      </c>
      <c r="MR115" s="59" t="e">
        <f t="shared" si="215"/>
        <v>#N/A</v>
      </c>
      <c r="MS115" s="15">
        <f>IF(ISNA(VLOOKUP($A115,'Données projet'!$A$460:$I$480,3,0)),0,VLOOKUP($A115,'Données projet'!$A$460:$I$480,3,0))</f>
        <v>0</v>
      </c>
      <c r="MT115" s="15">
        <f>IF(ISNA(VLOOKUP($A115,'Données projet'!$A$460:$I$480,4,0)),0,VLOOKUP($A115,'Données projet'!$A$460:$I$480,4,0))</f>
        <v>0</v>
      </c>
      <c r="MU115" s="16">
        <f>IF(ISNA(VLOOKUP($A115,'Données projet'!$A$460:$I$480,5,0)),0%,VLOOKUP($A115,'Données projet'!$A$460:$I$480,5,0)*VLOOKUP('Données projet'!$B$25,Paramètres!$A$1:$I$89,7,0))</f>
        <v>0</v>
      </c>
      <c r="MV115" s="16">
        <f>IF(ISNA(VLOOKUP($A115,'Données projet'!$A$460:$I$480,6,0)),0%,VLOOKUP($A115,'Données projet'!$A$460:$I$480,6,0)*VLOOKUP('Données projet'!$B$25,Paramètres!$A$1:$I$89,7,0))</f>
        <v>0</v>
      </c>
      <c r="MW115" s="16">
        <f>IF(ISNA(VLOOKUP($A115,'Données projet'!$A$460:$I$480,7,0)),0%,VLOOKUP($A115,'Données projet'!$A$460:$I$480,7,0))</f>
        <v>0</v>
      </c>
      <c r="MX115" s="21" t="e">
        <f>EXP(-LN(2)/35)*MX114+(1-EXP(-LN(2)/35))/(LN(2)/35)*MT115*MU115*VLOOKUP('Données projet'!$B$25,Paramètres!$A$1:$I$89,3,0)*0.475*44/12</f>
        <v>#N/A</v>
      </c>
      <c r="MY115" s="21" t="e">
        <f>EXP(-LN(2)/25)*MY114+(1-EXP(-LN(2)/25))/(LN(2)/25)*Calculateur!MT115*Calculateur!MV115*VLOOKUP('Données projet'!$B$25,Paramètres!$A$1:$I$89,3,0)*0.475*44/12</f>
        <v>#N/A</v>
      </c>
      <c r="MZ115" s="21" t="e">
        <f>EXP(-LN(2)/2)*MZ114+(1-EXP(-LN(2)/2))/(LN(2)/2)*MT115*MW115*VLOOKUP('Données projet'!$B$25,Paramètres!$A$1:$I$89,3,0)*0.475*44/12</f>
        <v>#N/A</v>
      </c>
      <c r="NA115" s="22" t="e">
        <f t="shared" si="170"/>
        <v>#N/A</v>
      </c>
      <c r="NB115" s="74">
        <f>('Scénario référence'!$F$8+'Scénario référence'!$F$9+'Scénario référence'!$B$17+'Scénario référence'!$B$9+'Scénario référence'!$B$10)*70+IF((45+25*(1-EXP(-0.0175*$A115)))&lt;70,'Scénario référence'!$B$16*(45+25*(1-EXP(-0.0175*$A115))),70*'Scénario référence'!$B$16)+IF((32+38*(1-EXP(-0.0175*$A115)))&lt;70,'Scénario référence'!$B$18*(32+38*(1-EXP(-0.0175*$A115))),70*'Scénario référence'!$B$18)</f>
        <v>70</v>
      </c>
      <c r="NC115" s="12">
        <f>IF($A115&gt;30,10,('Scénario référence'!$B$16+'Scénario référence'!$B$17+'Scénario référence'!$B$18+'Scénario référence'!$B$9+'Scénario référence'!$B$10)*$A115*10/30+('Scénario référence'!$F$8+'Scénario référence'!$F$9)*10)</f>
        <v>10</v>
      </c>
      <c r="ND115" s="12" t="e">
        <f>VLOOKUP($A115,'Données projet'!$A$486:$I$506,2,0)</f>
        <v>#N/A</v>
      </c>
      <c r="NE115" s="12" t="e">
        <f>VLOOKUP($A115,'Données projet'!$A$486:$I$506,9,0)</f>
        <v>#N/A</v>
      </c>
      <c r="NF115" s="12">
        <f t="array" ref="NF115">INDEX(NE:NE,MIN(IF(ISNUMBER(NE115:NE311),ROW(NE115:NE311),"")))</f>
        <v>0</v>
      </c>
      <c r="NG115" s="12">
        <f>IF('Données projet'!$A$486&gt;35,NG114+NF115-NO114,IF($A115&lt;'Données projet'!$A$486,$CQ$205^$A115,IF($A115='Données projet'!$A$486,'Données projet'!$B$486,NG114+NF115-NO114)))</f>
        <v>0</v>
      </c>
      <c r="NH115" s="17" t="e">
        <f>NG115*VLOOKUP('Données projet'!$B$26,Paramètres!$A$1:$I$89,3,0)*VLOOKUP('Données projet'!$B$26,Paramètres!$A$1:$I$89,5,0)</f>
        <v>#N/A</v>
      </c>
      <c r="NI115" s="13" t="e">
        <f t="shared" si="216"/>
        <v>#N/A</v>
      </c>
      <c r="NJ115" s="14" t="e">
        <f t="shared" si="171"/>
        <v>#N/A</v>
      </c>
      <c r="NK115" s="59" t="e">
        <f t="shared" si="172"/>
        <v>#N/A</v>
      </c>
      <c r="NL115" s="20" t="e">
        <f ca="1">AVERAGE(OFFSET($NK$3,0,0,'Données projet'!$E$26+1,1))-AVERAGE(OFFSET($H$3,0,0,'Données projet'!$E$26+1,1))</f>
        <v>#N/A</v>
      </c>
      <c r="NM115" s="59" t="e">
        <f t="shared" si="217"/>
        <v>#N/A</v>
      </c>
      <c r="NN115" s="15">
        <f>IF(ISNA(VLOOKUP($A115,'Données projet'!$A$486:$I$506,3,0)),0,VLOOKUP($A115,'Données projet'!$A$486:$I$506,3,0))</f>
        <v>0</v>
      </c>
      <c r="NO115" s="15">
        <f>IF(ISNA(VLOOKUP($A115,'Données projet'!$A$486:$I$506,4,0)),0,VLOOKUP($A115,'Données projet'!$A$486:$I$506,4,0))</f>
        <v>0</v>
      </c>
      <c r="NP115" s="16">
        <f>IF(ISNA(VLOOKUP($A115,'Données projet'!$A$486:$I$506,5,0)),0%,VLOOKUP($A115,'Données projet'!$A$486:$I$506,5,0)*VLOOKUP('Données projet'!$B$26,Paramètres!$A$1:$I$89,7,0))</f>
        <v>0</v>
      </c>
      <c r="NQ115" s="16">
        <f>IF(ISNA(VLOOKUP($A115,'Données projet'!$A$486:$I$506,6,0)),0%,VLOOKUP($A115,'Données projet'!$A$486:$I$506,6,0)*VLOOKUP('Données projet'!$B$26,Paramètres!$A$1:$I$89,7,0))</f>
        <v>0</v>
      </c>
      <c r="NR115" s="16">
        <f>IF(ISNA(VLOOKUP($A115,'Données projet'!$A$486:$I$506,7,0)),0%,VLOOKUP($A115,'Données projet'!$A$486:$I$506,7,0))</f>
        <v>0</v>
      </c>
      <c r="NS115" s="21" t="e">
        <f>EXP(-LN(2)/35)*NS114+(1-EXP(-LN(2)/35))/(LN(2)/35)*NO115*NP115*VLOOKUP('Données projet'!$B$26,Paramètres!$A$1:$I$89,3,0)*0.475*44/12</f>
        <v>#N/A</v>
      </c>
      <c r="NT115" s="21" t="e">
        <f>EXP(-LN(2)/25)*NT114+(1-EXP(-LN(2)/25))/(LN(2)/25)*Calculateur!NO115*Calculateur!NQ115*VLOOKUP('Données projet'!$B$26,Paramètres!$A$1:$I$89,3,0)*0.475*44/12</f>
        <v>#N/A</v>
      </c>
      <c r="NU115" s="21" t="e">
        <f>EXP(-LN(2)/2)*NU114+(1-EXP(-LN(2)/2))/(LN(2)/2)*NO115*NR115*VLOOKUP('Données projet'!$B$26,Paramètres!$A$1:$I$89,3,0)*0.475*44/12</f>
        <v>#N/A</v>
      </c>
      <c r="NV115" s="22" t="e">
        <f t="shared" si="173"/>
        <v>#N/A</v>
      </c>
      <c r="NW115" s="74">
        <f>('Scénario référence'!$F$8+'Scénario référence'!$F$9+'Scénario référence'!$B$17+'Scénario référence'!$B$9+'Scénario référence'!$B$10)*70+IF((45+25*(1-EXP(-0.0175*$A115)))&lt;70,'Scénario référence'!$B$16*(45+25*(1-EXP(-0.0175*$A115))),70*'Scénario référence'!$B$16)+IF((32+38*(1-EXP(-0.0175*$A115)))&lt;70,'Scénario référence'!$B$18*(32+38*(1-EXP(-0.0175*$A115))),70*'Scénario référence'!$B$18)</f>
        <v>70</v>
      </c>
      <c r="NX115" s="12">
        <f>IF($A115&gt;30,10,('Scénario référence'!$B$16+'Scénario référence'!$B$17+'Scénario référence'!$B$18+'Scénario référence'!$B$9+'Scénario référence'!$B$10)*$A115*10/30+('Scénario référence'!$F$8+'Scénario référence'!$F$9)*10)</f>
        <v>10</v>
      </c>
      <c r="NY115" s="12" t="e">
        <f>VLOOKUP($A115,'Données projet'!$A$512:$I$532,2,0)</f>
        <v>#N/A</v>
      </c>
      <c r="NZ115" s="12" t="e">
        <f>VLOOKUP($A115,'Données projet'!$A$512:$I$532,9,0)</f>
        <v>#N/A</v>
      </c>
      <c r="OA115" s="12">
        <f t="array" ref="OA115">INDEX(NZ:NZ,MIN(IF(ISNUMBER(NZ115:NZ311),ROW(NZ115:NZ311),"")))</f>
        <v>0</v>
      </c>
      <c r="OB115" s="12">
        <f>IF('Données projet'!$A$512&gt;35,OB114+OA115-OJ114,IF($A115&lt;'Données projet'!$A$512,$CQ$205^$A115,IF($A115='Données projet'!$A$512,'Données projet'!$B$512,OB114+OA115-OJ114)))</f>
        <v>0</v>
      </c>
      <c r="OC115" s="17" t="e">
        <f>OB115*VLOOKUP('Données projet'!$B$27,Paramètres!$A$1:$I$89,3,0)*VLOOKUP('Données projet'!$B$27,Paramètres!$A$1:$I$89,5,0)</f>
        <v>#N/A</v>
      </c>
      <c r="OD115" s="13" t="e">
        <f t="shared" si="218"/>
        <v>#N/A</v>
      </c>
      <c r="OE115" s="14" t="e">
        <f t="shared" si="174"/>
        <v>#N/A</v>
      </c>
      <c r="OF115" s="59" t="e">
        <f t="shared" si="175"/>
        <v>#N/A</v>
      </c>
      <c r="OG115" s="20" t="e">
        <f ca="1">AVERAGE(OFFSET($OF$3,0,0,'Données projet'!$E$27+1,1))-AVERAGE(OFFSET($H$3,0,0,'Données projet'!$E$27+1,1))</f>
        <v>#N/A</v>
      </c>
      <c r="OH115" s="59" t="e">
        <f t="shared" si="219"/>
        <v>#N/A</v>
      </c>
      <c r="OI115" s="15">
        <f>IF(ISNA(VLOOKUP($A115,'Données projet'!$A$512:$I$532,3,0)),0,VLOOKUP($A115,'Données projet'!$A$512:$I$532,3,0))</f>
        <v>0</v>
      </c>
      <c r="OJ115" s="15">
        <f>IF(ISNA(VLOOKUP($A115,'Données projet'!$A$512:$I$532,4,0)),0,VLOOKUP($A115,'Données projet'!$A$512:$I$532,4,0))</f>
        <v>0</v>
      </c>
      <c r="OK115" s="16">
        <f>IF(ISNA(VLOOKUP($A115,'Données projet'!$A$512:$I$532,5,0)),0%,VLOOKUP($A115,'Données projet'!$A$512:$I$532,5,0)*VLOOKUP('Données projet'!$B$27,Paramètres!$A$1:$I$89,7,0))</f>
        <v>0</v>
      </c>
      <c r="OL115" s="16">
        <f>IF(ISNA(VLOOKUP($A115,'Données projet'!$A$512:$I$532,6,0)),0%,VLOOKUP($A115,'Données projet'!$A$512:$I$532,6,0)*VLOOKUP('Données projet'!$B$27,Paramètres!$A$1:$I$89,7,0))</f>
        <v>0</v>
      </c>
      <c r="OM115" s="16">
        <f>IF(ISNA(VLOOKUP($A115,'Données projet'!$A$512:$I$532,7,0)),0%,VLOOKUP($A115,'Données projet'!$A$512:$I$532,7,0))</f>
        <v>0</v>
      </c>
      <c r="ON115" s="21" t="e">
        <f>EXP(-LN(2)/35)*ON114+(1-EXP(-LN(2)/35))/(LN(2)/35)*OJ115*OK115*VLOOKUP('Données projet'!$B$27,Paramètres!$A$1:$I$89,3,0)*0.475*44/12</f>
        <v>#N/A</v>
      </c>
      <c r="OO115" s="21" t="e">
        <f>EXP(-LN(2)/25)*OO114+(1-EXP(-LN(2)/25))/(LN(2)/25)*Calculateur!OJ115*Calculateur!OL115*VLOOKUP('Données projet'!$B$27,Paramètres!$A$1:$I$89,3,0)*0.475*44/12</f>
        <v>#N/A</v>
      </c>
      <c r="OP115" s="21" t="e">
        <f>EXP(-LN(2)/2)*OP114+(1-EXP(-LN(2)/2))/(LN(2)/2)*OJ115*OM115*VLOOKUP('Données projet'!$B$27,Paramètres!$A$1:$I$89,3,0)*0.475*44/12</f>
        <v>#N/A</v>
      </c>
      <c r="OQ115" s="22" t="e">
        <f t="shared" si="176"/>
        <v>#N/A</v>
      </c>
      <c r="OR115" s="74">
        <f>('Scénario référence'!$F$8+'Scénario référence'!$F$9+'Scénario référence'!$B$17+'Scénario référence'!$B$9+'Scénario référence'!$B$10)*70+IF((45+25*(1-EXP(-0.0175*$A115)))&lt;70,'Scénario référence'!$B$16*(45+25*(1-EXP(-0.0175*$A115))),70*'Scénario référence'!$B$16)+IF((32+38*(1-EXP(-0.0175*$A115)))&lt;70,'Scénario référence'!$B$18*(32+38*(1-EXP(-0.0175*$A115))),70*'Scénario référence'!$B$18)</f>
        <v>70</v>
      </c>
      <c r="OS115" s="12">
        <f>IF($A115&gt;30,10,('Scénario référence'!$B$16+'Scénario référence'!$B$17+'Scénario référence'!$B$18+'Scénario référence'!$B$9+'Scénario référence'!$B$10)*$A115*10/30+('Scénario référence'!$F$8+'Scénario référence'!$F$9)*10)</f>
        <v>10</v>
      </c>
      <c r="OT115" s="12" t="e">
        <f>VLOOKUP($A115,'Données projet'!$A$538:$I$558,2,0)</f>
        <v>#N/A</v>
      </c>
      <c r="OU115" s="12" t="e">
        <f>VLOOKUP($A115,'Données projet'!$A$538:$I$558,9,0)</f>
        <v>#N/A</v>
      </c>
      <c r="OV115" s="12">
        <f t="array" ref="OV115">INDEX(OU:OU,MIN(IF(ISNUMBER(OU115:OU311),ROW(OU115:OU311),"")))</f>
        <v>0</v>
      </c>
      <c r="OW115" s="12">
        <f>IF('Données projet'!$A$538&gt;35,OW114+OV115-PE114,IF($A115&lt;'Données projet'!$A$538,$CQ$205^$A115,IF($A115='Données projet'!$A$538,'Données projet'!$B$538,OW114+OV115-PE114)))</f>
        <v>0</v>
      </c>
      <c r="OX115" s="17" t="e">
        <f>OW115*VLOOKUP('Données projet'!$B$28,Paramètres!$A$1:$I$89,3,0)*VLOOKUP('Données projet'!$B$28,Paramètres!$A$1:$I$89,5,0)</f>
        <v>#N/A</v>
      </c>
      <c r="OY115" s="13" t="e">
        <f t="shared" si="220"/>
        <v>#N/A</v>
      </c>
      <c r="OZ115" s="14" t="e">
        <f t="shared" si="177"/>
        <v>#N/A</v>
      </c>
      <c r="PA115" s="59" t="e">
        <f t="shared" si="178"/>
        <v>#N/A</v>
      </c>
      <c r="PB115" s="20" t="e">
        <f ca="1">AVERAGE(OFFSET($PA$3,0,0,'Données projet'!$E$28+1,1))-AVERAGE(OFFSET($H$3,0,0,'Données projet'!$E$28+1,1))</f>
        <v>#N/A</v>
      </c>
      <c r="PC115" s="59" t="e">
        <f t="shared" si="221"/>
        <v>#N/A</v>
      </c>
      <c r="PD115" s="15">
        <f>IF(ISNA(VLOOKUP($A115,'Données projet'!$A$538:$I$558,3,0)),0,VLOOKUP($A115,'Données projet'!$A$538:$I$558,3,0))</f>
        <v>0</v>
      </c>
      <c r="PE115" s="15">
        <f>IF(ISNA(VLOOKUP($A115,'Données projet'!$A$538:$I$558,4,0)),0,VLOOKUP($A115,'Données projet'!$A$538:$I$558,4,0))</f>
        <v>0</v>
      </c>
      <c r="PF115" s="16">
        <f>IF(ISNA(VLOOKUP($A115,'Données projet'!$A$538:$I$558,5,0)),0%,VLOOKUP($A115,'Données projet'!$A$538:$I$558,5,0)*VLOOKUP('Données projet'!$B$28,Paramètres!$A$1:$I$89,7,0))</f>
        <v>0</v>
      </c>
      <c r="PG115" s="16">
        <f>IF(ISNA(VLOOKUP($A115,'Données projet'!$A$538:$I$558,6,0)),0%,VLOOKUP($A115,'Données projet'!$A$538:$I$558,6,0)*VLOOKUP('Données projet'!$B$28,Paramètres!$A$1:$I$89,7,0))</f>
        <v>0</v>
      </c>
      <c r="PH115" s="16">
        <f>IF(ISNA(VLOOKUP($A115,'Données projet'!$A$538:$I$558,7,0)),0%,VLOOKUP($A115,'Données projet'!$A$538:$I$558,7,0))</f>
        <v>0</v>
      </c>
      <c r="PI115" s="21" t="e">
        <f>EXP(-LN(2)/35)*PI114+(1-EXP(-LN(2)/35))/(LN(2)/35)*PE115*PF115*VLOOKUP('Données projet'!$B$28,Paramètres!$A$1:$I$89,3,0)*0.475*44/12</f>
        <v>#N/A</v>
      </c>
      <c r="PJ115" s="21" t="e">
        <f>EXP(-LN(2)/25)*PJ114+(1-EXP(-LN(2)/25))/(LN(2)/25)*Calculateur!PE115*Calculateur!PG115*VLOOKUP('Données projet'!$B$28,Paramètres!$A$1:$I$89,3,0)*0.475*44/12</f>
        <v>#N/A</v>
      </c>
      <c r="PK115" s="21" t="e">
        <f>EXP(-LN(2)/2)*PK114+(1-EXP(-LN(2)/2))/(LN(2)/2)*PE115*PH115*VLOOKUP('Données projet'!$B$28,Paramètres!$A$1:$I$89,3,0)*0.475*44/12</f>
        <v>#N/A</v>
      </c>
      <c r="PL115" s="22" t="e">
        <f t="shared" si="179"/>
        <v>#N/A</v>
      </c>
    </row>
    <row r="116" spans="1:428" x14ac:dyDescent="0.35">
      <c r="A116" s="10">
        <f t="shared" si="180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181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121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projet'!$A$45:$I$65,2,0)</f>
        <v>#N/A</v>
      </c>
      <c r="L116" s="12" t="e">
        <f>VLOOKUP(A116,'Données projet'!$A$45:$I$65,9,0)</f>
        <v>#N/A</v>
      </c>
      <c r="M116" s="12">
        <f t="array" ref="M116">INDEX(L:L,MIN(IF(ISNUMBER(L116:L312),ROW(L116:L312),"")))</f>
        <v>0</v>
      </c>
      <c r="N116" s="13">
        <f>IF('Données projet'!$A$46&gt;35,N115+M116-V115,IF(A116&lt;'Données projet'!$A$46,$K$205^A116,IF(A116='Données projet'!$A$46,'Données projet'!$B$46,N115+M116-V115)))</f>
        <v>-1.1368683772161603E-13</v>
      </c>
      <c r="O116" s="13">
        <f>N116*VLOOKUP('Données projet'!$B$9,Paramètres!$A$1:$I$89,3,0)*VLOOKUP('Données projet'!$B$9,Paramètres!$A$1:$I$89,5,0)</f>
        <v>-6.3550942286383367E-14</v>
      </c>
      <c r="P116" s="13" t="e">
        <f t="shared" si="182"/>
        <v>#NUM!</v>
      </c>
      <c r="Q116" s="20" t="e">
        <f t="shared" si="222"/>
        <v>#NUM!</v>
      </c>
      <c r="R116" s="59" t="e">
        <f t="shared" si="120"/>
        <v>#NUM!</v>
      </c>
      <c r="S116" s="59">
        <f ca="1">AVERAGE(OFFSET($R$3,0,0,'Données projet'!$E$9+1,1))-AVERAGE(OFFSET($H$3,0,0,'Données projet'!$E$9+1,1))</f>
        <v>274.57619581652199</v>
      </c>
      <c r="T116" s="59">
        <f t="shared" si="183"/>
        <v>366.15117322598775</v>
      </c>
      <c r="U116" s="15">
        <f>IF(ISNA(VLOOKUP(A116,'Données projet'!$A$45:$I$65,3,0)),0,VLOOKUP(A116,'Données projet'!$A$45:$I$65,3,0))</f>
        <v>0</v>
      </c>
      <c r="V116" s="15">
        <f>IF(ISNA(VLOOKUP(A116,'Données projet'!$A$45:$I$65,4,0)),0,VLOOKUP(A116,'Données projet'!$A$45:$I$65,4,0))</f>
        <v>0</v>
      </c>
      <c r="W116" s="16">
        <f>IF(ISNA(VLOOKUP(A116,'Données projet'!$A$45:$I$65,5,0)),0%,VLOOKUP(A116,'Données projet'!$A$45:$I$65,5,0)*VLOOKUP('Données projet'!$B$9,Paramètres!$A$1:$I$89,7,0))</f>
        <v>0</v>
      </c>
      <c r="X116" s="16">
        <f>IF(ISNA(VLOOKUP(A116,'Données projet'!$A$45:$I$65,6,0)),0%,VLOOKUP(A116,'Données projet'!$A$45:$I$65,6,0)*VLOOKUP('Données projet'!$B$9,Paramètres!$A$1:$I$89,7,0))</f>
        <v>0</v>
      </c>
      <c r="Y116" s="16">
        <f>IF(ISNA(VLOOKUP(A116,'Données projet'!$A$45:$I$65,7,0)),0%,VLOOKUP(A116,'Données projet'!$A$45:$I$65,7,0))</f>
        <v>0</v>
      </c>
      <c r="Z116" s="21">
        <f>EXP(-LN(2)/35)*Z115+(1-EXP(-LN(2)/35))/(LN(2)/35)*V116*W116*VLOOKUP('Données projet'!$B$9,Paramètres!$A$1:$I$89,3,0)*0.475*44/12</f>
        <v>71.865356805716502</v>
      </c>
      <c r="AA116" s="21">
        <f>EXP(-LN(2)/25)*AA115+(1-EXP(-LN(2)/25))/(LN(2)/25)*Calculateur!V116*Calculateur!X116*VLOOKUP('Données projet'!$B$9,Paramètres!$A$1:$I$89,3,0)*0.475*44/12</f>
        <v>11.536944369207362</v>
      </c>
      <c r="AB116" s="21">
        <f>EXP(-LN(2)/2)*AB115+(1-EXP(-LN(2)/2))/(LN(2)/2)*V116*Y116*VLOOKUP('Données projet'!$B$9,Paramètres!$A$1:$I$89,3,0)*0.475*44/12</f>
        <v>6.3630387194664168E-8</v>
      </c>
      <c r="AC116" s="22">
        <f t="shared" si="122"/>
        <v>83.402301238554244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projet'!$A$71:$I$91,2,0)</f>
        <v>#N/A</v>
      </c>
      <c r="AG116" s="12" t="e">
        <f>VLOOKUP(A116,'Données projet'!$A$71:$I$91,9,0)</f>
        <v>#N/A</v>
      </c>
      <c r="AH116" s="12">
        <f t="array" ref="AH116">INDEX(AG:AG,MIN(IF(ISNUMBER(AG116:AG312),ROW(AG116:AG312),"")))</f>
        <v>6.8461538461538511</v>
      </c>
      <c r="AI116" s="13">
        <f>IF('Données projet'!$A$72&gt;35,AI115+AH116-AQ115,IF(A116&lt;'Données projet'!$A$72,$AF$205^A116,IF(A116='Données projet'!$A$72,'Données projet'!$B$72,AI115+AH116-AQ115)))</f>
        <v>316.26282051282089</v>
      </c>
      <c r="AJ116" s="13">
        <f>AI116*VLOOKUP('Données projet'!$B$10,Paramètres!$A$1:$I$89,3,0)*VLOOKUP('Données projet'!$B$10,Paramètres!$A$1:$I$89,5,0)</f>
        <v>286.15460000000036</v>
      </c>
      <c r="AK116" s="13">
        <f t="shared" si="184"/>
        <v>68.266002354364261</v>
      </c>
      <c r="AL116" s="20">
        <f t="shared" si="123"/>
        <v>617.28254910051839</v>
      </c>
      <c r="AM116" s="59">
        <f t="shared" si="124"/>
        <v>910.61588243385177</v>
      </c>
      <c r="AN116" s="59">
        <f ca="1">AVERAGE(OFFSET($AM$3,0,0,'Données projet'!$E$10+1,1))-AVERAGE(OFFSET($H$3,0,0,'Données projet'!$E$10+1,1))</f>
        <v>270.87836509222456</v>
      </c>
      <c r="AO116" s="59">
        <f t="shared" si="185"/>
        <v>205.24998237949734</v>
      </c>
      <c r="AP116" s="15">
        <f>IF(ISNA(VLOOKUP(A116,'Données projet'!$A$71:$I$91,3,0)),0,VLOOKUP(A116,'Données projet'!$A$71:$I$91,3,0))</f>
        <v>0</v>
      </c>
      <c r="AQ116" s="15">
        <f>IF(ISNA(VLOOKUP(A116,'Données projet'!$A$71:$I$91,4,0)),0,VLOOKUP(A116,'Données projet'!$A$71:$I$91,4,0))</f>
        <v>0</v>
      </c>
      <c r="AR116" s="16">
        <f>IF(ISNA(VLOOKUP(A116,'Données projet'!$A$71:$I$91,5,0)),0%,VLOOKUP(A116,'Données projet'!$A$71:$I$91,5,0)*VLOOKUP('Données projet'!$B$10,Paramètres!$A$1:$I$89,7,0))</f>
        <v>0</v>
      </c>
      <c r="AS116" s="16">
        <f>IF(ISNA(VLOOKUP(A116,'Données projet'!$A$71:$I$91,6,0)),0%,VLOOKUP(A116,'Données projet'!$A$71:$I$91,6,0)*VLOOKUP('Données projet'!$B$10,Paramètres!$A$1:$I$89,7,0))</f>
        <v>0</v>
      </c>
      <c r="AT116" s="16">
        <f>IF(ISNA(VLOOKUP(A116,'Données projet'!$A$71:$I$91,7,0)),0%,VLOOKUP(A116,'Données projet'!$A$71:$I$91,7,0))</f>
        <v>0</v>
      </c>
      <c r="AU116" s="21">
        <f>EXP(-LN(2)/35)*AU115+(1-EXP(-LN(2)/35))/(LN(2)/35)*AQ116*AR116*VLOOKUP('Données projet'!$B$10,Paramètres!$A$1:$I$89,3,0)*0.475*44/12</f>
        <v>55.585696578187076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125"/>
        <v>55.585696578187076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projet'!$A$97:$I$117,2,0)</f>
        <v>#N/A</v>
      </c>
      <c r="BB116" s="12" t="e">
        <f>VLOOKUP(A116,'Données projet'!$A$97:$I$117,9,0)</f>
        <v>#N/A</v>
      </c>
      <c r="BC116" s="12">
        <f t="array" ref="BC116">INDEX(BB:BB,MIN(IF(ISNUMBER(BB116:BB312),ROW(BB116:BB312),"")))</f>
        <v>0</v>
      </c>
      <c r="BD116" s="12">
        <f>IF('Données projet'!$A$98&gt;35,BD115+BC116-BL115,IF(A116&lt;'Données projet'!$A$98,$BA$205^A116,IF(A116='Données projet'!$A$98,'Données projet'!$B$98,BD115+BC116-BL115)))</f>
        <v>-1.1368683772161603E-13</v>
      </c>
      <c r="BE116" s="13">
        <f>BD116*VLOOKUP('Données projet'!$B$11,Paramètres!$A$1:$I$89,3,0)*VLOOKUP('Données projet'!$B$11,Paramètres!$A$1:$I$89,5,0)</f>
        <v>-5.0249582272954292E-14</v>
      </c>
      <c r="BF116" s="13" t="e">
        <f t="shared" si="186"/>
        <v>#NUM!</v>
      </c>
      <c r="BG116" s="20" t="e">
        <f t="shared" si="126"/>
        <v>#NUM!</v>
      </c>
      <c r="BH116" s="59" t="e">
        <f t="shared" si="127"/>
        <v>#NUM!</v>
      </c>
      <c r="BI116" s="59">
        <f ca="1">AVERAGE(OFFSET($BH$3,0,0,'Données projet'!$E$11+1,1))-AVERAGE(OFFSET($H$3,0,0,'Données projet'!$E$11+1,1))</f>
        <v>211.31057120485542</v>
      </c>
      <c r="BJ116" s="59">
        <f t="shared" si="187"/>
        <v>283.33292006714777</v>
      </c>
      <c r="BK116" s="15">
        <f>IF(ISNA(VLOOKUP(A116,'Données projet'!$A$97:$I$117,3,0)),0,VLOOKUP(A116,'Données projet'!$A$97:$I$117,3,0))</f>
        <v>0</v>
      </c>
      <c r="BL116" s="15">
        <f>IF(ISNA(VLOOKUP(A116,'Données projet'!$A$97:$I$117,4,0)),0,VLOOKUP(A116,'Données projet'!$A$97:$I$117,4,0))</f>
        <v>0</v>
      </c>
      <c r="BM116" s="16">
        <f>IF(ISNA(VLOOKUP(A116,'Données projet'!$A$97:$I$117,5,0)),0%,VLOOKUP(A116,'Données projet'!$A$97:$I$117,5,0)*VLOOKUP('Données projet'!$B$11,Paramètres!$A$1:$I$89,7,0))</f>
        <v>0</v>
      </c>
      <c r="BN116" s="16">
        <f>IF(ISNA(VLOOKUP(A116,'Données projet'!$A$97:$I$117,6,0)),0%,VLOOKUP(A116,'Données projet'!$A$97:$I$117,6,0)*VLOOKUP('Données projet'!$B$11,Paramètres!$A$1:$I$89,7,0))</f>
        <v>0</v>
      </c>
      <c r="BO116" s="16">
        <f>IF(ISNA(VLOOKUP(A116,'Données projet'!$A$97:$I$117,7,0)),0%,VLOOKUP(A116,'Données projet'!$A$97:$I$117,7,0))</f>
        <v>0</v>
      </c>
      <c r="BP116" s="21">
        <f>EXP(-LN(2)/35)*BP115+(1-EXP(-LN(2)/35))/(LN(2)/35)*BL116*BM116*VLOOKUP('Données projet'!$B$11,Paramètres!$A$1:$I$89,3,0)*0.475*44/12</f>
        <v>56.823770497543286</v>
      </c>
      <c r="BQ116" s="21">
        <f>EXP(-LN(2)/25)*BQ115+(1-EXP(-LN(2)/25))/(LN(2)/25)*Calculateur!BL116*Calculateur!BN116*VLOOKUP('Données projet'!$B$11,Paramètres!$A$1:$I$89,3,0)*0.475*44/12</f>
        <v>9.1222350826290715</v>
      </c>
      <c r="BR116" s="21">
        <f>EXP(-LN(2)/2)*BR115+(1-EXP(-LN(2)/2))/(LN(2)/2)*BL116*BO116*VLOOKUP('Données projet'!$B$11,Paramètres!$A$1:$I$89,3,0)*0.475*44/12</f>
        <v>5.0312399177176309E-8</v>
      </c>
      <c r="BS116" s="22">
        <f t="shared" si="128"/>
        <v>65.946005630484748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projet'!$A$123:$I$143,2,0)</f>
        <v>#N/A</v>
      </c>
      <c r="BW116" s="12" t="e">
        <f>VLOOKUP(A116,'Données projet'!$A$123:$I$143,9,0)</f>
        <v>#N/A</v>
      </c>
      <c r="BX116" s="12">
        <f t="array" ref="BX116">INDEX(BW:BW,MIN(IF(ISNUMBER(BW116:BW312),ROW(BW116:BW312),"")))</f>
        <v>0</v>
      </c>
      <c r="BY116" s="12">
        <f>IF('Données projet'!$A$124&gt;35,BY115+BX116-CG115,IF(A116&lt;'Données projet'!$A$124,$BV$205^A116,IF(A116='Données projet'!$A$124,'Données projet'!$B$124,BY115+BX116-CG115)))</f>
        <v>0</v>
      </c>
      <c r="BZ116" s="13">
        <f>BY116*VLOOKUP('Données projet'!$B$12,Paramètres!$A$1:$I$89,3,0)*VLOOKUP('Données projet'!$B$12,Paramètres!$A$1:$I$89,5,0)</f>
        <v>0</v>
      </c>
      <c r="CA116" s="13" t="e">
        <f t="shared" si="188"/>
        <v>#NUM!</v>
      </c>
      <c r="CB116" s="20" t="e">
        <f t="shared" si="129"/>
        <v>#NUM!</v>
      </c>
      <c r="CC116" s="59" t="e">
        <f t="shared" si="130"/>
        <v>#NUM!</v>
      </c>
      <c r="CD116" s="59">
        <f ca="1">AVERAGE(OFFSET($CC$3,0,0,'Données projet'!$E$12+1,1))-AVERAGE(OFFSET($H$3,0,0,'Données projet'!$E$12+1,1))</f>
        <v>322.93502595881938</v>
      </c>
      <c r="CE116" s="59">
        <f t="shared" si="189"/>
        <v>302.67072119588164</v>
      </c>
      <c r="CF116" s="15">
        <f>IF(ISNA(VLOOKUP(A116,'Données projet'!$A$123:$I$143,3,0)),0,VLOOKUP(A116,'Données projet'!$A$123:$I$143,3,0))</f>
        <v>0</v>
      </c>
      <c r="CG116" s="15">
        <f>IF(ISNA(VLOOKUP(A116,'Données projet'!$A$123:$I$143,4,0)),0,VLOOKUP(A116,'Données projet'!$A$123:$I$143,4,0))</f>
        <v>0</v>
      </c>
      <c r="CH116" s="16">
        <f>IF(ISNA(VLOOKUP(A116,'Données projet'!$A$123:$I$143,5,0)),0%,VLOOKUP(A116,'Données projet'!$A$123:$I$143,5,0)*VLOOKUP('Données projet'!$B$12,Paramètres!$A$1:$I$89,7,0))</f>
        <v>0</v>
      </c>
      <c r="CI116" s="16">
        <f>IF(ISNA(VLOOKUP(A116,'Données projet'!$A$123:$I$143,6,0)),0%,VLOOKUP(A116,'Données projet'!$A$123:$I$143,6,0)*VLOOKUP('Données projet'!$B$12,Paramètres!$A$1:$I$89,7,0))</f>
        <v>0</v>
      </c>
      <c r="CJ116" s="16">
        <f>IF(ISNA(VLOOKUP(A116,'Données projet'!$A$123:$I$143,7,0)),0%,VLOOKUP(A116,'Données projet'!$A$123:$I$143,7,0))</f>
        <v>0</v>
      </c>
      <c r="CK116" s="21">
        <f>EXP(-LN(2)/35)*CK115+(1-EXP(-LN(2)/35))/(LN(2)/35)*CG116*CH116*VLOOKUP('Données projet'!$B$12,Paramètres!$A$1:$I$89,3,0)*0.475*44/12</f>
        <v>90.533996969601802</v>
      </c>
      <c r="CL116" s="21">
        <f>EXP(-LN(2)/25)*CL115+(1-EXP(-LN(2)/25))/(LN(2)/25)*Calculateur!CG116*Calculateur!CI116*VLOOKUP('Données projet'!$B$12,Paramètres!$A$1:$I$89,3,0)*0.475*44/12</f>
        <v>29.196671572121488</v>
      </c>
      <c r="CM116" s="21">
        <f>EXP(-LN(2)/2)*CM115+(1-EXP(-LN(2)/2))/(LN(2)/2)*CG116*CJ116*VLOOKUP('Données projet'!$B$12,Paramètres!$A$1:$I$89,3,0)*0.475*44/12</f>
        <v>0</v>
      </c>
      <c r="CN116" s="22">
        <f t="shared" si="131"/>
        <v>119.73066854172329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>
        <f>VLOOKUP(A116,'Données projet'!$A$149:$I$169,2,0)</f>
        <v>246.21794871794873</v>
      </c>
      <c r="CR116" s="12">
        <f>VLOOKUP(A116,'Données projet'!$A$149:$I$169,9,0)</f>
        <v>5.0961538461538449</v>
      </c>
      <c r="CS116" s="12">
        <f t="array" ref="CS116">INDEX(CR:CR,MIN(IF(ISNUMBER(CR116:CR312),ROW(CR116:CR312),"")))</f>
        <v>5.0961538461538449</v>
      </c>
      <c r="CT116" s="12">
        <f>IF('Données projet'!$A$150&gt;35,CT115+CS116-DB115,IF(A116&lt;'Données projet'!$A$150,$CQ$205^A116,IF(A116='Données projet'!$A$150,'Données projet'!$B$150,CT115+CS116-DB115)))</f>
        <v>246.21794871794836</v>
      </c>
      <c r="CU116" s="17">
        <f>CT116*VLOOKUP('Données projet'!$B$13,Paramètres!$A$1:$I$89,3,0)*VLOOKUP('Données projet'!$B$13,Paramètres!$A$1:$I$89,5,0)</f>
        <v>249.66499999999965</v>
      </c>
      <c r="CV116" s="13">
        <f t="shared" si="190"/>
        <v>60.514200047035814</v>
      </c>
      <c r="CW116" s="20">
        <f t="shared" si="132"/>
        <v>540.22877341525339</v>
      </c>
      <c r="CX116" s="59">
        <f t="shared" si="133"/>
        <v>833.56210674858676</v>
      </c>
      <c r="CY116" s="59">
        <f ca="1">AVERAGE(OFFSET($CX$3,0,0,'Données projet'!$E$13+1,1))-AVERAGE(OFFSET($H$3,0,0,'Données projet'!$E$13+1,1))</f>
        <v>250.31277422753283</v>
      </c>
      <c r="CZ116" s="59">
        <f t="shared" si="191"/>
        <v>159.20429420478047</v>
      </c>
      <c r="DA116" s="15">
        <f>IF(ISNA(VLOOKUP(A116,'Données projet'!$A$149:$I$169,3,0)),0,VLOOKUP(A116,'Données projet'!$A$149:$I$169,3,0))</f>
        <v>9</v>
      </c>
      <c r="DB116" s="15">
        <f>IF(ISNA(VLOOKUP(A116,'Données projet'!$A$149:$I$169,4,0)),0,VLOOKUP(A116,'Données projet'!$A$149:$I$169,4,0))</f>
        <v>31.602564102564099</v>
      </c>
      <c r="DC116" s="16">
        <f>IF(ISNA(VLOOKUP(A116,'Données projet'!$A$149:$I$169,5,0)),0%,VLOOKUP(A116,'Données projet'!$A$149:$I$169,5,0)*VLOOKUP('Données projet'!$B$13,Paramètres!$A$1:$I$89,7,0))</f>
        <v>0.30099999999999999</v>
      </c>
      <c r="DD116" s="16">
        <f>IF(ISNA(VLOOKUP(A116,'Données projet'!$A$149:$I$169,6,0)),0%,VLOOKUP(A116,'Données projet'!$A$149:$I$169,6,0)*VLOOKUP('Données projet'!$B$13,Paramètres!$A$1:$I$89,7,0))</f>
        <v>0</v>
      </c>
      <c r="DE116" s="16">
        <f>IF(ISNA(VLOOKUP(A116,'Données projet'!$A$149:$I$169,7,0)),0%,VLOOKUP(A116,'Données projet'!$A$149:$I$169,7,0))</f>
        <v>0</v>
      </c>
      <c r="DF116" s="21">
        <f>EXP(-LN(2)/35)*DF115+(1-EXP(-LN(2)/35))/(LN(2)/35)*DB116*DC116*VLOOKUP('Données projet'!$B$13,Paramètres!$A$1:$I$89,3,0)*0.475*44/12</f>
        <v>40.010341653840101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134"/>
        <v>40.010341653840101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projet'!$A$175:$I$195,2,0)</f>
        <v>#N/A</v>
      </c>
      <c r="DM116" s="12" t="e">
        <f>VLOOKUP(A116,'Données projet'!$A$175:$I$195,9,0)</f>
        <v>#N/A</v>
      </c>
      <c r="DN116" s="12">
        <f t="array" ref="DN116">INDEX(DM:DM,MIN(IF(ISNUMBER(DM116:DM312),ROW(DM116:DM312),"")))</f>
        <v>0</v>
      </c>
      <c r="DO116" s="12">
        <f>IF('Données projet'!$A$176&gt;35,DO115+DN116-DW115,IF(A116&lt;'Données projet'!$A$176,$DL$205^A116,IF(A116='Données projet'!$A$176,'Données projet'!$B$176,DO115+DN116-DW115)))</f>
        <v>-2.8421709430404007E-13</v>
      </c>
      <c r="DP116" s="17">
        <f>DO116*VLOOKUP('Données projet'!$B$14,Paramètres!$A$1:$I$89,3,0)*VLOOKUP('Données projet'!$B$14,Paramètres!$A$1:$I$89,5,0)</f>
        <v>-2.0838797354372215E-13</v>
      </c>
      <c r="DQ116" s="13" t="e">
        <f t="shared" si="192"/>
        <v>#NUM!</v>
      </c>
      <c r="DR116" s="20" t="e">
        <f t="shared" si="135"/>
        <v>#NUM!</v>
      </c>
      <c r="DS116" s="59" t="e">
        <f t="shared" si="136"/>
        <v>#NUM!</v>
      </c>
      <c r="DT116" s="59">
        <f ca="1">AVERAGE(OFFSET($DS$3,0,0,'Données projet'!$E$14+1,1))-AVERAGE(OFFSET($H$3,0,0,'Données projet'!$E$14+1,1))</f>
        <v>296.91321813251051</v>
      </c>
      <c r="DU116" s="59">
        <f t="shared" si="193"/>
        <v>291.0718079639509</v>
      </c>
      <c r="DV116" s="15">
        <f>IF(ISNA(VLOOKUP(A116,'Données projet'!$A$175:$I$195,3,0)),0,VLOOKUP(A116,'Données projet'!$A$175:$I$195,3,0))</f>
        <v>0</v>
      </c>
      <c r="DW116" s="15">
        <f>IF(ISNA(VLOOKUP(A116,'Données projet'!$A$175:$I$195,4,0)),0,VLOOKUP(A116,'Données projet'!$A$175:$I$195,4,0))</f>
        <v>0</v>
      </c>
      <c r="DX116" s="16">
        <f>IF(ISNA(VLOOKUP(A116,'Données projet'!$A$175:$I$195,5,0)),0%,VLOOKUP(A116,'Données projet'!$A$175:$I$195,5,0)*VLOOKUP('Données projet'!$B$14,Paramètres!$A$1:$I$89,7,0))</f>
        <v>0</v>
      </c>
      <c r="DY116" s="16">
        <f>IF(ISNA(VLOOKUP(A116,'Données projet'!$A$175:$I$195,6,0)),0%,VLOOKUP(A116,'Données projet'!$A$175:$I$195,6,0)*VLOOKUP('Données projet'!$B$14,Paramètres!$A$1:$I$89,7,0))</f>
        <v>0</v>
      </c>
      <c r="DZ116" s="16">
        <f>IF(ISNA(VLOOKUP(A116,'Données projet'!$A$175:$I$195,7,0)),0%,VLOOKUP(A116,'Données projet'!$A$175:$I$195,7,0))</f>
        <v>0</v>
      </c>
      <c r="EA116" s="21">
        <f>EXP(-LN(2)/35)*EA115+(1-EXP(-LN(2)/35))/(LN(2)/35)*DW116*DX116*VLOOKUP('Données projet'!$B$14,Paramètres!$A$1:$I$89,3,0)*0.475*44/12</f>
        <v>90.233329677534385</v>
      </c>
      <c r="EB116" s="21">
        <f>EXP(-LN(2)/25)*EB115+(1-EXP(-LN(2)/25))/(LN(2)/25)*Calculateur!DW116*Calculateur!DY116*VLOOKUP('Données projet'!$B$14,Paramètres!$A$1:$I$89,3,0)*0.475*44/12</f>
        <v>2.1448139734807969</v>
      </c>
      <c r="EC116" s="21">
        <f>EXP(-LN(2)/2)*EC115+(1-EXP(-LN(2)/2))/(LN(2)/2)*DW116*DZ116*VLOOKUP('Données projet'!$B$14,Paramètres!$A$1:$I$89,3,0)*0.475*44/12</f>
        <v>0</v>
      </c>
      <c r="ED116" s="22">
        <f t="shared" si="137"/>
        <v>92.378143651015179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projet'!$A$201:$I$221,2,0)</f>
        <v>#N/A</v>
      </c>
      <c r="EH116" s="12" t="e">
        <f>VLOOKUP(A116,'Données projet'!$A$201:$I$221,9,0)</f>
        <v>#N/A</v>
      </c>
      <c r="EI116" s="12">
        <f t="array" ref="EI116">INDEX(EH:EH,MIN(IF(ISNUMBER(EH116:EH312),ROW(EH116:EH312),"")))</f>
        <v>0</v>
      </c>
      <c r="EJ116" s="12">
        <f>IF('Données projet'!$A$202&gt;35,EJ115+EI116-ER115,IF(A116&lt;'Données projet'!$A$202,$EG$205^A116,IF(A116='Données projet'!$A$202,'Données projet'!$B$202,EJ115+EI116-ER115)))</f>
        <v>5.1159076974727213E-13</v>
      </c>
      <c r="EK116" s="17">
        <f>EJ116*VLOOKUP('Données projet'!$B$15,Paramètres!$A$1:$I$89,3,0)*VLOOKUP('Données projet'!$B$15,Paramètres!$A$1:$I$89,5,0)</f>
        <v>2.3942448024172334E-13</v>
      </c>
      <c r="EL116" s="13">
        <f t="shared" si="194"/>
        <v>3.2492669905861755E-12</v>
      </c>
      <c r="EM116" s="20">
        <f t="shared" si="138"/>
        <v>6.0761376450252565E-12</v>
      </c>
      <c r="EN116" s="59">
        <f t="shared" si="139"/>
        <v>293.3333333333394</v>
      </c>
      <c r="EO116" s="59">
        <f ca="1">AVERAGE(OFFSET($EN$3,0,0,'Données projet'!$E$15+1,1))-AVERAGE(OFFSET($H$3,0,0,'Données projet'!$E$15+1,1))</f>
        <v>147.64256291235483</v>
      </c>
      <c r="EP116" s="59">
        <f t="shared" si="195"/>
        <v>70.859031694091868</v>
      </c>
      <c r="EQ116" s="15">
        <f>IF(ISNA(VLOOKUP(A116,'Données projet'!$A$201:$I$221,3,0)),0,VLOOKUP(A116,'Données projet'!$A$201:$I$221,3,0))</f>
        <v>0</v>
      </c>
      <c r="ER116" s="15">
        <f>IF(ISNA(VLOOKUP(A116,'Données projet'!$A$201:$I$221,4,0)),0,VLOOKUP(A116,'Données projet'!$A$201:$I$221,4,0))</f>
        <v>0</v>
      </c>
      <c r="ES116" s="16">
        <f>IF(ISNA(VLOOKUP(A116,'Données projet'!$A$201:$I$221,5,0)),0%,VLOOKUP(A116,'Données projet'!$A$201:$I$221,5,0)*VLOOKUP('Données projet'!$B$15,Paramètres!$A$1:$I$89,7,0))</f>
        <v>0</v>
      </c>
      <c r="ET116" s="16">
        <f>IF(ISNA(VLOOKUP(A116,'Données projet'!$A$201:$I$221,6,0)),0%,VLOOKUP(A116,'Données projet'!$A$201:$I$221,6,0)*VLOOKUP('Données projet'!$B$15,Paramètres!$A$1:$I$89,7,0))</f>
        <v>0</v>
      </c>
      <c r="EU116" s="16">
        <f>IF(ISNA(VLOOKUP(A116,'Données projet'!$A$201:$I$221,7,0)),0%,VLOOKUP(A116,'Données projet'!$A$201:$I$221,7,0))</f>
        <v>0</v>
      </c>
      <c r="EV116" s="21">
        <f>EXP(-LN(2)/35)*EV115+(1-EXP(-LN(2)/35))/(LN(2)/35)*ER116*ES116*VLOOKUP('Données projet'!$B$15,Paramètres!$A$1:$I$89,3,0)*0.475*44/12</f>
        <v>123.53085066203198</v>
      </c>
      <c r="EW116" s="21">
        <f>EXP(-LN(2)/25)*EW115+(1-EXP(-LN(2)/25))/(LN(2)/25)*Calculateur!ER116*Calculateur!ET116*VLOOKUP('Données projet'!$B$15,Paramètres!$A$1:$I$89,3,0)*0.475*44/12</f>
        <v>29.757133018489437</v>
      </c>
      <c r="EX116" s="21">
        <f>EXP(-LN(2)/2)*EX115+(1-EXP(-LN(2)/2))/(LN(2)/2)*ER116*EU116*VLOOKUP('Données projet'!$B$15,Paramètres!$A$1:$I$89,3,0)*0.475*44/12</f>
        <v>4.5871723311783388</v>
      </c>
      <c r="EY116" s="22">
        <f t="shared" si="140"/>
        <v>157.87515601169977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projet'!$A$227:$I$247,2,0)</f>
        <v>#N/A</v>
      </c>
      <c r="FC116" s="12" t="e">
        <f>VLOOKUP(A116,'Données projet'!$A$227:$I$247,9,0)</f>
        <v>#N/A</v>
      </c>
      <c r="FD116" s="12">
        <f t="array" ref="FD116">INDEX(FC:FC,MIN(IF(ISNUMBER(FC116:FC312),ROW(FC116:FC312),"")))</f>
        <v>0</v>
      </c>
      <c r="FE116" s="12">
        <f>IF('Données projet'!$A$228&gt;35,FE115+FD116-FM115,IF(A116&lt;'Données projet'!$A$228,$FB$205^A116,IF(A116='Données projet'!$A$228,'Données projet'!$B$228,FE115+FD116-FM115)))</f>
        <v>8.5265128291212022E-14</v>
      </c>
      <c r="FF116" s="17">
        <f>FE116*VLOOKUP('Données projet'!$B$16,Paramètres!$A$1:$I$89,3,0)*VLOOKUP('Données projet'!$B$16,Paramètres!$A$1:$I$89,5,0)</f>
        <v>8.9119112089974823E-14</v>
      </c>
      <c r="FG116" s="13">
        <f t="shared" si="196"/>
        <v>1.3568952080113142E-12</v>
      </c>
      <c r="FH116" s="20">
        <f t="shared" si="141"/>
        <v>2.5184749408430782E-12</v>
      </c>
      <c r="FI116" s="59">
        <f t="shared" si="142"/>
        <v>293.33333333333582</v>
      </c>
      <c r="FJ116" s="59">
        <f ca="1">AVERAGE(OFFSET($FI$3,0,0,'Données projet'!$E$16+1,1))-AVERAGE(OFFSET($H$3,0,0,'Données projet'!$E$16+1,1))</f>
        <v>259.03906550253788</v>
      </c>
      <c r="FK116" s="59">
        <f t="shared" si="197"/>
        <v>235.54542903570831</v>
      </c>
      <c r="FL116" s="15">
        <f>IF(ISNA(VLOOKUP(A116,'Données projet'!$A$227:$I$247,3,0)),0,VLOOKUP(A116,'Données projet'!$A$227:$I$247,3,0))</f>
        <v>0</v>
      </c>
      <c r="FM116" s="15">
        <f>IF(ISNA(VLOOKUP(A116,'Données projet'!$A$227:$I$247,4,0)),0,VLOOKUP(A116,'Données projet'!$A$227:$I$247,4,0))</f>
        <v>0</v>
      </c>
      <c r="FN116" s="16">
        <f>IF(ISNA(VLOOKUP(A116,'Données projet'!$A$227:$I$247,5,0)),0%,VLOOKUP(A116,'Données projet'!$A$227:$I$247,5,0)*VLOOKUP('Données projet'!$B$16,Paramètres!$A$1:$I$89,7,0))</f>
        <v>0</v>
      </c>
      <c r="FO116" s="16">
        <f>IF(ISNA(VLOOKUP(A116,'Données projet'!$A$227:$I$247,6,0)),0%,VLOOKUP(A116,'Données projet'!$A$227:$I$247,6,0)*VLOOKUP('Données projet'!$B$16,Paramètres!$A$1:$I$89,7,0))</f>
        <v>0</v>
      </c>
      <c r="FP116" s="16">
        <f>IF(ISNA(VLOOKUP(A116,'Données projet'!$A$227:$I$247,7,0)),0%,VLOOKUP(A116,'Données projet'!$A$227:$I$247,7,0))</f>
        <v>0</v>
      </c>
      <c r="FQ116" s="21">
        <f>EXP(-LN(2)/35)*FQ115+(1-EXP(-LN(2)/35))/(LN(2)/35)*FM116*FN116*VLOOKUP('Données projet'!$B$16,Paramètres!$A$1:$I$89,3,0)*0.475*44/12</f>
        <v>54.523160296461747</v>
      </c>
      <c r="FR116" s="21">
        <f>EXP(-LN(2)/25)*FR115+(1-EXP(-LN(2)/25))/(LN(2)/25)*Calculateur!FM116*Calculateur!FO116*VLOOKUP('Données projet'!$B$16,Paramètres!$A$1:$I$89,3,0)*0.475*44/12</f>
        <v>40.936133761211188</v>
      </c>
      <c r="FS116" s="21">
        <f>EXP(-LN(2)/2)*FS115+(1-EXP(-LN(2)/2))/(LN(2)/2)*FM116*FP116*VLOOKUP('Données projet'!$B$16,Paramètres!$A$1:$I$89,3,0)*0.475*44/12</f>
        <v>0</v>
      </c>
      <c r="FT116" s="22">
        <f t="shared" si="143"/>
        <v>95.459294057672935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projet'!$A$253:$I$273,2,0)</f>
        <v>#N/A</v>
      </c>
      <c r="FX116" s="12" t="e">
        <f>VLOOKUP(A116,'Données projet'!$A$253:$I$273,9,0)</f>
        <v>#N/A</v>
      </c>
      <c r="FY116" s="12">
        <f t="array" ref="FY116">INDEX(FX:FX,MIN(IF(ISNUMBER(FX116:FX312),ROW(FX116:FX312),"")))</f>
        <v>0</v>
      </c>
      <c r="FZ116" s="12">
        <f>IF('Données projet'!$A$254&gt;35,FZ115+FY116-GH115,IF(A116&lt;'Données projet'!$A$254,$FW$205^A116,IF(A116='Données projet'!$A$254,'Données projet'!$B$254,FZ115+FY116-GH115)))</f>
        <v>-1.7053025658242404E-13</v>
      </c>
      <c r="GA116" s="17">
        <f>FZ116*VLOOKUP('Données projet'!$B$17,Paramètres!$A$1:$I$89,3,0)*VLOOKUP('Données projet'!$B$17,Paramètres!$A$1:$I$89,5,0)</f>
        <v>-1.4897523215040567E-13</v>
      </c>
      <c r="GB116" s="13" t="e">
        <f t="shared" si="198"/>
        <v>#NUM!</v>
      </c>
      <c r="GC116" s="20" t="e">
        <f t="shared" si="144"/>
        <v>#NUM!</v>
      </c>
      <c r="GD116" s="59" t="e">
        <f t="shared" si="145"/>
        <v>#NUM!</v>
      </c>
      <c r="GE116" s="59">
        <f ca="1">AVERAGE(OFFSET($GD$3,0,0,'Données projet'!$E$17+1,1))-AVERAGE(OFFSET($H$3,0,0,'Données projet'!$E$17+1,1))</f>
        <v>245.1983232777614</v>
      </c>
      <c r="GF116" s="59">
        <f t="shared" si="199"/>
        <v>242.34010522344573</v>
      </c>
      <c r="GG116" s="15">
        <f>IF(ISNA(VLOOKUP(A116,'Données projet'!$A$253:$I$273,3,0)),0,VLOOKUP(A116,'Données projet'!$A$253:$I$273,3,0))</f>
        <v>0</v>
      </c>
      <c r="GH116" s="15">
        <f>IF(ISNA(VLOOKUP(A116,'Données projet'!$A$253:$I$273,4,0)),0,VLOOKUP(A116,'Données projet'!$A$253:$I$273,4,0))</f>
        <v>0</v>
      </c>
      <c r="GI116" s="16">
        <f>IF(ISNA(VLOOKUP(A116,'Données projet'!$A$253:$I$273,5,0)),0%,VLOOKUP(A116,'Données projet'!$A$253:$I$273,5,0)*VLOOKUP('Données projet'!$B$17,Paramètres!$A$1:$I$89,7,0))</f>
        <v>0</v>
      </c>
      <c r="GJ116" s="16">
        <f>IF(ISNA(VLOOKUP(A116,'Données projet'!$A$253:$I$273,6,0)),0%,VLOOKUP(A116,'Données projet'!$A$253:$I$273,6,0)*VLOOKUP('Données projet'!$B$17,Paramètres!$A$1:$I$89,7,0))</f>
        <v>0</v>
      </c>
      <c r="GK116" s="16">
        <f>IF(ISNA(VLOOKUP(A116,'Données projet'!$A$253:$I$273,7,0)),0%,VLOOKUP(A116,'Données projet'!$A$253:$I$273,7,0))</f>
        <v>0</v>
      </c>
      <c r="GL116" s="21">
        <f>EXP(-LN(2)/35)*GL115+(1-EXP(-LN(2)/35))/(LN(2)/35)*GH116*GI116*VLOOKUP('Données projet'!$B$17,Paramètres!$A$1:$I$89,3,0)*0.475*44/12</f>
        <v>64.099455631313731</v>
      </c>
      <c r="GM116" s="21">
        <f>EXP(-LN(2)/25)*GM115+(1-EXP(-LN(2)/25))/(LN(2)/25)*Calculateur!GH116*Calculateur!GJ116*VLOOKUP('Données projet'!$B$17,Paramètres!$A$1:$I$89,3,0)*0.475*44/12</f>
        <v>8.7224928334116143</v>
      </c>
      <c r="GN116" s="21">
        <f>EXP(-LN(2)/2)*GN115+(1-EXP(-LN(2)/2))/(LN(2)/2)*GH116*GK116*VLOOKUP('Données projet'!$B$17,Paramètres!$A$1:$I$89,3,0)*0.475*44/12</f>
        <v>0</v>
      </c>
      <c r="GO116" s="21">
        <f t="shared" si="146"/>
        <v>72.821948464725352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projet'!$A$279:$I$299,2,0)</f>
        <v>#N/A</v>
      </c>
      <c r="GS116" s="12" t="e">
        <f>VLOOKUP(A116,'Données projet'!$A$279:$I$299,9,0)</f>
        <v>#N/A</v>
      </c>
      <c r="GT116" s="12">
        <f t="array" ref="GT116">INDEX(GS:GS,MIN(IF(ISNUMBER(GS116:GS312),ROW(GS116:GS312),"")))</f>
        <v>0</v>
      </c>
      <c r="GU116" s="12">
        <f>IF('Données projet'!$A$280&gt;35,GU115+GT116-HC115,IF(A116&lt;'Données projet'!$A$280,$GR$205^A116,IF(A116='Données projet'!$A$280,'Données projet'!$B$280,GU115+GT116-HC115)))</f>
        <v>-1.1368683772161603E-13</v>
      </c>
      <c r="GV116" s="17">
        <f>GU116*VLOOKUP('Données projet'!$B$18,Paramètres!$A$1:$I$89,3,0)*VLOOKUP('Données projet'!$B$18,Paramètres!$A$1:$I$89,5,0)</f>
        <v>-4.5815795601811263E-14</v>
      </c>
      <c r="GW116" s="13" t="e">
        <f t="shared" si="200"/>
        <v>#NUM!</v>
      </c>
      <c r="GX116" s="20" t="e">
        <f t="shared" si="147"/>
        <v>#NUM!</v>
      </c>
      <c r="GY116" s="59" t="e">
        <f t="shared" si="148"/>
        <v>#NUM!</v>
      </c>
      <c r="GZ116" s="59">
        <f ca="1">AVERAGE(OFFSET($GY$3,0,0,'Données projet'!$E$18+1,1))-AVERAGE(OFFSET($H$3,0,0,'Données projet'!$E$18+1,1))</f>
        <v>324.36162935850876</v>
      </c>
      <c r="HA116" s="59">
        <f t="shared" si="201"/>
        <v>265.23571072429735</v>
      </c>
      <c r="HB116" s="15">
        <f>IF(ISNA(VLOOKUP(A116,'Données projet'!$A$279:$I$299,3,0)),0,VLOOKUP(A116,'Données projet'!$A$279:$I$299,3,0))</f>
        <v>0</v>
      </c>
      <c r="HC116" s="15">
        <f>IF(ISNA(VLOOKUP(A116,'Données projet'!$A$279:$I$299,4,0)),0,VLOOKUP(A116,'Données projet'!$A$279:$I$299,4,0))</f>
        <v>0</v>
      </c>
      <c r="HD116" s="16">
        <f>IF(ISNA(VLOOKUP(A116,'Données projet'!$A$279:$I$299,5,0)),0%,VLOOKUP(A116,'Données projet'!$A$279:$I$299,5,0)*VLOOKUP('Données projet'!$B$18,Paramètres!$A$1:$I$89,7,0))</f>
        <v>0</v>
      </c>
      <c r="HE116" s="16">
        <f>IF(ISNA(VLOOKUP(A116,'Données projet'!$A$279:$I$299,6,0)),0%,VLOOKUP(A116,'Données projet'!$A$279:$I$299,6,0)*VLOOKUP('Données projet'!$B$18,Paramètres!$A$1:$I$89,7,0))</f>
        <v>0</v>
      </c>
      <c r="HF116" s="16">
        <f>IF(ISNA(VLOOKUP($A116,'Données projet'!$A$279:$I$299,7,0)),0%,VLOOKUP($A116,'Données projet'!$A$279:$I$299,7,0))</f>
        <v>0</v>
      </c>
      <c r="HG116" s="21">
        <f>EXP(-LN(2)/35)*HG115+(1-EXP(-LN(2)/35))/(LN(2)/35)*HC116*HD116*VLOOKUP('Données projet'!$B$18,Paramètres!$A$1:$I$89,3,0)*0.475*44/12</f>
        <v>122.83131379302009</v>
      </c>
      <c r="HH116" s="21">
        <f>EXP(-LN(2)/25)*HH115+(1-EXP(-LN(2)/25))/(LN(2)/25)*Calculateur!HC116*Calculateur!HE116*VLOOKUP('Données projet'!$B$18,Paramètres!$A$1:$I$89,3,0)*0.475*44/12</f>
        <v>9.7009721886327451</v>
      </c>
      <c r="HI116" s="21">
        <f>EXP(-LN(2)/2)*HI115+(1-EXP(-LN(2)/2))/(LN(2)/2)*HC116*HF116*VLOOKUP('Données projet'!$B$18,Paramètres!$A$1:$I$89,3,0)*0.475*44/12</f>
        <v>9.2220915919892076E-5</v>
      </c>
      <c r="HJ116" s="22">
        <f t="shared" si="149"/>
        <v>132.53237820256874</v>
      </c>
      <c r="HK116" s="74">
        <f>('Scénario référence'!$F$8+'Scénario référence'!$F$9+'Scénario référence'!$B$17+'Scénario référence'!$B$9+'Scénario référence'!$B$10)*70+IF((45+25*(1-EXP(-0.0175*$A116)))&lt;70,'Scénario référence'!$B$16*(45+25*(1-EXP(-0.0175*$A116))),70*'Scénario référence'!$B$16)+IF((32+38*(1-EXP(-0.0175*$A116)))&lt;70,'Scénario référence'!$B$18*(32+38*(1-EXP(-0.0175*$A116))),70*'Scénario référence'!$B$18)</f>
        <v>70</v>
      </c>
      <c r="HL116" s="12">
        <f>IF($A116&gt;30,10,('Scénario référence'!$B$16+'Scénario référence'!$B$17+'Scénario référence'!$B$18+'Scénario référence'!$B$9+'Scénario référence'!$B$10)*$A116*10/30+('Scénario référence'!$F$8+'Scénario référence'!$F$9)*10)</f>
        <v>10</v>
      </c>
      <c r="HM116" s="12" t="e">
        <f>VLOOKUP($A116,'Données projet'!$A$304:$I$324,2,0)</f>
        <v>#N/A</v>
      </c>
      <c r="HN116" s="12" t="e">
        <f>VLOOKUP($A116,'Données projet'!$A$304:$I$324,9,0)</f>
        <v>#N/A</v>
      </c>
      <c r="HO116" s="12">
        <f t="array" ref="HO116">INDEX(HN:HN,MIN(IF(ISNUMBER(HN116:HN312),ROW(HN116:HN312),"")))</f>
        <v>0</v>
      </c>
      <c r="HP116" s="12">
        <f>IF('Données projet'!$A$304&gt;35,HP115+HO116-HX115,IF($A116&lt;'Données projet'!$A$304,$CQ$205^$A116,IF($A116='Données projet'!$A$304,'Données projet'!$B$304,HP115+HO116-HX115)))</f>
        <v>0</v>
      </c>
      <c r="HQ116" s="17">
        <f>HP116*VLOOKUP('Données projet'!$B$19,Paramètres!$A$1:$I$89,3,0)*VLOOKUP('Données projet'!$B$19,Paramètres!$A$1:$I$89,5,0)</f>
        <v>0</v>
      </c>
      <c r="HR116" s="13" t="e">
        <f t="shared" si="202"/>
        <v>#NUM!</v>
      </c>
      <c r="HS116" s="14" t="e">
        <f t="shared" si="150"/>
        <v>#NUM!</v>
      </c>
      <c r="HT116" s="59" t="e">
        <f t="shared" si="151"/>
        <v>#NUM!</v>
      </c>
      <c r="HU116" s="59">
        <f ca="1">AVERAGE(OFFSET(HT$3,0,0,'Données projet'!$E$19+1,1))-AVERAGE(OFFSET($H$3,0,0,'Données projet'!$E$19+1,1))</f>
        <v>91.60721429656013</v>
      </c>
      <c r="HV116" s="59">
        <f t="shared" si="203"/>
        <v>258.94957804210856</v>
      </c>
      <c r="HW116" s="15">
        <f>IF(ISNA(VLOOKUP($A116,'Données projet'!$A$304:$I$324,3,0)),0,VLOOKUP($A116,'Données projet'!$A$304:$I$324,3,0))</f>
        <v>0</v>
      </c>
      <c r="HX116" s="15">
        <f>IF(ISNA(VLOOKUP($A116,'Données projet'!$A$304:$I$324,4,0)),0,VLOOKUP($A116,'Données projet'!$A$304:$I$324,4,0))</f>
        <v>0</v>
      </c>
      <c r="HY116" s="16">
        <f>IF(ISNA(VLOOKUP($A116,'Données projet'!$A$304:$I$324,5,0)),0%,VLOOKUP($A116,'Données projet'!$A$304:$I$324,5,0)*VLOOKUP('Données projet'!$B$19,Paramètres!$A$1:$I$89,7,0))</f>
        <v>0</v>
      </c>
      <c r="HZ116" s="16">
        <f>IF(ISNA(VLOOKUP($A116,'Données projet'!$A$304:$I$324,6,0)),0%,VLOOKUP($A116,'Données projet'!$A$304:$I$324,6,0)*VLOOKUP('Données projet'!$B$19,Paramètres!$A$1:$I$89,7,0))</f>
        <v>0</v>
      </c>
      <c r="IA116" s="16">
        <f>IF(ISNA(VLOOKUP($A116,'Données projet'!$A$304:$I$324,7,0)),0%,VLOOKUP($A116,'Données projet'!$A$304:$I$324,7,0))</f>
        <v>0</v>
      </c>
      <c r="IB116" s="21">
        <f>EXP(-LN(2)/35)*IB115+(1-EXP(-LN(2)/35))/(LN(2)/35)*HX116*HY116*VLOOKUP('Données projet'!$B$19,Paramètres!$A$1:$I$89,3,0)*0.475*44/12</f>
        <v>9.5337507630651182</v>
      </c>
      <c r="IC116" s="21">
        <f>EXP(-LN(2)/25)*IC115+(1-EXP(-LN(2)/25))/(LN(2)/25)*Calculateur!HX116*Calculateur!HZ116*VLOOKUP('Données projet'!$B$19,Paramètres!$A$1:$I$89,3,0)*0.475*44/12</f>
        <v>0.97407360221008676</v>
      </c>
      <c r="ID116" s="21">
        <f>EXP(-LN(2)/2)*ID115+(1-EXP(-LN(2)/2))/(LN(2)/2)*HX116*IA116*VLOOKUP('Données projet'!$B$19,Paramètres!$A$1:$I$89,3,0)*0.475*44/12</f>
        <v>1.8420348817587939E-13</v>
      </c>
      <c r="IE116" s="22">
        <f t="shared" si="152"/>
        <v>10.50782436527539</v>
      </c>
      <c r="IF116" s="74">
        <f>('Scénario référence'!$F$8+'Scénario référence'!$F$9+'Scénario référence'!$B$17+'Scénario référence'!$B$9+'Scénario référence'!$B$10)*70+IF((45+25*(1-EXP(-0.0175*$A116)))&lt;70,'Scénario référence'!$B$16*(45+25*(1-EXP(-0.0175*$A116))),70*'Scénario référence'!$B$16)+IF((32+38*(1-EXP(-0.0175*$A116)))&lt;70,'Scénario référence'!$B$18*(32+38*(1-EXP(-0.0175*$A116))),70*'Scénario référence'!$B$18)</f>
        <v>70</v>
      </c>
      <c r="IG116" s="12">
        <f>IF($A116&gt;30,10,('Scénario référence'!$B$16+'Scénario référence'!$B$17+'Scénario référence'!$B$18+'Scénario référence'!$B$9+'Scénario référence'!$B$10)*$A116*10/30+('Scénario référence'!$F$8+'Scénario référence'!$F$9)*10)</f>
        <v>10</v>
      </c>
      <c r="IH116" s="12" t="e">
        <f>VLOOKUP($A116,'Données projet'!$A$330:$I$350,2,0)</f>
        <v>#N/A</v>
      </c>
      <c r="II116" s="12" t="e">
        <f>VLOOKUP($A116,'Données projet'!$A$330:$I$350,9,0)</f>
        <v>#N/A</v>
      </c>
      <c r="IJ116" s="12">
        <f t="array" ref="IJ116">INDEX(II:II,MIN(IF(ISNUMBER(II116:II312),ROW(II116:II312),"")))</f>
        <v>0</v>
      </c>
      <c r="IK116" s="12">
        <f>IF('Données projet'!$A$330&gt;35,IK115+IJ116-IS115,IF($A116&lt;'Données projet'!$A$330,$CQ$205^$A116,IF($A116='Données projet'!$A$330,'Données projet'!$B$330,IK115+IJ116-IS115)))</f>
        <v>0</v>
      </c>
      <c r="IL116" s="17">
        <f>IK116*VLOOKUP('Données projet'!$B$20,Paramètres!$A$1:$I$89,3,0)*VLOOKUP('Données projet'!$B$20,Paramètres!$A$1:$I$89,5,0)</f>
        <v>0</v>
      </c>
      <c r="IM116" s="13" t="e">
        <f t="shared" si="204"/>
        <v>#NUM!</v>
      </c>
      <c r="IN116" s="20" t="e">
        <f t="shared" si="153"/>
        <v>#NUM!</v>
      </c>
      <c r="IO116" s="59" t="e">
        <f t="shared" si="154"/>
        <v>#NUM!</v>
      </c>
      <c r="IP116" s="59">
        <f ca="1">AVERAGE(OFFSET(IO$3,0,0,'Données projet'!$E$20+1,1))-AVERAGE(OFFSET($H$3,0,0,'Données projet'!$E$20+1,1))</f>
        <v>91.60721429656013</v>
      </c>
      <c r="IQ116" s="59">
        <f t="shared" si="205"/>
        <v>258.94957804210856</v>
      </c>
      <c r="IR116" s="15">
        <f>IF(ISNA(VLOOKUP($A116,'Données projet'!$A$330:$I$350,3,0)),0,VLOOKUP($A116,'Données projet'!$A$330:$I$350,3,0))</f>
        <v>0</v>
      </c>
      <c r="IS116" s="15">
        <f>IF(ISNA(VLOOKUP($A116,'Données projet'!$A$330:$I$350,4,0)),0,VLOOKUP($A116,'Données projet'!$A$330:$I$350,4,0))</f>
        <v>0</v>
      </c>
      <c r="IT116" s="16">
        <f>IF(ISNA(VLOOKUP($A116,'Données projet'!$A$330:$I$350,5,0)),0%,VLOOKUP($A116,'Données projet'!$A$330:$I$350,5,0)*VLOOKUP('Données projet'!$B$20,Paramètres!$A$1:$I$89,7,0))</f>
        <v>0</v>
      </c>
      <c r="IU116" s="16">
        <f>IF(ISNA(VLOOKUP($A116,'Données projet'!$A$330:$I$350,6,0)),0%,VLOOKUP($A116,'Données projet'!$A$330:$I$350,6,0)*VLOOKUP('Données projet'!$B$20,Paramètres!$A$1:$I$89,7,0))</f>
        <v>0</v>
      </c>
      <c r="IV116" s="16">
        <f>IF(ISNA(VLOOKUP($A116,'Données projet'!$A$330:$I$350,7,0)),0%,VLOOKUP($A116,'Données projet'!$A$330:$I$350,7,0))</f>
        <v>0</v>
      </c>
      <c r="IW116" s="21">
        <f>EXP(-LN(2)/35)*IW115+(1-EXP(-LN(2)/35))/(LN(2)/35)*IS116*IT116*VLOOKUP('Données projet'!$B$20,Paramètres!$A$1:$I$89,3,0)*0.475*44/12</f>
        <v>9.5337507630651182</v>
      </c>
      <c r="IX116" s="21">
        <f>EXP(-LN(2)/25)*IX115+(1-EXP(-LN(2)/25))/(LN(2)/25)*Calculateur!IS116*Calculateur!IU116*VLOOKUP('Données projet'!$B$20,Paramètres!$A$1:$I$89,3,0)*0.475*44/12</f>
        <v>0.97407360221008676</v>
      </c>
      <c r="IY116" s="21">
        <f>EXP(-LN(2)/2)*IY115+(1-EXP(-LN(2)/2))/(LN(2)/2)*IS116*IV116*VLOOKUP('Données projet'!$B$20,Paramètres!$A$1:$I$89,3,0)*0.475*44/12</f>
        <v>1.8420348817587939E-13</v>
      </c>
      <c r="IZ116" s="22">
        <f t="shared" si="155"/>
        <v>10.50782436527539</v>
      </c>
      <c r="JA116" s="74">
        <f>('Scénario référence'!$F$8+'Scénario référence'!$F$9+'Scénario référence'!$B$17+'Scénario référence'!$B$9+'Scénario référence'!$B$10)*70+IF((45+25*(1-EXP(-0.0175*$A116)))&lt;70,'Scénario référence'!$B$16*(45+25*(1-EXP(-0.0175*$A116))),70*'Scénario référence'!$B$16)+IF((32+38*(1-EXP(-0.0175*$A116)))&lt;70,'Scénario référence'!$B$18*(32+38*(1-EXP(-0.0175*$A116))),70*'Scénario référence'!$B$18)</f>
        <v>70</v>
      </c>
      <c r="JB116" s="12">
        <f>IF($A116&gt;30,10,('Scénario référence'!$B$16+'Scénario référence'!$B$17+'Scénario référence'!$B$18+'Scénario référence'!$B$9+'Scénario référence'!$B$10)*$A116*10/30+('Scénario référence'!$F$8+'Scénario référence'!$F$9)*10)</f>
        <v>10</v>
      </c>
      <c r="JC116" s="12" t="e">
        <f>VLOOKUP($A116,'Données projet'!$A$356:$I$376,2,0)</f>
        <v>#N/A</v>
      </c>
      <c r="JD116" s="12" t="e">
        <f>VLOOKUP($A116,'Données projet'!$A$356:$I$376,9,0)</f>
        <v>#N/A</v>
      </c>
      <c r="JE116" s="12">
        <f t="array" ref="JE116">INDEX(JD:JD,MIN(IF(ISNUMBER(JD116:JD312),ROW(JD116:JD312),"")))</f>
        <v>2.2000000000000002</v>
      </c>
      <c r="JF116" s="12">
        <f>IF('Données projet'!$A$356&gt;35,JF115+JE116-JN115,IF($A116&lt;'Données projet'!$A$356,$CQ$205^$A116,IF($A116='Données projet'!$A$356,'Données projet'!$B$356,JF115+JE116-JN115)))</f>
        <v>402.59999999999934</v>
      </c>
      <c r="JG116" s="17">
        <f>JF116*VLOOKUP('Données projet'!$B$21,Paramètres!$A$1:$I$89,3,0)*VLOOKUP('Données projet'!$B$21,Paramètres!$A$1:$I$89,5,0)</f>
        <v>326.58911999999947</v>
      </c>
      <c r="JH116" s="13">
        <f t="shared" si="206"/>
        <v>76.722717682238567</v>
      </c>
      <c r="JI116" s="20">
        <f t="shared" si="156"/>
        <v>702.43478396323133</v>
      </c>
      <c r="JJ116" s="59">
        <f t="shared" si="157"/>
        <v>995.7681172965647</v>
      </c>
      <c r="JK116" s="59">
        <f ca="1">AVERAGE(OFFSET($JJ$3,0,0,'Données projet'!$E$22+1,1))-AVERAGE(OFFSET($H$3,0,0,'Données projet'!$E$22+1,1))</f>
        <v>353.35574633294613</v>
      </c>
      <c r="JL116" s="59">
        <f t="shared" si="207"/>
        <v>170.36796666474726</v>
      </c>
      <c r="JM116" s="15">
        <f>IF(ISNA(VLOOKUP($A116,'Données projet'!$A$356:$I$376,3,0)),0,VLOOKUP($A116,'Données projet'!$A$356:$I$376,3,0))</f>
        <v>0</v>
      </c>
      <c r="JN116" s="15">
        <f>IF(ISNA(VLOOKUP($A116,'Données projet'!$A$356:$I$376,4,0)),0,VLOOKUP($A116,'Données projet'!$A$356:$I$376,4,0))</f>
        <v>0</v>
      </c>
      <c r="JO116" s="16">
        <f>IF(ISNA(VLOOKUP($A116,'Données projet'!$A$356:$I$376,5,0)),0%,VLOOKUP($A116,'Données projet'!$A$356:$I$376,5,0)*VLOOKUP('Données projet'!$B$21,Paramètres!$A$1:$I$89,7,0))</f>
        <v>0</v>
      </c>
      <c r="JP116" s="16">
        <f>IF(ISNA(VLOOKUP($A116,'Données projet'!$A$356:$I$376,6,0)),0%,VLOOKUP($A116,'Données projet'!$A$356:$I$376,6,0)*VLOOKUP('Données projet'!$B$21,Paramètres!$A$1:$I$89,7,0))</f>
        <v>0</v>
      </c>
      <c r="JQ116" s="16">
        <f>IF(ISNA(VLOOKUP($A116,'Données projet'!$A$356:$I$376,7,0)),0%,VLOOKUP($A116,'Données projet'!$A$356:$I$376,7,0))</f>
        <v>0</v>
      </c>
      <c r="JR116" s="21">
        <f>EXP(-LN(2)/35)*JR115+(1-EXP(-LN(2)/35))/(LN(2)/35)*JN116*JO116*VLOOKUP('Données projet'!$B$21,Paramètres!$A$1:$I$89,3,0)*0.475*44/12</f>
        <v>4.7357144528196642</v>
      </c>
      <c r="JS116" s="21">
        <f>EXP(-LN(2)/25)*JS115+(1-EXP(-LN(2)/25))/(LN(2)/25)*Calculateur!JN116*Calculateur!JP116*VLOOKUP('Données projet'!$B$21,Paramètres!$A$1:$I$89,3,0)*0.475*44/12</f>
        <v>16.272876964398581</v>
      </c>
      <c r="JT116" s="21">
        <f>EXP(-LN(2)/2)*JT115+(1-EXP(-LN(2)/2))/(LN(2)/2)*JN116*JQ116*VLOOKUP('Données projet'!$B$21,Paramètres!$A$1:$I$89,3,0)*0.475*44/12</f>
        <v>1.2334023105404393</v>
      </c>
      <c r="JU116" s="18">
        <f t="shared" si="158"/>
        <v>22.241993727758683</v>
      </c>
      <c r="JV116" s="74">
        <f>('Scénario référence'!$F$8+'Scénario référence'!$F$9+'Scénario référence'!$B$17+'Scénario référence'!$B$9+'Scénario référence'!$B$10)*70+IF((45+25*(1-EXP(-0.0175*$A116)))&lt;70,'Scénario référence'!$B$16*(45+25*(1-EXP(-0.0175*$A116))),70*'Scénario référence'!$B$16)+IF((32+38*(1-EXP(-0.0175*$A116)))&lt;70,'Scénario référence'!$B$18*(32+38*(1-EXP(-0.0175*$A116))),70*'Scénario référence'!$B$18)</f>
        <v>70</v>
      </c>
      <c r="JW116" s="12">
        <f>IF($A116&gt;30,10,('Scénario référence'!$B$16+'Scénario référence'!$B$17+'Scénario référence'!$B$18+'Scénario référence'!$B$9+'Scénario référence'!$B$10)*$A116*10/30+('Scénario référence'!$F$8+'Scénario référence'!$F$9)*10)</f>
        <v>10</v>
      </c>
      <c r="JX116" s="12" t="e">
        <f>VLOOKUP($A116,'Données projet'!$A$382:$I$402,2,0)</f>
        <v>#N/A</v>
      </c>
      <c r="JY116" s="12" t="e">
        <f>VLOOKUP($A116,'Données projet'!$A$382:$I$402,9,0)</f>
        <v>#N/A</v>
      </c>
      <c r="JZ116" s="12">
        <f t="array" ref="JZ116">INDEX(JY:JY,MIN(IF(ISNUMBER(JY116:JY312),ROW(JY116:JY312),"")))</f>
        <v>6.8461538461538511</v>
      </c>
      <c r="KA116" s="12">
        <f>IF('Données projet'!$A$382&gt;35,KA115+JZ116-KI115,IF($A116&lt;'Données projet'!$A$382,$CQ$205^$A116,IF($A116='Données projet'!$A$382,'Données projet'!$B$382,KA115+JZ116-KI115)))</f>
        <v>316.26282051282084</v>
      </c>
      <c r="KB116" s="17">
        <f>KA116*VLOOKUP('Données projet'!$B$22,Paramètres!$A$1:$I$89,3,0)*VLOOKUP('Données projet'!$B$22,Paramètres!$A$1:$I$89,5,0)</f>
        <v>212.1491000000002</v>
      </c>
      <c r="KC116" s="13">
        <f t="shared" si="208"/>
        <v>52.404939461701829</v>
      </c>
      <c r="KD116" s="20">
        <f t="shared" si="159"/>
        <v>460.76495206246432</v>
      </c>
      <c r="KE116" s="59">
        <f t="shared" si="160"/>
        <v>754.09828539579757</v>
      </c>
      <c r="KF116" s="59">
        <f ca="1">AVERAGE(OFFSET($KE$3,0,0,'Données projet'!$E$22+1,1))-AVERAGE(OFFSET($H$3,0,0,'Données projet'!$E$22+1,1))</f>
        <v>193.91714772848269</v>
      </c>
      <c r="KG116" s="59">
        <f t="shared" si="209"/>
        <v>159.20429420478047</v>
      </c>
      <c r="KH116" s="15">
        <f>IF(ISNA(VLOOKUP($A116,'Données projet'!$A$382:$I$402,3,0)),0,VLOOKUP($A116,'Données projet'!$A$382:$I$402,3,0))</f>
        <v>0</v>
      </c>
      <c r="KI116" s="15">
        <f>IF(ISNA(VLOOKUP($A116,'Données projet'!$A$382:$I$402,4,0)),0,VLOOKUP($A116,'Données projet'!$A$382:$I$402,4,0))</f>
        <v>0</v>
      </c>
      <c r="KJ116" s="16">
        <f>IF(ISNA(VLOOKUP($A116,'Données projet'!$A$382:$I$402,5,0)),0%,VLOOKUP($A116,'Données projet'!$A$382:$I$402,5,0)*VLOOKUP('Données projet'!$B$22,Paramètres!$A$1:$I$89,7,0))</f>
        <v>0</v>
      </c>
      <c r="KK116" s="16">
        <f>IF(ISNA(VLOOKUP($A116,'Données projet'!$A$382:$I$402,6,0)),0%,VLOOKUP($A116,'Données projet'!$A$382:$I$402,6,0)*VLOOKUP('Données projet'!$B$22,Paramètres!$A$1:$I$89,7,0))</f>
        <v>0</v>
      </c>
      <c r="KL116" s="16">
        <f>IF(ISNA(VLOOKUP($A116,'Données projet'!$A$382:$I$402,7,0)),0%,VLOOKUP($A116,'Données projet'!$A$382:$I$402,7,0))</f>
        <v>0</v>
      </c>
      <c r="KM116" s="21">
        <f>EXP(-LN(2)/35)*KM115+(1-EXP(-LN(2)/35))/(LN(2)/35)*KI116*KJ116*VLOOKUP('Données projet'!$B$22,Paramètres!$A$1:$I$89,3,0)*0.475*44/12</f>
        <v>50.793826183515769</v>
      </c>
      <c r="KN116" s="21">
        <f>EXP(-LN(2)/25)*KN115+(1-EXP(-LN(2)/25))/(LN(2)/25)*Calculateur!KI116*Calculateur!KK116*VLOOKUP('Données projet'!$B$22,Paramètres!$A$1:$I$89,3,0)*0.475*44/12</f>
        <v>0</v>
      </c>
      <c r="KO116" s="21">
        <f>EXP(-LN(2)/2)*KO115+(1-EXP(-LN(2)/2))/(LN(2)/2)*KI116*KL116*VLOOKUP('Données projet'!$B$22,Paramètres!$A$1:$I$89,3,0)*0.475*44/12</f>
        <v>0</v>
      </c>
      <c r="KP116" s="22">
        <f t="shared" si="161"/>
        <v>50.793826183515769</v>
      </c>
      <c r="KQ116" s="74">
        <f>('Scénario référence'!$F$8+'Scénario référence'!$F$9+'Scénario référence'!$B$17+'Scénario référence'!$B$9+'Scénario référence'!$B$10)*70+IF((45+25*(1-EXP(-0.0175*$A116)))&lt;70,'Scénario référence'!$B$16*(45+25*(1-EXP(-0.0175*$A116))),70*'Scénario référence'!$B$16)+IF((32+38*(1-EXP(-0.0175*$A116)))&lt;70,'Scénario référence'!$B$18*(32+38*(1-EXP(-0.0175*$A116))),70*'Scénario référence'!$B$18)</f>
        <v>70</v>
      </c>
      <c r="KR116" s="12">
        <f>IF($A116&gt;30,10,('Scénario référence'!$B$16+'Scénario référence'!$B$17+'Scénario référence'!$B$18+'Scénario référence'!$B$9+'Scénario référence'!$B$10)*$A116*10/30+('Scénario référence'!$F$8+'Scénario référence'!$F$9)*10)</f>
        <v>10</v>
      </c>
      <c r="KS116" s="12" t="e">
        <f>VLOOKUP($A116,'Données projet'!$A$408:$I$428,2,0)</f>
        <v>#N/A</v>
      </c>
      <c r="KT116" s="12" t="e">
        <f>VLOOKUP($A116,'Données projet'!$A$408:$I$428,9,0)</f>
        <v>#N/A</v>
      </c>
      <c r="KU116" s="12">
        <f t="array" ref="KU116">INDEX(KT:KT,MIN(IF(ISNUMBER(KT116:KT312),ROW(KT116:KT312),"")))</f>
        <v>0</v>
      </c>
      <c r="KV116" s="12">
        <f>IF('Données projet'!$A$408&gt;35,KV115+KU116-LD115,IF($A116&lt;'Données projet'!$A$408,$CQ$205^$A116,IF($A116='Données projet'!$A$408,'Données projet'!$B$408,KV115+KU116-LD115)))</f>
        <v>-1.1368683772161603E-13</v>
      </c>
      <c r="KW116" s="17">
        <f>KV116*VLOOKUP('Données projet'!$B$23,Paramètres!$A$1:$I$89,3,0)*VLOOKUP('Données projet'!$B$23,Paramètres!$A$1:$I$89,5,0)</f>
        <v>-9.9316821433603781E-14</v>
      </c>
      <c r="KX116" s="13" t="e">
        <f t="shared" si="210"/>
        <v>#NUM!</v>
      </c>
      <c r="KY116" s="14" t="e">
        <f t="shared" si="162"/>
        <v>#NUM!</v>
      </c>
      <c r="KZ116" s="59" t="e">
        <f t="shared" si="163"/>
        <v>#NUM!</v>
      </c>
      <c r="LA116" s="59">
        <f ca="1">AVERAGE(OFFSET($KZ$3,0,0,'Données projet'!$E$23+1,1))-AVERAGE(OFFSET($H$3,0,0,'Données projet'!$E$23+1,1))</f>
        <v>248.33596943633819</v>
      </c>
      <c r="LB116" s="59">
        <f t="shared" si="211"/>
        <v>242.34010522344573</v>
      </c>
      <c r="LC116" s="15">
        <f>IF(ISNA(VLOOKUP($A116,'Données projet'!$A$408:$I$428,3,0)),0,VLOOKUP($A116,'Données projet'!$A$408:$I$428,3,0))</f>
        <v>0</v>
      </c>
      <c r="LD116" s="15">
        <f>IF(ISNA(VLOOKUP($A116,'Données projet'!$A$408:$I$428,4,0)),0,VLOOKUP($A116,'Données projet'!$A$408:$I$428,4,0))</f>
        <v>0</v>
      </c>
      <c r="LE116" s="16">
        <f>IF(ISNA(VLOOKUP($A116,'Données projet'!$A$408:$I$428,5,0)),0%,VLOOKUP($A116,'Données projet'!$A$408:$I$428,5,0)*VLOOKUP('Données projet'!$B$23,Paramètres!$A$1:$I$89,7,0))</f>
        <v>0</v>
      </c>
      <c r="LF116" s="16">
        <f>IF(ISNA(VLOOKUP($A116,'Données projet'!$A$408:$I$428,6,0)),0%,VLOOKUP($A116,'Données projet'!$A$408:$I$428,6,0)*VLOOKUP('Données projet'!$B$23,Paramètres!$A$1:$I$89,7,0))</f>
        <v>0</v>
      </c>
      <c r="LG116" s="16">
        <f>IF(ISNA(VLOOKUP($A116,'Données projet'!$A$408:$I$428,7,0)),0%,VLOOKUP($A116,'Données projet'!$A$408:$I$428,7,0))</f>
        <v>0</v>
      </c>
      <c r="LH116" s="21">
        <f>EXP(-LN(2)/35)*LH115+(1-EXP(-LN(2)/35))/(LN(2)/35)*LD116*LE116*VLOOKUP('Données projet'!$B$23,Paramètres!$A$1:$I$89,3,0)*0.475*44/12</f>
        <v>64.099455631313731</v>
      </c>
      <c r="LI116" s="21">
        <f>EXP(-LN(2)/25)*LI115+(1-EXP(-LN(2)/25))/(LN(2)/25)*Calculateur!LD116*Calculateur!LF116*VLOOKUP('Données projet'!$B$23,Paramètres!$A$1:$I$89,3,0)*0.475*44/12</f>
        <v>8.7224928334116143</v>
      </c>
      <c r="LJ116" s="21">
        <f>EXP(-LN(2)/2)*LJ115+(1-EXP(-LN(2)/2))/(LN(2)/2)*LD116*LG116*VLOOKUP('Données projet'!$B$23,Paramètres!$A$1:$I$89,3,0)*0.475*44/12</f>
        <v>0</v>
      </c>
      <c r="LK116" s="22">
        <f t="shared" si="164"/>
        <v>72.821948464725352</v>
      </c>
      <c r="LL116" s="74">
        <f>('Scénario référence'!$F$8+'Scénario référence'!$F$9+'Scénario référence'!$B$17+'Scénario référence'!$B$9+'Scénario référence'!$B$10)*70+IF((45+25*(1-EXP(-0.0175*$A116)))&lt;70,'Scénario référence'!$B$16*(45+25*(1-EXP(-0.0175*$A116))),70*'Scénario référence'!$B$16)+IF((32+38*(1-EXP(-0.0175*$A116)))&lt;70,'Scénario référence'!$B$18*(32+38*(1-EXP(-0.0175*$A116))),70*'Scénario référence'!$B$18)</f>
        <v>70</v>
      </c>
      <c r="LM116" s="12">
        <f>IF($A116&gt;30,10,('Scénario référence'!$B$16+'Scénario référence'!$B$17+'Scénario référence'!$B$18+'Scénario référence'!$B$9+'Scénario référence'!$B$10)*$A116*10/30+('Scénario référence'!$F$8+'Scénario référence'!$F$9)*10)</f>
        <v>10</v>
      </c>
      <c r="LN116" s="12">
        <f>VLOOKUP($A116,'Données projet'!$A$434:$I$454,2,0)</f>
        <v>246.21794871794873</v>
      </c>
      <c r="LO116" s="12">
        <f>VLOOKUP($A116,'Données projet'!$A$434:$I$454,9,0)</f>
        <v>5.0961538461538449</v>
      </c>
      <c r="LP116" s="12">
        <f t="array" ref="LP116">INDEX(LO:LO,MIN(IF(ISNUMBER(LO116:LO312),ROW(LO116:LO312),"")))</f>
        <v>5.0961538461538449</v>
      </c>
      <c r="LQ116" s="12">
        <f>IF('Données projet'!$A$434&gt;35,LQ115+LP116-LY115,IF($A116&lt;'Données projet'!$A$434,$CQ$205^$A116,IF($A116='Données projet'!$A$434,'Données projet'!$B$434,LQ115+LP116-LY115)))</f>
        <v>246.21794871794836</v>
      </c>
      <c r="LR116" s="17">
        <f>LQ116*VLOOKUP('Données projet'!$B$24,Paramètres!$A$1:$I$89,3,0)*VLOOKUP('Données projet'!$B$24,Paramètres!$A$1:$I$89,5,0)</f>
        <v>249.66499999999965</v>
      </c>
      <c r="LS116" s="13">
        <f t="shared" si="212"/>
        <v>60.514200047035814</v>
      </c>
      <c r="LT116" s="14">
        <f t="shared" si="165"/>
        <v>540.22877341525339</v>
      </c>
      <c r="LU116" s="59">
        <f t="shared" si="166"/>
        <v>833.56210674858676</v>
      </c>
      <c r="LV116" s="59">
        <f ca="1">AVERAGE(OFFSET($LU$3,0,0,'Données projet'!$E$24+1,1))-AVERAGE(OFFSET($H$3,0,0,'Données projet'!$E$24+1,1))</f>
        <v>260.52627655062872</v>
      </c>
      <c r="LW116" s="59">
        <f t="shared" si="213"/>
        <v>159.20429420478047</v>
      </c>
      <c r="LX116" s="15">
        <f>IF(ISNA(VLOOKUP($A116,'Données projet'!$A$434:$I$454,3,0)),0,VLOOKUP($A116,'Données projet'!$A$434:$I$454,3,0))</f>
        <v>9</v>
      </c>
      <c r="LY116" s="15">
        <f>IF(ISNA(VLOOKUP($A116,'Données projet'!$A$434:$I$454,4,0)),0,VLOOKUP($A116,'Données projet'!$A$434:$I$454,4,0))</f>
        <v>31.602564102564099</v>
      </c>
      <c r="LZ116" s="16">
        <f>IF(ISNA(VLOOKUP($A116,'Données projet'!$A$434:$I$454,5,0)),0%,VLOOKUP($A116,'Données projet'!$A$434:$I$454,5,0)*VLOOKUP('Données projet'!$B$24,Paramètres!$A$1:$I$89,7,0))</f>
        <v>0.30099999999999999</v>
      </c>
      <c r="MA116" s="16">
        <f>IF(ISNA(VLOOKUP($A116,'Données projet'!$A$434:$I$454,6,0)),0%,VLOOKUP($A116,'Données projet'!$A$434:$I$454,6,0)*VLOOKUP('Données projet'!$B$24,Paramètres!$A$1:$I$89,7,0))</f>
        <v>0</v>
      </c>
      <c r="MB116" s="16">
        <f>IF(ISNA(VLOOKUP($A116,'Données projet'!$A$434:$I$454,7,0)),0%,VLOOKUP($A116,'Données projet'!$A$434:$I$454,7,0))</f>
        <v>0</v>
      </c>
      <c r="MC116" s="21">
        <f>EXP(-LN(2)/35)*MC115+(1-EXP(-LN(2)/35))/(LN(2)/35)*LY116*LZ116*VLOOKUP('Données projet'!$B$24,Paramètres!$A$1:$I$89,3,0)*0.475*44/12</f>
        <v>40.010341653840101</v>
      </c>
      <c r="MD116" s="21">
        <f>EXP(-LN(2)/25)*MD115+(1-EXP(-LN(2)/25))/(LN(2)/25)*Calculateur!LY116*Calculateur!MA116*VLOOKUP('Données projet'!$B$24,Paramètres!$A$1:$I$89,3,0)*0.475*44/12</f>
        <v>0</v>
      </c>
      <c r="ME116" s="21">
        <f>EXP(-LN(2)/2)*ME115+(1-EXP(-LN(2)/2))/(LN(2)/2)*LY116*MB116*VLOOKUP('Données projet'!$B$24,Paramètres!$A$1:$I$89,3,0)*0.475*44/12</f>
        <v>0</v>
      </c>
      <c r="MF116" s="22">
        <f t="shared" si="167"/>
        <v>40.010341653840101</v>
      </c>
      <c r="MG116" s="74">
        <f>('Scénario référence'!$F$8+'Scénario référence'!$F$9+'Scénario référence'!$B$17+'Scénario référence'!$B$9+'Scénario référence'!$B$10)*70+IF((45+25*(1-EXP(-0.0175*$A116)))&lt;70,'Scénario référence'!$B$16*(45+25*(1-EXP(-0.0175*$A116))),70*'Scénario référence'!$B$16)+IF((32+38*(1-EXP(-0.0175*$A116)))&lt;70,'Scénario référence'!$B$18*(32+38*(1-EXP(-0.0175*$A116))),70*'Scénario référence'!$B$18)</f>
        <v>70</v>
      </c>
      <c r="MH116" s="12">
        <f>IF($A116&gt;30,10,('Scénario référence'!$B$16+'Scénario référence'!$B$17+'Scénario référence'!$B$18+'Scénario référence'!$B$9+'Scénario référence'!$B$10)*$A116*10/30+('Scénario référence'!$F$8+'Scénario référence'!$F$9)*10)</f>
        <v>10</v>
      </c>
      <c r="MI116" s="12" t="e">
        <f>VLOOKUP($A116,'Données projet'!$A$460:$I$480,2,0)</f>
        <v>#N/A</v>
      </c>
      <c r="MJ116" s="12" t="e">
        <f>VLOOKUP($A116,'Données projet'!$A$460:$I$480,9,0)</f>
        <v>#N/A</v>
      </c>
      <c r="MK116" s="12">
        <f t="array" ref="MK116">INDEX(MJ:MJ,MIN(IF(ISNUMBER(MJ116:MJ312),ROW(MJ116:MJ312),"")))</f>
        <v>0</v>
      </c>
      <c r="ML116" s="12">
        <f>IF('Données projet'!$A$460&gt;35,ML115+MK116-MT115,IF($A116&lt;'Données projet'!$A$460,$CQ$205^$A116,IF($A116='Données projet'!$A$460,'Données projet'!$B$460,ML115+MK116-MT115)))</f>
        <v>0</v>
      </c>
      <c r="MM116" s="17" t="e">
        <f>ML116*VLOOKUP('Données projet'!$B$25,Paramètres!$A$1:$I$89,3,0)*VLOOKUP('Données projet'!$B$25,Paramètres!$A$1:$I$89,5,0)</f>
        <v>#N/A</v>
      </c>
      <c r="MN116" s="13" t="e">
        <f t="shared" si="214"/>
        <v>#N/A</v>
      </c>
      <c r="MO116" s="14" t="e">
        <f t="shared" si="168"/>
        <v>#N/A</v>
      </c>
      <c r="MP116" s="59" t="e">
        <f t="shared" si="169"/>
        <v>#N/A</v>
      </c>
      <c r="MQ116" s="20" t="e">
        <f ca="1">AVERAGE(OFFSET($MP$3,0,0,'Données projet'!$E$25+1,1))-AVERAGE(OFFSET($H$3,0,0,'Données projet'!$E$25+1,1))</f>
        <v>#N/A</v>
      </c>
      <c r="MR116" s="59" t="e">
        <f t="shared" si="215"/>
        <v>#N/A</v>
      </c>
      <c r="MS116" s="15">
        <f>IF(ISNA(VLOOKUP($A116,'Données projet'!$A$460:$I$480,3,0)),0,VLOOKUP($A116,'Données projet'!$A$460:$I$480,3,0))</f>
        <v>0</v>
      </c>
      <c r="MT116" s="15">
        <f>IF(ISNA(VLOOKUP($A116,'Données projet'!$A$460:$I$480,4,0)),0,VLOOKUP($A116,'Données projet'!$A$460:$I$480,4,0))</f>
        <v>0</v>
      </c>
      <c r="MU116" s="16">
        <f>IF(ISNA(VLOOKUP($A116,'Données projet'!$A$460:$I$480,5,0)),0%,VLOOKUP($A116,'Données projet'!$A$460:$I$480,5,0)*VLOOKUP('Données projet'!$B$25,Paramètres!$A$1:$I$89,7,0))</f>
        <v>0</v>
      </c>
      <c r="MV116" s="16">
        <f>IF(ISNA(VLOOKUP($A116,'Données projet'!$A$460:$I$480,6,0)),0%,VLOOKUP($A116,'Données projet'!$A$460:$I$480,6,0)*VLOOKUP('Données projet'!$B$25,Paramètres!$A$1:$I$89,7,0))</f>
        <v>0</v>
      </c>
      <c r="MW116" s="16">
        <f>IF(ISNA(VLOOKUP($A116,'Données projet'!$A$460:$I$480,7,0)),0%,VLOOKUP($A116,'Données projet'!$A$460:$I$480,7,0))</f>
        <v>0</v>
      </c>
      <c r="MX116" s="21" t="e">
        <f>EXP(-LN(2)/35)*MX115+(1-EXP(-LN(2)/35))/(LN(2)/35)*MT116*MU116*VLOOKUP('Données projet'!$B$25,Paramètres!$A$1:$I$89,3,0)*0.475*44/12</f>
        <v>#N/A</v>
      </c>
      <c r="MY116" s="21" t="e">
        <f>EXP(-LN(2)/25)*MY115+(1-EXP(-LN(2)/25))/(LN(2)/25)*Calculateur!MT116*Calculateur!MV116*VLOOKUP('Données projet'!$B$25,Paramètres!$A$1:$I$89,3,0)*0.475*44/12</f>
        <v>#N/A</v>
      </c>
      <c r="MZ116" s="21" t="e">
        <f>EXP(-LN(2)/2)*MZ115+(1-EXP(-LN(2)/2))/(LN(2)/2)*MT116*MW116*VLOOKUP('Données projet'!$B$25,Paramètres!$A$1:$I$89,3,0)*0.475*44/12</f>
        <v>#N/A</v>
      </c>
      <c r="NA116" s="22" t="e">
        <f t="shared" si="170"/>
        <v>#N/A</v>
      </c>
      <c r="NB116" s="74">
        <f>('Scénario référence'!$F$8+'Scénario référence'!$F$9+'Scénario référence'!$B$17+'Scénario référence'!$B$9+'Scénario référence'!$B$10)*70+IF((45+25*(1-EXP(-0.0175*$A116)))&lt;70,'Scénario référence'!$B$16*(45+25*(1-EXP(-0.0175*$A116))),70*'Scénario référence'!$B$16)+IF((32+38*(1-EXP(-0.0175*$A116)))&lt;70,'Scénario référence'!$B$18*(32+38*(1-EXP(-0.0175*$A116))),70*'Scénario référence'!$B$18)</f>
        <v>70</v>
      </c>
      <c r="NC116" s="12">
        <f>IF($A116&gt;30,10,('Scénario référence'!$B$16+'Scénario référence'!$B$17+'Scénario référence'!$B$18+'Scénario référence'!$B$9+'Scénario référence'!$B$10)*$A116*10/30+('Scénario référence'!$F$8+'Scénario référence'!$F$9)*10)</f>
        <v>10</v>
      </c>
      <c r="ND116" s="12" t="e">
        <f>VLOOKUP($A116,'Données projet'!$A$486:$I$506,2,0)</f>
        <v>#N/A</v>
      </c>
      <c r="NE116" s="12" t="e">
        <f>VLOOKUP($A116,'Données projet'!$A$486:$I$506,9,0)</f>
        <v>#N/A</v>
      </c>
      <c r="NF116" s="12">
        <f t="array" ref="NF116">INDEX(NE:NE,MIN(IF(ISNUMBER(NE116:NE312),ROW(NE116:NE312),"")))</f>
        <v>0</v>
      </c>
      <c r="NG116" s="12">
        <f>IF('Données projet'!$A$486&gt;35,NG115+NF116-NO115,IF($A116&lt;'Données projet'!$A$486,$CQ$205^$A116,IF($A116='Données projet'!$A$486,'Données projet'!$B$486,NG115+NF116-NO115)))</f>
        <v>0</v>
      </c>
      <c r="NH116" s="17" t="e">
        <f>NG116*VLOOKUP('Données projet'!$B$26,Paramètres!$A$1:$I$89,3,0)*VLOOKUP('Données projet'!$B$26,Paramètres!$A$1:$I$89,5,0)</f>
        <v>#N/A</v>
      </c>
      <c r="NI116" s="13" t="e">
        <f t="shared" si="216"/>
        <v>#N/A</v>
      </c>
      <c r="NJ116" s="14" t="e">
        <f t="shared" si="171"/>
        <v>#N/A</v>
      </c>
      <c r="NK116" s="59" t="e">
        <f t="shared" si="172"/>
        <v>#N/A</v>
      </c>
      <c r="NL116" s="20" t="e">
        <f ca="1">AVERAGE(OFFSET($NK$3,0,0,'Données projet'!$E$26+1,1))-AVERAGE(OFFSET($H$3,0,0,'Données projet'!$E$26+1,1))</f>
        <v>#N/A</v>
      </c>
      <c r="NM116" s="59" t="e">
        <f t="shared" si="217"/>
        <v>#N/A</v>
      </c>
      <c r="NN116" s="15">
        <f>IF(ISNA(VLOOKUP($A116,'Données projet'!$A$486:$I$506,3,0)),0,VLOOKUP($A116,'Données projet'!$A$486:$I$506,3,0))</f>
        <v>0</v>
      </c>
      <c r="NO116" s="15">
        <f>IF(ISNA(VLOOKUP($A116,'Données projet'!$A$486:$I$506,4,0)),0,VLOOKUP($A116,'Données projet'!$A$486:$I$506,4,0))</f>
        <v>0</v>
      </c>
      <c r="NP116" s="16">
        <f>IF(ISNA(VLOOKUP($A116,'Données projet'!$A$486:$I$506,5,0)),0%,VLOOKUP($A116,'Données projet'!$A$486:$I$506,5,0)*VLOOKUP('Données projet'!$B$26,Paramètres!$A$1:$I$89,7,0))</f>
        <v>0</v>
      </c>
      <c r="NQ116" s="16">
        <f>IF(ISNA(VLOOKUP($A116,'Données projet'!$A$486:$I$506,6,0)),0%,VLOOKUP($A116,'Données projet'!$A$486:$I$506,6,0)*VLOOKUP('Données projet'!$B$26,Paramètres!$A$1:$I$89,7,0))</f>
        <v>0</v>
      </c>
      <c r="NR116" s="16">
        <f>IF(ISNA(VLOOKUP($A116,'Données projet'!$A$486:$I$506,7,0)),0%,VLOOKUP($A116,'Données projet'!$A$486:$I$506,7,0))</f>
        <v>0</v>
      </c>
      <c r="NS116" s="21" t="e">
        <f>EXP(-LN(2)/35)*NS115+(1-EXP(-LN(2)/35))/(LN(2)/35)*NO116*NP116*VLOOKUP('Données projet'!$B$26,Paramètres!$A$1:$I$89,3,0)*0.475*44/12</f>
        <v>#N/A</v>
      </c>
      <c r="NT116" s="21" t="e">
        <f>EXP(-LN(2)/25)*NT115+(1-EXP(-LN(2)/25))/(LN(2)/25)*Calculateur!NO116*Calculateur!NQ116*VLOOKUP('Données projet'!$B$26,Paramètres!$A$1:$I$89,3,0)*0.475*44/12</f>
        <v>#N/A</v>
      </c>
      <c r="NU116" s="21" t="e">
        <f>EXP(-LN(2)/2)*NU115+(1-EXP(-LN(2)/2))/(LN(2)/2)*NO116*NR116*VLOOKUP('Données projet'!$B$26,Paramètres!$A$1:$I$89,3,0)*0.475*44/12</f>
        <v>#N/A</v>
      </c>
      <c r="NV116" s="22" t="e">
        <f t="shared" si="173"/>
        <v>#N/A</v>
      </c>
      <c r="NW116" s="74">
        <f>('Scénario référence'!$F$8+'Scénario référence'!$F$9+'Scénario référence'!$B$17+'Scénario référence'!$B$9+'Scénario référence'!$B$10)*70+IF((45+25*(1-EXP(-0.0175*$A116)))&lt;70,'Scénario référence'!$B$16*(45+25*(1-EXP(-0.0175*$A116))),70*'Scénario référence'!$B$16)+IF((32+38*(1-EXP(-0.0175*$A116)))&lt;70,'Scénario référence'!$B$18*(32+38*(1-EXP(-0.0175*$A116))),70*'Scénario référence'!$B$18)</f>
        <v>70</v>
      </c>
      <c r="NX116" s="12">
        <f>IF($A116&gt;30,10,('Scénario référence'!$B$16+'Scénario référence'!$B$17+'Scénario référence'!$B$18+'Scénario référence'!$B$9+'Scénario référence'!$B$10)*$A116*10/30+('Scénario référence'!$F$8+'Scénario référence'!$F$9)*10)</f>
        <v>10</v>
      </c>
      <c r="NY116" s="12" t="e">
        <f>VLOOKUP($A116,'Données projet'!$A$512:$I$532,2,0)</f>
        <v>#N/A</v>
      </c>
      <c r="NZ116" s="12" t="e">
        <f>VLOOKUP($A116,'Données projet'!$A$512:$I$532,9,0)</f>
        <v>#N/A</v>
      </c>
      <c r="OA116" s="12">
        <f t="array" ref="OA116">INDEX(NZ:NZ,MIN(IF(ISNUMBER(NZ116:NZ312),ROW(NZ116:NZ312),"")))</f>
        <v>0</v>
      </c>
      <c r="OB116" s="12">
        <f>IF('Données projet'!$A$512&gt;35,OB115+OA116-OJ115,IF($A116&lt;'Données projet'!$A$512,$CQ$205^$A116,IF($A116='Données projet'!$A$512,'Données projet'!$B$512,OB115+OA116-OJ115)))</f>
        <v>0</v>
      </c>
      <c r="OC116" s="17" t="e">
        <f>OB116*VLOOKUP('Données projet'!$B$27,Paramètres!$A$1:$I$89,3,0)*VLOOKUP('Données projet'!$B$27,Paramètres!$A$1:$I$89,5,0)</f>
        <v>#N/A</v>
      </c>
      <c r="OD116" s="13" t="e">
        <f t="shared" si="218"/>
        <v>#N/A</v>
      </c>
      <c r="OE116" s="14" t="e">
        <f t="shared" si="174"/>
        <v>#N/A</v>
      </c>
      <c r="OF116" s="59" t="e">
        <f t="shared" si="175"/>
        <v>#N/A</v>
      </c>
      <c r="OG116" s="20" t="e">
        <f ca="1">AVERAGE(OFFSET($OF$3,0,0,'Données projet'!$E$27+1,1))-AVERAGE(OFFSET($H$3,0,0,'Données projet'!$E$27+1,1))</f>
        <v>#N/A</v>
      </c>
      <c r="OH116" s="59" t="e">
        <f t="shared" si="219"/>
        <v>#N/A</v>
      </c>
      <c r="OI116" s="15">
        <f>IF(ISNA(VLOOKUP($A116,'Données projet'!$A$512:$I$532,3,0)),0,VLOOKUP($A116,'Données projet'!$A$512:$I$532,3,0))</f>
        <v>0</v>
      </c>
      <c r="OJ116" s="15">
        <f>IF(ISNA(VLOOKUP($A116,'Données projet'!$A$512:$I$532,4,0)),0,VLOOKUP($A116,'Données projet'!$A$512:$I$532,4,0))</f>
        <v>0</v>
      </c>
      <c r="OK116" s="16">
        <f>IF(ISNA(VLOOKUP($A116,'Données projet'!$A$512:$I$532,5,0)),0%,VLOOKUP($A116,'Données projet'!$A$512:$I$532,5,0)*VLOOKUP('Données projet'!$B$27,Paramètres!$A$1:$I$89,7,0))</f>
        <v>0</v>
      </c>
      <c r="OL116" s="16">
        <f>IF(ISNA(VLOOKUP($A116,'Données projet'!$A$512:$I$532,6,0)),0%,VLOOKUP($A116,'Données projet'!$A$512:$I$532,6,0)*VLOOKUP('Données projet'!$B$27,Paramètres!$A$1:$I$89,7,0))</f>
        <v>0</v>
      </c>
      <c r="OM116" s="16">
        <f>IF(ISNA(VLOOKUP($A116,'Données projet'!$A$512:$I$532,7,0)),0%,VLOOKUP($A116,'Données projet'!$A$512:$I$532,7,0))</f>
        <v>0</v>
      </c>
      <c r="ON116" s="21" t="e">
        <f>EXP(-LN(2)/35)*ON115+(1-EXP(-LN(2)/35))/(LN(2)/35)*OJ116*OK116*VLOOKUP('Données projet'!$B$27,Paramètres!$A$1:$I$89,3,0)*0.475*44/12</f>
        <v>#N/A</v>
      </c>
      <c r="OO116" s="21" t="e">
        <f>EXP(-LN(2)/25)*OO115+(1-EXP(-LN(2)/25))/(LN(2)/25)*Calculateur!OJ116*Calculateur!OL116*VLOOKUP('Données projet'!$B$27,Paramètres!$A$1:$I$89,3,0)*0.475*44/12</f>
        <v>#N/A</v>
      </c>
      <c r="OP116" s="21" t="e">
        <f>EXP(-LN(2)/2)*OP115+(1-EXP(-LN(2)/2))/(LN(2)/2)*OJ116*OM116*VLOOKUP('Données projet'!$B$27,Paramètres!$A$1:$I$89,3,0)*0.475*44/12</f>
        <v>#N/A</v>
      </c>
      <c r="OQ116" s="22" t="e">
        <f t="shared" si="176"/>
        <v>#N/A</v>
      </c>
      <c r="OR116" s="74">
        <f>('Scénario référence'!$F$8+'Scénario référence'!$F$9+'Scénario référence'!$B$17+'Scénario référence'!$B$9+'Scénario référence'!$B$10)*70+IF((45+25*(1-EXP(-0.0175*$A116)))&lt;70,'Scénario référence'!$B$16*(45+25*(1-EXP(-0.0175*$A116))),70*'Scénario référence'!$B$16)+IF((32+38*(1-EXP(-0.0175*$A116)))&lt;70,'Scénario référence'!$B$18*(32+38*(1-EXP(-0.0175*$A116))),70*'Scénario référence'!$B$18)</f>
        <v>70</v>
      </c>
      <c r="OS116" s="12">
        <f>IF($A116&gt;30,10,('Scénario référence'!$B$16+'Scénario référence'!$B$17+'Scénario référence'!$B$18+'Scénario référence'!$B$9+'Scénario référence'!$B$10)*$A116*10/30+('Scénario référence'!$F$8+'Scénario référence'!$F$9)*10)</f>
        <v>10</v>
      </c>
      <c r="OT116" s="12" t="e">
        <f>VLOOKUP($A116,'Données projet'!$A$538:$I$558,2,0)</f>
        <v>#N/A</v>
      </c>
      <c r="OU116" s="12" t="e">
        <f>VLOOKUP($A116,'Données projet'!$A$538:$I$558,9,0)</f>
        <v>#N/A</v>
      </c>
      <c r="OV116" s="12">
        <f t="array" ref="OV116">INDEX(OU:OU,MIN(IF(ISNUMBER(OU116:OU312),ROW(OU116:OU312),"")))</f>
        <v>0</v>
      </c>
      <c r="OW116" s="12">
        <f>IF('Données projet'!$A$538&gt;35,OW115+OV116-PE115,IF($A116&lt;'Données projet'!$A$538,$CQ$205^$A116,IF($A116='Données projet'!$A$538,'Données projet'!$B$538,OW115+OV116-PE115)))</f>
        <v>0</v>
      </c>
      <c r="OX116" s="17" t="e">
        <f>OW116*VLOOKUP('Données projet'!$B$28,Paramètres!$A$1:$I$89,3,0)*VLOOKUP('Données projet'!$B$28,Paramètres!$A$1:$I$89,5,0)</f>
        <v>#N/A</v>
      </c>
      <c r="OY116" s="13" t="e">
        <f t="shared" si="220"/>
        <v>#N/A</v>
      </c>
      <c r="OZ116" s="14" t="e">
        <f t="shared" si="177"/>
        <v>#N/A</v>
      </c>
      <c r="PA116" s="59" t="e">
        <f t="shared" si="178"/>
        <v>#N/A</v>
      </c>
      <c r="PB116" s="20" t="e">
        <f ca="1">AVERAGE(OFFSET($PA$3,0,0,'Données projet'!$E$28+1,1))-AVERAGE(OFFSET($H$3,0,0,'Données projet'!$E$28+1,1))</f>
        <v>#N/A</v>
      </c>
      <c r="PC116" s="59" t="e">
        <f t="shared" si="221"/>
        <v>#N/A</v>
      </c>
      <c r="PD116" s="15">
        <f>IF(ISNA(VLOOKUP($A116,'Données projet'!$A$538:$I$558,3,0)),0,VLOOKUP($A116,'Données projet'!$A$538:$I$558,3,0))</f>
        <v>0</v>
      </c>
      <c r="PE116" s="15">
        <f>IF(ISNA(VLOOKUP($A116,'Données projet'!$A$538:$I$558,4,0)),0,VLOOKUP($A116,'Données projet'!$A$538:$I$558,4,0))</f>
        <v>0</v>
      </c>
      <c r="PF116" s="16">
        <f>IF(ISNA(VLOOKUP($A116,'Données projet'!$A$538:$I$558,5,0)),0%,VLOOKUP($A116,'Données projet'!$A$538:$I$558,5,0)*VLOOKUP('Données projet'!$B$28,Paramètres!$A$1:$I$89,7,0))</f>
        <v>0</v>
      </c>
      <c r="PG116" s="16">
        <f>IF(ISNA(VLOOKUP($A116,'Données projet'!$A$538:$I$558,6,0)),0%,VLOOKUP($A116,'Données projet'!$A$538:$I$558,6,0)*VLOOKUP('Données projet'!$B$28,Paramètres!$A$1:$I$89,7,0))</f>
        <v>0</v>
      </c>
      <c r="PH116" s="16">
        <f>IF(ISNA(VLOOKUP($A116,'Données projet'!$A$538:$I$558,7,0)),0%,VLOOKUP($A116,'Données projet'!$A$538:$I$558,7,0))</f>
        <v>0</v>
      </c>
      <c r="PI116" s="21" t="e">
        <f>EXP(-LN(2)/35)*PI115+(1-EXP(-LN(2)/35))/(LN(2)/35)*PE116*PF116*VLOOKUP('Données projet'!$B$28,Paramètres!$A$1:$I$89,3,0)*0.475*44/12</f>
        <v>#N/A</v>
      </c>
      <c r="PJ116" s="21" t="e">
        <f>EXP(-LN(2)/25)*PJ115+(1-EXP(-LN(2)/25))/(LN(2)/25)*Calculateur!PE116*Calculateur!PG116*VLOOKUP('Données projet'!$B$28,Paramètres!$A$1:$I$89,3,0)*0.475*44/12</f>
        <v>#N/A</v>
      </c>
      <c r="PK116" s="21" t="e">
        <f>EXP(-LN(2)/2)*PK115+(1-EXP(-LN(2)/2))/(LN(2)/2)*PE116*PH116*VLOOKUP('Données projet'!$B$28,Paramètres!$A$1:$I$89,3,0)*0.475*44/12</f>
        <v>#N/A</v>
      </c>
      <c r="PL116" s="22" t="e">
        <f t="shared" si="179"/>
        <v>#N/A</v>
      </c>
    </row>
    <row r="117" spans="1:428" x14ac:dyDescent="0.35">
      <c r="A117" s="10">
        <f t="shared" si="180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181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121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projet'!$A$45:$I$65,2,0)</f>
        <v>#N/A</v>
      </c>
      <c r="L117" s="12" t="e">
        <f>VLOOKUP(A117,'Données projet'!$A$45:$I$65,9,0)</f>
        <v>#N/A</v>
      </c>
      <c r="M117" s="12">
        <f t="array" ref="M117">INDEX(L:L,MIN(IF(ISNUMBER(L117:L313),ROW(L117:L313),"")))</f>
        <v>0</v>
      </c>
      <c r="N117" s="13">
        <f>IF('Données projet'!$A$46&gt;35,N116+M117-V116,IF(A117&lt;'Données projet'!$A$46,$K$205^A117,IF(A117='Données projet'!$A$46,'Données projet'!$B$46,N116+M117-V116)))</f>
        <v>-1.1368683772161603E-13</v>
      </c>
      <c r="O117" s="13">
        <f>N117*VLOOKUP('Données projet'!$B$9,Paramètres!$A$1:$I$89,3,0)*VLOOKUP('Données projet'!$B$9,Paramètres!$A$1:$I$89,5,0)</f>
        <v>-6.3550942286383367E-14</v>
      </c>
      <c r="P117" s="13" t="e">
        <f t="shared" si="182"/>
        <v>#NUM!</v>
      </c>
      <c r="Q117" s="20" t="e">
        <f t="shared" si="222"/>
        <v>#NUM!</v>
      </c>
      <c r="R117" s="59" t="e">
        <f t="shared" si="120"/>
        <v>#NUM!</v>
      </c>
      <c r="S117" s="59">
        <f ca="1">AVERAGE(OFFSET($R$3,0,0,'Données projet'!$E$9+1,1))-AVERAGE(OFFSET($H$3,0,0,'Données projet'!$E$9+1,1))</f>
        <v>274.57619581652199</v>
      </c>
      <c r="T117" s="59">
        <f t="shared" si="183"/>
        <v>366.15117322598775</v>
      </c>
      <c r="U117" s="15">
        <f>IF(ISNA(VLOOKUP(A117,'Données projet'!$A$45:$I$65,3,0)),0,VLOOKUP(A117,'Données projet'!$A$45:$I$65,3,0))</f>
        <v>0</v>
      </c>
      <c r="V117" s="15">
        <f>IF(ISNA(VLOOKUP(A117,'Données projet'!$A$45:$I$65,4,0)),0,VLOOKUP(A117,'Données projet'!$A$45:$I$65,4,0))</f>
        <v>0</v>
      </c>
      <c r="W117" s="16">
        <f>IF(ISNA(VLOOKUP(A117,'Données projet'!$A$45:$I$65,5,0)),0%,VLOOKUP(A117,'Données projet'!$A$45:$I$65,5,0)*VLOOKUP('Données projet'!$B$9,Paramètres!$A$1:$I$89,7,0))</f>
        <v>0</v>
      </c>
      <c r="X117" s="16">
        <f>IF(ISNA(VLOOKUP(A117,'Données projet'!$A$45:$I$65,6,0)),0%,VLOOKUP(A117,'Données projet'!$A$45:$I$65,6,0)*VLOOKUP('Données projet'!$B$9,Paramètres!$A$1:$I$89,7,0))</f>
        <v>0</v>
      </c>
      <c r="Y117" s="16">
        <f>IF(ISNA(VLOOKUP(A117,'Données projet'!$A$45:$I$65,7,0)),0%,VLOOKUP(A117,'Données projet'!$A$45:$I$65,7,0))</f>
        <v>0</v>
      </c>
      <c r="Z117" s="21">
        <f>EXP(-LN(2)/35)*Z116+(1-EXP(-LN(2)/35))/(LN(2)/35)*V117*W117*VLOOKUP('Données projet'!$B$9,Paramètres!$A$1:$I$89,3,0)*0.475*44/12</f>
        <v>70.456120992295851</v>
      </c>
      <c r="AA117" s="21">
        <f>EXP(-LN(2)/25)*AA116+(1-EXP(-LN(2)/25))/(LN(2)/25)*Calculateur!V117*Calculateur!X117*VLOOKUP('Données projet'!$B$9,Paramètres!$A$1:$I$89,3,0)*0.475*44/12</f>
        <v>11.221466018729849</v>
      </c>
      <c r="AB117" s="21">
        <f>EXP(-LN(2)/2)*AB116+(1-EXP(-LN(2)/2))/(LN(2)/2)*V117*Y117*VLOOKUP('Données projet'!$B$9,Paramètres!$A$1:$I$89,3,0)*0.475*44/12</f>
        <v>4.4993478274872691E-8</v>
      </c>
      <c r="AC117" s="22">
        <f t="shared" si="122"/>
        <v>81.677587056019192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projet'!$A$71:$I$91,2,0)</f>
        <v>#N/A</v>
      </c>
      <c r="AG117" s="12" t="e">
        <f>VLOOKUP(A117,'Données projet'!$A$71:$I$91,9,0)</f>
        <v>#N/A</v>
      </c>
      <c r="AH117" s="12">
        <f t="array" ref="AH117">INDEX(AG:AG,MIN(IF(ISNUMBER(AG117:AG313),ROW(AG117:AG313),"")))</f>
        <v>6.8461538461538511</v>
      </c>
      <c r="AI117" s="13">
        <f>IF('Données projet'!$A$72&gt;35,AI116+AH117-AQ116,IF(A117&lt;'Données projet'!$A$72,$AF$205^A117,IF(A117='Données projet'!$A$72,'Données projet'!$B$72,AI116+AH117-AQ116)))</f>
        <v>323.10897435897476</v>
      </c>
      <c r="AJ117" s="13">
        <f>AI117*VLOOKUP('Données projet'!$B$10,Paramètres!$A$1:$I$89,3,0)*VLOOKUP('Données projet'!$B$10,Paramètres!$A$1:$I$89,5,0)</f>
        <v>292.34900000000033</v>
      </c>
      <c r="AK117" s="13">
        <f t="shared" si="184"/>
        <v>69.570116369442999</v>
      </c>
      <c r="AL117" s="20">
        <f t="shared" si="123"/>
        <v>630.34246101011377</v>
      </c>
      <c r="AM117" s="59">
        <f t="shared" si="124"/>
        <v>923.67579434344702</v>
      </c>
      <c r="AN117" s="59">
        <f ca="1">AVERAGE(OFFSET($AM$3,0,0,'Données projet'!$E$10+1,1))-AVERAGE(OFFSET($H$3,0,0,'Données projet'!$E$10+1,1))</f>
        <v>270.87836509222456</v>
      </c>
      <c r="AO117" s="59">
        <f t="shared" si="185"/>
        <v>205.24998237949734</v>
      </c>
      <c r="AP117" s="15">
        <f>IF(ISNA(VLOOKUP(A117,'Données projet'!$A$71:$I$91,3,0)),0,VLOOKUP(A117,'Données projet'!$A$71:$I$91,3,0))</f>
        <v>0</v>
      </c>
      <c r="AQ117" s="15">
        <f>IF(ISNA(VLOOKUP(A117,'Données projet'!$A$71:$I$91,4,0)),0,VLOOKUP(A117,'Données projet'!$A$71:$I$91,4,0))</f>
        <v>0</v>
      </c>
      <c r="AR117" s="16">
        <f>IF(ISNA(VLOOKUP(A117,'Données projet'!$A$71:$I$91,5,0)),0%,VLOOKUP(A117,'Données projet'!$A$71:$I$91,5,0)*VLOOKUP('Données projet'!$B$10,Paramètres!$A$1:$I$89,7,0))</f>
        <v>0</v>
      </c>
      <c r="AS117" s="16">
        <f>IF(ISNA(VLOOKUP(A117,'Données projet'!$A$71:$I$91,6,0)),0%,VLOOKUP(A117,'Données projet'!$A$71:$I$91,6,0)*VLOOKUP('Données projet'!$B$10,Paramètres!$A$1:$I$89,7,0))</f>
        <v>0</v>
      </c>
      <c r="AT117" s="16">
        <f>IF(ISNA(VLOOKUP(A117,'Données projet'!$A$71:$I$91,7,0)),0%,VLOOKUP(A117,'Données projet'!$A$71:$I$91,7,0))</f>
        <v>0</v>
      </c>
      <c r="AU117" s="21">
        <f>EXP(-LN(2)/35)*AU116+(1-EXP(-LN(2)/35))/(LN(2)/35)*AQ117*AR117*VLOOKUP('Données projet'!$B$10,Paramètres!$A$1:$I$89,3,0)*0.475*44/12</f>
        <v>54.495694972216008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125"/>
        <v>54.495694972216008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projet'!$A$97:$I$117,2,0)</f>
        <v>#N/A</v>
      </c>
      <c r="BB117" s="12" t="e">
        <f>VLOOKUP(A117,'Données projet'!$A$97:$I$117,9,0)</f>
        <v>#N/A</v>
      </c>
      <c r="BC117" s="12">
        <f t="array" ref="BC117">INDEX(BB:BB,MIN(IF(ISNUMBER(BB117:BB313),ROW(BB117:BB313),"")))</f>
        <v>0</v>
      </c>
      <c r="BD117" s="12">
        <f>IF('Données projet'!$A$98&gt;35,BD116+BC117-BL116,IF(A117&lt;'Données projet'!$A$98,$BA$205^A117,IF(A117='Données projet'!$A$98,'Données projet'!$B$98,BD116+BC117-BL116)))</f>
        <v>-1.1368683772161603E-13</v>
      </c>
      <c r="BE117" s="13">
        <f>BD117*VLOOKUP('Données projet'!$B$11,Paramètres!$A$1:$I$89,3,0)*VLOOKUP('Données projet'!$B$11,Paramètres!$A$1:$I$89,5,0)</f>
        <v>-5.0249582272954292E-14</v>
      </c>
      <c r="BF117" s="13" t="e">
        <f t="shared" si="186"/>
        <v>#NUM!</v>
      </c>
      <c r="BG117" s="20" t="e">
        <f t="shared" si="126"/>
        <v>#NUM!</v>
      </c>
      <c r="BH117" s="59" t="e">
        <f t="shared" si="127"/>
        <v>#NUM!</v>
      </c>
      <c r="BI117" s="59">
        <f ca="1">AVERAGE(OFFSET($BH$3,0,0,'Données projet'!$E$11+1,1))-AVERAGE(OFFSET($H$3,0,0,'Données projet'!$E$11+1,1))</f>
        <v>211.31057120485542</v>
      </c>
      <c r="BJ117" s="59">
        <f t="shared" si="187"/>
        <v>283.33292006714777</v>
      </c>
      <c r="BK117" s="15">
        <f>IF(ISNA(VLOOKUP(A117,'Données projet'!$A$97:$I$117,3,0)),0,VLOOKUP(A117,'Données projet'!$A$97:$I$117,3,0))</f>
        <v>0</v>
      </c>
      <c r="BL117" s="15">
        <f>IF(ISNA(VLOOKUP(A117,'Données projet'!$A$97:$I$117,4,0)),0,VLOOKUP(A117,'Données projet'!$A$97:$I$117,4,0))</f>
        <v>0</v>
      </c>
      <c r="BM117" s="16">
        <f>IF(ISNA(VLOOKUP(A117,'Données projet'!$A$97:$I$117,5,0)),0%,VLOOKUP(A117,'Données projet'!$A$97:$I$117,5,0)*VLOOKUP('Données projet'!$B$11,Paramètres!$A$1:$I$89,7,0))</f>
        <v>0</v>
      </c>
      <c r="BN117" s="16">
        <f>IF(ISNA(VLOOKUP(A117,'Données projet'!$A$97:$I$117,6,0)),0%,VLOOKUP(A117,'Données projet'!$A$97:$I$117,6,0)*VLOOKUP('Données projet'!$B$11,Paramètres!$A$1:$I$89,7,0))</f>
        <v>0</v>
      </c>
      <c r="BO117" s="16">
        <f>IF(ISNA(VLOOKUP(A117,'Données projet'!$A$97:$I$117,7,0)),0%,VLOOKUP(A117,'Données projet'!$A$97:$I$117,7,0))</f>
        <v>0</v>
      </c>
      <c r="BP117" s="21">
        <f>EXP(-LN(2)/35)*BP116+(1-EXP(-LN(2)/35))/(LN(2)/35)*BL117*BM117*VLOOKUP('Données projet'!$B$11,Paramètres!$A$1:$I$89,3,0)*0.475*44/12</f>
        <v>55.709491017164169</v>
      </c>
      <c r="BQ117" s="21">
        <f>EXP(-LN(2)/25)*BQ116+(1-EXP(-LN(2)/25))/(LN(2)/25)*Calculateur!BL117*Calculateur!BN117*VLOOKUP('Données projet'!$B$11,Paramètres!$A$1:$I$89,3,0)*0.475*44/12</f>
        <v>8.8727870845770855</v>
      </c>
      <c r="BR117" s="21">
        <f>EXP(-LN(2)/2)*BR116+(1-EXP(-LN(2)/2))/(LN(2)/2)*BL117*BO117*VLOOKUP('Données projet'!$B$11,Paramètres!$A$1:$I$89,3,0)*0.475*44/12</f>
        <v>3.5576238635945842E-8</v>
      </c>
      <c r="BS117" s="22">
        <f t="shared" si="128"/>
        <v>64.582278137317488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projet'!$A$123:$I$143,2,0)</f>
        <v>#N/A</v>
      </c>
      <c r="BW117" s="12" t="e">
        <f>VLOOKUP(A117,'Données projet'!$A$123:$I$143,9,0)</f>
        <v>#N/A</v>
      </c>
      <c r="BX117" s="12">
        <f t="array" ref="BX117">INDEX(BW:BW,MIN(IF(ISNUMBER(BW117:BW313),ROW(BW117:BW313),"")))</f>
        <v>0</v>
      </c>
      <c r="BY117" s="12">
        <f>IF('Données projet'!$A$124&gt;35,BY116+BX117-CG116,IF(A117&lt;'Données projet'!$A$124,$BV$205^A117,IF(A117='Données projet'!$A$124,'Données projet'!$B$124,BY116+BX117-CG116)))</f>
        <v>0</v>
      </c>
      <c r="BZ117" s="13">
        <f>BY117*VLOOKUP('Données projet'!$B$12,Paramètres!$A$1:$I$89,3,0)*VLOOKUP('Données projet'!$B$12,Paramètres!$A$1:$I$89,5,0)</f>
        <v>0</v>
      </c>
      <c r="CA117" s="13" t="e">
        <f t="shared" si="188"/>
        <v>#NUM!</v>
      </c>
      <c r="CB117" s="20" t="e">
        <f t="shared" si="129"/>
        <v>#NUM!</v>
      </c>
      <c r="CC117" s="59" t="e">
        <f t="shared" si="130"/>
        <v>#NUM!</v>
      </c>
      <c r="CD117" s="59">
        <f ca="1">AVERAGE(OFFSET($CC$3,0,0,'Données projet'!$E$12+1,1))-AVERAGE(OFFSET($H$3,0,0,'Données projet'!$E$12+1,1))</f>
        <v>322.93502595881938</v>
      </c>
      <c r="CE117" s="59">
        <f t="shared" si="189"/>
        <v>302.67072119588164</v>
      </c>
      <c r="CF117" s="15">
        <f>IF(ISNA(VLOOKUP(A117,'Données projet'!$A$123:$I$143,3,0)),0,VLOOKUP(A117,'Données projet'!$A$123:$I$143,3,0))</f>
        <v>0</v>
      </c>
      <c r="CG117" s="15">
        <f>IF(ISNA(VLOOKUP(A117,'Données projet'!$A$123:$I$143,4,0)),0,VLOOKUP(A117,'Données projet'!$A$123:$I$143,4,0))</f>
        <v>0</v>
      </c>
      <c r="CH117" s="16">
        <f>IF(ISNA(VLOOKUP(A117,'Données projet'!$A$123:$I$143,5,0)),0%,VLOOKUP(A117,'Données projet'!$A$123:$I$143,5,0)*VLOOKUP('Données projet'!$B$12,Paramètres!$A$1:$I$89,7,0))</f>
        <v>0</v>
      </c>
      <c r="CI117" s="16">
        <f>IF(ISNA(VLOOKUP(A117,'Données projet'!$A$123:$I$143,6,0)),0%,VLOOKUP(A117,'Données projet'!$A$123:$I$143,6,0)*VLOOKUP('Données projet'!$B$12,Paramètres!$A$1:$I$89,7,0))</f>
        <v>0</v>
      </c>
      <c r="CJ117" s="16">
        <f>IF(ISNA(VLOOKUP(A117,'Données projet'!$A$123:$I$143,7,0)),0%,VLOOKUP(A117,'Données projet'!$A$123:$I$143,7,0))</f>
        <v>0</v>
      </c>
      <c r="CK117" s="21">
        <f>EXP(-LN(2)/35)*CK116+(1-EXP(-LN(2)/35))/(LN(2)/35)*CG117*CH117*VLOOKUP('Données projet'!$B$12,Paramètres!$A$1:$I$89,3,0)*0.475*44/12</f>
        <v>88.758680509313507</v>
      </c>
      <c r="CL117" s="21">
        <f>EXP(-LN(2)/25)*CL116+(1-EXP(-LN(2)/25))/(LN(2)/25)*Calculateur!CG117*Calculateur!CI117*VLOOKUP('Données projet'!$B$12,Paramètres!$A$1:$I$89,3,0)*0.475*44/12</f>
        <v>28.398287052595599</v>
      </c>
      <c r="CM117" s="21">
        <f>EXP(-LN(2)/2)*CM116+(1-EXP(-LN(2)/2))/(LN(2)/2)*CG117*CJ117*VLOOKUP('Données projet'!$B$12,Paramètres!$A$1:$I$89,3,0)*0.475*44/12</f>
        <v>0</v>
      </c>
      <c r="CN117" s="22">
        <f t="shared" si="131"/>
        <v>117.15696756190911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projet'!$A$149:$I$169,2,0)</f>
        <v>#N/A</v>
      </c>
      <c r="CR117" s="12" t="e">
        <f>VLOOKUP(A117,'Données projet'!$A$149:$I$169,9,0)</f>
        <v>#N/A</v>
      </c>
      <c r="CS117" s="12">
        <f t="array" ref="CS117">INDEX(CR:CR,MIN(IF(ISNUMBER(CR117:CR313),ROW(CR117:CR313),"")))</f>
        <v>5.3066239316239274</v>
      </c>
      <c r="CT117" s="12">
        <f>IF('Données projet'!$A$150&gt;35,CT116+CS117-DB116,IF(A117&lt;'Données projet'!$A$150,$CQ$205^A117,IF(A117='Données projet'!$A$150,'Données projet'!$B$150,CT116+CS117-DB116)))</f>
        <v>219.9220085470082</v>
      </c>
      <c r="CU117" s="17">
        <f>CT117*VLOOKUP('Données projet'!$B$13,Paramètres!$A$1:$I$89,3,0)*VLOOKUP('Données projet'!$B$13,Paramètres!$A$1:$I$89,5,0)</f>
        <v>223.00091666666631</v>
      </c>
      <c r="CV117" s="13">
        <f t="shared" si="190"/>
        <v>54.766604945604634</v>
      </c>
      <c r="CW117" s="20">
        <f t="shared" si="132"/>
        <v>483.77843347470525</v>
      </c>
      <c r="CX117" s="59">
        <f t="shared" si="133"/>
        <v>777.11176680803851</v>
      </c>
      <c r="CY117" s="59">
        <f ca="1">AVERAGE(OFFSET($CX$3,0,0,'Données projet'!$E$13+1,1))-AVERAGE(OFFSET($H$3,0,0,'Données projet'!$E$13+1,1))</f>
        <v>250.31277422753283</v>
      </c>
      <c r="CZ117" s="59">
        <f t="shared" si="191"/>
        <v>159.20429420478047</v>
      </c>
      <c r="DA117" s="15">
        <f>IF(ISNA(VLOOKUP(A117,'Données projet'!$A$149:$I$169,3,0)),0,VLOOKUP(A117,'Données projet'!$A$149:$I$169,3,0))</f>
        <v>0</v>
      </c>
      <c r="DB117" s="15">
        <f>IF(ISNA(VLOOKUP(A117,'Données projet'!$A$149:$I$169,4,0)),0,VLOOKUP(A117,'Données projet'!$A$149:$I$169,4,0))</f>
        <v>0</v>
      </c>
      <c r="DC117" s="16">
        <f>IF(ISNA(VLOOKUP(A117,'Données projet'!$A$149:$I$169,5,0)),0%,VLOOKUP(A117,'Données projet'!$A$149:$I$169,5,0)*VLOOKUP('Données projet'!$B$13,Paramètres!$A$1:$I$89,7,0))</f>
        <v>0</v>
      </c>
      <c r="DD117" s="16">
        <f>IF(ISNA(VLOOKUP(A117,'Données projet'!$A$149:$I$169,6,0)),0%,VLOOKUP(A117,'Données projet'!$A$149:$I$169,6,0)*VLOOKUP('Données projet'!$B$13,Paramètres!$A$1:$I$89,7,0))</f>
        <v>0</v>
      </c>
      <c r="DE117" s="16">
        <f>IF(ISNA(VLOOKUP(A117,'Données projet'!$A$149:$I$169,7,0)),0%,VLOOKUP(A117,'Données projet'!$A$149:$I$169,7,0))</f>
        <v>0</v>
      </c>
      <c r="DF117" s="21">
        <f>EXP(-LN(2)/35)*DF116+(1-EXP(-LN(2)/35))/(LN(2)/35)*DB117*DC117*VLOOKUP('Données projet'!$B$13,Paramètres!$A$1:$I$89,3,0)*0.475*44/12</f>
        <v>39.225763257907019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134"/>
        <v>39.225763257907019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projet'!$A$175:$I$195,2,0)</f>
        <v>#N/A</v>
      </c>
      <c r="DM117" s="12" t="e">
        <f>VLOOKUP(A117,'Données projet'!$A$175:$I$195,9,0)</f>
        <v>#N/A</v>
      </c>
      <c r="DN117" s="12">
        <f t="array" ref="DN117">INDEX(DM:DM,MIN(IF(ISNUMBER(DM117:DM313),ROW(DM117:DM313),"")))</f>
        <v>0</v>
      </c>
      <c r="DO117" s="12">
        <f>IF('Données projet'!$A$176&gt;35,DO116+DN117-DW116,IF(A117&lt;'Données projet'!$A$176,$DL$205^A117,IF(A117='Données projet'!$A$176,'Données projet'!$B$176,DO116+DN117-DW116)))</f>
        <v>-2.8421709430404007E-13</v>
      </c>
      <c r="DP117" s="17">
        <f>DO117*VLOOKUP('Données projet'!$B$14,Paramètres!$A$1:$I$89,3,0)*VLOOKUP('Données projet'!$B$14,Paramètres!$A$1:$I$89,5,0)</f>
        <v>-2.0838797354372215E-13</v>
      </c>
      <c r="DQ117" s="13" t="e">
        <f t="shared" si="192"/>
        <v>#NUM!</v>
      </c>
      <c r="DR117" s="20" t="e">
        <f t="shared" si="135"/>
        <v>#NUM!</v>
      </c>
      <c r="DS117" s="59" t="e">
        <f t="shared" si="136"/>
        <v>#NUM!</v>
      </c>
      <c r="DT117" s="59">
        <f ca="1">AVERAGE(OFFSET($DS$3,0,0,'Données projet'!$E$14+1,1))-AVERAGE(OFFSET($H$3,0,0,'Données projet'!$E$14+1,1))</f>
        <v>296.91321813251051</v>
      </c>
      <c r="DU117" s="59">
        <f t="shared" si="193"/>
        <v>291.0718079639509</v>
      </c>
      <c r="DV117" s="15">
        <f>IF(ISNA(VLOOKUP(A117,'Données projet'!$A$175:$I$195,3,0)),0,VLOOKUP(A117,'Données projet'!$A$175:$I$195,3,0))</f>
        <v>0</v>
      </c>
      <c r="DW117" s="15">
        <f>IF(ISNA(VLOOKUP(A117,'Données projet'!$A$175:$I$195,4,0)),0,VLOOKUP(A117,'Données projet'!$A$175:$I$195,4,0))</f>
        <v>0</v>
      </c>
      <c r="DX117" s="16">
        <f>IF(ISNA(VLOOKUP(A117,'Données projet'!$A$175:$I$195,5,0)),0%,VLOOKUP(A117,'Données projet'!$A$175:$I$195,5,0)*VLOOKUP('Données projet'!$B$14,Paramètres!$A$1:$I$89,7,0))</f>
        <v>0</v>
      </c>
      <c r="DY117" s="16">
        <f>IF(ISNA(VLOOKUP(A117,'Données projet'!$A$175:$I$195,6,0)),0%,VLOOKUP(A117,'Données projet'!$A$175:$I$195,6,0)*VLOOKUP('Données projet'!$B$14,Paramètres!$A$1:$I$89,7,0))</f>
        <v>0</v>
      </c>
      <c r="DZ117" s="16">
        <f>IF(ISNA(VLOOKUP(A117,'Données projet'!$A$175:$I$195,7,0)),0%,VLOOKUP(A117,'Données projet'!$A$175:$I$195,7,0))</f>
        <v>0</v>
      </c>
      <c r="EA117" s="21">
        <f>EXP(-LN(2)/35)*EA116+(1-EXP(-LN(2)/35))/(LN(2)/35)*DW117*DX117*VLOOKUP('Données projet'!$B$14,Paramètres!$A$1:$I$89,3,0)*0.475*44/12</f>
        <v>88.463909119454598</v>
      </c>
      <c r="EB117" s="21">
        <f>EXP(-LN(2)/25)*EB116+(1-EXP(-LN(2)/25))/(LN(2)/25)*Calculateur!DW117*Calculateur!DY117*VLOOKUP('Données projet'!$B$14,Paramètres!$A$1:$I$89,3,0)*0.475*44/12</f>
        <v>2.0861639225850999</v>
      </c>
      <c r="EC117" s="21">
        <f>EXP(-LN(2)/2)*EC116+(1-EXP(-LN(2)/2))/(LN(2)/2)*DW117*DZ117*VLOOKUP('Données projet'!$B$14,Paramètres!$A$1:$I$89,3,0)*0.475*44/12</f>
        <v>0</v>
      </c>
      <c r="ED117" s="22">
        <f t="shared" si="137"/>
        <v>90.550073042039699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projet'!$A$201:$I$221,2,0)</f>
        <v>#N/A</v>
      </c>
      <c r="EH117" s="12" t="e">
        <f>VLOOKUP(A117,'Données projet'!$A$201:$I$221,9,0)</f>
        <v>#N/A</v>
      </c>
      <c r="EI117" s="12">
        <f t="array" ref="EI117">INDEX(EH:EH,MIN(IF(ISNUMBER(EH117:EH313),ROW(EH117:EH313),"")))</f>
        <v>0</v>
      </c>
      <c r="EJ117" s="12">
        <f>IF('Données projet'!$A$202&gt;35,EJ116+EI117-ER116,IF(A117&lt;'Données projet'!$A$202,$EG$205^A117,IF(A117='Données projet'!$A$202,'Données projet'!$B$202,EJ116+EI117-ER116)))</f>
        <v>5.1159076974727213E-13</v>
      </c>
      <c r="EK117" s="17">
        <f>EJ117*VLOOKUP('Données projet'!$B$15,Paramètres!$A$1:$I$89,3,0)*VLOOKUP('Données projet'!$B$15,Paramètres!$A$1:$I$89,5,0)</f>
        <v>2.3942448024172334E-13</v>
      </c>
      <c r="EL117" s="13">
        <f t="shared" si="194"/>
        <v>3.2492669905861755E-12</v>
      </c>
      <c r="EM117" s="20">
        <f t="shared" si="138"/>
        <v>6.0761376450252565E-12</v>
      </c>
      <c r="EN117" s="59">
        <f t="shared" si="139"/>
        <v>293.3333333333394</v>
      </c>
      <c r="EO117" s="59">
        <f ca="1">AVERAGE(OFFSET($EN$3,0,0,'Données projet'!$E$15+1,1))-AVERAGE(OFFSET($H$3,0,0,'Données projet'!$E$15+1,1))</f>
        <v>147.64256291235483</v>
      </c>
      <c r="EP117" s="59">
        <f t="shared" si="195"/>
        <v>70.859031694091868</v>
      </c>
      <c r="EQ117" s="15">
        <f>IF(ISNA(VLOOKUP(A117,'Données projet'!$A$201:$I$221,3,0)),0,VLOOKUP(A117,'Données projet'!$A$201:$I$221,3,0))</f>
        <v>0</v>
      </c>
      <c r="ER117" s="15">
        <f>IF(ISNA(VLOOKUP(A117,'Données projet'!$A$201:$I$221,4,0)),0,VLOOKUP(A117,'Données projet'!$A$201:$I$221,4,0))</f>
        <v>0</v>
      </c>
      <c r="ES117" s="16">
        <f>IF(ISNA(VLOOKUP(A117,'Données projet'!$A$201:$I$221,5,0)),0%,VLOOKUP(A117,'Données projet'!$A$201:$I$221,5,0)*VLOOKUP('Données projet'!$B$15,Paramètres!$A$1:$I$89,7,0))</f>
        <v>0</v>
      </c>
      <c r="ET117" s="16">
        <f>IF(ISNA(VLOOKUP(A117,'Données projet'!$A$201:$I$221,6,0)),0%,VLOOKUP(A117,'Données projet'!$A$201:$I$221,6,0)*VLOOKUP('Données projet'!$B$15,Paramètres!$A$1:$I$89,7,0))</f>
        <v>0</v>
      </c>
      <c r="EU117" s="16">
        <f>IF(ISNA(VLOOKUP(A117,'Données projet'!$A$201:$I$221,7,0)),0%,VLOOKUP(A117,'Données projet'!$A$201:$I$221,7,0))</f>
        <v>0</v>
      </c>
      <c r="EV117" s="21">
        <f>EXP(-LN(2)/35)*EV116+(1-EXP(-LN(2)/35))/(LN(2)/35)*ER117*ES117*VLOOKUP('Données projet'!$B$15,Paramètres!$A$1:$I$89,3,0)*0.475*44/12</f>
        <v>121.1084860269286</v>
      </c>
      <c r="EW117" s="21">
        <f>EXP(-LN(2)/25)*EW116+(1-EXP(-LN(2)/25))/(LN(2)/25)*Calculateur!ER117*Calculateur!ET117*VLOOKUP('Données projet'!$B$15,Paramètres!$A$1:$I$89,3,0)*0.475*44/12</f>
        <v>28.943422651239228</v>
      </c>
      <c r="EX117" s="21">
        <f>EXP(-LN(2)/2)*EX116+(1-EXP(-LN(2)/2))/(LN(2)/2)*ER117*EU117*VLOOKUP('Données projet'!$B$15,Paramètres!$A$1:$I$89,3,0)*0.475*44/12</f>
        <v>3.243620661847507</v>
      </c>
      <c r="EY117" s="22">
        <f t="shared" si="140"/>
        <v>153.29552934001532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projet'!$A$227:$I$247,2,0)</f>
        <v>#N/A</v>
      </c>
      <c r="FC117" s="12" t="e">
        <f>VLOOKUP(A117,'Données projet'!$A$227:$I$247,9,0)</f>
        <v>#N/A</v>
      </c>
      <c r="FD117" s="12">
        <f t="array" ref="FD117">INDEX(FC:FC,MIN(IF(ISNUMBER(FC117:FC313),ROW(FC117:FC313),"")))</f>
        <v>0</v>
      </c>
      <c r="FE117" s="12">
        <f>IF('Données projet'!$A$228&gt;35,FE116+FD117-FM116,IF(A117&lt;'Données projet'!$A$228,$FB$205^A117,IF(A117='Données projet'!$A$228,'Données projet'!$B$228,FE116+FD117-FM116)))</f>
        <v>8.5265128291212022E-14</v>
      </c>
      <c r="FF117" s="17">
        <f>FE117*VLOOKUP('Données projet'!$B$16,Paramètres!$A$1:$I$89,3,0)*VLOOKUP('Données projet'!$B$16,Paramètres!$A$1:$I$89,5,0)</f>
        <v>8.9119112089974823E-14</v>
      </c>
      <c r="FG117" s="13">
        <f t="shared" si="196"/>
        <v>1.3568952080113142E-12</v>
      </c>
      <c r="FH117" s="20">
        <f t="shared" si="141"/>
        <v>2.5184749408430782E-12</v>
      </c>
      <c r="FI117" s="59">
        <f t="shared" si="142"/>
        <v>293.33333333333582</v>
      </c>
      <c r="FJ117" s="59">
        <f ca="1">AVERAGE(OFFSET($FI$3,0,0,'Données projet'!$E$16+1,1))-AVERAGE(OFFSET($H$3,0,0,'Données projet'!$E$16+1,1))</f>
        <v>259.03906550253788</v>
      </c>
      <c r="FK117" s="59">
        <f t="shared" si="197"/>
        <v>235.54542903570831</v>
      </c>
      <c r="FL117" s="15">
        <f>IF(ISNA(VLOOKUP(A117,'Données projet'!$A$227:$I$247,3,0)),0,VLOOKUP(A117,'Données projet'!$A$227:$I$247,3,0))</f>
        <v>0</v>
      </c>
      <c r="FM117" s="15">
        <f>IF(ISNA(VLOOKUP(A117,'Données projet'!$A$227:$I$247,4,0)),0,VLOOKUP(A117,'Données projet'!$A$227:$I$247,4,0))</f>
        <v>0</v>
      </c>
      <c r="FN117" s="16">
        <f>IF(ISNA(VLOOKUP(A117,'Données projet'!$A$227:$I$247,5,0)),0%,VLOOKUP(A117,'Données projet'!$A$227:$I$247,5,0)*VLOOKUP('Données projet'!$B$16,Paramètres!$A$1:$I$89,7,0))</f>
        <v>0</v>
      </c>
      <c r="FO117" s="16">
        <f>IF(ISNA(VLOOKUP(A117,'Données projet'!$A$227:$I$247,6,0)),0%,VLOOKUP(A117,'Données projet'!$A$227:$I$247,6,0)*VLOOKUP('Données projet'!$B$16,Paramètres!$A$1:$I$89,7,0))</f>
        <v>0</v>
      </c>
      <c r="FP117" s="16">
        <f>IF(ISNA(VLOOKUP(A117,'Données projet'!$A$227:$I$247,7,0)),0%,VLOOKUP(A117,'Données projet'!$A$227:$I$247,7,0))</f>
        <v>0</v>
      </c>
      <c r="FQ117" s="21">
        <f>EXP(-LN(2)/35)*FQ116+(1-EXP(-LN(2)/35))/(LN(2)/35)*FM117*FN117*VLOOKUP('Données projet'!$B$16,Paramètres!$A$1:$I$89,3,0)*0.475*44/12</f>
        <v>53.453994378892169</v>
      </c>
      <c r="FR117" s="21">
        <f>EXP(-LN(2)/25)*FR116+(1-EXP(-LN(2)/25))/(LN(2)/25)*Calculateur!FM117*Calculateur!FO117*VLOOKUP('Données projet'!$B$16,Paramètres!$A$1:$I$89,3,0)*0.475*44/12</f>
        <v>39.816733030773158</v>
      </c>
      <c r="FS117" s="21">
        <f>EXP(-LN(2)/2)*FS116+(1-EXP(-LN(2)/2))/(LN(2)/2)*FM117*FP117*VLOOKUP('Données projet'!$B$16,Paramètres!$A$1:$I$89,3,0)*0.475*44/12</f>
        <v>0</v>
      </c>
      <c r="FT117" s="22">
        <f t="shared" si="143"/>
        <v>93.270727409665326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projet'!$A$253:$I$273,2,0)</f>
        <v>#N/A</v>
      </c>
      <c r="FX117" s="12" t="e">
        <f>VLOOKUP(A117,'Données projet'!$A$253:$I$273,9,0)</f>
        <v>#N/A</v>
      </c>
      <c r="FY117" s="12">
        <f t="array" ref="FY117">INDEX(FX:FX,MIN(IF(ISNUMBER(FX117:FX313),ROW(FX117:FX313),"")))</f>
        <v>0</v>
      </c>
      <c r="FZ117" s="12">
        <f>IF('Données projet'!$A$254&gt;35,FZ116+FY117-GH116,IF(A117&lt;'Données projet'!$A$254,$FW$205^A117,IF(A117='Données projet'!$A$254,'Données projet'!$B$254,FZ116+FY117-GH116)))</f>
        <v>-1.7053025658242404E-13</v>
      </c>
      <c r="GA117" s="17">
        <f>FZ117*VLOOKUP('Données projet'!$B$17,Paramètres!$A$1:$I$89,3,0)*VLOOKUP('Données projet'!$B$17,Paramètres!$A$1:$I$89,5,0)</f>
        <v>-1.4897523215040567E-13</v>
      </c>
      <c r="GB117" s="13" t="e">
        <f t="shared" si="198"/>
        <v>#NUM!</v>
      </c>
      <c r="GC117" s="20" t="e">
        <f t="shared" si="144"/>
        <v>#NUM!</v>
      </c>
      <c r="GD117" s="59" t="e">
        <f t="shared" si="145"/>
        <v>#NUM!</v>
      </c>
      <c r="GE117" s="59">
        <f ca="1">AVERAGE(OFFSET($GD$3,0,0,'Données projet'!$E$17+1,1))-AVERAGE(OFFSET($H$3,0,0,'Données projet'!$E$17+1,1))</f>
        <v>245.1983232777614</v>
      </c>
      <c r="GF117" s="59">
        <f t="shared" si="199"/>
        <v>242.34010522344573</v>
      </c>
      <c r="GG117" s="15">
        <f>IF(ISNA(VLOOKUP(A117,'Données projet'!$A$253:$I$273,3,0)),0,VLOOKUP(A117,'Données projet'!$A$253:$I$273,3,0))</f>
        <v>0</v>
      </c>
      <c r="GH117" s="15">
        <f>IF(ISNA(VLOOKUP(A117,'Données projet'!$A$253:$I$273,4,0)),0,VLOOKUP(A117,'Données projet'!$A$253:$I$273,4,0))</f>
        <v>0</v>
      </c>
      <c r="GI117" s="16">
        <f>IF(ISNA(VLOOKUP(A117,'Données projet'!$A$253:$I$273,5,0)),0%,VLOOKUP(A117,'Données projet'!$A$253:$I$273,5,0)*VLOOKUP('Données projet'!$B$17,Paramètres!$A$1:$I$89,7,0))</f>
        <v>0</v>
      </c>
      <c r="GJ117" s="16">
        <f>IF(ISNA(VLOOKUP(A117,'Données projet'!$A$253:$I$273,6,0)),0%,VLOOKUP(A117,'Données projet'!$A$253:$I$273,6,0)*VLOOKUP('Données projet'!$B$17,Paramètres!$A$1:$I$89,7,0))</f>
        <v>0</v>
      </c>
      <c r="GK117" s="16">
        <f>IF(ISNA(VLOOKUP(A117,'Données projet'!$A$253:$I$273,7,0)),0%,VLOOKUP(A117,'Données projet'!$A$253:$I$273,7,0))</f>
        <v>0</v>
      </c>
      <c r="GL117" s="21">
        <f>EXP(-LN(2)/35)*GL116+(1-EXP(-LN(2)/35))/(LN(2)/35)*GH117*GI117*VLOOKUP('Données projet'!$B$17,Paramètres!$A$1:$I$89,3,0)*0.475*44/12</f>
        <v>62.842504403191114</v>
      </c>
      <c r="GM117" s="21">
        <f>EXP(-LN(2)/25)*GM116+(1-EXP(-LN(2)/25))/(LN(2)/25)*Calculateur!GH117*Calculateur!GJ117*VLOOKUP('Données projet'!$B$17,Paramètres!$A$1:$I$89,3,0)*0.475*44/12</f>
        <v>8.4839758081860115</v>
      </c>
      <c r="GN117" s="21">
        <f>EXP(-LN(2)/2)*GN116+(1-EXP(-LN(2)/2))/(LN(2)/2)*GH117*GK117*VLOOKUP('Données projet'!$B$17,Paramètres!$A$1:$I$89,3,0)*0.475*44/12</f>
        <v>0</v>
      </c>
      <c r="GO117" s="21">
        <f t="shared" si="146"/>
        <v>71.326480211377131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projet'!$A$279:$I$299,2,0)</f>
        <v>#N/A</v>
      </c>
      <c r="GS117" s="12" t="e">
        <f>VLOOKUP(A117,'Données projet'!$A$279:$I$299,9,0)</f>
        <v>#N/A</v>
      </c>
      <c r="GT117" s="12">
        <f t="array" ref="GT117">INDEX(GS:GS,MIN(IF(ISNUMBER(GS117:GS313),ROW(GS117:GS313),"")))</f>
        <v>0</v>
      </c>
      <c r="GU117" s="12">
        <f>IF('Données projet'!$A$280&gt;35,GU116+GT117-HC116,IF(A117&lt;'Données projet'!$A$280,$GR$205^A117,IF(A117='Données projet'!$A$280,'Données projet'!$B$280,GU116+GT117-HC116)))</f>
        <v>-1.1368683772161603E-13</v>
      </c>
      <c r="GV117" s="17">
        <f>GU117*VLOOKUP('Données projet'!$B$18,Paramètres!$A$1:$I$89,3,0)*VLOOKUP('Données projet'!$B$18,Paramètres!$A$1:$I$89,5,0)</f>
        <v>-4.5815795601811263E-14</v>
      </c>
      <c r="GW117" s="13" t="e">
        <f t="shared" si="200"/>
        <v>#NUM!</v>
      </c>
      <c r="GX117" s="20" t="e">
        <f t="shared" si="147"/>
        <v>#NUM!</v>
      </c>
      <c r="GY117" s="59" t="e">
        <f t="shared" si="148"/>
        <v>#NUM!</v>
      </c>
      <c r="GZ117" s="59">
        <f ca="1">AVERAGE(OFFSET($GY$3,0,0,'Données projet'!$E$18+1,1))-AVERAGE(OFFSET($H$3,0,0,'Données projet'!$E$18+1,1))</f>
        <v>324.36162935850876</v>
      </c>
      <c r="HA117" s="59">
        <f t="shared" si="201"/>
        <v>265.23571072429735</v>
      </c>
      <c r="HB117" s="15">
        <f>IF(ISNA(VLOOKUP(A117,'Données projet'!$A$279:$I$299,3,0)),0,VLOOKUP(A117,'Données projet'!$A$279:$I$299,3,0))</f>
        <v>0</v>
      </c>
      <c r="HC117" s="15">
        <f>IF(ISNA(VLOOKUP(A117,'Données projet'!$A$279:$I$299,4,0)),0,VLOOKUP(A117,'Données projet'!$A$279:$I$299,4,0))</f>
        <v>0</v>
      </c>
      <c r="HD117" s="16">
        <f>IF(ISNA(VLOOKUP(A117,'Données projet'!$A$279:$I$299,5,0)),0%,VLOOKUP(A117,'Données projet'!$A$279:$I$299,5,0)*VLOOKUP('Données projet'!$B$18,Paramètres!$A$1:$I$89,7,0))</f>
        <v>0</v>
      </c>
      <c r="HE117" s="16">
        <f>IF(ISNA(VLOOKUP(A117,'Données projet'!$A$279:$I$299,6,0)),0%,VLOOKUP(A117,'Données projet'!$A$279:$I$299,6,0)*VLOOKUP('Données projet'!$B$18,Paramètres!$A$1:$I$89,7,0))</f>
        <v>0</v>
      </c>
      <c r="HF117" s="16">
        <f>IF(ISNA(VLOOKUP($A117,'Données projet'!$A$279:$I$299,7,0)),0%,VLOOKUP($A117,'Données projet'!$A$279:$I$299,7,0))</f>
        <v>0</v>
      </c>
      <c r="HG117" s="21">
        <f>EXP(-LN(2)/35)*HG116+(1-EXP(-LN(2)/35))/(LN(2)/35)*HC117*HD117*VLOOKUP('Données projet'!$B$18,Paramètres!$A$1:$I$89,3,0)*0.475*44/12</f>
        <v>120.42266664924267</v>
      </c>
      <c r="HH117" s="21">
        <f>EXP(-LN(2)/25)*HH116+(1-EXP(-LN(2)/25))/(LN(2)/25)*Calculateur!HC117*Calculateur!HE117*VLOOKUP('Données projet'!$B$18,Paramètres!$A$1:$I$89,3,0)*0.475*44/12</f>
        <v>9.435698593982627</v>
      </c>
      <c r="HI117" s="21">
        <f>EXP(-LN(2)/2)*HI116+(1-EXP(-LN(2)/2))/(LN(2)/2)*HC117*HF117*VLOOKUP('Données projet'!$B$18,Paramètres!$A$1:$I$89,3,0)*0.475*44/12</f>
        <v>6.5210035014190123E-5</v>
      </c>
      <c r="HJ117" s="22">
        <f t="shared" si="149"/>
        <v>129.85843045326033</v>
      </c>
      <c r="HK117" s="74">
        <f>('Scénario référence'!$F$8+'Scénario référence'!$F$9+'Scénario référence'!$B$17+'Scénario référence'!$B$9+'Scénario référence'!$B$10)*70+IF((45+25*(1-EXP(-0.0175*$A117)))&lt;70,'Scénario référence'!$B$16*(45+25*(1-EXP(-0.0175*$A117))),70*'Scénario référence'!$B$16)+IF((32+38*(1-EXP(-0.0175*$A117)))&lt;70,'Scénario référence'!$B$18*(32+38*(1-EXP(-0.0175*$A117))),70*'Scénario référence'!$B$18)</f>
        <v>70</v>
      </c>
      <c r="HL117" s="12">
        <f>IF($A117&gt;30,10,('Scénario référence'!$B$16+'Scénario référence'!$B$17+'Scénario référence'!$B$18+'Scénario référence'!$B$9+'Scénario référence'!$B$10)*$A117*10/30+('Scénario référence'!$F$8+'Scénario référence'!$F$9)*10)</f>
        <v>10</v>
      </c>
      <c r="HM117" s="12" t="e">
        <f>VLOOKUP($A117,'Données projet'!$A$304:$I$324,2,0)</f>
        <v>#N/A</v>
      </c>
      <c r="HN117" s="12" t="e">
        <f>VLOOKUP($A117,'Données projet'!$A$304:$I$324,9,0)</f>
        <v>#N/A</v>
      </c>
      <c r="HO117" s="12">
        <f t="array" ref="HO117">INDEX(HN:HN,MIN(IF(ISNUMBER(HN117:HN313),ROW(HN117:HN313),"")))</f>
        <v>0</v>
      </c>
      <c r="HP117" s="12">
        <f>IF('Données projet'!$A$304&gt;35,HP116+HO117-HX116,IF($A117&lt;'Données projet'!$A$304,$CQ$205^$A117,IF($A117='Données projet'!$A$304,'Données projet'!$B$304,HP116+HO117-HX116)))</f>
        <v>0</v>
      </c>
      <c r="HQ117" s="17">
        <f>HP117*VLOOKUP('Données projet'!$B$19,Paramètres!$A$1:$I$89,3,0)*VLOOKUP('Données projet'!$B$19,Paramètres!$A$1:$I$89,5,0)</f>
        <v>0</v>
      </c>
      <c r="HR117" s="13" t="e">
        <f t="shared" si="202"/>
        <v>#NUM!</v>
      </c>
      <c r="HS117" s="14" t="e">
        <f t="shared" si="150"/>
        <v>#NUM!</v>
      </c>
      <c r="HT117" s="59" t="e">
        <f t="shared" si="151"/>
        <v>#NUM!</v>
      </c>
      <c r="HU117" s="59">
        <f ca="1">AVERAGE(OFFSET(HT$3,0,0,'Données projet'!$E$19+1,1))-AVERAGE(OFFSET($H$3,0,0,'Données projet'!$E$19+1,1))</f>
        <v>91.60721429656013</v>
      </c>
      <c r="HV117" s="59">
        <f t="shared" si="203"/>
        <v>258.94957804210856</v>
      </c>
      <c r="HW117" s="15">
        <f>IF(ISNA(VLOOKUP($A117,'Données projet'!$A$304:$I$324,3,0)),0,VLOOKUP($A117,'Données projet'!$A$304:$I$324,3,0))</f>
        <v>0</v>
      </c>
      <c r="HX117" s="15">
        <f>IF(ISNA(VLOOKUP($A117,'Données projet'!$A$304:$I$324,4,0)),0,VLOOKUP($A117,'Données projet'!$A$304:$I$324,4,0))</f>
        <v>0</v>
      </c>
      <c r="HY117" s="16">
        <f>IF(ISNA(VLOOKUP($A117,'Données projet'!$A$304:$I$324,5,0)),0%,VLOOKUP($A117,'Données projet'!$A$304:$I$324,5,0)*VLOOKUP('Données projet'!$B$19,Paramètres!$A$1:$I$89,7,0))</f>
        <v>0</v>
      </c>
      <c r="HZ117" s="16">
        <f>IF(ISNA(VLOOKUP($A117,'Données projet'!$A$304:$I$324,6,0)),0%,VLOOKUP($A117,'Données projet'!$A$304:$I$324,6,0)*VLOOKUP('Données projet'!$B$19,Paramètres!$A$1:$I$89,7,0))</f>
        <v>0</v>
      </c>
      <c r="IA117" s="16">
        <f>IF(ISNA(VLOOKUP($A117,'Données projet'!$A$304:$I$324,7,0)),0%,VLOOKUP($A117,'Données projet'!$A$304:$I$324,7,0))</f>
        <v>0</v>
      </c>
      <c r="IB117" s="21">
        <f>EXP(-LN(2)/35)*IB116+(1-EXP(-LN(2)/35))/(LN(2)/35)*HX117*HY117*VLOOKUP('Données projet'!$B$19,Paramètres!$A$1:$I$89,3,0)*0.475*44/12</f>
        <v>9.3467997256151918</v>
      </c>
      <c r="IC117" s="21">
        <f>EXP(-LN(2)/25)*IC116+(1-EXP(-LN(2)/25))/(LN(2)/25)*Calculateur!HX117*Calculateur!HZ117*VLOOKUP('Données projet'!$B$19,Paramètres!$A$1:$I$89,3,0)*0.475*44/12</f>
        <v>0.9474375083333475</v>
      </c>
      <c r="ID117" s="21">
        <f>EXP(-LN(2)/2)*ID116+(1-EXP(-LN(2)/2))/(LN(2)/2)*HX117*IA117*VLOOKUP('Données projet'!$B$19,Paramètres!$A$1:$I$89,3,0)*0.475*44/12</f>
        <v>1.3025153560738034E-13</v>
      </c>
      <c r="IE117" s="22">
        <f t="shared" si="152"/>
        <v>10.294237233948669</v>
      </c>
      <c r="IF117" s="74">
        <f>('Scénario référence'!$F$8+'Scénario référence'!$F$9+'Scénario référence'!$B$17+'Scénario référence'!$B$9+'Scénario référence'!$B$10)*70+IF((45+25*(1-EXP(-0.0175*$A117)))&lt;70,'Scénario référence'!$B$16*(45+25*(1-EXP(-0.0175*$A117))),70*'Scénario référence'!$B$16)+IF((32+38*(1-EXP(-0.0175*$A117)))&lt;70,'Scénario référence'!$B$18*(32+38*(1-EXP(-0.0175*$A117))),70*'Scénario référence'!$B$18)</f>
        <v>70</v>
      </c>
      <c r="IG117" s="12">
        <f>IF($A117&gt;30,10,('Scénario référence'!$B$16+'Scénario référence'!$B$17+'Scénario référence'!$B$18+'Scénario référence'!$B$9+'Scénario référence'!$B$10)*$A117*10/30+('Scénario référence'!$F$8+'Scénario référence'!$F$9)*10)</f>
        <v>10</v>
      </c>
      <c r="IH117" s="12" t="e">
        <f>VLOOKUP($A117,'Données projet'!$A$330:$I$350,2,0)</f>
        <v>#N/A</v>
      </c>
      <c r="II117" s="12" t="e">
        <f>VLOOKUP($A117,'Données projet'!$A$330:$I$350,9,0)</f>
        <v>#N/A</v>
      </c>
      <c r="IJ117" s="12">
        <f t="array" ref="IJ117">INDEX(II:II,MIN(IF(ISNUMBER(II117:II313),ROW(II117:II313),"")))</f>
        <v>0</v>
      </c>
      <c r="IK117" s="12">
        <f>IF('Données projet'!$A$330&gt;35,IK116+IJ117-IS116,IF($A117&lt;'Données projet'!$A$330,$CQ$205^$A117,IF($A117='Données projet'!$A$330,'Données projet'!$B$330,IK116+IJ117-IS116)))</f>
        <v>0</v>
      </c>
      <c r="IL117" s="17">
        <f>IK117*VLOOKUP('Données projet'!$B$20,Paramètres!$A$1:$I$89,3,0)*VLOOKUP('Données projet'!$B$20,Paramètres!$A$1:$I$89,5,0)</f>
        <v>0</v>
      </c>
      <c r="IM117" s="13" t="e">
        <f t="shared" si="204"/>
        <v>#NUM!</v>
      </c>
      <c r="IN117" s="20" t="e">
        <f t="shared" si="153"/>
        <v>#NUM!</v>
      </c>
      <c r="IO117" s="59" t="e">
        <f t="shared" si="154"/>
        <v>#NUM!</v>
      </c>
      <c r="IP117" s="59">
        <f ca="1">AVERAGE(OFFSET(IO$3,0,0,'Données projet'!$E$20+1,1))-AVERAGE(OFFSET($H$3,0,0,'Données projet'!$E$20+1,1))</f>
        <v>91.60721429656013</v>
      </c>
      <c r="IQ117" s="59">
        <f t="shared" si="205"/>
        <v>258.94957804210856</v>
      </c>
      <c r="IR117" s="15">
        <f>IF(ISNA(VLOOKUP($A117,'Données projet'!$A$330:$I$350,3,0)),0,VLOOKUP($A117,'Données projet'!$A$330:$I$350,3,0))</f>
        <v>0</v>
      </c>
      <c r="IS117" s="15">
        <f>IF(ISNA(VLOOKUP($A117,'Données projet'!$A$330:$I$350,4,0)),0,VLOOKUP($A117,'Données projet'!$A$330:$I$350,4,0))</f>
        <v>0</v>
      </c>
      <c r="IT117" s="16">
        <f>IF(ISNA(VLOOKUP($A117,'Données projet'!$A$330:$I$350,5,0)),0%,VLOOKUP($A117,'Données projet'!$A$330:$I$350,5,0)*VLOOKUP('Données projet'!$B$20,Paramètres!$A$1:$I$89,7,0))</f>
        <v>0</v>
      </c>
      <c r="IU117" s="16">
        <f>IF(ISNA(VLOOKUP($A117,'Données projet'!$A$330:$I$350,6,0)),0%,VLOOKUP($A117,'Données projet'!$A$330:$I$350,6,0)*VLOOKUP('Données projet'!$B$20,Paramètres!$A$1:$I$89,7,0))</f>
        <v>0</v>
      </c>
      <c r="IV117" s="16">
        <f>IF(ISNA(VLOOKUP($A117,'Données projet'!$A$330:$I$350,7,0)),0%,VLOOKUP($A117,'Données projet'!$A$330:$I$350,7,0))</f>
        <v>0</v>
      </c>
      <c r="IW117" s="21">
        <f>EXP(-LN(2)/35)*IW116+(1-EXP(-LN(2)/35))/(LN(2)/35)*IS117*IT117*VLOOKUP('Données projet'!$B$20,Paramètres!$A$1:$I$89,3,0)*0.475*44/12</f>
        <v>9.3467997256151918</v>
      </c>
      <c r="IX117" s="21">
        <f>EXP(-LN(2)/25)*IX116+(1-EXP(-LN(2)/25))/(LN(2)/25)*Calculateur!IS117*Calculateur!IU117*VLOOKUP('Données projet'!$B$20,Paramètres!$A$1:$I$89,3,0)*0.475*44/12</f>
        <v>0.9474375083333475</v>
      </c>
      <c r="IY117" s="21">
        <f>EXP(-LN(2)/2)*IY116+(1-EXP(-LN(2)/2))/(LN(2)/2)*IS117*IV117*VLOOKUP('Données projet'!$B$20,Paramètres!$A$1:$I$89,3,0)*0.475*44/12</f>
        <v>1.3025153560738034E-13</v>
      </c>
      <c r="IZ117" s="22">
        <f t="shared" si="155"/>
        <v>10.294237233948669</v>
      </c>
      <c r="JA117" s="74">
        <f>('Scénario référence'!$F$8+'Scénario référence'!$F$9+'Scénario référence'!$B$17+'Scénario référence'!$B$9+'Scénario référence'!$B$10)*70+IF((45+25*(1-EXP(-0.0175*$A117)))&lt;70,'Scénario référence'!$B$16*(45+25*(1-EXP(-0.0175*$A117))),70*'Scénario référence'!$B$16)+IF((32+38*(1-EXP(-0.0175*$A117)))&lt;70,'Scénario référence'!$B$18*(32+38*(1-EXP(-0.0175*$A117))),70*'Scénario référence'!$B$18)</f>
        <v>70</v>
      </c>
      <c r="JB117" s="12">
        <f>IF($A117&gt;30,10,('Scénario référence'!$B$16+'Scénario référence'!$B$17+'Scénario référence'!$B$18+'Scénario référence'!$B$9+'Scénario référence'!$B$10)*$A117*10/30+('Scénario référence'!$F$8+'Scénario référence'!$F$9)*10)</f>
        <v>10</v>
      </c>
      <c r="JC117" s="12" t="e">
        <f>VLOOKUP($A117,'Données projet'!$A$356:$I$376,2,0)</f>
        <v>#N/A</v>
      </c>
      <c r="JD117" s="12" t="e">
        <f>VLOOKUP($A117,'Données projet'!$A$356:$I$376,9,0)</f>
        <v>#N/A</v>
      </c>
      <c r="JE117" s="12">
        <f t="array" ref="JE117">INDEX(JD:JD,MIN(IF(ISNUMBER(JD117:JD313),ROW(JD117:JD313),"")))</f>
        <v>2.2000000000000002</v>
      </c>
      <c r="JF117" s="12">
        <f>IF('Données projet'!$A$356&gt;35,JF116+JE117-JN116,IF($A117&lt;'Données projet'!$A$356,$CQ$205^$A117,IF($A117='Données projet'!$A$356,'Données projet'!$B$356,JF116+JE117-JN116)))</f>
        <v>404.79999999999933</v>
      </c>
      <c r="JG117" s="17">
        <f>JF117*VLOOKUP('Données projet'!$B$21,Paramètres!$A$1:$I$89,3,0)*VLOOKUP('Données projet'!$B$21,Paramètres!$A$1:$I$89,5,0)</f>
        <v>328.37375999999949</v>
      </c>
      <c r="JH117" s="13">
        <f t="shared" si="206"/>
        <v>77.093049250109587</v>
      </c>
      <c r="JI117" s="20">
        <f t="shared" si="156"/>
        <v>706.18802611060664</v>
      </c>
      <c r="JJ117" s="59">
        <f t="shared" si="157"/>
        <v>999.5213594439399</v>
      </c>
      <c r="JK117" s="59">
        <f ca="1">AVERAGE(OFFSET($JJ$3,0,0,'Données projet'!$E$22+1,1))-AVERAGE(OFFSET($H$3,0,0,'Données projet'!$E$22+1,1))</f>
        <v>353.35574633294613</v>
      </c>
      <c r="JL117" s="59">
        <f t="shared" si="207"/>
        <v>170.36796666474726</v>
      </c>
      <c r="JM117" s="15">
        <f>IF(ISNA(VLOOKUP($A117,'Données projet'!$A$356:$I$376,3,0)),0,VLOOKUP($A117,'Données projet'!$A$356:$I$376,3,0))</f>
        <v>0</v>
      </c>
      <c r="JN117" s="15">
        <f>IF(ISNA(VLOOKUP($A117,'Données projet'!$A$356:$I$376,4,0)),0,VLOOKUP($A117,'Données projet'!$A$356:$I$376,4,0))</f>
        <v>0</v>
      </c>
      <c r="JO117" s="16">
        <f>IF(ISNA(VLOOKUP($A117,'Données projet'!$A$356:$I$376,5,0)),0%,VLOOKUP($A117,'Données projet'!$A$356:$I$376,5,0)*VLOOKUP('Données projet'!$B$21,Paramètres!$A$1:$I$89,7,0))</f>
        <v>0</v>
      </c>
      <c r="JP117" s="16">
        <f>IF(ISNA(VLOOKUP($A117,'Données projet'!$A$356:$I$376,6,0)),0%,VLOOKUP($A117,'Données projet'!$A$356:$I$376,6,0)*VLOOKUP('Données projet'!$B$21,Paramètres!$A$1:$I$89,7,0))</f>
        <v>0</v>
      </c>
      <c r="JQ117" s="16">
        <f>IF(ISNA(VLOOKUP($A117,'Données projet'!$A$356:$I$376,7,0)),0%,VLOOKUP($A117,'Données projet'!$A$356:$I$376,7,0))</f>
        <v>0</v>
      </c>
      <c r="JR117" s="21">
        <f>EXP(-LN(2)/35)*JR116+(1-EXP(-LN(2)/35))/(LN(2)/35)*JN117*JO117*VLOOKUP('Données projet'!$B$21,Paramètres!$A$1:$I$89,3,0)*0.475*44/12</f>
        <v>4.6428499809004711</v>
      </c>
      <c r="JS117" s="21">
        <f>EXP(-LN(2)/25)*JS116+(1-EXP(-LN(2)/25))/(LN(2)/25)*Calculateur!JN117*Calculateur!JP117*VLOOKUP('Données projet'!$B$21,Paramètres!$A$1:$I$89,3,0)*0.475*44/12</f>
        <v>15.827894288053693</v>
      </c>
      <c r="JT117" s="21">
        <f>EXP(-LN(2)/2)*JT116+(1-EXP(-LN(2)/2))/(LN(2)/2)*JN117*JQ117*VLOOKUP('Données projet'!$B$21,Paramètres!$A$1:$I$89,3,0)*0.475*44/12</f>
        <v>0.87214713771430052</v>
      </c>
      <c r="JU117" s="18">
        <f t="shared" si="158"/>
        <v>21.342891406668464</v>
      </c>
      <c r="JV117" s="74">
        <f>('Scénario référence'!$F$8+'Scénario référence'!$F$9+'Scénario référence'!$B$17+'Scénario référence'!$B$9+'Scénario référence'!$B$10)*70+IF((45+25*(1-EXP(-0.0175*$A117)))&lt;70,'Scénario référence'!$B$16*(45+25*(1-EXP(-0.0175*$A117))),70*'Scénario référence'!$B$16)+IF((32+38*(1-EXP(-0.0175*$A117)))&lt;70,'Scénario référence'!$B$18*(32+38*(1-EXP(-0.0175*$A117))),70*'Scénario référence'!$B$18)</f>
        <v>70</v>
      </c>
      <c r="JW117" s="12">
        <f>IF($A117&gt;30,10,('Scénario référence'!$B$16+'Scénario référence'!$B$17+'Scénario référence'!$B$18+'Scénario référence'!$B$9+'Scénario référence'!$B$10)*$A117*10/30+('Scénario référence'!$F$8+'Scénario référence'!$F$9)*10)</f>
        <v>10</v>
      </c>
      <c r="JX117" s="12" t="e">
        <f>VLOOKUP($A117,'Données projet'!$A$382:$I$402,2,0)</f>
        <v>#N/A</v>
      </c>
      <c r="JY117" s="12" t="e">
        <f>VLOOKUP($A117,'Données projet'!$A$382:$I$402,9,0)</f>
        <v>#N/A</v>
      </c>
      <c r="JZ117" s="12">
        <f t="array" ref="JZ117">INDEX(JY:JY,MIN(IF(ISNUMBER(JY117:JY313),ROW(JY117:JY313),"")))</f>
        <v>6.8461538461538511</v>
      </c>
      <c r="KA117" s="12">
        <f>IF('Données projet'!$A$382&gt;35,KA116+JZ117-KI116,IF($A117&lt;'Données projet'!$A$382,$CQ$205^$A117,IF($A117='Données projet'!$A$382,'Données projet'!$B$382,KA116+JZ117-KI116)))</f>
        <v>323.10897435897471</v>
      </c>
      <c r="KB117" s="17">
        <f>KA117*VLOOKUP('Données projet'!$B$22,Paramètres!$A$1:$I$89,3,0)*VLOOKUP('Données projet'!$B$22,Paramètres!$A$1:$I$89,5,0)</f>
        <v>216.74150000000026</v>
      </c>
      <c r="KC117" s="13">
        <f t="shared" si="208"/>
        <v>53.406052953840948</v>
      </c>
      <c r="KD117" s="20">
        <f t="shared" si="159"/>
        <v>470.50698806127343</v>
      </c>
      <c r="KE117" s="59">
        <f t="shared" si="160"/>
        <v>763.84032139460669</v>
      </c>
      <c r="KF117" s="59">
        <f ca="1">AVERAGE(OFFSET($KE$3,0,0,'Données projet'!$E$22+1,1))-AVERAGE(OFFSET($H$3,0,0,'Données projet'!$E$22+1,1))</f>
        <v>193.91714772848269</v>
      </c>
      <c r="KG117" s="59">
        <f t="shared" si="209"/>
        <v>159.20429420478047</v>
      </c>
      <c r="KH117" s="15">
        <f>IF(ISNA(VLOOKUP($A117,'Données projet'!$A$382:$I$402,3,0)),0,VLOOKUP($A117,'Données projet'!$A$382:$I$402,3,0))</f>
        <v>0</v>
      </c>
      <c r="KI117" s="15">
        <f>IF(ISNA(VLOOKUP($A117,'Données projet'!$A$382:$I$402,4,0)),0,VLOOKUP($A117,'Données projet'!$A$382:$I$402,4,0))</f>
        <v>0</v>
      </c>
      <c r="KJ117" s="16">
        <f>IF(ISNA(VLOOKUP($A117,'Données projet'!$A$382:$I$402,5,0)),0%,VLOOKUP($A117,'Données projet'!$A$382:$I$402,5,0)*VLOOKUP('Données projet'!$B$22,Paramètres!$A$1:$I$89,7,0))</f>
        <v>0</v>
      </c>
      <c r="KK117" s="16">
        <f>IF(ISNA(VLOOKUP($A117,'Données projet'!$A$382:$I$402,6,0)),0%,VLOOKUP($A117,'Données projet'!$A$382:$I$402,6,0)*VLOOKUP('Données projet'!$B$22,Paramètres!$A$1:$I$89,7,0))</f>
        <v>0</v>
      </c>
      <c r="KL117" s="16">
        <f>IF(ISNA(VLOOKUP($A117,'Données projet'!$A$382:$I$402,7,0)),0%,VLOOKUP($A117,'Données projet'!$A$382:$I$402,7,0))</f>
        <v>0</v>
      </c>
      <c r="KM117" s="21">
        <f>EXP(-LN(2)/35)*KM116+(1-EXP(-LN(2)/35))/(LN(2)/35)*KI117*KJ117*VLOOKUP('Données projet'!$B$22,Paramètres!$A$1:$I$89,3,0)*0.475*44/12</f>
        <v>49.797790233231858</v>
      </c>
      <c r="KN117" s="21">
        <f>EXP(-LN(2)/25)*KN116+(1-EXP(-LN(2)/25))/(LN(2)/25)*Calculateur!KI117*Calculateur!KK117*VLOOKUP('Données projet'!$B$22,Paramètres!$A$1:$I$89,3,0)*0.475*44/12</f>
        <v>0</v>
      </c>
      <c r="KO117" s="21">
        <f>EXP(-LN(2)/2)*KO116+(1-EXP(-LN(2)/2))/(LN(2)/2)*KI117*KL117*VLOOKUP('Données projet'!$B$22,Paramètres!$A$1:$I$89,3,0)*0.475*44/12</f>
        <v>0</v>
      </c>
      <c r="KP117" s="22">
        <f t="shared" si="161"/>
        <v>49.797790233231858</v>
      </c>
      <c r="KQ117" s="74">
        <f>('Scénario référence'!$F$8+'Scénario référence'!$F$9+'Scénario référence'!$B$17+'Scénario référence'!$B$9+'Scénario référence'!$B$10)*70+IF((45+25*(1-EXP(-0.0175*$A117)))&lt;70,'Scénario référence'!$B$16*(45+25*(1-EXP(-0.0175*$A117))),70*'Scénario référence'!$B$16)+IF((32+38*(1-EXP(-0.0175*$A117)))&lt;70,'Scénario référence'!$B$18*(32+38*(1-EXP(-0.0175*$A117))),70*'Scénario référence'!$B$18)</f>
        <v>70</v>
      </c>
      <c r="KR117" s="12">
        <f>IF($A117&gt;30,10,('Scénario référence'!$B$16+'Scénario référence'!$B$17+'Scénario référence'!$B$18+'Scénario référence'!$B$9+'Scénario référence'!$B$10)*$A117*10/30+('Scénario référence'!$F$8+'Scénario référence'!$F$9)*10)</f>
        <v>10</v>
      </c>
      <c r="KS117" s="12" t="e">
        <f>VLOOKUP($A117,'Données projet'!$A$408:$I$428,2,0)</f>
        <v>#N/A</v>
      </c>
      <c r="KT117" s="12" t="e">
        <f>VLOOKUP($A117,'Données projet'!$A$408:$I$428,9,0)</f>
        <v>#N/A</v>
      </c>
      <c r="KU117" s="12">
        <f t="array" ref="KU117">INDEX(KT:KT,MIN(IF(ISNUMBER(KT117:KT313),ROW(KT117:KT313),"")))</f>
        <v>0</v>
      </c>
      <c r="KV117" s="12">
        <f>IF('Données projet'!$A$408&gt;35,KV116+KU117-LD116,IF($A117&lt;'Données projet'!$A$408,$CQ$205^$A117,IF($A117='Données projet'!$A$408,'Données projet'!$B$408,KV116+KU117-LD116)))</f>
        <v>-1.1368683772161603E-13</v>
      </c>
      <c r="KW117" s="17">
        <f>KV117*VLOOKUP('Données projet'!$B$23,Paramètres!$A$1:$I$89,3,0)*VLOOKUP('Données projet'!$B$23,Paramètres!$A$1:$I$89,5,0)</f>
        <v>-9.9316821433603781E-14</v>
      </c>
      <c r="KX117" s="13" t="e">
        <f t="shared" si="210"/>
        <v>#NUM!</v>
      </c>
      <c r="KY117" s="14" t="e">
        <f t="shared" si="162"/>
        <v>#NUM!</v>
      </c>
      <c r="KZ117" s="59" t="e">
        <f t="shared" si="163"/>
        <v>#NUM!</v>
      </c>
      <c r="LA117" s="59">
        <f ca="1">AVERAGE(OFFSET($KZ$3,0,0,'Données projet'!$E$23+1,1))-AVERAGE(OFFSET($H$3,0,0,'Données projet'!$E$23+1,1))</f>
        <v>248.33596943633819</v>
      </c>
      <c r="LB117" s="59">
        <f t="shared" si="211"/>
        <v>242.34010522344573</v>
      </c>
      <c r="LC117" s="15">
        <f>IF(ISNA(VLOOKUP($A117,'Données projet'!$A$408:$I$428,3,0)),0,VLOOKUP($A117,'Données projet'!$A$408:$I$428,3,0))</f>
        <v>0</v>
      </c>
      <c r="LD117" s="15">
        <f>IF(ISNA(VLOOKUP($A117,'Données projet'!$A$408:$I$428,4,0)),0,VLOOKUP($A117,'Données projet'!$A$408:$I$428,4,0))</f>
        <v>0</v>
      </c>
      <c r="LE117" s="16">
        <f>IF(ISNA(VLOOKUP($A117,'Données projet'!$A$408:$I$428,5,0)),0%,VLOOKUP($A117,'Données projet'!$A$408:$I$428,5,0)*VLOOKUP('Données projet'!$B$23,Paramètres!$A$1:$I$89,7,0))</f>
        <v>0</v>
      </c>
      <c r="LF117" s="16">
        <f>IF(ISNA(VLOOKUP($A117,'Données projet'!$A$408:$I$428,6,0)),0%,VLOOKUP($A117,'Données projet'!$A$408:$I$428,6,0)*VLOOKUP('Données projet'!$B$23,Paramètres!$A$1:$I$89,7,0))</f>
        <v>0</v>
      </c>
      <c r="LG117" s="16">
        <f>IF(ISNA(VLOOKUP($A117,'Données projet'!$A$408:$I$428,7,0)),0%,VLOOKUP($A117,'Données projet'!$A$408:$I$428,7,0))</f>
        <v>0</v>
      </c>
      <c r="LH117" s="21">
        <f>EXP(-LN(2)/35)*LH116+(1-EXP(-LN(2)/35))/(LN(2)/35)*LD117*LE117*VLOOKUP('Données projet'!$B$23,Paramètres!$A$1:$I$89,3,0)*0.475*44/12</f>
        <v>62.842504403191114</v>
      </c>
      <c r="LI117" s="21">
        <f>EXP(-LN(2)/25)*LI116+(1-EXP(-LN(2)/25))/(LN(2)/25)*Calculateur!LD117*Calculateur!LF117*VLOOKUP('Données projet'!$B$23,Paramètres!$A$1:$I$89,3,0)*0.475*44/12</f>
        <v>8.4839758081860115</v>
      </c>
      <c r="LJ117" s="21">
        <f>EXP(-LN(2)/2)*LJ116+(1-EXP(-LN(2)/2))/(LN(2)/2)*LD117*LG117*VLOOKUP('Données projet'!$B$23,Paramètres!$A$1:$I$89,3,0)*0.475*44/12</f>
        <v>0</v>
      </c>
      <c r="LK117" s="22">
        <f t="shared" si="164"/>
        <v>71.326480211377131</v>
      </c>
      <c r="LL117" s="74">
        <f>('Scénario référence'!$F$8+'Scénario référence'!$F$9+'Scénario référence'!$B$17+'Scénario référence'!$B$9+'Scénario référence'!$B$10)*70+IF((45+25*(1-EXP(-0.0175*$A117)))&lt;70,'Scénario référence'!$B$16*(45+25*(1-EXP(-0.0175*$A117))),70*'Scénario référence'!$B$16)+IF((32+38*(1-EXP(-0.0175*$A117)))&lt;70,'Scénario référence'!$B$18*(32+38*(1-EXP(-0.0175*$A117))),70*'Scénario référence'!$B$18)</f>
        <v>70</v>
      </c>
      <c r="LM117" s="12">
        <f>IF($A117&gt;30,10,('Scénario référence'!$B$16+'Scénario référence'!$B$17+'Scénario référence'!$B$18+'Scénario référence'!$B$9+'Scénario référence'!$B$10)*$A117*10/30+('Scénario référence'!$F$8+'Scénario référence'!$F$9)*10)</f>
        <v>10</v>
      </c>
      <c r="LN117" s="12" t="e">
        <f>VLOOKUP($A117,'Données projet'!$A$434:$I$454,2,0)</f>
        <v>#N/A</v>
      </c>
      <c r="LO117" s="12" t="e">
        <f>VLOOKUP($A117,'Données projet'!$A$434:$I$454,9,0)</f>
        <v>#N/A</v>
      </c>
      <c r="LP117" s="12">
        <f t="array" ref="LP117">INDEX(LO:LO,MIN(IF(ISNUMBER(LO117:LO313),ROW(LO117:LO313),"")))</f>
        <v>5.3066239316239274</v>
      </c>
      <c r="LQ117" s="12">
        <f>IF('Données projet'!$A$434&gt;35,LQ116+LP117-LY116,IF($A117&lt;'Données projet'!$A$434,$CQ$205^$A117,IF($A117='Données projet'!$A$434,'Données projet'!$B$434,LQ116+LP117-LY116)))</f>
        <v>219.9220085470082</v>
      </c>
      <c r="LR117" s="17">
        <f>LQ117*VLOOKUP('Données projet'!$B$24,Paramètres!$A$1:$I$89,3,0)*VLOOKUP('Données projet'!$B$24,Paramètres!$A$1:$I$89,5,0)</f>
        <v>223.00091666666631</v>
      </c>
      <c r="LS117" s="13">
        <f t="shared" si="212"/>
        <v>54.766604945604634</v>
      </c>
      <c r="LT117" s="14">
        <f t="shared" si="165"/>
        <v>483.77843347470525</v>
      </c>
      <c r="LU117" s="59">
        <f t="shared" si="166"/>
        <v>777.11176680803851</v>
      </c>
      <c r="LV117" s="59">
        <f ca="1">AVERAGE(OFFSET($LU$3,0,0,'Données projet'!$E$24+1,1))-AVERAGE(OFFSET($H$3,0,0,'Données projet'!$E$24+1,1))</f>
        <v>260.52627655062872</v>
      </c>
      <c r="LW117" s="59">
        <f t="shared" si="213"/>
        <v>159.20429420478047</v>
      </c>
      <c r="LX117" s="15">
        <f>IF(ISNA(VLOOKUP($A117,'Données projet'!$A$434:$I$454,3,0)),0,VLOOKUP($A117,'Données projet'!$A$434:$I$454,3,0))</f>
        <v>0</v>
      </c>
      <c r="LY117" s="15">
        <f>IF(ISNA(VLOOKUP($A117,'Données projet'!$A$434:$I$454,4,0)),0,VLOOKUP($A117,'Données projet'!$A$434:$I$454,4,0))</f>
        <v>0</v>
      </c>
      <c r="LZ117" s="16">
        <f>IF(ISNA(VLOOKUP($A117,'Données projet'!$A$434:$I$454,5,0)),0%,VLOOKUP($A117,'Données projet'!$A$434:$I$454,5,0)*VLOOKUP('Données projet'!$B$24,Paramètres!$A$1:$I$89,7,0))</f>
        <v>0</v>
      </c>
      <c r="MA117" s="16">
        <f>IF(ISNA(VLOOKUP($A117,'Données projet'!$A$434:$I$454,6,0)),0%,VLOOKUP($A117,'Données projet'!$A$434:$I$454,6,0)*VLOOKUP('Données projet'!$B$24,Paramètres!$A$1:$I$89,7,0))</f>
        <v>0</v>
      </c>
      <c r="MB117" s="16">
        <f>IF(ISNA(VLOOKUP($A117,'Données projet'!$A$434:$I$454,7,0)),0%,VLOOKUP($A117,'Données projet'!$A$434:$I$454,7,0))</f>
        <v>0</v>
      </c>
      <c r="MC117" s="21">
        <f>EXP(-LN(2)/35)*MC116+(1-EXP(-LN(2)/35))/(LN(2)/35)*LY117*LZ117*VLOOKUP('Données projet'!$B$24,Paramètres!$A$1:$I$89,3,0)*0.475*44/12</f>
        <v>39.225763257907019</v>
      </c>
      <c r="MD117" s="21">
        <f>EXP(-LN(2)/25)*MD116+(1-EXP(-LN(2)/25))/(LN(2)/25)*Calculateur!LY117*Calculateur!MA117*VLOOKUP('Données projet'!$B$24,Paramètres!$A$1:$I$89,3,0)*0.475*44/12</f>
        <v>0</v>
      </c>
      <c r="ME117" s="21">
        <f>EXP(-LN(2)/2)*ME116+(1-EXP(-LN(2)/2))/(LN(2)/2)*LY117*MB117*VLOOKUP('Données projet'!$B$24,Paramètres!$A$1:$I$89,3,0)*0.475*44/12</f>
        <v>0</v>
      </c>
      <c r="MF117" s="22">
        <f t="shared" si="167"/>
        <v>39.225763257907019</v>
      </c>
      <c r="MG117" s="74">
        <f>('Scénario référence'!$F$8+'Scénario référence'!$F$9+'Scénario référence'!$B$17+'Scénario référence'!$B$9+'Scénario référence'!$B$10)*70+IF((45+25*(1-EXP(-0.0175*$A117)))&lt;70,'Scénario référence'!$B$16*(45+25*(1-EXP(-0.0175*$A117))),70*'Scénario référence'!$B$16)+IF((32+38*(1-EXP(-0.0175*$A117)))&lt;70,'Scénario référence'!$B$18*(32+38*(1-EXP(-0.0175*$A117))),70*'Scénario référence'!$B$18)</f>
        <v>70</v>
      </c>
      <c r="MH117" s="12">
        <f>IF($A117&gt;30,10,('Scénario référence'!$B$16+'Scénario référence'!$B$17+'Scénario référence'!$B$18+'Scénario référence'!$B$9+'Scénario référence'!$B$10)*$A117*10/30+('Scénario référence'!$F$8+'Scénario référence'!$F$9)*10)</f>
        <v>10</v>
      </c>
      <c r="MI117" s="12" t="e">
        <f>VLOOKUP($A117,'Données projet'!$A$460:$I$480,2,0)</f>
        <v>#N/A</v>
      </c>
      <c r="MJ117" s="12" t="e">
        <f>VLOOKUP($A117,'Données projet'!$A$460:$I$480,9,0)</f>
        <v>#N/A</v>
      </c>
      <c r="MK117" s="12">
        <f t="array" ref="MK117">INDEX(MJ:MJ,MIN(IF(ISNUMBER(MJ117:MJ313),ROW(MJ117:MJ313),"")))</f>
        <v>0</v>
      </c>
      <c r="ML117" s="12">
        <f>IF('Données projet'!$A$460&gt;35,ML116+MK117-MT116,IF($A117&lt;'Données projet'!$A$460,$CQ$205^$A117,IF($A117='Données projet'!$A$460,'Données projet'!$B$460,ML116+MK117-MT116)))</f>
        <v>0</v>
      </c>
      <c r="MM117" s="17" t="e">
        <f>ML117*VLOOKUP('Données projet'!$B$25,Paramètres!$A$1:$I$89,3,0)*VLOOKUP('Données projet'!$B$25,Paramètres!$A$1:$I$89,5,0)</f>
        <v>#N/A</v>
      </c>
      <c r="MN117" s="13" t="e">
        <f t="shared" si="214"/>
        <v>#N/A</v>
      </c>
      <c r="MO117" s="14" t="e">
        <f t="shared" si="168"/>
        <v>#N/A</v>
      </c>
      <c r="MP117" s="59" t="e">
        <f t="shared" si="169"/>
        <v>#N/A</v>
      </c>
      <c r="MQ117" s="20" t="e">
        <f ca="1">AVERAGE(OFFSET($MP$3,0,0,'Données projet'!$E$25+1,1))-AVERAGE(OFFSET($H$3,0,0,'Données projet'!$E$25+1,1))</f>
        <v>#N/A</v>
      </c>
      <c r="MR117" s="59" t="e">
        <f t="shared" si="215"/>
        <v>#N/A</v>
      </c>
      <c r="MS117" s="15">
        <f>IF(ISNA(VLOOKUP($A117,'Données projet'!$A$460:$I$480,3,0)),0,VLOOKUP($A117,'Données projet'!$A$460:$I$480,3,0))</f>
        <v>0</v>
      </c>
      <c r="MT117" s="15">
        <f>IF(ISNA(VLOOKUP($A117,'Données projet'!$A$460:$I$480,4,0)),0,VLOOKUP($A117,'Données projet'!$A$460:$I$480,4,0))</f>
        <v>0</v>
      </c>
      <c r="MU117" s="16">
        <f>IF(ISNA(VLOOKUP($A117,'Données projet'!$A$460:$I$480,5,0)),0%,VLOOKUP($A117,'Données projet'!$A$460:$I$480,5,0)*VLOOKUP('Données projet'!$B$25,Paramètres!$A$1:$I$89,7,0))</f>
        <v>0</v>
      </c>
      <c r="MV117" s="16">
        <f>IF(ISNA(VLOOKUP($A117,'Données projet'!$A$460:$I$480,6,0)),0%,VLOOKUP($A117,'Données projet'!$A$460:$I$480,6,0)*VLOOKUP('Données projet'!$B$25,Paramètres!$A$1:$I$89,7,0))</f>
        <v>0</v>
      </c>
      <c r="MW117" s="16">
        <f>IF(ISNA(VLOOKUP($A117,'Données projet'!$A$460:$I$480,7,0)),0%,VLOOKUP($A117,'Données projet'!$A$460:$I$480,7,0))</f>
        <v>0</v>
      </c>
      <c r="MX117" s="21" t="e">
        <f>EXP(-LN(2)/35)*MX116+(1-EXP(-LN(2)/35))/(LN(2)/35)*MT117*MU117*VLOOKUP('Données projet'!$B$25,Paramètres!$A$1:$I$89,3,0)*0.475*44/12</f>
        <v>#N/A</v>
      </c>
      <c r="MY117" s="21" t="e">
        <f>EXP(-LN(2)/25)*MY116+(1-EXP(-LN(2)/25))/(LN(2)/25)*Calculateur!MT117*Calculateur!MV117*VLOOKUP('Données projet'!$B$25,Paramètres!$A$1:$I$89,3,0)*0.475*44/12</f>
        <v>#N/A</v>
      </c>
      <c r="MZ117" s="21" t="e">
        <f>EXP(-LN(2)/2)*MZ116+(1-EXP(-LN(2)/2))/(LN(2)/2)*MT117*MW117*VLOOKUP('Données projet'!$B$25,Paramètres!$A$1:$I$89,3,0)*0.475*44/12</f>
        <v>#N/A</v>
      </c>
      <c r="NA117" s="22" t="e">
        <f t="shared" si="170"/>
        <v>#N/A</v>
      </c>
      <c r="NB117" s="74">
        <f>('Scénario référence'!$F$8+'Scénario référence'!$F$9+'Scénario référence'!$B$17+'Scénario référence'!$B$9+'Scénario référence'!$B$10)*70+IF((45+25*(1-EXP(-0.0175*$A117)))&lt;70,'Scénario référence'!$B$16*(45+25*(1-EXP(-0.0175*$A117))),70*'Scénario référence'!$B$16)+IF((32+38*(1-EXP(-0.0175*$A117)))&lt;70,'Scénario référence'!$B$18*(32+38*(1-EXP(-0.0175*$A117))),70*'Scénario référence'!$B$18)</f>
        <v>70</v>
      </c>
      <c r="NC117" s="12">
        <f>IF($A117&gt;30,10,('Scénario référence'!$B$16+'Scénario référence'!$B$17+'Scénario référence'!$B$18+'Scénario référence'!$B$9+'Scénario référence'!$B$10)*$A117*10/30+('Scénario référence'!$F$8+'Scénario référence'!$F$9)*10)</f>
        <v>10</v>
      </c>
      <c r="ND117" s="12" t="e">
        <f>VLOOKUP($A117,'Données projet'!$A$486:$I$506,2,0)</f>
        <v>#N/A</v>
      </c>
      <c r="NE117" s="12" t="e">
        <f>VLOOKUP($A117,'Données projet'!$A$486:$I$506,9,0)</f>
        <v>#N/A</v>
      </c>
      <c r="NF117" s="12">
        <f t="array" ref="NF117">INDEX(NE:NE,MIN(IF(ISNUMBER(NE117:NE313),ROW(NE117:NE313),"")))</f>
        <v>0</v>
      </c>
      <c r="NG117" s="12">
        <f>IF('Données projet'!$A$486&gt;35,NG116+NF117-NO116,IF($A117&lt;'Données projet'!$A$486,$CQ$205^$A117,IF($A117='Données projet'!$A$486,'Données projet'!$B$486,NG116+NF117-NO116)))</f>
        <v>0</v>
      </c>
      <c r="NH117" s="17" t="e">
        <f>NG117*VLOOKUP('Données projet'!$B$26,Paramètres!$A$1:$I$89,3,0)*VLOOKUP('Données projet'!$B$26,Paramètres!$A$1:$I$89,5,0)</f>
        <v>#N/A</v>
      </c>
      <c r="NI117" s="13" t="e">
        <f t="shared" si="216"/>
        <v>#N/A</v>
      </c>
      <c r="NJ117" s="14" t="e">
        <f t="shared" si="171"/>
        <v>#N/A</v>
      </c>
      <c r="NK117" s="59" t="e">
        <f t="shared" si="172"/>
        <v>#N/A</v>
      </c>
      <c r="NL117" s="20" t="e">
        <f ca="1">AVERAGE(OFFSET($NK$3,0,0,'Données projet'!$E$26+1,1))-AVERAGE(OFFSET($H$3,0,0,'Données projet'!$E$26+1,1))</f>
        <v>#N/A</v>
      </c>
      <c r="NM117" s="59" t="e">
        <f t="shared" si="217"/>
        <v>#N/A</v>
      </c>
      <c r="NN117" s="15">
        <f>IF(ISNA(VLOOKUP($A117,'Données projet'!$A$486:$I$506,3,0)),0,VLOOKUP($A117,'Données projet'!$A$486:$I$506,3,0))</f>
        <v>0</v>
      </c>
      <c r="NO117" s="15">
        <f>IF(ISNA(VLOOKUP($A117,'Données projet'!$A$486:$I$506,4,0)),0,VLOOKUP($A117,'Données projet'!$A$486:$I$506,4,0))</f>
        <v>0</v>
      </c>
      <c r="NP117" s="16">
        <f>IF(ISNA(VLOOKUP($A117,'Données projet'!$A$486:$I$506,5,0)),0%,VLOOKUP($A117,'Données projet'!$A$486:$I$506,5,0)*VLOOKUP('Données projet'!$B$26,Paramètres!$A$1:$I$89,7,0))</f>
        <v>0</v>
      </c>
      <c r="NQ117" s="16">
        <f>IF(ISNA(VLOOKUP($A117,'Données projet'!$A$486:$I$506,6,0)),0%,VLOOKUP($A117,'Données projet'!$A$486:$I$506,6,0)*VLOOKUP('Données projet'!$B$26,Paramètres!$A$1:$I$89,7,0))</f>
        <v>0</v>
      </c>
      <c r="NR117" s="16">
        <f>IF(ISNA(VLOOKUP($A117,'Données projet'!$A$486:$I$506,7,0)),0%,VLOOKUP($A117,'Données projet'!$A$486:$I$506,7,0))</f>
        <v>0</v>
      </c>
      <c r="NS117" s="21" t="e">
        <f>EXP(-LN(2)/35)*NS116+(1-EXP(-LN(2)/35))/(LN(2)/35)*NO117*NP117*VLOOKUP('Données projet'!$B$26,Paramètres!$A$1:$I$89,3,0)*0.475*44/12</f>
        <v>#N/A</v>
      </c>
      <c r="NT117" s="21" t="e">
        <f>EXP(-LN(2)/25)*NT116+(1-EXP(-LN(2)/25))/(LN(2)/25)*Calculateur!NO117*Calculateur!NQ117*VLOOKUP('Données projet'!$B$26,Paramètres!$A$1:$I$89,3,0)*0.475*44/12</f>
        <v>#N/A</v>
      </c>
      <c r="NU117" s="21" t="e">
        <f>EXP(-LN(2)/2)*NU116+(1-EXP(-LN(2)/2))/(LN(2)/2)*NO117*NR117*VLOOKUP('Données projet'!$B$26,Paramètres!$A$1:$I$89,3,0)*0.475*44/12</f>
        <v>#N/A</v>
      </c>
      <c r="NV117" s="22" t="e">
        <f t="shared" si="173"/>
        <v>#N/A</v>
      </c>
      <c r="NW117" s="74">
        <f>('Scénario référence'!$F$8+'Scénario référence'!$F$9+'Scénario référence'!$B$17+'Scénario référence'!$B$9+'Scénario référence'!$B$10)*70+IF((45+25*(1-EXP(-0.0175*$A117)))&lt;70,'Scénario référence'!$B$16*(45+25*(1-EXP(-0.0175*$A117))),70*'Scénario référence'!$B$16)+IF((32+38*(1-EXP(-0.0175*$A117)))&lt;70,'Scénario référence'!$B$18*(32+38*(1-EXP(-0.0175*$A117))),70*'Scénario référence'!$B$18)</f>
        <v>70</v>
      </c>
      <c r="NX117" s="12">
        <f>IF($A117&gt;30,10,('Scénario référence'!$B$16+'Scénario référence'!$B$17+'Scénario référence'!$B$18+'Scénario référence'!$B$9+'Scénario référence'!$B$10)*$A117*10/30+('Scénario référence'!$F$8+'Scénario référence'!$F$9)*10)</f>
        <v>10</v>
      </c>
      <c r="NY117" s="12" t="e">
        <f>VLOOKUP($A117,'Données projet'!$A$512:$I$532,2,0)</f>
        <v>#N/A</v>
      </c>
      <c r="NZ117" s="12" t="e">
        <f>VLOOKUP($A117,'Données projet'!$A$512:$I$532,9,0)</f>
        <v>#N/A</v>
      </c>
      <c r="OA117" s="12">
        <f t="array" ref="OA117">INDEX(NZ:NZ,MIN(IF(ISNUMBER(NZ117:NZ313),ROW(NZ117:NZ313),"")))</f>
        <v>0</v>
      </c>
      <c r="OB117" s="12">
        <f>IF('Données projet'!$A$512&gt;35,OB116+OA117-OJ116,IF($A117&lt;'Données projet'!$A$512,$CQ$205^$A117,IF($A117='Données projet'!$A$512,'Données projet'!$B$512,OB116+OA117-OJ116)))</f>
        <v>0</v>
      </c>
      <c r="OC117" s="17" t="e">
        <f>OB117*VLOOKUP('Données projet'!$B$27,Paramètres!$A$1:$I$89,3,0)*VLOOKUP('Données projet'!$B$27,Paramètres!$A$1:$I$89,5,0)</f>
        <v>#N/A</v>
      </c>
      <c r="OD117" s="13" t="e">
        <f t="shared" si="218"/>
        <v>#N/A</v>
      </c>
      <c r="OE117" s="14" t="e">
        <f t="shared" si="174"/>
        <v>#N/A</v>
      </c>
      <c r="OF117" s="59" t="e">
        <f t="shared" si="175"/>
        <v>#N/A</v>
      </c>
      <c r="OG117" s="20" t="e">
        <f ca="1">AVERAGE(OFFSET($OF$3,0,0,'Données projet'!$E$27+1,1))-AVERAGE(OFFSET($H$3,0,0,'Données projet'!$E$27+1,1))</f>
        <v>#N/A</v>
      </c>
      <c r="OH117" s="59" t="e">
        <f t="shared" si="219"/>
        <v>#N/A</v>
      </c>
      <c r="OI117" s="15">
        <f>IF(ISNA(VLOOKUP($A117,'Données projet'!$A$512:$I$532,3,0)),0,VLOOKUP($A117,'Données projet'!$A$512:$I$532,3,0))</f>
        <v>0</v>
      </c>
      <c r="OJ117" s="15">
        <f>IF(ISNA(VLOOKUP($A117,'Données projet'!$A$512:$I$532,4,0)),0,VLOOKUP($A117,'Données projet'!$A$512:$I$532,4,0))</f>
        <v>0</v>
      </c>
      <c r="OK117" s="16">
        <f>IF(ISNA(VLOOKUP($A117,'Données projet'!$A$512:$I$532,5,0)),0%,VLOOKUP($A117,'Données projet'!$A$512:$I$532,5,0)*VLOOKUP('Données projet'!$B$27,Paramètres!$A$1:$I$89,7,0))</f>
        <v>0</v>
      </c>
      <c r="OL117" s="16">
        <f>IF(ISNA(VLOOKUP($A117,'Données projet'!$A$512:$I$532,6,0)),0%,VLOOKUP($A117,'Données projet'!$A$512:$I$532,6,0)*VLOOKUP('Données projet'!$B$27,Paramètres!$A$1:$I$89,7,0))</f>
        <v>0</v>
      </c>
      <c r="OM117" s="16">
        <f>IF(ISNA(VLOOKUP($A117,'Données projet'!$A$512:$I$532,7,0)),0%,VLOOKUP($A117,'Données projet'!$A$512:$I$532,7,0))</f>
        <v>0</v>
      </c>
      <c r="ON117" s="21" t="e">
        <f>EXP(-LN(2)/35)*ON116+(1-EXP(-LN(2)/35))/(LN(2)/35)*OJ117*OK117*VLOOKUP('Données projet'!$B$27,Paramètres!$A$1:$I$89,3,0)*0.475*44/12</f>
        <v>#N/A</v>
      </c>
      <c r="OO117" s="21" t="e">
        <f>EXP(-LN(2)/25)*OO116+(1-EXP(-LN(2)/25))/(LN(2)/25)*Calculateur!OJ117*Calculateur!OL117*VLOOKUP('Données projet'!$B$27,Paramètres!$A$1:$I$89,3,0)*0.475*44/12</f>
        <v>#N/A</v>
      </c>
      <c r="OP117" s="21" t="e">
        <f>EXP(-LN(2)/2)*OP116+(1-EXP(-LN(2)/2))/(LN(2)/2)*OJ117*OM117*VLOOKUP('Données projet'!$B$27,Paramètres!$A$1:$I$89,3,0)*0.475*44/12</f>
        <v>#N/A</v>
      </c>
      <c r="OQ117" s="22" t="e">
        <f t="shared" si="176"/>
        <v>#N/A</v>
      </c>
      <c r="OR117" s="74">
        <f>('Scénario référence'!$F$8+'Scénario référence'!$F$9+'Scénario référence'!$B$17+'Scénario référence'!$B$9+'Scénario référence'!$B$10)*70+IF((45+25*(1-EXP(-0.0175*$A117)))&lt;70,'Scénario référence'!$B$16*(45+25*(1-EXP(-0.0175*$A117))),70*'Scénario référence'!$B$16)+IF((32+38*(1-EXP(-0.0175*$A117)))&lt;70,'Scénario référence'!$B$18*(32+38*(1-EXP(-0.0175*$A117))),70*'Scénario référence'!$B$18)</f>
        <v>70</v>
      </c>
      <c r="OS117" s="12">
        <f>IF($A117&gt;30,10,('Scénario référence'!$B$16+'Scénario référence'!$B$17+'Scénario référence'!$B$18+'Scénario référence'!$B$9+'Scénario référence'!$B$10)*$A117*10/30+('Scénario référence'!$F$8+'Scénario référence'!$F$9)*10)</f>
        <v>10</v>
      </c>
      <c r="OT117" s="12" t="e">
        <f>VLOOKUP($A117,'Données projet'!$A$538:$I$558,2,0)</f>
        <v>#N/A</v>
      </c>
      <c r="OU117" s="12" t="e">
        <f>VLOOKUP($A117,'Données projet'!$A$538:$I$558,9,0)</f>
        <v>#N/A</v>
      </c>
      <c r="OV117" s="12">
        <f t="array" ref="OV117">INDEX(OU:OU,MIN(IF(ISNUMBER(OU117:OU313),ROW(OU117:OU313),"")))</f>
        <v>0</v>
      </c>
      <c r="OW117" s="12">
        <f>IF('Données projet'!$A$538&gt;35,OW116+OV117-PE116,IF($A117&lt;'Données projet'!$A$538,$CQ$205^$A117,IF($A117='Données projet'!$A$538,'Données projet'!$B$538,OW116+OV117-PE116)))</f>
        <v>0</v>
      </c>
      <c r="OX117" s="17" t="e">
        <f>OW117*VLOOKUP('Données projet'!$B$28,Paramètres!$A$1:$I$89,3,0)*VLOOKUP('Données projet'!$B$28,Paramètres!$A$1:$I$89,5,0)</f>
        <v>#N/A</v>
      </c>
      <c r="OY117" s="13" t="e">
        <f t="shared" si="220"/>
        <v>#N/A</v>
      </c>
      <c r="OZ117" s="14" t="e">
        <f t="shared" si="177"/>
        <v>#N/A</v>
      </c>
      <c r="PA117" s="59" t="e">
        <f t="shared" si="178"/>
        <v>#N/A</v>
      </c>
      <c r="PB117" s="20" t="e">
        <f ca="1">AVERAGE(OFFSET($PA$3,0,0,'Données projet'!$E$28+1,1))-AVERAGE(OFFSET($H$3,0,0,'Données projet'!$E$28+1,1))</f>
        <v>#N/A</v>
      </c>
      <c r="PC117" s="59" t="e">
        <f t="shared" si="221"/>
        <v>#N/A</v>
      </c>
      <c r="PD117" s="15">
        <f>IF(ISNA(VLOOKUP($A117,'Données projet'!$A$538:$I$558,3,0)),0,VLOOKUP($A117,'Données projet'!$A$538:$I$558,3,0))</f>
        <v>0</v>
      </c>
      <c r="PE117" s="15">
        <f>IF(ISNA(VLOOKUP($A117,'Données projet'!$A$538:$I$558,4,0)),0,VLOOKUP($A117,'Données projet'!$A$538:$I$558,4,0))</f>
        <v>0</v>
      </c>
      <c r="PF117" s="16">
        <f>IF(ISNA(VLOOKUP($A117,'Données projet'!$A$538:$I$558,5,0)),0%,VLOOKUP($A117,'Données projet'!$A$538:$I$558,5,0)*VLOOKUP('Données projet'!$B$28,Paramètres!$A$1:$I$89,7,0))</f>
        <v>0</v>
      </c>
      <c r="PG117" s="16">
        <f>IF(ISNA(VLOOKUP($A117,'Données projet'!$A$538:$I$558,6,0)),0%,VLOOKUP($A117,'Données projet'!$A$538:$I$558,6,0)*VLOOKUP('Données projet'!$B$28,Paramètres!$A$1:$I$89,7,0))</f>
        <v>0</v>
      </c>
      <c r="PH117" s="16">
        <f>IF(ISNA(VLOOKUP($A117,'Données projet'!$A$538:$I$558,7,0)),0%,VLOOKUP($A117,'Données projet'!$A$538:$I$558,7,0))</f>
        <v>0</v>
      </c>
      <c r="PI117" s="21" t="e">
        <f>EXP(-LN(2)/35)*PI116+(1-EXP(-LN(2)/35))/(LN(2)/35)*PE117*PF117*VLOOKUP('Données projet'!$B$28,Paramètres!$A$1:$I$89,3,0)*0.475*44/12</f>
        <v>#N/A</v>
      </c>
      <c r="PJ117" s="21" t="e">
        <f>EXP(-LN(2)/25)*PJ116+(1-EXP(-LN(2)/25))/(LN(2)/25)*Calculateur!PE117*Calculateur!PG117*VLOOKUP('Données projet'!$B$28,Paramètres!$A$1:$I$89,3,0)*0.475*44/12</f>
        <v>#N/A</v>
      </c>
      <c r="PK117" s="21" t="e">
        <f>EXP(-LN(2)/2)*PK116+(1-EXP(-LN(2)/2))/(LN(2)/2)*PE117*PH117*VLOOKUP('Données projet'!$B$28,Paramètres!$A$1:$I$89,3,0)*0.475*44/12</f>
        <v>#N/A</v>
      </c>
      <c r="PL117" s="22" t="e">
        <f t="shared" si="179"/>
        <v>#N/A</v>
      </c>
    </row>
    <row r="118" spans="1:428" x14ac:dyDescent="0.35">
      <c r="A118" s="10">
        <f t="shared" si="180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181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121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projet'!$A$45:$I$65,2,0)</f>
        <v>#N/A</v>
      </c>
      <c r="L118" s="12" t="e">
        <f>VLOOKUP(A118,'Données projet'!$A$45:$I$65,9,0)</f>
        <v>#N/A</v>
      </c>
      <c r="M118" s="12">
        <f t="array" ref="M118">INDEX(L:L,MIN(IF(ISNUMBER(L118:L314),ROW(L118:L314),"")))</f>
        <v>0</v>
      </c>
      <c r="N118" s="13">
        <f>IF('Données projet'!$A$46&gt;35,N117+M118-V117,IF(A118&lt;'Données projet'!$A$46,$K$205^A118,IF(A118='Données projet'!$A$46,'Données projet'!$B$46,N117+M118-V117)))</f>
        <v>-1.1368683772161603E-13</v>
      </c>
      <c r="O118" s="13">
        <f>N118*VLOOKUP('Données projet'!$B$9,Paramètres!$A$1:$I$89,3,0)*VLOOKUP('Données projet'!$B$9,Paramètres!$A$1:$I$89,5,0)</f>
        <v>-6.3550942286383367E-14</v>
      </c>
      <c r="P118" s="13" t="e">
        <f t="shared" si="182"/>
        <v>#NUM!</v>
      </c>
      <c r="Q118" s="20" t="e">
        <f t="shared" si="222"/>
        <v>#NUM!</v>
      </c>
      <c r="R118" s="59" t="e">
        <f t="shared" si="120"/>
        <v>#NUM!</v>
      </c>
      <c r="S118" s="59">
        <f ca="1">AVERAGE(OFFSET($R$3,0,0,'Données projet'!$E$9+1,1))-AVERAGE(OFFSET($H$3,0,0,'Données projet'!$E$9+1,1))</f>
        <v>274.57619581652199</v>
      </c>
      <c r="T118" s="59">
        <f t="shared" si="183"/>
        <v>366.15117322598775</v>
      </c>
      <c r="U118" s="15">
        <f>IF(ISNA(VLOOKUP(A118,'Données projet'!$A$45:$I$65,3,0)),0,VLOOKUP(A118,'Données projet'!$A$45:$I$65,3,0))</f>
        <v>0</v>
      </c>
      <c r="V118" s="15">
        <f>IF(ISNA(VLOOKUP(A118,'Données projet'!$A$45:$I$65,4,0)),0,VLOOKUP(A118,'Données projet'!$A$45:$I$65,4,0))</f>
        <v>0</v>
      </c>
      <c r="W118" s="16">
        <f>IF(ISNA(VLOOKUP(A118,'Données projet'!$A$45:$I$65,5,0)),0%,VLOOKUP(A118,'Données projet'!$A$45:$I$65,5,0)*VLOOKUP('Données projet'!$B$9,Paramètres!$A$1:$I$89,7,0))</f>
        <v>0</v>
      </c>
      <c r="X118" s="16">
        <f>IF(ISNA(VLOOKUP(A118,'Données projet'!$A$45:$I$65,6,0)),0%,VLOOKUP(A118,'Données projet'!$A$45:$I$65,6,0)*VLOOKUP('Données projet'!$B$9,Paramètres!$A$1:$I$89,7,0))</f>
        <v>0</v>
      </c>
      <c r="Y118" s="16">
        <f>IF(ISNA(VLOOKUP(A118,'Données projet'!$A$45:$I$65,7,0)),0%,VLOOKUP(A118,'Données projet'!$A$45:$I$65,7,0))</f>
        <v>0</v>
      </c>
      <c r="Z118" s="21">
        <f>EXP(-LN(2)/35)*Z117+(1-EXP(-LN(2)/35))/(LN(2)/35)*V118*W118*VLOOKUP('Données projet'!$B$9,Paramètres!$A$1:$I$89,3,0)*0.475*44/12</f>
        <v>69.074519433627401</v>
      </c>
      <c r="AA118" s="21">
        <f>EXP(-LN(2)/25)*AA117+(1-EXP(-LN(2)/25))/(LN(2)/25)*Calculateur!V118*Calculateur!X118*VLOOKUP('Données projet'!$B$9,Paramètres!$A$1:$I$89,3,0)*0.475*44/12</f>
        <v>10.914614440336431</v>
      </c>
      <c r="AB118" s="21">
        <f>EXP(-LN(2)/2)*AB117+(1-EXP(-LN(2)/2))/(LN(2)/2)*V118*Y118*VLOOKUP('Données projet'!$B$9,Paramètres!$A$1:$I$89,3,0)*0.475*44/12</f>
        <v>3.1815193597332084E-8</v>
      </c>
      <c r="AC118" s="22">
        <f t="shared" si="122"/>
        <v>79.989133905779028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projet'!$A$71:$I$91,2,0)</f>
        <v>#N/A</v>
      </c>
      <c r="AG118" s="12" t="e">
        <f>VLOOKUP(A118,'Données projet'!$A$71:$I$91,9,0)</f>
        <v>#N/A</v>
      </c>
      <c r="AH118" s="12">
        <f t="array" ref="AH118">INDEX(AG:AG,MIN(IF(ISNUMBER(AG118:AG314),ROW(AG118:AG314),"")))</f>
        <v>6.8461538461538511</v>
      </c>
      <c r="AI118" s="13">
        <f>IF('Données projet'!$A$72&gt;35,AI117+AH118-AQ117,IF(A118&lt;'Données projet'!$A$72,$AF$205^A118,IF(A118='Données projet'!$A$72,'Données projet'!$B$72,AI117+AH118-AQ117)))</f>
        <v>329.95512820512863</v>
      </c>
      <c r="AJ118" s="13">
        <f>AI118*VLOOKUP('Données projet'!$B$10,Paramètres!$A$1:$I$89,3,0)*VLOOKUP('Données projet'!$B$10,Paramètres!$A$1:$I$89,5,0)</f>
        <v>298.54340000000036</v>
      </c>
      <c r="AK118" s="13">
        <f t="shared" si="184"/>
        <v>70.871017722198957</v>
      </c>
      <c r="AL118" s="20">
        <f t="shared" si="123"/>
        <v>643.39677753283047</v>
      </c>
      <c r="AM118" s="59">
        <f t="shared" si="124"/>
        <v>936.73011086616384</v>
      </c>
      <c r="AN118" s="59">
        <f ca="1">AVERAGE(OFFSET($AM$3,0,0,'Données projet'!$E$10+1,1))-AVERAGE(OFFSET($H$3,0,0,'Données projet'!$E$10+1,1))</f>
        <v>270.87836509222456</v>
      </c>
      <c r="AO118" s="59">
        <f t="shared" si="185"/>
        <v>205.24998237949734</v>
      </c>
      <c r="AP118" s="15">
        <f>IF(ISNA(VLOOKUP(A118,'Données projet'!$A$71:$I$91,3,0)),0,VLOOKUP(A118,'Données projet'!$A$71:$I$91,3,0))</f>
        <v>0</v>
      </c>
      <c r="AQ118" s="15">
        <f>IF(ISNA(VLOOKUP(A118,'Données projet'!$A$71:$I$91,4,0)),0,VLOOKUP(A118,'Données projet'!$A$71:$I$91,4,0))</f>
        <v>0</v>
      </c>
      <c r="AR118" s="16">
        <f>IF(ISNA(VLOOKUP(A118,'Données projet'!$A$71:$I$91,5,0)),0%,VLOOKUP(A118,'Données projet'!$A$71:$I$91,5,0)*VLOOKUP('Données projet'!$B$10,Paramètres!$A$1:$I$89,7,0))</f>
        <v>0</v>
      </c>
      <c r="AS118" s="16">
        <f>IF(ISNA(VLOOKUP(A118,'Données projet'!$A$71:$I$91,6,0)),0%,VLOOKUP(A118,'Données projet'!$A$71:$I$91,6,0)*VLOOKUP('Données projet'!$B$10,Paramètres!$A$1:$I$89,7,0))</f>
        <v>0</v>
      </c>
      <c r="AT118" s="16">
        <f>IF(ISNA(VLOOKUP(A118,'Données projet'!$A$71:$I$91,7,0)),0%,VLOOKUP(A118,'Données projet'!$A$71:$I$91,7,0))</f>
        <v>0</v>
      </c>
      <c r="AU118" s="21">
        <f>EXP(-LN(2)/35)*AU117+(1-EXP(-LN(2)/35))/(LN(2)/35)*AQ118*AR118*VLOOKUP('Données projet'!$B$10,Paramètres!$A$1:$I$89,3,0)*0.475*44/12</f>
        <v>53.427067632902698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125"/>
        <v>53.427067632902698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projet'!$A$97:$I$117,2,0)</f>
        <v>#N/A</v>
      </c>
      <c r="BB118" s="12" t="e">
        <f>VLOOKUP(A118,'Données projet'!$A$97:$I$117,9,0)</f>
        <v>#N/A</v>
      </c>
      <c r="BC118" s="12">
        <f t="array" ref="BC118">INDEX(BB:BB,MIN(IF(ISNUMBER(BB118:BB314),ROW(BB118:BB314),"")))</f>
        <v>0</v>
      </c>
      <c r="BD118" s="12">
        <f>IF('Données projet'!$A$98&gt;35,BD117+BC118-BL117,IF(A118&lt;'Données projet'!$A$98,$BA$205^A118,IF(A118='Données projet'!$A$98,'Données projet'!$B$98,BD117+BC118-BL117)))</f>
        <v>-1.1368683772161603E-13</v>
      </c>
      <c r="BE118" s="13">
        <f>BD118*VLOOKUP('Données projet'!$B$11,Paramètres!$A$1:$I$89,3,0)*VLOOKUP('Données projet'!$B$11,Paramètres!$A$1:$I$89,5,0)</f>
        <v>-5.0249582272954292E-14</v>
      </c>
      <c r="BF118" s="13" t="e">
        <f t="shared" si="186"/>
        <v>#NUM!</v>
      </c>
      <c r="BG118" s="20" t="e">
        <f t="shared" si="126"/>
        <v>#NUM!</v>
      </c>
      <c r="BH118" s="59" t="e">
        <f t="shared" si="127"/>
        <v>#NUM!</v>
      </c>
      <c r="BI118" s="59">
        <f ca="1">AVERAGE(OFFSET($BH$3,0,0,'Données projet'!$E$11+1,1))-AVERAGE(OFFSET($H$3,0,0,'Données projet'!$E$11+1,1))</f>
        <v>211.31057120485542</v>
      </c>
      <c r="BJ118" s="59">
        <f t="shared" si="187"/>
        <v>283.33292006714777</v>
      </c>
      <c r="BK118" s="15">
        <f>IF(ISNA(VLOOKUP(A118,'Données projet'!$A$97:$I$117,3,0)),0,VLOOKUP(A118,'Données projet'!$A$97:$I$117,3,0))</f>
        <v>0</v>
      </c>
      <c r="BL118" s="15">
        <f>IF(ISNA(VLOOKUP(A118,'Données projet'!$A$97:$I$117,4,0)),0,VLOOKUP(A118,'Données projet'!$A$97:$I$117,4,0))</f>
        <v>0</v>
      </c>
      <c r="BM118" s="16">
        <f>IF(ISNA(VLOOKUP(A118,'Données projet'!$A$97:$I$117,5,0)),0%,VLOOKUP(A118,'Données projet'!$A$97:$I$117,5,0)*VLOOKUP('Données projet'!$B$11,Paramètres!$A$1:$I$89,7,0))</f>
        <v>0</v>
      </c>
      <c r="BN118" s="16">
        <f>IF(ISNA(VLOOKUP(A118,'Données projet'!$A$97:$I$117,6,0)),0%,VLOOKUP(A118,'Données projet'!$A$97:$I$117,6,0)*VLOOKUP('Données projet'!$B$11,Paramètres!$A$1:$I$89,7,0))</f>
        <v>0</v>
      </c>
      <c r="BO118" s="16">
        <f>IF(ISNA(VLOOKUP(A118,'Données projet'!$A$97:$I$117,7,0)),0%,VLOOKUP(A118,'Données projet'!$A$97:$I$117,7,0))</f>
        <v>0</v>
      </c>
      <c r="BP118" s="21">
        <f>EXP(-LN(2)/35)*BP117+(1-EXP(-LN(2)/35))/(LN(2)/35)*BL118*BM118*VLOOKUP('Données projet'!$B$11,Paramètres!$A$1:$I$89,3,0)*0.475*44/12</f>
        <v>54.617061877751908</v>
      </c>
      <c r="BQ118" s="21">
        <f>EXP(-LN(2)/25)*BQ117+(1-EXP(-LN(2)/25))/(LN(2)/25)*Calculateur!BL118*Calculateur!BN118*VLOOKUP('Données projet'!$B$11,Paramètres!$A$1:$I$89,3,0)*0.475*44/12</f>
        <v>8.6301602551497307</v>
      </c>
      <c r="BR118" s="21">
        <f>EXP(-LN(2)/2)*BR117+(1-EXP(-LN(2)/2))/(LN(2)/2)*BL118*BO118*VLOOKUP('Données projet'!$B$11,Paramètres!$A$1:$I$89,3,0)*0.475*44/12</f>
        <v>2.5156199588588155E-8</v>
      </c>
      <c r="BS118" s="22">
        <f t="shared" si="128"/>
        <v>63.247222158057838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projet'!$A$123:$I$143,2,0)</f>
        <v>#N/A</v>
      </c>
      <c r="BW118" s="12" t="e">
        <f>VLOOKUP(A118,'Données projet'!$A$123:$I$143,9,0)</f>
        <v>#N/A</v>
      </c>
      <c r="BX118" s="12">
        <f t="array" ref="BX118">INDEX(BW:BW,MIN(IF(ISNUMBER(BW118:BW314),ROW(BW118:BW314),"")))</f>
        <v>0</v>
      </c>
      <c r="BY118" s="12">
        <f>IF('Données projet'!$A$124&gt;35,BY117+BX118-CG117,IF(A118&lt;'Données projet'!$A$124,$BV$205^A118,IF(A118='Données projet'!$A$124,'Données projet'!$B$124,BY117+BX118-CG117)))</f>
        <v>0</v>
      </c>
      <c r="BZ118" s="13">
        <f>BY118*VLOOKUP('Données projet'!$B$12,Paramètres!$A$1:$I$89,3,0)*VLOOKUP('Données projet'!$B$12,Paramètres!$A$1:$I$89,5,0)</f>
        <v>0</v>
      </c>
      <c r="CA118" s="13" t="e">
        <f t="shared" si="188"/>
        <v>#NUM!</v>
      </c>
      <c r="CB118" s="20" t="e">
        <f t="shared" si="129"/>
        <v>#NUM!</v>
      </c>
      <c r="CC118" s="59" t="e">
        <f t="shared" si="130"/>
        <v>#NUM!</v>
      </c>
      <c r="CD118" s="59">
        <f ca="1">AVERAGE(OFFSET($CC$3,0,0,'Données projet'!$E$12+1,1))-AVERAGE(OFFSET($H$3,0,0,'Données projet'!$E$12+1,1))</f>
        <v>322.93502595881938</v>
      </c>
      <c r="CE118" s="59">
        <f t="shared" si="189"/>
        <v>302.67072119588164</v>
      </c>
      <c r="CF118" s="15">
        <f>IF(ISNA(VLOOKUP(A118,'Données projet'!$A$123:$I$143,3,0)),0,VLOOKUP(A118,'Données projet'!$A$123:$I$143,3,0))</f>
        <v>0</v>
      </c>
      <c r="CG118" s="15">
        <f>IF(ISNA(VLOOKUP(A118,'Données projet'!$A$123:$I$143,4,0)),0,VLOOKUP(A118,'Données projet'!$A$123:$I$143,4,0))</f>
        <v>0</v>
      </c>
      <c r="CH118" s="16">
        <f>IF(ISNA(VLOOKUP(A118,'Données projet'!$A$123:$I$143,5,0)),0%,VLOOKUP(A118,'Données projet'!$A$123:$I$143,5,0)*VLOOKUP('Données projet'!$B$12,Paramètres!$A$1:$I$89,7,0))</f>
        <v>0</v>
      </c>
      <c r="CI118" s="16">
        <f>IF(ISNA(VLOOKUP(A118,'Données projet'!$A$123:$I$143,6,0)),0%,VLOOKUP(A118,'Données projet'!$A$123:$I$143,6,0)*VLOOKUP('Données projet'!$B$12,Paramètres!$A$1:$I$89,7,0))</f>
        <v>0</v>
      </c>
      <c r="CJ118" s="16">
        <f>IF(ISNA(VLOOKUP(A118,'Données projet'!$A$123:$I$143,7,0)),0%,VLOOKUP(A118,'Données projet'!$A$123:$I$143,7,0))</f>
        <v>0</v>
      </c>
      <c r="CK118" s="21">
        <f>EXP(-LN(2)/35)*CK117+(1-EXP(-LN(2)/35))/(LN(2)/35)*CG118*CH118*VLOOKUP('Données projet'!$B$12,Paramètres!$A$1:$I$89,3,0)*0.475*44/12</f>
        <v>87.018176921975353</v>
      </c>
      <c r="CL118" s="21">
        <f>EXP(-LN(2)/25)*CL117+(1-EXP(-LN(2)/25))/(LN(2)/25)*Calculateur!CG118*Calculateur!CI118*VLOOKUP('Données projet'!$B$12,Paramètres!$A$1:$I$89,3,0)*0.475*44/12</f>
        <v>27.62173439974136</v>
      </c>
      <c r="CM118" s="21">
        <f>EXP(-LN(2)/2)*CM117+(1-EXP(-LN(2)/2))/(LN(2)/2)*CG118*CJ118*VLOOKUP('Données projet'!$B$12,Paramètres!$A$1:$I$89,3,0)*0.475*44/12</f>
        <v>0</v>
      </c>
      <c r="CN118" s="22">
        <f t="shared" si="131"/>
        <v>114.63991132171671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projet'!$A$149:$I$169,2,0)</f>
        <v>#N/A</v>
      </c>
      <c r="CR118" s="12" t="e">
        <f>VLOOKUP(A118,'Données projet'!$A$149:$I$169,9,0)</f>
        <v>#N/A</v>
      </c>
      <c r="CS118" s="12">
        <f t="array" ref="CS118">INDEX(CR:CR,MIN(IF(ISNUMBER(CR118:CR314),ROW(CR118:CR314),"")))</f>
        <v>5.3066239316239274</v>
      </c>
      <c r="CT118" s="12">
        <f>IF('Données projet'!$A$150&gt;35,CT117+CS118-DB117,IF(A118&lt;'Données projet'!$A$150,$CQ$205^A118,IF(A118='Données projet'!$A$150,'Données projet'!$B$150,CT117+CS118-DB117)))</f>
        <v>225.22863247863214</v>
      </c>
      <c r="CU118" s="17">
        <f>CT118*VLOOKUP('Données projet'!$B$13,Paramètres!$A$1:$I$89,3,0)*VLOOKUP('Données projet'!$B$13,Paramètres!$A$1:$I$89,5,0)</f>
        <v>228.38183333333299</v>
      </c>
      <c r="CV118" s="13">
        <f t="shared" si="190"/>
        <v>55.932652422184837</v>
      </c>
      <c r="CW118" s="20">
        <f t="shared" si="132"/>
        <v>495.18106269086019</v>
      </c>
      <c r="CX118" s="59">
        <f t="shared" si="133"/>
        <v>788.5143960241935</v>
      </c>
      <c r="CY118" s="59">
        <f ca="1">AVERAGE(OFFSET($CX$3,0,0,'Données projet'!$E$13+1,1))-AVERAGE(OFFSET($H$3,0,0,'Données projet'!$E$13+1,1))</f>
        <v>250.31277422753283</v>
      </c>
      <c r="CZ118" s="59">
        <f t="shared" si="191"/>
        <v>159.20429420478047</v>
      </c>
      <c r="DA118" s="15">
        <f>IF(ISNA(VLOOKUP(A118,'Données projet'!$A$149:$I$169,3,0)),0,VLOOKUP(A118,'Données projet'!$A$149:$I$169,3,0))</f>
        <v>0</v>
      </c>
      <c r="DB118" s="15">
        <f>IF(ISNA(VLOOKUP(A118,'Données projet'!$A$149:$I$169,4,0)),0,VLOOKUP(A118,'Données projet'!$A$149:$I$169,4,0))</f>
        <v>0</v>
      </c>
      <c r="DC118" s="16">
        <f>IF(ISNA(VLOOKUP(A118,'Données projet'!$A$149:$I$169,5,0)),0%,VLOOKUP(A118,'Données projet'!$A$149:$I$169,5,0)*VLOOKUP('Données projet'!$B$13,Paramètres!$A$1:$I$89,7,0))</f>
        <v>0</v>
      </c>
      <c r="DD118" s="16">
        <f>IF(ISNA(VLOOKUP(A118,'Données projet'!$A$149:$I$169,6,0)),0%,VLOOKUP(A118,'Données projet'!$A$149:$I$169,6,0)*VLOOKUP('Données projet'!$B$13,Paramètres!$A$1:$I$89,7,0))</f>
        <v>0</v>
      </c>
      <c r="DE118" s="16">
        <f>IF(ISNA(VLOOKUP(A118,'Données projet'!$A$149:$I$169,7,0)),0%,VLOOKUP(A118,'Données projet'!$A$149:$I$169,7,0))</f>
        <v>0</v>
      </c>
      <c r="DF118" s="21">
        <f>EXP(-LN(2)/35)*DF117+(1-EXP(-LN(2)/35))/(LN(2)/35)*DB118*DC118*VLOOKUP('Données projet'!$B$13,Paramètres!$A$1:$I$89,3,0)*0.475*44/12</f>
        <v>38.456569965772616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134"/>
        <v>38.456569965772616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projet'!$A$175:$I$195,2,0)</f>
        <v>#N/A</v>
      </c>
      <c r="DM118" s="12" t="e">
        <f>VLOOKUP(A118,'Données projet'!$A$175:$I$195,9,0)</f>
        <v>#N/A</v>
      </c>
      <c r="DN118" s="12">
        <f t="array" ref="DN118">INDEX(DM:DM,MIN(IF(ISNUMBER(DM118:DM314),ROW(DM118:DM314),"")))</f>
        <v>0</v>
      </c>
      <c r="DO118" s="12">
        <f>IF('Données projet'!$A$176&gt;35,DO117+DN118-DW117,IF(A118&lt;'Données projet'!$A$176,$DL$205^A118,IF(A118='Données projet'!$A$176,'Données projet'!$B$176,DO117+DN118-DW117)))</f>
        <v>-2.8421709430404007E-13</v>
      </c>
      <c r="DP118" s="17">
        <f>DO118*VLOOKUP('Données projet'!$B$14,Paramètres!$A$1:$I$89,3,0)*VLOOKUP('Données projet'!$B$14,Paramètres!$A$1:$I$89,5,0)</f>
        <v>-2.0838797354372215E-13</v>
      </c>
      <c r="DQ118" s="13" t="e">
        <f t="shared" si="192"/>
        <v>#NUM!</v>
      </c>
      <c r="DR118" s="20" t="e">
        <f t="shared" si="135"/>
        <v>#NUM!</v>
      </c>
      <c r="DS118" s="59" t="e">
        <f t="shared" si="136"/>
        <v>#NUM!</v>
      </c>
      <c r="DT118" s="59">
        <f ca="1">AVERAGE(OFFSET($DS$3,0,0,'Données projet'!$E$14+1,1))-AVERAGE(OFFSET($H$3,0,0,'Données projet'!$E$14+1,1))</f>
        <v>296.91321813251051</v>
      </c>
      <c r="DU118" s="59">
        <f t="shared" si="193"/>
        <v>291.0718079639509</v>
      </c>
      <c r="DV118" s="15">
        <f>IF(ISNA(VLOOKUP(A118,'Données projet'!$A$175:$I$195,3,0)),0,VLOOKUP(A118,'Données projet'!$A$175:$I$195,3,0))</f>
        <v>0</v>
      </c>
      <c r="DW118" s="15">
        <f>IF(ISNA(VLOOKUP(A118,'Données projet'!$A$175:$I$195,4,0)),0,VLOOKUP(A118,'Données projet'!$A$175:$I$195,4,0))</f>
        <v>0</v>
      </c>
      <c r="DX118" s="16">
        <f>IF(ISNA(VLOOKUP(A118,'Données projet'!$A$175:$I$195,5,0)),0%,VLOOKUP(A118,'Données projet'!$A$175:$I$195,5,0)*VLOOKUP('Données projet'!$B$14,Paramètres!$A$1:$I$89,7,0))</f>
        <v>0</v>
      </c>
      <c r="DY118" s="16">
        <f>IF(ISNA(VLOOKUP(A118,'Données projet'!$A$175:$I$195,6,0)),0%,VLOOKUP(A118,'Données projet'!$A$175:$I$195,6,0)*VLOOKUP('Données projet'!$B$14,Paramètres!$A$1:$I$89,7,0))</f>
        <v>0</v>
      </c>
      <c r="DZ118" s="16">
        <f>IF(ISNA(VLOOKUP(A118,'Données projet'!$A$175:$I$195,7,0)),0%,VLOOKUP(A118,'Données projet'!$A$175:$I$195,7,0))</f>
        <v>0</v>
      </c>
      <c r="EA118" s="21">
        <f>EXP(-LN(2)/35)*EA117+(1-EXP(-LN(2)/35))/(LN(2)/35)*DW118*DX118*VLOOKUP('Données projet'!$B$14,Paramètres!$A$1:$I$89,3,0)*0.475*44/12</f>
        <v>86.729185819278783</v>
      </c>
      <c r="EB118" s="21">
        <f>EXP(-LN(2)/25)*EB117+(1-EXP(-LN(2)/25))/(LN(2)/25)*Calculateur!DW118*Calculateur!DY118*VLOOKUP('Données projet'!$B$14,Paramètres!$A$1:$I$89,3,0)*0.475*44/12</f>
        <v>2.0291176604154177</v>
      </c>
      <c r="EC118" s="21">
        <f>EXP(-LN(2)/2)*EC117+(1-EXP(-LN(2)/2))/(LN(2)/2)*DW118*DZ118*VLOOKUP('Données projet'!$B$14,Paramètres!$A$1:$I$89,3,0)*0.475*44/12</f>
        <v>0</v>
      </c>
      <c r="ED118" s="22">
        <f t="shared" si="137"/>
        <v>88.758303479694206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projet'!$A$201:$I$221,2,0)</f>
        <v>#N/A</v>
      </c>
      <c r="EH118" s="12" t="e">
        <f>VLOOKUP(A118,'Données projet'!$A$201:$I$221,9,0)</f>
        <v>#N/A</v>
      </c>
      <c r="EI118" s="12">
        <f t="array" ref="EI118">INDEX(EH:EH,MIN(IF(ISNUMBER(EH118:EH314),ROW(EH118:EH314),"")))</f>
        <v>0</v>
      </c>
      <c r="EJ118" s="12">
        <f>IF('Données projet'!$A$202&gt;35,EJ117+EI118-ER117,IF(A118&lt;'Données projet'!$A$202,$EG$205^A118,IF(A118='Données projet'!$A$202,'Données projet'!$B$202,EJ117+EI118-ER117)))</f>
        <v>5.1159076974727213E-13</v>
      </c>
      <c r="EK118" s="17">
        <f>EJ118*VLOOKUP('Données projet'!$B$15,Paramètres!$A$1:$I$89,3,0)*VLOOKUP('Données projet'!$B$15,Paramètres!$A$1:$I$89,5,0)</f>
        <v>2.3942448024172334E-13</v>
      </c>
      <c r="EL118" s="13">
        <f t="shared" si="194"/>
        <v>3.2492669905861755E-12</v>
      </c>
      <c r="EM118" s="20">
        <f t="shared" si="138"/>
        <v>6.0761376450252565E-12</v>
      </c>
      <c r="EN118" s="59">
        <f t="shared" si="139"/>
        <v>293.3333333333394</v>
      </c>
      <c r="EO118" s="59">
        <f ca="1">AVERAGE(OFFSET($EN$3,0,0,'Données projet'!$E$15+1,1))-AVERAGE(OFFSET($H$3,0,0,'Données projet'!$E$15+1,1))</f>
        <v>147.64256291235483</v>
      </c>
      <c r="EP118" s="59">
        <f t="shared" si="195"/>
        <v>70.859031694091868</v>
      </c>
      <c r="EQ118" s="15">
        <f>IF(ISNA(VLOOKUP(A118,'Données projet'!$A$201:$I$221,3,0)),0,VLOOKUP(A118,'Données projet'!$A$201:$I$221,3,0))</f>
        <v>0</v>
      </c>
      <c r="ER118" s="15">
        <f>IF(ISNA(VLOOKUP(A118,'Données projet'!$A$201:$I$221,4,0)),0,VLOOKUP(A118,'Données projet'!$A$201:$I$221,4,0))</f>
        <v>0</v>
      </c>
      <c r="ES118" s="16">
        <f>IF(ISNA(VLOOKUP(A118,'Données projet'!$A$201:$I$221,5,0)),0%,VLOOKUP(A118,'Données projet'!$A$201:$I$221,5,0)*VLOOKUP('Données projet'!$B$15,Paramètres!$A$1:$I$89,7,0))</f>
        <v>0</v>
      </c>
      <c r="ET118" s="16">
        <f>IF(ISNA(VLOOKUP(A118,'Données projet'!$A$201:$I$221,6,0)),0%,VLOOKUP(A118,'Données projet'!$A$201:$I$221,6,0)*VLOOKUP('Données projet'!$B$15,Paramètres!$A$1:$I$89,7,0))</f>
        <v>0</v>
      </c>
      <c r="EU118" s="16">
        <f>IF(ISNA(VLOOKUP(A118,'Données projet'!$A$201:$I$221,7,0)),0%,VLOOKUP(A118,'Données projet'!$A$201:$I$221,7,0))</f>
        <v>0</v>
      </c>
      <c r="EV118" s="21">
        <f>EXP(-LN(2)/35)*EV117+(1-EXP(-LN(2)/35))/(LN(2)/35)*ER118*ES118*VLOOKUP('Données projet'!$B$15,Paramètres!$A$1:$I$89,3,0)*0.475*44/12</f>
        <v>118.73362248482306</v>
      </c>
      <c r="EW118" s="21">
        <f>EXP(-LN(2)/25)*EW117+(1-EXP(-LN(2)/25))/(LN(2)/25)*Calculateur!ER118*Calculateur!ET118*VLOOKUP('Données projet'!$B$15,Paramètres!$A$1:$I$89,3,0)*0.475*44/12</f>
        <v>28.151963236772644</v>
      </c>
      <c r="EX118" s="21">
        <f>EXP(-LN(2)/2)*EX117+(1-EXP(-LN(2)/2))/(LN(2)/2)*ER118*EU118*VLOOKUP('Données projet'!$B$15,Paramètres!$A$1:$I$89,3,0)*0.475*44/12</f>
        <v>2.2935861655891698</v>
      </c>
      <c r="EY118" s="22">
        <f t="shared" si="140"/>
        <v>149.17917188718488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projet'!$A$227:$I$247,2,0)</f>
        <v>#N/A</v>
      </c>
      <c r="FC118" s="12" t="e">
        <f>VLOOKUP(A118,'Données projet'!$A$227:$I$247,9,0)</f>
        <v>#N/A</v>
      </c>
      <c r="FD118" s="12">
        <f t="array" ref="FD118">INDEX(FC:FC,MIN(IF(ISNUMBER(FC118:FC314),ROW(FC118:FC314),"")))</f>
        <v>0</v>
      </c>
      <c r="FE118" s="12">
        <f>IF('Données projet'!$A$228&gt;35,FE117+FD118-FM117,IF(A118&lt;'Données projet'!$A$228,$FB$205^A118,IF(A118='Données projet'!$A$228,'Données projet'!$B$228,FE117+FD118-FM117)))</f>
        <v>8.5265128291212022E-14</v>
      </c>
      <c r="FF118" s="17">
        <f>FE118*VLOOKUP('Données projet'!$B$16,Paramètres!$A$1:$I$89,3,0)*VLOOKUP('Données projet'!$B$16,Paramètres!$A$1:$I$89,5,0)</f>
        <v>8.9119112089974823E-14</v>
      </c>
      <c r="FG118" s="13">
        <f t="shared" si="196"/>
        <v>1.3568952080113142E-12</v>
      </c>
      <c r="FH118" s="20">
        <f t="shared" si="141"/>
        <v>2.5184749408430782E-12</v>
      </c>
      <c r="FI118" s="59">
        <f t="shared" si="142"/>
        <v>293.33333333333582</v>
      </c>
      <c r="FJ118" s="59">
        <f ca="1">AVERAGE(OFFSET($FI$3,0,0,'Données projet'!$E$16+1,1))-AVERAGE(OFFSET($H$3,0,0,'Données projet'!$E$16+1,1))</f>
        <v>259.03906550253788</v>
      </c>
      <c r="FK118" s="59">
        <f t="shared" si="197"/>
        <v>235.54542903570831</v>
      </c>
      <c r="FL118" s="15">
        <f>IF(ISNA(VLOOKUP(A118,'Données projet'!$A$227:$I$247,3,0)),0,VLOOKUP(A118,'Données projet'!$A$227:$I$247,3,0))</f>
        <v>0</v>
      </c>
      <c r="FM118" s="15">
        <f>IF(ISNA(VLOOKUP(A118,'Données projet'!$A$227:$I$247,4,0)),0,VLOOKUP(A118,'Données projet'!$A$227:$I$247,4,0))</f>
        <v>0</v>
      </c>
      <c r="FN118" s="16">
        <f>IF(ISNA(VLOOKUP(A118,'Données projet'!$A$227:$I$247,5,0)),0%,VLOOKUP(A118,'Données projet'!$A$227:$I$247,5,0)*VLOOKUP('Données projet'!$B$16,Paramètres!$A$1:$I$89,7,0))</f>
        <v>0</v>
      </c>
      <c r="FO118" s="16">
        <f>IF(ISNA(VLOOKUP(A118,'Données projet'!$A$227:$I$247,6,0)),0%,VLOOKUP(A118,'Données projet'!$A$227:$I$247,6,0)*VLOOKUP('Données projet'!$B$16,Paramètres!$A$1:$I$89,7,0))</f>
        <v>0</v>
      </c>
      <c r="FP118" s="16">
        <f>IF(ISNA(VLOOKUP(A118,'Données projet'!$A$227:$I$247,7,0)),0%,VLOOKUP(A118,'Données projet'!$A$227:$I$247,7,0))</f>
        <v>0</v>
      </c>
      <c r="FQ118" s="21">
        <f>EXP(-LN(2)/35)*FQ117+(1-EXP(-LN(2)/35))/(LN(2)/35)*FM118*FN118*VLOOKUP('Données projet'!$B$16,Paramètres!$A$1:$I$89,3,0)*0.475*44/12</f>
        <v>52.405794152839313</v>
      </c>
      <c r="FR118" s="21">
        <f>EXP(-LN(2)/25)*FR117+(1-EXP(-LN(2)/25))/(LN(2)/25)*Calculateur!FM118*Calculateur!FO118*VLOOKUP('Données projet'!$B$16,Paramètres!$A$1:$I$89,3,0)*0.475*44/12</f>
        <v>38.727942372175676</v>
      </c>
      <c r="FS118" s="21">
        <f>EXP(-LN(2)/2)*FS117+(1-EXP(-LN(2)/2))/(LN(2)/2)*FM118*FP118*VLOOKUP('Données projet'!$B$16,Paramètres!$A$1:$I$89,3,0)*0.475*44/12</f>
        <v>0</v>
      </c>
      <c r="FT118" s="22">
        <f t="shared" si="143"/>
        <v>91.133736525014996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projet'!$A$253:$I$273,2,0)</f>
        <v>#N/A</v>
      </c>
      <c r="FX118" s="12" t="e">
        <f>VLOOKUP(A118,'Données projet'!$A$253:$I$273,9,0)</f>
        <v>#N/A</v>
      </c>
      <c r="FY118" s="12">
        <f t="array" ref="FY118">INDEX(FX:FX,MIN(IF(ISNUMBER(FX118:FX314),ROW(FX118:FX314),"")))</f>
        <v>0</v>
      </c>
      <c r="FZ118" s="12">
        <f>IF('Données projet'!$A$254&gt;35,FZ117+FY118-GH117,IF(A118&lt;'Données projet'!$A$254,$FW$205^A118,IF(A118='Données projet'!$A$254,'Données projet'!$B$254,FZ117+FY118-GH117)))</f>
        <v>-1.7053025658242404E-13</v>
      </c>
      <c r="GA118" s="17">
        <f>FZ118*VLOOKUP('Données projet'!$B$17,Paramètres!$A$1:$I$89,3,0)*VLOOKUP('Données projet'!$B$17,Paramètres!$A$1:$I$89,5,0)</f>
        <v>-1.4897523215040567E-13</v>
      </c>
      <c r="GB118" s="13" t="e">
        <f t="shared" si="198"/>
        <v>#NUM!</v>
      </c>
      <c r="GC118" s="20" t="e">
        <f t="shared" si="144"/>
        <v>#NUM!</v>
      </c>
      <c r="GD118" s="59" t="e">
        <f t="shared" si="145"/>
        <v>#NUM!</v>
      </c>
      <c r="GE118" s="59">
        <f ca="1">AVERAGE(OFFSET($GD$3,0,0,'Données projet'!$E$17+1,1))-AVERAGE(OFFSET($H$3,0,0,'Données projet'!$E$17+1,1))</f>
        <v>245.1983232777614</v>
      </c>
      <c r="GF118" s="59">
        <f t="shared" si="199"/>
        <v>242.34010522344573</v>
      </c>
      <c r="GG118" s="15">
        <f>IF(ISNA(VLOOKUP(A118,'Données projet'!$A$253:$I$273,3,0)),0,VLOOKUP(A118,'Données projet'!$A$253:$I$273,3,0))</f>
        <v>0</v>
      </c>
      <c r="GH118" s="15">
        <f>IF(ISNA(VLOOKUP(A118,'Données projet'!$A$253:$I$273,4,0)),0,VLOOKUP(A118,'Données projet'!$A$253:$I$273,4,0))</f>
        <v>0</v>
      </c>
      <c r="GI118" s="16">
        <f>IF(ISNA(VLOOKUP(A118,'Données projet'!$A$253:$I$273,5,0)),0%,VLOOKUP(A118,'Données projet'!$A$253:$I$273,5,0)*VLOOKUP('Données projet'!$B$17,Paramètres!$A$1:$I$89,7,0))</f>
        <v>0</v>
      </c>
      <c r="GJ118" s="16">
        <f>IF(ISNA(VLOOKUP(A118,'Données projet'!$A$253:$I$273,6,0)),0%,VLOOKUP(A118,'Données projet'!$A$253:$I$273,6,0)*VLOOKUP('Données projet'!$B$17,Paramètres!$A$1:$I$89,7,0))</f>
        <v>0</v>
      </c>
      <c r="GK118" s="16">
        <f>IF(ISNA(VLOOKUP(A118,'Données projet'!$A$253:$I$273,7,0)),0%,VLOOKUP(A118,'Données projet'!$A$253:$I$273,7,0))</f>
        <v>0</v>
      </c>
      <c r="GL118" s="21">
        <f>EXP(-LN(2)/35)*GL117+(1-EXP(-LN(2)/35))/(LN(2)/35)*GH118*GI118*VLOOKUP('Données projet'!$B$17,Paramètres!$A$1:$I$89,3,0)*0.475*44/12</f>
        <v>61.610201221987438</v>
      </c>
      <c r="GM118" s="21">
        <f>EXP(-LN(2)/25)*GM117+(1-EXP(-LN(2)/25))/(LN(2)/25)*Calculateur!GH118*Calculateur!GJ118*VLOOKUP('Données projet'!$B$17,Paramètres!$A$1:$I$89,3,0)*0.475*44/12</f>
        <v>8.251981043558267</v>
      </c>
      <c r="GN118" s="21">
        <f>EXP(-LN(2)/2)*GN117+(1-EXP(-LN(2)/2))/(LN(2)/2)*GH118*GK118*VLOOKUP('Données projet'!$B$17,Paramètres!$A$1:$I$89,3,0)*0.475*44/12</f>
        <v>0</v>
      </c>
      <c r="GO118" s="21">
        <f t="shared" si="146"/>
        <v>69.862182265545698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projet'!$A$279:$I$299,2,0)</f>
        <v>#N/A</v>
      </c>
      <c r="GS118" s="12" t="e">
        <f>VLOOKUP(A118,'Données projet'!$A$279:$I$299,9,0)</f>
        <v>#N/A</v>
      </c>
      <c r="GT118" s="12">
        <f t="array" ref="GT118">INDEX(GS:GS,MIN(IF(ISNUMBER(GS118:GS314),ROW(GS118:GS314),"")))</f>
        <v>0</v>
      </c>
      <c r="GU118" s="12">
        <f>IF('Données projet'!$A$280&gt;35,GU117+GT118-HC117,IF(A118&lt;'Données projet'!$A$280,$GR$205^A118,IF(A118='Données projet'!$A$280,'Données projet'!$B$280,GU117+GT118-HC117)))</f>
        <v>-1.1368683772161603E-13</v>
      </c>
      <c r="GV118" s="17">
        <f>GU118*VLOOKUP('Données projet'!$B$18,Paramètres!$A$1:$I$89,3,0)*VLOOKUP('Données projet'!$B$18,Paramètres!$A$1:$I$89,5,0)</f>
        <v>-4.5815795601811263E-14</v>
      </c>
      <c r="GW118" s="13" t="e">
        <f t="shared" si="200"/>
        <v>#NUM!</v>
      </c>
      <c r="GX118" s="20" t="e">
        <f t="shared" si="147"/>
        <v>#NUM!</v>
      </c>
      <c r="GY118" s="59" t="e">
        <f t="shared" si="148"/>
        <v>#NUM!</v>
      </c>
      <c r="GZ118" s="59">
        <f ca="1">AVERAGE(OFFSET($GY$3,0,0,'Données projet'!$E$18+1,1))-AVERAGE(OFFSET($H$3,0,0,'Données projet'!$E$18+1,1))</f>
        <v>324.36162935850876</v>
      </c>
      <c r="HA118" s="59">
        <f t="shared" si="201"/>
        <v>265.23571072429735</v>
      </c>
      <c r="HB118" s="15">
        <f>IF(ISNA(VLOOKUP(A118,'Données projet'!$A$279:$I$299,3,0)),0,VLOOKUP(A118,'Données projet'!$A$279:$I$299,3,0))</f>
        <v>0</v>
      </c>
      <c r="HC118" s="15">
        <f>IF(ISNA(VLOOKUP(A118,'Données projet'!$A$279:$I$299,4,0)),0,VLOOKUP(A118,'Données projet'!$A$279:$I$299,4,0))</f>
        <v>0</v>
      </c>
      <c r="HD118" s="16">
        <f>IF(ISNA(VLOOKUP(A118,'Données projet'!$A$279:$I$299,5,0)),0%,VLOOKUP(A118,'Données projet'!$A$279:$I$299,5,0)*VLOOKUP('Données projet'!$B$18,Paramètres!$A$1:$I$89,7,0))</f>
        <v>0</v>
      </c>
      <c r="HE118" s="16">
        <f>IF(ISNA(VLOOKUP(A118,'Données projet'!$A$279:$I$299,6,0)),0%,VLOOKUP(A118,'Données projet'!$A$279:$I$299,6,0)*VLOOKUP('Données projet'!$B$18,Paramètres!$A$1:$I$89,7,0))</f>
        <v>0</v>
      </c>
      <c r="HF118" s="16">
        <f>IF(ISNA(VLOOKUP($A118,'Données projet'!$A$279:$I$299,7,0)),0%,VLOOKUP($A118,'Données projet'!$A$279:$I$299,7,0))</f>
        <v>0</v>
      </c>
      <c r="HG118" s="21">
        <f>EXP(-LN(2)/35)*HG117+(1-EXP(-LN(2)/35))/(LN(2)/35)*HC118*HD118*VLOOKUP('Données projet'!$B$18,Paramètres!$A$1:$I$89,3,0)*0.475*44/12</f>
        <v>118.06125160682504</v>
      </c>
      <c r="HH118" s="21">
        <f>EXP(-LN(2)/25)*HH117+(1-EXP(-LN(2)/25))/(LN(2)/25)*Calculateur!HC118*Calculateur!HE118*VLOOKUP('Données projet'!$B$18,Paramètres!$A$1:$I$89,3,0)*0.475*44/12</f>
        <v>9.1776789197283488</v>
      </c>
      <c r="HI118" s="21">
        <f>EXP(-LN(2)/2)*HI117+(1-EXP(-LN(2)/2))/(LN(2)/2)*HC118*HF118*VLOOKUP('Données projet'!$B$18,Paramètres!$A$1:$I$89,3,0)*0.475*44/12</f>
        <v>4.6110457959946038E-5</v>
      </c>
      <c r="HJ118" s="22">
        <f t="shared" si="149"/>
        <v>127.23897663701135</v>
      </c>
      <c r="HK118" s="74">
        <f>('Scénario référence'!$F$8+'Scénario référence'!$F$9+'Scénario référence'!$B$17+'Scénario référence'!$B$9+'Scénario référence'!$B$10)*70+IF((45+25*(1-EXP(-0.0175*$A118)))&lt;70,'Scénario référence'!$B$16*(45+25*(1-EXP(-0.0175*$A118))),70*'Scénario référence'!$B$16)+IF((32+38*(1-EXP(-0.0175*$A118)))&lt;70,'Scénario référence'!$B$18*(32+38*(1-EXP(-0.0175*$A118))),70*'Scénario référence'!$B$18)</f>
        <v>70</v>
      </c>
      <c r="HL118" s="12">
        <f>IF($A118&gt;30,10,('Scénario référence'!$B$16+'Scénario référence'!$B$17+'Scénario référence'!$B$18+'Scénario référence'!$B$9+'Scénario référence'!$B$10)*$A118*10/30+('Scénario référence'!$F$8+'Scénario référence'!$F$9)*10)</f>
        <v>10</v>
      </c>
      <c r="HM118" s="12" t="e">
        <f>VLOOKUP($A118,'Données projet'!$A$304:$I$324,2,0)</f>
        <v>#N/A</v>
      </c>
      <c r="HN118" s="12" t="e">
        <f>VLOOKUP($A118,'Données projet'!$A$304:$I$324,9,0)</f>
        <v>#N/A</v>
      </c>
      <c r="HO118" s="12">
        <f t="array" ref="HO118">INDEX(HN:HN,MIN(IF(ISNUMBER(HN118:HN314),ROW(HN118:HN314),"")))</f>
        <v>0</v>
      </c>
      <c r="HP118" s="12">
        <f>IF('Données projet'!$A$304&gt;35,HP117+HO118-HX117,IF($A118&lt;'Données projet'!$A$304,$CQ$205^$A118,IF($A118='Données projet'!$A$304,'Données projet'!$B$304,HP117+HO118-HX117)))</f>
        <v>0</v>
      </c>
      <c r="HQ118" s="17">
        <f>HP118*VLOOKUP('Données projet'!$B$19,Paramètres!$A$1:$I$89,3,0)*VLOOKUP('Données projet'!$B$19,Paramètres!$A$1:$I$89,5,0)</f>
        <v>0</v>
      </c>
      <c r="HR118" s="13" t="e">
        <f t="shared" si="202"/>
        <v>#NUM!</v>
      </c>
      <c r="HS118" s="14" t="e">
        <f t="shared" si="150"/>
        <v>#NUM!</v>
      </c>
      <c r="HT118" s="59" t="e">
        <f t="shared" si="151"/>
        <v>#NUM!</v>
      </c>
      <c r="HU118" s="59">
        <f ca="1">AVERAGE(OFFSET(HT$3,0,0,'Données projet'!$E$19+1,1))-AVERAGE(OFFSET($H$3,0,0,'Données projet'!$E$19+1,1))</f>
        <v>91.60721429656013</v>
      </c>
      <c r="HV118" s="59">
        <f t="shared" si="203"/>
        <v>258.94957804210856</v>
      </c>
      <c r="HW118" s="15">
        <f>IF(ISNA(VLOOKUP($A118,'Données projet'!$A$304:$I$324,3,0)),0,VLOOKUP($A118,'Données projet'!$A$304:$I$324,3,0))</f>
        <v>0</v>
      </c>
      <c r="HX118" s="15">
        <f>IF(ISNA(VLOOKUP($A118,'Données projet'!$A$304:$I$324,4,0)),0,VLOOKUP($A118,'Données projet'!$A$304:$I$324,4,0))</f>
        <v>0</v>
      </c>
      <c r="HY118" s="16">
        <f>IF(ISNA(VLOOKUP($A118,'Données projet'!$A$304:$I$324,5,0)),0%,VLOOKUP($A118,'Données projet'!$A$304:$I$324,5,0)*VLOOKUP('Données projet'!$B$19,Paramètres!$A$1:$I$89,7,0))</f>
        <v>0</v>
      </c>
      <c r="HZ118" s="16">
        <f>IF(ISNA(VLOOKUP($A118,'Données projet'!$A$304:$I$324,6,0)),0%,VLOOKUP($A118,'Données projet'!$A$304:$I$324,6,0)*VLOOKUP('Données projet'!$B$19,Paramètres!$A$1:$I$89,7,0))</f>
        <v>0</v>
      </c>
      <c r="IA118" s="16">
        <f>IF(ISNA(VLOOKUP($A118,'Données projet'!$A$304:$I$324,7,0)),0%,VLOOKUP($A118,'Données projet'!$A$304:$I$324,7,0))</f>
        <v>0</v>
      </c>
      <c r="IB118" s="21">
        <f>EXP(-LN(2)/35)*IB117+(1-EXP(-LN(2)/35))/(LN(2)/35)*HX118*HY118*VLOOKUP('Données projet'!$B$19,Paramètres!$A$1:$I$89,3,0)*0.475*44/12</f>
        <v>9.1635146839807842</v>
      </c>
      <c r="IC118" s="21">
        <f>EXP(-LN(2)/25)*IC117+(1-EXP(-LN(2)/25))/(LN(2)/25)*Calculateur!HX118*Calculateur!HZ118*VLOOKUP('Données projet'!$B$19,Paramètres!$A$1:$I$89,3,0)*0.475*44/12</f>
        <v>0.92152977984439899</v>
      </c>
      <c r="ID118" s="21">
        <f>EXP(-LN(2)/2)*ID117+(1-EXP(-LN(2)/2))/(LN(2)/2)*HX118*IA118*VLOOKUP('Données projet'!$B$19,Paramètres!$A$1:$I$89,3,0)*0.475*44/12</f>
        <v>9.2101744087939697E-14</v>
      </c>
      <c r="IE118" s="22">
        <f t="shared" si="152"/>
        <v>10.085044463825275</v>
      </c>
      <c r="IF118" s="74">
        <f>('Scénario référence'!$F$8+'Scénario référence'!$F$9+'Scénario référence'!$B$17+'Scénario référence'!$B$9+'Scénario référence'!$B$10)*70+IF((45+25*(1-EXP(-0.0175*$A118)))&lt;70,'Scénario référence'!$B$16*(45+25*(1-EXP(-0.0175*$A118))),70*'Scénario référence'!$B$16)+IF((32+38*(1-EXP(-0.0175*$A118)))&lt;70,'Scénario référence'!$B$18*(32+38*(1-EXP(-0.0175*$A118))),70*'Scénario référence'!$B$18)</f>
        <v>70</v>
      </c>
      <c r="IG118" s="12">
        <f>IF($A118&gt;30,10,('Scénario référence'!$B$16+'Scénario référence'!$B$17+'Scénario référence'!$B$18+'Scénario référence'!$B$9+'Scénario référence'!$B$10)*$A118*10/30+('Scénario référence'!$F$8+'Scénario référence'!$F$9)*10)</f>
        <v>10</v>
      </c>
      <c r="IH118" s="12" t="e">
        <f>VLOOKUP($A118,'Données projet'!$A$330:$I$350,2,0)</f>
        <v>#N/A</v>
      </c>
      <c r="II118" s="12" t="e">
        <f>VLOOKUP($A118,'Données projet'!$A$330:$I$350,9,0)</f>
        <v>#N/A</v>
      </c>
      <c r="IJ118" s="12">
        <f t="array" ref="IJ118">INDEX(II:II,MIN(IF(ISNUMBER(II118:II314),ROW(II118:II314),"")))</f>
        <v>0</v>
      </c>
      <c r="IK118" s="12">
        <f>IF('Données projet'!$A$330&gt;35,IK117+IJ118-IS117,IF($A118&lt;'Données projet'!$A$330,$CQ$205^$A118,IF($A118='Données projet'!$A$330,'Données projet'!$B$330,IK117+IJ118-IS117)))</f>
        <v>0</v>
      </c>
      <c r="IL118" s="17">
        <f>IK118*VLOOKUP('Données projet'!$B$20,Paramètres!$A$1:$I$89,3,0)*VLOOKUP('Données projet'!$B$20,Paramètres!$A$1:$I$89,5,0)</f>
        <v>0</v>
      </c>
      <c r="IM118" s="13" t="e">
        <f t="shared" si="204"/>
        <v>#NUM!</v>
      </c>
      <c r="IN118" s="20" t="e">
        <f t="shared" si="153"/>
        <v>#NUM!</v>
      </c>
      <c r="IO118" s="59" t="e">
        <f t="shared" si="154"/>
        <v>#NUM!</v>
      </c>
      <c r="IP118" s="59">
        <f ca="1">AVERAGE(OFFSET(IO$3,0,0,'Données projet'!$E$20+1,1))-AVERAGE(OFFSET($H$3,0,0,'Données projet'!$E$20+1,1))</f>
        <v>91.60721429656013</v>
      </c>
      <c r="IQ118" s="59">
        <f t="shared" si="205"/>
        <v>258.94957804210856</v>
      </c>
      <c r="IR118" s="15">
        <f>IF(ISNA(VLOOKUP($A118,'Données projet'!$A$330:$I$350,3,0)),0,VLOOKUP($A118,'Données projet'!$A$330:$I$350,3,0))</f>
        <v>0</v>
      </c>
      <c r="IS118" s="15">
        <f>IF(ISNA(VLOOKUP($A118,'Données projet'!$A$330:$I$350,4,0)),0,VLOOKUP($A118,'Données projet'!$A$330:$I$350,4,0))</f>
        <v>0</v>
      </c>
      <c r="IT118" s="16">
        <f>IF(ISNA(VLOOKUP($A118,'Données projet'!$A$330:$I$350,5,0)),0%,VLOOKUP($A118,'Données projet'!$A$330:$I$350,5,0)*VLOOKUP('Données projet'!$B$20,Paramètres!$A$1:$I$89,7,0))</f>
        <v>0</v>
      </c>
      <c r="IU118" s="16">
        <f>IF(ISNA(VLOOKUP($A118,'Données projet'!$A$330:$I$350,6,0)),0%,VLOOKUP($A118,'Données projet'!$A$330:$I$350,6,0)*VLOOKUP('Données projet'!$B$20,Paramètres!$A$1:$I$89,7,0))</f>
        <v>0</v>
      </c>
      <c r="IV118" s="16">
        <f>IF(ISNA(VLOOKUP($A118,'Données projet'!$A$330:$I$350,7,0)),0%,VLOOKUP($A118,'Données projet'!$A$330:$I$350,7,0))</f>
        <v>0</v>
      </c>
      <c r="IW118" s="21">
        <f>EXP(-LN(2)/35)*IW117+(1-EXP(-LN(2)/35))/(LN(2)/35)*IS118*IT118*VLOOKUP('Données projet'!$B$20,Paramètres!$A$1:$I$89,3,0)*0.475*44/12</f>
        <v>9.1635146839807842</v>
      </c>
      <c r="IX118" s="21">
        <f>EXP(-LN(2)/25)*IX117+(1-EXP(-LN(2)/25))/(LN(2)/25)*Calculateur!IS118*Calculateur!IU118*VLOOKUP('Données projet'!$B$20,Paramètres!$A$1:$I$89,3,0)*0.475*44/12</f>
        <v>0.92152977984439899</v>
      </c>
      <c r="IY118" s="21">
        <f>EXP(-LN(2)/2)*IY117+(1-EXP(-LN(2)/2))/(LN(2)/2)*IS118*IV118*VLOOKUP('Données projet'!$B$20,Paramètres!$A$1:$I$89,3,0)*0.475*44/12</f>
        <v>9.2101744087939697E-14</v>
      </c>
      <c r="IZ118" s="22">
        <f t="shared" si="155"/>
        <v>10.085044463825275</v>
      </c>
      <c r="JA118" s="74">
        <f>('Scénario référence'!$F$8+'Scénario référence'!$F$9+'Scénario référence'!$B$17+'Scénario référence'!$B$9+'Scénario référence'!$B$10)*70+IF((45+25*(1-EXP(-0.0175*$A118)))&lt;70,'Scénario référence'!$B$16*(45+25*(1-EXP(-0.0175*$A118))),70*'Scénario référence'!$B$16)+IF((32+38*(1-EXP(-0.0175*$A118)))&lt;70,'Scénario référence'!$B$18*(32+38*(1-EXP(-0.0175*$A118))),70*'Scénario référence'!$B$18)</f>
        <v>70</v>
      </c>
      <c r="JB118" s="12">
        <f>IF($A118&gt;30,10,('Scénario référence'!$B$16+'Scénario référence'!$B$17+'Scénario référence'!$B$18+'Scénario référence'!$B$9+'Scénario référence'!$B$10)*$A118*10/30+('Scénario référence'!$F$8+'Scénario référence'!$F$9)*10)</f>
        <v>10</v>
      </c>
      <c r="JC118" s="12" t="e">
        <f>VLOOKUP($A118,'Données projet'!$A$356:$I$376,2,0)</f>
        <v>#N/A</v>
      </c>
      <c r="JD118" s="12" t="e">
        <f>VLOOKUP($A118,'Données projet'!$A$356:$I$376,9,0)</f>
        <v>#N/A</v>
      </c>
      <c r="JE118" s="12">
        <f t="array" ref="JE118">INDEX(JD:JD,MIN(IF(ISNUMBER(JD118:JD314),ROW(JD118:JD314),"")))</f>
        <v>2.2000000000000002</v>
      </c>
      <c r="JF118" s="12">
        <f>IF('Données projet'!$A$356&gt;35,JF117+JE118-JN117,IF($A118&lt;'Données projet'!$A$356,$CQ$205^$A118,IF($A118='Données projet'!$A$356,'Données projet'!$B$356,JF117+JE118-JN117)))</f>
        <v>406.99999999999932</v>
      </c>
      <c r="JG118" s="17">
        <f>JF118*VLOOKUP('Données projet'!$B$21,Paramètres!$A$1:$I$89,3,0)*VLOOKUP('Données projet'!$B$21,Paramètres!$A$1:$I$89,5,0)</f>
        <v>330.15839999999946</v>
      </c>
      <c r="JH118" s="13">
        <f t="shared" si="206"/>
        <v>77.463146615877449</v>
      </c>
      <c r="JI118" s="20">
        <f t="shared" si="156"/>
        <v>709.94086035598559</v>
      </c>
      <c r="JJ118" s="59">
        <f t="shared" si="157"/>
        <v>1003.274193689319</v>
      </c>
      <c r="JK118" s="59">
        <f ca="1">AVERAGE(OFFSET($JJ$3,0,0,'Données projet'!$E$22+1,1))-AVERAGE(OFFSET($H$3,0,0,'Données projet'!$E$22+1,1))</f>
        <v>353.35574633294613</v>
      </c>
      <c r="JL118" s="59">
        <f t="shared" si="207"/>
        <v>170.36796666474726</v>
      </c>
      <c r="JM118" s="15">
        <f>IF(ISNA(VLOOKUP($A118,'Données projet'!$A$356:$I$376,3,0)),0,VLOOKUP($A118,'Données projet'!$A$356:$I$376,3,0))</f>
        <v>0</v>
      </c>
      <c r="JN118" s="15">
        <f>IF(ISNA(VLOOKUP($A118,'Données projet'!$A$356:$I$376,4,0)),0,VLOOKUP($A118,'Données projet'!$A$356:$I$376,4,0))</f>
        <v>0</v>
      </c>
      <c r="JO118" s="16">
        <f>IF(ISNA(VLOOKUP($A118,'Données projet'!$A$356:$I$376,5,0)),0%,VLOOKUP($A118,'Données projet'!$A$356:$I$376,5,0)*VLOOKUP('Données projet'!$B$21,Paramètres!$A$1:$I$89,7,0))</f>
        <v>0</v>
      </c>
      <c r="JP118" s="16">
        <f>IF(ISNA(VLOOKUP($A118,'Données projet'!$A$356:$I$376,6,0)),0%,VLOOKUP($A118,'Données projet'!$A$356:$I$376,6,0)*VLOOKUP('Données projet'!$B$21,Paramètres!$A$1:$I$89,7,0))</f>
        <v>0</v>
      </c>
      <c r="JQ118" s="16">
        <f>IF(ISNA(VLOOKUP($A118,'Données projet'!$A$356:$I$376,7,0)),0%,VLOOKUP($A118,'Données projet'!$A$356:$I$376,7,0))</f>
        <v>0</v>
      </c>
      <c r="JR118" s="21">
        <f>EXP(-LN(2)/35)*JR117+(1-EXP(-LN(2)/35))/(LN(2)/35)*JN118*JO118*VLOOKUP('Données projet'!$B$21,Paramètres!$A$1:$I$89,3,0)*0.475*44/12</f>
        <v>4.5518065246338786</v>
      </c>
      <c r="JS118" s="21">
        <f>EXP(-LN(2)/25)*JS117+(1-EXP(-LN(2)/25))/(LN(2)/25)*Calculateur!JN118*Calculateur!JP118*VLOOKUP('Données projet'!$B$21,Paramètres!$A$1:$I$89,3,0)*0.475*44/12</f>
        <v>15.39507968639408</v>
      </c>
      <c r="JT118" s="21">
        <f>EXP(-LN(2)/2)*JT117+(1-EXP(-LN(2)/2))/(LN(2)/2)*JN118*JQ118*VLOOKUP('Données projet'!$B$21,Paramètres!$A$1:$I$89,3,0)*0.475*44/12</f>
        <v>0.61670115527021963</v>
      </c>
      <c r="JU118" s="18">
        <f t="shared" si="158"/>
        <v>20.563587366298179</v>
      </c>
      <c r="JV118" s="74">
        <f>('Scénario référence'!$F$8+'Scénario référence'!$F$9+'Scénario référence'!$B$17+'Scénario référence'!$B$9+'Scénario référence'!$B$10)*70+IF((45+25*(1-EXP(-0.0175*$A118)))&lt;70,'Scénario référence'!$B$16*(45+25*(1-EXP(-0.0175*$A118))),70*'Scénario référence'!$B$16)+IF((32+38*(1-EXP(-0.0175*$A118)))&lt;70,'Scénario référence'!$B$18*(32+38*(1-EXP(-0.0175*$A118))),70*'Scénario référence'!$B$18)</f>
        <v>70</v>
      </c>
      <c r="JW118" s="12">
        <f>IF($A118&gt;30,10,('Scénario référence'!$B$16+'Scénario référence'!$B$17+'Scénario référence'!$B$18+'Scénario référence'!$B$9+'Scénario référence'!$B$10)*$A118*10/30+('Scénario référence'!$F$8+'Scénario référence'!$F$9)*10)</f>
        <v>10</v>
      </c>
      <c r="JX118" s="12" t="e">
        <f>VLOOKUP($A118,'Données projet'!$A$382:$I$402,2,0)</f>
        <v>#N/A</v>
      </c>
      <c r="JY118" s="12" t="e">
        <f>VLOOKUP($A118,'Données projet'!$A$382:$I$402,9,0)</f>
        <v>#N/A</v>
      </c>
      <c r="JZ118" s="12">
        <f t="array" ref="JZ118">INDEX(JY:JY,MIN(IF(ISNUMBER(JY118:JY314),ROW(JY118:JY314),"")))</f>
        <v>6.8461538461538511</v>
      </c>
      <c r="KA118" s="12">
        <f>IF('Données projet'!$A$382&gt;35,KA117+JZ118-KI117,IF($A118&lt;'Données projet'!$A$382,$CQ$205^$A118,IF($A118='Données projet'!$A$382,'Données projet'!$B$382,KA117+JZ118-KI117)))</f>
        <v>329.95512820512857</v>
      </c>
      <c r="KB118" s="17">
        <f>KA118*VLOOKUP('Données projet'!$B$22,Paramètres!$A$1:$I$89,3,0)*VLOOKUP('Données projet'!$B$22,Paramètres!$A$1:$I$89,5,0)</f>
        <v>221.33390000000026</v>
      </c>
      <c r="KC118" s="13">
        <f t="shared" si="208"/>
        <v>54.404700220205555</v>
      </c>
      <c r="KD118" s="20">
        <f t="shared" si="159"/>
        <v>480.24472871685839</v>
      </c>
      <c r="KE118" s="59">
        <f t="shared" si="160"/>
        <v>773.57806205019165</v>
      </c>
      <c r="KF118" s="59">
        <f ca="1">AVERAGE(OFFSET($KE$3,0,0,'Données projet'!$E$22+1,1))-AVERAGE(OFFSET($H$3,0,0,'Données projet'!$E$22+1,1))</f>
        <v>193.91714772848269</v>
      </c>
      <c r="KG118" s="59">
        <f t="shared" si="209"/>
        <v>159.20429420478047</v>
      </c>
      <c r="KH118" s="15">
        <f>IF(ISNA(VLOOKUP($A118,'Données projet'!$A$382:$I$402,3,0)),0,VLOOKUP($A118,'Données projet'!$A$382:$I$402,3,0))</f>
        <v>0</v>
      </c>
      <c r="KI118" s="15">
        <f>IF(ISNA(VLOOKUP($A118,'Données projet'!$A$382:$I$402,4,0)),0,VLOOKUP($A118,'Données projet'!$A$382:$I$402,4,0))</f>
        <v>0</v>
      </c>
      <c r="KJ118" s="16">
        <f>IF(ISNA(VLOOKUP($A118,'Données projet'!$A$382:$I$402,5,0)),0%,VLOOKUP($A118,'Données projet'!$A$382:$I$402,5,0)*VLOOKUP('Données projet'!$B$22,Paramètres!$A$1:$I$89,7,0))</f>
        <v>0</v>
      </c>
      <c r="KK118" s="16">
        <f>IF(ISNA(VLOOKUP($A118,'Données projet'!$A$382:$I$402,6,0)),0%,VLOOKUP($A118,'Données projet'!$A$382:$I$402,6,0)*VLOOKUP('Données projet'!$B$22,Paramètres!$A$1:$I$89,7,0))</f>
        <v>0</v>
      </c>
      <c r="KL118" s="16">
        <f>IF(ISNA(VLOOKUP($A118,'Données projet'!$A$382:$I$402,7,0)),0%,VLOOKUP($A118,'Données projet'!$A$382:$I$402,7,0))</f>
        <v>0</v>
      </c>
      <c r="KM118" s="21">
        <f>EXP(-LN(2)/35)*KM117+(1-EXP(-LN(2)/35))/(LN(2)/35)*KI118*KJ118*VLOOKUP('Données projet'!$B$22,Paramètres!$A$1:$I$89,3,0)*0.475*44/12</f>
        <v>48.821285940411073</v>
      </c>
      <c r="KN118" s="21">
        <f>EXP(-LN(2)/25)*KN117+(1-EXP(-LN(2)/25))/(LN(2)/25)*Calculateur!KI118*Calculateur!KK118*VLOOKUP('Données projet'!$B$22,Paramètres!$A$1:$I$89,3,0)*0.475*44/12</f>
        <v>0</v>
      </c>
      <c r="KO118" s="21">
        <f>EXP(-LN(2)/2)*KO117+(1-EXP(-LN(2)/2))/(LN(2)/2)*KI118*KL118*VLOOKUP('Données projet'!$B$22,Paramètres!$A$1:$I$89,3,0)*0.475*44/12</f>
        <v>0</v>
      </c>
      <c r="KP118" s="22">
        <f t="shared" si="161"/>
        <v>48.821285940411073</v>
      </c>
      <c r="KQ118" s="74">
        <f>('Scénario référence'!$F$8+'Scénario référence'!$F$9+'Scénario référence'!$B$17+'Scénario référence'!$B$9+'Scénario référence'!$B$10)*70+IF((45+25*(1-EXP(-0.0175*$A118)))&lt;70,'Scénario référence'!$B$16*(45+25*(1-EXP(-0.0175*$A118))),70*'Scénario référence'!$B$16)+IF((32+38*(1-EXP(-0.0175*$A118)))&lt;70,'Scénario référence'!$B$18*(32+38*(1-EXP(-0.0175*$A118))),70*'Scénario référence'!$B$18)</f>
        <v>70</v>
      </c>
      <c r="KR118" s="12">
        <f>IF($A118&gt;30,10,('Scénario référence'!$B$16+'Scénario référence'!$B$17+'Scénario référence'!$B$18+'Scénario référence'!$B$9+'Scénario référence'!$B$10)*$A118*10/30+('Scénario référence'!$F$8+'Scénario référence'!$F$9)*10)</f>
        <v>10</v>
      </c>
      <c r="KS118" s="12" t="e">
        <f>VLOOKUP($A118,'Données projet'!$A$408:$I$428,2,0)</f>
        <v>#N/A</v>
      </c>
      <c r="KT118" s="12" t="e">
        <f>VLOOKUP($A118,'Données projet'!$A$408:$I$428,9,0)</f>
        <v>#N/A</v>
      </c>
      <c r="KU118" s="12">
        <f t="array" ref="KU118">INDEX(KT:KT,MIN(IF(ISNUMBER(KT118:KT314),ROW(KT118:KT314),"")))</f>
        <v>0</v>
      </c>
      <c r="KV118" s="12">
        <f>IF('Données projet'!$A$408&gt;35,KV117+KU118-LD117,IF($A118&lt;'Données projet'!$A$408,$CQ$205^$A118,IF($A118='Données projet'!$A$408,'Données projet'!$B$408,KV117+KU118-LD117)))</f>
        <v>-1.1368683772161603E-13</v>
      </c>
      <c r="KW118" s="17">
        <f>KV118*VLOOKUP('Données projet'!$B$23,Paramètres!$A$1:$I$89,3,0)*VLOOKUP('Données projet'!$B$23,Paramètres!$A$1:$I$89,5,0)</f>
        <v>-9.9316821433603781E-14</v>
      </c>
      <c r="KX118" s="13" t="e">
        <f t="shared" si="210"/>
        <v>#NUM!</v>
      </c>
      <c r="KY118" s="14" t="e">
        <f t="shared" si="162"/>
        <v>#NUM!</v>
      </c>
      <c r="KZ118" s="59" t="e">
        <f t="shared" si="163"/>
        <v>#NUM!</v>
      </c>
      <c r="LA118" s="59">
        <f ca="1">AVERAGE(OFFSET($KZ$3,0,0,'Données projet'!$E$23+1,1))-AVERAGE(OFFSET($H$3,0,0,'Données projet'!$E$23+1,1))</f>
        <v>248.33596943633819</v>
      </c>
      <c r="LB118" s="59">
        <f t="shared" si="211"/>
        <v>242.34010522344573</v>
      </c>
      <c r="LC118" s="15">
        <f>IF(ISNA(VLOOKUP($A118,'Données projet'!$A$408:$I$428,3,0)),0,VLOOKUP($A118,'Données projet'!$A$408:$I$428,3,0))</f>
        <v>0</v>
      </c>
      <c r="LD118" s="15">
        <f>IF(ISNA(VLOOKUP($A118,'Données projet'!$A$408:$I$428,4,0)),0,VLOOKUP($A118,'Données projet'!$A$408:$I$428,4,0))</f>
        <v>0</v>
      </c>
      <c r="LE118" s="16">
        <f>IF(ISNA(VLOOKUP($A118,'Données projet'!$A$408:$I$428,5,0)),0%,VLOOKUP($A118,'Données projet'!$A$408:$I$428,5,0)*VLOOKUP('Données projet'!$B$23,Paramètres!$A$1:$I$89,7,0))</f>
        <v>0</v>
      </c>
      <c r="LF118" s="16">
        <f>IF(ISNA(VLOOKUP($A118,'Données projet'!$A$408:$I$428,6,0)),0%,VLOOKUP($A118,'Données projet'!$A$408:$I$428,6,0)*VLOOKUP('Données projet'!$B$23,Paramètres!$A$1:$I$89,7,0))</f>
        <v>0</v>
      </c>
      <c r="LG118" s="16">
        <f>IF(ISNA(VLOOKUP($A118,'Données projet'!$A$408:$I$428,7,0)),0%,VLOOKUP($A118,'Données projet'!$A$408:$I$428,7,0))</f>
        <v>0</v>
      </c>
      <c r="LH118" s="21">
        <f>EXP(-LN(2)/35)*LH117+(1-EXP(-LN(2)/35))/(LN(2)/35)*LD118*LE118*VLOOKUP('Données projet'!$B$23,Paramètres!$A$1:$I$89,3,0)*0.475*44/12</f>
        <v>61.610201221987438</v>
      </c>
      <c r="LI118" s="21">
        <f>EXP(-LN(2)/25)*LI117+(1-EXP(-LN(2)/25))/(LN(2)/25)*Calculateur!LD118*Calculateur!LF118*VLOOKUP('Données projet'!$B$23,Paramètres!$A$1:$I$89,3,0)*0.475*44/12</f>
        <v>8.251981043558267</v>
      </c>
      <c r="LJ118" s="21">
        <f>EXP(-LN(2)/2)*LJ117+(1-EXP(-LN(2)/2))/(LN(2)/2)*LD118*LG118*VLOOKUP('Données projet'!$B$23,Paramètres!$A$1:$I$89,3,0)*0.475*44/12</f>
        <v>0</v>
      </c>
      <c r="LK118" s="22">
        <f t="shared" si="164"/>
        <v>69.862182265545698</v>
      </c>
      <c r="LL118" s="74">
        <f>('Scénario référence'!$F$8+'Scénario référence'!$F$9+'Scénario référence'!$B$17+'Scénario référence'!$B$9+'Scénario référence'!$B$10)*70+IF((45+25*(1-EXP(-0.0175*$A118)))&lt;70,'Scénario référence'!$B$16*(45+25*(1-EXP(-0.0175*$A118))),70*'Scénario référence'!$B$16)+IF((32+38*(1-EXP(-0.0175*$A118)))&lt;70,'Scénario référence'!$B$18*(32+38*(1-EXP(-0.0175*$A118))),70*'Scénario référence'!$B$18)</f>
        <v>70</v>
      </c>
      <c r="LM118" s="12">
        <f>IF($A118&gt;30,10,('Scénario référence'!$B$16+'Scénario référence'!$B$17+'Scénario référence'!$B$18+'Scénario référence'!$B$9+'Scénario référence'!$B$10)*$A118*10/30+('Scénario référence'!$F$8+'Scénario référence'!$F$9)*10)</f>
        <v>10</v>
      </c>
      <c r="LN118" s="12" t="e">
        <f>VLOOKUP($A118,'Données projet'!$A$434:$I$454,2,0)</f>
        <v>#N/A</v>
      </c>
      <c r="LO118" s="12" t="e">
        <f>VLOOKUP($A118,'Données projet'!$A$434:$I$454,9,0)</f>
        <v>#N/A</v>
      </c>
      <c r="LP118" s="12">
        <f t="array" ref="LP118">INDEX(LO:LO,MIN(IF(ISNUMBER(LO118:LO314),ROW(LO118:LO314),"")))</f>
        <v>5.3066239316239274</v>
      </c>
      <c r="LQ118" s="12">
        <f>IF('Données projet'!$A$434&gt;35,LQ117+LP118-LY117,IF($A118&lt;'Données projet'!$A$434,$CQ$205^$A118,IF($A118='Données projet'!$A$434,'Données projet'!$B$434,LQ117+LP118-LY117)))</f>
        <v>225.22863247863214</v>
      </c>
      <c r="LR118" s="17">
        <f>LQ118*VLOOKUP('Données projet'!$B$24,Paramètres!$A$1:$I$89,3,0)*VLOOKUP('Données projet'!$B$24,Paramètres!$A$1:$I$89,5,0)</f>
        <v>228.38183333333299</v>
      </c>
      <c r="LS118" s="13">
        <f t="shared" si="212"/>
        <v>55.932652422184837</v>
      </c>
      <c r="LT118" s="14">
        <f t="shared" si="165"/>
        <v>495.18106269086019</v>
      </c>
      <c r="LU118" s="59">
        <f t="shared" si="166"/>
        <v>788.5143960241935</v>
      </c>
      <c r="LV118" s="59">
        <f ca="1">AVERAGE(OFFSET($LU$3,0,0,'Données projet'!$E$24+1,1))-AVERAGE(OFFSET($H$3,0,0,'Données projet'!$E$24+1,1))</f>
        <v>260.52627655062872</v>
      </c>
      <c r="LW118" s="59">
        <f t="shared" si="213"/>
        <v>159.20429420478047</v>
      </c>
      <c r="LX118" s="15">
        <f>IF(ISNA(VLOOKUP($A118,'Données projet'!$A$434:$I$454,3,0)),0,VLOOKUP($A118,'Données projet'!$A$434:$I$454,3,0))</f>
        <v>0</v>
      </c>
      <c r="LY118" s="15">
        <f>IF(ISNA(VLOOKUP($A118,'Données projet'!$A$434:$I$454,4,0)),0,VLOOKUP($A118,'Données projet'!$A$434:$I$454,4,0))</f>
        <v>0</v>
      </c>
      <c r="LZ118" s="16">
        <f>IF(ISNA(VLOOKUP($A118,'Données projet'!$A$434:$I$454,5,0)),0%,VLOOKUP($A118,'Données projet'!$A$434:$I$454,5,0)*VLOOKUP('Données projet'!$B$24,Paramètres!$A$1:$I$89,7,0))</f>
        <v>0</v>
      </c>
      <c r="MA118" s="16">
        <f>IF(ISNA(VLOOKUP($A118,'Données projet'!$A$434:$I$454,6,0)),0%,VLOOKUP($A118,'Données projet'!$A$434:$I$454,6,0)*VLOOKUP('Données projet'!$B$24,Paramètres!$A$1:$I$89,7,0))</f>
        <v>0</v>
      </c>
      <c r="MB118" s="16">
        <f>IF(ISNA(VLOOKUP($A118,'Données projet'!$A$434:$I$454,7,0)),0%,VLOOKUP($A118,'Données projet'!$A$434:$I$454,7,0))</f>
        <v>0</v>
      </c>
      <c r="MC118" s="21">
        <f>EXP(-LN(2)/35)*MC117+(1-EXP(-LN(2)/35))/(LN(2)/35)*LY118*LZ118*VLOOKUP('Données projet'!$B$24,Paramètres!$A$1:$I$89,3,0)*0.475*44/12</f>
        <v>38.456569965772616</v>
      </c>
      <c r="MD118" s="21">
        <f>EXP(-LN(2)/25)*MD117+(1-EXP(-LN(2)/25))/(LN(2)/25)*Calculateur!LY118*Calculateur!MA118*VLOOKUP('Données projet'!$B$24,Paramètres!$A$1:$I$89,3,0)*0.475*44/12</f>
        <v>0</v>
      </c>
      <c r="ME118" s="21">
        <f>EXP(-LN(2)/2)*ME117+(1-EXP(-LN(2)/2))/(LN(2)/2)*LY118*MB118*VLOOKUP('Données projet'!$B$24,Paramètres!$A$1:$I$89,3,0)*0.475*44/12</f>
        <v>0</v>
      </c>
      <c r="MF118" s="22">
        <f t="shared" si="167"/>
        <v>38.456569965772616</v>
      </c>
      <c r="MG118" s="74">
        <f>('Scénario référence'!$F$8+'Scénario référence'!$F$9+'Scénario référence'!$B$17+'Scénario référence'!$B$9+'Scénario référence'!$B$10)*70+IF((45+25*(1-EXP(-0.0175*$A118)))&lt;70,'Scénario référence'!$B$16*(45+25*(1-EXP(-0.0175*$A118))),70*'Scénario référence'!$B$16)+IF((32+38*(1-EXP(-0.0175*$A118)))&lt;70,'Scénario référence'!$B$18*(32+38*(1-EXP(-0.0175*$A118))),70*'Scénario référence'!$B$18)</f>
        <v>70</v>
      </c>
      <c r="MH118" s="12">
        <f>IF($A118&gt;30,10,('Scénario référence'!$B$16+'Scénario référence'!$B$17+'Scénario référence'!$B$18+'Scénario référence'!$B$9+'Scénario référence'!$B$10)*$A118*10/30+('Scénario référence'!$F$8+'Scénario référence'!$F$9)*10)</f>
        <v>10</v>
      </c>
      <c r="MI118" s="12" t="e">
        <f>VLOOKUP($A118,'Données projet'!$A$460:$I$480,2,0)</f>
        <v>#N/A</v>
      </c>
      <c r="MJ118" s="12" t="e">
        <f>VLOOKUP($A118,'Données projet'!$A$460:$I$480,9,0)</f>
        <v>#N/A</v>
      </c>
      <c r="MK118" s="12">
        <f t="array" ref="MK118">INDEX(MJ:MJ,MIN(IF(ISNUMBER(MJ118:MJ314),ROW(MJ118:MJ314),"")))</f>
        <v>0</v>
      </c>
      <c r="ML118" s="12">
        <f>IF('Données projet'!$A$460&gt;35,ML117+MK118-MT117,IF($A118&lt;'Données projet'!$A$460,$CQ$205^$A118,IF($A118='Données projet'!$A$460,'Données projet'!$B$460,ML117+MK118-MT117)))</f>
        <v>0</v>
      </c>
      <c r="MM118" s="17" t="e">
        <f>ML118*VLOOKUP('Données projet'!$B$25,Paramètres!$A$1:$I$89,3,0)*VLOOKUP('Données projet'!$B$25,Paramètres!$A$1:$I$89,5,0)</f>
        <v>#N/A</v>
      </c>
      <c r="MN118" s="13" t="e">
        <f t="shared" si="214"/>
        <v>#N/A</v>
      </c>
      <c r="MO118" s="14" t="e">
        <f t="shared" si="168"/>
        <v>#N/A</v>
      </c>
      <c r="MP118" s="59" t="e">
        <f t="shared" si="169"/>
        <v>#N/A</v>
      </c>
      <c r="MQ118" s="20" t="e">
        <f ca="1">AVERAGE(OFFSET($MP$3,0,0,'Données projet'!$E$25+1,1))-AVERAGE(OFFSET($H$3,0,0,'Données projet'!$E$25+1,1))</f>
        <v>#N/A</v>
      </c>
      <c r="MR118" s="59" t="e">
        <f t="shared" si="215"/>
        <v>#N/A</v>
      </c>
      <c r="MS118" s="15">
        <f>IF(ISNA(VLOOKUP($A118,'Données projet'!$A$460:$I$480,3,0)),0,VLOOKUP($A118,'Données projet'!$A$460:$I$480,3,0))</f>
        <v>0</v>
      </c>
      <c r="MT118" s="15">
        <f>IF(ISNA(VLOOKUP($A118,'Données projet'!$A$460:$I$480,4,0)),0,VLOOKUP($A118,'Données projet'!$A$460:$I$480,4,0))</f>
        <v>0</v>
      </c>
      <c r="MU118" s="16">
        <f>IF(ISNA(VLOOKUP($A118,'Données projet'!$A$460:$I$480,5,0)),0%,VLOOKUP($A118,'Données projet'!$A$460:$I$480,5,0)*VLOOKUP('Données projet'!$B$25,Paramètres!$A$1:$I$89,7,0))</f>
        <v>0</v>
      </c>
      <c r="MV118" s="16">
        <f>IF(ISNA(VLOOKUP($A118,'Données projet'!$A$460:$I$480,6,0)),0%,VLOOKUP($A118,'Données projet'!$A$460:$I$480,6,0)*VLOOKUP('Données projet'!$B$25,Paramètres!$A$1:$I$89,7,0))</f>
        <v>0</v>
      </c>
      <c r="MW118" s="16">
        <f>IF(ISNA(VLOOKUP($A118,'Données projet'!$A$460:$I$480,7,0)),0%,VLOOKUP($A118,'Données projet'!$A$460:$I$480,7,0))</f>
        <v>0</v>
      </c>
      <c r="MX118" s="21" t="e">
        <f>EXP(-LN(2)/35)*MX117+(1-EXP(-LN(2)/35))/(LN(2)/35)*MT118*MU118*VLOOKUP('Données projet'!$B$25,Paramètres!$A$1:$I$89,3,0)*0.475*44/12</f>
        <v>#N/A</v>
      </c>
      <c r="MY118" s="21" t="e">
        <f>EXP(-LN(2)/25)*MY117+(1-EXP(-LN(2)/25))/(LN(2)/25)*Calculateur!MT118*Calculateur!MV118*VLOOKUP('Données projet'!$B$25,Paramètres!$A$1:$I$89,3,0)*0.475*44/12</f>
        <v>#N/A</v>
      </c>
      <c r="MZ118" s="21" t="e">
        <f>EXP(-LN(2)/2)*MZ117+(1-EXP(-LN(2)/2))/(LN(2)/2)*MT118*MW118*VLOOKUP('Données projet'!$B$25,Paramètres!$A$1:$I$89,3,0)*0.475*44/12</f>
        <v>#N/A</v>
      </c>
      <c r="NA118" s="22" t="e">
        <f t="shared" si="170"/>
        <v>#N/A</v>
      </c>
      <c r="NB118" s="74">
        <f>('Scénario référence'!$F$8+'Scénario référence'!$F$9+'Scénario référence'!$B$17+'Scénario référence'!$B$9+'Scénario référence'!$B$10)*70+IF((45+25*(1-EXP(-0.0175*$A118)))&lt;70,'Scénario référence'!$B$16*(45+25*(1-EXP(-0.0175*$A118))),70*'Scénario référence'!$B$16)+IF((32+38*(1-EXP(-0.0175*$A118)))&lt;70,'Scénario référence'!$B$18*(32+38*(1-EXP(-0.0175*$A118))),70*'Scénario référence'!$B$18)</f>
        <v>70</v>
      </c>
      <c r="NC118" s="12">
        <f>IF($A118&gt;30,10,('Scénario référence'!$B$16+'Scénario référence'!$B$17+'Scénario référence'!$B$18+'Scénario référence'!$B$9+'Scénario référence'!$B$10)*$A118*10/30+('Scénario référence'!$F$8+'Scénario référence'!$F$9)*10)</f>
        <v>10</v>
      </c>
      <c r="ND118" s="12" t="e">
        <f>VLOOKUP($A118,'Données projet'!$A$486:$I$506,2,0)</f>
        <v>#N/A</v>
      </c>
      <c r="NE118" s="12" t="e">
        <f>VLOOKUP($A118,'Données projet'!$A$486:$I$506,9,0)</f>
        <v>#N/A</v>
      </c>
      <c r="NF118" s="12">
        <f t="array" ref="NF118">INDEX(NE:NE,MIN(IF(ISNUMBER(NE118:NE314),ROW(NE118:NE314),"")))</f>
        <v>0</v>
      </c>
      <c r="NG118" s="12">
        <f>IF('Données projet'!$A$486&gt;35,NG117+NF118-NO117,IF($A118&lt;'Données projet'!$A$486,$CQ$205^$A118,IF($A118='Données projet'!$A$486,'Données projet'!$B$486,NG117+NF118-NO117)))</f>
        <v>0</v>
      </c>
      <c r="NH118" s="17" t="e">
        <f>NG118*VLOOKUP('Données projet'!$B$26,Paramètres!$A$1:$I$89,3,0)*VLOOKUP('Données projet'!$B$26,Paramètres!$A$1:$I$89,5,0)</f>
        <v>#N/A</v>
      </c>
      <c r="NI118" s="13" t="e">
        <f t="shared" si="216"/>
        <v>#N/A</v>
      </c>
      <c r="NJ118" s="14" t="e">
        <f t="shared" si="171"/>
        <v>#N/A</v>
      </c>
      <c r="NK118" s="59" t="e">
        <f t="shared" si="172"/>
        <v>#N/A</v>
      </c>
      <c r="NL118" s="20" t="e">
        <f ca="1">AVERAGE(OFFSET($NK$3,0,0,'Données projet'!$E$26+1,1))-AVERAGE(OFFSET($H$3,0,0,'Données projet'!$E$26+1,1))</f>
        <v>#N/A</v>
      </c>
      <c r="NM118" s="59" t="e">
        <f t="shared" si="217"/>
        <v>#N/A</v>
      </c>
      <c r="NN118" s="15">
        <f>IF(ISNA(VLOOKUP($A118,'Données projet'!$A$486:$I$506,3,0)),0,VLOOKUP($A118,'Données projet'!$A$486:$I$506,3,0))</f>
        <v>0</v>
      </c>
      <c r="NO118" s="15">
        <f>IF(ISNA(VLOOKUP($A118,'Données projet'!$A$486:$I$506,4,0)),0,VLOOKUP($A118,'Données projet'!$A$486:$I$506,4,0))</f>
        <v>0</v>
      </c>
      <c r="NP118" s="16">
        <f>IF(ISNA(VLOOKUP($A118,'Données projet'!$A$486:$I$506,5,0)),0%,VLOOKUP($A118,'Données projet'!$A$486:$I$506,5,0)*VLOOKUP('Données projet'!$B$26,Paramètres!$A$1:$I$89,7,0))</f>
        <v>0</v>
      </c>
      <c r="NQ118" s="16">
        <f>IF(ISNA(VLOOKUP($A118,'Données projet'!$A$486:$I$506,6,0)),0%,VLOOKUP($A118,'Données projet'!$A$486:$I$506,6,0)*VLOOKUP('Données projet'!$B$26,Paramètres!$A$1:$I$89,7,0))</f>
        <v>0</v>
      </c>
      <c r="NR118" s="16">
        <f>IF(ISNA(VLOOKUP($A118,'Données projet'!$A$486:$I$506,7,0)),0%,VLOOKUP($A118,'Données projet'!$A$486:$I$506,7,0))</f>
        <v>0</v>
      </c>
      <c r="NS118" s="21" t="e">
        <f>EXP(-LN(2)/35)*NS117+(1-EXP(-LN(2)/35))/(LN(2)/35)*NO118*NP118*VLOOKUP('Données projet'!$B$26,Paramètres!$A$1:$I$89,3,0)*0.475*44/12</f>
        <v>#N/A</v>
      </c>
      <c r="NT118" s="21" t="e">
        <f>EXP(-LN(2)/25)*NT117+(1-EXP(-LN(2)/25))/(LN(2)/25)*Calculateur!NO118*Calculateur!NQ118*VLOOKUP('Données projet'!$B$26,Paramètres!$A$1:$I$89,3,0)*0.475*44/12</f>
        <v>#N/A</v>
      </c>
      <c r="NU118" s="21" t="e">
        <f>EXP(-LN(2)/2)*NU117+(1-EXP(-LN(2)/2))/(LN(2)/2)*NO118*NR118*VLOOKUP('Données projet'!$B$26,Paramètres!$A$1:$I$89,3,0)*0.475*44/12</f>
        <v>#N/A</v>
      </c>
      <c r="NV118" s="22" t="e">
        <f t="shared" si="173"/>
        <v>#N/A</v>
      </c>
      <c r="NW118" s="74">
        <f>('Scénario référence'!$F$8+'Scénario référence'!$F$9+'Scénario référence'!$B$17+'Scénario référence'!$B$9+'Scénario référence'!$B$10)*70+IF((45+25*(1-EXP(-0.0175*$A118)))&lt;70,'Scénario référence'!$B$16*(45+25*(1-EXP(-0.0175*$A118))),70*'Scénario référence'!$B$16)+IF((32+38*(1-EXP(-0.0175*$A118)))&lt;70,'Scénario référence'!$B$18*(32+38*(1-EXP(-0.0175*$A118))),70*'Scénario référence'!$B$18)</f>
        <v>70</v>
      </c>
      <c r="NX118" s="12">
        <f>IF($A118&gt;30,10,('Scénario référence'!$B$16+'Scénario référence'!$B$17+'Scénario référence'!$B$18+'Scénario référence'!$B$9+'Scénario référence'!$B$10)*$A118*10/30+('Scénario référence'!$F$8+'Scénario référence'!$F$9)*10)</f>
        <v>10</v>
      </c>
      <c r="NY118" s="12" t="e">
        <f>VLOOKUP($A118,'Données projet'!$A$512:$I$532,2,0)</f>
        <v>#N/A</v>
      </c>
      <c r="NZ118" s="12" t="e">
        <f>VLOOKUP($A118,'Données projet'!$A$512:$I$532,9,0)</f>
        <v>#N/A</v>
      </c>
      <c r="OA118" s="12">
        <f t="array" ref="OA118">INDEX(NZ:NZ,MIN(IF(ISNUMBER(NZ118:NZ314),ROW(NZ118:NZ314),"")))</f>
        <v>0</v>
      </c>
      <c r="OB118" s="12">
        <f>IF('Données projet'!$A$512&gt;35,OB117+OA118-OJ117,IF($A118&lt;'Données projet'!$A$512,$CQ$205^$A118,IF($A118='Données projet'!$A$512,'Données projet'!$B$512,OB117+OA118-OJ117)))</f>
        <v>0</v>
      </c>
      <c r="OC118" s="17" t="e">
        <f>OB118*VLOOKUP('Données projet'!$B$27,Paramètres!$A$1:$I$89,3,0)*VLOOKUP('Données projet'!$B$27,Paramètres!$A$1:$I$89,5,0)</f>
        <v>#N/A</v>
      </c>
      <c r="OD118" s="13" t="e">
        <f t="shared" si="218"/>
        <v>#N/A</v>
      </c>
      <c r="OE118" s="14" t="e">
        <f t="shared" si="174"/>
        <v>#N/A</v>
      </c>
      <c r="OF118" s="59" t="e">
        <f t="shared" si="175"/>
        <v>#N/A</v>
      </c>
      <c r="OG118" s="20" t="e">
        <f ca="1">AVERAGE(OFFSET($OF$3,0,0,'Données projet'!$E$27+1,1))-AVERAGE(OFFSET($H$3,0,0,'Données projet'!$E$27+1,1))</f>
        <v>#N/A</v>
      </c>
      <c r="OH118" s="59" t="e">
        <f t="shared" si="219"/>
        <v>#N/A</v>
      </c>
      <c r="OI118" s="15">
        <f>IF(ISNA(VLOOKUP($A118,'Données projet'!$A$512:$I$532,3,0)),0,VLOOKUP($A118,'Données projet'!$A$512:$I$532,3,0))</f>
        <v>0</v>
      </c>
      <c r="OJ118" s="15">
        <f>IF(ISNA(VLOOKUP($A118,'Données projet'!$A$512:$I$532,4,0)),0,VLOOKUP($A118,'Données projet'!$A$512:$I$532,4,0))</f>
        <v>0</v>
      </c>
      <c r="OK118" s="16">
        <f>IF(ISNA(VLOOKUP($A118,'Données projet'!$A$512:$I$532,5,0)),0%,VLOOKUP($A118,'Données projet'!$A$512:$I$532,5,0)*VLOOKUP('Données projet'!$B$27,Paramètres!$A$1:$I$89,7,0))</f>
        <v>0</v>
      </c>
      <c r="OL118" s="16">
        <f>IF(ISNA(VLOOKUP($A118,'Données projet'!$A$512:$I$532,6,0)),0%,VLOOKUP($A118,'Données projet'!$A$512:$I$532,6,0)*VLOOKUP('Données projet'!$B$27,Paramètres!$A$1:$I$89,7,0))</f>
        <v>0</v>
      </c>
      <c r="OM118" s="16">
        <f>IF(ISNA(VLOOKUP($A118,'Données projet'!$A$512:$I$532,7,0)),0%,VLOOKUP($A118,'Données projet'!$A$512:$I$532,7,0))</f>
        <v>0</v>
      </c>
      <c r="ON118" s="21" t="e">
        <f>EXP(-LN(2)/35)*ON117+(1-EXP(-LN(2)/35))/(LN(2)/35)*OJ118*OK118*VLOOKUP('Données projet'!$B$27,Paramètres!$A$1:$I$89,3,0)*0.475*44/12</f>
        <v>#N/A</v>
      </c>
      <c r="OO118" s="21" t="e">
        <f>EXP(-LN(2)/25)*OO117+(1-EXP(-LN(2)/25))/(LN(2)/25)*Calculateur!OJ118*Calculateur!OL118*VLOOKUP('Données projet'!$B$27,Paramètres!$A$1:$I$89,3,0)*0.475*44/12</f>
        <v>#N/A</v>
      </c>
      <c r="OP118" s="21" t="e">
        <f>EXP(-LN(2)/2)*OP117+(1-EXP(-LN(2)/2))/(LN(2)/2)*OJ118*OM118*VLOOKUP('Données projet'!$B$27,Paramètres!$A$1:$I$89,3,0)*0.475*44/12</f>
        <v>#N/A</v>
      </c>
      <c r="OQ118" s="22" t="e">
        <f t="shared" si="176"/>
        <v>#N/A</v>
      </c>
      <c r="OR118" s="74">
        <f>('Scénario référence'!$F$8+'Scénario référence'!$F$9+'Scénario référence'!$B$17+'Scénario référence'!$B$9+'Scénario référence'!$B$10)*70+IF((45+25*(1-EXP(-0.0175*$A118)))&lt;70,'Scénario référence'!$B$16*(45+25*(1-EXP(-0.0175*$A118))),70*'Scénario référence'!$B$16)+IF((32+38*(1-EXP(-0.0175*$A118)))&lt;70,'Scénario référence'!$B$18*(32+38*(1-EXP(-0.0175*$A118))),70*'Scénario référence'!$B$18)</f>
        <v>70</v>
      </c>
      <c r="OS118" s="12">
        <f>IF($A118&gt;30,10,('Scénario référence'!$B$16+'Scénario référence'!$B$17+'Scénario référence'!$B$18+'Scénario référence'!$B$9+'Scénario référence'!$B$10)*$A118*10/30+('Scénario référence'!$F$8+'Scénario référence'!$F$9)*10)</f>
        <v>10</v>
      </c>
      <c r="OT118" s="12" t="e">
        <f>VLOOKUP($A118,'Données projet'!$A$538:$I$558,2,0)</f>
        <v>#N/A</v>
      </c>
      <c r="OU118" s="12" t="e">
        <f>VLOOKUP($A118,'Données projet'!$A$538:$I$558,9,0)</f>
        <v>#N/A</v>
      </c>
      <c r="OV118" s="12">
        <f t="array" ref="OV118">INDEX(OU:OU,MIN(IF(ISNUMBER(OU118:OU314),ROW(OU118:OU314),"")))</f>
        <v>0</v>
      </c>
      <c r="OW118" s="12">
        <f>IF('Données projet'!$A$538&gt;35,OW117+OV118-PE117,IF($A118&lt;'Données projet'!$A$538,$CQ$205^$A118,IF($A118='Données projet'!$A$538,'Données projet'!$B$538,OW117+OV118-PE117)))</f>
        <v>0</v>
      </c>
      <c r="OX118" s="17" t="e">
        <f>OW118*VLOOKUP('Données projet'!$B$28,Paramètres!$A$1:$I$89,3,0)*VLOOKUP('Données projet'!$B$28,Paramètres!$A$1:$I$89,5,0)</f>
        <v>#N/A</v>
      </c>
      <c r="OY118" s="13" t="e">
        <f t="shared" si="220"/>
        <v>#N/A</v>
      </c>
      <c r="OZ118" s="14" t="e">
        <f t="shared" si="177"/>
        <v>#N/A</v>
      </c>
      <c r="PA118" s="59" t="e">
        <f t="shared" si="178"/>
        <v>#N/A</v>
      </c>
      <c r="PB118" s="20" t="e">
        <f ca="1">AVERAGE(OFFSET($PA$3,0,0,'Données projet'!$E$28+1,1))-AVERAGE(OFFSET($H$3,0,0,'Données projet'!$E$28+1,1))</f>
        <v>#N/A</v>
      </c>
      <c r="PC118" s="59" t="e">
        <f t="shared" si="221"/>
        <v>#N/A</v>
      </c>
      <c r="PD118" s="15">
        <f>IF(ISNA(VLOOKUP($A118,'Données projet'!$A$538:$I$558,3,0)),0,VLOOKUP($A118,'Données projet'!$A$538:$I$558,3,0))</f>
        <v>0</v>
      </c>
      <c r="PE118" s="15">
        <f>IF(ISNA(VLOOKUP($A118,'Données projet'!$A$538:$I$558,4,0)),0,VLOOKUP($A118,'Données projet'!$A$538:$I$558,4,0))</f>
        <v>0</v>
      </c>
      <c r="PF118" s="16">
        <f>IF(ISNA(VLOOKUP($A118,'Données projet'!$A$538:$I$558,5,0)),0%,VLOOKUP($A118,'Données projet'!$A$538:$I$558,5,0)*VLOOKUP('Données projet'!$B$28,Paramètres!$A$1:$I$89,7,0))</f>
        <v>0</v>
      </c>
      <c r="PG118" s="16">
        <f>IF(ISNA(VLOOKUP($A118,'Données projet'!$A$538:$I$558,6,0)),0%,VLOOKUP($A118,'Données projet'!$A$538:$I$558,6,0)*VLOOKUP('Données projet'!$B$28,Paramètres!$A$1:$I$89,7,0))</f>
        <v>0</v>
      </c>
      <c r="PH118" s="16">
        <f>IF(ISNA(VLOOKUP($A118,'Données projet'!$A$538:$I$558,7,0)),0%,VLOOKUP($A118,'Données projet'!$A$538:$I$558,7,0))</f>
        <v>0</v>
      </c>
      <c r="PI118" s="21" t="e">
        <f>EXP(-LN(2)/35)*PI117+(1-EXP(-LN(2)/35))/(LN(2)/35)*PE118*PF118*VLOOKUP('Données projet'!$B$28,Paramètres!$A$1:$I$89,3,0)*0.475*44/12</f>
        <v>#N/A</v>
      </c>
      <c r="PJ118" s="21" t="e">
        <f>EXP(-LN(2)/25)*PJ117+(1-EXP(-LN(2)/25))/(LN(2)/25)*Calculateur!PE118*Calculateur!PG118*VLOOKUP('Données projet'!$B$28,Paramètres!$A$1:$I$89,3,0)*0.475*44/12</f>
        <v>#N/A</v>
      </c>
      <c r="PK118" s="21" t="e">
        <f>EXP(-LN(2)/2)*PK117+(1-EXP(-LN(2)/2))/(LN(2)/2)*PE118*PH118*VLOOKUP('Données projet'!$B$28,Paramètres!$A$1:$I$89,3,0)*0.475*44/12</f>
        <v>#N/A</v>
      </c>
      <c r="PL118" s="22" t="e">
        <f t="shared" si="179"/>
        <v>#N/A</v>
      </c>
    </row>
    <row r="119" spans="1:428" x14ac:dyDescent="0.35">
      <c r="A119" s="10">
        <f t="shared" si="180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181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121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projet'!$A$45:$I$65,2,0)</f>
        <v>#N/A</v>
      </c>
      <c r="L119" s="12" t="e">
        <f>VLOOKUP(A119,'Données projet'!$A$45:$I$65,9,0)</f>
        <v>#N/A</v>
      </c>
      <c r="M119" s="12">
        <f t="array" ref="M119">INDEX(L:L,MIN(IF(ISNUMBER(L119:L315),ROW(L119:L315),"")))</f>
        <v>0</v>
      </c>
      <c r="N119" s="13">
        <f>IF('Données projet'!$A$46&gt;35,N118+M119-V118,IF(A119&lt;'Données projet'!$A$46,$K$205^A119,IF(A119='Données projet'!$A$46,'Données projet'!$B$46,N118+M119-V118)))</f>
        <v>-1.1368683772161603E-13</v>
      </c>
      <c r="O119" s="13">
        <f>N119*VLOOKUP('Données projet'!$B$9,Paramètres!$A$1:$I$89,3,0)*VLOOKUP('Données projet'!$B$9,Paramètres!$A$1:$I$89,5,0)</f>
        <v>-6.3550942286383367E-14</v>
      </c>
      <c r="P119" s="13" t="e">
        <f t="shared" si="182"/>
        <v>#NUM!</v>
      </c>
      <c r="Q119" s="20" t="e">
        <f t="shared" si="222"/>
        <v>#NUM!</v>
      </c>
      <c r="R119" s="59" t="e">
        <f t="shared" si="120"/>
        <v>#NUM!</v>
      </c>
      <c r="S119" s="59">
        <f ca="1">AVERAGE(OFFSET($R$3,0,0,'Données projet'!$E$9+1,1))-AVERAGE(OFFSET($H$3,0,0,'Données projet'!$E$9+1,1))</f>
        <v>274.57619581652199</v>
      </c>
      <c r="T119" s="59">
        <f t="shared" si="183"/>
        <v>366.15117322598775</v>
      </c>
      <c r="U119" s="15">
        <f>IF(ISNA(VLOOKUP(A119,'Données projet'!$A$45:$I$65,3,0)),0,VLOOKUP(A119,'Données projet'!$A$45:$I$65,3,0))</f>
        <v>0</v>
      </c>
      <c r="V119" s="15">
        <f>IF(ISNA(VLOOKUP(A119,'Données projet'!$A$45:$I$65,4,0)),0,VLOOKUP(A119,'Données projet'!$A$45:$I$65,4,0))</f>
        <v>0</v>
      </c>
      <c r="W119" s="16">
        <f>IF(ISNA(VLOOKUP(A119,'Données projet'!$A$45:$I$65,5,0)),0%,VLOOKUP(A119,'Données projet'!$A$45:$I$65,5,0)*VLOOKUP('Données projet'!$B$9,Paramètres!$A$1:$I$89,7,0))</f>
        <v>0</v>
      </c>
      <c r="X119" s="16">
        <f>IF(ISNA(VLOOKUP(A119,'Données projet'!$A$45:$I$65,6,0)),0%,VLOOKUP(A119,'Données projet'!$A$45:$I$65,6,0)*VLOOKUP('Données projet'!$B$9,Paramètres!$A$1:$I$89,7,0))</f>
        <v>0</v>
      </c>
      <c r="Y119" s="16">
        <f>IF(ISNA(VLOOKUP(A119,'Données projet'!$A$45:$I$65,7,0)),0%,VLOOKUP(A119,'Données projet'!$A$45:$I$65,7,0))</f>
        <v>0</v>
      </c>
      <c r="Z119" s="21">
        <f>EXP(-LN(2)/35)*Z118+(1-EXP(-LN(2)/35))/(LN(2)/35)*V119*W119*VLOOKUP('Données projet'!$B$9,Paramètres!$A$1:$I$89,3,0)*0.475*44/12</f>
        <v>67.720010238830696</v>
      </c>
      <c r="AA119" s="21">
        <f>EXP(-LN(2)/25)*AA118+(1-EXP(-LN(2)/25))/(LN(2)/25)*Calculateur!V119*Calculateur!X119*VLOOKUP('Données projet'!$B$9,Paramètres!$A$1:$I$89,3,0)*0.475*44/12</f>
        <v>10.616153734490803</v>
      </c>
      <c r="AB119" s="21">
        <f>EXP(-LN(2)/2)*AB118+(1-EXP(-LN(2)/2))/(LN(2)/2)*V119*Y119*VLOOKUP('Données projet'!$B$9,Paramètres!$A$1:$I$89,3,0)*0.475*44/12</f>
        <v>2.2496739137436346E-8</v>
      </c>
      <c r="AC119" s="22">
        <f t="shared" si="122"/>
        <v>78.336163995818239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projet'!$A$71:$I$91,2,0)</f>
        <v>#N/A</v>
      </c>
      <c r="AG119" s="12" t="e">
        <f>VLOOKUP(A119,'Données projet'!$A$71:$I$91,9,0)</f>
        <v>#N/A</v>
      </c>
      <c r="AH119" s="12">
        <f t="array" ref="AH119">INDEX(AG:AG,MIN(IF(ISNUMBER(AG119:AG315),ROW(AG119:AG315),"")))</f>
        <v>6.8461538461538511</v>
      </c>
      <c r="AI119" s="13">
        <f>IF('Données projet'!$A$72&gt;35,AI118+AH119-AQ118,IF(A119&lt;'Données projet'!$A$72,$AF$205^A119,IF(A119='Données projet'!$A$72,'Données projet'!$B$72,AI118+AH119-AQ118)))</f>
        <v>336.8012820512825</v>
      </c>
      <c r="AJ119" s="13">
        <f>AI119*VLOOKUP('Données projet'!$B$10,Paramètres!$A$1:$I$89,3,0)*VLOOKUP('Données projet'!$B$10,Paramètres!$A$1:$I$89,5,0)</f>
        <v>304.73780000000039</v>
      </c>
      <c r="AK119" s="13">
        <f t="shared" si="184"/>
        <v>72.168780751383139</v>
      </c>
      <c r="AL119" s="20">
        <f t="shared" si="123"/>
        <v>656.4456281419931</v>
      </c>
      <c r="AM119" s="59">
        <f t="shared" si="124"/>
        <v>949.77896147532647</v>
      </c>
      <c r="AN119" s="59">
        <f ca="1">AVERAGE(OFFSET($AM$3,0,0,'Données projet'!$E$10+1,1))-AVERAGE(OFFSET($H$3,0,0,'Données projet'!$E$10+1,1))</f>
        <v>270.87836509222456</v>
      </c>
      <c r="AO119" s="59">
        <f t="shared" si="185"/>
        <v>205.24998237949734</v>
      </c>
      <c r="AP119" s="15">
        <f>IF(ISNA(VLOOKUP(A119,'Données projet'!$A$71:$I$91,3,0)),0,VLOOKUP(A119,'Données projet'!$A$71:$I$91,3,0))</f>
        <v>0</v>
      </c>
      <c r="AQ119" s="15">
        <f>IF(ISNA(VLOOKUP(A119,'Données projet'!$A$71:$I$91,4,0)),0,VLOOKUP(A119,'Données projet'!$A$71:$I$91,4,0))</f>
        <v>0</v>
      </c>
      <c r="AR119" s="16">
        <f>IF(ISNA(VLOOKUP(A119,'Données projet'!$A$71:$I$91,5,0)),0%,VLOOKUP(A119,'Données projet'!$A$71:$I$91,5,0)*VLOOKUP('Données projet'!$B$10,Paramètres!$A$1:$I$89,7,0))</f>
        <v>0</v>
      </c>
      <c r="AS119" s="16">
        <f>IF(ISNA(VLOOKUP(A119,'Données projet'!$A$71:$I$91,6,0)),0%,VLOOKUP(A119,'Données projet'!$A$71:$I$91,6,0)*VLOOKUP('Données projet'!$B$10,Paramètres!$A$1:$I$89,7,0))</f>
        <v>0</v>
      </c>
      <c r="AT119" s="16">
        <f>IF(ISNA(VLOOKUP(A119,'Données projet'!$A$71:$I$91,7,0)),0%,VLOOKUP(A119,'Données projet'!$A$71:$I$91,7,0))</f>
        <v>0</v>
      </c>
      <c r="AU119" s="21">
        <f>EXP(-LN(2)/35)*AU118+(1-EXP(-LN(2)/35))/(LN(2)/35)*AQ119*AR119*VLOOKUP('Données projet'!$B$10,Paramètres!$A$1:$I$89,3,0)*0.475*44/12</f>
        <v>52.379395423915007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125"/>
        <v>52.379395423915007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projet'!$A$97:$I$117,2,0)</f>
        <v>#N/A</v>
      </c>
      <c r="BB119" s="12" t="e">
        <f>VLOOKUP(A119,'Données projet'!$A$97:$I$117,9,0)</f>
        <v>#N/A</v>
      </c>
      <c r="BC119" s="12">
        <f t="array" ref="BC119">INDEX(BB:BB,MIN(IF(ISNUMBER(BB119:BB315),ROW(BB119:BB315),"")))</f>
        <v>0</v>
      </c>
      <c r="BD119" s="12">
        <f>IF('Données projet'!$A$98&gt;35,BD118+BC119-BL118,IF(A119&lt;'Données projet'!$A$98,$BA$205^A119,IF(A119='Données projet'!$A$98,'Données projet'!$B$98,BD118+BC119-BL118)))</f>
        <v>-1.1368683772161603E-13</v>
      </c>
      <c r="BE119" s="13">
        <f>BD119*VLOOKUP('Données projet'!$B$11,Paramètres!$A$1:$I$89,3,0)*VLOOKUP('Données projet'!$B$11,Paramètres!$A$1:$I$89,5,0)</f>
        <v>-5.0249582272954292E-14</v>
      </c>
      <c r="BF119" s="13" t="e">
        <f t="shared" si="186"/>
        <v>#NUM!</v>
      </c>
      <c r="BG119" s="20" t="e">
        <f t="shared" si="126"/>
        <v>#NUM!</v>
      </c>
      <c r="BH119" s="59" t="e">
        <f t="shared" si="127"/>
        <v>#NUM!</v>
      </c>
      <c r="BI119" s="59">
        <f ca="1">AVERAGE(OFFSET($BH$3,0,0,'Données projet'!$E$11+1,1))-AVERAGE(OFFSET($H$3,0,0,'Données projet'!$E$11+1,1))</f>
        <v>211.31057120485542</v>
      </c>
      <c r="BJ119" s="59">
        <f t="shared" si="187"/>
        <v>283.33292006714777</v>
      </c>
      <c r="BK119" s="15">
        <f>IF(ISNA(VLOOKUP(A119,'Données projet'!$A$97:$I$117,3,0)),0,VLOOKUP(A119,'Données projet'!$A$97:$I$117,3,0))</f>
        <v>0</v>
      </c>
      <c r="BL119" s="15">
        <f>IF(ISNA(VLOOKUP(A119,'Données projet'!$A$97:$I$117,4,0)),0,VLOOKUP(A119,'Données projet'!$A$97:$I$117,4,0))</f>
        <v>0</v>
      </c>
      <c r="BM119" s="16">
        <f>IF(ISNA(VLOOKUP(A119,'Données projet'!$A$97:$I$117,5,0)),0%,VLOOKUP(A119,'Données projet'!$A$97:$I$117,5,0)*VLOOKUP('Données projet'!$B$11,Paramètres!$A$1:$I$89,7,0))</f>
        <v>0</v>
      </c>
      <c r="BN119" s="16">
        <f>IF(ISNA(VLOOKUP(A119,'Données projet'!$A$97:$I$117,6,0)),0%,VLOOKUP(A119,'Données projet'!$A$97:$I$117,6,0)*VLOOKUP('Données projet'!$B$11,Paramètres!$A$1:$I$89,7,0))</f>
        <v>0</v>
      </c>
      <c r="BO119" s="16">
        <f>IF(ISNA(VLOOKUP(A119,'Données projet'!$A$97:$I$117,7,0)),0%,VLOOKUP(A119,'Données projet'!$A$97:$I$117,7,0))</f>
        <v>0</v>
      </c>
      <c r="BP119" s="21">
        <f>EXP(-LN(2)/35)*BP118+(1-EXP(-LN(2)/35))/(LN(2)/35)*BL119*BM119*VLOOKUP('Données projet'!$B$11,Paramètres!$A$1:$I$89,3,0)*0.475*44/12</f>
        <v>53.546054607447545</v>
      </c>
      <c r="BQ119" s="21">
        <f>EXP(-LN(2)/25)*BQ118+(1-EXP(-LN(2)/25))/(LN(2)/25)*Calculateur!BL119*Calculateur!BN119*VLOOKUP('Données projet'!$B$11,Paramètres!$A$1:$I$89,3,0)*0.475*44/12</f>
        <v>8.3941680691322578</v>
      </c>
      <c r="BR119" s="21">
        <f>EXP(-LN(2)/2)*BR118+(1-EXP(-LN(2)/2))/(LN(2)/2)*BL119*BO119*VLOOKUP('Données projet'!$B$11,Paramètres!$A$1:$I$89,3,0)*0.475*44/12</f>
        <v>1.7788119317972921E-8</v>
      </c>
      <c r="BS119" s="22">
        <f t="shared" si="128"/>
        <v>61.940222694367918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projet'!$A$123:$I$143,2,0)</f>
        <v>#N/A</v>
      </c>
      <c r="BW119" s="12" t="e">
        <f>VLOOKUP(A119,'Données projet'!$A$123:$I$143,9,0)</f>
        <v>#N/A</v>
      </c>
      <c r="BX119" s="12">
        <f t="array" ref="BX119">INDEX(BW:BW,MIN(IF(ISNUMBER(BW119:BW315),ROW(BW119:BW315),"")))</f>
        <v>0</v>
      </c>
      <c r="BY119" s="12">
        <f>IF('Données projet'!$A$124&gt;35,BY118+BX119-CG118,IF(A119&lt;'Données projet'!$A$124,$BV$205^A119,IF(A119='Données projet'!$A$124,'Données projet'!$B$124,BY118+BX119-CG118)))</f>
        <v>0</v>
      </c>
      <c r="BZ119" s="13">
        <f>BY119*VLOOKUP('Données projet'!$B$12,Paramètres!$A$1:$I$89,3,0)*VLOOKUP('Données projet'!$B$12,Paramètres!$A$1:$I$89,5,0)</f>
        <v>0</v>
      </c>
      <c r="CA119" s="13" t="e">
        <f t="shared" si="188"/>
        <v>#NUM!</v>
      </c>
      <c r="CB119" s="20" t="e">
        <f t="shared" si="129"/>
        <v>#NUM!</v>
      </c>
      <c r="CC119" s="59" t="e">
        <f t="shared" si="130"/>
        <v>#NUM!</v>
      </c>
      <c r="CD119" s="59">
        <f ca="1">AVERAGE(OFFSET($CC$3,0,0,'Données projet'!$E$12+1,1))-AVERAGE(OFFSET($H$3,0,0,'Données projet'!$E$12+1,1))</f>
        <v>322.93502595881938</v>
      </c>
      <c r="CE119" s="59">
        <f t="shared" si="189"/>
        <v>302.67072119588164</v>
      </c>
      <c r="CF119" s="15">
        <f>IF(ISNA(VLOOKUP(A119,'Données projet'!$A$123:$I$143,3,0)),0,VLOOKUP(A119,'Données projet'!$A$123:$I$143,3,0))</f>
        <v>0</v>
      </c>
      <c r="CG119" s="15">
        <f>IF(ISNA(VLOOKUP(A119,'Données projet'!$A$123:$I$143,4,0)),0,VLOOKUP(A119,'Données projet'!$A$123:$I$143,4,0))</f>
        <v>0</v>
      </c>
      <c r="CH119" s="16">
        <f>IF(ISNA(VLOOKUP(A119,'Données projet'!$A$123:$I$143,5,0)),0%,VLOOKUP(A119,'Données projet'!$A$123:$I$143,5,0)*VLOOKUP('Données projet'!$B$12,Paramètres!$A$1:$I$89,7,0))</f>
        <v>0</v>
      </c>
      <c r="CI119" s="16">
        <f>IF(ISNA(VLOOKUP(A119,'Données projet'!$A$123:$I$143,6,0)),0%,VLOOKUP(A119,'Données projet'!$A$123:$I$143,6,0)*VLOOKUP('Données projet'!$B$12,Paramètres!$A$1:$I$89,7,0))</f>
        <v>0</v>
      </c>
      <c r="CJ119" s="16">
        <f>IF(ISNA(VLOOKUP(A119,'Données projet'!$A$123:$I$143,7,0)),0%,VLOOKUP(A119,'Données projet'!$A$123:$I$143,7,0))</f>
        <v>0</v>
      </c>
      <c r="CK119" s="21">
        <f>EXP(-LN(2)/35)*CK118+(1-EXP(-LN(2)/35))/(LN(2)/35)*CG119*CH119*VLOOKUP('Données projet'!$B$12,Paramètres!$A$1:$I$89,3,0)*0.475*44/12</f>
        <v>85.311803548382528</v>
      </c>
      <c r="CL119" s="21">
        <f>EXP(-LN(2)/25)*CL118+(1-EXP(-LN(2)/25))/(LN(2)/25)*Calculateur!CG119*Calculateur!CI119*VLOOKUP('Données projet'!$B$12,Paramètres!$A$1:$I$89,3,0)*0.475*44/12</f>
        <v>26.866416620016551</v>
      </c>
      <c r="CM119" s="21">
        <f>EXP(-LN(2)/2)*CM118+(1-EXP(-LN(2)/2))/(LN(2)/2)*CG119*CJ119*VLOOKUP('Données projet'!$B$12,Paramètres!$A$1:$I$89,3,0)*0.475*44/12</f>
        <v>0</v>
      </c>
      <c r="CN119" s="22">
        <f t="shared" si="131"/>
        <v>112.17822016839908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projet'!$A$149:$I$169,2,0)</f>
        <v>#N/A</v>
      </c>
      <c r="CR119" s="12" t="e">
        <f>VLOOKUP(A119,'Données projet'!$A$149:$I$169,9,0)</f>
        <v>#N/A</v>
      </c>
      <c r="CS119" s="12">
        <f t="array" ref="CS119">INDEX(CR:CR,MIN(IF(ISNUMBER(CR119:CR315),ROW(CR119:CR315),"")))</f>
        <v>5.3066239316239274</v>
      </c>
      <c r="CT119" s="12">
        <f>IF('Données projet'!$A$150&gt;35,CT118+CS119-DB118,IF(A119&lt;'Données projet'!$A$150,$CQ$205^A119,IF(A119='Données projet'!$A$150,'Données projet'!$B$150,CT118+CS119-DB118)))</f>
        <v>230.53525641025607</v>
      </c>
      <c r="CU119" s="17">
        <f>CT119*VLOOKUP('Données projet'!$B$13,Paramètres!$A$1:$I$89,3,0)*VLOOKUP('Données projet'!$B$13,Paramètres!$A$1:$I$89,5,0)</f>
        <v>233.76274999999964</v>
      </c>
      <c r="CV119" s="13">
        <f t="shared" si="190"/>
        <v>57.095506074599044</v>
      </c>
      <c r="CW119" s="20">
        <f t="shared" si="132"/>
        <v>506.57812932992596</v>
      </c>
      <c r="CX119" s="59">
        <f t="shared" si="133"/>
        <v>799.91146266325927</v>
      </c>
      <c r="CY119" s="59">
        <f ca="1">AVERAGE(OFFSET($CX$3,0,0,'Données projet'!$E$13+1,1))-AVERAGE(OFFSET($H$3,0,0,'Données projet'!$E$13+1,1))</f>
        <v>250.31277422753283</v>
      </c>
      <c r="CZ119" s="59">
        <f t="shared" si="191"/>
        <v>159.20429420478047</v>
      </c>
      <c r="DA119" s="15">
        <f>IF(ISNA(VLOOKUP(A119,'Données projet'!$A$149:$I$169,3,0)),0,VLOOKUP(A119,'Données projet'!$A$149:$I$169,3,0))</f>
        <v>0</v>
      </c>
      <c r="DB119" s="15">
        <f>IF(ISNA(VLOOKUP(A119,'Données projet'!$A$149:$I$169,4,0)),0,VLOOKUP(A119,'Données projet'!$A$149:$I$169,4,0))</f>
        <v>0</v>
      </c>
      <c r="DC119" s="16">
        <f>IF(ISNA(VLOOKUP(A119,'Données projet'!$A$149:$I$169,5,0)),0%,VLOOKUP(A119,'Données projet'!$A$149:$I$169,5,0)*VLOOKUP('Données projet'!$B$13,Paramètres!$A$1:$I$89,7,0))</f>
        <v>0</v>
      </c>
      <c r="DD119" s="16">
        <f>IF(ISNA(VLOOKUP(A119,'Données projet'!$A$149:$I$169,6,0)),0%,VLOOKUP(A119,'Données projet'!$A$149:$I$169,6,0)*VLOOKUP('Données projet'!$B$13,Paramètres!$A$1:$I$89,7,0))</f>
        <v>0</v>
      </c>
      <c r="DE119" s="16">
        <f>IF(ISNA(VLOOKUP(A119,'Données projet'!$A$149:$I$169,7,0)),0%,VLOOKUP(A119,'Données projet'!$A$149:$I$169,7,0))</f>
        <v>0</v>
      </c>
      <c r="DF119" s="21">
        <f>EXP(-LN(2)/35)*DF118+(1-EXP(-LN(2)/35))/(LN(2)/35)*DB119*DC119*VLOOKUP('Données projet'!$B$13,Paramètres!$A$1:$I$89,3,0)*0.475*44/12</f>
        <v>37.702460084935389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134"/>
        <v>37.702460084935389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projet'!$A$175:$I$195,2,0)</f>
        <v>#N/A</v>
      </c>
      <c r="DM119" s="12" t="e">
        <f>VLOOKUP(A119,'Données projet'!$A$175:$I$195,9,0)</f>
        <v>#N/A</v>
      </c>
      <c r="DN119" s="12">
        <f t="array" ref="DN119">INDEX(DM:DM,MIN(IF(ISNUMBER(DM119:DM315),ROW(DM119:DM315),"")))</f>
        <v>0</v>
      </c>
      <c r="DO119" s="12">
        <f>IF('Données projet'!$A$176&gt;35,DO118+DN119-DW118,IF(A119&lt;'Données projet'!$A$176,$DL$205^A119,IF(A119='Données projet'!$A$176,'Données projet'!$B$176,DO118+DN119-DW118)))</f>
        <v>-2.8421709430404007E-13</v>
      </c>
      <c r="DP119" s="17">
        <f>DO119*VLOOKUP('Données projet'!$B$14,Paramètres!$A$1:$I$89,3,0)*VLOOKUP('Données projet'!$B$14,Paramètres!$A$1:$I$89,5,0)</f>
        <v>-2.0838797354372215E-13</v>
      </c>
      <c r="DQ119" s="13" t="e">
        <f t="shared" si="192"/>
        <v>#NUM!</v>
      </c>
      <c r="DR119" s="20" t="e">
        <f t="shared" si="135"/>
        <v>#NUM!</v>
      </c>
      <c r="DS119" s="59" t="e">
        <f t="shared" si="136"/>
        <v>#NUM!</v>
      </c>
      <c r="DT119" s="59">
        <f ca="1">AVERAGE(OFFSET($DS$3,0,0,'Données projet'!$E$14+1,1))-AVERAGE(OFFSET($H$3,0,0,'Données projet'!$E$14+1,1))</f>
        <v>296.91321813251051</v>
      </c>
      <c r="DU119" s="59">
        <f t="shared" si="193"/>
        <v>291.0718079639509</v>
      </c>
      <c r="DV119" s="15">
        <f>IF(ISNA(VLOOKUP(A119,'Données projet'!$A$175:$I$195,3,0)),0,VLOOKUP(A119,'Données projet'!$A$175:$I$195,3,0))</f>
        <v>0</v>
      </c>
      <c r="DW119" s="15">
        <f>IF(ISNA(VLOOKUP(A119,'Données projet'!$A$175:$I$195,4,0)),0,VLOOKUP(A119,'Données projet'!$A$175:$I$195,4,0))</f>
        <v>0</v>
      </c>
      <c r="DX119" s="16">
        <f>IF(ISNA(VLOOKUP(A119,'Données projet'!$A$175:$I$195,5,0)),0%,VLOOKUP(A119,'Données projet'!$A$175:$I$195,5,0)*VLOOKUP('Données projet'!$B$14,Paramètres!$A$1:$I$89,7,0))</f>
        <v>0</v>
      </c>
      <c r="DY119" s="16">
        <f>IF(ISNA(VLOOKUP(A119,'Données projet'!$A$175:$I$195,6,0)),0%,VLOOKUP(A119,'Données projet'!$A$175:$I$195,6,0)*VLOOKUP('Données projet'!$B$14,Paramètres!$A$1:$I$89,7,0))</f>
        <v>0</v>
      </c>
      <c r="DZ119" s="16">
        <f>IF(ISNA(VLOOKUP(A119,'Données projet'!$A$175:$I$195,7,0)),0%,VLOOKUP(A119,'Données projet'!$A$175:$I$195,7,0))</f>
        <v>0</v>
      </c>
      <c r="EA119" s="21">
        <f>EXP(-LN(2)/35)*EA118+(1-EXP(-LN(2)/35))/(LN(2)/35)*DW119*DX119*VLOOKUP('Données projet'!$B$14,Paramètres!$A$1:$I$89,3,0)*0.475*44/12</f>
        <v>85.028479384942671</v>
      </c>
      <c r="EB119" s="21">
        <f>EXP(-LN(2)/25)*EB118+(1-EXP(-LN(2)/25))/(LN(2)/25)*Calculateur!DW119*Calculateur!DY119*VLOOKUP('Données projet'!$B$14,Paramètres!$A$1:$I$89,3,0)*0.475*44/12</f>
        <v>1.973631331284698</v>
      </c>
      <c r="EC119" s="21">
        <f>EXP(-LN(2)/2)*EC118+(1-EXP(-LN(2)/2))/(LN(2)/2)*DW119*DZ119*VLOOKUP('Données projet'!$B$14,Paramètres!$A$1:$I$89,3,0)*0.475*44/12</f>
        <v>0</v>
      </c>
      <c r="ED119" s="22">
        <f t="shared" si="137"/>
        <v>87.002110716227364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projet'!$A$201:$I$221,2,0)</f>
        <v>#N/A</v>
      </c>
      <c r="EH119" s="12" t="e">
        <f>VLOOKUP(A119,'Données projet'!$A$201:$I$221,9,0)</f>
        <v>#N/A</v>
      </c>
      <c r="EI119" s="12">
        <f t="array" ref="EI119">INDEX(EH:EH,MIN(IF(ISNUMBER(EH119:EH315),ROW(EH119:EH315),"")))</f>
        <v>0</v>
      </c>
      <c r="EJ119" s="12">
        <f>IF('Données projet'!$A$202&gt;35,EJ118+EI119-ER118,IF(A119&lt;'Données projet'!$A$202,$EG$205^A119,IF(A119='Données projet'!$A$202,'Données projet'!$B$202,EJ118+EI119-ER118)))</f>
        <v>5.1159076974727213E-13</v>
      </c>
      <c r="EK119" s="17">
        <f>EJ119*VLOOKUP('Données projet'!$B$15,Paramètres!$A$1:$I$89,3,0)*VLOOKUP('Données projet'!$B$15,Paramètres!$A$1:$I$89,5,0)</f>
        <v>2.3942448024172334E-13</v>
      </c>
      <c r="EL119" s="13">
        <f t="shared" si="194"/>
        <v>3.2492669905861755E-12</v>
      </c>
      <c r="EM119" s="20">
        <f t="shared" si="138"/>
        <v>6.0761376450252565E-12</v>
      </c>
      <c r="EN119" s="59">
        <f t="shared" si="139"/>
        <v>293.3333333333394</v>
      </c>
      <c r="EO119" s="59">
        <f ca="1">AVERAGE(OFFSET($EN$3,0,0,'Données projet'!$E$15+1,1))-AVERAGE(OFFSET($H$3,0,0,'Données projet'!$E$15+1,1))</f>
        <v>147.64256291235483</v>
      </c>
      <c r="EP119" s="59">
        <f t="shared" si="195"/>
        <v>70.859031694091868</v>
      </c>
      <c r="EQ119" s="15">
        <f>IF(ISNA(VLOOKUP(A119,'Données projet'!$A$201:$I$221,3,0)),0,VLOOKUP(A119,'Données projet'!$A$201:$I$221,3,0))</f>
        <v>0</v>
      </c>
      <c r="ER119" s="15">
        <f>IF(ISNA(VLOOKUP(A119,'Données projet'!$A$201:$I$221,4,0)),0,VLOOKUP(A119,'Données projet'!$A$201:$I$221,4,0))</f>
        <v>0</v>
      </c>
      <c r="ES119" s="16">
        <f>IF(ISNA(VLOOKUP(A119,'Données projet'!$A$201:$I$221,5,0)),0%,VLOOKUP(A119,'Données projet'!$A$201:$I$221,5,0)*VLOOKUP('Données projet'!$B$15,Paramètres!$A$1:$I$89,7,0))</f>
        <v>0</v>
      </c>
      <c r="ET119" s="16">
        <f>IF(ISNA(VLOOKUP(A119,'Données projet'!$A$201:$I$221,6,0)),0%,VLOOKUP(A119,'Données projet'!$A$201:$I$221,6,0)*VLOOKUP('Données projet'!$B$15,Paramètres!$A$1:$I$89,7,0))</f>
        <v>0</v>
      </c>
      <c r="EU119" s="16">
        <f>IF(ISNA(VLOOKUP(A119,'Données projet'!$A$201:$I$221,7,0)),0%,VLOOKUP(A119,'Données projet'!$A$201:$I$221,7,0))</f>
        <v>0</v>
      </c>
      <c r="EV119" s="21">
        <f>EXP(-LN(2)/35)*EV118+(1-EXP(-LN(2)/35))/(LN(2)/35)*ER119*ES119*VLOOKUP('Données projet'!$B$15,Paramètres!$A$1:$I$89,3,0)*0.475*44/12</f>
        <v>116.40532856825448</v>
      </c>
      <c r="EW119" s="21">
        <f>EXP(-LN(2)/25)*EW118+(1-EXP(-LN(2)/25))/(LN(2)/25)*Calculateur!ER119*Calculateur!ET119*VLOOKUP('Données projet'!$B$15,Paramètres!$A$1:$I$89,3,0)*0.475*44/12</f>
        <v>27.382146321615693</v>
      </c>
      <c r="EX119" s="21">
        <f>EXP(-LN(2)/2)*EX118+(1-EXP(-LN(2)/2))/(LN(2)/2)*ER119*EU119*VLOOKUP('Données projet'!$B$15,Paramètres!$A$1:$I$89,3,0)*0.475*44/12</f>
        <v>1.6218103309237537</v>
      </c>
      <c r="EY119" s="22">
        <f t="shared" si="140"/>
        <v>145.40928522079392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projet'!$A$227:$I$247,2,0)</f>
        <v>#N/A</v>
      </c>
      <c r="FC119" s="12" t="e">
        <f>VLOOKUP(A119,'Données projet'!$A$227:$I$247,9,0)</f>
        <v>#N/A</v>
      </c>
      <c r="FD119" s="12">
        <f t="array" ref="FD119">INDEX(FC:FC,MIN(IF(ISNUMBER(FC119:FC315),ROW(FC119:FC315),"")))</f>
        <v>0</v>
      </c>
      <c r="FE119" s="12">
        <f>IF('Données projet'!$A$228&gt;35,FE118+FD119-FM118,IF(A119&lt;'Données projet'!$A$228,$FB$205^A119,IF(A119='Données projet'!$A$228,'Données projet'!$B$228,FE118+FD119-FM118)))</f>
        <v>8.5265128291212022E-14</v>
      </c>
      <c r="FF119" s="17">
        <f>FE119*VLOOKUP('Données projet'!$B$16,Paramètres!$A$1:$I$89,3,0)*VLOOKUP('Données projet'!$B$16,Paramètres!$A$1:$I$89,5,0)</f>
        <v>8.9119112089974823E-14</v>
      </c>
      <c r="FG119" s="13">
        <f t="shared" si="196"/>
        <v>1.3568952080113142E-12</v>
      </c>
      <c r="FH119" s="20">
        <f t="shared" si="141"/>
        <v>2.5184749408430782E-12</v>
      </c>
      <c r="FI119" s="59">
        <f t="shared" si="142"/>
        <v>293.33333333333582</v>
      </c>
      <c r="FJ119" s="59">
        <f ca="1">AVERAGE(OFFSET($FI$3,0,0,'Données projet'!$E$16+1,1))-AVERAGE(OFFSET($H$3,0,0,'Données projet'!$E$16+1,1))</f>
        <v>259.03906550253788</v>
      </c>
      <c r="FK119" s="59">
        <f t="shared" si="197"/>
        <v>235.54542903570831</v>
      </c>
      <c r="FL119" s="15">
        <f>IF(ISNA(VLOOKUP(A119,'Données projet'!$A$227:$I$247,3,0)),0,VLOOKUP(A119,'Données projet'!$A$227:$I$247,3,0))</f>
        <v>0</v>
      </c>
      <c r="FM119" s="15">
        <f>IF(ISNA(VLOOKUP(A119,'Données projet'!$A$227:$I$247,4,0)),0,VLOOKUP(A119,'Données projet'!$A$227:$I$247,4,0))</f>
        <v>0</v>
      </c>
      <c r="FN119" s="16">
        <f>IF(ISNA(VLOOKUP(A119,'Données projet'!$A$227:$I$247,5,0)),0%,VLOOKUP(A119,'Données projet'!$A$227:$I$247,5,0)*VLOOKUP('Données projet'!$B$16,Paramètres!$A$1:$I$89,7,0))</f>
        <v>0</v>
      </c>
      <c r="FO119" s="16">
        <f>IF(ISNA(VLOOKUP(A119,'Données projet'!$A$227:$I$247,6,0)),0%,VLOOKUP(A119,'Données projet'!$A$227:$I$247,6,0)*VLOOKUP('Données projet'!$B$16,Paramètres!$A$1:$I$89,7,0))</f>
        <v>0</v>
      </c>
      <c r="FP119" s="16">
        <f>IF(ISNA(VLOOKUP(A119,'Données projet'!$A$227:$I$247,7,0)),0%,VLOOKUP(A119,'Données projet'!$A$227:$I$247,7,0))</f>
        <v>0</v>
      </c>
      <c r="FQ119" s="21">
        <f>EXP(-LN(2)/35)*FQ118+(1-EXP(-LN(2)/35))/(LN(2)/35)*FM119*FN119*VLOOKUP('Données projet'!$B$16,Paramètres!$A$1:$I$89,3,0)*0.475*44/12</f>
        <v>51.378148493880346</v>
      </c>
      <c r="FR119" s="21">
        <f>EXP(-LN(2)/25)*FR118+(1-EXP(-LN(2)/25))/(LN(2)/25)*Calculateur!FM119*Calculateur!FO119*VLOOKUP('Données projet'!$B$16,Paramètres!$A$1:$I$89,3,0)*0.475*44/12</f>
        <v>37.668924751394556</v>
      </c>
      <c r="FS119" s="21">
        <f>EXP(-LN(2)/2)*FS118+(1-EXP(-LN(2)/2))/(LN(2)/2)*FM119*FP119*VLOOKUP('Données projet'!$B$16,Paramètres!$A$1:$I$89,3,0)*0.475*44/12</f>
        <v>0</v>
      </c>
      <c r="FT119" s="22">
        <f t="shared" si="143"/>
        <v>89.047073245274902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projet'!$A$253:$I$273,2,0)</f>
        <v>#N/A</v>
      </c>
      <c r="FX119" s="12" t="e">
        <f>VLOOKUP(A119,'Données projet'!$A$253:$I$273,9,0)</f>
        <v>#N/A</v>
      </c>
      <c r="FY119" s="12">
        <f t="array" ref="FY119">INDEX(FX:FX,MIN(IF(ISNUMBER(FX119:FX315),ROW(FX119:FX315),"")))</f>
        <v>0</v>
      </c>
      <c r="FZ119" s="12">
        <f>IF('Données projet'!$A$254&gt;35,FZ118+FY119-GH118,IF(A119&lt;'Données projet'!$A$254,$FW$205^A119,IF(A119='Données projet'!$A$254,'Données projet'!$B$254,FZ118+FY119-GH118)))</f>
        <v>-1.7053025658242404E-13</v>
      </c>
      <c r="GA119" s="17">
        <f>FZ119*VLOOKUP('Données projet'!$B$17,Paramètres!$A$1:$I$89,3,0)*VLOOKUP('Données projet'!$B$17,Paramètres!$A$1:$I$89,5,0)</f>
        <v>-1.4897523215040567E-13</v>
      </c>
      <c r="GB119" s="13" t="e">
        <f t="shared" si="198"/>
        <v>#NUM!</v>
      </c>
      <c r="GC119" s="20" t="e">
        <f t="shared" si="144"/>
        <v>#NUM!</v>
      </c>
      <c r="GD119" s="59" t="e">
        <f t="shared" si="145"/>
        <v>#NUM!</v>
      </c>
      <c r="GE119" s="59">
        <f ca="1">AVERAGE(OFFSET($GD$3,0,0,'Données projet'!$E$17+1,1))-AVERAGE(OFFSET($H$3,0,0,'Données projet'!$E$17+1,1))</f>
        <v>245.1983232777614</v>
      </c>
      <c r="GF119" s="59">
        <f t="shared" si="199"/>
        <v>242.34010522344573</v>
      </c>
      <c r="GG119" s="15">
        <f>IF(ISNA(VLOOKUP(A119,'Données projet'!$A$253:$I$273,3,0)),0,VLOOKUP(A119,'Données projet'!$A$253:$I$273,3,0))</f>
        <v>0</v>
      </c>
      <c r="GH119" s="15">
        <f>IF(ISNA(VLOOKUP(A119,'Données projet'!$A$253:$I$273,4,0)),0,VLOOKUP(A119,'Données projet'!$A$253:$I$273,4,0))</f>
        <v>0</v>
      </c>
      <c r="GI119" s="16">
        <f>IF(ISNA(VLOOKUP(A119,'Données projet'!$A$253:$I$273,5,0)),0%,VLOOKUP(A119,'Données projet'!$A$253:$I$273,5,0)*VLOOKUP('Données projet'!$B$17,Paramètres!$A$1:$I$89,7,0))</f>
        <v>0</v>
      </c>
      <c r="GJ119" s="16">
        <f>IF(ISNA(VLOOKUP(A119,'Données projet'!$A$253:$I$273,6,0)),0%,VLOOKUP(A119,'Données projet'!$A$253:$I$273,6,0)*VLOOKUP('Données projet'!$B$17,Paramètres!$A$1:$I$89,7,0))</f>
        <v>0</v>
      </c>
      <c r="GK119" s="16">
        <f>IF(ISNA(VLOOKUP(A119,'Données projet'!$A$253:$I$273,7,0)),0%,VLOOKUP(A119,'Données projet'!$A$253:$I$273,7,0))</f>
        <v>0</v>
      </c>
      <c r="GL119" s="21">
        <f>EXP(-LN(2)/35)*GL118+(1-EXP(-LN(2)/35))/(LN(2)/35)*GH119*GI119*VLOOKUP('Données projet'!$B$17,Paramètres!$A$1:$I$89,3,0)*0.475*44/12</f>
        <v>60.402062754536438</v>
      </c>
      <c r="GM119" s="21">
        <f>EXP(-LN(2)/25)*GM118+(1-EXP(-LN(2)/25))/(LN(2)/25)*Calculateur!GH119*Calculateur!GJ119*VLOOKUP('Données projet'!$B$17,Paramètres!$A$1:$I$89,3,0)*0.475*44/12</f>
        <v>8.0263301879693429</v>
      </c>
      <c r="GN119" s="21">
        <f>EXP(-LN(2)/2)*GN118+(1-EXP(-LN(2)/2))/(LN(2)/2)*GH119*GK119*VLOOKUP('Données projet'!$B$17,Paramètres!$A$1:$I$89,3,0)*0.475*44/12</f>
        <v>0</v>
      </c>
      <c r="GO119" s="21">
        <f t="shared" si="146"/>
        <v>68.428392942505781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projet'!$A$279:$I$299,2,0)</f>
        <v>#N/A</v>
      </c>
      <c r="GS119" s="12" t="e">
        <f>VLOOKUP(A119,'Données projet'!$A$279:$I$299,9,0)</f>
        <v>#N/A</v>
      </c>
      <c r="GT119" s="12">
        <f t="array" ref="GT119">INDEX(GS:GS,MIN(IF(ISNUMBER(GS119:GS315),ROW(GS119:GS315),"")))</f>
        <v>0</v>
      </c>
      <c r="GU119" s="12">
        <f>IF('Données projet'!$A$280&gt;35,GU118+GT119-HC118,IF(A119&lt;'Données projet'!$A$280,$GR$205^A119,IF(A119='Données projet'!$A$280,'Données projet'!$B$280,GU118+GT119-HC118)))</f>
        <v>-1.1368683772161603E-13</v>
      </c>
      <c r="GV119" s="17">
        <f>GU119*VLOOKUP('Données projet'!$B$18,Paramètres!$A$1:$I$89,3,0)*VLOOKUP('Données projet'!$B$18,Paramètres!$A$1:$I$89,5,0)</f>
        <v>-4.5815795601811263E-14</v>
      </c>
      <c r="GW119" s="13" t="e">
        <f t="shared" si="200"/>
        <v>#NUM!</v>
      </c>
      <c r="GX119" s="20" t="e">
        <f t="shared" si="147"/>
        <v>#NUM!</v>
      </c>
      <c r="GY119" s="59" t="e">
        <f t="shared" si="148"/>
        <v>#NUM!</v>
      </c>
      <c r="GZ119" s="59">
        <f ca="1">AVERAGE(OFFSET($GY$3,0,0,'Données projet'!$E$18+1,1))-AVERAGE(OFFSET($H$3,0,0,'Données projet'!$E$18+1,1))</f>
        <v>324.36162935850876</v>
      </c>
      <c r="HA119" s="59">
        <f t="shared" si="201"/>
        <v>265.23571072429735</v>
      </c>
      <c r="HB119" s="15">
        <f>IF(ISNA(VLOOKUP(A119,'Données projet'!$A$279:$I$299,3,0)),0,VLOOKUP(A119,'Données projet'!$A$279:$I$299,3,0))</f>
        <v>0</v>
      </c>
      <c r="HC119" s="15">
        <f>IF(ISNA(VLOOKUP(A119,'Données projet'!$A$279:$I$299,4,0)),0,VLOOKUP(A119,'Données projet'!$A$279:$I$299,4,0))</f>
        <v>0</v>
      </c>
      <c r="HD119" s="16">
        <f>IF(ISNA(VLOOKUP(A119,'Données projet'!$A$279:$I$299,5,0)),0%,VLOOKUP(A119,'Données projet'!$A$279:$I$299,5,0)*VLOOKUP('Données projet'!$B$18,Paramètres!$A$1:$I$89,7,0))</f>
        <v>0</v>
      </c>
      <c r="HE119" s="16">
        <f>IF(ISNA(VLOOKUP(A119,'Données projet'!$A$279:$I$299,6,0)),0%,VLOOKUP(A119,'Données projet'!$A$279:$I$299,6,0)*VLOOKUP('Données projet'!$B$18,Paramètres!$A$1:$I$89,7,0))</f>
        <v>0</v>
      </c>
      <c r="HF119" s="16">
        <f>IF(ISNA(VLOOKUP($A119,'Données projet'!$A$279:$I$299,7,0)),0%,VLOOKUP($A119,'Données projet'!$A$279:$I$299,7,0))</f>
        <v>0</v>
      </c>
      <c r="HG119" s="21">
        <f>EXP(-LN(2)/35)*HG118+(1-EXP(-LN(2)/35))/(LN(2)/35)*HC119*HD119*VLOOKUP('Données projet'!$B$18,Paramètres!$A$1:$I$89,3,0)*0.475*44/12</f>
        <v>115.74614247306826</v>
      </c>
      <c r="HH119" s="21">
        <f>EXP(-LN(2)/25)*HH118+(1-EXP(-LN(2)/25))/(LN(2)/25)*Calculateur!HC119*Calculateur!HE119*VLOOKUP('Données projet'!$B$18,Paramètres!$A$1:$I$89,3,0)*0.475*44/12</f>
        <v>8.9267148070352178</v>
      </c>
      <c r="HI119" s="21">
        <f>EXP(-LN(2)/2)*HI118+(1-EXP(-LN(2)/2))/(LN(2)/2)*HC119*HF119*VLOOKUP('Données projet'!$B$18,Paramètres!$A$1:$I$89,3,0)*0.475*44/12</f>
        <v>3.2605017507095061E-5</v>
      </c>
      <c r="HJ119" s="22">
        <f t="shared" si="149"/>
        <v>124.67288988512098</v>
      </c>
      <c r="HK119" s="74">
        <f>('Scénario référence'!$F$8+'Scénario référence'!$F$9+'Scénario référence'!$B$17+'Scénario référence'!$B$9+'Scénario référence'!$B$10)*70+IF((45+25*(1-EXP(-0.0175*$A119)))&lt;70,'Scénario référence'!$B$16*(45+25*(1-EXP(-0.0175*$A119))),70*'Scénario référence'!$B$16)+IF((32+38*(1-EXP(-0.0175*$A119)))&lt;70,'Scénario référence'!$B$18*(32+38*(1-EXP(-0.0175*$A119))),70*'Scénario référence'!$B$18)</f>
        <v>70</v>
      </c>
      <c r="HL119" s="12">
        <f>IF($A119&gt;30,10,('Scénario référence'!$B$16+'Scénario référence'!$B$17+'Scénario référence'!$B$18+'Scénario référence'!$B$9+'Scénario référence'!$B$10)*$A119*10/30+('Scénario référence'!$F$8+'Scénario référence'!$F$9)*10)</f>
        <v>10</v>
      </c>
      <c r="HM119" s="12" t="e">
        <f>VLOOKUP($A119,'Données projet'!$A$304:$I$324,2,0)</f>
        <v>#N/A</v>
      </c>
      <c r="HN119" s="12" t="e">
        <f>VLOOKUP($A119,'Données projet'!$A$304:$I$324,9,0)</f>
        <v>#N/A</v>
      </c>
      <c r="HO119" s="12">
        <f t="array" ref="HO119">INDEX(HN:HN,MIN(IF(ISNUMBER(HN119:HN315),ROW(HN119:HN315),"")))</f>
        <v>0</v>
      </c>
      <c r="HP119" s="12">
        <f>IF('Données projet'!$A$304&gt;35,HP118+HO119-HX118,IF($A119&lt;'Données projet'!$A$304,$CQ$205^$A119,IF($A119='Données projet'!$A$304,'Données projet'!$B$304,HP118+HO119-HX118)))</f>
        <v>0</v>
      </c>
      <c r="HQ119" s="17">
        <f>HP119*VLOOKUP('Données projet'!$B$19,Paramètres!$A$1:$I$89,3,0)*VLOOKUP('Données projet'!$B$19,Paramètres!$A$1:$I$89,5,0)</f>
        <v>0</v>
      </c>
      <c r="HR119" s="13" t="e">
        <f t="shared" si="202"/>
        <v>#NUM!</v>
      </c>
      <c r="HS119" s="14" t="e">
        <f t="shared" si="150"/>
        <v>#NUM!</v>
      </c>
      <c r="HT119" s="59" t="e">
        <f t="shared" si="151"/>
        <v>#NUM!</v>
      </c>
      <c r="HU119" s="59">
        <f ca="1">AVERAGE(OFFSET(HT$3,0,0,'Données projet'!$E$19+1,1))-AVERAGE(OFFSET($H$3,0,0,'Données projet'!$E$19+1,1))</f>
        <v>91.60721429656013</v>
      </c>
      <c r="HV119" s="59">
        <f t="shared" si="203"/>
        <v>258.94957804210856</v>
      </c>
      <c r="HW119" s="15">
        <f>IF(ISNA(VLOOKUP($A119,'Données projet'!$A$304:$I$324,3,0)),0,VLOOKUP($A119,'Données projet'!$A$304:$I$324,3,0))</f>
        <v>0</v>
      </c>
      <c r="HX119" s="15">
        <f>IF(ISNA(VLOOKUP($A119,'Données projet'!$A$304:$I$324,4,0)),0,VLOOKUP($A119,'Données projet'!$A$304:$I$324,4,0))</f>
        <v>0</v>
      </c>
      <c r="HY119" s="16">
        <f>IF(ISNA(VLOOKUP($A119,'Données projet'!$A$304:$I$324,5,0)),0%,VLOOKUP($A119,'Données projet'!$A$304:$I$324,5,0)*VLOOKUP('Données projet'!$B$19,Paramètres!$A$1:$I$89,7,0))</f>
        <v>0</v>
      </c>
      <c r="HZ119" s="16">
        <f>IF(ISNA(VLOOKUP($A119,'Données projet'!$A$304:$I$324,6,0)),0%,VLOOKUP($A119,'Données projet'!$A$304:$I$324,6,0)*VLOOKUP('Données projet'!$B$19,Paramètres!$A$1:$I$89,7,0))</f>
        <v>0</v>
      </c>
      <c r="IA119" s="16">
        <f>IF(ISNA(VLOOKUP($A119,'Données projet'!$A$304:$I$324,7,0)),0%,VLOOKUP($A119,'Données projet'!$A$304:$I$324,7,0))</f>
        <v>0</v>
      </c>
      <c r="IB119" s="21">
        <f>EXP(-LN(2)/35)*IB118+(1-EXP(-LN(2)/35))/(LN(2)/35)*HX119*HY119*VLOOKUP('Données projet'!$B$19,Paramètres!$A$1:$I$89,3,0)*0.475*44/12</f>
        <v>8.983823750219992</v>
      </c>
      <c r="IC119" s="21">
        <f>EXP(-LN(2)/25)*IC118+(1-EXP(-LN(2)/25))/(LN(2)/25)*Calculateur!HX119*Calculateur!HZ119*VLOOKUP('Données projet'!$B$19,Paramètres!$A$1:$I$89,3,0)*0.475*44/12</f>
        <v>0.89633049955340893</v>
      </c>
      <c r="ID119" s="21">
        <f>EXP(-LN(2)/2)*ID118+(1-EXP(-LN(2)/2))/(LN(2)/2)*HX119*IA119*VLOOKUP('Données projet'!$B$19,Paramètres!$A$1:$I$89,3,0)*0.475*44/12</f>
        <v>6.5125767803690172E-14</v>
      </c>
      <c r="IE119" s="22">
        <f t="shared" si="152"/>
        <v>9.8801542497734669</v>
      </c>
      <c r="IF119" s="74">
        <f>('Scénario référence'!$F$8+'Scénario référence'!$F$9+'Scénario référence'!$B$17+'Scénario référence'!$B$9+'Scénario référence'!$B$10)*70+IF((45+25*(1-EXP(-0.0175*$A119)))&lt;70,'Scénario référence'!$B$16*(45+25*(1-EXP(-0.0175*$A119))),70*'Scénario référence'!$B$16)+IF((32+38*(1-EXP(-0.0175*$A119)))&lt;70,'Scénario référence'!$B$18*(32+38*(1-EXP(-0.0175*$A119))),70*'Scénario référence'!$B$18)</f>
        <v>70</v>
      </c>
      <c r="IG119" s="12">
        <f>IF($A119&gt;30,10,('Scénario référence'!$B$16+'Scénario référence'!$B$17+'Scénario référence'!$B$18+'Scénario référence'!$B$9+'Scénario référence'!$B$10)*$A119*10/30+('Scénario référence'!$F$8+'Scénario référence'!$F$9)*10)</f>
        <v>10</v>
      </c>
      <c r="IH119" s="12" t="e">
        <f>VLOOKUP($A119,'Données projet'!$A$330:$I$350,2,0)</f>
        <v>#N/A</v>
      </c>
      <c r="II119" s="12" t="e">
        <f>VLOOKUP($A119,'Données projet'!$A$330:$I$350,9,0)</f>
        <v>#N/A</v>
      </c>
      <c r="IJ119" s="12">
        <f t="array" ref="IJ119">INDEX(II:II,MIN(IF(ISNUMBER(II119:II315),ROW(II119:II315),"")))</f>
        <v>0</v>
      </c>
      <c r="IK119" s="12">
        <f>IF('Données projet'!$A$330&gt;35,IK118+IJ119-IS118,IF($A119&lt;'Données projet'!$A$330,$CQ$205^$A119,IF($A119='Données projet'!$A$330,'Données projet'!$B$330,IK118+IJ119-IS118)))</f>
        <v>0</v>
      </c>
      <c r="IL119" s="17">
        <f>IK119*VLOOKUP('Données projet'!$B$20,Paramètres!$A$1:$I$89,3,0)*VLOOKUP('Données projet'!$B$20,Paramètres!$A$1:$I$89,5,0)</f>
        <v>0</v>
      </c>
      <c r="IM119" s="13" t="e">
        <f t="shared" si="204"/>
        <v>#NUM!</v>
      </c>
      <c r="IN119" s="20" t="e">
        <f t="shared" si="153"/>
        <v>#NUM!</v>
      </c>
      <c r="IO119" s="59" t="e">
        <f t="shared" si="154"/>
        <v>#NUM!</v>
      </c>
      <c r="IP119" s="59">
        <f ca="1">AVERAGE(OFFSET(IO$3,0,0,'Données projet'!$E$20+1,1))-AVERAGE(OFFSET($H$3,0,0,'Données projet'!$E$20+1,1))</f>
        <v>91.60721429656013</v>
      </c>
      <c r="IQ119" s="59">
        <f t="shared" si="205"/>
        <v>258.94957804210856</v>
      </c>
      <c r="IR119" s="15">
        <f>IF(ISNA(VLOOKUP($A119,'Données projet'!$A$330:$I$350,3,0)),0,VLOOKUP($A119,'Données projet'!$A$330:$I$350,3,0))</f>
        <v>0</v>
      </c>
      <c r="IS119" s="15">
        <f>IF(ISNA(VLOOKUP($A119,'Données projet'!$A$330:$I$350,4,0)),0,VLOOKUP($A119,'Données projet'!$A$330:$I$350,4,0))</f>
        <v>0</v>
      </c>
      <c r="IT119" s="16">
        <f>IF(ISNA(VLOOKUP($A119,'Données projet'!$A$330:$I$350,5,0)),0%,VLOOKUP($A119,'Données projet'!$A$330:$I$350,5,0)*VLOOKUP('Données projet'!$B$20,Paramètres!$A$1:$I$89,7,0))</f>
        <v>0</v>
      </c>
      <c r="IU119" s="16">
        <f>IF(ISNA(VLOOKUP($A119,'Données projet'!$A$330:$I$350,6,0)),0%,VLOOKUP($A119,'Données projet'!$A$330:$I$350,6,0)*VLOOKUP('Données projet'!$B$20,Paramètres!$A$1:$I$89,7,0))</f>
        <v>0</v>
      </c>
      <c r="IV119" s="16">
        <f>IF(ISNA(VLOOKUP($A119,'Données projet'!$A$330:$I$350,7,0)),0%,VLOOKUP($A119,'Données projet'!$A$330:$I$350,7,0))</f>
        <v>0</v>
      </c>
      <c r="IW119" s="21">
        <f>EXP(-LN(2)/35)*IW118+(1-EXP(-LN(2)/35))/(LN(2)/35)*IS119*IT119*VLOOKUP('Données projet'!$B$20,Paramètres!$A$1:$I$89,3,0)*0.475*44/12</f>
        <v>8.983823750219992</v>
      </c>
      <c r="IX119" s="21">
        <f>EXP(-LN(2)/25)*IX118+(1-EXP(-LN(2)/25))/(LN(2)/25)*Calculateur!IS119*Calculateur!IU119*VLOOKUP('Données projet'!$B$20,Paramètres!$A$1:$I$89,3,0)*0.475*44/12</f>
        <v>0.89633049955340893</v>
      </c>
      <c r="IY119" s="21">
        <f>EXP(-LN(2)/2)*IY118+(1-EXP(-LN(2)/2))/(LN(2)/2)*IS119*IV119*VLOOKUP('Données projet'!$B$20,Paramètres!$A$1:$I$89,3,0)*0.475*44/12</f>
        <v>6.5125767803690172E-14</v>
      </c>
      <c r="IZ119" s="22">
        <f t="shared" si="155"/>
        <v>9.8801542497734669</v>
      </c>
      <c r="JA119" s="74">
        <f>('Scénario référence'!$F$8+'Scénario référence'!$F$9+'Scénario référence'!$B$17+'Scénario référence'!$B$9+'Scénario référence'!$B$10)*70+IF((45+25*(1-EXP(-0.0175*$A119)))&lt;70,'Scénario référence'!$B$16*(45+25*(1-EXP(-0.0175*$A119))),70*'Scénario référence'!$B$16)+IF((32+38*(1-EXP(-0.0175*$A119)))&lt;70,'Scénario référence'!$B$18*(32+38*(1-EXP(-0.0175*$A119))),70*'Scénario référence'!$B$18)</f>
        <v>70</v>
      </c>
      <c r="JB119" s="12">
        <f>IF($A119&gt;30,10,('Scénario référence'!$B$16+'Scénario référence'!$B$17+'Scénario référence'!$B$18+'Scénario référence'!$B$9+'Scénario référence'!$B$10)*$A119*10/30+('Scénario référence'!$F$8+'Scénario référence'!$F$9)*10)</f>
        <v>10</v>
      </c>
      <c r="JC119" s="12" t="e">
        <f>VLOOKUP($A119,'Données projet'!$A$356:$I$376,2,0)</f>
        <v>#N/A</v>
      </c>
      <c r="JD119" s="12" t="e">
        <f>VLOOKUP($A119,'Données projet'!$A$356:$I$376,9,0)</f>
        <v>#N/A</v>
      </c>
      <c r="JE119" s="12">
        <f t="array" ref="JE119">INDEX(JD:JD,MIN(IF(ISNUMBER(JD119:JD315),ROW(JD119:JD315),"")))</f>
        <v>2.2000000000000002</v>
      </c>
      <c r="JF119" s="12">
        <f>IF('Données projet'!$A$356&gt;35,JF118+JE119-JN118,IF($A119&lt;'Données projet'!$A$356,$CQ$205^$A119,IF($A119='Données projet'!$A$356,'Données projet'!$B$356,JF118+JE119-JN118)))</f>
        <v>409.19999999999931</v>
      </c>
      <c r="JG119" s="17">
        <f>JF119*VLOOKUP('Données projet'!$B$21,Paramètres!$A$1:$I$89,3,0)*VLOOKUP('Données projet'!$B$21,Paramètres!$A$1:$I$89,5,0)</f>
        <v>331.94303999999948</v>
      </c>
      <c r="JH119" s="13">
        <f t="shared" si="206"/>
        <v>77.833011192426028</v>
      </c>
      <c r="JI119" s="20">
        <f t="shared" si="156"/>
        <v>713.69328916014092</v>
      </c>
      <c r="JJ119" s="59">
        <f t="shared" si="157"/>
        <v>1007.0266224934742</v>
      </c>
      <c r="JK119" s="59">
        <f ca="1">AVERAGE(OFFSET($JJ$3,0,0,'Données projet'!$E$22+1,1))-AVERAGE(OFFSET($H$3,0,0,'Données projet'!$E$22+1,1))</f>
        <v>353.35574633294613</v>
      </c>
      <c r="JL119" s="59">
        <f t="shared" si="207"/>
        <v>170.36796666474726</v>
      </c>
      <c r="JM119" s="15">
        <f>IF(ISNA(VLOOKUP($A119,'Données projet'!$A$356:$I$376,3,0)),0,VLOOKUP($A119,'Données projet'!$A$356:$I$376,3,0))</f>
        <v>0</v>
      </c>
      <c r="JN119" s="15">
        <f>IF(ISNA(VLOOKUP($A119,'Données projet'!$A$356:$I$376,4,0)),0,VLOOKUP($A119,'Données projet'!$A$356:$I$376,4,0))</f>
        <v>0</v>
      </c>
      <c r="JO119" s="16">
        <f>IF(ISNA(VLOOKUP($A119,'Données projet'!$A$356:$I$376,5,0)),0%,VLOOKUP($A119,'Données projet'!$A$356:$I$376,5,0)*VLOOKUP('Données projet'!$B$21,Paramètres!$A$1:$I$89,7,0))</f>
        <v>0</v>
      </c>
      <c r="JP119" s="16">
        <f>IF(ISNA(VLOOKUP($A119,'Données projet'!$A$356:$I$376,6,0)),0%,VLOOKUP($A119,'Données projet'!$A$356:$I$376,6,0)*VLOOKUP('Données projet'!$B$21,Paramètres!$A$1:$I$89,7,0))</f>
        <v>0</v>
      </c>
      <c r="JQ119" s="16">
        <f>IF(ISNA(VLOOKUP($A119,'Données projet'!$A$356:$I$376,7,0)),0%,VLOOKUP($A119,'Données projet'!$A$356:$I$376,7,0))</f>
        <v>0</v>
      </c>
      <c r="JR119" s="21">
        <f>EXP(-LN(2)/35)*JR118+(1-EXP(-LN(2)/35))/(LN(2)/35)*JN119*JO119*VLOOKUP('Données projet'!$B$21,Paramètres!$A$1:$I$89,3,0)*0.475*44/12</f>
        <v>4.4625483750136485</v>
      </c>
      <c r="JS119" s="21">
        <f>EXP(-LN(2)/25)*JS118+(1-EXP(-LN(2)/25))/(LN(2)/25)*Calculateur!JN119*Calculateur!JP119*VLOOKUP('Données projet'!$B$21,Paramètres!$A$1:$I$89,3,0)*0.475*44/12</f>
        <v>14.97410042277758</v>
      </c>
      <c r="JT119" s="21">
        <f>EXP(-LN(2)/2)*JT118+(1-EXP(-LN(2)/2))/(LN(2)/2)*JN119*JQ119*VLOOKUP('Données projet'!$B$21,Paramètres!$A$1:$I$89,3,0)*0.475*44/12</f>
        <v>0.43607356885715026</v>
      </c>
      <c r="JU119" s="18">
        <f t="shared" si="158"/>
        <v>19.872722366648379</v>
      </c>
      <c r="JV119" s="74">
        <f>('Scénario référence'!$F$8+'Scénario référence'!$F$9+'Scénario référence'!$B$17+'Scénario référence'!$B$9+'Scénario référence'!$B$10)*70+IF((45+25*(1-EXP(-0.0175*$A119)))&lt;70,'Scénario référence'!$B$16*(45+25*(1-EXP(-0.0175*$A119))),70*'Scénario référence'!$B$16)+IF((32+38*(1-EXP(-0.0175*$A119)))&lt;70,'Scénario référence'!$B$18*(32+38*(1-EXP(-0.0175*$A119))),70*'Scénario référence'!$B$18)</f>
        <v>70</v>
      </c>
      <c r="JW119" s="12">
        <f>IF($A119&gt;30,10,('Scénario référence'!$B$16+'Scénario référence'!$B$17+'Scénario référence'!$B$18+'Scénario référence'!$B$9+'Scénario référence'!$B$10)*$A119*10/30+('Scénario référence'!$F$8+'Scénario référence'!$F$9)*10)</f>
        <v>10</v>
      </c>
      <c r="JX119" s="12" t="e">
        <f>VLOOKUP($A119,'Données projet'!$A$382:$I$402,2,0)</f>
        <v>#N/A</v>
      </c>
      <c r="JY119" s="12" t="e">
        <f>VLOOKUP($A119,'Données projet'!$A$382:$I$402,9,0)</f>
        <v>#N/A</v>
      </c>
      <c r="JZ119" s="12">
        <f t="array" ref="JZ119">INDEX(JY:JY,MIN(IF(ISNUMBER(JY119:JY315),ROW(JY119:JY315),"")))</f>
        <v>6.8461538461538511</v>
      </c>
      <c r="KA119" s="12">
        <f>IF('Données projet'!$A$382&gt;35,KA118+JZ119-KI118,IF($A119&lt;'Données projet'!$A$382,$CQ$205^$A119,IF($A119='Données projet'!$A$382,'Données projet'!$B$382,KA118+JZ119-KI118)))</f>
        <v>336.80128205128244</v>
      </c>
      <c r="KB119" s="17">
        <f>KA119*VLOOKUP('Données projet'!$B$22,Paramètres!$A$1:$I$89,3,0)*VLOOKUP('Données projet'!$B$22,Paramètres!$A$1:$I$89,5,0)</f>
        <v>225.92630000000028</v>
      </c>
      <c r="KC119" s="13">
        <f t="shared" si="208"/>
        <v>55.400938327528685</v>
      </c>
      <c r="KD119" s="20">
        <f t="shared" si="159"/>
        <v>489.97827342044621</v>
      </c>
      <c r="KE119" s="59">
        <f t="shared" si="160"/>
        <v>783.31160675377953</v>
      </c>
      <c r="KF119" s="59">
        <f ca="1">AVERAGE(OFFSET($KE$3,0,0,'Données projet'!$E$22+1,1))-AVERAGE(OFFSET($H$3,0,0,'Données projet'!$E$22+1,1))</f>
        <v>193.91714772848269</v>
      </c>
      <c r="KG119" s="59">
        <f t="shared" si="209"/>
        <v>159.20429420478047</v>
      </c>
      <c r="KH119" s="15">
        <f>IF(ISNA(VLOOKUP($A119,'Données projet'!$A$382:$I$402,3,0)),0,VLOOKUP($A119,'Données projet'!$A$382:$I$402,3,0))</f>
        <v>0</v>
      </c>
      <c r="KI119" s="15">
        <f>IF(ISNA(VLOOKUP($A119,'Données projet'!$A$382:$I$402,4,0)),0,VLOOKUP($A119,'Données projet'!$A$382:$I$402,4,0))</f>
        <v>0</v>
      </c>
      <c r="KJ119" s="16">
        <f>IF(ISNA(VLOOKUP($A119,'Données projet'!$A$382:$I$402,5,0)),0%,VLOOKUP($A119,'Données projet'!$A$382:$I$402,5,0)*VLOOKUP('Données projet'!$B$22,Paramètres!$A$1:$I$89,7,0))</f>
        <v>0</v>
      </c>
      <c r="KK119" s="16">
        <f>IF(ISNA(VLOOKUP($A119,'Données projet'!$A$382:$I$402,6,0)),0%,VLOOKUP($A119,'Données projet'!$A$382:$I$402,6,0)*VLOOKUP('Données projet'!$B$22,Paramètres!$A$1:$I$89,7,0))</f>
        <v>0</v>
      </c>
      <c r="KL119" s="16">
        <f>IF(ISNA(VLOOKUP($A119,'Données projet'!$A$382:$I$402,7,0)),0%,VLOOKUP($A119,'Données projet'!$A$382:$I$402,7,0))</f>
        <v>0</v>
      </c>
      <c r="KM119" s="21">
        <f>EXP(-LN(2)/35)*KM118+(1-EXP(-LN(2)/35))/(LN(2)/35)*KI119*KJ119*VLOOKUP('Données projet'!$B$22,Paramètres!$A$1:$I$89,3,0)*0.475*44/12</f>
        <v>47.863930301163698</v>
      </c>
      <c r="KN119" s="21">
        <f>EXP(-LN(2)/25)*KN118+(1-EXP(-LN(2)/25))/(LN(2)/25)*Calculateur!KI119*Calculateur!KK119*VLOOKUP('Données projet'!$B$22,Paramètres!$A$1:$I$89,3,0)*0.475*44/12</f>
        <v>0</v>
      </c>
      <c r="KO119" s="21">
        <f>EXP(-LN(2)/2)*KO118+(1-EXP(-LN(2)/2))/(LN(2)/2)*KI119*KL119*VLOOKUP('Données projet'!$B$22,Paramètres!$A$1:$I$89,3,0)*0.475*44/12</f>
        <v>0</v>
      </c>
      <c r="KP119" s="22">
        <f t="shared" si="161"/>
        <v>47.863930301163698</v>
      </c>
      <c r="KQ119" s="74">
        <f>('Scénario référence'!$F$8+'Scénario référence'!$F$9+'Scénario référence'!$B$17+'Scénario référence'!$B$9+'Scénario référence'!$B$10)*70+IF((45+25*(1-EXP(-0.0175*$A119)))&lt;70,'Scénario référence'!$B$16*(45+25*(1-EXP(-0.0175*$A119))),70*'Scénario référence'!$B$16)+IF((32+38*(1-EXP(-0.0175*$A119)))&lt;70,'Scénario référence'!$B$18*(32+38*(1-EXP(-0.0175*$A119))),70*'Scénario référence'!$B$18)</f>
        <v>70</v>
      </c>
      <c r="KR119" s="12">
        <f>IF($A119&gt;30,10,('Scénario référence'!$B$16+'Scénario référence'!$B$17+'Scénario référence'!$B$18+'Scénario référence'!$B$9+'Scénario référence'!$B$10)*$A119*10/30+('Scénario référence'!$F$8+'Scénario référence'!$F$9)*10)</f>
        <v>10</v>
      </c>
      <c r="KS119" s="12" t="e">
        <f>VLOOKUP($A119,'Données projet'!$A$408:$I$428,2,0)</f>
        <v>#N/A</v>
      </c>
      <c r="KT119" s="12" t="e">
        <f>VLOOKUP($A119,'Données projet'!$A$408:$I$428,9,0)</f>
        <v>#N/A</v>
      </c>
      <c r="KU119" s="12">
        <f t="array" ref="KU119">INDEX(KT:KT,MIN(IF(ISNUMBER(KT119:KT315),ROW(KT119:KT315),"")))</f>
        <v>0</v>
      </c>
      <c r="KV119" s="12">
        <f>IF('Données projet'!$A$408&gt;35,KV118+KU119-LD118,IF($A119&lt;'Données projet'!$A$408,$CQ$205^$A119,IF($A119='Données projet'!$A$408,'Données projet'!$B$408,KV118+KU119-LD118)))</f>
        <v>-1.1368683772161603E-13</v>
      </c>
      <c r="KW119" s="17">
        <f>KV119*VLOOKUP('Données projet'!$B$23,Paramètres!$A$1:$I$89,3,0)*VLOOKUP('Données projet'!$B$23,Paramètres!$A$1:$I$89,5,0)</f>
        <v>-9.9316821433603781E-14</v>
      </c>
      <c r="KX119" s="13" t="e">
        <f t="shared" si="210"/>
        <v>#NUM!</v>
      </c>
      <c r="KY119" s="14" t="e">
        <f t="shared" si="162"/>
        <v>#NUM!</v>
      </c>
      <c r="KZ119" s="59" t="e">
        <f t="shared" si="163"/>
        <v>#NUM!</v>
      </c>
      <c r="LA119" s="59">
        <f ca="1">AVERAGE(OFFSET($KZ$3,0,0,'Données projet'!$E$23+1,1))-AVERAGE(OFFSET($H$3,0,0,'Données projet'!$E$23+1,1))</f>
        <v>248.33596943633819</v>
      </c>
      <c r="LB119" s="59">
        <f t="shared" si="211"/>
        <v>242.34010522344573</v>
      </c>
      <c r="LC119" s="15">
        <f>IF(ISNA(VLOOKUP($A119,'Données projet'!$A$408:$I$428,3,0)),0,VLOOKUP($A119,'Données projet'!$A$408:$I$428,3,0))</f>
        <v>0</v>
      </c>
      <c r="LD119" s="15">
        <f>IF(ISNA(VLOOKUP($A119,'Données projet'!$A$408:$I$428,4,0)),0,VLOOKUP($A119,'Données projet'!$A$408:$I$428,4,0))</f>
        <v>0</v>
      </c>
      <c r="LE119" s="16">
        <f>IF(ISNA(VLOOKUP($A119,'Données projet'!$A$408:$I$428,5,0)),0%,VLOOKUP($A119,'Données projet'!$A$408:$I$428,5,0)*VLOOKUP('Données projet'!$B$23,Paramètres!$A$1:$I$89,7,0))</f>
        <v>0</v>
      </c>
      <c r="LF119" s="16">
        <f>IF(ISNA(VLOOKUP($A119,'Données projet'!$A$408:$I$428,6,0)),0%,VLOOKUP($A119,'Données projet'!$A$408:$I$428,6,0)*VLOOKUP('Données projet'!$B$23,Paramètres!$A$1:$I$89,7,0))</f>
        <v>0</v>
      </c>
      <c r="LG119" s="16">
        <f>IF(ISNA(VLOOKUP($A119,'Données projet'!$A$408:$I$428,7,0)),0%,VLOOKUP($A119,'Données projet'!$A$408:$I$428,7,0))</f>
        <v>0</v>
      </c>
      <c r="LH119" s="21">
        <f>EXP(-LN(2)/35)*LH118+(1-EXP(-LN(2)/35))/(LN(2)/35)*LD119*LE119*VLOOKUP('Données projet'!$B$23,Paramètres!$A$1:$I$89,3,0)*0.475*44/12</f>
        <v>60.402062754536438</v>
      </c>
      <c r="LI119" s="21">
        <f>EXP(-LN(2)/25)*LI118+(1-EXP(-LN(2)/25))/(LN(2)/25)*Calculateur!LD119*Calculateur!LF119*VLOOKUP('Données projet'!$B$23,Paramètres!$A$1:$I$89,3,0)*0.475*44/12</f>
        <v>8.0263301879693429</v>
      </c>
      <c r="LJ119" s="21">
        <f>EXP(-LN(2)/2)*LJ118+(1-EXP(-LN(2)/2))/(LN(2)/2)*LD119*LG119*VLOOKUP('Données projet'!$B$23,Paramètres!$A$1:$I$89,3,0)*0.475*44/12</f>
        <v>0</v>
      </c>
      <c r="LK119" s="22">
        <f t="shared" si="164"/>
        <v>68.428392942505781</v>
      </c>
      <c r="LL119" s="74">
        <f>('Scénario référence'!$F$8+'Scénario référence'!$F$9+'Scénario référence'!$B$17+'Scénario référence'!$B$9+'Scénario référence'!$B$10)*70+IF((45+25*(1-EXP(-0.0175*$A119)))&lt;70,'Scénario référence'!$B$16*(45+25*(1-EXP(-0.0175*$A119))),70*'Scénario référence'!$B$16)+IF((32+38*(1-EXP(-0.0175*$A119)))&lt;70,'Scénario référence'!$B$18*(32+38*(1-EXP(-0.0175*$A119))),70*'Scénario référence'!$B$18)</f>
        <v>70</v>
      </c>
      <c r="LM119" s="12">
        <f>IF($A119&gt;30,10,('Scénario référence'!$B$16+'Scénario référence'!$B$17+'Scénario référence'!$B$18+'Scénario référence'!$B$9+'Scénario référence'!$B$10)*$A119*10/30+('Scénario référence'!$F$8+'Scénario référence'!$F$9)*10)</f>
        <v>10</v>
      </c>
      <c r="LN119" s="12" t="e">
        <f>VLOOKUP($A119,'Données projet'!$A$434:$I$454,2,0)</f>
        <v>#N/A</v>
      </c>
      <c r="LO119" s="12" t="e">
        <f>VLOOKUP($A119,'Données projet'!$A$434:$I$454,9,0)</f>
        <v>#N/A</v>
      </c>
      <c r="LP119" s="12">
        <f t="array" ref="LP119">INDEX(LO:LO,MIN(IF(ISNUMBER(LO119:LO315),ROW(LO119:LO315),"")))</f>
        <v>5.3066239316239274</v>
      </c>
      <c r="LQ119" s="12">
        <f>IF('Données projet'!$A$434&gt;35,LQ118+LP119-LY118,IF($A119&lt;'Données projet'!$A$434,$CQ$205^$A119,IF($A119='Données projet'!$A$434,'Données projet'!$B$434,LQ118+LP119-LY118)))</f>
        <v>230.53525641025607</v>
      </c>
      <c r="LR119" s="17">
        <f>LQ119*VLOOKUP('Données projet'!$B$24,Paramètres!$A$1:$I$89,3,0)*VLOOKUP('Données projet'!$B$24,Paramètres!$A$1:$I$89,5,0)</f>
        <v>233.76274999999964</v>
      </c>
      <c r="LS119" s="13">
        <f t="shared" si="212"/>
        <v>57.095506074599044</v>
      </c>
      <c r="LT119" s="14">
        <f t="shared" si="165"/>
        <v>506.57812932992596</v>
      </c>
      <c r="LU119" s="59">
        <f t="shared" si="166"/>
        <v>799.91146266325927</v>
      </c>
      <c r="LV119" s="59">
        <f ca="1">AVERAGE(OFFSET($LU$3,0,0,'Données projet'!$E$24+1,1))-AVERAGE(OFFSET($H$3,0,0,'Données projet'!$E$24+1,1))</f>
        <v>260.52627655062872</v>
      </c>
      <c r="LW119" s="59">
        <f t="shared" si="213"/>
        <v>159.20429420478047</v>
      </c>
      <c r="LX119" s="15">
        <f>IF(ISNA(VLOOKUP($A119,'Données projet'!$A$434:$I$454,3,0)),0,VLOOKUP($A119,'Données projet'!$A$434:$I$454,3,0))</f>
        <v>0</v>
      </c>
      <c r="LY119" s="15">
        <f>IF(ISNA(VLOOKUP($A119,'Données projet'!$A$434:$I$454,4,0)),0,VLOOKUP($A119,'Données projet'!$A$434:$I$454,4,0))</f>
        <v>0</v>
      </c>
      <c r="LZ119" s="16">
        <f>IF(ISNA(VLOOKUP($A119,'Données projet'!$A$434:$I$454,5,0)),0%,VLOOKUP($A119,'Données projet'!$A$434:$I$454,5,0)*VLOOKUP('Données projet'!$B$24,Paramètres!$A$1:$I$89,7,0))</f>
        <v>0</v>
      </c>
      <c r="MA119" s="16">
        <f>IF(ISNA(VLOOKUP($A119,'Données projet'!$A$434:$I$454,6,0)),0%,VLOOKUP($A119,'Données projet'!$A$434:$I$454,6,0)*VLOOKUP('Données projet'!$B$24,Paramètres!$A$1:$I$89,7,0))</f>
        <v>0</v>
      </c>
      <c r="MB119" s="16">
        <f>IF(ISNA(VLOOKUP($A119,'Données projet'!$A$434:$I$454,7,0)),0%,VLOOKUP($A119,'Données projet'!$A$434:$I$454,7,0))</f>
        <v>0</v>
      </c>
      <c r="MC119" s="21">
        <f>EXP(-LN(2)/35)*MC118+(1-EXP(-LN(2)/35))/(LN(2)/35)*LY119*LZ119*VLOOKUP('Données projet'!$B$24,Paramètres!$A$1:$I$89,3,0)*0.475*44/12</f>
        <v>37.702460084935389</v>
      </c>
      <c r="MD119" s="21">
        <f>EXP(-LN(2)/25)*MD118+(1-EXP(-LN(2)/25))/(LN(2)/25)*Calculateur!LY119*Calculateur!MA119*VLOOKUP('Données projet'!$B$24,Paramètres!$A$1:$I$89,3,0)*0.475*44/12</f>
        <v>0</v>
      </c>
      <c r="ME119" s="21">
        <f>EXP(-LN(2)/2)*ME118+(1-EXP(-LN(2)/2))/(LN(2)/2)*LY119*MB119*VLOOKUP('Données projet'!$B$24,Paramètres!$A$1:$I$89,3,0)*0.475*44/12</f>
        <v>0</v>
      </c>
      <c r="MF119" s="22">
        <f t="shared" si="167"/>
        <v>37.702460084935389</v>
      </c>
      <c r="MG119" s="74">
        <f>('Scénario référence'!$F$8+'Scénario référence'!$F$9+'Scénario référence'!$B$17+'Scénario référence'!$B$9+'Scénario référence'!$B$10)*70+IF((45+25*(1-EXP(-0.0175*$A119)))&lt;70,'Scénario référence'!$B$16*(45+25*(1-EXP(-0.0175*$A119))),70*'Scénario référence'!$B$16)+IF((32+38*(1-EXP(-0.0175*$A119)))&lt;70,'Scénario référence'!$B$18*(32+38*(1-EXP(-0.0175*$A119))),70*'Scénario référence'!$B$18)</f>
        <v>70</v>
      </c>
      <c r="MH119" s="12">
        <f>IF($A119&gt;30,10,('Scénario référence'!$B$16+'Scénario référence'!$B$17+'Scénario référence'!$B$18+'Scénario référence'!$B$9+'Scénario référence'!$B$10)*$A119*10/30+('Scénario référence'!$F$8+'Scénario référence'!$F$9)*10)</f>
        <v>10</v>
      </c>
      <c r="MI119" s="12" t="e">
        <f>VLOOKUP($A119,'Données projet'!$A$460:$I$480,2,0)</f>
        <v>#N/A</v>
      </c>
      <c r="MJ119" s="12" t="e">
        <f>VLOOKUP($A119,'Données projet'!$A$460:$I$480,9,0)</f>
        <v>#N/A</v>
      </c>
      <c r="MK119" s="12">
        <f t="array" ref="MK119">INDEX(MJ:MJ,MIN(IF(ISNUMBER(MJ119:MJ315),ROW(MJ119:MJ315),"")))</f>
        <v>0</v>
      </c>
      <c r="ML119" s="12">
        <f>IF('Données projet'!$A$460&gt;35,ML118+MK119-MT118,IF($A119&lt;'Données projet'!$A$460,$CQ$205^$A119,IF($A119='Données projet'!$A$460,'Données projet'!$B$460,ML118+MK119-MT118)))</f>
        <v>0</v>
      </c>
      <c r="MM119" s="17" t="e">
        <f>ML119*VLOOKUP('Données projet'!$B$25,Paramètres!$A$1:$I$89,3,0)*VLOOKUP('Données projet'!$B$25,Paramètres!$A$1:$I$89,5,0)</f>
        <v>#N/A</v>
      </c>
      <c r="MN119" s="13" t="e">
        <f t="shared" si="214"/>
        <v>#N/A</v>
      </c>
      <c r="MO119" s="14" t="e">
        <f t="shared" si="168"/>
        <v>#N/A</v>
      </c>
      <c r="MP119" s="59" t="e">
        <f t="shared" si="169"/>
        <v>#N/A</v>
      </c>
      <c r="MQ119" s="20" t="e">
        <f ca="1">AVERAGE(OFFSET($MP$3,0,0,'Données projet'!$E$25+1,1))-AVERAGE(OFFSET($H$3,0,0,'Données projet'!$E$25+1,1))</f>
        <v>#N/A</v>
      </c>
      <c r="MR119" s="59" t="e">
        <f t="shared" si="215"/>
        <v>#N/A</v>
      </c>
      <c r="MS119" s="15">
        <f>IF(ISNA(VLOOKUP($A119,'Données projet'!$A$460:$I$480,3,0)),0,VLOOKUP($A119,'Données projet'!$A$460:$I$480,3,0))</f>
        <v>0</v>
      </c>
      <c r="MT119" s="15">
        <f>IF(ISNA(VLOOKUP($A119,'Données projet'!$A$460:$I$480,4,0)),0,VLOOKUP($A119,'Données projet'!$A$460:$I$480,4,0))</f>
        <v>0</v>
      </c>
      <c r="MU119" s="16">
        <f>IF(ISNA(VLOOKUP($A119,'Données projet'!$A$460:$I$480,5,0)),0%,VLOOKUP($A119,'Données projet'!$A$460:$I$480,5,0)*VLOOKUP('Données projet'!$B$25,Paramètres!$A$1:$I$89,7,0))</f>
        <v>0</v>
      </c>
      <c r="MV119" s="16">
        <f>IF(ISNA(VLOOKUP($A119,'Données projet'!$A$460:$I$480,6,0)),0%,VLOOKUP($A119,'Données projet'!$A$460:$I$480,6,0)*VLOOKUP('Données projet'!$B$25,Paramètres!$A$1:$I$89,7,0))</f>
        <v>0</v>
      </c>
      <c r="MW119" s="16">
        <f>IF(ISNA(VLOOKUP($A119,'Données projet'!$A$460:$I$480,7,0)),0%,VLOOKUP($A119,'Données projet'!$A$460:$I$480,7,0))</f>
        <v>0</v>
      </c>
      <c r="MX119" s="21" t="e">
        <f>EXP(-LN(2)/35)*MX118+(1-EXP(-LN(2)/35))/(LN(2)/35)*MT119*MU119*VLOOKUP('Données projet'!$B$25,Paramètres!$A$1:$I$89,3,0)*0.475*44/12</f>
        <v>#N/A</v>
      </c>
      <c r="MY119" s="21" t="e">
        <f>EXP(-LN(2)/25)*MY118+(1-EXP(-LN(2)/25))/(LN(2)/25)*Calculateur!MT119*Calculateur!MV119*VLOOKUP('Données projet'!$B$25,Paramètres!$A$1:$I$89,3,0)*0.475*44/12</f>
        <v>#N/A</v>
      </c>
      <c r="MZ119" s="21" t="e">
        <f>EXP(-LN(2)/2)*MZ118+(1-EXP(-LN(2)/2))/(LN(2)/2)*MT119*MW119*VLOOKUP('Données projet'!$B$25,Paramètres!$A$1:$I$89,3,0)*0.475*44/12</f>
        <v>#N/A</v>
      </c>
      <c r="NA119" s="22" t="e">
        <f t="shared" si="170"/>
        <v>#N/A</v>
      </c>
      <c r="NB119" s="74">
        <f>('Scénario référence'!$F$8+'Scénario référence'!$F$9+'Scénario référence'!$B$17+'Scénario référence'!$B$9+'Scénario référence'!$B$10)*70+IF((45+25*(1-EXP(-0.0175*$A119)))&lt;70,'Scénario référence'!$B$16*(45+25*(1-EXP(-0.0175*$A119))),70*'Scénario référence'!$B$16)+IF((32+38*(1-EXP(-0.0175*$A119)))&lt;70,'Scénario référence'!$B$18*(32+38*(1-EXP(-0.0175*$A119))),70*'Scénario référence'!$B$18)</f>
        <v>70</v>
      </c>
      <c r="NC119" s="12">
        <f>IF($A119&gt;30,10,('Scénario référence'!$B$16+'Scénario référence'!$B$17+'Scénario référence'!$B$18+'Scénario référence'!$B$9+'Scénario référence'!$B$10)*$A119*10/30+('Scénario référence'!$F$8+'Scénario référence'!$F$9)*10)</f>
        <v>10</v>
      </c>
      <c r="ND119" s="12" t="e">
        <f>VLOOKUP($A119,'Données projet'!$A$486:$I$506,2,0)</f>
        <v>#N/A</v>
      </c>
      <c r="NE119" s="12" t="e">
        <f>VLOOKUP($A119,'Données projet'!$A$486:$I$506,9,0)</f>
        <v>#N/A</v>
      </c>
      <c r="NF119" s="12">
        <f t="array" ref="NF119">INDEX(NE:NE,MIN(IF(ISNUMBER(NE119:NE315),ROW(NE119:NE315),"")))</f>
        <v>0</v>
      </c>
      <c r="NG119" s="12">
        <f>IF('Données projet'!$A$486&gt;35,NG118+NF119-NO118,IF($A119&lt;'Données projet'!$A$486,$CQ$205^$A119,IF($A119='Données projet'!$A$486,'Données projet'!$B$486,NG118+NF119-NO118)))</f>
        <v>0</v>
      </c>
      <c r="NH119" s="17" t="e">
        <f>NG119*VLOOKUP('Données projet'!$B$26,Paramètres!$A$1:$I$89,3,0)*VLOOKUP('Données projet'!$B$26,Paramètres!$A$1:$I$89,5,0)</f>
        <v>#N/A</v>
      </c>
      <c r="NI119" s="13" t="e">
        <f t="shared" si="216"/>
        <v>#N/A</v>
      </c>
      <c r="NJ119" s="14" t="e">
        <f t="shared" si="171"/>
        <v>#N/A</v>
      </c>
      <c r="NK119" s="59" t="e">
        <f t="shared" si="172"/>
        <v>#N/A</v>
      </c>
      <c r="NL119" s="20" t="e">
        <f ca="1">AVERAGE(OFFSET($NK$3,0,0,'Données projet'!$E$26+1,1))-AVERAGE(OFFSET($H$3,0,0,'Données projet'!$E$26+1,1))</f>
        <v>#N/A</v>
      </c>
      <c r="NM119" s="59" t="e">
        <f t="shared" si="217"/>
        <v>#N/A</v>
      </c>
      <c r="NN119" s="15">
        <f>IF(ISNA(VLOOKUP($A119,'Données projet'!$A$486:$I$506,3,0)),0,VLOOKUP($A119,'Données projet'!$A$486:$I$506,3,0))</f>
        <v>0</v>
      </c>
      <c r="NO119" s="15">
        <f>IF(ISNA(VLOOKUP($A119,'Données projet'!$A$486:$I$506,4,0)),0,VLOOKUP($A119,'Données projet'!$A$486:$I$506,4,0))</f>
        <v>0</v>
      </c>
      <c r="NP119" s="16">
        <f>IF(ISNA(VLOOKUP($A119,'Données projet'!$A$486:$I$506,5,0)),0%,VLOOKUP($A119,'Données projet'!$A$486:$I$506,5,0)*VLOOKUP('Données projet'!$B$26,Paramètres!$A$1:$I$89,7,0))</f>
        <v>0</v>
      </c>
      <c r="NQ119" s="16">
        <f>IF(ISNA(VLOOKUP($A119,'Données projet'!$A$486:$I$506,6,0)),0%,VLOOKUP($A119,'Données projet'!$A$486:$I$506,6,0)*VLOOKUP('Données projet'!$B$26,Paramètres!$A$1:$I$89,7,0))</f>
        <v>0</v>
      </c>
      <c r="NR119" s="16">
        <f>IF(ISNA(VLOOKUP($A119,'Données projet'!$A$486:$I$506,7,0)),0%,VLOOKUP($A119,'Données projet'!$A$486:$I$506,7,0))</f>
        <v>0</v>
      </c>
      <c r="NS119" s="21" t="e">
        <f>EXP(-LN(2)/35)*NS118+(1-EXP(-LN(2)/35))/(LN(2)/35)*NO119*NP119*VLOOKUP('Données projet'!$B$26,Paramètres!$A$1:$I$89,3,0)*0.475*44/12</f>
        <v>#N/A</v>
      </c>
      <c r="NT119" s="21" t="e">
        <f>EXP(-LN(2)/25)*NT118+(1-EXP(-LN(2)/25))/(LN(2)/25)*Calculateur!NO119*Calculateur!NQ119*VLOOKUP('Données projet'!$B$26,Paramètres!$A$1:$I$89,3,0)*0.475*44/12</f>
        <v>#N/A</v>
      </c>
      <c r="NU119" s="21" t="e">
        <f>EXP(-LN(2)/2)*NU118+(1-EXP(-LN(2)/2))/(LN(2)/2)*NO119*NR119*VLOOKUP('Données projet'!$B$26,Paramètres!$A$1:$I$89,3,0)*0.475*44/12</f>
        <v>#N/A</v>
      </c>
      <c r="NV119" s="22" t="e">
        <f t="shared" si="173"/>
        <v>#N/A</v>
      </c>
      <c r="NW119" s="74">
        <f>('Scénario référence'!$F$8+'Scénario référence'!$F$9+'Scénario référence'!$B$17+'Scénario référence'!$B$9+'Scénario référence'!$B$10)*70+IF((45+25*(1-EXP(-0.0175*$A119)))&lt;70,'Scénario référence'!$B$16*(45+25*(1-EXP(-0.0175*$A119))),70*'Scénario référence'!$B$16)+IF((32+38*(1-EXP(-0.0175*$A119)))&lt;70,'Scénario référence'!$B$18*(32+38*(1-EXP(-0.0175*$A119))),70*'Scénario référence'!$B$18)</f>
        <v>70</v>
      </c>
      <c r="NX119" s="12">
        <f>IF($A119&gt;30,10,('Scénario référence'!$B$16+'Scénario référence'!$B$17+'Scénario référence'!$B$18+'Scénario référence'!$B$9+'Scénario référence'!$B$10)*$A119*10/30+('Scénario référence'!$F$8+'Scénario référence'!$F$9)*10)</f>
        <v>10</v>
      </c>
      <c r="NY119" s="12" t="e">
        <f>VLOOKUP($A119,'Données projet'!$A$512:$I$532,2,0)</f>
        <v>#N/A</v>
      </c>
      <c r="NZ119" s="12" t="e">
        <f>VLOOKUP($A119,'Données projet'!$A$512:$I$532,9,0)</f>
        <v>#N/A</v>
      </c>
      <c r="OA119" s="12">
        <f t="array" ref="OA119">INDEX(NZ:NZ,MIN(IF(ISNUMBER(NZ119:NZ315),ROW(NZ119:NZ315),"")))</f>
        <v>0</v>
      </c>
      <c r="OB119" s="12">
        <f>IF('Données projet'!$A$512&gt;35,OB118+OA119-OJ118,IF($A119&lt;'Données projet'!$A$512,$CQ$205^$A119,IF($A119='Données projet'!$A$512,'Données projet'!$B$512,OB118+OA119-OJ118)))</f>
        <v>0</v>
      </c>
      <c r="OC119" s="17" t="e">
        <f>OB119*VLOOKUP('Données projet'!$B$27,Paramètres!$A$1:$I$89,3,0)*VLOOKUP('Données projet'!$B$27,Paramètres!$A$1:$I$89,5,0)</f>
        <v>#N/A</v>
      </c>
      <c r="OD119" s="13" t="e">
        <f t="shared" si="218"/>
        <v>#N/A</v>
      </c>
      <c r="OE119" s="14" t="e">
        <f t="shared" si="174"/>
        <v>#N/A</v>
      </c>
      <c r="OF119" s="59" t="e">
        <f t="shared" si="175"/>
        <v>#N/A</v>
      </c>
      <c r="OG119" s="20" t="e">
        <f ca="1">AVERAGE(OFFSET($OF$3,0,0,'Données projet'!$E$27+1,1))-AVERAGE(OFFSET($H$3,0,0,'Données projet'!$E$27+1,1))</f>
        <v>#N/A</v>
      </c>
      <c r="OH119" s="59" t="e">
        <f t="shared" si="219"/>
        <v>#N/A</v>
      </c>
      <c r="OI119" s="15">
        <f>IF(ISNA(VLOOKUP($A119,'Données projet'!$A$512:$I$532,3,0)),0,VLOOKUP($A119,'Données projet'!$A$512:$I$532,3,0))</f>
        <v>0</v>
      </c>
      <c r="OJ119" s="15">
        <f>IF(ISNA(VLOOKUP($A119,'Données projet'!$A$512:$I$532,4,0)),0,VLOOKUP($A119,'Données projet'!$A$512:$I$532,4,0))</f>
        <v>0</v>
      </c>
      <c r="OK119" s="16">
        <f>IF(ISNA(VLOOKUP($A119,'Données projet'!$A$512:$I$532,5,0)),0%,VLOOKUP($A119,'Données projet'!$A$512:$I$532,5,0)*VLOOKUP('Données projet'!$B$27,Paramètres!$A$1:$I$89,7,0))</f>
        <v>0</v>
      </c>
      <c r="OL119" s="16">
        <f>IF(ISNA(VLOOKUP($A119,'Données projet'!$A$512:$I$532,6,0)),0%,VLOOKUP($A119,'Données projet'!$A$512:$I$532,6,0)*VLOOKUP('Données projet'!$B$27,Paramètres!$A$1:$I$89,7,0))</f>
        <v>0</v>
      </c>
      <c r="OM119" s="16">
        <f>IF(ISNA(VLOOKUP($A119,'Données projet'!$A$512:$I$532,7,0)),0%,VLOOKUP($A119,'Données projet'!$A$512:$I$532,7,0))</f>
        <v>0</v>
      </c>
      <c r="ON119" s="21" t="e">
        <f>EXP(-LN(2)/35)*ON118+(1-EXP(-LN(2)/35))/(LN(2)/35)*OJ119*OK119*VLOOKUP('Données projet'!$B$27,Paramètres!$A$1:$I$89,3,0)*0.475*44/12</f>
        <v>#N/A</v>
      </c>
      <c r="OO119" s="21" t="e">
        <f>EXP(-LN(2)/25)*OO118+(1-EXP(-LN(2)/25))/(LN(2)/25)*Calculateur!OJ119*Calculateur!OL119*VLOOKUP('Données projet'!$B$27,Paramètres!$A$1:$I$89,3,0)*0.475*44/12</f>
        <v>#N/A</v>
      </c>
      <c r="OP119" s="21" t="e">
        <f>EXP(-LN(2)/2)*OP118+(1-EXP(-LN(2)/2))/(LN(2)/2)*OJ119*OM119*VLOOKUP('Données projet'!$B$27,Paramètres!$A$1:$I$89,3,0)*0.475*44/12</f>
        <v>#N/A</v>
      </c>
      <c r="OQ119" s="22" t="e">
        <f t="shared" si="176"/>
        <v>#N/A</v>
      </c>
      <c r="OR119" s="74">
        <f>('Scénario référence'!$F$8+'Scénario référence'!$F$9+'Scénario référence'!$B$17+'Scénario référence'!$B$9+'Scénario référence'!$B$10)*70+IF((45+25*(1-EXP(-0.0175*$A119)))&lt;70,'Scénario référence'!$B$16*(45+25*(1-EXP(-0.0175*$A119))),70*'Scénario référence'!$B$16)+IF((32+38*(1-EXP(-0.0175*$A119)))&lt;70,'Scénario référence'!$B$18*(32+38*(1-EXP(-0.0175*$A119))),70*'Scénario référence'!$B$18)</f>
        <v>70</v>
      </c>
      <c r="OS119" s="12">
        <f>IF($A119&gt;30,10,('Scénario référence'!$B$16+'Scénario référence'!$B$17+'Scénario référence'!$B$18+'Scénario référence'!$B$9+'Scénario référence'!$B$10)*$A119*10/30+('Scénario référence'!$F$8+'Scénario référence'!$F$9)*10)</f>
        <v>10</v>
      </c>
      <c r="OT119" s="12" t="e">
        <f>VLOOKUP($A119,'Données projet'!$A$538:$I$558,2,0)</f>
        <v>#N/A</v>
      </c>
      <c r="OU119" s="12" t="e">
        <f>VLOOKUP($A119,'Données projet'!$A$538:$I$558,9,0)</f>
        <v>#N/A</v>
      </c>
      <c r="OV119" s="12">
        <f t="array" ref="OV119">INDEX(OU:OU,MIN(IF(ISNUMBER(OU119:OU315),ROW(OU119:OU315),"")))</f>
        <v>0</v>
      </c>
      <c r="OW119" s="12">
        <f>IF('Données projet'!$A$538&gt;35,OW118+OV119-PE118,IF($A119&lt;'Données projet'!$A$538,$CQ$205^$A119,IF($A119='Données projet'!$A$538,'Données projet'!$B$538,OW118+OV119-PE118)))</f>
        <v>0</v>
      </c>
      <c r="OX119" s="17" t="e">
        <f>OW119*VLOOKUP('Données projet'!$B$28,Paramètres!$A$1:$I$89,3,0)*VLOOKUP('Données projet'!$B$28,Paramètres!$A$1:$I$89,5,0)</f>
        <v>#N/A</v>
      </c>
      <c r="OY119" s="13" t="e">
        <f t="shared" si="220"/>
        <v>#N/A</v>
      </c>
      <c r="OZ119" s="14" t="e">
        <f t="shared" si="177"/>
        <v>#N/A</v>
      </c>
      <c r="PA119" s="59" t="e">
        <f t="shared" si="178"/>
        <v>#N/A</v>
      </c>
      <c r="PB119" s="20" t="e">
        <f ca="1">AVERAGE(OFFSET($PA$3,0,0,'Données projet'!$E$28+1,1))-AVERAGE(OFFSET($H$3,0,0,'Données projet'!$E$28+1,1))</f>
        <v>#N/A</v>
      </c>
      <c r="PC119" s="59" t="e">
        <f t="shared" si="221"/>
        <v>#N/A</v>
      </c>
      <c r="PD119" s="15">
        <f>IF(ISNA(VLOOKUP($A119,'Données projet'!$A$538:$I$558,3,0)),0,VLOOKUP($A119,'Données projet'!$A$538:$I$558,3,0))</f>
        <v>0</v>
      </c>
      <c r="PE119" s="15">
        <f>IF(ISNA(VLOOKUP($A119,'Données projet'!$A$538:$I$558,4,0)),0,VLOOKUP($A119,'Données projet'!$A$538:$I$558,4,0))</f>
        <v>0</v>
      </c>
      <c r="PF119" s="16">
        <f>IF(ISNA(VLOOKUP($A119,'Données projet'!$A$538:$I$558,5,0)),0%,VLOOKUP($A119,'Données projet'!$A$538:$I$558,5,0)*VLOOKUP('Données projet'!$B$28,Paramètres!$A$1:$I$89,7,0))</f>
        <v>0</v>
      </c>
      <c r="PG119" s="16">
        <f>IF(ISNA(VLOOKUP($A119,'Données projet'!$A$538:$I$558,6,0)),0%,VLOOKUP($A119,'Données projet'!$A$538:$I$558,6,0)*VLOOKUP('Données projet'!$B$28,Paramètres!$A$1:$I$89,7,0))</f>
        <v>0</v>
      </c>
      <c r="PH119" s="16">
        <f>IF(ISNA(VLOOKUP($A119,'Données projet'!$A$538:$I$558,7,0)),0%,VLOOKUP($A119,'Données projet'!$A$538:$I$558,7,0))</f>
        <v>0</v>
      </c>
      <c r="PI119" s="21" t="e">
        <f>EXP(-LN(2)/35)*PI118+(1-EXP(-LN(2)/35))/(LN(2)/35)*PE119*PF119*VLOOKUP('Données projet'!$B$28,Paramètres!$A$1:$I$89,3,0)*0.475*44/12</f>
        <v>#N/A</v>
      </c>
      <c r="PJ119" s="21" t="e">
        <f>EXP(-LN(2)/25)*PJ118+(1-EXP(-LN(2)/25))/(LN(2)/25)*Calculateur!PE119*Calculateur!PG119*VLOOKUP('Données projet'!$B$28,Paramètres!$A$1:$I$89,3,0)*0.475*44/12</f>
        <v>#N/A</v>
      </c>
      <c r="PK119" s="21" t="e">
        <f>EXP(-LN(2)/2)*PK118+(1-EXP(-LN(2)/2))/(LN(2)/2)*PE119*PH119*VLOOKUP('Données projet'!$B$28,Paramètres!$A$1:$I$89,3,0)*0.475*44/12</f>
        <v>#N/A</v>
      </c>
      <c r="PL119" s="22" t="e">
        <f t="shared" si="179"/>
        <v>#N/A</v>
      </c>
    </row>
    <row r="120" spans="1:428" x14ac:dyDescent="0.35">
      <c r="A120" s="10">
        <f t="shared" si="180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181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121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projet'!$A$45:$I$65,2,0)</f>
        <v>#N/A</v>
      </c>
      <c r="L120" s="12" t="e">
        <f>VLOOKUP(A120,'Données projet'!$A$45:$I$65,9,0)</f>
        <v>#N/A</v>
      </c>
      <c r="M120" s="12">
        <f t="array" ref="M120">INDEX(L:L,MIN(IF(ISNUMBER(L120:L316),ROW(L120:L316),"")))</f>
        <v>0</v>
      </c>
      <c r="N120" s="13">
        <f>IF('Données projet'!$A$46&gt;35,N119+M120-V119,IF(A120&lt;'Données projet'!$A$46,$K$205^A120,IF(A120='Données projet'!$A$46,'Données projet'!$B$46,N119+M120-V119)))</f>
        <v>-1.1368683772161603E-13</v>
      </c>
      <c r="O120" s="13">
        <f>N120*VLOOKUP('Données projet'!$B$9,Paramètres!$A$1:$I$89,3,0)*VLOOKUP('Données projet'!$B$9,Paramètres!$A$1:$I$89,5,0)</f>
        <v>-6.3550942286383367E-14</v>
      </c>
      <c r="P120" s="13" t="e">
        <f t="shared" si="182"/>
        <v>#NUM!</v>
      </c>
      <c r="Q120" s="20" t="e">
        <f t="shared" si="222"/>
        <v>#NUM!</v>
      </c>
      <c r="R120" s="59" t="e">
        <f t="shared" si="120"/>
        <v>#NUM!</v>
      </c>
      <c r="S120" s="59">
        <f ca="1">AVERAGE(OFFSET($R$3,0,0,'Données projet'!$E$9+1,1))-AVERAGE(OFFSET($H$3,0,0,'Données projet'!$E$9+1,1))</f>
        <v>274.57619581652199</v>
      </c>
      <c r="T120" s="59">
        <f t="shared" si="183"/>
        <v>366.15117322598775</v>
      </c>
      <c r="U120" s="15">
        <f>IF(ISNA(VLOOKUP(A120,'Données projet'!$A$45:$I$65,3,0)),0,VLOOKUP(A120,'Données projet'!$A$45:$I$65,3,0))</f>
        <v>0</v>
      </c>
      <c r="V120" s="15">
        <f>IF(ISNA(VLOOKUP(A120,'Données projet'!$A$45:$I$65,4,0)),0,VLOOKUP(A120,'Données projet'!$A$45:$I$65,4,0))</f>
        <v>0</v>
      </c>
      <c r="W120" s="16">
        <f>IF(ISNA(VLOOKUP(A120,'Données projet'!$A$45:$I$65,5,0)),0%,VLOOKUP(A120,'Données projet'!$A$45:$I$65,5,0)*VLOOKUP('Données projet'!$B$9,Paramètres!$A$1:$I$89,7,0))</f>
        <v>0</v>
      </c>
      <c r="X120" s="16">
        <f>IF(ISNA(VLOOKUP(A120,'Données projet'!$A$45:$I$65,6,0)),0%,VLOOKUP(A120,'Données projet'!$A$45:$I$65,6,0)*VLOOKUP('Données projet'!$B$9,Paramètres!$A$1:$I$89,7,0))</f>
        <v>0</v>
      </c>
      <c r="Y120" s="16">
        <f>IF(ISNA(VLOOKUP(A120,'Données projet'!$A$45:$I$65,7,0)),0%,VLOOKUP(A120,'Données projet'!$A$45:$I$65,7,0))</f>
        <v>0</v>
      </c>
      <c r="Z120" s="21">
        <f>EXP(-LN(2)/35)*Z119+(1-EXP(-LN(2)/35))/(LN(2)/35)*V120*W120*VLOOKUP('Données projet'!$B$9,Paramètres!$A$1:$I$89,3,0)*0.475*44/12</f>
        <v>66.392062143174925</v>
      </c>
      <c r="AA120" s="21">
        <f>EXP(-LN(2)/25)*AA119+(1-EXP(-LN(2)/25))/(LN(2)/25)*Calculateur!V120*Calculateur!X120*VLOOKUP('Données projet'!$B$9,Paramètres!$A$1:$I$89,3,0)*0.475*44/12</f>
        <v>10.32585445234189</v>
      </c>
      <c r="AB120" s="21">
        <f>EXP(-LN(2)/2)*AB119+(1-EXP(-LN(2)/2))/(LN(2)/2)*V120*Y120*VLOOKUP('Données projet'!$B$9,Paramètres!$A$1:$I$89,3,0)*0.475*44/12</f>
        <v>1.5907596798666042E-8</v>
      </c>
      <c r="AC120" s="22">
        <f t="shared" si="122"/>
        <v>76.717916611424414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projet'!$A$71:$I$91,2,0)</f>
        <v>#N/A</v>
      </c>
      <c r="AG120" s="12" t="e">
        <f>VLOOKUP(A120,'Données projet'!$A$71:$I$91,9,0)</f>
        <v>#N/A</v>
      </c>
      <c r="AH120" s="12">
        <f t="array" ref="AH120">INDEX(AG:AG,MIN(IF(ISNUMBER(AG120:AG316),ROW(AG120:AG316),"")))</f>
        <v>6.8461538461538511</v>
      </c>
      <c r="AI120" s="13">
        <f>IF('Données projet'!$A$72&gt;35,AI119+AH120-AQ119,IF(A120&lt;'Données projet'!$A$72,$AF$205^A120,IF(A120='Données projet'!$A$72,'Données projet'!$B$72,AI119+AH120-AQ119)))</f>
        <v>343.64743589743637</v>
      </c>
      <c r="AJ120" s="13">
        <f>AI120*VLOOKUP('Données projet'!$B$10,Paramètres!$A$1:$I$89,3,0)*VLOOKUP('Données projet'!$B$10,Paramètres!$A$1:$I$89,5,0)</f>
        <v>310.93220000000042</v>
      </c>
      <c r="AK120" s="13">
        <f t="shared" si="184"/>
        <v>73.463476600811546</v>
      </c>
      <c r="AL120" s="20">
        <f t="shared" si="123"/>
        <v>669.48913674641415</v>
      </c>
      <c r="AM120" s="59">
        <f t="shared" si="124"/>
        <v>962.82247007974752</v>
      </c>
      <c r="AN120" s="59">
        <f ca="1">AVERAGE(OFFSET($AM$3,0,0,'Données projet'!$E$10+1,1))-AVERAGE(OFFSET($H$3,0,0,'Données projet'!$E$10+1,1))</f>
        <v>270.87836509222456</v>
      </c>
      <c r="AO120" s="59">
        <f t="shared" si="185"/>
        <v>205.24998237949734</v>
      </c>
      <c r="AP120" s="15">
        <f>IF(ISNA(VLOOKUP(A120,'Données projet'!$A$71:$I$91,3,0)),0,VLOOKUP(A120,'Données projet'!$A$71:$I$91,3,0))</f>
        <v>0</v>
      </c>
      <c r="AQ120" s="15">
        <f>IF(ISNA(VLOOKUP(A120,'Données projet'!$A$71:$I$91,4,0)),0,VLOOKUP(A120,'Données projet'!$A$71:$I$91,4,0))</f>
        <v>0</v>
      </c>
      <c r="AR120" s="16">
        <f>IF(ISNA(VLOOKUP(A120,'Données projet'!$A$71:$I$91,5,0)),0%,VLOOKUP(A120,'Données projet'!$A$71:$I$91,5,0)*VLOOKUP('Données projet'!$B$10,Paramètres!$A$1:$I$89,7,0))</f>
        <v>0</v>
      </c>
      <c r="AS120" s="16">
        <f>IF(ISNA(VLOOKUP(A120,'Données projet'!$A$71:$I$91,6,0)),0%,VLOOKUP(A120,'Données projet'!$A$71:$I$91,6,0)*VLOOKUP('Données projet'!$B$10,Paramètres!$A$1:$I$89,7,0))</f>
        <v>0</v>
      </c>
      <c r="AT120" s="16">
        <f>IF(ISNA(VLOOKUP(A120,'Données projet'!$A$71:$I$91,7,0)),0%,VLOOKUP(A120,'Données projet'!$A$71:$I$91,7,0))</f>
        <v>0</v>
      </c>
      <c r="AU120" s="21">
        <f>EXP(-LN(2)/35)*AU119+(1-EXP(-LN(2)/35))/(LN(2)/35)*AQ120*AR120*VLOOKUP('Données projet'!$B$10,Paramètres!$A$1:$I$89,3,0)*0.475*44/12</f>
        <v>51.352267427928609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125"/>
        <v>51.352267427928609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projet'!$A$97:$I$117,2,0)</f>
        <v>#N/A</v>
      </c>
      <c r="BB120" s="12" t="e">
        <f>VLOOKUP(A120,'Données projet'!$A$97:$I$117,9,0)</f>
        <v>#N/A</v>
      </c>
      <c r="BC120" s="12">
        <f t="array" ref="BC120">INDEX(BB:BB,MIN(IF(ISNUMBER(BB120:BB316),ROW(BB120:BB316),"")))</f>
        <v>0</v>
      </c>
      <c r="BD120" s="12">
        <f>IF('Données projet'!$A$98&gt;35,BD119+BC120-BL119,IF(A120&lt;'Données projet'!$A$98,$BA$205^A120,IF(A120='Données projet'!$A$98,'Données projet'!$B$98,BD119+BC120-BL119)))</f>
        <v>-1.1368683772161603E-13</v>
      </c>
      <c r="BE120" s="13">
        <f>BD120*VLOOKUP('Données projet'!$B$11,Paramètres!$A$1:$I$89,3,0)*VLOOKUP('Données projet'!$B$11,Paramètres!$A$1:$I$89,5,0)</f>
        <v>-5.0249582272954292E-14</v>
      </c>
      <c r="BF120" s="13" t="e">
        <f t="shared" si="186"/>
        <v>#NUM!</v>
      </c>
      <c r="BG120" s="20" t="e">
        <f t="shared" si="126"/>
        <v>#NUM!</v>
      </c>
      <c r="BH120" s="59" t="e">
        <f t="shared" si="127"/>
        <v>#NUM!</v>
      </c>
      <c r="BI120" s="59">
        <f ca="1">AVERAGE(OFFSET($BH$3,0,0,'Données projet'!$E$11+1,1))-AVERAGE(OFFSET($H$3,0,0,'Données projet'!$E$11+1,1))</f>
        <v>211.31057120485542</v>
      </c>
      <c r="BJ120" s="59">
        <f t="shared" si="187"/>
        <v>283.33292006714777</v>
      </c>
      <c r="BK120" s="15">
        <f>IF(ISNA(VLOOKUP(A120,'Données projet'!$A$97:$I$117,3,0)),0,VLOOKUP(A120,'Données projet'!$A$97:$I$117,3,0))</f>
        <v>0</v>
      </c>
      <c r="BL120" s="15">
        <f>IF(ISNA(VLOOKUP(A120,'Données projet'!$A$97:$I$117,4,0)),0,VLOOKUP(A120,'Données projet'!$A$97:$I$117,4,0))</f>
        <v>0</v>
      </c>
      <c r="BM120" s="16">
        <f>IF(ISNA(VLOOKUP(A120,'Données projet'!$A$97:$I$117,5,0)),0%,VLOOKUP(A120,'Données projet'!$A$97:$I$117,5,0)*VLOOKUP('Données projet'!$B$11,Paramètres!$A$1:$I$89,7,0))</f>
        <v>0</v>
      </c>
      <c r="BN120" s="16">
        <f>IF(ISNA(VLOOKUP(A120,'Données projet'!$A$97:$I$117,6,0)),0%,VLOOKUP(A120,'Données projet'!$A$97:$I$117,6,0)*VLOOKUP('Données projet'!$B$11,Paramètres!$A$1:$I$89,7,0))</f>
        <v>0</v>
      </c>
      <c r="BO120" s="16">
        <f>IF(ISNA(VLOOKUP(A120,'Données projet'!$A$97:$I$117,7,0)),0%,VLOOKUP(A120,'Données projet'!$A$97:$I$117,7,0))</f>
        <v>0</v>
      </c>
      <c r="BP120" s="21">
        <f>EXP(-LN(2)/35)*BP119+(1-EXP(-LN(2)/35))/(LN(2)/35)*BL120*BM120*VLOOKUP('Données projet'!$B$11,Paramètres!$A$1:$I$89,3,0)*0.475*44/12</f>
        <v>52.496049136463917</v>
      </c>
      <c r="BQ120" s="21">
        <f>EXP(-LN(2)/25)*BQ119+(1-EXP(-LN(2)/25))/(LN(2)/25)*Calculateur!BL120*Calculateur!BN120*VLOOKUP('Données projet'!$B$11,Paramètres!$A$1:$I$89,3,0)*0.475*44/12</f>
        <v>8.1646291018517232</v>
      </c>
      <c r="BR120" s="21">
        <f>EXP(-LN(2)/2)*BR119+(1-EXP(-LN(2)/2))/(LN(2)/2)*BL120*BO120*VLOOKUP('Données projet'!$B$11,Paramètres!$A$1:$I$89,3,0)*0.475*44/12</f>
        <v>1.2578099794294077E-8</v>
      </c>
      <c r="BS120" s="22">
        <f t="shared" si="128"/>
        <v>60.660678250893739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projet'!$A$123:$I$143,2,0)</f>
        <v>#N/A</v>
      </c>
      <c r="BW120" s="12" t="e">
        <f>VLOOKUP(A120,'Données projet'!$A$123:$I$143,9,0)</f>
        <v>#N/A</v>
      </c>
      <c r="BX120" s="12">
        <f t="array" ref="BX120">INDEX(BW:BW,MIN(IF(ISNUMBER(BW120:BW316),ROW(BW120:BW316),"")))</f>
        <v>0</v>
      </c>
      <c r="BY120" s="12">
        <f>IF('Données projet'!$A$124&gt;35,BY119+BX120-CG119,IF(A120&lt;'Données projet'!$A$124,$BV$205^A120,IF(A120='Données projet'!$A$124,'Données projet'!$B$124,BY119+BX120-CG119)))</f>
        <v>0</v>
      </c>
      <c r="BZ120" s="13">
        <f>BY120*VLOOKUP('Données projet'!$B$12,Paramètres!$A$1:$I$89,3,0)*VLOOKUP('Données projet'!$B$12,Paramètres!$A$1:$I$89,5,0)</f>
        <v>0</v>
      </c>
      <c r="CA120" s="13" t="e">
        <f t="shared" si="188"/>
        <v>#NUM!</v>
      </c>
      <c r="CB120" s="20" t="e">
        <f t="shared" si="129"/>
        <v>#NUM!</v>
      </c>
      <c r="CC120" s="59" t="e">
        <f t="shared" si="130"/>
        <v>#NUM!</v>
      </c>
      <c r="CD120" s="59">
        <f ca="1">AVERAGE(OFFSET($CC$3,0,0,'Données projet'!$E$12+1,1))-AVERAGE(OFFSET($H$3,0,0,'Données projet'!$E$12+1,1))</f>
        <v>322.93502595881938</v>
      </c>
      <c r="CE120" s="59">
        <f t="shared" si="189"/>
        <v>302.67072119588164</v>
      </c>
      <c r="CF120" s="15">
        <f>IF(ISNA(VLOOKUP(A120,'Données projet'!$A$123:$I$143,3,0)),0,VLOOKUP(A120,'Données projet'!$A$123:$I$143,3,0))</f>
        <v>0</v>
      </c>
      <c r="CG120" s="15">
        <f>IF(ISNA(VLOOKUP(A120,'Données projet'!$A$123:$I$143,4,0)),0,VLOOKUP(A120,'Données projet'!$A$123:$I$143,4,0))</f>
        <v>0</v>
      </c>
      <c r="CH120" s="16">
        <f>IF(ISNA(VLOOKUP(A120,'Données projet'!$A$123:$I$143,5,0)),0%,VLOOKUP(A120,'Données projet'!$A$123:$I$143,5,0)*VLOOKUP('Données projet'!$B$12,Paramètres!$A$1:$I$89,7,0))</f>
        <v>0</v>
      </c>
      <c r="CI120" s="16">
        <f>IF(ISNA(VLOOKUP(A120,'Données projet'!$A$123:$I$143,6,0)),0%,VLOOKUP(A120,'Données projet'!$A$123:$I$143,6,0)*VLOOKUP('Données projet'!$B$12,Paramètres!$A$1:$I$89,7,0))</f>
        <v>0</v>
      </c>
      <c r="CJ120" s="16">
        <f>IF(ISNA(VLOOKUP(A120,'Données projet'!$A$123:$I$143,7,0)),0%,VLOOKUP(A120,'Données projet'!$A$123:$I$143,7,0))</f>
        <v>0</v>
      </c>
      <c r="CK120" s="21">
        <f>EXP(-LN(2)/35)*CK119+(1-EXP(-LN(2)/35))/(LN(2)/35)*CG120*CH120*VLOOKUP('Données projet'!$B$12,Paramètres!$A$1:$I$89,3,0)*0.475*44/12</f>
        <v>83.638891115860872</v>
      </c>
      <c r="CL120" s="21">
        <f>EXP(-LN(2)/25)*CL119+(1-EXP(-LN(2)/25))/(LN(2)/25)*Calculateur!CG120*Calculateur!CI120*VLOOKUP('Données projet'!$B$12,Paramètres!$A$1:$I$89,3,0)*0.475*44/12</f>
        <v>26.131753044698751</v>
      </c>
      <c r="CM120" s="21">
        <f>EXP(-LN(2)/2)*CM119+(1-EXP(-LN(2)/2))/(LN(2)/2)*CG120*CJ120*VLOOKUP('Données projet'!$B$12,Paramètres!$A$1:$I$89,3,0)*0.475*44/12</f>
        <v>0</v>
      </c>
      <c r="CN120" s="22">
        <f t="shared" si="131"/>
        <v>109.77064416055963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projet'!$A$149:$I$169,2,0)</f>
        <v>#N/A</v>
      </c>
      <c r="CR120" s="12" t="e">
        <f>VLOOKUP(A120,'Données projet'!$A$149:$I$169,9,0)</f>
        <v>#N/A</v>
      </c>
      <c r="CS120" s="12">
        <f t="array" ref="CS120">INDEX(CR:CR,MIN(IF(ISNUMBER(CR120:CR316),ROW(CR120:CR316),"")))</f>
        <v>5.3066239316239274</v>
      </c>
      <c r="CT120" s="12">
        <f>IF('Données projet'!$A$150&gt;35,CT119+CS120-DB119,IF(A120&lt;'Données projet'!$A$150,$CQ$205^A120,IF(A120='Données projet'!$A$150,'Données projet'!$B$150,CT119+CS120-DB119)))</f>
        <v>235.84188034188</v>
      </c>
      <c r="CU120" s="17">
        <f>CT120*VLOOKUP('Données projet'!$B$13,Paramètres!$A$1:$I$89,3,0)*VLOOKUP('Données projet'!$B$13,Paramètres!$A$1:$I$89,5,0)</f>
        <v>239.14366666666635</v>
      </c>
      <c r="CV120" s="13">
        <f t="shared" si="190"/>
        <v>58.255247882792112</v>
      </c>
      <c r="CW120" s="20">
        <f t="shared" si="132"/>
        <v>517.96977617364007</v>
      </c>
      <c r="CX120" s="59">
        <f t="shared" si="133"/>
        <v>811.30310950697344</v>
      </c>
      <c r="CY120" s="59">
        <f ca="1">AVERAGE(OFFSET($CX$3,0,0,'Données projet'!$E$13+1,1))-AVERAGE(OFFSET($H$3,0,0,'Données projet'!$E$13+1,1))</f>
        <v>250.31277422753283</v>
      </c>
      <c r="CZ120" s="59">
        <f t="shared" si="191"/>
        <v>159.20429420478047</v>
      </c>
      <c r="DA120" s="15">
        <f>IF(ISNA(VLOOKUP(A120,'Données projet'!$A$149:$I$169,3,0)),0,VLOOKUP(A120,'Données projet'!$A$149:$I$169,3,0))</f>
        <v>0</v>
      </c>
      <c r="DB120" s="15">
        <f>IF(ISNA(VLOOKUP(A120,'Données projet'!$A$149:$I$169,4,0)),0,VLOOKUP(A120,'Données projet'!$A$149:$I$169,4,0))</f>
        <v>0</v>
      </c>
      <c r="DC120" s="16">
        <f>IF(ISNA(VLOOKUP(A120,'Données projet'!$A$149:$I$169,5,0)),0%,VLOOKUP(A120,'Données projet'!$A$149:$I$169,5,0)*VLOOKUP('Données projet'!$B$13,Paramètres!$A$1:$I$89,7,0))</f>
        <v>0</v>
      </c>
      <c r="DD120" s="16">
        <f>IF(ISNA(VLOOKUP(A120,'Données projet'!$A$149:$I$169,6,0)),0%,VLOOKUP(A120,'Données projet'!$A$149:$I$169,6,0)*VLOOKUP('Données projet'!$B$13,Paramètres!$A$1:$I$89,7,0))</f>
        <v>0</v>
      </c>
      <c r="DE120" s="16">
        <f>IF(ISNA(VLOOKUP(A120,'Données projet'!$A$149:$I$169,7,0)),0%,VLOOKUP(A120,'Données projet'!$A$149:$I$169,7,0))</f>
        <v>0</v>
      </c>
      <c r="DF120" s="21">
        <f>EXP(-LN(2)/35)*DF119+(1-EXP(-LN(2)/35))/(LN(2)/35)*DB120*DC120*VLOOKUP('Données projet'!$B$13,Paramètres!$A$1:$I$89,3,0)*0.475*44/12</f>
        <v>36.963137838899769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134"/>
        <v>36.963137838899769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projet'!$A$175:$I$195,2,0)</f>
        <v>#N/A</v>
      </c>
      <c r="DM120" s="12" t="e">
        <f>VLOOKUP(A120,'Données projet'!$A$175:$I$195,9,0)</f>
        <v>#N/A</v>
      </c>
      <c r="DN120" s="12">
        <f t="array" ref="DN120">INDEX(DM:DM,MIN(IF(ISNUMBER(DM120:DM316),ROW(DM120:DM316),"")))</f>
        <v>0</v>
      </c>
      <c r="DO120" s="12">
        <f>IF('Données projet'!$A$176&gt;35,DO119+DN120-DW119,IF(A120&lt;'Données projet'!$A$176,$DL$205^A120,IF(A120='Données projet'!$A$176,'Données projet'!$B$176,DO119+DN120-DW119)))</f>
        <v>-2.8421709430404007E-13</v>
      </c>
      <c r="DP120" s="17">
        <f>DO120*VLOOKUP('Données projet'!$B$14,Paramètres!$A$1:$I$89,3,0)*VLOOKUP('Données projet'!$B$14,Paramètres!$A$1:$I$89,5,0)</f>
        <v>-2.0838797354372215E-13</v>
      </c>
      <c r="DQ120" s="13" t="e">
        <f t="shared" si="192"/>
        <v>#NUM!</v>
      </c>
      <c r="DR120" s="20" t="e">
        <f t="shared" si="135"/>
        <v>#NUM!</v>
      </c>
      <c r="DS120" s="59" t="e">
        <f t="shared" si="136"/>
        <v>#NUM!</v>
      </c>
      <c r="DT120" s="59">
        <f ca="1">AVERAGE(OFFSET($DS$3,0,0,'Données projet'!$E$14+1,1))-AVERAGE(OFFSET($H$3,0,0,'Données projet'!$E$14+1,1))</f>
        <v>296.91321813251051</v>
      </c>
      <c r="DU120" s="59">
        <f t="shared" si="193"/>
        <v>291.0718079639509</v>
      </c>
      <c r="DV120" s="15">
        <f>IF(ISNA(VLOOKUP(A120,'Données projet'!$A$175:$I$195,3,0)),0,VLOOKUP(A120,'Données projet'!$A$175:$I$195,3,0))</f>
        <v>0</v>
      </c>
      <c r="DW120" s="15">
        <f>IF(ISNA(VLOOKUP(A120,'Données projet'!$A$175:$I$195,4,0)),0,VLOOKUP(A120,'Données projet'!$A$175:$I$195,4,0))</f>
        <v>0</v>
      </c>
      <c r="DX120" s="16">
        <f>IF(ISNA(VLOOKUP(A120,'Données projet'!$A$175:$I$195,5,0)),0%,VLOOKUP(A120,'Données projet'!$A$175:$I$195,5,0)*VLOOKUP('Données projet'!$B$14,Paramètres!$A$1:$I$89,7,0))</f>
        <v>0</v>
      </c>
      <c r="DY120" s="16">
        <f>IF(ISNA(VLOOKUP(A120,'Données projet'!$A$175:$I$195,6,0)),0%,VLOOKUP(A120,'Données projet'!$A$175:$I$195,6,0)*VLOOKUP('Données projet'!$B$14,Paramètres!$A$1:$I$89,7,0))</f>
        <v>0</v>
      </c>
      <c r="DZ120" s="16">
        <f>IF(ISNA(VLOOKUP(A120,'Données projet'!$A$175:$I$195,7,0)),0%,VLOOKUP(A120,'Données projet'!$A$175:$I$195,7,0))</f>
        <v>0</v>
      </c>
      <c r="EA120" s="21">
        <f>EXP(-LN(2)/35)*EA119+(1-EXP(-LN(2)/35))/(LN(2)/35)*DW120*DX120*VLOOKUP('Données projet'!$B$14,Paramètres!$A$1:$I$89,3,0)*0.475*44/12</f>
        <v>83.361122766455395</v>
      </c>
      <c r="EB120" s="21">
        <f>EXP(-LN(2)/25)*EB119+(1-EXP(-LN(2)/25))/(LN(2)/25)*Calculateur!DW120*Calculateur!DY120*VLOOKUP('Données projet'!$B$14,Paramètres!$A$1:$I$89,3,0)*0.475*44/12</f>
        <v>1.9196622787419571</v>
      </c>
      <c r="EC120" s="21">
        <f>EXP(-LN(2)/2)*EC119+(1-EXP(-LN(2)/2))/(LN(2)/2)*DW120*DZ120*VLOOKUP('Données projet'!$B$14,Paramètres!$A$1:$I$89,3,0)*0.475*44/12</f>
        <v>0</v>
      </c>
      <c r="ED120" s="22">
        <f t="shared" si="137"/>
        <v>85.280785045197348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projet'!$A$201:$I$221,2,0)</f>
        <v>#N/A</v>
      </c>
      <c r="EH120" s="12" t="e">
        <f>VLOOKUP(A120,'Données projet'!$A$201:$I$221,9,0)</f>
        <v>#N/A</v>
      </c>
      <c r="EI120" s="12">
        <f t="array" ref="EI120">INDEX(EH:EH,MIN(IF(ISNUMBER(EH120:EH316),ROW(EH120:EH316),"")))</f>
        <v>0</v>
      </c>
      <c r="EJ120" s="12">
        <f>IF('Données projet'!$A$202&gt;35,EJ119+EI120-ER119,IF(A120&lt;'Données projet'!$A$202,$EG$205^A120,IF(A120='Données projet'!$A$202,'Données projet'!$B$202,EJ119+EI120-ER119)))</f>
        <v>5.1159076974727213E-13</v>
      </c>
      <c r="EK120" s="17">
        <f>EJ120*VLOOKUP('Données projet'!$B$15,Paramètres!$A$1:$I$89,3,0)*VLOOKUP('Données projet'!$B$15,Paramètres!$A$1:$I$89,5,0)</f>
        <v>2.3942448024172334E-13</v>
      </c>
      <c r="EL120" s="13">
        <f t="shared" si="194"/>
        <v>3.2492669905861755E-12</v>
      </c>
      <c r="EM120" s="20">
        <f t="shared" si="138"/>
        <v>6.0761376450252565E-12</v>
      </c>
      <c r="EN120" s="59">
        <f t="shared" si="139"/>
        <v>293.3333333333394</v>
      </c>
      <c r="EO120" s="59">
        <f ca="1">AVERAGE(OFFSET($EN$3,0,0,'Données projet'!$E$15+1,1))-AVERAGE(OFFSET($H$3,0,0,'Données projet'!$E$15+1,1))</f>
        <v>147.64256291235483</v>
      </c>
      <c r="EP120" s="59">
        <f t="shared" si="195"/>
        <v>70.859031694091868</v>
      </c>
      <c r="EQ120" s="15">
        <f>IF(ISNA(VLOOKUP(A120,'Données projet'!$A$201:$I$221,3,0)),0,VLOOKUP(A120,'Données projet'!$A$201:$I$221,3,0))</f>
        <v>0</v>
      </c>
      <c r="ER120" s="15">
        <f>IF(ISNA(VLOOKUP(A120,'Données projet'!$A$201:$I$221,4,0)),0,VLOOKUP(A120,'Données projet'!$A$201:$I$221,4,0))</f>
        <v>0</v>
      </c>
      <c r="ES120" s="16">
        <f>IF(ISNA(VLOOKUP(A120,'Données projet'!$A$201:$I$221,5,0)),0%,VLOOKUP(A120,'Données projet'!$A$201:$I$221,5,0)*VLOOKUP('Données projet'!$B$15,Paramètres!$A$1:$I$89,7,0))</f>
        <v>0</v>
      </c>
      <c r="ET120" s="16">
        <f>IF(ISNA(VLOOKUP(A120,'Données projet'!$A$201:$I$221,6,0)),0%,VLOOKUP(A120,'Données projet'!$A$201:$I$221,6,0)*VLOOKUP('Données projet'!$B$15,Paramètres!$A$1:$I$89,7,0))</f>
        <v>0</v>
      </c>
      <c r="EU120" s="16">
        <f>IF(ISNA(VLOOKUP(A120,'Données projet'!$A$201:$I$221,7,0)),0%,VLOOKUP(A120,'Données projet'!$A$201:$I$221,7,0))</f>
        <v>0</v>
      </c>
      <c r="EV120" s="21">
        <f>EXP(-LN(2)/35)*EV119+(1-EXP(-LN(2)/35))/(LN(2)/35)*ER120*ES120*VLOOKUP('Données projet'!$B$15,Paramètres!$A$1:$I$89,3,0)*0.475*44/12</f>
        <v>114.12269107527074</v>
      </c>
      <c r="EW120" s="21">
        <f>EXP(-LN(2)/25)*EW119+(1-EXP(-LN(2)/25))/(LN(2)/25)*Calculateur!ER120*Calculateur!ET120*VLOOKUP('Données projet'!$B$15,Paramètres!$A$1:$I$89,3,0)*0.475*44/12</f>
        <v>26.633380090486618</v>
      </c>
      <c r="EX120" s="21">
        <f>EXP(-LN(2)/2)*EX119+(1-EXP(-LN(2)/2))/(LN(2)/2)*ER120*EU120*VLOOKUP('Données projet'!$B$15,Paramètres!$A$1:$I$89,3,0)*0.475*44/12</f>
        <v>1.1467930827945849</v>
      </c>
      <c r="EY120" s="22">
        <f t="shared" si="140"/>
        <v>141.90286424855194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projet'!$A$227:$I$247,2,0)</f>
        <v>#N/A</v>
      </c>
      <c r="FC120" s="12" t="e">
        <f>VLOOKUP(A120,'Données projet'!$A$227:$I$247,9,0)</f>
        <v>#N/A</v>
      </c>
      <c r="FD120" s="12">
        <f t="array" ref="FD120">INDEX(FC:FC,MIN(IF(ISNUMBER(FC120:FC316),ROW(FC120:FC316),"")))</f>
        <v>0</v>
      </c>
      <c r="FE120" s="12">
        <f>IF('Données projet'!$A$228&gt;35,FE119+FD120-FM119,IF(A120&lt;'Données projet'!$A$228,$FB$205^A120,IF(A120='Données projet'!$A$228,'Données projet'!$B$228,FE119+FD120-FM119)))</f>
        <v>8.5265128291212022E-14</v>
      </c>
      <c r="FF120" s="17">
        <f>FE120*VLOOKUP('Données projet'!$B$16,Paramètres!$A$1:$I$89,3,0)*VLOOKUP('Données projet'!$B$16,Paramètres!$A$1:$I$89,5,0)</f>
        <v>8.9119112089974823E-14</v>
      </c>
      <c r="FG120" s="13">
        <f t="shared" si="196"/>
        <v>1.3568952080113142E-12</v>
      </c>
      <c r="FH120" s="20">
        <f t="shared" si="141"/>
        <v>2.5184749408430782E-12</v>
      </c>
      <c r="FI120" s="59">
        <f t="shared" si="142"/>
        <v>293.33333333333582</v>
      </c>
      <c r="FJ120" s="59">
        <f ca="1">AVERAGE(OFFSET($FI$3,0,0,'Données projet'!$E$16+1,1))-AVERAGE(OFFSET($H$3,0,0,'Données projet'!$E$16+1,1))</f>
        <v>259.03906550253788</v>
      </c>
      <c r="FK120" s="59">
        <f t="shared" si="197"/>
        <v>235.54542903570831</v>
      </c>
      <c r="FL120" s="15">
        <f>IF(ISNA(VLOOKUP(A120,'Données projet'!$A$227:$I$247,3,0)),0,VLOOKUP(A120,'Données projet'!$A$227:$I$247,3,0))</f>
        <v>0</v>
      </c>
      <c r="FM120" s="15">
        <f>IF(ISNA(VLOOKUP(A120,'Données projet'!$A$227:$I$247,4,0)),0,VLOOKUP(A120,'Données projet'!$A$227:$I$247,4,0))</f>
        <v>0</v>
      </c>
      <c r="FN120" s="16">
        <f>IF(ISNA(VLOOKUP(A120,'Données projet'!$A$227:$I$247,5,0)),0%,VLOOKUP(A120,'Données projet'!$A$227:$I$247,5,0)*VLOOKUP('Données projet'!$B$16,Paramètres!$A$1:$I$89,7,0))</f>
        <v>0</v>
      </c>
      <c r="FO120" s="16">
        <f>IF(ISNA(VLOOKUP(A120,'Données projet'!$A$227:$I$247,6,0)),0%,VLOOKUP(A120,'Données projet'!$A$227:$I$247,6,0)*VLOOKUP('Données projet'!$B$16,Paramètres!$A$1:$I$89,7,0))</f>
        <v>0</v>
      </c>
      <c r="FP120" s="16">
        <f>IF(ISNA(VLOOKUP(A120,'Données projet'!$A$227:$I$247,7,0)),0%,VLOOKUP(A120,'Données projet'!$A$227:$I$247,7,0))</f>
        <v>0</v>
      </c>
      <c r="FQ120" s="21">
        <f>EXP(-LN(2)/35)*FQ119+(1-EXP(-LN(2)/35))/(LN(2)/35)*FM120*FN120*VLOOKUP('Données projet'!$B$16,Paramètres!$A$1:$I$89,3,0)*0.475*44/12</f>
        <v>50.370654339491608</v>
      </c>
      <c r="FR120" s="21">
        <f>EXP(-LN(2)/25)*FR119+(1-EXP(-LN(2)/25))/(LN(2)/25)*Calculateur!FM120*Calculateur!FO120*VLOOKUP('Données projet'!$B$16,Paramètres!$A$1:$I$89,3,0)*0.475*44/12</f>
        <v>36.638866023145013</v>
      </c>
      <c r="FS120" s="21">
        <f>EXP(-LN(2)/2)*FS119+(1-EXP(-LN(2)/2))/(LN(2)/2)*FM120*FP120*VLOOKUP('Données projet'!$B$16,Paramètres!$A$1:$I$89,3,0)*0.475*44/12</f>
        <v>0</v>
      </c>
      <c r="FT120" s="22">
        <f t="shared" si="143"/>
        <v>87.009520362636621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projet'!$A$253:$I$273,2,0)</f>
        <v>#N/A</v>
      </c>
      <c r="FX120" s="12" t="e">
        <f>VLOOKUP(A120,'Données projet'!$A$253:$I$273,9,0)</f>
        <v>#N/A</v>
      </c>
      <c r="FY120" s="12">
        <f t="array" ref="FY120">INDEX(FX:FX,MIN(IF(ISNUMBER(FX120:FX316),ROW(FX120:FX316),"")))</f>
        <v>0</v>
      </c>
      <c r="FZ120" s="12">
        <f>IF('Données projet'!$A$254&gt;35,FZ119+FY120-GH119,IF(A120&lt;'Données projet'!$A$254,$FW$205^A120,IF(A120='Données projet'!$A$254,'Données projet'!$B$254,FZ119+FY120-GH119)))</f>
        <v>-1.7053025658242404E-13</v>
      </c>
      <c r="GA120" s="17">
        <f>FZ120*VLOOKUP('Données projet'!$B$17,Paramètres!$A$1:$I$89,3,0)*VLOOKUP('Données projet'!$B$17,Paramètres!$A$1:$I$89,5,0)</f>
        <v>-1.4897523215040567E-13</v>
      </c>
      <c r="GB120" s="13" t="e">
        <f t="shared" si="198"/>
        <v>#NUM!</v>
      </c>
      <c r="GC120" s="20" t="e">
        <f t="shared" si="144"/>
        <v>#NUM!</v>
      </c>
      <c r="GD120" s="59" t="e">
        <f t="shared" si="145"/>
        <v>#NUM!</v>
      </c>
      <c r="GE120" s="59">
        <f ca="1">AVERAGE(OFFSET($GD$3,0,0,'Données projet'!$E$17+1,1))-AVERAGE(OFFSET($H$3,0,0,'Données projet'!$E$17+1,1))</f>
        <v>245.1983232777614</v>
      </c>
      <c r="GF120" s="59">
        <f t="shared" si="199"/>
        <v>242.34010522344573</v>
      </c>
      <c r="GG120" s="15">
        <f>IF(ISNA(VLOOKUP(A120,'Données projet'!$A$253:$I$273,3,0)),0,VLOOKUP(A120,'Données projet'!$A$253:$I$273,3,0))</f>
        <v>0</v>
      </c>
      <c r="GH120" s="15">
        <f>IF(ISNA(VLOOKUP(A120,'Données projet'!$A$253:$I$273,4,0)),0,VLOOKUP(A120,'Données projet'!$A$253:$I$273,4,0))</f>
        <v>0</v>
      </c>
      <c r="GI120" s="16">
        <f>IF(ISNA(VLOOKUP(A120,'Données projet'!$A$253:$I$273,5,0)),0%,VLOOKUP(A120,'Données projet'!$A$253:$I$273,5,0)*VLOOKUP('Données projet'!$B$17,Paramètres!$A$1:$I$89,7,0))</f>
        <v>0</v>
      </c>
      <c r="GJ120" s="16">
        <f>IF(ISNA(VLOOKUP(A120,'Données projet'!$A$253:$I$273,6,0)),0%,VLOOKUP(A120,'Données projet'!$A$253:$I$273,6,0)*VLOOKUP('Données projet'!$B$17,Paramètres!$A$1:$I$89,7,0))</f>
        <v>0</v>
      </c>
      <c r="GK120" s="16">
        <f>IF(ISNA(VLOOKUP(A120,'Données projet'!$A$253:$I$273,7,0)),0%,VLOOKUP(A120,'Données projet'!$A$253:$I$273,7,0))</f>
        <v>0</v>
      </c>
      <c r="GL120" s="21">
        <f>EXP(-LN(2)/35)*GL119+(1-EXP(-LN(2)/35))/(LN(2)/35)*GH120*GI120*VLOOKUP('Données projet'!$B$17,Paramètres!$A$1:$I$89,3,0)*0.475*44/12</f>
        <v>59.217615145540449</v>
      </c>
      <c r="GM120" s="21">
        <f>EXP(-LN(2)/25)*GM119+(1-EXP(-LN(2)/25))/(LN(2)/25)*Calculateur!GH120*Calculateur!GJ120*VLOOKUP('Données projet'!$B$17,Paramètres!$A$1:$I$89,3,0)*0.475*44/12</f>
        <v>7.8068497668929613</v>
      </c>
      <c r="GN120" s="21">
        <f>EXP(-LN(2)/2)*GN119+(1-EXP(-LN(2)/2))/(LN(2)/2)*GH120*GK120*VLOOKUP('Données projet'!$B$17,Paramètres!$A$1:$I$89,3,0)*0.475*44/12</f>
        <v>0</v>
      </c>
      <c r="GO120" s="21">
        <f t="shared" si="146"/>
        <v>67.024464912433416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projet'!$A$279:$I$299,2,0)</f>
        <v>#N/A</v>
      </c>
      <c r="GS120" s="12" t="e">
        <f>VLOOKUP(A120,'Données projet'!$A$279:$I$299,9,0)</f>
        <v>#N/A</v>
      </c>
      <c r="GT120" s="12">
        <f t="array" ref="GT120">INDEX(GS:GS,MIN(IF(ISNUMBER(GS120:GS316),ROW(GS120:GS316),"")))</f>
        <v>0</v>
      </c>
      <c r="GU120" s="12">
        <f>IF('Données projet'!$A$280&gt;35,GU119+GT120-HC119,IF(A120&lt;'Données projet'!$A$280,$GR$205^A120,IF(A120='Données projet'!$A$280,'Données projet'!$B$280,GU119+GT120-HC119)))</f>
        <v>-1.1368683772161603E-13</v>
      </c>
      <c r="GV120" s="17">
        <f>GU120*VLOOKUP('Données projet'!$B$18,Paramètres!$A$1:$I$89,3,0)*VLOOKUP('Données projet'!$B$18,Paramètres!$A$1:$I$89,5,0)</f>
        <v>-4.5815795601811263E-14</v>
      </c>
      <c r="GW120" s="13" t="e">
        <f t="shared" si="200"/>
        <v>#NUM!</v>
      </c>
      <c r="GX120" s="20" t="e">
        <f t="shared" si="147"/>
        <v>#NUM!</v>
      </c>
      <c r="GY120" s="59" t="e">
        <f t="shared" si="148"/>
        <v>#NUM!</v>
      </c>
      <c r="GZ120" s="59">
        <f ca="1">AVERAGE(OFFSET($GY$3,0,0,'Données projet'!$E$18+1,1))-AVERAGE(OFFSET($H$3,0,0,'Données projet'!$E$18+1,1))</f>
        <v>324.36162935850876</v>
      </c>
      <c r="HA120" s="59">
        <f t="shared" si="201"/>
        <v>265.23571072429735</v>
      </c>
      <c r="HB120" s="15">
        <f>IF(ISNA(VLOOKUP(A120,'Données projet'!$A$279:$I$299,3,0)),0,VLOOKUP(A120,'Données projet'!$A$279:$I$299,3,0))</f>
        <v>0</v>
      </c>
      <c r="HC120" s="15">
        <f>IF(ISNA(VLOOKUP(A120,'Données projet'!$A$279:$I$299,4,0)),0,VLOOKUP(A120,'Données projet'!$A$279:$I$299,4,0))</f>
        <v>0</v>
      </c>
      <c r="HD120" s="16">
        <f>IF(ISNA(VLOOKUP(A120,'Données projet'!$A$279:$I$299,5,0)),0%,VLOOKUP(A120,'Données projet'!$A$279:$I$299,5,0)*VLOOKUP('Données projet'!$B$18,Paramètres!$A$1:$I$89,7,0))</f>
        <v>0</v>
      </c>
      <c r="HE120" s="16">
        <f>IF(ISNA(VLOOKUP(A120,'Données projet'!$A$279:$I$299,6,0)),0%,VLOOKUP(A120,'Données projet'!$A$279:$I$299,6,0)*VLOOKUP('Données projet'!$B$18,Paramètres!$A$1:$I$89,7,0))</f>
        <v>0</v>
      </c>
      <c r="HF120" s="16">
        <f>IF(ISNA(VLOOKUP($A120,'Données projet'!$A$279:$I$299,7,0)),0%,VLOOKUP($A120,'Données projet'!$A$279:$I$299,7,0))</f>
        <v>0</v>
      </c>
      <c r="HG120" s="21">
        <f>EXP(-LN(2)/35)*HG119+(1-EXP(-LN(2)/35))/(LN(2)/35)*HC120*HD120*VLOOKUP('Données projet'!$B$18,Paramètres!$A$1:$I$89,3,0)*0.475*44/12</f>
        <v>113.47643121734731</v>
      </c>
      <c r="HH120" s="21">
        <f>EXP(-LN(2)/25)*HH119+(1-EXP(-LN(2)/25))/(LN(2)/25)*Calculateur!HC120*Calculateur!HE120*VLOOKUP('Données projet'!$B$18,Paramètres!$A$1:$I$89,3,0)*0.475*44/12</f>
        <v>8.6826133212013108</v>
      </c>
      <c r="HI120" s="21">
        <f>EXP(-LN(2)/2)*HI119+(1-EXP(-LN(2)/2))/(LN(2)/2)*HC120*HF120*VLOOKUP('Données projet'!$B$18,Paramètres!$A$1:$I$89,3,0)*0.475*44/12</f>
        <v>2.3055228979973019E-5</v>
      </c>
      <c r="HJ120" s="22">
        <f t="shared" si="149"/>
        <v>122.15906759377761</v>
      </c>
      <c r="HK120" s="74">
        <f>('Scénario référence'!$F$8+'Scénario référence'!$F$9+'Scénario référence'!$B$17+'Scénario référence'!$B$9+'Scénario référence'!$B$10)*70+IF((45+25*(1-EXP(-0.0175*$A120)))&lt;70,'Scénario référence'!$B$16*(45+25*(1-EXP(-0.0175*$A120))),70*'Scénario référence'!$B$16)+IF((32+38*(1-EXP(-0.0175*$A120)))&lt;70,'Scénario référence'!$B$18*(32+38*(1-EXP(-0.0175*$A120))),70*'Scénario référence'!$B$18)</f>
        <v>70</v>
      </c>
      <c r="HL120" s="12">
        <f>IF($A120&gt;30,10,('Scénario référence'!$B$16+'Scénario référence'!$B$17+'Scénario référence'!$B$18+'Scénario référence'!$B$9+'Scénario référence'!$B$10)*$A120*10/30+('Scénario référence'!$F$8+'Scénario référence'!$F$9)*10)</f>
        <v>10</v>
      </c>
      <c r="HM120" s="12" t="e">
        <f>VLOOKUP($A120,'Données projet'!$A$304:$I$324,2,0)</f>
        <v>#N/A</v>
      </c>
      <c r="HN120" s="12" t="e">
        <f>VLOOKUP($A120,'Données projet'!$A$304:$I$324,9,0)</f>
        <v>#N/A</v>
      </c>
      <c r="HO120" s="12">
        <f t="array" ref="HO120">INDEX(HN:HN,MIN(IF(ISNUMBER(HN120:HN316),ROW(HN120:HN316),"")))</f>
        <v>0</v>
      </c>
      <c r="HP120" s="12">
        <f>IF('Données projet'!$A$304&gt;35,HP119+HO120-HX119,IF($A120&lt;'Données projet'!$A$304,$CQ$205^$A120,IF($A120='Données projet'!$A$304,'Données projet'!$B$304,HP119+HO120-HX119)))</f>
        <v>0</v>
      </c>
      <c r="HQ120" s="17">
        <f>HP120*VLOOKUP('Données projet'!$B$19,Paramètres!$A$1:$I$89,3,0)*VLOOKUP('Données projet'!$B$19,Paramètres!$A$1:$I$89,5,0)</f>
        <v>0</v>
      </c>
      <c r="HR120" s="13" t="e">
        <f t="shared" si="202"/>
        <v>#NUM!</v>
      </c>
      <c r="HS120" s="14" t="e">
        <f t="shared" si="150"/>
        <v>#NUM!</v>
      </c>
      <c r="HT120" s="59" t="e">
        <f t="shared" si="151"/>
        <v>#NUM!</v>
      </c>
      <c r="HU120" s="59">
        <f ca="1">AVERAGE(OFFSET(HT$3,0,0,'Données projet'!$E$19+1,1))-AVERAGE(OFFSET($H$3,0,0,'Données projet'!$E$19+1,1))</f>
        <v>91.60721429656013</v>
      </c>
      <c r="HV120" s="59">
        <f t="shared" si="203"/>
        <v>258.94957804210856</v>
      </c>
      <c r="HW120" s="15">
        <f>IF(ISNA(VLOOKUP($A120,'Données projet'!$A$304:$I$324,3,0)),0,VLOOKUP($A120,'Données projet'!$A$304:$I$324,3,0))</f>
        <v>0</v>
      </c>
      <c r="HX120" s="15">
        <f>IF(ISNA(VLOOKUP($A120,'Données projet'!$A$304:$I$324,4,0)),0,VLOOKUP($A120,'Données projet'!$A$304:$I$324,4,0))</f>
        <v>0</v>
      </c>
      <c r="HY120" s="16">
        <f>IF(ISNA(VLOOKUP($A120,'Données projet'!$A$304:$I$324,5,0)),0%,VLOOKUP($A120,'Données projet'!$A$304:$I$324,5,0)*VLOOKUP('Données projet'!$B$19,Paramètres!$A$1:$I$89,7,0))</f>
        <v>0</v>
      </c>
      <c r="HZ120" s="16">
        <f>IF(ISNA(VLOOKUP($A120,'Données projet'!$A$304:$I$324,6,0)),0%,VLOOKUP($A120,'Données projet'!$A$304:$I$324,6,0)*VLOOKUP('Données projet'!$B$19,Paramètres!$A$1:$I$89,7,0))</f>
        <v>0</v>
      </c>
      <c r="IA120" s="16">
        <f>IF(ISNA(VLOOKUP($A120,'Données projet'!$A$304:$I$324,7,0)),0%,VLOOKUP($A120,'Données projet'!$A$304:$I$324,7,0))</f>
        <v>0</v>
      </c>
      <c r="IB120" s="21">
        <f>EXP(-LN(2)/35)*IB119+(1-EXP(-LN(2)/35))/(LN(2)/35)*HX120*HY120*VLOOKUP('Données projet'!$B$19,Paramètres!$A$1:$I$89,3,0)*0.475*44/12</f>
        <v>8.8076564460696005</v>
      </c>
      <c r="IC120" s="21">
        <f>EXP(-LN(2)/25)*IC119+(1-EXP(-LN(2)/25))/(LN(2)/25)*Calculateur!HX120*Calculateur!HZ120*VLOOKUP('Données projet'!$B$19,Paramètres!$A$1:$I$89,3,0)*0.475*44/12</f>
        <v>0.87182029490714863</v>
      </c>
      <c r="ID120" s="21">
        <f>EXP(-LN(2)/2)*ID119+(1-EXP(-LN(2)/2))/(LN(2)/2)*HX120*IA120*VLOOKUP('Données projet'!$B$19,Paramètres!$A$1:$I$89,3,0)*0.475*44/12</f>
        <v>4.6050872043969849E-14</v>
      </c>
      <c r="IE120" s="22">
        <f t="shared" si="152"/>
        <v>9.6794767409767957</v>
      </c>
      <c r="IF120" s="74">
        <f>('Scénario référence'!$F$8+'Scénario référence'!$F$9+'Scénario référence'!$B$17+'Scénario référence'!$B$9+'Scénario référence'!$B$10)*70+IF((45+25*(1-EXP(-0.0175*$A120)))&lt;70,'Scénario référence'!$B$16*(45+25*(1-EXP(-0.0175*$A120))),70*'Scénario référence'!$B$16)+IF((32+38*(1-EXP(-0.0175*$A120)))&lt;70,'Scénario référence'!$B$18*(32+38*(1-EXP(-0.0175*$A120))),70*'Scénario référence'!$B$18)</f>
        <v>70</v>
      </c>
      <c r="IG120" s="12">
        <f>IF($A120&gt;30,10,('Scénario référence'!$B$16+'Scénario référence'!$B$17+'Scénario référence'!$B$18+'Scénario référence'!$B$9+'Scénario référence'!$B$10)*$A120*10/30+('Scénario référence'!$F$8+'Scénario référence'!$F$9)*10)</f>
        <v>10</v>
      </c>
      <c r="IH120" s="12" t="e">
        <f>VLOOKUP($A120,'Données projet'!$A$330:$I$350,2,0)</f>
        <v>#N/A</v>
      </c>
      <c r="II120" s="12" t="e">
        <f>VLOOKUP($A120,'Données projet'!$A$330:$I$350,9,0)</f>
        <v>#N/A</v>
      </c>
      <c r="IJ120" s="12">
        <f t="array" ref="IJ120">INDEX(II:II,MIN(IF(ISNUMBER(II120:II316),ROW(II120:II316),"")))</f>
        <v>0</v>
      </c>
      <c r="IK120" s="12">
        <f>IF('Données projet'!$A$330&gt;35,IK119+IJ120-IS119,IF($A120&lt;'Données projet'!$A$330,$CQ$205^$A120,IF($A120='Données projet'!$A$330,'Données projet'!$B$330,IK119+IJ120-IS119)))</f>
        <v>0</v>
      </c>
      <c r="IL120" s="17">
        <f>IK120*VLOOKUP('Données projet'!$B$20,Paramètres!$A$1:$I$89,3,0)*VLOOKUP('Données projet'!$B$20,Paramètres!$A$1:$I$89,5,0)</f>
        <v>0</v>
      </c>
      <c r="IM120" s="13" t="e">
        <f t="shared" si="204"/>
        <v>#NUM!</v>
      </c>
      <c r="IN120" s="20" t="e">
        <f t="shared" si="153"/>
        <v>#NUM!</v>
      </c>
      <c r="IO120" s="59" t="e">
        <f t="shared" si="154"/>
        <v>#NUM!</v>
      </c>
      <c r="IP120" s="59">
        <f ca="1">AVERAGE(OFFSET(IO$3,0,0,'Données projet'!$E$20+1,1))-AVERAGE(OFFSET($H$3,0,0,'Données projet'!$E$20+1,1))</f>
        <v>91.60721429656013</v>
      </c>
      <c r="IQ120" s="59">
        <f t="shared" si="205"/>
        <v>258.94957804210856</v>
      </c>
      <c r="IR120" s="15">
        <f>IF(ISNA(VLOOKUP($A120,'Données projet'!$A$330:$I$350,3,0)),0,VLOOKUP($A120,'Données projet'!$A$330:$I$350,3,0))</f>
        <v>0</v>
      </c>
      <c r="IS120" s="15">
        <f>IF(ISNA(VLOOKUP($A120,'Données projet'!$A$330:$I$350,4,0)),0,VLOOKUP($A120,'Données projet'!$A$330:$I$350,4,0))</f>
        <v>0</v>
      </c>
      <c r="IT120" s="16">
        <f>IF(ISNA(VLOOKUP($A120,'Données projet'!$A$330:$I$350,5,0)),0%,VLOOKUP($A120,'Données projet'!$A$330:$I$350,5,0)*VLOOKUP('Données projet'!$B$20,Paramètres!$A$1:$I$89,7,0))</f>
        <v>0</v>
      </c>
      <c r="IU120" s="16">
        <f>IF(ISNA(VLOOKUP($A120,'Données projet'!$A$330:$I$350,6,0)),0%,VLOOKUP($A120,'Données projet'!$A$330:$I$350,6,0)*VLOOKUP('Données projet'!$B$20,Paramètres!$A$1:$I$89,7,0))</f>
        <v>0</v>
      </c>
      <c r="IV120" s="16">
        <f>IF(ISNA(VLOOKUP($A120,'Données projet'!$A$330:$I$350,7,0)),0%,VLOOKUP($A120,'Données projet'!$A$330:$I$350,7,0))</f>
        <v>0</v>
      </c>
      <c r="IW120" s="21">
        <f>EXP(-LN(2)/35)*IW119+(1-EXP(-LN(2)/35))/(LN(2)/35)*IS120*IT120*VLOOKUP('Données projet'!$B$20,Paramètres!$A$1:$I$89,3,0)*0.475*44/12</f>
        <v>8.8076564460696005</v>
      </c>
      <c r="IX120" s="21">
        <f>EXP(-LN(2)/25)*IX119+(1-EXP(-LN(2)/25))/(LN(2)/25)*Calculateur!IS120*Calculateur!IU120*VLOOKUP('Données projet'!$B$20,Paramètres!$A$1:$I$89,3,0)*0.475*44/12</f>
        <v>0.87182029490714863</v>
      </c>
      <c r="IY120" s="21">
        <f>EXP(-LN(2)/2)*IY119+(1-EXP(-LN(2)/2))/(LN(2)/2)*IS120*IV120*VLOOKUP('Données projet'!$B$20,Paramètres!$A$1:$I$89,3,0)*0.475*44/12</f>
        <v>4.6050872043969849E-14</v>
      </c>
      <c r="IZ120" s="22">
        <f t="shared" si="155"/>
        <v>9.6794767409767957</v>
      </c>
      <c r="JA120" s="74">
        <f>('Scénario référence'!$F$8+'Scénario référence'!$F$9+'Scénario référence'!$B$17+'Scénario référence'!$B$9+'Scénario référence'!$B$10)*70+IF((45+25*(1-EXP(-0.0175*$A120)))&lt;70,'Scénario référence'!$B$16*(45+25*(1-EXP(-0.0175*$A120))),70*'Scénario référence'!$B$16)+IF((32+38*(1-EXP(-0.0175*$A120)))&lt;70,'Scénario référence'!$B$18*(32+38*(1-EXP(-0.0175*$A120))),70*'Scénario référence'!$B$18)</f>
        <v>70</v>
      </c>
      <c r="JB120" s="12">
        <f>IF($A120&gt;30,10,('Scénario référence'!$B$16+'Scénario référence'!$B$17+'Scénario référence'!$B$18+'Scénario référence'!$B$9+'Scénario référence'!$B$10)*$A120*10/30+('Scénario référence'!$F$8+'Scénario référence'!$F$9)*10)</f>
        <v>10</v>
      </c>
      <c r="JC120" s="12" t="e">
        <f>VLOOKUP($A120,'Données projet'!$A$356:$I$376,2,0)</f>
        <v>#N/A</v>
      </c>
      <c r="JD120" s="12" t="e">
        <f>VLOOKUP($A120,'Données projet'!$A$356:$I$376,9,0)</f>
        <v>#N/A</v>
      </c>
      <c r="JE120" s="12">
        <f t="array" ref="JE120">INDEX(JD:JD,MIN(IF(ISNUMBER(JD120:JD316),ROW(JD120:JD316),"")))</f>
        <v>2.2000000000000002</v>
      </c>
      <c r="JF120" s="12">
        <f>IF('Données projet'!$A$356&gt;35,JF119+JE120-JN119,IF($A120&lt;'Données projet'!$A$356,$CQ$205^$A120,IF($A120='Données projet'!$A$356,'Données projet'!$B$356,JF119+JE120-JN119)))</f>
        <v>411.3999999999993</v>
      </c>
      <c r="JG120" s="17">
        <f>JF120*VLOOKUP('Données projet'!$B$21,Paramètres!$A$1:$I$89,3,0)*VLOOKUP('Données projet'!$B$21,Paramètres!$A$1:$I$89,5,0)</f>
        <v>333.72767999999945</v>
      </c>
      <c r="JH120" s="13">
        <f t="shared" si="206"/>
        <v>78.202644376567818</v>
      </c>
      <c r="JI120" s="20">
        <f t="shared" si="156"/>
        <v>717.44531495585477</v>
      </c>
      <c r="JJ120" s="59">
        <f t="shared" si="157"/>
        <v>1010.7786482891881</v>
      </c>
      <c r="JK120" s="59">
        <f ca="1">AVERAGE(OFFSET($JJ$3,0,0,'Données projet'!$E$22+1,1))-AVERAGE(OFFSET($H$3,0,0,'Données projet'!$E$22+1,1))</f>
        <v>353.35574633294613</v>
      </c>
      <c r="JL120" s="59">
        <f t="shared" si="207"/>
        <v>170.36796666474726</v>
      </c>
      <c r="JM120" s="15">
        <f>IF(ISNA(VLOOKUP($A120,'Données projet'!$A$356:$I$376,3,0)),0,VLOOKUP($A120,'Données projet'!$A$356:$I$376,3,0))</f>
        <v>0</v>
      </c>
      <c r="JN120" s="15">
        <f>IF(ISNA(VLOOKUP($A120,'Données projet'!$A$356:$I$376,4,0)),0,VLOOKUP($A120,'Données projet'!$A$356:$I$376,4,0))</f>
        <v>0</v>
      </c>
      <c r="JO120" s="16">
        <f>IF(ISNA(VLOOKUP($A120,'Données projet'!$A$356:$I$376,5,0)),0%,VLOOKUP($A120,'Données projet'!$A$356:$I$376,5,0)*VLOOKUP('Données projet'!$B$21,Paramètres!$A$1:$I$89,7,0))</f>
        <v>0</v>
      </c>
      <c r="JP120" s="16">
        <f>IF(ISNA(VLOOKUP($A120,'Données projet'!$A$356:$I$376,6,0)),0%,VLOOKUP($A120,'Données projet'!$A$356:$I$376,6,0)*VLOOKUP('Données projet'!$B$21,Paramètres!$A$1:$I$89,7,0))</f>
        <v>0</v>
      </c>
      <c r="JQ120" s="16">
        <f>IF(ISNA(VLOOKUP($A120,'Données projet'!$A$356:$I$376,7,0)),0%,VLOOKUP($A120,'Données projet'!$A$356:$I$376,7,0))</f>
        <v>0</v>
      </c>
      <c r="JR120" s="21">
        <f>EXP(-LN(2)/35)*JR119+(1-EXP(-LN(2)/35))/(LN(2)/35)*JN120*JO120*VLOOKUP('Données projet'!$B$21,Paramètres!$A$1:$I$89,3,0)*0.475*44/12</f>
        <v>4.3750405232653762</v>
      </c>
      <c r="JS120" s="21">
        <f>EXP(-LN(2)/25)*JS119+(1-EXP(-LN(2)/25))/(LN(2)/25)*Calculateur!JN120*Calculateur!JP120*VLOOKUP('Données projet'!$B$21,Paramètres!$A$1:$I$89,3,0)*0.475*44/12</f>
        <v>14.564632859263009</v>
      </c>
      <c r="JT120" s="21">
        <f>EXP(-LN(2)/2)*JT119+(1-EXP(-LN(2)/2))/(LN(2)/2)*JN120*JQ120*VLOOKUP('Données projet'!$B$21,Paramètres!$A$1:$I$89,3,0)*0.475*44/12</f>
        <v>0.30835057763510981</v>
      </c>
      <c r="JU120" s="18">
        <f t="shared" si="158"/>
        <v>19.248023960163493</v>
      </c>
      <c r="JV120" s="74">
        <f>('Scénario référence'!$F$8+'Scénario référence'!$F$9+'Scénario référence'!$B$17+'Scénario référence'!$B$9+'Scénario référence'!$B$10)*70+IF((45+25*(1-EXP(-0.0175*$A120)))&lt;70,'Scénario référence'!$B$16*(45+25*(1-EXP(-0.0175*$A120))),70*'Scénario référence'!$B$16)+IF((32+38*(1-EXP(-0.0175*$A120)))&lt;70,'Scénario référence'!$B$18*(32+38*(1-EXP(-0.0175*$A120))),70*'Scénario référence'!$B$18)</f>
        <v>70</v>
      </c>
      <c r="JW120" s="12">
        <f>IF($A120&gt;30,10,('Scénario référence'!$B$16+'Scénario référence'!$B$17+'Scénario référence'!$B$18+'Scénario référence'!$B$9+'Scénario référence'!$B$10)*$A120*10/30+('Scénario référence'!$F$8+'Scénario référence'!$F$9)*10)</f>
        <v>10</v>
      </c>
      <c r="JX120" s="12" t="e">
        <f>VLOOKUP($A120,'Données projet'!$A$382:$I$402,2,0)</f>
        <v>#N/A</v>
      </c>
      <c r="JY120" s="12" t="e">
        <f>VLOOKUP($A120,'Données projet'!$A$382:$I$402,9,0)</f>
        <v>#N/A</v>
      </c>
      <c r="JZ120" s="12">
        <f t="array" ref="JZ120">INDEX(JY:JY,MIN(IF(ISNUMBER(JY120:JY316),ROW(JY120:JY316),"")))</f>
        <v>6.8461538461538511</v>
      </c>
      <c r="KA120" s="12">
        <f>IF('Données projet'!$A$382&gt;35,KA119+JZ120-KI119,IF($A120&lt;'Données projet'!$A$382,$CQ$205^$A120,IF($A120='Données projet'!$A$382,'Données projet'!$B$382,KA119+JZ120-KI119)))</f>
        <v>343.64743589743631</v>
      </c>
      <c r="KB120" s="17">
        <f>KA120*VLOOKUP('Données projet'!$B$22,Paramètres!$A$1:$I$89,3,0)*VLOOKUP('Données projet'!$B$22,Paramètres!$A$1:$I$89,5,0)</f>
        <v>230.51870000000028</v>
      </c>
      <c r="KC120" s="13">
        <f t="shared" si="208"/>
        <v>56.394821889926483</v>
      </c>
      <c r="KD120" s="20">
        <f t="shared" si="159"/>
        <v>499.70771729162243</v>
      </c>
      <c r="KE120" s="59">
        <f t="shared" si="160"/>
        <v>793.04105062495569</v>
      </c>
      <c r="KF120" s="59">
        <f ca="1">AVERAGE(OFFSET($KE$3,0,0,'Données projet'!$E$22+1,1))-AVERAGE(OFFSET($H$3,0,0,'Données projet'!$E$22+1,1))</f>
        <v>193.91714772848269</v>
      </c>
      <c r="KG120" s="59">
        <f t="shared" si="209"/>
        <v>159.20429420478047</v>
      </c>
      <c r="KH120" s="15">
        <f>IF(ISNA(VLOOKUP($A120,'Données projet'!$A$382:$I$402,3,0)),0,VLOOKUP($A120,'Données projet'!$A$382:$I$402,3,0))</f>
        <v>0</v>
      </c>
      <c r="KI120" s="15">
        <f>IF(ISNA(VLOOKUP($A120,'Données projet'!$A$382:$I$402,4,0)),0,VLOOKUP($A120,'Données projet'!$A$382:$I$402,4,0))</f>
        <v>0</v>
      </c>
      <c r="KJ120" s="16">
        <f>IF(ISNA(VLOOKUP($A120,'Données projet'!$A$382:$I$402,5,0)),0%,VLOOKUP($A120,'Données projet'!$A$382:$I$402,5,0)*VLOOKUP('Données projet'!$B$22,Paramètres!$A$1:$I$89,7,0))</f>
        <v>0</v>
      </c>
      <c r="KK120" s="16">
        <f>IF(ISNA(VLOOKUP($A120,'Données projet'!$A$382:$I$402,6,0)),0%,VLOOKUP($A120,'Données projet'!$A$382:$I$402,6,0)*VLOOKUP('Données projet'!$B$22,Paramètres!$A$1:$I$89,7,0))</f>
        <v>0</v>
      </c>
      <c r="KL120" s="16">
        <f>IF(ISNA(VLOOKUP($A120,'Données projet'!$A$382:$I$402,7,0)),0%,VLOOKUP($A120,'Données projet'!$A$382:$I$402,7,0))</f>
        <v>0</v>
      </c>
      <c r="KM120" s="21">
        <f>EXP(-LN(2)/35)*KM119+(1-EXP(-LN(2)/35))/(LN(2)/35)*KI120*KJ120*VLOOKUP('Données projet'!$B$22,Paramètres!$A$1:$I$89,3,0)*0.475*44/12</f>
        <v>46.925347822072681</v>
      </c>
      <c r="KN120" s="21">
        <f>EXP(-LN(2)/25)*KN119+(1-EXP(-LN(2)/25))/(LN(2)/25)*Calculateur!KI120*Calculateur!KK120*VLOOKUP('Données projet'!$B$22,Paramètres!$A$1:$I$89,3,0)*0.475*44/12</f>
        <v>0</v>
      </c>
      <c r="KO120" s="21">
        <f>EXP(-LN(2)/2)*KO119+(1-EXP(-LN(2)/2))/(LN(2)/2)*KI120*KL120*VLOOKUP('Données projet'!$B$22,Paramètres!$A$1:$I$89,3,0)*0.475*44/12</f>
        <v>0</v>
      </c>
      <c r="KP120" s="22">
        <f t="shared" si="161"/>
        <v>46.925347822072681</v>
      </c>
      <c r="KQ120" s="74">
        <f>('Scénario référence'!$F$8+'Scénario référence'!$F$9+'Scénario référence'!$B$17+'Scénario référence'!$B$9+'Scénario référence'!$B$10)*70+IF((45+25*(1-EXP(-0.0175*$A120)))&lt;70,'Scénario référence'!$B$16*(45+25*(1-EXP(-0.0175*$A120))),70*'Scénario référence'!$B$16)+IF((32+38*(1-EXP(-0.0175*$A120)))&lt;70,'Scénario référence'!$B$18*(32+38*(1-EXP(-0.0175*$A120))),70*'Scénario référence'!$B$18)</f>
        <v>70</v>
      </c>
      <c r="KR120" s="12">
        <f>IF($A120&gt;30,10,('Scénario référence'!$B$16+'Scénario référence'!$B$17+'Scénario référence'!$B$18+'Scénario référence'!$B$9+'Scénario référence'!$B$10)*$A120*10/30+('Scénario référence'!$F$8+'Scénario référence'!$F$9)*10)</f>
        <v>10</v>
      </c>
      <c r="KS120" s="12" t="e">
        <f>VLOOKUP($A120,'Données projet'!$A$408:$I$428,2,0)</f>
        <v>#N/A</v>
      </c>
      <c r="KT120" s="12" t="e">
        <f>VLOOKUP($A120,'Données projet'!$A$408:$I$428,9,0)</f>
        <v>#N/A</v>
      </c>
      <c r="KU120" s="12">
        <f t="array" ref="KU120">INDEX(KT:KT,MIN(IF(ISNUMBER(KT120:KT316),ROW(KT120:KT316),"")))</f>
        <v>0</v>
      </c>
      <c r="KV120" s="12">
        <f>IF('Données projet'!$A$408&gt;35,KV119+KU120-LD119,IF($A120&lt;'Données projet'!$A$408,$CQ$205^$A120,IF($A120='Données projet'!$A$408,'Données projet'!$B$408,KV119+KU120-LD119)))</f>
        <v>-1.1368683772161603E-13</v>
      </c>
      <c r="KW120" s="17">
        <f>KV120*VLOOKUP('Données projet'!$B$23,Paramètres!$A$1:$I$89,3,0)*VLOOKUP('Données projet'!$B$23,Paramètres!$A$1:$I$89,5,0)</f>
        <v>-9.9316821433603781E-14</v>
      </c>
      <c r="KX120" s="13" t="e">
        <f t="shared" si="210"/>
        <v>#NUM!</v>
      </c>
      <c r="KY120" s="14" t="e">
        <f t="shared" si="162"/>
        <v>#NUM!</v>
      </c>
      <c r="KZ120" s="59" t="e">
        <f t="shared" si="163"/>
        <v>#NUM!</v>
      </c>
      <c r="LA120" s="59">
        <f ca="1">AVERAGE(OFFSET($KZ$3,0,0,'Données projet'!$E$23+1,1))-AVERAGE(OFFSET($H$3,0,0,'Données projet'!$E$23+1,1))</f>
        <v>248.33596943633819</v>
      </c>
      <c r="LB120" s="59">
        <f t="shared" si="211"/>
        <v>242.34010522344573</v>
      </c>
      <c r="LC120" s="15">
        <f>IF(ISNA(VLOOKUP($A120,'Données projet'!$A$408:$I$428,3,0)),0,VLOOKUP($A120,'Données projet'!$A$408:$I$428,3,0))</f>
        <v>0</v>
      </c>
      <c r="LD120" s="15">
        <f>IF(ISNA(VLOOKUP($A120,'Données projet'!$A$408:$I$428,4,0)),0,VLOOKUP($A120,'Données projet'!$A$408:$I$428,4,0))</f>
        <v>0</v>
      </c>
      <c r="LE120" s="16">
        <f>IF(ISNA(VLOOKUP($A120,'Données projet'!$A$408:$I$428,5,0)),0%,VLOOKUP($A120,'Données projet'!$A$408:$I$428,5,0)*VLOOKUP('Données projet'!$B$23,Paramètres!$A$1:$I$89,7,0))</f>
        <v>0</v>
      </c>
      <c r="LF120" s="16">
        <f>IF(ISNA(VLOOKUP($A120,'Données projet'!$A$408:$I$428,6,0)),0%,VLOOKUP($A120,'Données projet'!$A$408:$I$428,6,0)*VLOOKUP('Données projet'!$B$23,Paramètres!$A$1:$I$89,7,0))</f>
        <v>0</v>
      </c>
      <c r="LG120" s="16">
        <f>IF(ISNA(VLOOKUP($A120,'Données projet'!$A$408:$I$428,7,0)),0%,VLOOKUP($A120,'Données projet'!$A$408:$I$428,7,0))</f>
        <v>0</v>
      </c>
      <c r="LH120" s="21">
        <f>EXP(-LN(2)/35)*LH119+(1-EXP(-LN(2)/35))/(LN(2)/35)*LD120*LE120*VLOOKUP('Données projet'!$B$23,Paramètres!$A$1:$I$89,3,0)*0.475*44/12</f>
        <v>59.217615145540449</v>
      </c>
      <c r="LI120" s="21">
        <f>EXP(-LN(2)/25)*LI119+(1-EXP(-LN(2)/25))/(LN(2)/25)*Calculateur!LD120*Calculateur!LF120*VLOOKUP('Données projet'!$B$23,Paramètres!$A$1:$I$89,3,0)*0.475*44/12</f>
        <v>7.8068497668929613</v>
      </c>
      <c r="LJ120" s="21">
        <f>EXP(-LN(2)/2)*LJ119+(1-EXP(-LN(2)/2))/(LN(2)/2)*LD120*LG120*VLOOKUP('Données projet'!$B$23,Paramètres!$A$1:$I$89,3,0)*0.475*44/12</f>
        <v>0</v>
      </c>
      <c r="LK120" s="22">
        <f t="shared" si="164"/>
        <v>67.024464912433416</v>
      </c>
      <c r="LL120" s="74">
        <f>('Scénario référence'!$F$8+'Scénario référence'!$F$9+'Scénario référence'!$B$17+'Scénario référence'!$B$9+'Scénario référence'!$B$10)*70+IF((45+25*(1-EXP(-0.0175*$A120)))&lt;70,'Scénario référence'!$B$16*(45+25*(1-EXP(-0.0175*$A120))),70*'Scénario référence'!$B$16)+IF((32+38*(1-EXP(-0.0175*$A120)))&lt;70,'Scénario référence'!$B$18*(32+38*(1-EXP(-0.0175*$A120))),70*'Scénario référence'!$B$18)</f>
        <v>70</v>
      </c>
      <c r="LM120" s="12">
        <f>IF($A120&gt;30,10,('Scénario référence'!$B$16+'Scénario référence'!$B$17+'Scénario référence'!$B$18+'Scénario référence'!$B$9+'Scénario référence'!$B$10)*$A120*10/30+('Scénario référence'!$F$8+'Scénario référence'!$F$9)*10)</f>
        <v>10</v>
      </c>
      <c r="LN120" s="12" t="e">
        <f>VLOOKUP($A120,'Données projet'!$A$434:$I$454,2,0)</f>
        <v>#N/A</v>
      </c>
      <c r="LO120" s="12" t="e">
        <f>VLOOKUP($A120,'Données projet'!$A$434:$I$454,9,0)</f>
        <v>#N/A</v>
      </c>
      <c r="LP120" s="12">
        <f t="array" ref="LP120">INDEX(LO:LO,MIN(IF(ISNUMBER(LO120:LO316),ROW(LO120:LO316),"")))</f>
        <v>5.3066239316239274</v>
      </c>
      <c r="LQ120" s="12">
        <f>IF('Données projet'!$A$434&gt;35,LQ119+LP120-LY119,IF($A120&lt;'Données projet'!$A$434,$CQ$205^$A120,IF($A120='Données projet'!$A$434,'Données projet'!$B$434,LQ119+LP120-LY119)))</f>
        <v>235.84188034188</v>
      </c>
      <c r="LR120" s="17">
        <f>LQ120*VLOOKUP('Données projet'!$B$24,Paramètres!$A$1:$I$89,3,0)*VLOOKUP('Données projet'!$B$24,Paramètres!$A$1:$I$89,5,0)</f>
        <v>239.14366666666635</v>
      </c>
      <c r="LS120" s="13">
        <f t="shared" si="212"/>
        <v>58.255247882792112</v>
      </c>
      <c r="LT120" s="14">
        <f t="shared" si="165"/>
        <v>517.96977617364007</v>
      </c>
      <c r="LU120" s="59">
        <f t="shared" si="166"/>
        <v>811.30310950697344</v>
      </c>
      <c r="LV120" s="59">
        <f ca="1">AVERAGE(OFFSET($LU$3,0,0,'Données projet'!$E$24+1,1))-AVERAGE(OFFSET($H$3,0,0,'Données projet'!$E$24+1,1))</f>
        <v>260.52627655062872</v>
      </c>
      <c r="LW120" s="59">
        <f t="shared" si="213"/>
        <v>159.20429420478047</v>
      </c>
      <c r="LX120" s="15">
        <f>IF(ISNA(VLOOKUP($A120,'Données projet'!$A$434:$I$454,3,0)),0,VLOOKUP($A120,'Données projet'!$A$434:$I$454,3,0))</f>
        <v>0</v>
      </c>
      <c r="LY120" s="15">
        <f>IF(ISNA(VLOOKUP($A120,'Données projet'!$A$434:$I$454,4,0)),0,VLOOKUP($A120,'Données projet'!$A$434:$I$454,4,0))</f>
        <v>0</v>
      </c>
      <c r="LZ120" s="16">
        <f>IF(ISNA(VLOOKUP($A120,'Données projet'!$A$434:$I$454,5,0)),0%,VLOOKUP($A120,'Données projet'!$A$434:$I$454,5,0)*VLOOKUP('Données projet'!$B$24,Paramètres!$A$1:$I$89,7,0))</f>
        <v>0</v>
      </c>
      <c r="MA120" s="16">
        <f>IF(ISNA(VLOOKUP($A120,'Données projet'!$A$434:$I$454,6,0)),0%,VLOOKUP($A120,'Données projet'!$A$434:$I$454,6,0)*VLOOKUP('Données projet'!$B$24,Paramètres!$A$1:$I$89,7,0))</f>
        <v>0</v>
      </c>
      <c r="MB120" s="16">
        <f>IF(ISNA(VLOOKUP($A120,'Données projet'!$A$434:$I$454,7,0)),0%,VLOOKUP($A120,'Données projet'!$A$434:$I$454,7,0))</f>
        <v>0</v>
      </c>
      <c r="MC120" s="21">
        <f>EXP(-LN(2)/35)*MC119+(1-EXP(-LN(2)/35))/(LN(2)/35)*LY120*LZ120*VLOOKUP('Données projet'!$B$24,Paramètres!$A$1:$I$89,3,0)*0.475*44/12</f>
        <v>36.963137838899769</v>
      </c>
      <c r="MD120" s="21">
        <f>EXP(-LN(2)/25)*MD119+(1-EXP(-LN(2)/25))/(LN(2)/25)*Calculateur!LY120*Calculateur!MA120*VLOOKUP('Données projet'!$B$24,Paramètres!$A$1:$I$89,3,0)*0.475*44/12</f>
        <v>0</v>
      </c>
      <c r="ME120" s="21">
        <f>EXP(-LN(2)/2)*ME119+(1-EXP(-LN(2)/2))/(LN(2)/2)*LY120*MB120*VLOOKUP('Données projet'!$B$24,Paramètres!$A$1:$I$89,3,0)*0.475*44/12</f>
        <v>0</v>
      </c>
      <c r="MF120" s="22">
        <f t="shared" si="167"/>
        <v>36.963137838899769</v>
      </c>
      <c r="MG120" s="74">
        <f>('Scénario référence'!$F$8+'Scénario référence'!$F$9+'Scénario référence'!$B$17+'Scénario référence'!$B$9+'Scénario référence'!$B$10)*70+IF((45+25*(1-EXP(-0.0175*$A120)))&lt;70,'Scénario référence'!$B$16*(45+25*(1-EXP(-0.0175*$A120))),70*'Scénario référence'!$B$16)+IF((32+38*(1-EXP(-0.0175*$A120)))&lt;70,'Scénario référence'!$B$18*(32+38*(1-EXP(-0.0175*$A120))),70*'Scénario référence'!$B$18)</f>
        <v>70</v>
      </c>
      <c r="MH120" s="12">
        <f>IF($A120&gt;30,10,('Scénario référence'!$B$16+'Scénario référence'!$B$17+'Scénario référence'!$B$18+'Scénario référence'!$B$9+'Scénario référence'!$B$10)*$A120*10/30+('Scénario référence'!$F$8+'Scénario référence'!$F$9)*10)</f>
        <v>10</v>
      </c>
      <c r="MI120" s="12" t="e">
        <f>VLOOKUP($A120,'Données projet'!$A$460:$I$480,2,0)</f>
        <v>#N/A</v>
      </c>
      <c r="MJ120" s="12" t="e">
        <f>VLOOKUP($A120,'Données projet'!$A$460:$I$480,9,0)</f>
        <v>#N/A</v>
      </c>
      <c r="MK120" s="12">
        <f t="array" ref="MK120">INDEX(MJ:MJ,MIN(IF(ISNUMBER(MJ120:MJ316),ROW(MJ120:MJ316),"")))</f>
        <v>0</v>
      </c>
      <c r="ML120" s="12">
        <f>IF('Données projet'!$A$460&gt;35,ML119+MK120-MT119,IF($A120&lt;'Données projet'!$A$460,$CQ$205^$A120,IF($A120='Données projet'!$A$460,'Données projet'!$B$460,ML119+MK120-MT119)))</f>
        <v>0</v>
      </c>
      <c r="MM120" s="17" t="e">
        <f>ML120*VLOOKUP('Données projet'!$B$25,Paramètres!$A$1:$I$89,3,0)*VLOOKUP('Données projet'!$B$25,Paramètres!$A$1:$I$89,5,0)</f>
        <v>#N/A</v>
      </c>
      <c r="MN120" s="13" t="e">
        <f t="shared" si="214"/>
        <v>#N/A</v>
      </c>
      <c r="MO120" s="14" t="e">
        <f t="shared" si="168"/>
        <v>#N/A</v>
      </c>
      <c r="MP120" s="59" t="e">
        <f t="shared" si="169"/>
        <v>#N/A</v>
      </c>
      <c r="MQ120" s="20" t="e">
        <f ca="1">AVERAGE(OFFSET($MP$3,0,0,'Données projet'!$E$25+1,1))-AVERAGE(OFFSET($H$3,0,0,'Données projet'!$E$25+1,1))</f>
        <v>#N/A</v>
      </c>
      <c r="MR120" s="59" t="e">
        <f t="shared" si="215"/>
        <v>#N/A</v>
      </c>
      <c r="MS120" s="15">
        <f>IF(ISNA(VLOOKUP($A120,'Données projet'!$A$460:$I$480,3,0)),0,VLOOKUP($A120,'Données projet'!$A$460:$I$480,3,0))</f>
        <v>0</v>
      </c>
      <c r="MT120" s="15">
        <f>IF(ISNA(VLOOKUP($A120,'Données projet'!$A$460:$I$480,4,0)),0,VLOOKUP($A120,'Données projet'!$A$460:$I$480,4,0))</f>
        <v>0</v>
      </c>
      <c r="MU120" s="16">
        <f>IF(ISNA(VLOOKUP($A120,'Données projet'!$A$460:$I$480,5,0)),0%,VLOOKUP($A120,'Données projet'!$A$460:$I$480,5,0)*VLOOKUP('Données projet'!$B$25,Paramètres!$A$1:$I$89,7,0))</f>
        <v>0</v>
      </c>
      <c r="MV120" s="16">
        <f>IF(ISNA(VLOOKUP($A120,'Données projet'!$A$460:$I$480,6,0)),0%,VLOOKUP($A120,'Données projet'!$A$460:$I$480,6,0)*VLOOKUP('Données projet'!$B$25,Paramètres!$A$1:$I$89,7,0))</f>
        <v>0</v>
      </c>
      <c r="MW120" s="16">
        <f>IF(ISNA(VLOOKUP($A120,'Données projet'!$A$460:$I$480,7,0)),0%,VLOOKUP($A120,'Données projet'!$A$460:$I$480,7,0))</f>
        <v>0</v>
      </c>
      <c r="MX120" s="21" t="e">
        <f>EXP(-LN(2)/35)*MX119+(1-EXP(-LN(2)/35))/(LN(2)/35)*MT120*MU120*VLOOKUP('Données projet'!$B$25,Paramètres!$A$1:$I$89,3,0)*0.475*44/12</f>
        <v>#N/A</v>
      </c>
      <c r="MY120" s="21" t="e">
        <f>EXP(-LN(2)/25)*MY119+(1-EXP(-LN(2)/25))/(LN(2)/25)*Calculateur!MT120*Calculateur!MV120*VLOOKUP('Données projet'!$B$25,Paramètres!$A$1:$I$89,3,0)*0.475*44/12</f>
        <v>#N/A</v>
      </c>
      <c r="MZ120" s="21" t="e">
        <f>EXP(-LN(2)/2)*MZ119+(1-EXP(-LN(2)/2))/(LN(2)/2)*MT120*MW120*VLOOKUP('Données projet'!$B$25,Paramètres!$A$1:$I$89,3,0)*0.475*44/12</f>
        <v>#N/A</v>
      </c>
      <c r="NA120" s="22" t="e">
        <f t="shared" si="170"/>
        <v>#N/A</v>
      </c>
      <c r="NB120" s="74">
        <f>('Scénario référence'!$F$8+'Scénario référence'!$F$9+'Scénario référence'!$B$17+'Scénario référence'!$B$9+'Scénario référence'!$B$10)*70+IF((45+25*(1-EXP(-0.0175*$A120)))&lt;70,'Scénario référence'!$B$16*(45+25*(1-EXP(-0.0175*$A120))),70*'Scénario référence'!$B$16)+IF((32+38*(1-EXP(-0.0175*$A120)))&lt;70,'Scénario référence'!$B$18*(32+38*(1-EXP(-0.0175*$A120))),70*'Scénario référence'!$B$18)</f>
        <v>70</v>
      </c>
      <c r="NC120" s="12">
        <f>IF($A120&gt;30,10,('Scénario référence'!$B$16+'Scénario référence'!$B$17+'Scénario référence'!$B$18+'Scénario référence'!$B$9+'Scénario référence'!$B$10)*$A120*10/30+('Scénario référence'!$F$8+'Scénario référence'!$F$9)*10)</f>
        <v>10</v>
      </c>
      <c r="ND120" s="12" t="e">
        <f>VLOOKUP($A120,'Données projet'!$A$486:$I$506,2,0)</f>
        <v>#N/A</v>
      </c>
      <c r="NE120" s="12" t="e">
        <f>VLOOKUP($A120,'Données projet'!$A$486:$I$506,9,0)</f>
        <v>#N/A</v>
      </c>
      <c r="NF120" s="12">
        <f t="array" ref="NF120">INDEX(NE:NE,MIN(IF(ISNUMBER(NE120:NE316),ROW(NE120:NE316),"")))</f>
        <v>0</v>
      </c>
      <c r="NG120" s="12">
        <f>IF('Données projet'!$A$486&gt;35,NG119+NF120-NO119,IF($A120&lt;'Données projet'!$A$486,$CQ$205^$A120,IF($A120='Données projet'!$A$486,'Données projet'!$B$486,NG119+NF120-NO119)))</f>
        <v>0</v>
      </c>
      <c r="NH120" s="17" t="e">
        <f>NG120*VLOOKUP('Données projet'!$B$26,Paramètres!$A$1:$I$89,3,0)*VLOOKUP('Données projet'!$B$26,Paramètres!$A$1:$I$89,5,0)</f>
        <v>#N/A</v>
      </c>
      <c r="NI120" s="13" t="e">
        <f t="shared" si="216"/>
        <v>#N/A</v>
      </c>
      <c r="NJ120" s="14" t="e">
        <f t="shared" si="171"/>
        <v>#N/A</v>
      </c>
      <c r="NK120" s="59" t="e">
        <f t="shared" si="172"/>
        <v>#N/A</v>
      </c>
      <c r="NL120" s="20" t="e">
        <f ca="1">AVERAGE(OFFSET($NK$3,0,0,'Données projet'!$E$26+1,1))-AVERAGE(OFFSET($H$3,0,0,'Données projet'!$E$26+1,1))</f>
        <v>#N/A</v>
      </c>
      <c r="NM120" s="59" t="e">
        <f t="shared" si="217"/>
        <v>#N/A</v>
      </c>
      <c r="NN120" s="15">
        <f>IF(ISNA(VLOOKUP($A120,'Données projet'!$A$486:$I$506,3,0)),0,VLOOKUP($A120,'Données projet'!$A$486:$I$506,3,0))</f>
        <v>0</v>
      </c>
      <c r="NO120" s="15">
        <f>IF(ISNA(VLOOKUP($A120,'Données projet'!$A$486:$I$506,4,0)),0,VLOOKUP($A120,'Données projet'!$A$486:$I$506,4,0))</f>
        <v>0</v>
      </c>
      <c r="NP120" s="16">
        <f>IF(ISNA(VLOOKUP($A120,'Données projet'!$A$486:$I$506,5,0)),0%,VLOOKUP($A120,'Données projet'!$A$486:$I$506,5,0)*VLOOKUP('Données projet'!$B$26,Paramètres!$A$1:$I$89,7,0))</f>
        <v>0</v>
      </c>
      <c r="NQ120" s="16">
        <f>IF(ISNA(VLOOKUP($A120,'Données projet'!$A$486:$I$506,6,0)),0%,VLOOKUP($A120,'Données projet'!$A$486:$I$506,6,0)*VLOOKUP('Données projet'!$B$26,Paramètres!$A$1:$I$89,7,0))</f>
        <v>0</v>
      </c>
      <c r="NR120" s="16">
        <f>IF(ISNA(VLOOKUP($A120,'Données projet'!$A$486:$I$506,7,0)),0%,VLOOKUP($A120,'Données projet'!$A$486:$I$506,7,0))</f>
        <v>0</v>
      </c>
      <c r="NS120" s="21" t="e">
        <f>EXP(-LN(2)/35)*NS119+(1-EXP(-LN(2)/35))/(LN(2)/35)*NO120*NP120*VLOOKUP('Données projet'!$B$26,Paramètres!$A$1:$I$89,3,0)*0.475*44/12</f>
        <v>#N/A</v>
      </c>
      <c r="NT120" s="21" t="e">
        <f>EXP(-LN(2)/25)*NT119+(1-EXP(-LN(2)/25))/(LN(2)/25)*Calculateur!NO120*Calculateur!NQ120*VLOOKUP('Données projet'!$B$26,Paramètres!$A$1:$I$89,3,0)*0.475*44/12</f>
        <v>#N/A</v>
      </c>
      <c r="NU120" s="21" t="e">
        <f>EXP(-LN(2)/2)*NU119+(1-EXP(-LN(2)/2))/(LN(2)/2)*NO120*NR120*VLOOKUP('Données projet'!$B$26,Paramètres!$A$1:$I$89,3,0)*0.475*44/12</f>
        <v>#N/A</v>
      </c>
      <c r="NV120" s="22" t="e">
        <f t="shared" si="173"/>
        <v>#N/A</v>
      </c>
      <c r="NW120" s="74">
        <f>('Scénario référence'!$F$8+'Scénario référence'!$F$9+'Scénario référence'!$B$17+'Scénario référence'!$B$9+'Scénario référence'!$B$10)*70+IF((45+25*(1-EXP(-0.0175*$A120)))&lt;70,'Scénario référence'!$B$16*(45+25*(1-EXP(-0.0175*$A120))),70*'Scénario référence'!$B$16)+IF((32+38*(1-EXP(-0.0175*$A120)))&lt;70,'Scénario référence'!$B$18*(32+38*(1-EXP(-0.0175*$A120))),70*'Scénario référence'!$B$18)</f>
        <v>70</v>
      </c>
      <c r="NX120" s="12">
        <f>IF($A120&gt;30,10,('Scénario référence'!$B$16+'Scénario référence'!$B$17+'Scénario référence'!$B$18+'Scénario référence'!$B$9+'Scénario référence'!$B$10)*$A120*10/30+('Scénario référence'!$F$8+'Scénario référence'!$F$9)*10)</f>
        <v>10</v>
      </c>
      <c r="NY120" s="12" t="e">
        <f>VLOOKUP($A120,'Données projet'!$A$512:$I$532,2,0)</f>
        <v>#N/A</v>
      </c>
      <c r="NZ120" s="12" t="e">
        <f>VLOOKUP($A120,'Données projet'!$A$512:$I$532,9,0)</f>
        <v>#N/A</v>
      </c>
      <c r="OA120" s="12">
        <f t="array" ref="OA120">INDEX(NZ:NZ,MIN(IF(ISNUMBER(NZ120:NZ316),ROW(NZ120:NZ316),"")))</f>
        <v>0</v>
      </c>
      <c r="OB120" s="12">
        <f>IF('Données projet'!$A$512&gt;35,OB119+OA120-OJ119,IF($A120&lt;'Données projet'!$A$512,$CQ$205^$A120,IF($A120='Données projet'!$A$512,'Données projet'!$B$512,OB119+OA120-OJ119)))</f>
        <v>0</v>
      </c>
      <c r="OC120" s="17" t="e">
        <f>OB120*VLOOKUP('Données projet'!$B$27,Paramètres!$A$1:$I$89,3,0)*VLOOKUP('Données projet'!$B$27,Paramètres!$A$1:$I$89,5,0)</f>
        <v>#N/A</v>
      </c>
      <c r="OD120" s="13" t="e">
        <f t="shared" si="218"/>
        <v>#N/A</v>
      </c>
      <c r="OE120" s="14" t="e">
        <f t="shared" si="174"/>
        <v>#N/A</v>
      </c>
      <c r="OF120" s="59" t="e">
        <f t="shared" si="175"/>
        <v>#N/A</v>
      </c>
      <c r="OG120" s="20" t="e">
        <f ca="1">AVERAGE(OFFSET($OF$3,0,0,'Données projet'!$E$27+1,1))-AVERAGE(OFFSET($H$3,0,0,'Données projet'!$E$27+1,1))</f>
        <v>#N/A</v>
      </c>
      <c r="OH120" s="59" t="e">
        <f t="shared" si="219"/>
        <v>#N/A</v>
      </c>
      <c r="OI120" s="15">
        <f>IF(ISNA(VLOOKUP($A120,'Données projet'!$A$512:$I$532,3,0)),0,VLOOKUP($A120,'Données projet'!$A$512:$I$532,3,0))</f>
        <v>0</v>
      </c>
      <c r="OJ120" s="15">
        <f>IF(ISNA(VLOOKUP($A120,'Données projet'!$A$512:$I$532,4,0)),0,VLOOKUP($A120,'Données projet'!$A$512:$I$532,4,0))</f>
        <v>0</v>
      </c>
      <c r="OK120" s="16">
        <f>IF(ISNA(VLOOKUP($A120,'Données projet'!$A$512:$I$532,5,0)),0%,VLOOKUP($A120,'Données projet'!$A$512:$I$532,5,0)*VLOOKUP('Données projet'!$B$27,Paramètres!$A$1:$I$89,7,0))</f>
        <v>0</v>
      </c>
      <c r="OL120" s="16">
        <f>IF(ISNA(VLOOKUP($A120,'Données projet'!$A$512:$I$532,6,0)),0%,VLOOKUP($A120,'Données projet'!$A$512:$I$532,6,0)*VLOOKUP('Données projet'!$B$27,Paramètres!$A$1:$I$89,7,0))</f>
        <v>0</v>
      </c>
      <c r="OM120" s="16">
        <f>IF(ISNA(VLOOKUP($A120,'Données projet'!$A$512:$I$532,7,0)),0%,VLOOKUP($A120,'Données projet'!$A$512:$I$532,7,0))</f>
        <v>0</v>
      </c>
      <c r="ON120" s="21" t="e">
        <f>EXP(-LN(2)/35)*ON119+(1-EXP(-LN(2)/35))/(LN(2)/35)*OJ120*OK120*VLOOKUP('Données projet'!$B$27,Paramètres!$A$1:$I$89,3,0)*0.475*44/12</f>
        <v>#N/A</v>
      </c>
      <c r="OO120" s="21" t="e">
        <f>EXP(-LN(2)/25)*OO119+(1-EXP(-LN(2)/25))/(LN(2)/25)*Calculateur!OJ120*Calculateur!OL120*VLOOKUP('Données projet'!$B$27,Paramètres!$A$1:$I$89,3,0)*0.475*44/12</f>
        <v>#N/A</v>
      </c>
      <c r="OP120" s="21" t="e">
        <f>EXP(-LN(2)/2)*OP119+(1-EXP(-LN(2)/2))/(LN(2)/2)*OJ120*OM120*VLOOKUP('Données projet'!$B$27,Paramètres!$A$1:$I$89,3,0)*0.475*44/12</f>
        <v>#N/A</v>
      </c>
      <c r="OQ120" s="22" t="e">
        <f t="shared" si="176"/>
        <v>#N/A</v>
      </c>
      <c r="OR120" s="74">
        <f>('Scénario référence'!$F$8+'Scénario référence'!$F$9+'Scénario référence'!$B$17+'Scénario référence'!$B$9+'Scénario référence'!$B$10)*70+IF((45+25*(1-EXP(-0.0175*$A120)))&lt;70,'Scénario référence'!$B$16*(45+25*(1-EXP(-0.0175*$A120))),70*'Scénario référence'!$B$16)+IF((32+38*(1-EXP(-0.0175*$A120)))&lt;70,'Scénario référence'!$B$18*(32+38*(1-EXP(-0.0175*$A120))),70*'Scénario référence'!$B$18)</f>
        <v>70</v>
      </c>
      <c r="OS120" s="12">
        <f>IF($A120&gt;30,10,('Scénario référence'!$B$16+'Scénario référence'!$B$17+'Scénario référence'!$B$18+'Scénario référence'!$B$9+'Scénario référence'!$B$10)*$A120*10/30+('Scénario référence'!$F$8+'Scénario référence'!$F$9)*10)</f>
        <v>10</v>
      </c>
      <c r="OT120" s="12" t="e">
        <f>VLOOKUP($A120,'Données projet'!$A$538:$I$558,2,0)</f>
        <v>#N/A</v>
      </c>
      <c r="OU120" s="12" t="e">
        <f>VLOOKUP($A120,'Données projet'!$A$538:$I$558,9,0)</f>
        <v>#N/A</v>
      </c>
      <c r="OV120" s="12">
        <f t="array" ref="OV120">INDEX(OU:OU,MIN(IF(ISNUMBER(OU120:OU316),ROW(OU120:OU316),"")))</f>
        <v>0</v>
      </c>
      <c r="OW120" s="12">
        <f>IF('Données projet'!$A$538&gt;35,OW119+OV120-PE119,IF($A120&lt;'Données projet'!$A$538,$CQ$205^$A120,IF($A120='Données projet'!$A$538,'Données projet'!$B$538,OW119+OV120-PE119)))</f>
        <v>0</v>
      </c>
      <c r="OX120" s="17" t="e">
        <f>OW120*VLOOKUP('Données projet'!$B$28,Paramètres!$A$1:$I$89,3,0)*VLOOKUP('Données projet'!$B$28,Paramètres!$A$1:$I$89,5,0)</f>
        <v>#N/A</v>
      </c>
      <c r="OY120" s="13" t="e">
        <f t="shared" si="220"/>
        <v>#N/A</v>
      </c>
      <c r="OZ120" s="14" t="e">
        <f t="shared" si="177"/>
        <v>#N/A</v>
      </c>
      <c r="PA120" s="59" t="e">
        <f t="shared" si="178"/>
        <v>#N/A</v>
      </c>
      <c r="PB120" s="20" t="e">
        <f ca="1">AVERAGE(OFFSET($PA$3,0,0,'Données projet'!$E$28+1,1))-AVERAGE(OFFSET($H$3,0,0,'Données projet'!$E$28+1,1))</f>
        <v>#N/A</v>
      </c>
      <c r="PC120" s="59" t="e">
        <f t="shared" si="221"/>
        <v>#N/A</v>
      </c>
      <c r="PD120" s="15">
        <f>IF(ISNA(VLOOKUP($A120,'Données projet'!$A$538:$I$558,3,0)),0,VLOOKUP($A120,'Données projet'!$A$538:$I$558,3,0))</f>
        <v>0</v>
      </c>
      <c r="PE120" s="15">
        <f>IF(ISNA(VLOOKUP($A120,'Données projet'!$A$538:$I$558,4,0)),0,VLOOKUP($A120,'Données projet'!$A$538:$I$558,4,0))</f>
        <v>0</v>
      </c>
      <c r="PF120" s="16">
        <f>IF(ISNA(VLOOKUP($A120,'Données projet'!$A$538:$I$558,5,0)),0%,VLOOKUP($A120,'Données projet'!$A$538:$I$558,5,0)*VLOOKUP('Données projet'!$B$28,Paramètres!$A$1:$I$89,7,0))</f>
        <v>0</v>
      </c>
      <c r="PG120" s="16">
        <f>IF(ISNA(VLOOKUP($A120,'Données projet'!$A$538:$I$558,6,0)),0%,VLOOKUP($A120,'Données projet'!$A$538:$I$558,6,0)*VLOOKUP('Données projet'!$B$28,Paramètres!$A$1:$I$89,7,0))</f>
        <v>0</v>
      </c>
      <c r="PH120" s="16">
        <f>IF(ISNA(VLOOKUP($A120,'Données projet'!$A$538:$I$558,7,0)),0%,VLOOKUP($A120,'Données projet'!$A$538:$I$558,7,0))</f>
        <v>0</v>
      </c>
      <c r="PI120" s="21" t="e">
        <f>EXP(-LN(2)/35)*PI119+(1-EXP(-LN(2)/35))/(LN(2)/35)*PE120*PF120*VLOOKUP('Données projet'!$B$28,Paramètres!$A$1:$I$89,3,0)*0.475*44/12</f>
        <v>#N/A</v>
      </c>
      <c r="PJ120" s="21" t="e">
        <f>EXP(-LN(2)/25)*PJ119+(1-EXP(-LN(2)/25))/(LN(2)/25)*Calculateur!PE120*Calculateur!PG120*VLOOKUP('Données projet'!$B$28,Paramètres!$A$1:$I$89,3,0)*0.475*44/12</f>
        <v>#N/A</v>
      </c>
      <c r="PK120" s="21" t="e">
        <f>EXP(-LN(2)/2)*PK119+(1-EXP(-LN(2)/2))/(LN(2)/2)*PE120*PH120*VLOOKUP('Données projet'!$B$28,Paramètres!$A$1:$I$89,3,0)*0.475*44/12</f>
        <v>#N/A</v>
      </c>
      <c r="PL120" s="22" t="e">
        <f t="shared" si="179"/>
        <v>#N/A</v>
      </c>
    </row>
    <row r="121" spans="1:428" x14ac:dyDescent="0.35">
      <c r="A121" s="10">
        <f t="shared" si="180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181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121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projet'!$A$45:$I$65,2,0)</f>
        <v>#N/A</v>
      </c>
      <c r="L121" s="12" t="e">
        <f>VLOOKUP(A121,'Données projet'!$A$45:$I$65,9,0)</f>
        <v>#N/A</v>
      </c>
      <c r="M121" s="12">
        <f t="array" ref="M121">INDEX(L:L,MIN(IF(ISNUMBER(L121:L317),ROW(L121:L317),"")))</f>
        <v>0</v>
      </c>
      <c r="N121" s="13">
        <f>IF('Données projet'!$A$46&gt;35,N120+M121-V120,IF(A121&lt;'Données projet'!$A$46,$K$205^A121,IF(A121='Données projet'!$A$46,'Données projet'!$B$46,N120+M121-V120)))</f>
        <v>-1.1368683772161603E-13</v>
      </c>
      <c r="O121" s="13">
        <f>N121*VLOOKUP('Données projet'!$B$9,Paramètres!$A$1:$I$89,3,0)*VLOOKUP('Données projet'!$B$9,Paramètres!$A$1:$I$89,5,0)</f>
        <v>-6.3550942286383367E-14</v>
      </c>
      <c r="P121" s="13" t="e">
        <f t="shared" si="182"/>
        <v>#NUM!</v>
      </c>
      <c r="Q121" s="20" t="e">
        <f t="shared" si="222"/>
        <v>#NUM!</v>
      </c>
      <c r="R121" s="59" t="e">
        <f t="shared" si="120"/>
        <v>#NUM!</v>
      </c>
      <c r="S121" s="59">
        <f ca="1">AVERAGE(OFFSET($R$3,0,0,'Données projet'!$E$9+1,1))-AVERAGE(OFFSET($H$3,0,0,'Données projet'!$E$9+1,1))</f>
        <v>274.57619581652199</v>
      </c>
      <c r="T121" s="59">
        <f t="shared" si="183"/>
        <v>366.15117322598775</v>
      </c>
      <c r="U121" s="15">
        <f>IF(ISNA(VLOOKUP(A121,'Données projet'!$A$45:$I$65,3,0)),0,VLOOKUP(A121,'Données projet'!$A$45:$I$65,3,0))</f>
        <v>0</v>
      </c>
      <c r="V121" s="15">
        <f>IF(ISNA(VLOOKUP(A121,'Données projet'!$A$45:$I$65,4,0)),0,VLOOKUP(A121,'Données projet'!$A$45:$I$65,4,0))</f>
        <v>0</v>
      </c>
      <c r="W121" s="16">
        <f>IF(ISNA(VLOOKUP(A121,'Données projet'!$A$45:$I$65,5,0)),0%,VLOOKUP(A121,'Données projet'!$A$45:$I$65,5,0)*VLOOKUP('Données projet'!$B$9,Paramètres!$A$1:$I$89,7,0))</f>
        <v>0</v>
      </c>
      <c r="X121" s="16">
        <f>IF(ISNA(VLOOKUP(A121,'Données projet'!$A$45:$I$65,6,0)),0%,VLOOKUP(A121,'Données projet'!$A$45:$I$65,6,0)*VLOOKUP('Données projet'!$B$9,Paramètres!$A$1:$I$89,7,0))</f>
        <v>0</v>
      </c>
      <c r="Y121" s="16">
        <f>IF(ISNA(VLOOKUP(A121,'Données projet'!$A$45:$I$65,7,0)),0%,VLOOKUP(A121,'Données projet'!$A$45:$I$65,7,0))</f>
        <v>0</v>
      </c>
      <c r="Z121" s="21">
        <f>EXP(-LN(2)/35)*Z120+(1-EXP(-LN(2)/35))/(LN(2)/35)*V121*W121*VLOOKUP('Données projet'!$B$9,Paramètres!$A$1:$I$89,3,0)*0.475*44/12</f>
        <v>65.090154299706612</v>
      </c>
      <c r="AA121" s="21">
        <f>EXP(-LN(2)/25)*AA120+(1-EXP(-LN(2)/25))/(LN(2)/25)*Calculateur!V121*Calculateur!X121*VLOOKUP('Données projet'!$B$9,Paramètres!$A$1:$I$89,3,0)*0.475*44/12</f>
        <v>10.043493419329515</v>
      </c>
      <c r="AB121" s="21">
        <f>EXP(-LN(2)/2)*AB120+(1-EXP(-LN(2)/2))/(LN(2)/2)*V121*Y121*VLOOKUP('Données projet'!$B$9,Paramètres!$A$1:$I$89,3,0)*0.475*44/12</f>
        <v>1.1248369568718173E-8</v>
      </c>
      <c r="AC121" s="22">
        <f t="shared" si="122"/>
        <v>75.133647730284508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projet'!$A$71:$I$91,2,0)</f>
        <v>#N/A</v>
      </c>
      <c r="AG121" s="12" t="e">
        <f>VLOOKUP(A121,'Données projet'!$A$71:$I$91,9,0)</f>
        <v>#N/A</v>
      </c>
      <c r="AH121" s="12">
        <f t="array" ref="AH121">INDEX(AG:AG,MIN(IF(ISNUMBER(AG121:AG317),ROW(AG121:AG317),"")))</f>
        <v>6.8461538461538511</v>
      </c>
      <c r="AI121" s="13">
        <f>IF('Données projet'!$A$72&gt;35,AI120+AH121-AQ120,IF(A121&lt;'Données projet'!$A$72,$AF$205^A121,IF(A121='Données projet'!$A$72,'Données projet'!$B$72,AI120+AH121-AQ120)))</f>
        <v>350.49358974359023</v>
      </c>
      <c r="AJ121" s="13">
        <f>AI121*VLOOKUP('Données projet'!$B$10,Paramètres!$A$1:$I$89,3,0)*VLOOKUP('Données projet'!$B$10,Paramètres!$A$1:$I$89,5,0)</f>
        <v>317.12660000000039</v>
      </c>
      <c r="AK121" s="13">
        <f t="shared" si="184"/>
        <v>74.755173417545677</v>
      </c>
      <c r="AL121" s="20">
        <f t="shared" si="123"/>
        <v>682.52742203555931</v>
      </c>
      <c r="AM121" s="59">
        <f t="shared" si="124"/>
        <v>975.86075536889257</v>
      </c>
      <c r="AN121" s="59">
        <f ca="1">AVERAGE(OFFSET($AM$3,0,0,'Données projet'!$E$10+1,1))-AVERAGE(OFFSET($H$3,0,0,'Données projet'!$E$10+1,1))</f>
        <v>270.87836509222456</v>
      </c>
      <c r="AO121" s="59">
        <f t="shared" si="185"/>
        <v>205.24998237949734</v>
      </c>
      <c r="AP121" s="15">
        <f>IF(ISNA(VLOOKUP(A121,'Données projet'!$A$71:$I$91,3,0)),0,VLOOKUP(A121,'Données projet'!$A$71:$I$91,3,0))</f>
        <v>0</v>
      </c>
      <c r="AQ121" s="15">
        <f>IF(ISNA(VLOOKUP(A121,'Données projet'!$A$71:$I$91,4,0)),0,VLOOKUP(A121,'Données projet'!$A$71:$I$91,4,0))</f>
        <v>0</v>
      </c>
      <c r="AR121" s="16">
        <f>IF(ISNA(VLOOKUP(A121,'Données projet'!$A$71:$I$91,5,0)),0%,VLOOKUP(A121,'Données projet'!$A$71:$I$91,5,0)*VLOOKUP('Données projet'!$B$10,Paramètres!$A$1:$I$89,7,0))</f>
        <v>0</v>
      </c>
      <c r="AS121" s="16">
        <f>IF(ISNA(VLOOKUP(A121,'Données projet'!$A$71:$I$91,6,0)),0%,VLOOKUP(A121,'Données projet'!$A$71:$I$91,6,0)*VLOOKUP('Données projet'!$B$10,Paramètres!$A$1:$I$89,7,0))</f>
        <v>0</v>
      </c>
      <c r="AT121" s="16">
        <f>IF(ISNA(VLOOKUP(A121,'Données projet'!$A$71:$I$91,7,0)),0%,VLOOKUP(A121,'Données projet'!$A$71:$I$91,7,0))</f>
        <v>0</v>
      </c>
      <c r="AU121" s="21">
        <f>EXP(-LN(2)/35)*AU120+(1-EXP(-LN(2)/35))/(LN(2)/35)*AQ121*AR121*VLOOKUP('Données projet'!$B$10,Paramètres!$A$1:$I$89,3,0)*0.475*44/12</f>
        <v>50.345280785457291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125"/>
        <v>50.345280785457291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projet'!$A$97:$I$117,2,0)</f>
        <v>#N/A</v>
      </c>
      <c r="BB121" s="12" t="e">
        <f>VLOOKUP(A121,'Données projet'!$A$97:$I$117,9,0)</f>
        <v>#N/A</v>
      </c>
      <c r="BC121" s="12">
        <f t="array" ref="BC121">INDEX(BB:BB,MIN(IF(ISNUMBER(BB121:BB317),ROW(BB121:BB317),"")))</f>
        <v>0</v>
      </c>
      <c r="BD121" s="12">
        <f>IF('Données projet'!$A$98&gt;35,BD120+BC121-BL120,IF(A121&lt;'Données projet'!$A$98,$BA$205^A121,IF(A121='Données projet'!$A$98,'Données projet'!$B$98,BD120+BC121-BL120)))</f>
        <v>-1.1368683772161603E-13</v>
      </c>
      <c r="BE121" s="13">
        <f>BD121*VLOOKUP('Données projet'!$B$11,Paramètres!$A$1:$I$89,3,0)*VLOOKUP('Données projet'!$B$11,Paramètres!$A$1:$I$89,5,0)</f>
        <v>-5.0249582272954292E-14</v>
      </c>
      <c r="BF121" s="13" t="e">
        <f t="shared" si="186"/>
        <v>#NUM!</v>
      </c>
      <c r="BG121" s="20" t="e">
        <f t="shared" si="126"/>
        <v>#NUM!</v>
      </c>
      <c r="BH121" s="59" t="e">
        <f t="shared" si="127"/>
        <v>#NUM!</v>
      </c>
      <c r="BI121" s="59">
        <f ca="1">AVERAGE(OFFSET($BH$3,0,0,'Données projet'!$E$11+1,1))-AVERAGE(OFFSET($H$3,0,0,'Données projet'!$E$11+1,1))</f>
        <v>211.31057120485542</v>
      </c>
      <c r="BJ121" s="59">
        <f t="shared" si="187"/>
        <v>283.33292006714777</v>
      </c>
      <c r="BK121" s="15">
        <f>IF(ISNA(VLOOKUP(A121,'Données projet'!$A$97:$I$117,3,0)),0,VLOOKUP(A121,'Données projet'!$A$97:$I$117,3,0))</f>
        <v>0</v>
      </c>
      <c r="BL121" s="15">
        <f>IF(ISNA(VLOOKUP(A121,'Données projet'!$A$97:$I$117,4,0)),0,VLOOKUP(A121,'Données projet'!$A$97:$I$117,4,0))</f>
        <v>0</v>
      </c>
      <c r="BM121" s="16">
        <f>IF(ISNA(VLOOKUP(A121,'Données projet'!$A$97:$I$117,5,0)),0%,VLOOKUP(A121,'Données projet'!$A$97:$I$117,5,0)*VLOOKUP('Données projet'!$B$11,Paramètres!$A$1:$I$89,7,0))</f>
        <v>0</v>
      </c>
      <c r="BN121" s="16">
        <f>IF(ISNA(VLOOKUP(A121,'Données projet'!$A$97:$I$117,6,0)),0%,VLOOKUP(A121,'Données projet'!$A$97:$I$117,6,0)*VLOOKUP('Données projet'!$B$11,Paramètres!$A$1:$I$89,7,0))</f>
        <v>0</v>
      </c>
      <c r="BO121" s="16">
        <f>IF(ISNA(VLOOKUP(A121,'Données projet'!$A$97:$I$117,7,0)),0%,VLOOKUP(A121,'Données projet'!$A$97:$I$117,7,0))</f>
        <v>0</v>
      </c>
      <c r="BP121" s="21">
        <f>EXP(-LN(2)/35)*BP120+(1-EXP(-LN(2)/35))/(LN(2)/35)*BL121*BM121*VLOOKUP('Données projet'!$B$11,Paramètres!$A$1:$I$89,3,0)*0.475*44/12</f>
        <v>51.466633632326179</v>
      </c>
      <c r="BQ121" s="21">
        <f>EXP(-LN(2)/25)*BQ120+(1-EXP(-LN(2)/25))/(LN(2)/25)*Calculateur!BL121*Calculateur!BN121*VLOOKUP('Données projet'!$B$11,Paramètres!$A$1:$I$89,3,0)*0.475*44/12</f>
        <v>7.9413668897024037</v>
      </c>
      <c r="BR121" s="21">
        <f>EXP(-LN(2)/2)*BR120+(1-EXP(-LN(2)/2))/(LN(2)/2)*BL121*BO121*VLOOKUP('Données projet'!$B$11,Paramètres!$A$1:$I$89,3,0)*0.475*44/12</f>
        <v>8.8940596589864605E-9</v>
      </c>
      <c r="BS121" s="22">
        <f t="shared" si="128"/>
        <v>59.408000530922642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projet'!$A$123:$I$143,2,0)</f>
        <v>#N/A</v>
      </c>
      <c r="BW121" s="12" t="e">
        <f>VLOOKUP(A121,'Données projet'!$A$123:$I$143,9,0)</f>
        <v>#N/A</v>
      </c>
      <c r="BX121" s="12">
        <f t="array" ref="BX121">INDEX(BW:BW,MIN(IF(ISNUMBER(BW121:BW317),ROW(BW121:BW317),"")))</f>
        <v>0</v>
      </c>
      <c r="BY121" s="12">
        <f>IF('Données projet'!$A$124&gt;35,BY120+BX121-CG120,IF(A121&lt;'Données projet'!$A$124,$BV$205^A121,IF(A121='Données projet'!$A$124,'Données projet'!$B$124,BY120+BX121-CG120)))</f>
        <v>0</v>
      </c>
      <c r="BZ121" s="13">
        <f>BY121*VLOOKUP('Données projet'!$B$12,Paramètres!$A$1:$I$89,3,0)*VLOOKUP('Données projet'!$B$12,Paramètres!$A$1:$I$89,5,0)</f>
        <v>0</v>
      </c>
      <c r="CA121" s="13" t="e">
        <f t="shared" si="188"/>
        <v>#NUM!</v>
      </c>
      <c r="CB121" s="20" t="e">
        <f t="shared" si="129"/>
        <v>#NUM!</v>
      </c>
      <c r="CC121" s="59" t="e">
        <f t="shared" si="130"/>
        <v>#NUM!</v>
      </c>
      <c r="CD121" s="59">
        <f ca="1">AVERAGE(OFFSET($CC$3,0,0,'Données projet'!$E$12+1,1))-AVERAGE(OFFSET($H$3,0,0,'Données projet'!$E$12+1,1))</f>
        <v>322.93502595881938</v>
      </c>
      <c r="CE121" s="59">
        <f t="shared" si="189"/>
        <v>302.67072119588164</v>
      </c>
      <c r="CF121" s="15">
        <f>IF(ISNA(VLOOKUP(A121,'Données projet'!$A$123:$I$143,3,0)),0,VLOOKUP(A121,'Données projet'!$A$123:$I$143,3,0))</f>
        <v>0</v>
      </c>
      <c r="CG121" s="15">
        <f>IF(ISNA(VLOOKUP(A121,'Données projet'!$A$123:$I$143,4,0)),0,VLOOKUP(A121,'Données projet'!$A$123:$I$143,4,0))</f>
        <v>0</v>
      </c>
      <c r="CH121" s="16">
        <f>IF(ISNA(VLOOKUP(A121,'Données projet'!$A$123:$I$143,5,0)),0%,VLOOKUP(A121,'Données projet'!$A$123:$I$143,5,0)*VLOOKUP('Données projet'!$B$12,Paramètres!$A$1:$I$89,7,0))</f>
        <v>0</v>
      </c>
      <c r="CI121" s="16">
        <f>IF(ISNA(VLOOKUP(A121,'Données projet'!$A$123:$I$143,6,0)),0%,VLOOKUP(A121,'Données projet'!$A$123:$I$143,6,0)*VLOOKUP('Données projet'!$B$12,Paramètres!$A$1:$I$89,7,0))</f>
        <v>0</v>
      </c>
      <c r="CJ121" s="16">
        <f>IF(ISNA(VLOOKUP(A121,'Données projet'!$A$123:$I$143,7,0)),0%,VLOOKUP(A121,'Données projet'!$A$123:$I$143,7,0))</f>
        <v>0</v>
      </c>
      <c r="CK121" s="21">
        <f>EXP(-LN(2)/35)*CK120+(1-EXP(-LN(2)/35))/(LN(2)/35)*CG121*CH121*VLOOKUP('Données projet'!$B$12,Paramètres!$A$1:$I$89,3,0)*0.475*44/12</f>
        <v>81.998783475765137</v>
      </c>
      <c r="CL121" s="21">
        <f>EXP(-LN(2)/25)*CL120+(1-EXP(-LN(2)/25))/(LN(2)/25)*Calculateur!CG121*Calculateur!CI121*VLOOKUP('Données projet'!$B$12,Paramètres!$A$1:$I$89,3,0)*0.475*44/12</f>
        <v>25.417178883482297</v>
      </c>
      <c r="CM121" s="21">
        <f>EXP(-LN(2)/2)*CM120+(1-EXP(-LN(2)/2))/(LN(2)/2)*CG121*CJ121*VLOOKUP('Données projet'!$B$12,Paramètres!$A$1:$I$89,3,0)*0.475*44/12</f>
        <v>0</v>
      </c>
      <c r="CN121" s="22">
        <f t="shared" si="131"/>
        <v>107.41596235924743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projet'!$A$149:$I$169,2,0)</f>
        <v>#N/A</v>
      </c>
      <c r="CR121" s="12" t="e">
        <f>VLOOKUP(A121,'Données projet'!$A$149:$I$169,9,0)</f>
        <v>#N/A</v>
      </c>
      <c r="CS121" s="12">
        <f t="array" ref="CS121">INDEX(CR:CR,MIN(IF(ISNUMBER(CR121:CR317),ROW(CR121:CR317),"")))</f>
        <v>5.3066239316239274</v>
      </c>
      <c r="CT121" s="12">
        <f>IF('Données projet'!$A$150&gt;35,CT120+CS121-DB120,IF(A121&lt;'Données projet'!$A$150,$CQ$205^A121,IF(A121='Données projet'!$A$150,'Données projet'!$B$150,CT120+CS121-DB120)))</f>
        <v>241.14850427350393</v>
      </c>
      <c r="CU121" s="17">
        <f>CT121*VLOOKUP('Données projet'!$B$13,Paramètres!$A$1:$I$89,3,0)*VLOOKUP('Données projet'!$B$13,Paramètres!$A$1:$I$89,5,0)</f>
        <v>244.52458333333303</v>
      </c>
      <c r="CV121" s="13">
        <f t="shared" si="190"/>
        <v>59.41195592689057</v>
      </c>
      <c r="CW121" s="20">
        <f t="shared" si="132"/>
        <v>529.35613921155607</v>
      </c>
      <c r="CX121" s="59">
        <f t="shared" si="133"/>
        <v>822.68947254488944</v>
      </c>
      <c r="CY121" s="59">
        <f ca="1">AVERAGE(OFFSET($CX$3,0,0,'Données projet'!$E$13+1,1))-AVERAGE(OFFSET($H$3,0,0,'Données projet'!$E$13+1,1))</f>
        <v>250.31277422753283</v>
      </c>
      <c r="CZ121" s="59">
        <f t="shared" si="191"/>
        <v>159.20429420478047</v>
      </c>
      <c r="DA121" s="15">
        <f>IF(ISNA(VLOOKUP(A121,'Données projet'!$A$149:$I$169,3,0)),0,VLOOKUP(A121,'Données projet'!$A$149:$I$169,3,0))</f>
        <v>0</v>
      </c>
      <c r="DB121" s="15">
        <f>IF(ISNA(VLOOKUP(A121,'Données projet'!$A$149:$I$169,4,0)),0,VLOOKUP(A121,'Données projet'!$A$149:$I$169,4,0))</f>
        <v>0</v>
      </c>
      <c r="DC121" s="16">
        <f>IF(ISNA(VLOOKUP(A121,'Données projet'!$A$149:$I$169,5,0)),0%,VLOOKUP(A121,'Données projet'!$A$149:$I$169,5,0)*VLOOKUP('Données projet'!$B$13,Paramètres!$A$1:$I$89,7,0))</f>
        <v>0</v>
      </c>
      <c r="DD121" s="16">
        <f>IF(ISNA(VLOOKUP(A121,'Données projet'!$A$149:$I$169,6,0)),0%,VLOOKUP(A121,'Données projet'!$A$149:$I$169,6,0)*VLOOKUP('Données projet'!$B$13,Paramètres!$A$1:$I$89,7,0))</f>
        <v>0</v>
      </c>
      <c r="DE121" s="16">
        <f>IF(ISNA(VLOOKUP(A121,'Données projet'!$A$149:$I$169,7,0)),0%,VLOOKUP(A121,'Données projet'!$A$149:$I$169,7,0))</f>
        <v>0</v>
      </c>
      <c r="DF121" s="21">
        <f>EXP(-LN(2)/35)*DF120+(1-EXP(-LN(2)/35))/(LN(2)/35)*DB121*DC121*VLOOKUP('Données projet'!$B$13,Paramètres!$A$1:$I$89,3,0)*0.475*44/12</f>
        <v>36.238313251166865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134"/>
        <v>36.238313251166865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projet'!$A$175:$I$195,2,0)</f>
        <v>#N/A</v>
      </c>
      <c r="DM121" s="12" t="e">
        <f>VLOOKUP(A121,'Données projet'!$A$175:$I$195,9,0)</f>
        <v>#N/A</v>
      </c>
      <c r="DN121" s="12">
        <f t="array" ref="DN121">INDEX(DM:DM,MIN(IF(ISNUMBER(DM121:DM317),ROW(DM121:DM317),"")))</f>
        <v>0</v>
      </c>
      <c r="DO121" s="12">
        <f>IF('Données projet'!$A$176&gt;35,DO120+DN121-DW120,IF(A121&lt;'Données projet'!$A$176,$DL$205^A121,IF(A121='Données projet'!$A$176,'Données projet'!$B$176,DO120+DN121-DW120)))</f>
        <v>-2.8421709430404007E-13</v>
      </c>
      <c r="DP121" s="17">
        <f>DO121*VLOOKUP('Données projet'!$B$14,Paramètres!$A$1:$I$89,3,0)*VLOOKUP('Données projet'!$B$14,Paramètres!$A$1:$I$89,5,0)</f>
        <v>-2.0838797354372215E-13</v>
      </c>
      <c r="DQ121" s="13" t="e">
        <f t="shared" si="192"/>
        <v>#NUM!</v>
      </c>
      <c r="DR121" s="20" t="e">
        <f t="shared" si="135"/>
        <v>#NUM!</v>
      </c>
      <c r="DS121" s="59" t="e">
        <f t="shared" si="136"/>
        <v>#NUM!</v>
      </c>
      <c r="DT121" s="59">
        <f ca="1">AVERAGE(OFFSET($DS$3,0,0,'Données projet'!$E$14+1,1))-AVERAGE(OFFSET($H$3,0,0,'Données projet'!$E$14+1,1))</f>
        <v>296.91321813251051</v>
      </c>
      <c r="DU121" s="59">
        <f t="shared" si="193"/>
        <v>291.0718079639509</v>
      </c>
      <c r="DV121" s="15">
        <f>IF(ISNA(VLOOKUP(A121,'Données projet'!$A$175:$I$195,3,0)),0,VLOOKUP(A121,'Données projet'!$A$175:$I$195,3,0))</f>
        <v>0</v>
      </c>
      <c r="DW121" s="15">
        <f>IF(ISNA(VLOOKUP(A121,'Données projet'!$A$175:$I$195,4,0)),0,VLOOKUP(A121,'Données projet'!$A$175:$I$195,4,0))</f>
        <v>0</v>
      </c>
      <c r="DX121" s="16">
        <f>IF(ISNA(VLOOKUP(A121,'Données projet'!$A$175:$I$195,5,0)),0%,VLOOKUP(A121,'Données projet'!$A$175:$I$195,5,0)*VLOOKUP('Données projet'!$B$14,Paramètres!$A$1:$I$89,7,0))</f>
        <v>0</v>
      </c>
      <c r="DY121" s="16">
        <f>IF(ISNA(VLOOKUP(A121,'Données projet'!$A$175:$I$195,6,0)),0%,VLOOKUP(A121,'Données projet'!$A$175:$I$195,6,0)*VLOOKUP('Données projet'!$B$14,Paramètres!$A$1:$I$89,7,0))</f>
        <v>0</v>
      </c>
      <c r="DZ121" s="16">
        <f>IF(ISNA(VLOOKUP(A121,'Données projet'!$A$175:$I$195,7,0)),0%,VLOOKUP(A121,'Données projet'!$A$175:$I$195,7,0))</f>
        <v>0</v>
      </c>
      <c r="EA121" s="21">
        <f>EXP(-LN(2)/35)*EA120+(1-EXP(-LN(2)/35))/(LN(2)/35)*DW121*DX121*VLOOKUP('Données projet'!$B$14,Paramètres!$A$1:$I$89,3,0)*0.475*44/12</f>
        <v>81.726461994269542</v>
      </c>
      <c r="EB121" s="21">
        <f>EXP(-LN(2)/25)*EB120+(1-EXP(-LN(2)/25))/(LN(2)/25)*Calculateur!DW121*Calculateur!DY121*VLOOKUP('Données projet'!$B$14,Paramètres!$A$1:$I$89,3,0)*0.475*44/12</f>
        <v>1.8671690127791065</v>
      </c>
      <c r="EC121" s="21">
        <f>EXP(-LN(2)/2)*EC120+(1-EXP(-LN(2)/2))/(LN(2)/2)*DW121*DZ121*VLOOKUP('Données projet'!$B$14,Paramètres!$A$1:$I$89,3,0)*0.475*44/12</f>
        <v>0</v>
      </c>
      <c r="ED121" s="22">
        <f t="shared" si="137"/>
        <v>83.593631007048643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projet'!$A$201:$I$221,2,0)</f>
        <v>#N/A</v>
      </c>
      <c r="EH121" s="12" t="e">
        <f>VLOOKUP(A121,'Données projet'!$A$201:$I$221,9,0)</f>
        <v>#N/A</v>
      </c>
      <c r="EI121" s="12">
        <f t="array" ref="EI121">INDEX(EH:EH,MIN(IF(ISNUMBER(EH121:EH317),ROW(EH121:EH317),"")))</f>
        <v>0</v>
      </c>
      <c r="EJ121" s="12">
        <f>IF('Données projet'!$A$202&gt;35,EJ120+EI121-ER120,IF(A121&lt;'Données projet'!$A$202,$EG$205^A121,IF(A121='Données projet'!$A$202,'Données projet'!$B$202,EJ120+EI121-ER120)))</f>
        <v>5.1159076974727213E-13</v>
      </c>
      <c r="EK121" s="17">
        <f>EJ121*VLOOKUP('Données projet'!$B$15,Paramètres!$A$1:$I$89,3,0)*VLOOKUP('Données projet'!$B$15,Paramètres!$A$1:$I$89,5,0)</f>
        <v>2.3942448024172334E-13</v>
      </c>
      <c r="EL121" s="13">
        <f t="shared" si="194"/>
        <v>3.2492669905861755E-12</v>
      </c>
      <c r="EM121" s="20">
        <f t="shared" si="138"/>
        <v>6.0761376450252565E-12</v>
      </c>
      <c r="EN121" s="59">
        <f t="shared" si="139"/>
        <v>293.3333333333394</v>
      </c>
      <c r="EO121" s="59">
        <f ca="1">AVERAGE(OFFSET($EN$3,0,0,'Données projet'!$E$15+1,1))-AVERAGE(OFFSET($H$3,0,0,'Données projet'!$E$15+1,1))</f>
        <v>147.64256291235483</v>
      </c>
      <c r="EP121" s="59">
        <f t="shared" si="195"/>
        <v>70.859031694091868</v>
      </c>
      <c r="EQ121" s="15">
        <f>IF(ISNA(VLOOKUP(A121,'Données projet'!$A$201:$I$221,3,0)),0,VLOOKUP(A121,'Données projet'!$A$201:$I$221,3,0))</f>
        <v>0</v>
      </c>
      <c r="ER121" s="15">
        <f>IF(ISNA(VLOOKUP(A121,'Données projet'!$A$201:$I$221,4,0)),0,VLOOKUP(A121,'Données projet'!$A$201:$I$221,4,0))</f>
        <v>0</v>
      </c>
      <c r="ES121" s="16">
        <f>IF(ISNA(VLOOKUP(A121,'Données projet'!$A$201:$I$221,5,0)),0%,VLOOKUP(A121,'Données projet'!$A$201:$I$221,5,0)*VLOOKUP('Données projet'!$B$15,Paramètres!$A$1:$I$89,7,0))</f>
        <v>0</v>
      </c>
      <c r="ET121" s="16">
        <f>IF(ISNA(VLOOKUP(A121,'Données projet'!$A$201:$I$221,6,0)),0%,VLOOKUP(A121,'Données projet'!$A$201:$I$221,6,0)*VLOOKUP('Données projet'!$B$15,Paramètres!$A$1:$I$89,7,0))</f>
        <v>0</v>
      </c>
      <c r="EU121" s="16">
        <f>IF(ISNA(VLOOKUP(A121,'Données projet'!$A$201:$I$221,7,0)),0%,VLOOKUP(A121,'Données projet'!$A$201:$I$221,7,0))</f>
        <v>0</v>
      </c>
      <c r="EV121" s="21">
        <f>EXP(-LN(2)/35)*EV120+(1-EXP(-LN(2)/35))/(LN(2)/35)*ER121*ES121*VLOOKUP('Données projet'!$B$15,Paramètres!$A$1:$I$89,3,0)*0.475*44/12</f>
        <v>111.88481471125301</v>
      </c>
      <c r="EW121" s="21">
        <f>EXP(-LN(2)/25)*EW120+(1-EXP(-LN(2)/25))/(LN(2)/25)*Calculateur!ER121*Calculateur!ET121*VLOOKUP('Données projet'!$B$15,Paramètres!$A$1:$I$89,3,0)*0.475*44/12</f>
        <v>25.905088911323674</v>
      </c>
      <c r="EX121" s="21">
        <f>EXP(-LN(2)/2)*EX120+(1-EXP(-LN(2)/2))/(LN(2)/2)*ER121*EU121*VLOOKUP('Données projet'!$B$15,Paramètres!$A$1:$I$89,3,0)*0.475*44/12</f>
        <v>0.81090516546187685</v>
      </c>
      <c r="EY121" s="22">
        <f t="shared" si="140"/>
        <v>138.60080878803856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projet'!$A$227:$I$247,2,0)</f>
        <v>#N/A</v>
      </c>
      <c r="FC121" s="12" t="e">
        <f>VLOOKUP(A121,'Données projet'!$A$227:$I$247,9,0)</f>
        <v>#N/A</v>
      </c>
      <c r="FD121" s="12">
        <f t="array" ref="FD121">INDEX(FC:FC,MIN(IF(ISNUMBER(FC121:FC317),ROW(FC121:FC317),"")))</f>
        <v>0</v>
      </c>
      <c r="FE121" s="12">
        <f>IF('Données projet'!$A$228&gt;35,FE120+FD121-FM120,IF(A121&lt;'Données projet'!$A$228,$FB$205^A121,IF(A121='Données projet'!$A$228,'Données projet'!$B$228,FE120+FD121-FM120)))</f>
        <v>8.5265128291212022E-14</v>
      </c>
      <c r="FF121" s="17">
        <f>FE121*VLOOKUP('Données projet'!$B$16,Paramètres!$A$1:$I$89,3,0)*VLOOKUP('Données projet'!$B$16,Paramètres!$A$1:$I$89,5,0)</f>
        <v>8.9119112089974823E-14</v>
      </c>
      <c r="FG121" s="13">
        <f t="shared" si="196"/>
        <v>1.3568952080113142E-12</v>
      </c>
      <c r="FH121" s="20">
        <f t="shared" si="141"/>
        <v>2.5184749408430782E-12</v>
      </c>
      <c r="FI121" s="59">
        <f t="shared" si="142"/>
        <v>293.33333333333582</v>
      </c>
      <c r="FJ121" s="59">
        <f ca="1">AVERAGE(OFFSET($FI$3,0,0,'Données projet'!$E$16+1,1))-AVERAGE(OFFSET($H$3,0,0,'Données projet'!$E$16+1,1))</f>
        <v>259.03906550253788</v>
      </c>
      <c r="FK121" s="59">
        <f t="shared" si="197"/>
        <v>235.54542903570831</v>
      </c>
      <c r="FL121" s="15">
        <f>IF(ISNA(VLOOKUP(A121,'Données projet'!$A$227:$I$247,3,0)),0,VLOOKUP(A121,'Données projet'!$A$227:$I$247,3,0))</f>
        <v>0</v>
      </c>
      <c r="FM121" s="15">
        <f>IF(ISNA(VLOOKUP(A121,'Données projet'!$A$227:$I$247,4,0)),0,VLOOKUP(A121,'Données projet'!$A$227:$I$247,4,0))</f>
        <v>0</v>
      </c>
      <c r="FN121" s="16">
        <f>IF(ISNA(VLOOKUP(A121,'Données projet'!$A$227:$I$247,5,0)),0%,VLOOKUP(A121,'Données projet'!$A$227:$I$247,5,0)*VLOOKUP('Données projet'!$B$16,Paramètres!$A$1:$I$89,7,0))</f>
        <v>0</v>
      </c>
      <c r="FO121" s="16">
        <f>IF(ISNA(VLOOKUP(A121,'Données projet'!$A$227:$I$247,6,0)),0%,VLOOKUP(A121,'Données projet'!$A$227:$I$247,6,0)*VLOOKUP('Données projet'!$B$16,Paramètres!$A$1:$I$89,7,0))</f>
        <v>0</v>
      </c>
      <c r="FP121" s="16">
        <f>IF(ISNA(VLOOKUP(A121,'Données projet'!$A$227:$I$247,7,0)),0%,VLOOKUP(A121,'Données projet'!$A$227:$I$247,7,0))</f>
        <v>0</v>
      </c>
      <c r="FQ121" s="21">
        <f>EXP(-LN(2)/35)*FQ120+(1-EXP(-LN(2)/35))/(LN(2)/35)*FM121*FN121*VLOOKUP('Données projet'!$B$16,Paramètres!$A$1:$I$89,3,0)*0.475*44/12</f>
        <v>49.382916530959676</v>
      </c>
      <c r="FR121" s="21">
        <f>EXP(-LN(2)/25)*FR120+(1-EXP(-LN(2)/25))/(LN(2)/25)*Calculateur!FM121*Calculateur!FO121*VLOOKUP('Données projet'!$B$16,Paramètres!$A$1:$I$89,3,0)*0.475*44/12</f>
        <v>35.636974304987888</v>
      </c>
      <c r="FS121" s="21">
        <f>EXP(-LN(2)/2)*FS120+(1-EXP(-LN(2)/2))/(LN(2)/2)*FM121*FP121*VLOOKUP('Données projet'!$B$16,Paramètres!$A$1:$I$89,3,0)*0.475*44/12</f>
        <v>0</v>
      </c>
      <c r="FT121" s="22">
        <f t="shared" si="143"/>
        <v>85.019890835947564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projet'!$A$253:$I$273,2,0)</f>
        <v>#N/A</v>
      </c>
      <c r="FX121" s="12" t="e">
        <f>VLOOKUP(A121,'Données projet'!$A$253:$I$273,9,0)</f>
        <v>#N/A</v>
      </c>
      <c r="FY121" s="12">
        <f t="array" ref="FY121">INDEX(FX:FX,MIN(IF(ISNUMBER(FX121:FX317),ROW(FX121:FX317),"")))</f>
        <v>0</v>
      </c>
      <c r="FZ121" s="12">
        <f>IF('Données projet'!$A$254&gt;35,FZ120+FY121-GH120,IF(A121&lt;'Données projet'!$A$254,$FW$205^A121,IF(A121='Données projet'!$A$254,'Données projet'!$B$254,FZ120+FY121-GH120)))</f>
        <v>-1.7053025658242404E-13</v>
      </c>
      <c r="GA121" s="17">
        <f>FZ121*VLOOKUP('Données projet'!$B$17,Paramètres!$A$1:$I$89,3,0)*VLOOKUP('Données projet'!$B$17,Paramètres!$A$1:$I$89,5,0)</f>
        <v>-1.4897523215040567E-13</v>
      </c>
      <c r="GB121" s="13" t="e">
        <f t="shared" si="198"/>
        <v>#NUM!</v>
      </c>
      <c r="GC121" s="20" t="e">
        <f t="shared" si="144"/>
        <v>#NUM!</v>
      </c>
      <c r="GD121" s="59" t="e">
        <f t="shared" si="145"/>
        <v>#NUM!</v>
      </c>
      <c r="GE121" s="59">
        <f ca="1">AVERAGE(OFFSET($GD$3,0,0,'Données projet'!$E$17+1,1))-AVERAGE(OFFSET($H$3,0,0,'Données projet'!$E$17+1,1))</f>
        <v>245.1983232777614</v>
      </c>
      <c r="GF121" s="59">
        <f t="shared" si="199"/>
        <v>242.34010522344573</v>
      </c>
      <c r="GG121" s="15">
        <f>IF(ISNA(VLOOKUP(A121,'Données projet'!$A$253:$I$273,3,0)),0,VLOOKUP(A121,'Données projet'!$A$253:$I$273,3,0))</f>
        <v>0</v>
      </c>
      <c r="GH121" s="15">
        <f>IF(ISNA(VLOOKUP(A121,'Données projet'!$A$253:$I$273,4,0)),0,VLOOKUP(A121,'Données projet'!$A$253:$I$273,4,0))</f>
        <v>0</v>
      </c>
      <c r="GI121" s="16">
        <f>IF(ISNA(VLOOKUP(A121,'Données projet'!$A$253:$I$273,5,0)),0%,VLOOKUP(A121,'Données projet'!$A$253:$I$273,5,0)*VLOOKUP('Données projet'!$B$17,Paramètres!$A$1:$I$89,7,0))</f>
        <v>0</v>
      </c>
      <c r="GJ121" s="16">
        <f>IF(ISNA(VLOOKUP(A121,'Données projet'!$A$253:$I$273,6,0)),0%,VLOOKUP(A121,'Données projet'!$A$253:$I$273,6,0)*VLOOKUP('Données projet'!$B$17,Paramètres!$A$1:$I$89,7,0))</f>
        <v>0</v>
      </c>
      <c r="GK121" s="16">
        <f>IF(ISNA(VLOOKUP(A121,'Données projet'!$A$253:$I$273,7,0)),0%,VLOOKUP(A121,'Données projet'!$A$253:$I$273,7,0))</f>
        <v>0</v>
      </c>
      <c r="GL121" s="21">
        <f>EXP(-LN(2)/35)*GL120+(1-EXP(-LN(2)/35))/(LN(2)/35)*GH121*GI121*VLOOKUP('Données projet'!$B$17,Paramètres!$A$1:$I$89,3,0)*0.475*44/12</f>
        <v>58.05639383171517</v>
      </c>
      <c r="GM121" s="21">
        <f>EXP(-LN(2)/25)*GM120+(1-EXP(-LN(2)/25))/(LN(2)/25)*Calculateur!GH121*Calculateur!GJ121*VLOOKUP('Données projet'!$B$17,Paramètres!$A$1:$I$89,3,0)*0.475*44/12</f>
        <v>7.5933710494728865</v>
      </c>
      <c r="GN121" s="21">
        <f>EXP(-LN(2)/2)*GN120+(1-EXP(-LN(2)/2))/(LN(2)/2)*GH121*GK121*VLOOKUP('Données projet'!$B$17,Paramètres!$A$1:$I$89,3,0)*0.475*44/12</f>
        <v>0</v>
      </c>
      <c r="GO121" s="21">
        <f t="shared" si="146"/>
        <v>65.649764881188062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projet'!$A$279:$I$299,2,0)</f>
        <v>#N/A</v>
      </c>
      <c r="GS121" s="12" t="e">
        <f>VLOOKUP(A121,'Données projet'!$A$279:$I$299,9,0)</f>
        <v>#N/A</v>
      </c>
      <c r="GT121" s="12">
        <f t="array" ref="GT121">INDEX(GS:GS,MIN(IF(ISNUMBER(GS121:GS317),ROW(GS121:GS317),"")))</f>
        <v>0</v>
      </c>
      <c r="GU121" s="12">
        <f>IF('Données projet'!$A$280&gt;35,GU120+GT121-HC120,IF(A121&lt;'Données projet'!$A$280,$GR$205^A121,IF(A121='Données projet'!$A$280,'Données projet'!$B$280,GU120+GT121-HC120)))</f>
        <v>-1.1368683772161603E-13</v>
      </c>
      <c r="GV121" s="17">
        <f>GU121*VLOOKUP('Données projet'!$B$18,Paramètres!$A$1:$I$89,3,0)*VLOOKUP('Données projet'!$B$18,Paramètres!$A$1:$I$89,5,0)</f>
        <v>-4.5815795601811263E-14</v>
      </c>
      <c r="GW121" s="13" t="e">
        <f t="shared" si="200"/>
        <v>#NUM!</v>
      </c>
      <c r="GX121" s="20" t="e">
        <f t="shared" si="147"/>
        <v>#NUM!</v>
      </c>
      <c r="GY121" s="59" t="e">
        <f t="shared" si="148"/>
        <v>#NUM!</v>
      </c>
      <c r="GZ121" s="59">
        <f ca="1">AVERAGE(OFFSET($GY$3,0,0,'Données projet'!$E$18+1,1))-AVERAGE(OFFSET($H$3,0,0,'Données projet'!$E$18+1,1))</f>
        <v>324.36162935850876</v>
      </c>
      <c r="HA121" s="59">
        <f t="shared" si="201"/>
        <v>265.23571072429735</v>
      </c>
      <c r="HB121" s="15">
        <f>IF(ISNA(VLOOKUP(A121,'Données projet'!$A$279:$I$299,3,0)),0,VLOOKUP(A121,'Données projet'!$A$279:$I$299,3,0))</f>
        <v>0</v>
      </c>
      <c r="HC121" s="15">
        <f>IF(ISNA(VLOOKUP(A121,'Données projet'!$A$279:$I$299,4,0)),0,VLOOKUP(A121,'Données projet'!$A$279:$I$299,4,0))</f>
        <v>0</v>
      </c>
      <c r="HD121" s="16">
        <f>IF(ISNA(VLOOKUP(A121,'Données projet'!$A$279:$I$299,5,0)),0%,VLOOKUP(A121,'Données projet'!$A$279:$I$299,5,0)*VLOOKUP('Données projet'!$B$18,Paramètres!$A$1:$I$89,7,0))</f>
        <v>0</v>
      </c>
      <c r="HE121" s="16">
        <f>IF(ISNA(VLOOKUP(A121,'Données projet'!$A$279:$I$299,6,0)),0%,VLOOKUP(A121,'Données projet'!$A$279:$I$299,6,0)*VLOOKUP('Données projet'!$B$18,Paramètres!$A$1:$I$89,7,0))</f>
        <v>0</v>
      </c>
      <c r="HF121" s="16">
        <f>IF(ISNA(VLOOKUP($A121,'Données projet'!$A$279:$I$299,7,0)),0%,VLOOKUP($A121,'Données projet'!$A$279:$I$299,7,0))</f>
        <v>0</v>
      </c>
      <c r="HG121" s="21">
        <f>EXP(-LN(2)/35)*HG120+(1-EXP(-LN(2)/35))/(LN(2)/35)*HC121*HD121*VLOOKUP('Données projet'!$B$18,Paramètres!$A$1:$I$89,3,0)*0.475*44/12</f>
        <v>111.25122761496388</v>
      </c>
      <c r="HH121" s="21">
        <f>EXP(-LN(2)/25)*HH120+(1-EXP(-LN(2)/25))/(LN(2)/25)*Calculateur!HC121*Calculateur!HE121*VLOOKUP('Données projet'!$B$18,Paramètres!$A$1:$I$89,3,0)*0.475*44/12</f>
        <v>8.4451868033342716</v>
      </c>
      <c r="HI121" s="21">
        <f>EXP(-LN(2)/2)*HI120+(1-EXP(-LN(2)/2))/(LN(2)/2)*HC121*HF121*VLOOKUP('Données projet'!$B$18,Paramètres!$A$1:$I$89,3,0)*0.475*44/12</f>
        <v>1.6302508753547531E-5</v>
      </c>
      <c r="HJ121" s="22">
        <f t="shared" si="149"/>
        <v>119.6964307208069</v>
      </c>
      <c r="HK121" s="74">
        <f>('Scénario référence'!$F$8+'Scénario référence'!$F$9+'Scénario référence'!$B$17+'Scénario référence'!$B$9+'Scénario référence'!$B$10)*70+IF((45+25*(1-EXP(-0.0175*$A121)))&lt;70,'Scénario référence'!$B$16*(45+25*(1-EXP(-0.0175*$A121))),70*'Scénario référence'!$B$16)+IF((32+38*(1-EXP(-0.0175*$A121)))&lt;70,'Scénario référence'!$B$18*(32+38*(1-EXP(-0.0175*$A121))),70*'Scénario référence'!$B$18)</f>
        <v>70</v>
      </c>
      <c r="HL121" s="12">
        <f>IF($A121&gt;30,10,('Scénario référence'!$B$16+'Scénario référence'!$B$17+'Scénario référence'!$B$18+'Scénario référence'!$B$9+'Scénario référence'!$B$10)*$A121*10/30+('Scénario référence'!$F$8+'Scénario référence'!$F$9)*10)</f>
        <v>10</v>
      </c>
      <c r="HM121" s="12" t="e">
        <f>VLOOKUP($A121,'Données projet'!$A$304:$I$324,2,0)</f>
        <v>#N/A</v>
      </c>
      <c r="HN121" s="12" t="e">
        <f>VLOOKUP($A121,'Données projet'!$A$304:$I$324,9,0)</f>
        <v>#N/A</v>
      </c>
      <c r="HO121" s="12">
        <f t="array" ref="HO121">INDEX(HN:HN,MIN(IF(ISNUMBER(HN121:HN317),ROW(HN121:HN317),"")))</f>
        <v>0</v>
      </c>
      <c r="HP121" s="12">
        <f>IF('Données projet'!$A$304&gt;35,HP120+HO121-HX120,IF($A121&lt;'Données projet'!$A$304,$CQ$205^$A121,IF($A121='Données projet'!$A$304,'Données projet'!$B$304,HP120+HO121-HX120)))</f>
        <v>0</v>
      </c>
      <c r="HQ121" s="17">
        <f>HP121*VLOOKUP('Données projet'!$B$19,Paramètres!$A$1:$I$89,3,0)*VLOOKUP('Données projet'!$B$19,Paramètres!$A$1:$I$89,5,0)</f>
        <v>0</v>
      </c>
      <c r="HR121" s="13" t="e">
        <f t="shared" si="202"/>
        <v>#NUM!</v>
      </c>
      <c r="HS121" s="14" t="e">
        <f t="shared" si="150"/>
        <v>#NUM!</v>
      </c>
      <c r="HT121" s="59" t="e">
        <f t="shared" si="151"/>
        <v>#NUM!</v>
      </c>
      <c r="HU121" s="59">
        <f ca="1">AVERAGE(OFFSET(HT$3,0,0,'Données projet'!$E$19+1,1))-AVERAGE(OFFSET($H$3,0,0,'Données projet'!$E$19+1,1))</f>
        <v>91.60721429656013</v>
      </c>
      <c r="HV121" s="59">
        <f t="shared" si="203"/>
        <v>258.94957804210856</v>
      </c>
      <c r="HW121" s="15">
        <f>IF(ISNA(VLOOKUP($A121,'Données projet'!$A$304:$I$324,3,0)),0,VLOOKUP($A121,'Données projet'!$A$304:$I$324,3,0))</f>
        <v>0</v>
      </c>
      <c r="HX121" s="15">
        <f>IF(ISNA(VLOOKUP($A121,'Données projet'!$A$304:$I$324,4,0)),0,VLOOKUP($A121,'Données projet'!$A$304:$I$324,4,0))</f>
        <v>0</v>
      </c>
      <c r="HY121" s="16">
        <f>IF(ISNA(VLOOKUP($A121,'Données projet'!$A$304:$I$324,5,0)),0%,VLOOKUP($A121,'Données projet'!$A$304:$I$324,5,0)*VLOOKUP('Données projet'!$B$19,Paramètres!$A$1:$I$89,7,0))</f>
        <v>0</v>
      </c>
      <c r="HZ121" s="16">
        <f>IF(ISNA(VLOOKUP($A121,'Données projet'!$A$304:$I$324,6,0)),0%,VLOOKUP($A121,'Données projet'!$A$304:$I$324,6,0)*VLOOKUP('Données projet'!$B$19,Paramètres!$A$1:$I$89,7,0))</f>
        <v>0</v>
      </c>
      <c r="IA121" s="16">
        <f>IF(ISNA(VLOOKUP($A121,'Données projet'!$A$304:$I$324,7,0)),0%,VLOOKUP($A121,'Données projet'!$A$304:$I$324,7,0))</f>
        <v>0</v>
      </c>
      <c r="IB121" s="21">
        <f>EXP(-LN(2)/35)*IB120+(1-EXP(-LN(2)/35))/(LN(2)/35)*HX121*HY121*VLOOKUP('Données projet'!$B$19,Paramètres!$A$1:$I$89,3,0)*0.475*44/12</f>
        <v>8.6349436753021536</v>
      </c>
      <c r="IC121" s="21">
        <f>EXP(-LN(2)/25)*IC120+(1-EXP(-LN(2)/25))/(LN(2)/25)*Calculateur!HX121*Calculateur!HZ121*VLOOKUP('Données projet'!$B$19,Paramètres!$A$1:$I$89,3,0)*0.475*44/12</f>
        <v>0.8479803230958759</v>
      </c>
      <c r="ID121" s="21">
        <f>EXP(-LN(2)/2)*ID120+(1-EXP(-LN(2)/2))/(LN(2)/2)*HX121*IA121*VLOOKUP('Données projet'!$B$19,Paramètres!$A$1:$I$89,3,0)*0.475*44/12</f>
        <v>3.2562883901845086E-14</v>
      </c>
      <c r="IE121" s="22">
        <f t="shared" si="152"/>
        <v>9.4829239983980607</v>
      </c>
      <c r="IF121" s="74">
        <f>('Scénario référence'!$F$8+'Scénario référence'!$F$9+'Scénario référence'!$B$17+'Scénario référence'!$B$9+'Scénario référence'!$B$10)*70+IF((45+25*(1-EXP(-0.0175*$A121)))&lt;70,'Scénario référence'!$B$16*(45+25*(1-EXP(-0.0175*$A121))),70*'Scénario référence'!$B$16)+IF((32+38*(1-EXP(-0.0175*$A121)))&lt;70,'Scénario référence'!$B$18*(32+38*(1-EXP(-0.0175*$A121))),70*'Scénario référence'!$B$18)</f>
        <v>70</v>
      </c>
      <c r="IG121" s="12">
        <f>IF($A121&gt;30,10,('Scénario référence'!$B$16+'Scénario référence'!$B$17+'Scénario référence'!$B$18+'Scénario référence'!$B$9+'Scénario référence'!$B$10)*$A121*10/30+('Scénario référence'!$F$8+'Scénario référence'!$F$9)*10)</f>
        <v>10</v>
      </c>
      <c r="IH121" s="12" t="e">
        <f>VLOOKUP($A121,'Données projet'!$A$330:$I$350,2,0)</f>
        <v>#N/A</v>
      </c>
      <c r="II121" s="12" t="e">
        <f>VLOOKUP($A121,'Données projet'!$A$330:$I$350,9,0)</f>
        <v>#N/A</v>
      </c>
      <c r="IJ121" s="12">
        <f t="array" ref="IJ121">INDEX(II:II,MIN(IF(ISNUMBER(II121:II317),ROW(II121:II317),"")))</f>
        <v>0</v>
      </c>
      <c r="IK121" s="12">
        <f>IF('Données projet'!$A$330&gt;35,IK120+IJ121-IS120,IF($A121&lt;'Données projet'!$A$330,$CQ$205^$A121,IF($A121='Données projet'!$A$330,'Données projet'!$B$330,IK120+IJ121-IS120)))</f>
        <v>0</v>
      </c>
      <c r="IL121" s="17">
        <f>IK121*VLOOKUP('Données projet'!$B$20,Paramètres!$A$1:$I$89,3,0)*VLOOKUP('Données projet'!$B$20,Paramètres!$A$1:$I$89,5,0)</f>
        <v>0</v>
      </c>
      <c r="IM121" s="13" t="e">
        <f t="shared" si="204"/>
        <v>#NUM!</v>
      </c>
      <c r="IN121" s="20" t="e">
        <f t="shared" si="153"/>
        <v>#NUM!</v>
      </c>
      <c r="IO121" s="59" t="e">
        <f t="shared" si="154"/>
        <v>#NUM!</v>
      </c>
      <c r="IP121" s="59">
        <f ca="1">AVERAGE(OFFSET(IO$3,0,0,'Données projet'!$E$20+1,1))-AVERAGE(OFFSET($H$3,0,0,'Données projet'!$E$20+1,1))</f>
        <v>91.60721429656013</v>
      </c>
      <c r="IQ121" s="59">
        <f t="shared" si="205"/>
        <v>258.94957804210856</v>
      </c>
      <c r="IR121" s="15">
        <f>IF(ISNA(VLOOKUP($A121,'Données projet'!$A$330:$I$350,3,0)),0,VLOOKUP($A121,'Données projet'!$A$330:$I$350,3,0))</f>
        <v>0</v>
      </c>
      <c r="IS121" s="15">
        <f>IF(ISNA(VLOOKUP($A121,'Données projet'!$A$330:$I$350,4,0)),0,VLOOKUP($A121,'Données projet'!$A$330:$I$350,4,0))</f>
        <v>0</v>
      </c>
      <c r="IT121" s="16">
        <f>IF(ISNA(VLOOKUP($A121,'Données projet'!$A$330:$I$350,5,0)),0%,VLOOKUP($A121,'Données projet'!$A$330:$I$350,5,0)*VLOOKUP('Données projet'!$B$20,Paramètres!$A$1:$I$89,7,0))</f>
        <v>0</v>
      </c>
      <c r="IU121" s="16">
        <f>IF(ISNA(VLOOKUP($A121,'Données projet'!$A$330:$I$350,6,0)),0%,VLOOKUP($A121,'Données projet'!$A$330:$I$350,6,0)*VLOOKUP('Données projet'!$B$20,Paramètres!$A$1:$I$89,7,0))</f>
        <v>0</v>
      </c>
      <c r="IV121" s="16">
        <f>IF(ISNA(VLOOKUP($A121,'Données projet'!$A$330:$I$350,7,0)),0%,VLOOKUP($A121,'Données projet'!$A$330:$I$350,7,0))</f>
        <v>0</v>
      </c>
      <c r="IW121" s="21">
        <f>EXP(-LN(2)/35)*IW120+(1-EXP(-LN(2)/35))/(LN(2)/35)*IS121*IT121*VLOOKUP('Données projet'!$B$20,Paramètres!$A$1:$I$89,3,0)*0.475*44/12</f>
        <v>8.6349436753021536</v>
      </c>
      <c r="IX121" s="21">
        <f>EXP(-LN(2)/25)*IX120+(1-EXP(-LN(2)/25))/(LN(2)/25)*Calculateur!IS121*Calculateur!IU121*VLOOKUP('Données projet'!$B$20,Paramètres!$A$1:$I$89,3,0)*0.475*44/12</f>
        <v>0.8479803230958759</v>
      </c>
      <c r="IY121" s="21">
        <f>EXP(-LN(2)/2)*IY120+(1-EXP(-LN(2)/2))/(LN(2)/2)*IS121*IV121*VLOOKUP('Données projet'!$B$20,Paramètres!$A$1:$I$89,3,0)*0.475*44/12</f>
        <v>3.2562883901845086E-14</v>
      </c>
      <c r="IZ121" s="22">
        <f t="shared" si="155"/>
        <v>9.4829239983980607</v>
      </c>
      <c r="JA121" s="74">
        <f>('Scénario référence'!$F$8+'Scénario référence'!$F$9+'Scénario référence'!$B$17+'Scénario référence'!$B$9+'Scénario référence'!$B$10)*70+IF((45+25*(1-EXP(-0.0175*$A121)))&lt;70,'Scénario référence'!$B$16*(45+25*(1-EXP(-0.0175*$A121))),70*'Scénario référence'!$B$16)+IF((32+38*(1-EXP(-0.0175*$A121)))&lt;70,'Scénario référence'!$B$18*(32+38*(1-EXP(-0.0175*$A121))),70*'Scénario référence'!$B$18)</f>
        <v>70</v>
      </c>
      <c r="JB121" s="12">
        <f>IF($A121&gt;30,10,('Scénario référence'!$B$16+'Scénario référence'!$B$17+'Scénario référence'!$B$18+'Scénario référence'!$B$9+'Scénario référence'!$B$10)*$A121*10/30+('Scénario référence'!$F$8+'Scénario référence'!$F$9)*10)</f>
        <v>10</v>
      </c>
      <c r="JC121" s="12" t="e">
        <f>VLOOKUP($A121,'Données projet'!$A$356:$I$376,2,0)</f>
        <v>#N/A</v>
      </c>
      <c r="JD121" s="12" t="e">
        <f>VLOOKUP($A121,'Données projet'!$A$356:$I$376,9,0)</f>
        <v>#N/A</v>
      </c>
      <c r="JE121" s="12">
        <f t="array" ref="JE121">INDEX(JD:JD,MIN(IF(ISNUMBER(JD121:JD317),ROW(JD121:JD317),"")))</f>
        <v>2.2000000000000002</v>
      </c>
      <c r="JF121" s="12">
        <f>IF('Données projet'!$A$356&gt;35,JF120+JE121-JN120,IF($A121&lt;'Données projet'!$A$356,$CQ$205^$A121,IF($A121='Données projet'!$A$356,'Données projet'!$B$356,JF120+JE121-JN120)))</f>
        <v>413.59999999999928</v>
      </c>
      <c r="JG121" s="17">
        <f>JF121*VLOOKUP('Données projet'!$B$21,Paramètres!$A$1:$I$89,3,0)*VLOOKUP('Données projet'!$B$21,Paramètres!$A$1:$I$89,5,0)</f>
        <v>335.51231999999942</v>
      </c>
      <c r="JH121" s="13">
        <f t="shared" si="206"/>
        <v>78.57204754931108</v>
      </c>
      <c r="JI121" s="20">
        <f t="shared" si="156"/>
        <v>721.1969401483824</v>
      </c>
      <c r="JJ121" s="59">
        <f t="shared" si="157"/>
        <v>1014.5302734817158</v>
      </c>
      <c r="JK121" s="59">
        <f ca="1">AVERAGE(OFFSET($JJ$3,0,0,'Données projet'!$E$22+1,1))-AVERAGE(OFFSET($H$3,0,0,'Données projet'!$E$22+1,1))</f>
        <v>353.35574633294613</v>
      </c>
      <c r="JL121" s="59">
        <f t="shared" si="207"/>
        <v>170.36796666474726</v>
      </c>
      <c r="JM121" s="15">
        <f>IF(ISNA(VLOOKUP($A121,'Données projet'!$A$356:$I$376,3,0)),0,VLOOKUP($A121,'Données projet'!$A$356:$I$376,3,0))</f>
        <v>0</v>
      </c>
      <c r="JN121" s="15">
        <f>IF(ISNA(VLOOKUP($A121,'Données projet'!$A$356:$I$376,4,0)),0,VLOOKUP($A121,'Données projet'!$A$356:$I$376,4,0))</f>
        <v>0</v>
      </c>
      <c r="JO121" s="16">
        <f>IF(ISNA(VLOOKUP($A121,'Données projet'!$A$356:$I$376,5,0)),0%,VLOOKUP($A121,'Données projet'!$A$356:$I$376,5,0)*VLOOKUP('Données projet'!$B$21,Paramètres!$A$1:$I$89,7,0))</f>
        <v>0</v>
      </c>
      <c r="JP121" s="16">
        <f>IF(ISNA(VLOOKUP($A121,'Données projet'!$A$356:$I$376,6,0)),0%,VLOOKUP($A121,'Données projet'!$A$356:$I$376,6,0)*VLOOKUP('Données projet'!$B$21,Paramètres!$A$1:$I$89,7,0))</f>
        <v>0</v>
      </c>
      <c r="JQ121" s="16">
        <f>IF(ISNA(VLOOKUP($A121,'Données projet'!$A$356:$I$376,7,0)),0%,VLOOKUP($A121,'Données projet'!$A$356:$I$376,7,0))</f>
        <v>0</v>
      </c>
      <c r="JR121" s="21">
        <f>EXP(-LN(2)/35)*JR120+(1-EXP(-LN(2)/35))/(LN(2)/35)*JN121*JO121*VLOOKUP('Données projet'!$B$21,Paramètres!$A$1:$I$89,3,0)*0.475*44/12</f>
        <v>4.2892486471153681</v>
      </c>
      <c r="JS121" s="21">
        <f>EXP(-LN(2)/25)*JS120+(1-EXP(-LN(2)/25))/(LN(2)/25)*Calculateur!JN121*Calculateur!JP121*VLOOKUP('Données projet'!$B$21,Paramètres!$A$1:$I$89,3,0)*0.475*44/12</f>
        <v>14.166362207805708</v>
      </c>
      <c r="JT121" s="21">
        <f>EXP(-LN(2)/2)*JT120+(1-EXP(-LN(2)/2))/(LN(2)/2)*JN121*JQ121*VLOOKUP('Données projet'!$B$21,Paramètres!$A$1:$I$89,3,0)*0.475*44/12</f>
        <v>0.21803678442857513</v>
      </c>
      <c r="JU121" s="18">
        <f t="shared" si="158"/>
        <v>18.673647639349653</v>
      </c>
      <c r="JV121" s="74">
        <f>('Scénario référence'!$F$8+'Scénario référence'!$F$9+'Scénario référence'!$B$17+'Scénario référence'!$B$9+'Scénario référence'!$B$10)*70+IF((45+25*(1-EXP(-0.0175*$A121)))&lt;70,'Scénario référence'!$B$16*(45+25*(1-EXP(-0.0175*$A121))),70*'Scénario référence'!$B$16)+IF((32+38*(1-EXP(-0.0175*$A121)))&lt;70,'Scénario référence'!$B$18*(32+38*(1-EXP(-0.0175*$A121))),70*'Scénario référence'!$B$18)</f>
        <v>70</v>
      </c>
      <c r="JW121" s="12">
        <f>IF($A121&gt;30,10,('Scénario référence'!$B$16+'Scénario référence'!$B$17+'Scénario référence'!$B$18+'Scénario référence'!$B$9+'Scénario référence'!$B$10)*$A121*10/30+('Scénario référence'!$F$8+'Scénario référence'!$F$9)*10)</f>
        <v>10</v>
      </c>
      <c r="JX121" s="12" t="e">
        <f>VLOOKUP($A121,'Données projet'!$A$382:$I$402,2,0)</f>
        <v>#N/A</v>
      </c>
      <c r="JY121" s="12" t="e">
        <f>VLOOKUP($A121,'Données projet'!$A$382:$I$402,9,0)</f>
        <v>#N/A</v>
      </c>
      <c r="JZ121" s="12">
        <f t="array" ref="JZ121">INDEX(JY:JY,MIN(IF(ISNUMBER(JY121:JY317),ROW(JY121:JY317),"")))</f>
        <v>6.8461538461538511</v>
      </c>
      <c r="KA121" s="12">
        <f>IF('Données projet'!$A$382&gt;35,KA120+JZ121-KI120,IF($A121&lt;'Données projet'!$A$382,$CQ$205^$A121,IF($A121='Données projet'!$A$382,'Données projet'!$B$382,KA120+JZ121-KI120)))</f>
        <v>350.49358974359018</v>
      </c>
      <c r="KB121" s="17">
        <f>KA121*VLOOKUP('Données projet'!$B$22,Paramètres!$A$1:$I$89,3,0)*VLOOKUP('Données projet'!$B$22,Paramètres!$A$1:$I$89,5,0)</f>
        <v>235.11110000000028</v>
      </c>
      <c r="KC121" s="13">
        <f t="shared" si="208"/>
        <v>57.386403221032531</v>
      </c>
      <c r="KD121" s="20">
        <f t="shared" si="159"/>
        <v>509.43315144329875</v>
      </c>
      <c r="KE121" s="59">
        <f t="shared" si="160"/>
        <v>802.76648477663207</v>
      </c>
      <c r="KF121" s="59">
        <f ca="1">AVERAGE(OFFSET($KE$3,0,0,'Données projet'!$E$22+1,1))-AVERAGE(OFFSET($H$3,0,0,'Données projet'!$E$22+1,1))</f>
        <v>193.91714772848269</v>
      </c>
      <c r="KG121" s="59">
        <f t="shared" si="209"/>
        <v>159.20429420478047</v>
      </c>
      <c r="KH121" s="15">
        <f>IF(ISNA(VLOOKUP($A121,'Données projet'!$A$382:$I$402,3,0)),0,VLOOKUP($A121,'Données projet'!$A$382:$I$402,3,0))</f>
        <v>0</v>
      </c>
      <c r="KI121" s="15">
        <f>IF(ISNA(VLOOKUP($A121,'Données projet'!$A$382:$I$402,4,0)),0,VLOOKUP($A121,'Données projet'!$A$382:$I$402,4,0))</f>
        <v>0</v>
      </c>
      <c r="KJ121" s="16">
        <f>IF(ISNA(VLOOKUP($A121,'Données projet'!$A$382:$I$402,5,0)),0%,VLOOKUP($A121,'Données projet'!$A$382:$I$402,5,0)*VLOOKUP('Données projet'!$B$22,Paramètres!$A$1:$I$89,7,0))</f>
        <v>0</v>
      </c>
      <c r="KK121" s="16">
        <f>IF(ISNA(VLOOKUP($A121,'Données projet'!$A$382:$I$402,6,0)),0%,VLOOKUP($A121,'Données projet'!$A$382:$I$402,6,0)*VLOOKUP('Données projet'!$B$22,Paramètres!$A$1:$I$89,7,0))</f>
        <v>0</v>
      </c>
      <c r="KL121" s="16">
        <f>IF(ISNA(VLOOKUP($A121,'Données projet'!$A$382:$I$402,7,0)),0%,VLOOKUP($A121,'Données projet'!$A$382:$I$402,7,0))</f>
        <v>0</v>
      </c>
      <c r="KM121" s="21">
        <f>EXP(-LN(2)/35)*KM120+(1-EXP(-LN(2)/35))/(LN(2)/35)*KI121*KJ121*VLOOKUP('Données projet'!$B$22,Paramètres!$A$1:$I$89,3,0)*0.475*44/12</f>
        <v>46.005170372917853</v>
      </c>
      <c r="KN121" s="21">
        <f>EXP(-LN(2)/25)*KN120+(1-EXP(-LN(2)/25))/(LN(2)/25)*Calculateur!KI121*Calculateur!KK121*VLOOKUP('Données projet'!$B$22,Paramètres!$A$1:$I$89,3,0)*0.475*44/12</f>
        <v>0</v>
      </c>
      <c r="KO121" s="21">
        <f>EXP(-LN(2)/2)*KO120+(1-EXP(-LN(2)/2))/(LN(2)/2)*KI121*KL121*VLOOKUP('Données projet'!$B$22,Paramètres!$A$1:$I$89,3,0)*0.475*44/12</f>
        <v>0</v>
      </c>
      <c r="KP121" s="22">
        <f t="shared" si="161"/>
        <v>46.005170372917853</v>
      </c>
      <c r="KQ121" s="74">
        <f>('Scénario référence'!$F$8+'Scénario référence'!$F$9+'Scénario référence'!$B$17+'Scénario référence'!$B$9+'Scénario référence'!$B$10)*70+IF((45+25*(1-EXP(-0.0175*$A121)))&lt;70,'Scénario référence'!$B$16*(45+25*(1-EXP(-0.0175*$A121))),70*'Scénario référence'!$B$16)+IF((32+38*(1-EXP(-0.0175*$A121)))&lt;70,'Scénario référence'!$B$18*(32+38*(1-EXP(-0.0175*$A121))),70*'Scénario référence'!$B$18)</f>
        <v>70</v>
      </c>
      <c r="KR121" s="12">
        <f>IF($A121&gt;30,10,('Scénario référence'!$B$16+'Scénario référence'!$B$17+'Scénario référence'!$B$18+'Scénario référence'!$B$9+'Scénario référence'!$B$10)*$A121*10/30+('Scénario référence'!$F$8+'Scénario référence'!$F$9)*10)</f>
        <v>10</v>
      </c>
      <c r="KS121" s="12" t="e">
        <f>VLOOKUP($A121,'Données projet'!$A$408:$I$428,2,0)</f>
        <v>#N/A</v>
      </c>
      <c r="KT121" s="12" t="e">
        <f>VLOOKUP($A121,'Données projet'!$A$408:$I$428,9,0)</f>
        <v>#N/A</v>
      </c>
      <c r="KU121" s="12">
        <f t="array" ref="KU121">INDEX(KT:KT,MIN(IF(ISNUMBER(KT121:KT317),ROW(KT121:KT317),"")))</f>
        <v>0</v>
      </c>
      <c r="KV121" s="12">
        <f>IF('Données projet'!$A$408&gt;35,KV120+KU121-LD120,IF($A121&lt;'Données projet'!$A$408,$CQ$205^$A121,IF($A121='Données projet'!$A$408,'Données projet'!$B$408,KV120+KU121-LD120)))</f>
        <v>-1.1368683772161603E-13</v>
      </c>
      <c r="KW121" s="17">
        <f>KV121*VLOOKUP('Données projet'!$B$23,Paramètres!$A$1:$I$89,3,0)*VLOOKUP('Données projet'!$B$23,Paramètres!$A$1:$I$89,5,0)</f>
        <v>-9.9316821433603781E-14</v>
      </c>
      <c r="KX121" s="13" t="e">
        <f t="shared" si="210"/>
        <v>#NUM!</v>
      </c>
      <c r="KY121" s="14" t="e">
        <f t="shared" si="162"/>
        <v>#NUM!</v>
      </c>
      <c r="KZ121" s="59" t="e">
        <f t="shared" si="163"/>
        <v>#NUM!</v>
      </c>
      <c r="LA121" s="59">
        <f ca="1">AVERAGE(OFFSET($KZ$3,0,0,'Données projet'!$E$23+1,1))-AVERAGE(OFFSET($H$3,0,0,'Données projet'!$E$23+1,1))</f>
        <v>248.33596943633819</v>
      </c>
      <c r="LB121" s="59">
        <f t="shared" si="211"/>
        <v>242.34010522344573</v>
      </c>
      <c r="LC121" s="15">
        <f>IF(ISNA(VLOOKUP($A121,'Données projet'!$A$408:$I$428,3,0)),0,VLOOKUP($A121,'Données projet'!$A$408:$I$428,3,0))</f>
        <v>0</v>
      </c>
      <c r="LD121" s="15">
        <f>IF(ISNA(VLOOKUP($A121,'Données projet'!$A$408:$I$428,4,0)),0,VLOOKUP($A121,'Données projet'!$A$408:$I$428,4,0))</f>
        <v>0</v>
      </c>
      <c r="LE121" s="16">
        <f>IF(ISNA(VLOOKUP($A121,'Données projet'!$A$408:$I$428,5,0)),0%,VLOOKUP($A121,'Données projet'!$A$408:$I$428,5,0)*VLOOKUP('Données projet'!$B$23,Paramètres!$A$1:$I$89,7,0))</f>
        <v>0</v>
      </c>
      <c r="LF121" s="16">
        <f>IF(ISNA(VLOOKUP($A121,'Données projet'!$A$408:$I$428,6,0)),0%,VLOOKUP($A121,'Données projet'!$A$408:$I$428,6,0)*VLOOKUP('Données projet'!$B$23,Paramètres!$A$1:$I$89,7,0))</f>
        <v>0</v>
      </c>
      <c r="LG121" s="16">
        <f>IF(ISNA(VLOOKUP($A121,'Données projet'!$A$408:$I$428,7,0)),0%,VLOOKUP($A121,'Données projet'!$A$408:$I$428,7,0))</f>
        <v>0</v>
      </c>
      <c r="LH121" s="21">
        <f>EXP(-LN(2)/35)*LH120+(1-EXP(-LN(2)/35))/(LN(2)/35)*LD121*LE121*VLOOKUP('Données projet'!$B$23,Paramètres!$A$1:$I$89,3,0)*0.475*44/12</f>
        <v>58.05639383171517</v>
      </c>
      <c r="LI121" s="21">
        <f>EXP(-LN(2)/25)*LI120+(1-EXP(-LN(2)/25))/(LN(2)/25)*Calculateur!LD121*Calculateur!LF121*VLOOKUP('Données projet'!$B$23,Paramètres!$A$1:$I$89,3,0)*0.475*44/12</f>
        <v>7.5933710494728865</v>
      </c>
      <c r="LJ121" s="21">
        <f>EXP(-LN(2)/2)*LJ120+(1-EXP(-LN(2)/2))/(LN(2)/2)*LD121*LG121*VLOOKUP('Données projet'!$B$23,Paramètres!$A$1:$I$89,3,0)*0.475*44/12</f>
        <v>0</v>
      </c>
      <c r="LK121" s="22">
        <f t="shared" si="164"/>
        <v>65.649764881188062</v>
      </c>
      <c r="LL121" s="74">
        <f>('Scénario référence'!$F$8+'Scénario référence'!$F$9+'Scénario référence'!$B$17+'Scénario référence'!$B$9+'Scénario référence'!$B$10)*70+IF((45+25*(1-EXP(-0.0175*$A121)))&lt;70,'Scénario référence'!$B$16*(45+25*(1-EXP(-0.0175*$A121))),70*'Scénario référence'!$B$16)+IF((32+38*(1-EXP(-0.0175*$A121)))&lt;70,'Scénario référence'!$B$18*(32+38*(1-EXP(-0.0175*$A121))),70*'Scénario référence'!$B$18)</f>
        <v>70</v>
      </c>
      <c r="LM121" s="12">
        <f>IF($A121&gt;30,10,('Scénario référence'!$B$16+'Scénario référence'!$B$17+'Scénario référence'!$B$18+'Scénario référence'!$B$9+'Scénario référence'!$B$10)*$A121*10/30+('Scénario référence'!$F$8+'Scénario référence'!$F$9)*10)</f>
        <v>10</v>
      </c>
      <c r="LN121" s="12" t="e">
        <f>VLOOKUP($A121,'Données projet'!$A$434:$I$454,2,0)</f>
        <v>#N/A</v>
      </c>
      <c r="LO121" s="12" t="e">
        <f>VLOOKUP($A121,'Données projet'!$A$434:$I$454,9,0)</f>
        <v>#N/A</v>
      </c>
      <c r="LP121" s="12">
        <f t="array" ref="LP121">INDEX(LO:LO,MIN(IF(ISNUMBER(LO121:LO317),ROW(LO121:LO317),"")))</f>
        <v>5.3066239316239274</v>
      </c>
      <c r="LQ121" s="12">
        <f>IF('Données projet'!$A$434&gt;35,LQ120+LP121-LY120,IF($A121&lt;'Données projet'!$A$434,$CQ$205^$A121,IF($A121='Données projet'!$A$434,'Données projet'!$B$434,LQ120+LP121-LY120)))</f>
        <v>241.14850427350393</v>
      </c>
      <c r="LR121" s="17">
        <f>LQ121*VLOOKUP('Données projet'!$B$24,Paramètres!$A$1:$I$89,3,0)*VLOOKUP('Données projet'!$B$24,Paramètres!$A$1:$I$89,5,0)</f>
        <v>244.52458333333303</v>
      </c>
      <c r="LS121" s="13">
        <f t="shared" si="212"/>
        <v>59.41195592689057</v>
      </c>
      <c r="LT121" s="14">
        <f t="shared" si="165"/>
        <v>529.35613921155607</v>
      </c>
      <c r="LU121" s="59">
        <f t="shared" si="166"/>
        <v>822.68947254488944</v>
      </c>
      <c r="LV121" s="59">
        <f ca="1">AVERAGE(OFFSET($LU$3,0,0,'Données projet'!$E$24+1,1))-AVERAGE(OFFSET($H$3,0,0,'Données projet'!$E$24+1,1))</f>
        <v>260.52627655062872</v>
      </c>
      <c r="LW121" s="59">
        <f t="shared" si="213"/>
        <v>159.20429420478047</v>
      </c>
      <c r="LX121" s="15">
        <f>IF(ISNA(VLOOKUP($A121,'Données projet'!$A$434:$I$454,3,0)),0,VLOOKUP($A121,'Données projet'!$A$434:$I$454,3,0))</f>
        <v>0</v>
      </c>
      <c r="LY121" s="15">
        <f>IF(ISNA(VLOOKUP($A121,'Données projet'!$A$434:$I$454,4,0)),0,VLOOKUP($A121,'Données projet'!$A$434:$I$454,4,0))</f>
        <v>0</v>
      </c>
      <c r="LZ121" s="16">
        <f>IF(ISNA(VLOOKUP($A121,'Données projet'!$A$434:$I$454,5,0)),0%,VLOOKUP($A121,'Données projet'!$A$434:$I$454,5,0)*VLOOKUP('Données projet'!$B$24,Paramètres!$A$1:$I$89,7,0))</f>
        <v>0</v>
      </c>
      <c r="MA121" s="16">
        <f>IF(ISNA(VLOOKUP($A121,'Données projet'!$A$434:$I$454,6,0)),0%,VLOOKUP($A121,'Données projet'!$A$434:$I$454,6,0)*VLOOKUP('Données projet'!$B$24,Paramètres!$A$1:$I$89,7,0))</f>
        <v>0</v>
      </c>
      <c r="MB121" s="16">
        <f>IF(ISNA(VLOOKUP($A121,'Données projet'!$A$434:$I$454,7,0)),0%,VLOOKUP($A121,'Données projet'!$A$434:$I$454,7,0))</f>
        <v>0</v>
      </c>
      <c r="MC121" s="21">
        <f>EXP(-LN(2)/35)*MC120+(1-EXP(-LN(2)/35))/(LN(2)/35)*LY121*LZ121*VLOOKUP('Données projet'!$B$24,Paramètres!$A$1:$I$89,3,0)*0.475*44/12</f>
        <v>36.238313251166865</v>
      </c>
      <c r="MD121" s="21">
        <f>EXP(-LN(2)/25)*MD120+(1-EXP(-LN(2)/25))/(LN(2)/25)*Calculateur!LY121*Calculateur!MA121*VLOOKUP('Données projet'!$B$24,Paramètres!$A$1:$I$89,3,0)*0.475*44/12</f>
        <v>0</v>
      </c>
      <c r="ME121" s="21">
        <f>EXP(-LN(2)/2)*ME120+(1-EXP(-LN(2)/2))/(LN(2)/2)*LY121*MB121*VLOOKUP('Données projet'!$B$24,Paramètres!$A$1:$I$89,3,0)*0.475*44/12</f>
        <v>0</v>
      </c>
      <c r="MF121" s="22">
        <f t="shared" si="167"/>
        <v>36.238313251166865</v>
      </c>
      <c r="MG121" s="74">
        <f>('Scénario référence'!$F$8+'Scénario référence'!$F$9+'Scénario référence'!$B$17+'Scénario référence'!$B$9+'Scénario référence'!$B$10)*70+IF((45+25*(1-EXP(-0.0175*$A121)))&lt;70,'Scénario référence'!$B$16*(45+25*(1-EXP(-0.0175*$A121))),70*'Scénario référence'!$B$16)+IF((32+38*(1-EXP(-0.0175*$A121)))&lt;70,'Scénario référence'!$B$18*(32+38*(1-EXP(-0.0175*$A121))),70*'Scénario référence'!$B$18)</f>
        <v>70</v>
      </c>
      <c r="MH121" s="12">
        <f>IF($A121&gt;30,10,('Scénario référence'!$B$16+'Scénario référence'!$B$17+'Scénario référence'!$B$18+'Scénario référence'!$B$9+'Scénario référence'!$B$10)*$A121*10/30+('Scénario référence'!$F$8+'Scénario référence'!$F$9)*10)</f>
        <v>10</v>
      </c>
      <c r="MI121" s="12" t="e">
        <f>VLOOKUP($A121,'Données projet'!$A$460:$I$480,2,0)</f>
        <v>#N/A</v>
      </c>
      <c r="MJ121" s="12" t="e">
        <f>VLOOKUP($A121,'Données projet'!$A$460:$I$480,9,0)</f>
        <v>#N/A</v>
      </c>
      <c r="MK121" s="12">
        <f t="array" ref="MK121">INDEX(MJ:MJ,MIN(IF(ISNUMBER(MJ121:MJ317),ROW(MJ121:MJ317),"")))</f>
        <v>0</v>
      </c>
      <c r="ML121" s="12">
        <f>IF('Données projet'!$A$460&gt;35,ML120+MK121-MT120,IF($A121&lt;'Données projet'!$A$460,$CQ$205^$A121,IF($A121='Données projet'!$A$460,'Données projet'!$B$460,ML120+MK121-MT120)))</f>
        <v>0</v>
      </c>
      <c r="MM121" s="17" t="e">
        <f>ML121*VLOOKUP('Données projet'!$B$25,Paramètres!$A$1:$I$89,3,0)*VLOOKUP('Données projet'!$B$25,Paramètres!$A$1:$I$89,5,0)</f>
        <v>#N/A</v>
      </c>
      <c r="MN121" s="13" t="e">
        <f t="shared" si="214"/>
        <v>#N/A</v>
      </c>
      <c r="MO121" s="14" t="e">
        <f t="shared" si="168"/>
        <v>#N/A</v>
      </c>
      <c r="MP121" s="59" t="e">
        <f t="shared" si="169"/>
        <v>#N/A</v>
      </c>
      <c r="MQ121" s="20" t="e">
        <f ca="1">AVERAGE(OFFSET($MP$3,0,0,'Données projet'!$E$25+1,1))-AVERAGE(OFFSET($H$3,0,0,'Données projet'!$E$25+1,1))</f>
        <v>#N/A</v>
      </c>
      <c r="MR121" s="59" t="e">
        <f t="shared" si="215"/>
        <v>#N/A</v>
      </c>
      <c r="MS121" s="15">
        <f>IF(ISNA(VLOOKUP($A121,'Données projet'!$A$460:$I$480,3,0)),0,VLOOKUP($A121,'Données projet'!$A$460:$I$480,3,0))</f>
        <v>0</v>
      </c>
      <c r="MT121" s="15">
        <f>IF(ISNA(VLOOKUP($A121,'Données projet'!$A$460:$I$480,4,0)),0,VLOOKUP($A121,'Données projet'!$A$460:$I$480,4,0))</f>
        <v>0</v>
      </c>
      <c r="MU121" s="16">
        <f>IF(ISNA(VLOOKUP($A121,'Données projet'!$A$460:$I$480,5,0)),0%,VLOOKUP($A121,'Données projet'!$A$460:$I$480,5,0)*VLOOKUP('Données projet'!$B$25,Paramètres!$A$1:$I$89,7,0))</f>
        <v>0</v>
      </c>
      <c r="MV121" s="16">
        <f>IF(ISNA(VLOOKUP($A121,'Données projet'!$A$460:$I$480,6,0)),0%,VLOOKUP($A121,'Données projet'!$A$460:$I$480,6,0)*VLOOKUP('Données projet'!$B$25,Paramètres!$A$1:$I$89,7,0))</f>
        <v>0</v>
      </c>
      <c r="MW121" s="16">
        <f>IF(ISNA(VLOOKUP($A121,'Données projet'!$A$460:$I$480,7,0)),0%,VLOOKUP($A121,'Données projet'!$A$460:$I$480,7,0))</f>
        <v>0</v>
      </c>
      <c r="MX121" s="21" t="e">
        <f>EXP(-LN(2)/35)*MX120+(1-EXP(-LN(2)/35))/(LN(2)/35)*MT121*MU121*VLOOKUP('Données projet'!$B$25,Paramètres!$A$1:$I$89,3,0)*0.475*44/12</f>
        <v>#N/A</v>
      </c>
      <c r="MY121" s="21" t="e">
        <f>EXP(-LN(2)/25)*MY120+(1-EXP(-LN(2)/25))/(LN(2)/25)*Calculateur!MT121*Calculateur!MV121*VLOOKUP('Données projet'!$B$25,Paramètres!$A$1:$I$89,3,0)*0.475*44/12</f>
        <v>#N/A</v>
      </c>
      <c r="MZ121" s="21" t="e">
        <f>EXP(-LN(2)/2)*MZ120+(1-EXP(-LN(2)/2))/(LN(2)/2)*MT121*MW121*VLOOKUP('Données projet'!$B$25,Paramètres!$A$1:$I$89,3,0)*0.475*44/12</f>
        <v>#N/A</v>
      </c>
      <c r="NA121" s="22" t="e">
        <f t="shared" si="170"/>
        <v>#N/A</v>
      </c>
      <c r="NB121" s="74">
        <f>('Scénario référence'!$F$8+'Scénario référence'!$F$9+'Scénario référence'!$B$17+'Scénario référence'!$B$9+'Scénario référence'!$B$10)*70+IF((45+25*(1-EXP(-0.0175*$A121)))&lt;70,'Scénario référence'!$B$16*(45+25*(1-EXP(-0.0175*$A121))),70*'Scénario référence'!$B$16)+IF((32+38*(1-EXP(-0.0175*$A121)))&lt;70,'Scénario référence'!$B$18*(32+38*(1-EXP(-0.0175*$A121))),70*'Scénario référence'!$B$18)</f>
        <v>70</v>
      </c>
      <c r="NC121" s="12">
        <f>IF($A121&gt;30,10,('Scénario référence'!$B$16+'Scénario référence'!$B$17+'Scénario référence'!$B$18+'Scénario référence'!$B$9+'Scénario référence'!$B$10)*$A121*10/30+('Scénario référence'!$F$8+'Scénario référence'!$F$9)*10)</f>
        <v>10</v>
      </c>
      <c r="ND121" s="12" t="e">
        <f>VLOOKUP($A121,'Données projet'!$A$486:$I$506,2,0)</f>
        <v>#N/A</v>
      </c>
      <c r="NE121" s="12" t="e">
        <f>VLOOKUP($A121,'Données projet'!$A$486:$I$506,9,0)</f>
        <v>#N/A</v>
      </c>
      <c r="NF121" s="12">
        <f t="array" ref="NF121">INDEX(NE:NE,MIN(IF(ISNUMBER(NE121:NE317),ROW(NE121:NE317),"")))</f>
        <v>0</v>
      </c>
      <c r="NG121" s="12">
        <f>IF('Données projet'!$A$486&gt;35,NG120+NF121-NO120,IF($A121&lt;'Données projet'!$A$486,$CQ$205^$A121,IF($A121='Données projet'!$A$486,'Données projet'!$B$486,NG120+NF121-NO120)))</f>
        <v>0</v>
      </c>
      <c r="NH121" s="17" t="e">
        <f>NG121*VLOOKUP('Données projet'!$B$26,Paramètres!$A$1:$I$89,3,0)*VLOOKUP('Données projet'!$B$26,Paramètres!$A$1:$I$89,5,0)</f>
        <v>#N/A</v>
      </c>
      <c r="NI121" s="13" t="e">
        <f t="shared" si="216"/>
        <v>#N/A</v>
      </c>
      <c r="NJ121" s="14" t="e">
        <f t="shared" si="171"/>
        <v>#N/A</v>
      </c>
      <c r="NK121" s="59" t="e">
        <f t="shared" si="172"/>
        <v>#N/A</v>
      </c>
      <c r="NL121" s="20" t="e">
        <f ca="1">AVERAGE(OFFSET($NK$3,0,0,'Données projet'!$E$26+1,1))-AVERAGE(OFFSET($H$3,0,0,'Données projet'!$E$26+1,1))</f>
        <v>#N/A</v>
      </c>
      <c r="NM121" s="59" t="e">
        <f t="shared" si="217"/>
        <v>#N/A</v>
      </c>
      <c r="NN121" s="15">
        <f>IF(ISNA(VLOOKUP($A121,'Données projet'!$A$486:$I$506,3,0)),0,VLOOKUP($A121,'Données projet'!$A$486:$I$506,3,0))</f>
        <v>0</v>
      </c>
      <c r="NO121" s="15">
        <f>IF(ISNA(VLOOKUP($A121,'Données projet'!$A$486:$I$506,4,0)),0,VLOOKUP($A121,'Données projet'!$A$486:$I$506,4,0))</f>
        <v>0</v>
      </c>
      <c r="NP121" s="16">
        <f>IF(ISNA(VLOOKUP($A121,'Données projet'!$A$486:$I$506,5,0)),0%,VLOOKUP($A121,'Données projet'!$A$486:$I$506,5,0)*VLOOKUP('Données projet'!$B$26,Paramètres!$A$1:$I$89,7,0))</f>
        <v>0</v>
      </c>
      <c r="NQ121" s="16">
        <f>IF(ISNA(VLOOKUP($A121,'Données projet'!$A$486:$I$506,6,0)),0%,VLOOKUP($A121,'Données projet'!$A$486:$I$506,6,0)*VLOOKUP('Données projet'!$B$26,Paramètres!$A$1:$I$89,7,0))</f>
        <v>0</v>
      </c>
      <c r="NR121" s="16">
        <f>IF(ISNA(VLOOKUP($A121,'Données projet'!$A$486:$I$506,7,0)),0%,VLOOKUP($A121,'Données projet'!$A$486:$I$506,7,0))</f>
        <v>0</v>
      </c>
      <c r="NS121" s="21" t="e">
        <f>EXP(-LN(2)/35)*NS120+(1-EXP(-LN(2)/35))/(LN(2)/35)*NO121*NP121*VLOOKUP('Données projet'!$B$26,Paramètres!$A$1:$I$89,3,0)*0.475*44/12</f>
        <v>#N/A</v>
      </c>
      <c r="NT121" s="21" t="e">
        <f>EXP(-LN(2)/25)*NT120+(1-EXP(-LN(2)/25))/(LN(2)/25)*Calculateur!NO121*Calculateur!NQ121*VLOOKUP('Données projet'!$B$26,Paramètres!$A$1:$I$89,3,0)*0.475*44/12</f>
        <v>#N/A</v>
      </c>
      <c r="NU121" s="21" t="e">
        <f>EXP(-LN(2)/2)*NU120+(1-EXP(-LN(2)/2))/(LN(2)/2)*NO121*NR121*VLOOKUP('Données projet'!$B$26,Paramètres!$A$1:$I$89,3,0)*0.475*44/12</f>
        <v>#N/A</v>
      </c>
      <c r="NV121" s="22" t="e">
        <f t="shared" si="173"/>
        <v>#N/A</v>
      </c>
      <c r="NW121" s="74">
        <f>('Scénario référence'!$F$8+'Scénario référence'!$F$9+'Scénario référence'!$B$17+'Scénario référence'!$B$9+'Scénario référence'!$B$10)*70+IF((45+25*(1-EXP(-0.0175*$A121)))&lt;70,'Scénario référence'!$B$16*(45+25*(1-EXP(-0.0175*$A121))),70*'Scénario référence'!$B$16)+IF((32+38*(1-EXP(-0.0175*$A121)))&lt;70,'Scénario référence'!$B$18*(32+38*(1-EXP(-0.0175*$A121))),70*'Scénario référence'!$B$18)</f>
        <v>70</v>
      </c>
      <c r="NX121" s="12">
        <f>IF($A121&gt;30,10,('Scénario référence'!$B$16+'Scénario référence'!$B$17+'Scénario référence'!$B$18+'Scénario référence'!$B$9+'Scénario référence'!$B$10)*$A121*10/30+('Scénario référence'!$F$8+'Scénario référence'!$F$9)*10)</f>
        <v>10</v>
      </c>
      <c r="NY121" s="12" t="e">
        <f>VLOOKUP($A121,'Données projet'!$A$512:$I$532,2,0)</f>
        <v>#N/A</v>
      </c>
      <c r="NZ121" s="12" t="e">
        <f>VLOOKUP($A121,'Données projet'!$A$512:$I$532,9,0)</f>
        <v>#N/A</v>
      </c>
      <c r="OA121" s="12">
        <f t="array" ref="OA121">INDEX(NZ:NZ,MIN(IF(ISNUMBER(NZ121:NZ317),ROW(NZ121:NZ317),"")))</f>
        <v>0</v>
      </c>
      <c r="OB121" s="12">
        <f>IF('Données projet'!$A$512&gt;35,OB120+OA121-OJ120,IF($A121&lt;'Données projet'!$A$512,$CQ$205^$A121,IF($A121='Données projet'!$A$512,'Données projet'!$B$512,OB120+OA121-OJ120)))</f>
        <v>0</v>
      </c>
      <c r="OC121" s="17" t="e">
        <f>OB121*VLOOKUP('Données projet'!$B$27,Paramètres!$A$1:$I$89,3,0)*VLOOKUP('Données projet'!$B$27,Paramètres!$A$1:$I$89,5,0)</f>
        <v>#N/A</v>
      </c>
      <c r="OD121" s="13" t="e">
        <f t="shared" si="218"/>
        <v>#N/A</v>
      </c>
      <c r="OE121" s="14" t="e">
        <f t="shared" si="174"/>
        <v>#N/A</v>
      </c>
      <c r="OF121" s="59" t="e">
        <f t="shared" si="175"/>
        <v>#N/A</v>
      </c>
      <c r="OG121" s="20" t="e">
        <f ca="1">AVERAGE(OFFSET($OF$3,0,0,'Données projet'!$E$27+1,1))-AVERAGE(OFFSET($H$3,0,0,'Données projet'!$E$27+1,1))</f>
        <v>#N/A</v>
      </c>
      <c r="OH121" s="59" t="e">
        <f t="shared" si="219"/>
        <v>#N/A</v>
      </c>
      <c r="OI121" s="15">
        <f>IF(ISNA(VLOOKUP($A121,'Données projet'!$A$512:$I$532,3,0)),0,VLOOKUP($A121,'Données projet'!$A$512:$I$532,3,0))</f>
        <v>0</v>
      </c>
      <c r="OJ121" s="15">
        <f>IF(ISNA(VLOOKUP($A121,'Données projet'!$A$512:$I$532,4,0)),0,VLOOKUP($A121,'Données projet'!$A$512:$I$532,4,0))</f>
        <v>0</v>
      </c>
      <c r="OK121" s="16">
        <f>IF(ISNA(VLOOKUP($A121,'Données projet'!$A$512:$I$532,5,0)),0%,VLOOKUP($A121,'Données projet'!$A$512:$I$532,5,0)*VLOOKUP('Données projet'!$B$27,Paramètres!$A$1:$I$89,7,0))</f>
        <v>0</v>
      </c>
      <c r="OL121" s="16">
        <f>IF(ISNA(VLOOKUP($A121,'Données projet'!$A$512:$I$532,6,0)),0%,VLOOKUP($A121,'Données projet'!$A$512:$I$532,6,0)*VLOOKUP('Données projet'!$B$27,Paramètres!$A$1:$I$89,7,0))</f>
        <v>0</v>
      </c>
      <c r="OM121" s="16">
        <f>IF(ISNA(VLOOKUP($A121,'Données projet'!$A$512:$I$532,7,0)),0%,VLOOKUP($A121,'Données projet'!$A$512:$I$532,7,0))</f>
        <v>0</v>
      </c>
      <c r="ON121" s="21" t="e">
        <f>EXP(-LN(2)/35)*ON120+(1-EXP(-LN(2)/35))/(LN(2)/35)*OJ121*OK121*VLOOKUP('Données projet'!$B$27,Paramètres!$A$1:$I$89,3,0)*0.475*44/12</f>
        <v>#N/A</v>
      </c>
      <c r="OO121" s="21" t="e">
        <f>EXP(-LN(2)/25)*OO120+(1-EXP(-LN(2)/25))/(LN(2)/25)*Calculateur!OJ121*Calculateur!OL121*VLOOKUP('Données projet'!$B$27,Paramètres!$A$1:$I$89,3,0)*0.475*44/12</f>
        <v>#N/A</v>
      </c>
      <c r="OP121" s="21" t="e">
        <f>EXP(-LN(2)/2)*OP120+(1-EXP(-LN(2)/2))/(LN(2)/2)*OJ121*OM121*VLOOKUP('Données projet'!$B$27,Paramètres!$A$1:$I$89,3,0)*0.475*44/12</f>
        <v>#N/A</v>
      </c>
      <c r="OQ121" s="22" t="e">
        <f t="shared" si="176"/>
        <v>#N/A</v>
      </c>
      <c r="OR121" s="74">
        <f>('Scénario référence'!$F$8+'Scénario référence'!$F$9+'Scénario référence'!$B$17+'Scénario référence'!$B$9+'Scénario référence'!$B$10)*70+IF((45+25*(1-EXP(-0.0175*$A121)))&lt;70,'Scénario référence'!$B$16*(45+25*(1-EXP(-0.0175*$A121))),70*'Scénario référence'!$B$16)+IF((32+38*(1-EXP(-0.0175*$A121)))&lt;70,'Scénario référence'!$B$18*(32+38*(1-EXP(-0.0175*$A121))),70*'Scénario référence'!$B$18)</f>
        <v>70</v>
      </c>
      <c r="OS121" s="12">
        <f>IF($A121&gt;30,10,('Scénario référence'!$B$16+'Scénario référence'!$B$17+'Scénario référence'!$B$18+'Scénario référence'!$B$9+'Scénario référence'!$B$10)*$A121*10/30+('Scénario référence'!$F$8+'Scénario référence'!$F$9)*10)</f>
        <v>10</v>
      </c>
      <c r="OT121" s="12" t="e">
        <f>VLOOKUP($A121,'Données projet'!$A$538:$I$558,2,0)</f>
        <v>#N/A</v>
      </c>
      <c r="OU121" s="12" t="e">
        <f>VLOOKUP($A121,'Données projet'!$A$538:$I$558,9,0)</f>
        <v>#N/A</v>
      </c>
      <c r="OV121" s="12">
        <f t="array" ref="OV121">INDEX(OU:OU,MIN(IF(ISNUMBER(OU121:OU317),ROW(OU121:OU317),"")))</f>
        <v>0</v>
      </c>
      <c r="OW121" s="12">
        <f>IF('Données projet'!$A$538&gt;35,OW120+OV121-PE120,IF($A121&lt;'Données projet'!$A$538,$CQ$205^$A121,IF($A121='Données projet'!$A$538,'Données projet'!$B$538,OW120+OV121-PE120)))</f>
        <v>0</v>
      </c>
      <c r="OX121" s="17" t="e">
        <f>OW121*VLOOKUP('Données projet'!$B$28,Paramètres!$A$1:$I$89,3,0)*VLOOKUP('Données projet'!$B$28,Paramètres!$A$1:$I$89,5,0)</f>
        <v>#N/A</v>
      </c>
      <c r="OY121" s="13" t="e">
        <f t="shared" si="220"/>
        <v>#N/A</v>
      </c>
      <c r="OZ121" s="14" t="e">
        <f t="shared" si="177"/>
        <v>#N/A</v>
      </c>
      <c r="PA121" s="59" t="e">
        <f t="shared" si="178"/>
        <v>#N/A</v>
      </c>
      <c r="PB121" s="20" t="e">
        <f ca="1">AVERAGE(OFFSET($PA$3,0,0,'Données projet'!$E$28+1,1))-AVERAGE(OFFSET($H$3,0,0,'Données projet'!$E$28+1,1))</f>
        <v>#N/A</v>
      </c>
      <c r="PC121" s="59" t="e">
        <f t="shared" si="221"/>
        <v>#N/A</v>
      </c>
      <c r="PD121" s="15">
        <f>IF(ISNA(VLOOKUP($A121,'Données projet'!$A$538:$I$558,3,0)),0,VLOOKUP($A121,'Données projet'!$A$538:$I$558,3,0))</f>
        <v>0</v>
      </c>
      <c r="PE121" s="15">
        <f>IF(ISNA(VLOOKUP($A121,'Données projet'!$A$538:$I$558,4,0)),0,VLOOKUP($A121,'Données projet'!$A$538:$I$558,4,0))</f>
        <v>0</v>
      </c>
      <c r="PF121" s="16">
        <f>IF(ISNA(VLOOKUP($A121,'Données projet'!$A$538:$I$558,5,0)),0%,VLOOKUP($A121,'Données projet'!$A$538:$I$558,5,0)*VLOOKUP('Données projet'!$B$28,Paramètres!$A$1:$I$89,7,0))</f>
        <v>0</v>
      </c>
      <c r="PG121" s="16">
        <f>IF(ISNA(VLOOKUP($A121,'Données projet'!$A$538:$I$558,6,0)),0%,VLOOKUP($A121,'Données projet'!$A$538:$I$558,6,0)*VLOOKUP('Données projet'!$B$28,Paramètres!$A$1:$I$89,7,0))</f>
        <v>0</v>
      </c>
      <c r="PH121" s="16">
        <f>IF(ISNA(VLOOKUP($A121,'Données projet'!$A$538:$I$558,7,0)),0%,VLOOKUP($A121,'Données projet'!$A$538:$I$558,7,0))</f>
        <v>0</v>
      </c>
      <c r="PI121" s="21" t="e">
        <f>EXP(-LN(2)/35)*PI120+(1-EXP(-LN(2)/35))/(LN(2)/35)*PE121*PF121*VLOOKUP('Données projet'!$B$28,Paramètres!$A$1:$I$89,3,0)*0.475*44/12</f>
        <v>#N/A</v>
      </c>
      <c r="PJ121" s="21" t="e">
        <f>EXP(-LN(2)/25)*PJ120+(1-EXP(-LN(2)/25))/(LN(2)/25)*Calculateur!PE121*Calculateur!PG121*VLOOKUP('Données projet'!$B$28,Paramètres!$A$1:$I$89,3,0)*0.475*44/12</f>
        <v>#N/A</v>
      </c>
      <c r="PK121" s="21" t="e">
        <f>EXP(-LN(2)/2)*PK120+(1-EXP(-LN(2)/2))/(LN(2)/2)*PE121*PH121*VLOOKUP('Données projet'!$B$28,Paramètres!$A$1:$I$89,3,0)*0.475*44/12</f>
        <v>#N/A</v>
      </c>
      <c r="PL121" s="22" t="e">
        <f t="shared" si="179"/>
        <v>#N/A</v>
      </c>
    </row>
    <row r="122" spans="1:428" x14ac:dyDescent="0.35">
      <c r="A122" s="10">
        <f t="shared" si="180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181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121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projet'!$A$45:$I$65,2,0)</f>
        <v>#N/A</v>
      </c>
      <c r="L122" s="12" t="e">
        <f>VLOOKUP(A122,'Données projet'!$A$45:$I$65,9,0)</f>
        <v>#N/A</v>
      </c>
      <c r="M122" s="12">
        <f t="array" ref="M122">INDEX(L:L,MIN(IF(ISNUMBER(L122:L318),ROW(L122:L318),"")))</f>
        <v>0</v>
      </c>
      <c r="N122" s="13">
        <f>IF('Données projet'!$A$46&gt;35,N121+M122-V121,IF(A122&lt;'Données projet'!$A$46,$K$205^A122,IF(A122='Données projet'!$A$46,'Données projet'!$B$46,N121+M122-V121)))</f>
        <v>-1.1368683772161603E-13</v>
      </c>
      <c r="O122" s="13">
        <f>N122*VLOOKUP('Données projet'!$B$9,Paramètres!$A$1:$I$89,3,0)*VLOOKUP('Données projet'!$B$9,Paramètres!$A$1:$I$89,5,0)</f>
        <v>-6.3550942286383367E-14</v>
      </c>
      <c r="P122" s="13" t="e">
        <f t="shared" si="182"/>
        <v>#NUM!</v>
      </c>
      <c r="Q122" s="20" t="e">
        <f t="shared" si="222"/>
        <v>#NUM!</v>
      </c>
      <c r="R122" s="59" t="e">
        <f t="shared" si="120"/>
        <v>#NUM!</v>
      </c>
      <c r="S122" s="59">
        <f ca="1">AVERAGE(OFFSET($R$3,0,0,'Données projet'!$E$9+1,1))-AVERAGE(OFFSET($H$3,0,0,'Données projet'!$E$9+1,1))</f>
        <v>274.57619581652199</v>
      </c>
      <c r="T122" s="59">
        <f t="shared" si="183"/>
        <v>366.15117322598775</v>
      </c>
      <c r="U122" s="15">
        <f>IF(ISNA(VLOOKUP(A122,'Données projet'!$A$45:$I$65,3,0)),0,VLOOKUP(A122,'Données projet'!$A$45:$I$65,3,0))</f>
        <v>0</v>
      </c>
      <c r="V122" s="15">
        <f>IF(ISNA(VLOOKUP(A122,'Données projet'!$A$45:$I$65,4,0)),0,VLOOKUP(A122,'Données projet'!$A$45:$I$65,4,0))</f>
        <v>0</v>
      </c>
      <c r="W122" s="16">
        <f>IF(ISNA(VLOOKUP(A122,'Données projet'!$A$45:$I$65,5,0)),0%,VLOOKUP(A122,'Données projet'!$A$45:$I$65,5,0)*VLOOKUP('Données projet'!$B$9,Paramètres!$A$1:$I$89,7,0))</f>
        <v>0</v>
      </c>
      <c r="X122" s="16">
        <f>IF(ISNA(VLOOKUP(A122,'Données projet'!$A$45:$I$65,6,0)),0%,VLOOKUP(A122,'Données projet'!$A$45:$I$65,6,0)*VLOOKUP('Données projet'!$B$9,Paramètres!$A$1:$I$89,7,0))</f>
        <v>0</v>
      </c>
      <c r="Y122" s="16">
        <f>IF(ISNA(VLOOKUP(A122,'Données projet'!$A$45:$I$65,7,0)),0%,VLOOKUP(A122,'Données projet'!$A$45:$I$65,7,0))</f>
        <v>0</v>
      </c>
      <c r="Z122" s="21">
        <f>EXP(-LN(2)/35)*Z121+(1-EXP(-LN(2)/35))/(LN(2)/35)*V122*W122*VLOOKUP('Données projet'!$B$9,Paramètres!$A$1:$I$89,3,0)*0.475*44/12</f>
        <v>63.813776074963336</v>
      </c>
      <c r="AA122" s="21">
        <f>EXP(-LN(2)/25)*AA121+(1-EXP(-LN(2)/25))/(LN(2)/25)*Calculateur!V122*Calculateur!X122*VLOOKUP('Données projet'!$B$9,Paramètres!$A$1:$I$89,3,0)*0.475*44/12</f>
        <v>9.7688535636135843</v>
      </c>
      <c r="AB122" s="21">
        <f>EXP(-LN(2)/2)*AB121+(1-EXP(-LN(2)/2))/(LN(2)/2)*V122*Y122*VLOOKUP('Données projet'!$B$9,Paramètres!$A$1:$I$89,3,0)*0.475*44/12</f>
        <v>7.953798399333021E-9</v>
      </c>
      <c r="AC122" s="22">
        <f t="shared" si="122"/>
        <v>73.582629646530719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>
        <f>VLOOKUP(A122,'Données projet'!$A$71:$I$91,2,0)</f>
        <v>357.33974358974359</v>
      </c>
      <c r="AG122" s="12">
        <f>VLOOKUP(A122,'Données projet'!$A$71:$I$91,9,0)</f>
        <v>6.8461538461538511</v>
      </c>
      <c r="AH122" s="12">
        <f t="array" ref="AH122">INDEX(AG:AG,MIN(IF(ISNUMBER(AG122:AG318),ROW(AG122:AG318),"")))</f>
        <v>6.8461538461538511</v>
      </c>
      <c r="AI122" s="13">
        <f>IF('Données projet'!$A$72&gt;35,AI121+AH122-AQ121,IF(A122&lt;'Données projet'!$A$72,$AF$205^A122,IF(A122='Données projet'!$A$72,'Données projet'!$B$72,AI121+AH122-AQ121)))</f>
        <v>357.3397435897441</v>
      </c>
      <c r="AJ122" s="13">
        <f>AI122*VLOOKUP('Données projet'!$B$10,Paramètres!$A$1:$I$89,3,0)*VLOOKUP('Données projet'!$B$10,Paramètres!$A$1:$I$89,5,0)</f>
        <v>323.32100000000048</v>
      </c>
      <c r="AK122" s="13">
        <f t="shared" si="184"/>
        <v>76.043936534151186</v>
      </c>
      <c r="AL122" s="20">
        <f t="shared" si="123"/>
        <v>695.56059779698069</v>
      </c>
      <c r="AM122" s="59">
        <f t="shared" si="124"/>
        <v>988.89393113031406</v>
      </c>
      <c r="AN122" s="59">
        <f ca="1">AVERAGE(OFFSET($AM$3,0,0,'Données projet'!$E$10+1,1))-AVERAGE(OFFSET($H$3,0,0,'Données projet'!$E$10+1,1))</f>
        <v>270.87836509222456</v>
      </c>
      <c r="AO122" s="59">
        <f t="shared" si="185"/>
        <v>205.24998237949734</v>
      </c>
      <c r="AP122" s="15">
        <f>IF(ISNA(VLOOKUP(A122,'Données projet'!$A$71:$I$91,3,0)),0,VLOOKUP(A122,'Données projet'!$A$71:$I$91,3,0))</f>
        <v>11</v>
      </c>
      <c r="AQ122" s="15">
        <f>IF(ISNA(VLOOKUP(A122,'Données projet'!$A$71:$I$91,4,0)),0,VLOOKUP(A122,'Données projet'!$A$71:$I$91,4,0))</f>
        <v>150.02564102564102</v>
      </c>
      <c r="AR122" s="16">
        <f>IF(ISNA(VLOOKUP(A122,'Données projet'!$A$71:$I$91,5,0)),0%,VLOOKUP(A122,'Données projet'!$A$71:$I$91,5,0)*VLOOKUP('Données projet'!$B$10,Paramètres!$A$1:$I$89,7,0))</f>
        <v>0.38700000000000001</v>
      </c>
      <c r="AS122" s="16">
        <f>IF(ISNA(VLOOKUP(A122,'Données projet'!$A$71:$I$91,6,0)),0%,VLOOKUP(A122,'Données projet'!$A$71:$I$91,6,0)*VLOOKUP('Données projet'!$B$10,Paramètres!$A$1:$I$89,7,0))</f>
        <v>0</v>
      </c>
      <c r="AT122" s="16">
        <f>IF(ISNA(VLOOKUP(A122,'Données projet'!$A$71:$I$91,7,0)),0%,VLOOKUP(A122,'Données projet'!$A$71:$I$91,7,0))</f>
        <v>0</v>
      </c>
      <c r="AU122" s="21">
        <f>EXP(-LN(2)/35)*AU121+(1-EXP(-LN(2)/35))/(LN(2)/35)*AQ122*AR122*VLOOKUP('Données projet'!$B$10,Paramètres!$A$1:$I$89,3,0)*0.475*44/12</f>
        <v>107.43129413735127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125"/>
        <v>107.43129413735127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projet'!$A$97:$I$117,2,0)</f>
        <v>#N/A</v>
      </c>
      <c r="BB122" s="12" t="e">
        <f>VLOOKUP(A122,'Données projet'!$A$97:$I$117,9,0)</f>
        <v>#N/A</v>
      </c>
      <c r="BC122" s="12">
        <f t="array" ref="BC122">INDEX(BB:BB,MIN(IF(ISNUMBER(BB122:BB318),ROW(BB122:BB318),"")))</f>
        <v>0</v>
      </c>
      <c r="BD122" s="12">
        <f>IF('Données projet'!$A$98&gt;35,BD121+BC122-BL121,IF(A122&lt;'Données projet'!$A$98,$BA$205^A122,IF(A122='Données projet'!$A$98,'Données projet'!$B$98,BD121+BC122-BL121)))</f>
        <v>-1.1368683772161603E-13</v>
      </c>
      <c r="BE122" s="13">
        <f>BD122*VLOOKUP('Données projet'!$B$11,Paramètres!$A$1:$I$89,3,0)*VLOOKUP('Données projet'!$B$11,Paramètres!$A$1:$I$89,5,0)</f>
        <v>-5.0249582272954292E-14</v>
      </c>
      <c r="BF122" s="13" t="e">
        <f t="shared" si="186"/>
        <v>#NUM!</v>
      </c>
      <c r="BG122" s="20" t="e">
        <f t="shared" si="126"/>
        <v>#NUM!</v>
      </c>
      <c r="BH122" s="59" t="e">
        <f t="shared" si="127"/>
        <v>#NUM!</v>
      </c>
      <c r="BI122" s="59">
        <f ca="1">AVERAGE(OFFSET($BH$3,0,0,'Données projet'!$E$11+1,1))-AVERAGE(OFFSET($H$3,0,0,'Données projet'!$E$11+1,1))</f>
        <v>211.31057120485542</v>
      </c>
      <c r="BJ122" s="59">
        <f t="shared" si="187"/>
        <v>283.33292006714777</v>
      </c>
      <c r="BK122" s="15">
        <f>IF(ISNA(VLOOKUP(A122,'Données projet'!$A$97:$I$117,3,0)),0,VLOOKUP(A122,'Données projet'!$A$97:$I$117,3,0))</f>
        <v>0</v>
      </c>
      <c r="BL122" s="15">
        <f>IF(ISNA(VLOOKUP(A122,'Données projet'!$A$97:$I$117,4,0)),0,VLOOKUP(A122,'Données projet'!$A$97:$I$117,4,0))</f>
        <v>0</v>
      </c>
      <c r="BM122" s="16">
        <f>IF(ISNA(VLOOKUP(A122,'Données projet'!$A$97:$I$117,5,0)),0%,VLOOKUP(A122,'Données projet'!$A$97:$I$117,5,0)*VLOOKUP('Données projet'!$B$11,Paramètres!$A$1:$I$89,7,0))</f>
        <v>0</v>
      </c>
      <c r="BN122" s="16">
        <f>IF(ISNA(VLOOKUP(A122,'Données projet'!$A$97:$I$117,6,0)),0%,VLOOKUP(A122,'Données projet'!$A$97:$I$117,6,0)*VLOOKUP('Données projet'!$B$11,Paramètres!$A$1:$I$89,7,0))</f>
        <v>0</v>
      </c>
      <c r="BO122" s="16">
        <f>IF(ISNA(VLOOKUP(A122,'Données projet'!$A$97:$I$117,7,0)),0%,VLOOKUP(A122,'Données projet'!$A$97:$I$117,7,0))</f>
        <v>0</v>
      </c>
      <c r="BP122" s="21">
        <f>EXP(-LN(2)/35)*BP121+(1-EXP(-LN(2)/35))/(LN(2)/35)*BL122*BM122*VLOOKUP('Données projet'!$B$11,Paramètres!$A$1:$I$89,3,0)*0.475*44/12</f>
        <v>50.457404338343117</v>
      </c>
      <c r="BQ122" s="21">
        <f>EXP(-LN(2)/25)*BQ121+(1-EXP(-LN(2)/25))/(LN(2)/25)*Calculateur!BL122*Calculateur!BN122*VLOOKUP('Données projet'!$B$11,Paramètres!$A$1:$I$89,3,0)*0.475*44/12</f>
        <v>7.7242097944851569</v>
      </c>
      <c r="BR122" s="21">
        <f>EXP(-LN(2)/2)*BR121+(1-EXP(-LN(2)/2))/(LN(2)/2)*BL122*BO122*VLOOKUP('Données projet'!$B$11,Paramètres!$A$1:$I$89,3,0)*0.475*44/12</f>
        <v>6.2890498971470386E-9</v>
      </c>
      <c r="BS122" s="22">
        <f t="shared" si="128"/>
        <v>58.181614139117322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projet'!$A$123:$I$143,2,0)</f>
        <v>#N/A</v>
      </c>
      <c r="BW122" s="12" t="e">
        <f>VLOOKUP(A122,'Données projet'!$A$123:$I$143,9,0)</f>
        <v>#N/A</v>
      </c>
      <c r="BX122" s="12">
        <f t="array" ref="BX122">INDEX(BW:BW,MIN(IF(ISNUMBER(BW122:BW318),ROW(BW122:BW318),"")))</f>
        <v>0</v>
      </c>
      <c r="BY122" s="12">
        <f>IF('Données projet'!$A$124&gt;35,BY121+BX122-CG121,IF(A122&lt;'Données projet'!$A$124,$BV$205^A122,IF(A122='Données projet'!$A$124,'Données projet'!$B$124,BY121+BX122-CG121)))</f>
        <v>0</v>
      </c>
      <c r="BZ122" s="13">
        <f>BY122*VLOOKUP('Données projet'!$B$12,Paramètres!$A$1:$I$89,3,0)*VLOOKUP('Données projet'!$B$12,Paramètres!$A$1:$I$89,5,0)</f>
        <v>0</v>
      </c>
      <c r="CA122" s="13" t="e">
        <f t="shared" si="188"/>
        <v>#NUM!</v>
      </c>
      <c r="CB122" s="20" t="e">
        <f t="shared" si="129"/>
        <v>#NUM!</v>
      </c>
      <c r="CC122" s="59" t="e">
        <f t="shared" si="130"/>
        <v>#NUM!</v>
      </c>
      <c r="CD122" s="59">
        <f ca="1">AVERAGE(OFFSET($CC$3,0,0,'Données projet'!$E$12+1,1))-AVERAGE(OFFSET($H$3,0,0,'Données projet'!$E$12+1,1))</f>
        <v>322.93502595881938</v>
      </c>
      <c r="CE122" s="59">
        <f t="shared" si="189"/>
        <v>302.67072119588164</v>
      </c>
      <c r="CF122" s="15">
        <f>IF(ISNA(VLOOKUP(A122,'Données projet'!$A$123:$I$143,3,0)),0,VLOOKUP(A122,'Données projet'!$A$123:$I$143,3,0))</f>
        <v>0</v>
      </c>
      <c r="CG122" s="15">
        <f>IF(ISNA(VLOOKUP(A122,'Données projet'!$A$123:$I$143,4,0)),0,VLOOKUP(A122,'Données projet'!$A$123:$I$143,4,0))</f>
        <v>0</v>
      </c>
      <c r="CH122" s="16">
        <f>IF(ISNA(VLOOKUP(A122,'Données projet'!$A$123:$I$143,5,0)),0%,VLOOKUP(A122,'Données projet'!$A$123:$I$143,5,0)*VLOOKUP('Données projet'!$B$12,Paramètres!$A$1:$I$89,7,0))</f>
        <v>0</v>
      </c>
      <c r="CI122" s="16">
        <f>IF(ISNA(VLOOKUP(A122,'Données projet'!$A$123:$I$143,6,0)),0%,VLOOKUP(A122,'Données projet'!$A$123:$I$143,6,0)*VLOOKUP('Données projet'!$B$12,Paramètres!$A$1:$I$89,7,0))</f>
        <v>0</v>
      </c>
      <c r="CJ122" s="16">
        <f>IF(ISNA(VLOOKUP(A122,'Données projet'!$A$123:$I$143,7,0)),0%,VLOOKUP(A122,'Données projet'!$A$123:$I$143,7,0))</f>
        <v>0</v>
      </c>
      <c r="CK122" s="21">
        <f>EXP(-LN(2)/35)*CK121+(1-EXP(-LN(2)/35))/(LN(2)/35)*CG122*CH122*VLOOKUP('Données projet'!$B$12,Paramètres!$A$1:$I$89,3,0)*0.475*44/12</f>
        <v>80.390837346124798</v>
      </c>
      <c r="CL122" s="21">
        <f>EXP(-LN(2)/25)*CL121+(1-EXP(-LN(2)/25))/(LN(2)/25)*Calculateur!CG122*Calculateur!CI122*VLOOKUP('Données projet'!$B$12,Paramètres!$A$1:$I$89,3,0)*0.475*44/12</f>
        <v>24.722144790282126</v>
      </c>
      <c r="CM122" s="21">
        <f>EXP(-LN(2)/2)*CM121+(1-EXP(-LN(2)/2))/(LN(2)/2)*CG122*CJ122*VLOOKUP('Données projet'!$B$12,Paramètres!$A$1:$I$89,3,0)*0.475*44/12</f>
        <v>0</v>
      </c>
      <c r="CN122" s="22">
        <f t="shared" si="131"/>
        <v>105.11298213640693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projet'!$A$149:$I$169,2,0)</f>
        <v>#N/A</v>
      </c>
      <c r="CR122" s="12" t="e">
        <f>VLOOKUP(A122,'Données projet'!$A$149:$I$169,9,0)</f>
        <v>#N/A</v>
      </c>
      <c r="CS122" s="12">
        <f t="array" ref="CS122">INDEX(CR:CR,MIN(IF(ISNUMBER(CR122:CR318),ROW(CR122:CR318),"")))</f>
        <v>5.3066239316239274</v>
      </c>
      <c r="CT122" s="12">
        <f>IF('Données projet'!$A$150&gt;35,CT121+CS122-DB121,IF(A122&lt;'Données projet'!$A$150,$CQ$205^A122,IF(A122='Données projet'!$A$150,'Données projet'!$B$150,CT121+CS122-DB121)))</f>
        <v>246.45512820512786</v>
      </c>
      <c r="CU122" s="17">
        <f>CT122*VLOOKUP('Données projet'!$B$13,Paramètres!$A$1:$I$89,3,0)*VLOOKUP('Données projet'!$B$13,Paramètres!$A$1:$I$89,5,0)</f>
        <v>249.90549999999968</v>
      </c>
      <c r="CV122" s="13">
        <f t="shared" si="190"/>
        <v>60.565704654390196</v>
      </c>
      <c r="CW122" s="20">
        <f t="shared" si="132"/>
        <v>540.73734810639564</v>
      </c>
      <c r="CX122" s="59">
        <f t="shared" si="133"/>
        <v>834.07068143972901</v>
      </c>
      <c r="CY122" s="59">
        <f ca="1">AVERAGE(OFFSET($CX$3,0,0,'Données projet'!$E$13+1,1))-AVERAGE(OFFSET($H$3,0,0,'Données projet'!$E$13+1,1))</f>
        <v>250.31277422753283</v>
      </c>
      <c r="CZ122" s="59">
        <f t="shared" si="191"/>
        <v>159.20429420478047</v>
      </c>
      <c r="DA122" s="15">
        <f>IF(ISNA(VLOOKUP(A122,'Données projet'!$A$149:$I$169,3,0)),0,VLOOKUP(A122,'Données projet'!$A$149:$I$169,3,0))</f>
        <v>0</v>
      </c>
      <c r="DB122" s="15">
        <f>IF(ISNA(VLOOKUP(A122,'Données projet'!$A$149:$I$169,4,0)),0,VLOOKUP(A122,'Données projet'!$A$149:$I$169,4,0))</f>
        <v>0</v>
      </c>
      <c r="DC122" s="16">
        <f>IF(ISNA(VLOOKUP(A122,'Données projet'!$A$149:$I$169,5,0)),0%,VLOOKUP(A122,'Données projet'!$A$149:$I$169,5,0)*VLOOKUP('Données projet'!$B$13,Paramètres!$A$1:$I$89,7,0))</f>
        <v>0</v>
      </c>
      <c r="DD122" s="16">
        <f>IF(ISNA(VLOOKUP(A122,'Données projet'!$A$149:$I$169,6,0)),0%,VLOOKUP(A122,'Données projet'!$A$149:$I$169,6,0)*VLOOKUP('Données projet'!$B$13,Paramètres!$A$1:$I$89,7,0))</f>
        <v>0</v>
      </c>
      <c r="DE122" s="16">
        <f>IF(ISNA(VLOOKUP(A122,'Données projet'!$A$149:$I$169,7,0)),0%,VLOOKUP(A122,'Données projet'!$A$149:$I$169,7,0))</f>
        <v>0</v>
      </c>
      <c r="DF122" s="21">
        <f>EXP(-LN(2)/35)*DF121+(1-EXP(-LN(2)/35))/(LN(2)/35)*DB122*DC122*VLOOKUP('Données projet'!$B$13,Paramètres!$A$1:$I$89,3,0)*0.475*44/12</f>
        <v>35.527702031500056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134"/>
        <v>35.527702031500056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projet'!$A$175:$I$195,2,0)</f>
        <v>#N/A</v>
      </c>
      <c r="DM122" s="12" t="e">
        <f>VLOOKUP(A122,'Données projet'!$A$175:$I$195,9,0)</f>
        <v>#N/A</v>
      </c>
      <c r="DN122" s="12">
        <f t="array" ref="DN122">INDEX(DM:DM,MIN(IF(ISNUMBER(DM122:DM318),ROW(DM122:DM318),"")))</f>
        <v>0</v>
      </c>
      <c r="DO122" s="12">
        <f>IF('Données projet'!$A$176&gt;35,DO121+DN122-DW121,IF(A122&lt;'Données projet'!$A$176,$DL$205^A122,IF(A122='Données projet'!$A$176,'Données projet'!$B$176,DO121+DN122-DW121)))</f>
        <v>-2.8421709430404007E-13</v>
      </c>
      <c r="DP122" s="17">
        <f>DO122*VLOOKUP('Données projet'!$B$14,Paramètres!$A$1:$I$89,3,0)*VLOOKUP('Données projet'!$B$14,Paramètres!$A$1:$I$89,5,0)</f>
        <v>-2.0838797354372215E-13</v>
      </c>
      <c r="DQ122" s="13" t="e">
        <f t="shared" si="192"/>
        <v>#NUM!</v>
      </c>
      <c r="DR122" s="20" t="e">
        <f t="shared" si="135"/>
        <v>#NUM!</v>
      </c>
      <c r="DS122" s="59" t="e">
        <f t="shared" si="136"/>
        <v>#NUM!</v>
      </c>
      <c r="DT122" s="59">
        <f ca="1">AVERAGE(OFFSET($DS$3,0,0,'Données projet'!$E$14+1,1))-AVERAGE(OFFSET($H$3,0,0,'Données projet'!$E$14+1,1))</f>
        <v>296.91321813251051</v>
      </c>
      <c r="DU122" s="59">
        <f t="shared" si="193"/>
        <v>291.0718079639509</v>
      </c>
      <c r="DV122" s="15">
        <f>IF(ISNA(VLOOKUP(A122,'Données projet'!$A$175:$I$195,3,0)),0,VLOOKUP(A122,'Données projet'!$A$175:$I$195,3,0))</f>
        <v>0</v>
      </c>
      <c r="DW122" s="15">
        <f>IF(ISNA(VLOOKUP(A122,'Données projet'!$A$175:$I$195,4,0)),0,VLOOKUP(A122,'Données projet'!$A$175:$I$195,4,0))</f>
        <v>0</v>
      </c>
      <c r="DX122" s="16">
        <f>IF(ISNA(VLOOKUP(A122,'Données projet'!$A$175:$I$195,5,0)),0%,VLOOKUP(A122,'Données projet'!$A$175:$I$195,5,0)*VLOOKUP('Données projet'!$B$14,Paramètres!$A$1:$I$89,7,0))</f>
        <v>0</v>
      </c>
      <c r="DY122" s="16">
        <f>IF(ISNA(VLOOKUP(A122,'Données projet'!$A$175:$I$195,6,0)),0%,VLOOKUP(A122,'Données projet'!$A$175:$I$195,6,0)*VLOOKUP('Données projet'!$B$14,Paramètres!$A$1:$I$89,7,0))</f>
        <v>0</v>
      </c>
      <c r="DZ122" s="16">
        <f>IF(ISNA(VLOOKUP(A122,'Données projet'!$A$175:$I$195,7,0)),0%,VLOOKUP(A122,'Données projet'!$A$175:$I$195,7,0))</f>
        <v>0</v>
      </c>
      <c r="EA122" s="21">
        <f>EXP(-LN(2)/35)*EA121+(1-EXP(-LN(2)/35))/(LN(2)/35)*DW122*DX122*VLOOKUP('Données projet'!$B$14,Paramètres!$A$1:$I$89,3,0)*0.475*44/12</f>
        <v>80.12385592278163</v>
      </c>
      <c r="EB122" s="21">
        <f>EXP(-LN(2)/25)*EB121+(1-EXP(-LN(2)/25))/(LN(2)/25)*Calculateur!DW122*Calculateur!DY122*VLOOKUP('Données projet'!$B$14,Paramètres!$A$1:$I$89,3,0)*0.475*44/12</f>
        <v>1.8161111779345109</v>
      </c>
      <c r="EC122" s="21">
        <f>EXP(-LN(2)/2)*EC121+(1-EXP(-LN(2)/2))/(LN(2)/2)*DW122*DZ122*VLOOKUP('Données projet'!$B$14,Paramètres!$A$1:$I$89,3,0)*0.475*44/12</f>
        <v>0</v>
      </c>
      <c r="ED122" s="22">
        <f t="shared" si="137"/>
        <v>81.939967100716146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projet'!$A$201:$I$221,2,0)</f>
        <v>#N/A</v>
      </c>
      <c r="EH122" s="12" t="e">
        <f>VLOOKUP(A122,'Données projet'!$A$201:$I$221,9,0)</f>
        <v>#N/A</v>
      </c>
      <c r="EI122" s="12">
        <f t="array" ref="EI122">INDEX(EH:EH,MIN(IF(ISNUMBER(EH122:EH318),ROW(EH122:EH318),"")))</f>
        <v>0</v>
      </c>
      <c r="EJ122" s="12">
        <f>IF('Données projet'!$A$202&gt;35,EJ121+EI122-ER121,IF(A122&lt;'Données projet'!$A$202,$EG$205^A122,IF(A122='Données projet'!$A$202,'Données projet'!$B$202,EJ121+EI122-ER121)))</f>
        <v>5.1159076974727213E-13</v>
      </c>
      <c r="EK122" s="17">
        <f>EJ122*VLOOKUP('Données projet'!$B$15,Paramètres!$A$1:$I$89,3,0)*VLOOKUP('Données projet'!$B$15,Paramètres!$A$1:$I$89,5,0)</f>
        <v>2.3942448024172334E-13</v>
      </c>
      <c r="EL122" s="13">
        <f t="shared" si="194"/>
        <v>3.2492669905861755E-12</v>
      </c>
      <c r="EM122" s="20">
        <f t="shared" si="138"/>
        <v>6.0761376450252565E-12</v>
      </c>
      <c r="EN122" s="59">
        <f t="shared" si="139"/>
        <v>293.3333333333394</v>
      </c>
      <c r="EO122" s="59">
        <f ca="1">AVERAGE(OFFSET($EN$3,0,0,'Données projet'!$E$15+1,1))-AVERAGE(OFFSET($H$3,0,0,'Données projet'!$E$15+1,1))</f>
        <v>147.64256291235483</v>
      </c>
      <c r="EP122" s="59">
        <f t="shared" si="195"/>
        <v>70.859031694091868</v>
      </c>
      <c r="EQ122" s="15">
        <f>IF(ISNA(VLOOKUP(A122,'Données projet'!$A$201:$I$221,3,0)),0,VLOOKUP(A122,'Données projet'!$A$201:$I$221,3,0))</f>
        <v>0</v>
      </c>
      <c r="ER122" s="15">
        <f>IF(ISNA(VLOOKUP(A122,'Données projet'!$A$201:$I$221,4,0)),0,VLOOKUP(A122,'Données projet'!$A$201:$I$221,4,0))</f>
        <v>0</v>
      </c>
      <c r="ES122" s="16">
        <f>IF(ISNA(VLOOKUP(A122,'Données projet'!$A$201:$I$221,5,0)),0%,VLOOKUP(A122,'Données projet'!$A$201:$I$221,5,0)*VLOOKUP('Données projet'!$B$15,Paramètres!$A$1:$I$89,7,0))</f>
        <v>0</v>
      </c>
      <c r="ET122" s="16">
        <f>IF(ISNA(VLOOKUP(A122,'Données projet'!$A$201:$I$221,6,0)),0%,VLOOKUP(A122,'Données projet'!$A$201:$I$221,6,0)*VLOOKUP('Données projet'!$B$15,Paramètres!$A$1:$I$89,7,0))</f>
        <v>0</v>
      </c>
      <c r="EU122" s="16">
        <f>IF(ISNA(VLOOKUP(A122,'Données projet'!$A$201:$I$221,7,0)),0%,VLOOKUP(A122,'Données projet'!$A$201:$I$221,7,0))</f>
        <v>0</v>
      </c>
      <c r="EV122" s="21">
        <f>EXP(-LN(2)/35)*EV121+(1-EXP(-LN(2)/35))/(LN(2)/35)*ER122*ES122*VLOOKUP('Données projet'!$B$15,Paramètres!$A$1:$I$89,3,0)*0.475*44/12</f>
        <v>109.69082173776388</v>
      </c>
      <c r="EW122" s="21">
        <f>EXP(-LN(2)/25)*EW121+(1-EXP(-LN(2)/25))/(LN(2)/25)*Calculateur!ER122*Calculateur!ET122*VLOOKUP('Données projet'!$B$15,Paramètres!$A$1:$I$89,3,0)*0.475*44/12</f>
        <v>25.19671289275411</v>
      </c>
      <c r="EX122" s="21">
        <f>EXP(-LN(2)/2)*EX121+(1-EXP(-LN(2)/2))/(LN(2)/2)*ER122*EU122*VLOOKUP('Données projet'!$B$15,Paramètres!$A$1:$I$89,3,0)*0.475*44/12</f>
        <v>0.57339654139729246</v>
      </c>
      <c r="EY122" s="22">
        <f t="shared" si="140"/>
        <v>135.46093117191529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projet'!$A$227:$I$247,2,0)</f>
        <v>#N/A</v>
      </c>
      <c r="FC122" s="12" t="e">
        <f>VLOOKUP(A122,'Données projet'!$A$227:$I$247,9,0)</f>
        <v>#N/A</v>
      </c>
      <c r="FD122" s="12">
        <f t="array" ref="FD122">INDEX(FC:FC,MIN(IF(ISNUMBER(FC122:FC318),ROW(FC122:FC318),"")))</f>
        <v>0</v>
      </c>
      <c r="FE122" s="12">
        <f>IF('Données projet'!$A$228&gt;35,FE121+FD122-FM121,IF(A122&lt;'Données projet'!$A$228,$FB$205^A122,IF(A122='Données projet'!$A$228,'Données projet'!$B$228,FE121+FD122-FM121)))</f>
        <v>8.5265128291212022E-14</v>
      </c>
      <c r="FF122" s="17">
        <f>FE122*VLOOKUP('Données projet'!$B$16,Paramètres!$A$1:$I$89,3,0)*VLOOKUP('Données projet'!$B$16,Paramètres!$A$1:$I$89,5,0)</f>
        <v>8.9119112089974823E-14</v>
      </c>
      <c r="FG122" s="13">
        <f t="shared" si="196"/>
        <v>1.3568952080113142E-12</v>
      </c>
      <c r="FH122" s="20">
        <f t="shared" si="141"/>
        <v>2.5184749408430782E-12</v>
      </c>
      <c r="FI122" s="59">
        <f t="shared" si="142"/>
        <v>293.33333333333582</v>
      </c>
      <c r="FJ122" s="59">
        <f ca="1">AVERAGE(OFFSET($FI$3,0,0,'Données projet'!$E$16+1,1))-AVERAGE(OFFSET($H$3,0,0,'Données projet'!$E$16+1,1))</f>
        <v>259.03906550253788</v>
      </c>
      <c r="FK122" s="59">
        <f t="shared" si="197"/>
        <v>235.54542903570831</v>
      </c>
      <c r="FL122" s="15">
        <f>IF(ISNA(VLOOKUP(A122,'Données projet'!$A$227:$I$247,3,0)),0,VLOOKUP(A122,'Données projet'!$A$227:$I$247,3,0))</f>
        <v>0</v>
      </c>
      <c r="FM122" s="15">
        <f>IF(ISNA(VLOOKUP(A122,'Données projet'!$A$227:$I$247,4,0)),0,VLOOKUP(A122,'Données projet'!$A$227:$I$247,4,0))</f>
        <v>0</v>
      </c>
      <c r="FN122" s="16">
        <f>IF(ISNA(VLOOKUP(A122,'Données projet'!$A$227:$I$247,5,0)),0%,VLOOKUP(A122,'Données projet'!$A$227:$I$247,5,0)*VLOOKUP('Données projet'!$B$16,Paramètres!$A$1:$I$89,7,0))</f>
        <v>0</v>
      </c>
      <c r="FO122" s="16">
        <f>IF(ISNA(VLOOKUP(A122,'Données projet'!$A$227:$I$247,6,0)),0%,VLOOKUP(A122,'Données projet'!$A$227:$I$247,6,0)*VLOOKUP('Données projet'!$B$16,Paramètres!$A$1:$I$89,7,0))</f>
        <v>0</v>
      </c>
      <c r="FP122" s="16">
        <f>IF(ISNA(VLOOKUP(A122,'Données projet'!$A$227:$I$247,7,0)),0%,VLOOKUP(A122,'Données projet'!$A$227:$I$247,7,0))</f>
        <v>0</v>
      </c>
      <c r="FQ122" s="21">
        <f>EXP(-LN(2)/35)*FQ121+(1-EXP(-LN(2)/35))/(LN(2)/35)*FM122*FN122*VLOOKUP('Données projet'!$B$16,Paramètres!$A$1:$I$89,3,0)*0.475*44/12</f>
        <v>48.414547658392479</v>
      </c>
      <c r="FR122" s="21">
        <f>EXP(-LN(2)/25)*FR121+(1-EXP(-LN(2)/25))/(LN(2)/25)*Calculateur!FM122*Calculateur!FO122*VLOOKUP('Données projet'!$B$16,Paramètres!$A$1:$I$89,3,0)*0.475*44/12</f>
        <v>34.662479368550962</v>
      </c>
      <c r="FS122" s="21">
        <f>EXP(-LN(2)/2)*FS121+(1-EXP(-LN(2)/2))/(LN(2)/2)*FM122*FP122*VLOOKUP('Données projet'!$B$16,Paramètres!$A$1:$I$89,3,0)*0.475*44/12</f>
        <v>0</v>
      </c>
      <c r="FT122" s="22">
        <f t="shared" si="143"/>
        <v>83.077027026943441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projet'!$A$253:$I$273,2,0)</f>
        <v>#N/A</v>
      </c>
      <c r="FX122" s="12" t="e">
        <f>VLOOKUP(A122,'Données projet'!$A$253:$I$273,9,0)</f>
        <v>#N/A</v>
      </c>
      <c r="FY122" s="12">
        <f t="array" ref="FY122">INDEX(FX:FX,MIN(IF(ISNUMBER(FX122:FX318),ROW(FX122:FX318),"")))</f>
        <v>0</v>
      </c>
      <c r="FZ122" s="12">
        <f>IF('Données projet'!$A$254&gt;35,FZ121+FY122-GH121,IF(A122&lt;'Données projet'!$A$254,$FW$205^A122,IF(A122='Données projet'!$A$254,'Données projet'!$B$254,FZ121+FY122-GH121)))</f>
        <v>-1.7053025658242404E-13</v>
      </c>
      <c r="GA122" s="17">
        <f>FZ122*VLOOKUP('Données projet'!$B$17,Paramètres!$A$1:$I$89,3,0)*VLOOKUP('Données projet'!$B$17,Paramètres!$A$1:$I$89,5,0)</f>
        <v>-1.4897523215040567E-13</v>
      </c>
      <c r="GB122" s="13" t="e">
        <f t="shared" si="198"/>
        <v>#NUM!</v>
      </c>
      <c r="GC122" s="20" t="e">
        <f t="shared" si="144"/>
        <v>#NUM!</v>
      </c>
      <c r="GD122" s="59" t="e">
        <f t="shared" si="145"/>
        <v>#NUM!</v>
      </c>
      <c r="GE122" s="59">
        <f ca="1">AVERAGE(OFFSET($GD$3,0,0,'Données projet'!$E$17+1,1))-AVERAGE(OFFSET($H$3,0,0,'Données projet'!$E$17+1,1))</f>
        <v>245.1983232777614</v>
      </c>
      <c r="GF122" s="59">
        <f t="shared" si="199"/>
        <v>242.34010522344573</v>
      </c>
      <c r="GG122" s="15">
        <f>IF(ISNA(VLOOKUP(A122,'Données projet'!$A$253:$I$273,3,0)),0,VLOOKUP(A122,'Données projet'!$A$253:$I$273,3,0))</f>
        <v>0</v>
      </c>
      <c r="GH122" s="15">
        <f>IF(ISNA(VLOOKUP(A122,'Données projet'!$A$253:$I$273,4,0)),0,VLOOKUP(A122,'Données projet'!$A$253:$I$273,4,0))</f>
        <v>0</v>
      </c>
      <c r="GI122" s="16">
        <f>IF(ISNA(VLOOKUP(A122,'Données projet'!$A$253:$I$273,5,0)),0%,VLOOKUP(A122,'Données projet'!$A$253:$I$273,5,0)*VLOOKUP('Données projet'!$B$17,Paramètres!$A$1:$I$89,7,0))</f>
        <v>0</v>
      </c>
      <c r="GJ122" s="16">
        <f>IF(ISNA(VLOOKUP(A122,'Données projet'!$A$253:$I$273,6,0)),0%,VLOOKUP(A122,'Données projet'!$A$253:$I$273,6,0)*VLOOKUP('Données projet'!$B$17,Paramètres!$A$1:$I$89,7,0))</f>
        <v>0</v>
      </c>
      <c r="GK122" s="16">
        <f>IF(ISNA(VLOOKUP(A122,'Données projet'!$A$253:$I$273,7,0)),0%,VLOOKUP(A122,'Données projet'!$A$253:$I$273,7,0))</f>
        <v>0</v>
      </c>
      <c r="GL122" s="21">
        <f>EXP(-LN(2)/35)*GL121+(1-EXP(-LN(2)/35))/(LN(2)/35)*GH122*GI122*VLOOKUP('Données projet'!$B$17,Paramètres!$A$1:$I$89,3,0)*0.475*44/12</f>
        <v>56.917943359578935</v>
      </c>
      <c r="GM122" s="21">
        <f>EXP(-LN(2)/25)*GM121+(1-EXP(-LN(2)/25))/(LN(2)/25)*Calculateur!GH122*Calculateur!GJ122*VLOOKUP('Données projet'!$B$17,Paramètres!$A$1:$I$89,3,0)*0.475*44/12</f>
        <v>7.385729918807022</v>
      </c>
      <c r="GN122" s="21">
        <f>EXP(-LN(2)/2)*GN121+(1-EXP(-LN(2)/2))/(LN(2)/2)*GH122*GK122*VLOOKUP('Données projet'!$B$17,Paramètres!$A$1:$I$89,3,0)*0.475*44/12</f>
        <v>0</v>
      </c>
      <c r="GO122" s="21">
        <f t="shared" si="146"/>
        <v>64.303673278385958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projet'!$A$279:$I$299,2,0)</f>
        <v>#N/A</v>
      </c>
      <c r="GS122" s="12" t="e">
        <f>VLOOKUP(A122,'Données projet'!$A$279:$I$299,9,0)</f>
        <v>#N/A</v>
      </c>
      <c r="GT122" s="12">
        <f t="array" ref="GT122">INDEX(GS:GS,MIN(IF(ISNUMBER(GS122:GS318),ROW(GS122:GS318),"")))</f>
        <v>0</v>
      </c>
      <c r="GU122" s="12">
        <f>IF('Données projet'!$A$280&gt;35,GU121+GT122-HC121,IF(A122&lt;'Données projet'!$A$280,$GR$205^A122,IF(A122='Données projet'!$A$280,'Données projet'!$B$280,GU121+GT122-HC121)))</f>
        <v>-1.1368683772161603E-13</v>
      </c>
      <c r="GV122" s="17">
        <f>GU122*VLOOKUP('Données projet'!$B$18,Paramètres!$A$1:$I$89,3,0)*VLOOKUP('Données projet'!$B$18,Paramètres!$A$1:$I$89,5,0)</f>
        <v>-4.5815795601811263E-14</v>
      </c>
      <c r="GW122" s="13" t="e">
        <f t="shared" si="200"/>
        <v>#NUM!</v>
      </c>
      <c r="GX122" s="20" t="e">
        <f t="shared" si="147"/>
        <v>#NUM!</v>
      </c>
      <c r="GY122" s="59" t="e">
        <f t="shared" si="148"/>
        <v>#NUM!</v>
      </c>
      <c r="GZ122" s="59">
        <f ca="1">AVERAGE(OFFSET($GY$3,0,0,'Données projet'!$E$18+1,1))-AVERAGE(OFFSET($H$3,0,0,'Données projet'!$E$18+1,1))</f>
        <v>324.36162935850876</v>
      </c>
      <c r="HA122" s="59">
        <f t="shared" si="201"/>
        <v>265.23571072429735</v>
      </c>
      <c r="HB122" s="15">
        <f>IF(ISNA(VLOOKUP(A122,'Données projet'!$A$279:$I$299,3,0)),0,VLOOKUP(A122,'Données projet'!$A$279:$I$299,3,0))</f>
        <v>0</v>
      </c>
      <c r="HC122" s="15">
        <f>IF(ISNA(VLOOKUP(A122,'Données projet'!$A$279:$I$299,4,0)),0,VLOOKUP(A122,'Données projet'!$A$279:$I$299,4,0))</f>
        <v>0</v>
      </c>
      <c r="HD122" s="16">
        <f>IF(ISNA(VLOOKUP(A122,'Données projet'!$A$279:$I$299,5,0)),0%,VLOOKUP(A122,'Données projet'!$A$279:$I$299,5,0)*VLOOKUP('Données projet'!$B$18,Paramètres!$A$1:$I$89,7,0))</f>
        <v>0</v>
      </c>
      <c r="HE122" s="16">
        <f>IF(ISNA(VLOOKUP(A122,'Données projet'!$A$279:$I$299,6,0)),0%,VLOOKUP(A122,'Données projet'!$A$279:$I$299,6,0)*VLOOKUP('Données projet'!$B$18,Paramètres!$A$1:$I$89,7,0))</f>
        <v>0</v>
      </c>
      <c r="HF122" s="16">
        <f>IF(ISNA(VLOOKUP($A122,'Données projet'!$A$279:$I$299,7,0)),0%,VLOOKUP($A122,'Données projet'!$A$279:$I$299,7,0))</f>
        <v>0</v>
      </c>
      <c r="HG122" s="21">
        <f>EXP(-LN(2)/35)*HG121+(1-EXP(-LN(2)/35))/(LN(2)/35)*HC122*HD122*VLOOKUP('Données projet'!$B$18,Paramètres!$A$1:$I$89,3,0)*0.475*44/12</f>
        <v>109.069658897983</v>
      </c>
      <c r="HH122" s="21">
        <f>EXP(-LN(2)/25)*HH121+(1-EXP(-LN(2)/25))/(LN(2)/25)*Calculateur!HC122*Calculateur!HE122*VLOOKUP('Données projet'!$B$18,Paramètres!$A$1:$I$89,3,0)*0.475*44/12</f>
        <v>8.2142527260840232</v>
      </c>
      <c r="HI122" s="21">
        <f>EXP(-LN(2)/2)*HI121+(1-EXP(-LN(2)/2))/(LN(2)/2)*HC122*HF122*VLOOKUP('Données projet'!$B$18,Paramètres!$A$1:$I$89,3,0)*0.475*44/12</f>
        <v>1.152761448998651E-5</v>
      </c>
      <c r="HJ122" s="22">
        <f t="shared" si="149"/>
        <v>117.28392315168152</v>
      </c>
      <c r="HK122" s="74">
        <f>('Scénario référence'!$F$8+'Scénario référence'!$F$9+'Scénario référence'!$B$17+'Scénario référence'!$B$9+'Scénario référence'!$B$10)*70+IF((45+25*(1-EXP(-0.0175*$A122)))&lt;70,'Scénario référence'!$B$16*(45+25*(1-EXP(-0.0175*$A122))),70*'Scénario référence'!$B$16)+IF((32+38*(1-EXP(-0.0175*$A122)))&lt;70,'Scénario référence'!$B$18*(32+38*(1-EXP(-0.0175*$A122))),70*'Scénario référence'!$B$18)</f>
        <v>70</v>
      </c>
      <c r="HL122" s="12">
        <f>IF($A122&gt;30,10,('Scénario référence'!$B$16+'Scénario référence'!$B$17+'Scénario référence'!$B$18+'Scénario référence'!$B$9+'Scénario référence'!$B$10)*$A122*10/30+('Scénario référence'!$F$8+'Scénario référence'!$F$9)*10)</f>
        <v>10</v>
      </c>
      <c r="HM122" s="12" t="e">
        <f>VLOOKUP($A122,'Données projet'!$A$304:$I$324,2,0)</f>
        <v>#N/A</v>
      </c>
      <c r="HN122" s="12" t="e">
        <f>VLOOKUP($A122,'Données projet'!$A$304:$I$324,9,0)</f>
        <v>#N/A</v>
      </c>
      <c r="HO122" s="12">
        <f t="array" ref="HO122">INDEX(HN:HN,MIN(IF(ISNUMBER(HN122:HN318),ROW(HN122:HN318),"")))</f>
        <v>0</v>
      </c>
      <c r="HP122" s="12">
        <f>IF('Données projet'!$A$304&gt;35,HP121+HO122-HX121,IF($A122&lt;'Données projet'!$A$304,$CQ$205^$A122,IF($A122='Données projet'!$A$304,'Données projet'!$B$304,HP121+HO122-HX121)))</f>
        <v>0</v>
      </c>
      <c r="HQ122" s="17">
        <f>HP122*VLOOKUP('Données projet'!$B$19,Paramètres!$A$1:$I$89,3,0)*VLOOKUP('Données projet'!$B$19,Paramètres!$A$1:$I$89,5,0)</f>
        <v>0</v>
      </c>
      <c r="HR122" s="13" t="e">
        <f t="shared" si="202"/>
        <v>#NUM!</v>
      </c>
      <c r="HS122" s="14" t="e">
        <f t="shared" si="150"/>
        <v>#NUM!</v>
      </c>
      <c r="HT122" s="59" t="e">
        <f t="shared" si="151"/>
        <v>#NUM!</v>
      </c>
      <c r="HU122" s="59">
        <f ca="1">AVERAGE(OFFSET(HT$3,0,0,'Données projet'!$E$19+1,1))-AVERAGE(OFFSET($H$3,0,0,'Données projet'!$E$19+1,1))</f>
        <v>91.60721429656013</v>
      </c>
      <c r="HV122" s="59">
        <f t="shared" si="203"/>
        <v>258.94957804210856</v>
      </c>
      <c r="HW122" s="15">
        <f>IF(ISNA(VLOOKUP($A122,'Données projet'!$A$304:$I$324,3,0)),0,VLOOKUP($A122,'Données projet'!$A$304:$I$324,3,0))</f>
        <v>0</v>
      </c>
      <c r="HX122" s="15">
        <f>IF(ISNA(VLOOKUP($A122,'Données projet'!$A$304:$I$324,4,0)),0,VLOOKUP($A122,'Données projet'!$A$304:$I$324,4,0))</f>
        <v>0</v>
      </c>
      <c r="HY122" s="16">
        <f>IF(ISNA(VLOOKUP($A122,'Données projet'!$A$304:$I$324,5,0)),0%,VLOOKUP($A122,'Données projet'!$A$304:$I$324,5,0)*VLOOKUP('Données projet'!$B$19,Paramètres!$A$1:$I$89,7,0))</f>
        <v>0</v>
      </c>
      <c r="HZ122" s="16">
        <f>IF(ISNA(VLOOKUP($A122,'Données projet'!$A$304:$I$324,6,0)),0%,VLOOKUP($A122,'Données projet'!$A$304:$I$324,6,0)*VLOOKUP('Données projet'!$B$19,Paramètres!$A$1:$I$89,7,0))</f>
        <v>0</v>
      </c>
      <c r="IA122" s="16">
        <f>IF(ISNA(VLOOKUP($A122,'Données projet'!$A$304:$I$324,7,0)),0%,VLOOKUP($A122,'Données projet'!$A$304:$I$324,7,0))</f>
        <v>0</v>
      </c>
      <c r="IB122" s="21">
        <f>EXP(-LN(2)/35)*IB121+(1-EXP(-LN(2)/35))/(LN(2)/35)*HX122*HY122*VLOOKUP('Données projet'!$B$19,Paramètres!$A$1:$I$89,3,0)*0.475*44/12</f>
        <v>8.4656176966250669</v>
      </c>
      <c r="IC122" s="21">
        <f>EXP(-LN(2)/25)*IC121+(1-EXP(-LN(2)/25))/(LN(2)/25)*Calculateur!HX122*Calculateur!HZ122*VLOOKUP('Données projet'!$B$19,Paramètres!$A$1:$I$89,3,0)*0.475*44/12</f>
        <v>0.82479225656747202</v>
      </c>
      <c r="ID122" s="21">
        <f>EXP(-LN(2)/2)*ID121+(1-EXP(-LN(2)/2))/(LN(2)/2)*HX122*IA122*VLOOKUP('Données projet'!$B$19,Paramètres!$A$1:$I$89,3,0)*0.475*44/12</f>
        <v>2.3025436021984924E-14</v>
      </c>
      <c r="IE122" s="22">
        <f t="shared" si="152"/>
        <v>9.2904099531925617</v>
      </c>
      <c r="IF122" s="74">
        <f>('Scénario référence'!$F$8+'Scénario référence'!$F$9+'Scénario référence'!$B$17+'Scénario référence'!$B$9+'Scénario référence'!$B$10)*70+IF((45+25*(1-EXP(-0.0175*$A122)))&lt;70,'Scénario référence'!$B$16*(45+25*(1-EXP(-0.0175*$A122))),70*'Scénario référence'!$B$16)+IF((32+38*(1-EXP(-0.0175*$A122)))&lt;70,'Scénario référence'!$B$18*(32+38*(1-EXP(-0.0175*$A122))),70*'Scénario référence'!$B$18)</f>
        <v>70</v>
      </c>
      <c r="IG122" s="12">
        <f>IF($A122&gt;30,10,('Scénario référence'!$B$16+'Scénario référence'!$B$17+'Scénario référence'!$B$18+'Scénario référence'!$B$9+'Scénario référence'!$B$10)*$A122*10/30+('Scénario référence'!$F$8+'Scénario référence'!$F$9)*10)</f>
        <v>10</v>
      </c>
      <c r="IH122" s="12" t="e">
        <f>VLOOKUP($A122,'Données projet'!$A$330:$I$350,2,0)</f>
        <v>#N/A</v>
      </c>
      <c r="II122" s="12" t="e">
        <f>VLOOKUP($A122,'Données projet'!$A$330:$I$350,9,0)</f>
        <v>#N/A</v>
      </c>
      <c r="IJ122" s="12">
        <f t="array" ref="IJ122">INDEX(II:II,MIN(IF(ISNUMBER(II122:II318),ROW(II122:II318),"")))</f>
        <v>0</v>
      </c>
      <c r="IK122" s="12">
        <f>IF('Données projet'!$A$330&gt;35,IK121+IJ122-IS121,IF($A122&lt;'Données projet'!$A$330,$CQ$205^$A122,IF($A122='Données projet'!$A$330,'Données projet'!$B$330,IK121+IJ122-IS121)))</f>
        <v>0</v>
      </c>
      <c r="IL122" s="17">
        <f>IK122*VLOOKUP('Données projet'!$B$20,Paramètres!$A$1:$I$89,3,0)*VLOOKUP('Données projet'!$B$20,Paramètres!$A$1:$I$89,5,0)</f>
        <v>0</v>
      </c>
      <c r="IM122" s="13" t="e">
        <f t="shared" si="204"/>
        <v>#NUM!</v>
      </c>
      <c r="IN122" s="20" t="e">
        <f t="shared" si="153"/>
        <v>#NUM!</v>
      </c>
      <c r="IO122" s="59" t="e">
        <f t="shared" si="154"/>
        <v>#NUM!</v>
      </c>
      <c r="IP122" s="59">
        <f ca="1">AVERAGE(OFFSET(IO$3,0,0,'Données projet'!$E$20+1,1))-AVERAGE(OFFSET($H$3,0,0,'Données projet'!$E$20+1,1))</f>
        <v>91.60721429656013</v>
      </c>
      <c r="IQ122" s="59">
        <f t="shared" si="205"/>
        <v>258.94957804210856</v>
      </c>
      <c r="IR122" s="15">
        <f>IF(ISNA(VLOOKUP($A122,'Données projet'!$A$330:$I$350,3,0)),0,VLOOKUP($A122,'Données projet'!$A$330:$I$350,3,0))</f>
        <v>0</v>
      </c>
      <c r="IS122" s="15">
        <f>IF(ISNA(VLOOKUP($A122,'Données projet'!$A$330:$I$350,4,0)),0,VLOOKUP($A122,'Données projet'!$A$330:$I$350,4,0))</f>
        <v>0</v>
      </c>
      <c r="IT122" s="16">
        <f>IF(ISNA(VLOOKUP($A122,'Données projet'!$A$330:$I$350,5,0)),0%,VLOOKUP($A122,'Données projet'!$A$330:$I$350,5,0)*VLOOKUP('Données projet'!$B$20,Paramètres!$A$1:$I$89,7,0))</f>
        <v>0</v>
      </c>
      <c r="IU122" s="16">
        <f>IF(ISNA(VLOOKUP($A122,'Données projet'!$A$330:$I$350,6,0)),0%,VLOOKUP($A122,'Données projet'!$A$330:$I$350,6,0)*VLOOKUP('Données projet'!$B$20,Paramètres!$A$1:$I$89,7,0))</f>
        <v>0</v>
      </c>
      <c r="IV122" s="16">
        <f>IF(ISNA(VLOOKUP($A122,'Données projet'!$A$330:$I$350,7,0)),0%,VLOOKUP($A122,'Données projet'!$A$330:$I$350,7,0))</f>
        <v>0</v>
      </c>
      <c r="IW122" s="21">
        <f>EXP(-LN(2)/35)*IW121+(1-EXP(-LN(2)/35))/(LN(2)/35)*IS122*IT122*VLOOKUP('Données projet'!$B$20,Paramètres!$A$1:$I$89,3,0)*0.475*44/12</f>
        <v>8.4656176966250669</v>
      </c>
      <c r="IX122" s="21">
        <f>EXP(-LN(2)/25)*IX121+(1-EXP(-LN(2)/25))/(LN(2)/25)*Calculateur!IS122*Calculateur!IU122*VLOOKUP('Données projet'!$B$20,Paramètres!$A$1:$I$89,3,0)*0.475*44/12</f>
        <v>0.82479225656747202</v>
      </c>
      <c r="IY122" s="21">
        <f>EXP(-LN(2)/2)*IY121+(1-EXP(-LN(2)/2))/(LN(2)/2)*IS122*IV122*VLOOKUP('Données projet'!$B$20,Paramètres!$A$1:$I$89,3,0)*0.475*44/12</f>
        <v>2.3025436021984924E-14</v>
      </c>
      <c r="IZ122" s="22">
        <f t="shared" si="155"/>
        <v>9.2904099531925617</v>
      </c>
      <c r="JA122" s="74">
        <f>('Scénario référence'!$F$8+'Scénario référence'!$F$9+'Scénario référence'!$B$17+'Scénario référence'!$B$9+'Scénario référence'!$B$10)*70+IF((45+25*(1-EXP(-0.0175*$A122)))&lt;70,'Scénario référence'!$B$16*(45+25*(1-EXP(-0.0175*$A122))),70*'Scénario référence'!$B$16)+IF((32+38*(1-EXP(-0.0175*$A122)))&lt;70,'Scénario référence'!$B$18*(32+38*(1-EXP(-0.0175*$A122))),70*'Scénario référence'!$B$18)</f>
        <v>70</v>
      </c>
      <c r="JB122" s="12">
        <f>IF($A122&gt;30,10,('Scénario référence'!$B$16+'Scénario référence'!$B$17+'Scénario référence'!$B$18+'Scénario référence'!$B$9+'Scénario référence'!$B$10)*$A122*10/30+('Scénario référence'!$F$8+'Scénario référence'!$F$9)*10)</f>
        <v>10</v>
      </c>
      <c r="JC122" s="12" t="e">
        <f>VLOOKUP($A122,'Données projet'!$A$356:$I$376,2,0)</f>
        <v>#N/A</v>
      </c>
      <c r="JD122" s="12" t="e">
        <f>VLOOKUP($A122,'Données projet'!$A$356:$I$376,9,0)</f>
        <v>#N/A</v>
      </c>
      <c r="JE122" s="12">
        <f t="array" ref="JE122">INDEX(JD:JD,MIN(IF(ISNUMBER(JD122:JD318),ROW(JD122:JD318),"")))</f>
        <v>2.2000000000000002</v>
      </c>
      <c r="JF122" s="12">
        <f>IF('Données projet'!$A$356&gt;35,JF121+JE122-JN121,IF($A122&lt;'Données projet'!$A$356,$CQ$205^$A122,IF($A122='Données projet'!$A$356,'Données projet'!$B$356,JF121+JE122-JN121)))</f>
        <v>415.79999999999927</v>
      </c>
      <c r="JG122" s="17">
        <f>JF122*VLOOKUP('Données projet'!$B$21,Paramètres!$A$1:$I$89,3,0)*VLOOKUP('Données projet'!$B$21,Paramètres!$A$1:$I$89,5,0)</f>
        <v>337.29695999999944</v>
      </c>
      <c r="JH122" s="13">
        <f t="shared" si="206"/>
        <v>78.941222076122287</v>
      </c>
      <c r="JI122" s="20">
        <f t="shared" si="156"/>
        <v>724.94816711591204</v>
      </c>
      <c r="JJ122" s="59">
        <f t="shared" si="157"/>
        <v>1018.2815004492454</v>
      </c>
      <c r="JK122" s="59">
        <f ca="1">AVERAGE(OFFSET($JJ$3,0,0,'Données projet'!$E$22+1,1))-AVERAGE(OFFSET($H$3,0,0,'Données projet'!$E$22+1,1))</f>
        <v>353.35574633294613</v>
      </c>
      <c r="JL122" s="59">
        <f t="shared" si="207"/>
        <v>170.36796666474726</v>
      </c>
      <c r="JM122" s="15">
        <f>IF(ISNA(VLOOKUP($A122,'Données projet'!$A$356:$I$376,3,0)),0,VLOOKUP($A122,'Données projet'!$A$356:$I$376,3,0))</f>
        <v>0</v>
      </c>
      <c r="JN122" s="15">
        <f>IF(ISNA(VLOOKUP($A122,'Données projet'!$A$356:$I$376,4,0)),0,VLOOKUP($A122,'Données projet'!$A$356:$I$376,4,0))</f>
        <v>0</v>
      </c>
      <c r="JO122" s="16">
        <f>IF(ISNA(VLOOKUP($A122,'Données projet'!$A$356:$I$376,5,0)),0%,VLOOKUP($A122,'Données projet'!$A$356:$I$376,5,0)*VLOOKUP('Données projet'!$B$21,Paramètres!$A$1:$I$89,7,0))</f>
        <v>0</v>
      </c>
      <c r="JP122" s="16">
        <f>IF(ISNA(VLOOKUP($A122,'Données projet'!$A$356:$I$376,6,0)),0%,VLOOKUP($A122,'Données projet'!$A$356:$I$376,6,0)*VLOOKUP('Données projet'!$B$21,Paramètres!$A$1:$I$89,7,0))</f>
        <v>0</v>
      </c>
      <c r="JQ122" s="16">
        <f>IF(ISNA(VLOOKUP($A122,'Données projet'!$A$356:$I$376,7,0)),0%,VLOOKUP($A122,'Données projet'!$A$356:$I$376,7,0))</f>
        <v>0</v>
      </c>
      <c r="JR122" s="21">
        <f>EXP(-LN(2)/35)*JR121+(1-EXP(-LN(2)/35))/(LN(2)/35)*JN122*JO122*VLOOKUP('Données projet'!$B$21,Paramètres!$A$1:$I$89,3,0)*0.475*44/12</f>
        <v>4.2051390973287841</v>
      </c>
      <c r="JS122" s="21">
        <f>EXP(-LN(2)/25)*JS121+(1-EXP(-LN(2)/25))/(LN(2)/25)*Calculateur!JN122*Calculateur!JP122*VLOOKUP('Données projet'!$B$21,Paramètres!$A$1:$I$89,3,0)*0.475*44/12</f>
        <v>13.77898228825665</v>
      </c>
      <c r="JT122" s="21">
        <f>EXP(-LN(2)/2)*JT121+(1-EXP(-LN(2)/2))/(LN(2)/2)*JN122*JQ122*VLOOKUP('Données projet'!$B$21,Paramètres!$A$1:$I$89,3,0)*0.475*44/12</f>
        <v>0.15417528881755491</v>
      </c>
      <c r="JU122" s="18">
        <f t="shared" si="158"/>
        <v>18.138296674402987</v>
      </c>
      <c r="JV122" s="74">
        <f>('Scénario référence'!$F$8+'Scénario référence'!$F$9+'Scénario référence'!$B$17+'Scénario référence'!$B$9+'Scénario référence'!$B$10)*70+IF((45+25*(1-EXP(-0.0175*$A122)))&lt;70,'Scénario référence'!$B$16*(45+25*(1-EXP(-0.0175*$A122))),70*'Scénario référence'!$B$16)+IF((32+38*(1-EXP(-0.0175*$A122)))&lt;70,'Scénario référence'!$B$18*(32+38*(1-EXP(-0.0175*$A122))),70*'Scénario référence'!$B$18)</f>
        <v>70</v>
      </c>
      <c r="JW122" s="12">
        <f>IF($A122&gt;30,10,('Scénario référence'!$B$16+'Scénario référence'!$B$17+'Scénario référence'!$B$18+'Scénario référence'!$B$9+'Scénario référence'!$B$10)*$A122*10/30+('Scénario référence'!$F$8+'Scénario référence'!$F$9)*10)</f>
        <v>10</v>
      </c>
      <c r="JX122" s="12">
        <f>VLOOKUP($A122,'Données projet'!$A$382:$I$402,2,0)</f>
        <v>357.33974358974359</v>
      </c>
      <c r="JY122" s="12">
        <f>VLOOKUP($A122,'Données projet'!$A$382:$I$402,9,0)</f>
        <v>6.8461538461538511</v>
      </c>
      <c r="JZ122" s="12">
        <f t="array" ref="JZ122">INDEX(JY:JY,MIN(IF(ISNUMBER(JY122:JY318),ROW(JY122:JY318),"")))</f>
        <v>6.8461538461538511</v>
      </c>
      <c r="KA122" s="12">
        <f>IF('Données projet'!$A$382&gt;35,KA121+JZ122-KI121,IF($A122&lt;'Données projet'!$A$382,$CQ$205^$A122,IF($A122='Données projet'!$A$382,'Données projet'!$B$382,KA121+JZ122-KI121)))</f>
        <v>357.33974358974405</v>
      </c>
      <c r="KB122" s="17">
        <f>KA122*VLOOKUP('Données projet'!$B$22,Paramètres!$A$1:$I$89,3,0)*VLOOKUP('Données projet'!$B$22,Paramètres!$A$1:$I$89,5,0)</f>
        <v>239.70350000000033</v>
      </c>
      <c r="KC122" s="13">
        <f t="shared" si="208"/>
        <v>58.375732473910162</v>
      </c>
      <c r="KD122" s="20">
        <f t="shared" si="159"/>
        <v>519.15466322539407</v>
      </c>
      <c r="KE122" s="59">
        <f t="shared" si="160"/>
        <v>812.48799655872745</v>
      </c>
      <c r="KF122" s="59">
        <f ca="1">AVERAGE(OFFSET($KE$3,0,0,'Données projet'!$E$22+1,1))-AVERAGE(OFFSET($H$3,0,0,'Données projet'!$E$22+1,1))</f>
        <v>193.91714772848269</v>
      </c>
      <c r="KG122" s="59">
        <f t="shared" si="209"/>
        <v>159.20429420478047</v>
      </c>
      <c r="KH122" s="15">
        <f>IF(ISNA(VLOOKUP($A122,'Données projet'!$A$382:$I$402,3,0)),0,VLOOKUP($A122,'Données projet'!$A$382:$I$402,3,0))</f>
        <v>11</v>
      </c>
      <c r="KI122" s="15">
        <f>IF(ISNA(VLOOKUP($A122,'Données projet'!$A$382:$I$402,4,0)),0,VLOOKUP($A122,'Données projet'!$A$382:$I$402,4,0))</f>
        <v>150.02564102564102</v>
      </c>
      <c r="KJ122" s="16">
        <f>IF(ISNA(VLOOKUP($A122,'Données projet'!$A$382:$I$402,5,0)),0%,VLOOKUP($A122,'Données projet'!$A$382:$I$402,5,0)*VLOOKUP('Données projet'!$B$22,Paramètres!$A$1:$I$89,7,0))</f>
        <v>0.47700000000000004</v>
      </c>
      <c r="KK122" s="16">
        <f>IF(ISNA(VLOOKUP($A122,'Données projet'!$A$382:$I$402,6,0)),0%,VLOOKUP($A122,'Données projet'!$A$382:$I$402,6,0)*VLOOKUP('Données projet'!$B$22,Paramètres!$A$1:$I$89,7,0))</f>
        <v>0</v>
      </c>
      <c r="KL122" s="16">
        <f>IF(ISNA(VLOOKUP($A122,'Données projet'!$A$382:$I$402,7,0)),0%,VLOOKUP($A122,'Données projet'!$A$382:$I$402,7,0))</f>
        <v>0</v>
      </c>
      <c r="KM122" s="21">
        <f>EXP(-LN(2)/35)*KM121+(1-EXP(-LN(2)/35))/(LN(2)/35)*KI122*KJ122*VLOOKUP('Données projet'!$B$22,Paramètres!$A$1:$I$89,3,0)*0.475*44/12</f>
        <v>98.16997567723476</v>
      </c>
      <c r="KN122" s="21">
        <f>EXP(-LN(2)/25)*KN121+(1-EXP(-LN(2)/25))/(LN(2)/25)*Calculateur!KI122*Calculateur!KK122*VLOOKUP('Données projet'!$B$22,Paramètres!$A$1:$I$89,3,0)*0.475*44/12</f>
        <v>0</v>
      </c>
      <c r="KO122" s="21">
        <f>EXP(-LN(2)/2)*KO121+(1-EXP(-LN(2)/2))/(LN(2)/2)*KI122*KL122*VLOOKUP('Données projet'!$B$22,Paramètres!$A$1:$I$89,3,0)*0.475*44/12</f>
        <v>0</v>
      </c>
      <c r="KP122" s="22">
        <f t="shared" si="161"/>
        <v>98.16997567723476</v>
      </c>
      <c r="KQ122" s="74">
        <f>('Scénario référence'!$F$8+'Scénario référence'!$F$9+'Scénario référence'!$B$17+'Scénario référence'!$B$9+'Scénario référence'!$B$10)*70+IF((45+25*(1-EXP(-0.0175*$A122)))&lt;70,'Scénario référence'!$B$16*(45+25*(1-EXP(-0.0175*$A122))),70*'Scénario référence'!$B$16)+IF((32+38*(1-EXP(-0.0175*$A122)))&lt;70,'Scénario référence'!$B$18*(32+38*(1-EXP(-0.0175*$A122))),70*'Scénario référence'!$B$18)</f>
        <v>70</v>
      </c>
      <c r="KR122" s="12">
        <f>IF($A122&gt;30,10,('Scénario référence'!$B$16+'Scénario référence'!$B$17+'Scénario référence'!$B$18+'Scénario référence'!$B$9+'Scénario référence'!$B$10)*$A122*10/30+('Scénario référence'!$F$8+'Scénario référence'!$F$9)*10)</f>
        <v>10</v>
      </c>
      <c r="KS122" s="12" t="e">
        <f>VLOOKUP($A122,'Données projet'!$A$408:$I$428,2,0)</f>
        <v>#N/A</v>
      </c>
      <c r="KT122" s="12" t="e">
        <f>VLOOKUP($A122,'Données projet'!$A$408:$I$428,9,0)</f>
        <v>#N/A</v>
      </c>
      <c r="KU122" s="12">
        <f t="array" ref="KU122">INDEX(KT:KT,MIN(IF(ISNUMBER(KT122:KT318),ROW(KT122:KT318),"")))</f>
        <v>0</v>
      </c>
      <c r="KV122" s="12">
        <f>IF('Données projet'!$A$408&gt;35,KV121+KU122-LD121,IF($A122&lt;'Données projet'!$A$408,$CQ$205^$A122,IF($A122='Données projet'!$A$408,'Données projet'!$B$408,KV121+KU122-LD121)))</f>
        <v>-1.1368683772161603E-13</v>
      </c>
      <c r="KW122" s="17">
        <f>KV122*VLOOKUP('Données projet'!$B$23,Paramètres!$A$1:$I$89,3,0)*VLOOKUP('Données projet'!$B$23,Paramètres!$A$1:$I$89,5,0)</f>
        <v>-9.9316821433603781E-14</v>
      </c>
      <c r="KX122" s="13" t="e">
        <f t="shared" si="210"/>
        <v>#NUM!</v>
      </c>
      <c r="KY122" s="14" t="e">
        <f t="shared" si="162"/>
        <v>#NUM!</v>
      </c>
      <c r="KZ122" s="59" t="e">
        <f t="shared" si="163"/>
        <v>#NUM!</v>
      </c>
      <c r="LA122" s="59">
        <f ca="1">AVERAGE(OFFSET($KZ$3,0,0,'Données projet'!$E$23+1,1))-AVERAGE(OFFSET($H$3,0,0,'Données projet'!$E$23+1,1))</f>
        <v>248.33596943633819</v>
      </c>
      <c r="LB122" s="59">
        <f t="shared" si="211"/>
        <v>242.34010522344573</v>
      </c>
      <c r="LC122" s="15">
        <f>IF(ISNA(VLOOKUP($A122,'Données projet'!$A$408:$I$428,3,0)),0,VLOOKUP($A122,'Données projet'!$A$408:$I$428,3,0))</f>
        <v>0</v>
      </c>
      <c r="LD122" s="15">
        <f>IF(ISNA(VLOOKUP($A122,'Données projet'!$A$408:$I$428,4,0)),0,VLOOKUP($A122,'Données projet'!$A$408:$I$428,4,0))</f>
        <v>0</v>
      </c>
      <c r="LE122" s="16">
        <f>IF(ISNA(VLOOKUP($A122,'Données projet'!$A$408:$I$428,5,0)),0%,VLOOKUP($A122,'Données projet'!$A$408:$I$428,5,0)*VLOOKUP('Données projet'!$B$23,Paramètres!$A$1:$I$89,7,0))</f>
        <v>0</v>
      </c>
      <c r="LF122" s="16">
        <f>IF(ISNA(VLOOKUP($A122,'Données projet'!$A$408:$I$428,6,0)),0%,VLOOKUP($A122,'Données projet'!$A$408:$I$428,6,0)*VLOOKUP('Données projet'!$B$23,Paramètres!$A$1:$I$89,7,0))</f>
        <v>0</v>
      </c>
      <c r="LG122" s="16">
        <f>IF(ISNA(VLOOKUP($A122,'Données projet'!$A$408:$I$428,7,0)),0%,VLOOKUP($A122,'Données projet'!$A$408:$I$428,7,0))</f>
        <v>0</v>
      </c>
      <c r="LH122" s="21">
        <f>EXP(-LN(2)/35)*LH121+(1-EXP(-LN(2)/35))/(LN(2)/35)*LD122*LE122*VLOOKUP('Données projet'!$B$23,Paramètres!$A$1:$I$89,3,0)*0.475*44/12</f>
        <v>56.917943359578935</v>
      </c>
      <c r="LI122" s="21">
        <f>EXP(-LN(2)/25)*LI121+(1-EXP(-LN(2)/25))/(LN(2)/25)*Calculateur!LD122*Calculateur!LF122*VLOOKUP('Données projet'!$B$23,Paramètres!$A$1:$I$89,3,0)*0.475*44/12</f>
        <v>7.385729918807022</v>
      </c>
      <c r="LJ122" s="21">
        <f>EXP(-LN(2)/2)*LJ121+(1-EXP(-LN(2)/2))/(LN(2)/2)*LD122*LG122*VLOOKUP('Données projet'!$B$23,Paramètres!$A$1:$I$89,3,0)*0.475*44/12</f>
        <v>0</v>
      </c>
      <c r="LK122" s="22">
        <f t="shared" si="164"/>
        <v>64.303673278385958</v>
      </c>
      <c r="LL122" s="74">
        <f>('Scénario référence'!$F$8+'Scénario référence'!$F$9+'Scénario référence'!$B$17+'Scénario référence'!$B$9+'Scénario référence'!$B$10)*70+IF((45+25*(1-EXP(-0.0175*$A122)))&lt;70,'Scénario référence'!$B$16*(45+25*(1-EXP(-0.0175*$A122))),70*'Scénario référence'!$B$16)+IF((32+38*(1-EXP(-0.0175*$A122)))&lt;70,'Scénario référence'!$B$18*(32+38*(1-EXP(-0.0175*$A122))),70*'Scénario référence'!$B$18)</f>
        <v>70</v>
      </c>
      <c r="LM122" s="12">
        <f>IF($A122&gt;30,10,('Scénario référence'!$B$16+'Scénario référence'!$B$17+'Scénario référence'!$B$18+'Scénario référence'!$B$9+'Scénario référence'!$B$10)*$A122*10/30+('Scénario référence'!$F$8+'Scénario référence'!$F$9)*10)</f>
        <v>10</v>
      </c>
      <c r="LN122" s="12" t="e">
        <f>VLOOKUP($A122,'Données projet'!$A$434:$I$454,2,0)</f>
        <v>#N/A</v>
      </c>
      <c r="LO122" s="12" t="e">
        <f>VLOOKUP($A122,'Données projet'!$A$434:$I$454,9,0)</f>
        <v>#N/A</v>
      </c>
      <c r="LP122" s="12">
        <f t="array" ref="LP122">INDEX(LO:LO,MIN(IF(ISNUMBER(LO122:LO318),ROW(LO122:LO318),"")))</f>
        <v>5.3066239316239274</v>
      </c>
      <c r="LQ122" s="12">
        <f>IF('Données projet'!$A$434&gt;35,LQ121+LP122-LY121,IF($A122&lt;'Données projet'!$A$434,$CQ$205^$A122,IF($A122='Données projet'!$A$434,'Données projet'!$B$434,LQ121+LP122-LY121)))</f>
        <v>246.45512820512786</v>
      </c>
      <c r="LR122" s="17">
        <f>LQ122*VLOOKUP('Données projet'!$B$24,Paramètres!$A$1:$I$89,3,0)*VLOOKUP('Données projet'!$B$24,Paramètres!$A$1:$I$89,5,0)</f>
        <v>249.90549999999968</v>
      </c>
      <c r="LS122" s="13">
        <f t="shared" si="212"/>
        <v>60.565704654390196</v>
      </c>
      <c r="LT122" s="14">
        <f t="shared" si="165"/>
        <v>540.73734810639564</v>
      </c>
      <c r="LU122" s="59">
        <f t="shared" si="166"/>
        <v>834.07068143972901</v>
      </c>
      <c r="LV122" s="59">
        <f ca="1">AVERAGE(OFFSET($LU$3,0,0,'Données projet'!$E$24+1,1))-AVERAGE(OFFSET($H$3,0,0,'Données projet'!$E$24+1,1))</f>
        <v>260.52627655062872</v>
      </c>
      <c r="LW122" s="59">
        <f t="shared" si="213"/>
        <v>159.20429420478047</v>
      </c>
      <c r="LX122" s="15">
        <f>IF(ISNA(VLOOKUP($A122,'Données projet'!$A$434:$I$454,3,0)),0,VLOOKUP($A122,'Données projet'!$A$434:$I$454,3,0))</f>
        <v>0</v>
      </c>
      <c r="LY122" s="15">
        <f>IF(ISNA(VLOOKUP($A122,'Données projet'!$A$434:$I$454,4,0)),0,VLOOKUP($A122,'Données projet'!$A$434:$I$454,4,0))</f>
        <v>0</v>
      </c>
      <c r="LZ122" s="16">
        <f>IF(ISNA(VLOOKUP($A122,'Données projet'!$A$434:$I$454,5,0)),0%,VLOOKUP($A122,'Données projet'!$A$434:$I$454,5,0)*VLOOKUP('Données projet'!$B$24,Paramètres!$A$1:$I$89,7,0))</f>
        <v>0</v>
      </c>
      <c r="MA122" s="16">
        <f>IF(ISNA(VLOOKUP($A122,'Données projet'!$A$434:$I$454,6,0)),0%,VLOOKUP($A122,'Données projet'!$A$434:$I$454,6,0)*VLOOKUP('Données projet'!$B$24,Paramètres!$A$1:$I$89,7,0))</f>
        <v>0</v>
      </c>
      <c r="MB122" s="16">
        <f>IF(ISNA(VLOOKUP($A122,'Données projet'!$A$434:$I$454,7,0)),0%,VLOOKUP($A122,'Données projet'!$A$434:$I$454,7,0))</f>
        <v>0</v>
      </c>
      <c r="MC122" s="21">
        <f>EXP(-LN(2)/35)*MC121+(1-EXP(-LN(2)/35))/(LN(2)/35)*LY122*LZ122*VLOOKUP('Données projet'!$B$24,Paramètres!$A$1:$I$89,3,0)*0.475*44/12</f>
        <v>35.527702031500056</v>
      </c>
      <c r="MD122" s="21">
        <f>EXP(-LN(2)/25)*MD121+(1-EXP(-LN(2)/25))/(LN(2)/25)*Calculateur!LY122*Calculateur!MA122*VLOOKUP('Données projet'!$B$24,Paramètres!$A$1:$I$89,3,0)*0.475*44/12</f>
        <v>0</v>
      </c>
      <c r="ME122" s="21">
        <f>EXP(-LN(2)/2)*ME121+(1-EXP(-LN(2)/2))/(LN(2)/2)*LY122*MB122*VLOOKUP('Données projet'!$B$24,Paramètres!$A$1:$I$89,3,0)*0.475*44/12</f>
        <v>0</v>
      </c>
      <c r="MF122" s="22">
        <f t="shared" si="167"/>
        <v>35.527702031500056</v>
      </c>
      <c r="MG122" s="74">
        <f>('Scénario référence'!$F$8+'Scénario référence'!$F$9+'Scénario référence'!$B$17+'Scénario référence'!$B$9+'Scénario référence'!$B$10)*70+IF((45+25*(1-EXP(-0.0175*$A122)))&lt;70,'Scénario référence'!$B$16*(45+25*(1-EXP(-0.0175*$A122))),70*'Scénario référence'!$B$16)+IF((32+38*(1-EXP(-0.0175*$A122)))&lt;70,'Scénario référence'!$B$18*(32+38*(1-EXP(-0.0175*$A122))),70*'Scénario référence'!$B$18)</f>
        <v>70</v>
      </c>
      <c r="MH122" s="12">
        <f>IF($A122&gt;30,10,('Scénario référence'!$B$16+'Scénario référence'!$B$17+'Scénario référence'!$B$18+'Scénario référence'!$B$9+'Scénario référence'!$B$10)*$A122*10/30+('Scénario référence'!$F$8+'Scénario référence'!$F$9)*10)</f>
        <v>10</v>
      </c>
      <c r="MI122" s="12" t="e">
        <f>VLOOKUP($A122,'Données projet'!$A$460:$I$480,2,0)</f>
        <v>#N/A</v>
      </c>
      <c r="MJ122" s="12" t="e">
        <f>VLOOKUP($A122,'Données projet'!$A$460:$I$480,9,0)</f>
        <v>#N/A</v>
      </c>
      <c r="MK122" s="12">
        <f t="array" ref="MK122">INDEX(MJ:MJ,MIN(IF(ISNUMBER(MJ122:MJ318),ROW(MJ122:MJ318),"")))</f>
        <v>0</v>
      </c>
      <c r="ML122" s="12">
        <f>IF('Données projet'!$A$460&gt;35,ML121+MK122-MT121,IF($A122&lt;'Données projet'!$A$460,$CQ$205^$A122,IF($A122='Données projet'!$A$460,'Données projet'!$B$460,ML121+MK122-MT121)))</f>
        <v>0</v>
      </c>
      <c r="MM122" s="17" t="e">
        <f>ML122*VLOOKUP('Données projet'!$B$25,Paramètres!$A$1:$I$89,3,0)*VLOOKUP('Données projet'!$B$25,Paramètres!$A$1:$I$89,5,0)</f>
        <v>#N/A</v>
      </c>
      <c r="MN122" s="13" t="e">
        <f t="shared" si="214"/>
        <v>#N/A</v>
      </c>
      <c r="MO122" s="14" t="e">
        <f t="shared" si="168"/>
        <v>#N/A</v>
      </c>
      <c r="MP122" s="59" t="e">
        <f t="shared" si="169"/>
        <v>#N/A</v>
      </c>
      <c r="MQ122" s="20" t="e">
        <f ca="1">AVERAGE(OFFSET($MP$3,0,0,'Données projet'!$E$25+1,1))-AVERAGE(OFFSET($H$3,0,0,'Données projet'!$E$25+1,1))</f>
        <v>#N/A</v>
      </c>
      <c r="MR122" s="59" t="e">
        <f t="shared" si="215"/>
        <v>#N/A</v>
      </c>
      <c r="MS122" s="15">
        <f>IF(ISNA(VLOOKUP($A122,'Données projet'!$A$460:$I$480,3,0)),0,VLOOKUP($A122,'Données projet'!$A$460:$I$480,3,0))</f>
        <v>0</v>
      </c>
      <c r="MT122" s="15">
        <f>IF(ISNA(VLOOKUP($A122,'Données projet'!$A$460:$I$480,4,0)),0,VLOOKUP($A122,'Données projet'!$A$460:$I$480,4,0))</f>
        <v>0</v>
      </c>
      <c r="MU122" s="16">
        <f>IF(ISNA(VLOOKUP($A122,'Données projet'!$A$460:$I$480,5,0)),0%,VLOOKUP($A122,'Données projet'!$A$460:$I$480,5,0)*VLOOKUP('Données projet'!$B$25,Paramètres!$A$1:$I$89,7,0))</f>
        <v>0</v>
      </c>
      <c r="MV122" s="16">
        <f>IF(ISNA(VLOOKUP($A122,'Données projet'!$A$460:$I$480,6,0)),0%,VLOOKUP($A122,'Données projet'!$A$460:$I$480,6,0)*VLOOKUP('Données projet'!$B$25,Paramètres!$A$1:$I$89,7,0))</f>
        <v>0</v>
      </c>
      <c r="MW122" s="16">
        <f>IF(ISNA(VLOOKUP($A122,'Données projet'!$A$460:$I$480,7,0)),0%,VLOOKUP($A122,'Données projet'!$A$460:$I$480,7,0))</f>
        <v>0</v>
      </c>
      <c r="MX122" s="21" t="e">
        <f>EXP(-LN(2)/35)*MX121+(1-EXP(-LN(2)/35))/(LN(2)/35)*MT122*MU122*VLOOKUP('Données projet'!$B$25,Paramètres!$A$1:$I$89,3,0)*0.475*44/12</f>
        <v>#N/A</v>
      </c>
      <c r="MY122" s="21" t="e">
        <f>EXP(-LN(2)/25)*MY121+(1-EXP(-LN(2)/25))/(LN(2)/25)*Calculateur!MT122*Calculateur!MV122*VLOOKUP('Données projet'!$B$25,Paramètres!$A$1:$I$89,3,0)*0.475*44/12</f>
        <v>#N/A</v>
      </c>
      <c r="MZ122" s="21" t="e">
        <f>EXP(-LN(2)/2)*MZ121+(1-EXP(-LN(2)/2))/(LN(2)/2)*MT122*MW122*VLOOKUP('Données projet'!$B$25,Paramètres!$A$1:$I$89,3,0)*0.475*44/12</f>
        <v>#N/A</v>
      </c>
      <c r="NA122" s="22" t="e">
        <f t="shared" si="170"/>
        <v>#N/A</v>
      </c>
      <c r="NB122" s="74">
        <f>('Scénario référence'!$F$8+'Scénario référence'!$F$9+'Scénario référence'!$B$17+'Scénario référence'!$B$9+'Scénario référence'!$B$10)*70+IF((45+25*(1-EXP(-0.0175*$A122)))&lt;70,'Scénario référence'!$B$16*(45+25*(1-EXP(-0.0175*$A122))),70*'Scénario référence'!$B$16)+IF((32+38*(1-EXP(-0.0175*$A122)))&lt;70,'Scénario référence'!$B$18*(32+38*(1-EXP(-0.0175*$A122))),70*'Scénario référence'!$B$18)</f>
        <v>70</v>
      </c>
      <c r="NC122" s="12">
        <f>IF($A122&gt;30,10,('Scénario référence'!$B$16+'Scénario référence'!$B$17+'Scénario référence'!$B$18+'Scénario référence'!$B$9+'Scénario référence'!$B$10)*$A122*10/30+('Scénario référence'!$F$8+'Scénario référence'!$F$9)*10)</f>
        <v>10</v>
      </c>
      <c r="ND122" s="12" t="e">
        <f>VLOOKUP($A122,'Données projet'!$A$486:$I$506,2,0)</f>
        <v>#N/A</v>
      </c>
      <c r="NE122" s="12" t="e">
        <f>VLOOKUP($A122,'Données projet'!$A$486:$I$506,9,0)</f>
        <v>#N/A</v>
      </c>
      <c r="NF122" s="12">
        <f t="array" ref="NF122">INDEX(NE:NE,MIN(IF(ISNUMBER(NE122:NE318),ROW(NE122:NE318),"")))</f>
        <v>0</v>
      </c>
      <c r="NG122" s="12">
        <f>IF('Données projet'!$A$486&gt;35,NG121+NF122-NO121,IF($A122&lt;'Données projet'!$A$486,$CQ$205^$A122,IF($A122='Données projet'!$A$486,'Données projet'!$B$486,NG121+NF122-NO121)))</f>
        <v>0</v>
      </c>
      <c r="NH122" s="17" t="e">
        <f>NG122*VLOOKUP('Données projet'!$B$26,Paramètres!$A$1:$I$89,3,0)*VLOOKUP('Données projet'!$B$26,Paramètres!$A$1:$I$89,5,0)</f>
        <v>#N/A</v>
      </c>
      <c r="NI122" s="13" t="e">
        <f t="shared" si="216"/>
        <v>#N/A</v>
      </c>
      <c r="NJ122" s="14" t="e">
        <f t="shared" si="171"/>
        <v>#N/A</v>
      </c>
      <c r="NK122" s="59" t="e">
        <f t="shared" si="172"/>
        <v>#N/A</v>
      </c>
      <c r="NL122" s="20" t="e">
        <f ca="1">AVERAGE(OFFSET($NK$3,0,0,'Données projet'!$E$26+1,1))-AVERAGE(OFFSET($H$3,0,0,'Données projet'!$E$26+1,1))</f>
        <v>#N/A</v>
      </c>
      <c r="NM122" s="59" t="e">
        <f t="shared" si="217"/>
        <v>#N/A</v>
      </c>
      <c r="NN122" s="15">
        <f>IF(ISNA(VLOOKUP($A122,'Données projet'!$A$486:$I$506,3,0)),0,VLOOKUP($A122,'Données projet'!$A$486:$I$506,3,0))</f>
        <v>0</v>
      </c>
      <c r="NO122" s="15">
        <f>IF(ISNA(VLOOKUP($A122,'Données projet'!$A$486:$I$506,4,0)),0,VLOOKUP($A122,'Données projet'!$A$486:$I$506,4,0))</f>
        <v>0</v>
      </c>
      <c r="NP122" s="16">
        <f>IF(ISNA(VLOOKUP($A122,'Données projet'!$A$486:$I$506,5,0)),0%,VLOOKUP($A122,'Données projet'!$A$486:$I$506,5,0)*VLOOKUP('Données projet'!$B$26,Paramètres!$A$1:$I$89,7,0))</f>
        <v>0</v>
      </c>
      <c r="NQ122" s="16">
        <f>IF(ISNA(VLOOKUP($A122,'Données projet'!$A$486:$I$506,6,0)),0%,VLOOKUP($A122,'Données projet'!$A$486:$I$506,6,0)*VLOOKUP('Données projet'!$B$26,Paramètres!$A$1:$I$89,7,0))</f>
        <v>0</v>
      </c>
      <c r="NR122" s="16">
        <f>IF(ISNA(VLOOKUP($A122,'Données projet'!$A$486:$I$506,7,0)),0%,VLOOKUP($A122,'Données projet'!$A$486:$I$506,7,0))</f>
        <v>0</v>
      </c>
      <c r="NS122" s="21" t="e">
        <f>EXP(-LN(2)/35)*NS121+(1-EXP(-LN(2)/35))/(LN(2)/35)*NO122*NP122*VLOOKUP('Données projet'!$B$26,Paramètres!$A$1:$I$89,3,0)*0.475*44/12</f>
        <v>#N/A</v>
      </c>
      <c r="NT122" s="21" t="e">
        <f>EXP(-LN(2)/25)*NT121+(1-EXP(-LN(2)/25))/(LN(2)/25)*Calculateur!NO122*Calculateur!NQ122*VLOOKUP('Données projet'!$B$26,Paramètres!$A$1:$I$89,3,0)*0.475*44/12</f>
        <v>#N/A</v>
      </c>
      <c r="NU122" s="21" t="e">
        <f>EXP(-LN(2)/2)*NU121+(1-EXP(-LN(2)/2))/(LN(2)/2)*NO122*NR122*VLOOKUP('Données projet'!$B$26,Paramètres!$A$1:$I$89,3,0)*0.475*44/12</f>
        <v>#N/A</v>
      </c>
      <c r="NV122" s="22" t="e">
        <f t="shared" si="173"/>
        <v>#N/A</v>
      </c>
      <c r="NW122" s="74">
        <f>('Scénario référence'!$F$8+'Scénario référence'!$F$9+'Scénario référence'!$B$17+'Scénario référence'!$B$9+'Scénario référence'!$B$10)*70+IF((45+25*(1-EXP(-0.0175*$A122)))&lt;70,'Scénario référence'!$B$16*(45+25*(1-EXP(-0.0175*$A122))),70*'Scénario référence'!$B$16)+IF((32+38*(1-EXP(-0.0175*$A122)))&lt;70,'Scénario référence'!$B$18*(32+38*(1-EXP(-0.0175*$A122))),70*'Scénario référence'!$B$18)</f>
        <v>70</v>
      </c>
      <c r="NX122" s="12">
        <f>IF($A122&gt;30,10,('Scénario référence'!$B$16+'Scénario référence'!$B$17+'Scénario référence'!$B$18+'Scénario référence'!$B$9+'Scénario référence'!$B$10)*$A122*10/30+('Scénario référence'!$F$8+'Scénario référence'!$F$9)*10)</f>
        <v>10</v>
      </c>
      <c r="NY122" s="12" t="e">
        <f>VLOOKUP($A122,'Données projet'!$A$512:$I$532,2,0)</f>
        <v>#N/A</v>
      </c>
      <c r="NZ122" s="12" t="e">
        <f>VLOOKUP($A122,'Données projet'!$A$512:$I$532,9,0)</f>
        <v>#N/A</v>
      </c>
      <c r="OA122" s="12">
        <f t="array" ref="OA122">INDEX(NZ:NZ,MIN(IF(ISNUMBER(NZ122:NZ318),ROW(NZ122:NZ318),"")))</f>
        <v>0</v>
      </c>
      <c r="OB122" s="12">
        <f>IF('Données projet'!$A$512&gt;35,OB121+OA122-OJ121,IF($A122&lt;'Données projet'!$A$512,$CQ$205^$A122,IF($A122='Données projet'!$A$512,'Données projet'!$B$512,OB121+OA122-OJ121)))</f>
        <v>0</v>
      </c>
      <c r="OC122" s="17" t="e">
        <f>OB122*VLOOKUP('Données projet'!$B$27,Paramètres!$A$1:$I$89,3,0)*VLOOKUP('Données projet'!$B$27,Paramètres!$A$1:$I$89,5,0)</f>
        <v>#N/A</v>
      </c>
      <c r="OD122" s="13" t="e">
        <f t="shared" si="218"/>
        <v>#N/A</v>
      </c>
      <c r="OE122" s="14" t="e">
        <f t="shared" si="174"/>
        <v>#N/A</v>
      </c>
      <c r="OF122" s="59" t="e">
        <f t="shared" si="175"/>
        <v>#N/A</v>
      </c>
      <c r="OG122" s="20" t="e">
        <f ca="1">AVERAGE(OFFSET($OF$3,0,0,'Données projet'!$E$27+1,1))-AVERAGE(OFFSET($H$3,0,0,'Données projet'!$E$27+1,1))</f>
        <v>#N/A</v>
      </c>
      <c r="OH122" s="59" t="e">
        <f t="shared" si="219"/>
        <v>#N/A</v>
      </c>
      <c r="OI122" s="15">
        <f>IF(ISNA(VLOOKUP($A122,'Données projet'!$A$512:$I$532,3,0)),0,VLOOKUP($A122,'Données projet'!$A$512:$I$532,3,0))</f>
        <v>0</v>
      </c>
      <c r="OJ122" s="15">
        <f>IF(ISNA(VLOOKUP($A122,'Données projet'!$A$512:$I$532,4,0)),0,VLOOKUP($A122,'Données projet'!$A$512:$I$532,4,0))</f>
        <v>0</v>
      </c>
      <c r="OK122" s="16">
        <f>IF(ISNA(VLOOKUP($A122,'Données projet'!$A$512:$I$532,5,0)),0%,VLOOKUP($A122,'Données projet'!$A$512:$I$532,5,0)*VLOOKUP('Données projet'!$B$27,Paramètres!$A$1:$I$89,7,0))</f>
        <v>0</v>
      </c>
      <c r="OL122" s="16">
        <f>IF(ISNA(VLOOKUP($A122,'Données projet'!$A$512:$I$532,6,0)),0%,VLOOKUP($A122,'Données projet'!$A$512:$I$532,6,0)*VLOOKUP('Données projet'!$B$27,Paramètres!$A$1:$I$89,7,0))</f>
        <v>0</v>
      </c>
      <c r="OM122" s="16">
        <f>IF(ISNA(VLOOKUP($A122,'Données projet'!$A$512:$I$532,7,0)),0%,VLOOKUP($A122,'Données projet'!$A$512:$I$532,7,0))</f>
        <v>0</v>
      </c>
      <c r="ON122" s="21" t="e">
        <f>EXP(-LN(2)/35)*ON121+(1-EXP(-LN(2)/35))/(LN(2)/35)*OJ122*OK122*VLOOKUP('Données projet'!$B$27,Paramètres!$A$1:$I$89,3,0)*0.475*44/12</f>
        <v>#N/A</v>
      </c>
      <c r="OO122" s="21" t="e">
        <f>EXP(-LN(2)/25)*OO121+(1-EXP(-LN(2)/25))/(LN(2)/25)*Calculateur!OJ122*Calculateur!OL122*VLOOKUP('Données projet'!$B$27,Paramètres!$A$1:$I$89,3,0)*0.475*44/12</f>
        <v>#N/A</v>
      </c>
      <c r="OP122" s="21" t="e">
        <f>EXP(-LN(2)/2)*OP121+(1-EXP(-LN(2)/2))/(LN(2)/2)*OJ122*OM122*VLOOKUP('Données projet'!$B$27,Paramètres!$A$1:$I$89,3,0)*0.475*44/12</f>
        <v>#N/A</v>
      </c>
      <c r="OQ122" s="22" t="e">
        <f t="shared" si="176"/>
        <v>#N/A</v>
      </c>
      <c r="OR122" s="74">
        <f>('Scénario référence'!$F$8+'Scénario référence'!$F$9+'Scénario référence'!$B$17+'Scénario référence'!$B$9+'Scénario référence'!$B$10)*70+IF((45+25*(1-EXP(-0.0175*$A122)))&lt;70,'Scénario référence'!$B$16*(45+25*(1-EXP(-0.0175*$A122))),70*'Scénario référence'!$B$16)+IF((32+38*(1-EXP(-0.0175*$A122)))&lt;70,'Scénario référence'!$B$18*(32+38*(1-EXP(-0.0175*$A122))),70*'Scénario référence'!$B$18)</f>
        <v>70</v>
      </c>
      <c r="OS122" s="12">
        <f>IF($A122&gt;30,10,('Scénario référence'!$B$16+'Scénario référence'!$B$17+'Scénario référence'!$B$18+'Scénario référence'!$B$9+'Scénario référence'!$B$10)*$A122*10/30+('Scénario référence'!$F$8+'Scénario référence'!$F$9)*10)</f>
        <v>10</v>
      </c>
      <c r="OT122" s="12" t="e">
        <f>VLOOKUP($A122,'Données projet'!$A$538:$I$558,2,0)</f>
        <v>#N/A</v>
      </c>
      <c r="OU122" s="12" t="e">
        <f>VLOOKUP($A122,'Données projet'!$A$538:$I$558,9,0)</f>
        <v>#N/A</v>
      </c>
      <c r="OV122" s="12">
        <f t="array" ref="OV122">INDEX(OU:OU,MIN(IF(ISNUMBER(OU122:OU318),ROW(OU122:OU318),"")))</f>
        <v>0</v>
      </c>
      <c r="OW122" s="12">
        <f>IF('Données projet'!$A$538&gt;35,OW121+OV122-PE121,IF($A122&lt;'Données projet'!$A$538,$CQ$205^$A122,IF($A122='Données projet'!$A$538,'Données projet'!$B$538,OW121+OV122-PE121)))</f>
        <v>0</v>
      </c>
      <c r="OX122" s="17" t="e">
        <f>OW122*VLOOKUP('Données projet'!$B$28,Paramètres!$A$1:$I$89,3,0)*VLOOKUP('Données projet'!$B$28,Paramètres!$A$1:$I$89,5,0)</f>
        <v>#N/A</v>
      </c>
      <c r="OY122" s="13" t="e">
        <f t="shared" si="220"/>
        <v>#N/A</v>
      </c>
      <c r="OZ122" s="14" t="e">
        <f t="shared" si="177"/>
        <v>#N/A</v>
      </c>
      <c r="PA122" s="59" t="e">
        <f t="shared" si="178"/>
        <v>#N/A</v>
      </c>
      <c r="PB122" s="20" t="e">
        <f ca="1">AVERAGE(OFFSET($PA$3,0,0,'Données projet'!$E$28+1,1))-AVERAGE(OFFSET($H$3,0,0,'Données projet'!$E$28+1,1))</f>
        <v>#N/A</v>
      </c>
      <c r="PC122" s="59" t="e">
        <f t="shared" si="221"/>
        <v>#N/A</v>
      </c>
      <c r="PD122" s="15">
        <f>IF(ISNA(VLOOKUP($A122,'Données projet'!$A$538:$I$558,3,0)),0,VLOOKUP($A122,'Données projet'!$A$538:$I$558,3,0))</f>
        <v>0</v>
      </c>
      <c r="PE122" s="15">
        <f>IF(ISNA(VLOOKUP($A122,'Données projet'!$A$538:$I$558,4,0)),0,VLOOKUP($A122,'Données projet'!$A$538:$I$558,4,0))</f>
        <v>0</v>
      </c>
      <c r="PF122" s="16">
        <f>IF(ISNA(VLOOKUP($A122,'Données projet'!$A$538:$I$558,5,0)),0%,VLOOKUP($A122,'Données projet'!$A$538:$I$558,5,0)*VLOOKUP('Données projet'!$B$28,Paramètres!$A$1:$I$89,7,0))</f>
        <v>0</v>
      </c>
      <c r="PG122" s="16">
        <f>IF(ISNA(VLOOKUP($A122,'Données projet'!$A$538:$I$558,6,0)),0%,VLOOKUP($A122,'Données projet'!$A$538:$I$558,6,0)*VLOOKUP('Données projet'!$B$28,Paramètres!$A$1:$I$89,7,0))</f>
        <v>0</v>
      </c>
      <c r="PH122" s="16">
        <f>IF(ISNA(VLOOKUP($A122,'Données projet'!$A$538:$I$558,7,0)),0%,VLOOKUP($A122,'Données projet'!$A$538:$I$558,7,0))</f>
        <v>0</v>
      </c>
      <c r="PI122" s="21" t="e">
        <f>EXP(-LN(2)/35)*PI121+(1-EXP(-LN(2)/35))/(LN(2)/35)*PE122*PF122*VLOOKUP('Données projet'!$B$28,Paramètres!$A$1:$I$89,3,0)*0.475*44/12</f>
        <v>#N/A</v>
      </c>
      <c r="PJ122" s="21" t="e">
        <f>EXP(-LN(2)/25)*PJ121+(1-EXP(-LN(2)/25))/(LN(2)/25)*Calculateur!PE122*Calculateur!PG122*VLOOKUP('Données projet'!$B$28,Paramètres!$A$1:$I$89,3,0)*0.475*44/12</f>
        <v>#N/A</v>
      </c>
      <c r="PK122" s="21" t="e">
        <f>EXP(-LN(2)/2)*PK121+(1-EXP(-LN(2)/2))/(LN(2)/2)*PE122*PH122*VLOOKUP('Données projet'!$B$28,Paramètres!$A$1:$I$89,3,0)*0.475*44/12</f>
        <v>#N/A</v>
      </c>
      <c r="PL122" s="22" t="e">
        <f t="shared" si="179"/>
        <v>#N/A</v>
      </c>
    </row>
    <row r="123" spans="1:428" x14ac:dyDescent="0.35">
      <c r="A123" s="10">
        <f t="shared" si="180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181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121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projet'!$A$45:$I$65,2,0)</f>
        <v>#N/A</v>
      </c>
      <c r="L123" s="12" t="e">
        <f>VLOOKUP(A123,'Données projet'!$A$45:$I$65,9,0)</f>
        <v>#N/A</v>
      </c>
      <c r="M123" s="12">
        <f t="array" ref="M123">INDEX(L:L,MIN(IF(ISNUMBER(L123:L319),ROW(L123:L319),"")))</f>
        <v>0</v>
      </c>
      <c r="N123" s="13">
        <f>IF('Données projet'!$A$46&gt;35,N122+M123-V122,IF(A123&lt;'Données projet'!$A$46,$K$205^A123,IF(A123='Données projet'!$A$46,'Données projet'!$B$46,N122+M123-V122)))</f>
        <v>-1.1368683772161603E-13</v>
      </c>
      <c r="O123" s="13">
        <f>N123*VLOOKUP('Données projet'!$B$9,Paramètres!$A$1:$I$89,3,0)*VLOOKUP('Données projet'!$B$9,Paramètres!$A$1:$I$89,5,0)</f>
        <v>-6.3550942286383367E-14</v>
      </c>
      <c r="P123" s="13" t="e">
        <f t="shared" si="182"/>
        <v>#NUM!</v>
      </c>
      <c r="Q123" s="20" t="e">
        <f t="shared" si="222"/>
        <v>#NUM!</v>
      </c>
      <c r="R123" s="59" t="e">
        <f t="shared" si="120"/>
        <v>#NUM!</v>
      </c>
      <c r="S123" s="59">
        <f ca="1">AVERAGE(OFFSET($R$3,0,0,'Données projet'!$E$9+1,1))-AVERAGE(OFFSET($H$3,0,0,'Données projet'!$E$9+1,1))</f>
        <v>274.57619581652199</v>
      </c>
      <c r="T123" s="59">
        <f t="shared" si="183"/>
        <v>366.15117322598775</v>
      </c>
      <c r="U123" s="15">
        <f>IF(ISNA(VLOOKUP(A123,'Données projet'!$A$45:$I$65,3,0)),0,VLOOKUP(A123,'Données projet'!$A$45:$I$65,3,0))</f>
        <v>0</v>
      </c>
      <c r="V123" s="15">
        <f>IF(ISNA(VLOOKUP(A123,'Données projet'!$A$45:$I$65,4,0)),0,VLOOKUP(A123,'Données projet'!$A$45:$I$65,4,0))</f>
        <v>0</v>
      </c>
      <c r="W123" s="16">
        <f>IF(ISNA(VLOOKUP(A123,'Données projet'!$A$45:$I$65,5,0)),0%,VLOOKUP(A123,'Données projet'!$A$45:$I$65,5,0)*VLOOKUP('Données projet'!$B$9,Paramètres!$A$1:$I$89,7,0))</f>
        <v>0</v>
      </c>
      <c r="X123" s="16">
        <f>IF(ISNA(VLOOKUP(A123,'Données projet'!$A$45:$I$65,6,0)),0%,VLOOKUP(A123,'Données projet'!$A$45:$I$65,6,0)*VLOOKUP('Données projet'!$B$9,Paramètres!$A$1:$I$89,7,0))</f>
        <v>0</v>
      </c>
      <c r="Y123" s="16">
        <f>IF(ISNA(VLOOKUP(A123,'Données projet'!$A$45:$I$65,7,0)),0%,VLOOKUP(A123,'Données projet'!$A$45:$I$65,7,0))</f>
        <v>0</v>
      </c>
      <c r="Z123" s="21">
        <f>EXP(-LN(2)/35)*Z122+(1-EXP(-LN(2)/35))/(LN(2)/35)*V123*W123*VLOOKUP('Données projet'!$B$9,Paramètres!$A$1:$I$89,3,0)*0.475*44/12</f>
        <v>62.562426848693427</v>
      </c>
      <c r="AA123" s="21">
        <f>EXP(-LN(2)/25)*AA122+(1-EXP(-LN(2)/25))/(LN(2)/25)*Calculateur!V123*Calculateur!X123*VLOOKUP('Données projet'!$B$9,Paramètres!$A$1:$I$89,3,0)*0.475*44/12</f>
        <v>9.5017237491948894</v>
      </c>
      <c r="AB123" s="21">
        <f>EXP(-LN(2)/2)*AB122+(1-EXP(-LN(2)/2))/(LN(2)/2)*V123*Y123*VLOOKUP('Données projet'!$B$9,Paramètres!$A$1:$I$89,3,0)*0.475*44/12</f>
        <v>5.6241847843590864E-9</v>
      </c>
      <c r="AC123" s="22">
        <f t="shared" si="122"/>
        <v>72.064150603512502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projet'!$A$71:$I$91,2,0)</f>
        <v>#N/A</v>
      </c>
      <c r="AG123" s="12" t="e">
        <f>VLOOKUP(A123,'Données projet'!$A$71:$I$91,9,0)</f>
        <v>#N/A</v>
      </c>
      <c r="AH123" s="12">
        <f t="array" ref="AH123">INDEX(AG:AG,MIN(IF(ISNUMBER(AG123:AG319),ROW(AG123:AG319),"")))</f>
        <v>3.8301282051282044</v>
      </c>
      <c r="AI123" s="13">
        <f>IF('Données projet'!$A$72&gt;35,AI122+AH123-AQ122,IF(A123&lt;'Données projet'!$A$72,$AF$205^A123,IF(A123='Données projet'!$A$72,'Données projet'!$B$72,AI122+AH123-AQ122)))</f>
        <v>211.14423076923126</v>
      </c>
      <c r="AJ123" s="13">
        <f>AI123*VLOOKUP('Données projet'!$B$10,Paramètres!$A$1:$I$89,3,0)*VLOOKUP('Données projet'!$B$10,Paramètres!$A$1:$I$89,5,0)</f>
        <v>191.04330000000041</v>
      </c>
      <c r="AK123" s="13">
        <f t="shared" si="184"/>
        <v>47.770538104647592</v>
      </c>
      <c r="AL123" s="20">
        <f t="shared" si="123"/>
        <v>415.93410136559527</v>
      </c>
      <c r="AM123" s="59">
        <f t="shared" si="124"/>
        <v>709.26743469892858</v>
      </c>
      <c r="AN123" s="59">
        <f ca="1">AVERAGE(OFFSET($AM$3,0,0,'Données projet'!$E$10+1,1))-AVERAGE(OFFSET($H$3,0,0,'Données projet'!$E$10+1,1))</f>
        <v>270.87836509222456</v>
      </c>
      <c r="AO123" s="59">
        <f t="shared" si="185"/>
        <v>205.24998237949734</v>
      </c>
      <c r="AP123" s="15">
        <f>IF(ISNA(VLOOKUP(A123,'Données projet'!$A$71:$I$91,3,0)),0,VLOOKUP(A123,'Données projet'!$A$71:$I$91,3,0))</f>
        <v>0</v>
      </c>
      <c r="AQ123" s="15">
        <f>IF(ISNA(VLOOKUP(A123,'Données projet'!$A$71:$I$91,4,0)),0,VLOOKUP(A123,'Données projet'!$A$71:$I$91,4,0))</f>
        <v>0</v>
      </c>
      <c r="AR123" s="16">
        <f>IF(ISNA(VLOOKUP(A123,'Données projet'!$A$71:$I$91,5,0)),0%,VLOOKUP(A123,'Données projet'!$A$71:$I$91,5,0)*VLOOKUP('Données projet'!$B$10,Paramètres!$A$1:$I$89,7,0))</f>
        <v>0</v>
      </c>
      <c r="AS123" s="16">
        <f>IF(ISNA(VLOOKUP(A123,'Données projet'!$A$71:$I$91,6,0)),0%,VLOOKUP(A123,'Données projet'!$A$71:$I$91,6,0)*VLOOKUP('Données projet'!$B$10,Paramètres!$A$1:$I$89,7,0))</f>
        <v>0</v>
      </c>
      <c r="AT123" s="16">
        <f>IF(ISNA(VLOOKUP(A123,'Données projet'!$A$71:$I$91,7,0)),0%,VLOOKUP(A123,'Données projet'!$A$71:$I$91,7,0))</f>
        <v>0</v>
      </c>
      <c r="AU123" s="21">
        <f>EXP(-LN(2)/35)*AU122+(1-EXP(-LN(2)/35))/(LN(2)/35)*AQ123*AR123*VLOOKUP('Données projet'!$B$10,Paramètres!$A$1:$I$89,3,0)*0.475*44/12</f>
        <v>105.32463198593702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125"/>
        <v>105.32463198593702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projet'!$A$97:$I$117,2,0)</f>
        <v>#N/A</v>
      </c>
      <c r="BB123" s="12" t="e">
        <f>VLOOKUP(A123,'Données projet'!$A$97:$I$117,9,0)</f>
        <v>#N/A</v>
      </c>
      <c r="BC123" s="12">
        <f t="array" ref="BC123">INDEX(BB:BB,MIN(IF(ISNUMBER(BB123:BB319),ROW(BB123:BB319),"")))</f>
        <v>0</v>
      </c>
      <c r="BD123" s="12">
        <f>IF('Données projet'!$A$98&gt;35,BD122+BC123-BL122,IF(A123&lt;'Données projet'!$A$98,$BA$205^A123,IF(A123='Données projet'!$A$98,'Données projet'!$B$98,BD122+BC123-BL122)))</f>
        <v>-1.1368683772161603E-13</v>
      </c>
      <c r="BE123" s="13">
        <f>BD123*VLOOKUP('Données projet'!$B$11,Paramètres!$A$1:$I$89,3,0)*VLOOKUP('Données projet'!$B$11,Paramètres!$A$1:$I$89,5,0)</f>
        <v>-5.0249582272954292E-14</v>
      </c>
      <c r="BF123" s="13" t="e">
        <f t="shared" si="186"/>
        <v>#NUM!</v>
      </c>
      <c r="BG123" s="20" t="e">
        <f t="shared" si="126"/>
        <v>#NUM!</v>
      </c>
      <c r="BH123" s="59" t="e">
        <f t="shared" si="127"/>
        <v>#NUM!</v>
      </c>
      <c r="BI123" s="59">
        <f ca="1">AVERAGE(OFFSET($BH$3,0,0,'Données projet'!$E$11+1,1))-AVERAGE(OFFSET($H$3,0,0,'Données projet'!$E$11+1,1))</f>
        <v>211.31057120485542</v>
      </c>
      <c r="BJ123" s="59">
        <f t="shared" si="187"/>
        <v>283.33292006714777</v>
      </c>
      <c r="BK123" s="15">
        <f>IF(ISNA(VLOOKUP(A123,'Données projet'!$A$97:$I$117,3,0)),0,VLOOKUP(A123,'Données projet'!$A$97:$I$117,3,0))</f>
        <v>0</v>
      </c>
      <c r="BL123" s="15">
        <f>IF(ISNA(VLOOKUP(A123,'Données projet'!$A$97:$I$117,4,0)),0,VLOOKUP(A123,'Données projet'!$A$97:$I$117,4,0))</f>
        <v>0</v>
      </c>
      <c r="BM123" s="16">
        <f>IF(ISNA(VLOOKUP(A123,'Données projet'!$A$97:$I$117,5,0)),0%,VLOOKUP(A123,'Données projet'!$A$97:$I$117,5,0)*VLOOKUP('Données projet'!$B$11,Paramètres!$A$1:$I$89,7,0))</f>
        <v>0</v>
      </c>
      <c r="BN123" s="16">
        <f>IF(ISNA(VLOOKUP(A123,'Données projet'!$A$97:$I$117,6,0)),0%,VLOOKUP(A123,'Données projet'!$A$97:$I$117,6,0)*VLOOKUP('Données projet'!$B$11,Paramètres!$A$1:$I$89,7,0))</f>
        <v>0</v>
      </c>
      <c r="BO123" s="16">
        <f>IF(ISNA(VLOOKUP(A123,'Données projet'!$A$97:$I$117,7,0)),0%,VLOOKUP(A123,'Données projet'!$A$97:$I$117,7,0))</f>
        <v>0</v>
      </c>
      <c r="BP123" s="21">
        <f>EXP(-LN(2)/35)*BP122+(1-EXP(-LN(2)/35))/(LN(2)/35)*BL123*BM123*VLOOKUP('Données projet'!$B$11,Paramètres!$A$1:$I$89,3,0)*0.475*44/12</f>
        <v>49.467965415245978</v>
      </c>
      <c r="BQ123" s="21">
        <f>EXP(-LN(2)/25)*BQ122+(1-EXP(-LN(2)/25))/(LN(2)/25)*Calculateur!BL123*Calculateur!BN123*VLOOKUP('Données projet'!$B$11,Paramètres!$A$1:$I$89,3,0)*0.475*44/12</f>
        <v>7.5129908714564211</v>
      </c>
      <c r="BR123" s="21">
        <f>EXP(-LN(2)/2)*BR122+(1-EXP(-LN(2)/2))/(LN(2)/2)*BL123*BO123*VLOOKUP('Données projet'!$B$11,Paramètres!$A$1:$I$89,3,0)*0.475*44/12</f>
        <v>4.4470298294932302E-9</v>
      </c>
      <c r="BS123" s="22">
        <f t="shared" si="128"/>
        <v>56.980956291149433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projet'!$A$123:$I$143,2,0)</f>
        <v>#N/A</v>
      </c>
      <c r="BW123" s="12" t="e">
        <f>VLOOKUP(A123,'Données projet'!$A$123:$I$143,9,0)</f>
        <v>#N/A</v>
      </c>
      <c r="BX123" s="12">
        <f t="array" ref="BX123">INDEX(BW:BW,MIN(IF(ISNUMBER(BW123:BW319),ROW(BW123:BW319),"")))</f>
        <v>0</v>
      </c>
      <c r="BY123" s="12">
        <f>IF('Données projet'!$A$124&gt;35,BY122+BX123-CG122,IF(A123&lt;'Données projet'!$A$124,$BV$205^A123,IF(A123='Données projet'!$A$124,'Données projet'!$B$124,BY122+BX123-CG122)))</f>
        <v>0</v>
      </c>
      <c r="BZ123" s="13">
        <f>BY123*VLOOKUP('Données projet'!$B$12,Paramètres!$A$1:$I$89,3,0)*VLOOKUP('Données projet'!$B$12,Paramètres!$A$1:$I$89,5,0)</f>
        <v>0</v>
      </c>
      <c r="CA123" s="13" t="e">
        <f t="shared" si="188"/>
        <v>#NUM!</v>
      </c>
      <c r="CB123" s="20" t="e">
        <f t="shared" si="129"/>
        <v>#NUM!</v>
      </c>
      <c r="CC123" s="59" t="e">
        <f t="shared" si="130"/>
        <v>#NUM!</v>
      </c>
      <c r="CD123" s="59">
        <f ca="1">AVERAGE(OFFSET($CC$3,0,0,'Données projet'!$E$12+1,1))-AVERAGE(OFFSET($H$3,0,0,'Données projet'!$E$12+1,1))</f>
        <v>322.93502595881938</v>
      </c>
      <c r="CE123" s="59">
        <f t="shared" si="189"/>
        <v>302.67072119588164</v>
      </c>
      <c r="CF123" s="15">
        <f>IF(ISNA(VLOOKUP(A123,'Données projet'!$A$123:$I$143,3,0)),0,VLOOKUP(A123,'Données projet'!$A$123:$I$143,3,0))</f>
        <v>0</v>
      </c>
      <c r="CG123" s="15">
        <f>IF(ISNA(VLOOKUP(A123,'Données projet'!$A$123:$I$143,4,0)),0,VLOOKUP(A123,'Données projet'!$A$123:$I$143,4,0))</f>
        <v>0</v>
      </c>
      <c r="CH123" s="16">
        <f>IF(ISNA(VLOOKUP(A123,'Données projet'!$A$123:$I$143,5,0)),0%,VLOOKUP(A123,'Données projet'!$A$123:$I$143,5,0)*VLOOKUP('Données projet'!$B$12,Paramètres!$A$1:$I$89,7,0))</f>
        <v>0</v>
      </c>
      <c r="CI123" s="16">
        <f>IF(ISNA(VLOOKUP(A123,'Données projet'!$A$123:$I$143,6,0)),0%,VLOOKUP(A123,'Données projet'!$A$123:$I$143,6,0)*VLOOKUP('Données projet'!$B$12,Paramètres!$A$1:$I$89,7,0))</f>
        <v>0</v>
      </c>
      <c r="CJ123" s="16">
        <f>IF(ISNA(VLOOKUP(A123,'Données projet'!$A$123:$I$143,7,0)),0%,VLOOKUP(A123,'Données projet'!$A$123:$I$143,7,0))</f>
        <v>0</v>
      </c>
      <c r="CK123" s="21">
        <f>EXP(-LN(2)/35)*CK122+(1-EXP(-LN(2)/35))/(LN(2)/35)*CG123*CH123*VLOOKUP('Données projet'!$B$12,Paramètres!$A$1:$I$89,3,0)*0.475*44/12</f>
        <v>78.814422059336408</v>
      </c>
      <c r="CL123" s="21">
        <f>EXP(-LN(2)/25)*CL122+(1-EXP(-LN(2)/25))/(LN(2)/25)*Calculateur!CG123*Calculateur!CI123*VLOOKUP('Données projet'!$B$12,Paramètres!$A$1:$I$89,3,0)*0.475*44/12</f>
        <v>24.046116440910769</v>
      </c>
      <c r="CM123" s="21">
        <f>EXP(-LN(2)/2)*CM122+(1-EXP(-LN(2)/2))/(LN(2)/2)*CG123*CJ123*VLOOKUP('Données projet'!$B$12,Paramètres!$A$1:$I$89,3,0)*0.475*44/12</f>
        <v>0</v>
      </c>
      <c r="CN123" s="22">
        <f t="shared" si="131"/>
        <v>102.86053850024717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projet'!$A$149:$I$169,2,0)</f>
        <v>#N/A</v>
      </c>
      <c r="CR123" s="12" t="e">
        <f>VLOOKUP(A123,'Données projet'!$A$149:$I$169,9,0)</f>
        <v>#N/A</v>
      </c>
      <c r="CS123" s="12">
        <f t="array" ref="CS123">INDEX(CR:CR,MIN(IF(ISNUMBER(CR123:CR319),ROW(CR123:CR319),"")))</f>
        <v>5.3066239316239274</v>
      </c>
      <c r="CT123" s="12">
        <f>IF('Données projet'!$A$150&gt;35,CT122+CS123-DB122,IF(A123&lt;'Données projet'!$A$150,$CQ$205^A123,IF(A123='Données projet'!$A$150,'Données projet'!$B$150,CT122+CS123-DB122)))</f>
        <v>251.7617521367518</v>
      </c>
      <c r="CU123" s="17">
        <f>CT123*VLOOKUP('Données projet'!$B$13,Paramètres!$A$1:$I$89,3,0)*VLOOKUP('Données projet'!$B$13,Paramètres!$A$1:$I$89,5,0)</f>
        <v>255.28641666666636</v>
      </c>
      <c r="CV123" s="13">
        <f t="shared" si="190"/>
        <v>61.716565123681811</v>
      </c>
      <c r="CW123" s="20">
        <f t="shared" si="132"/>
        <v>552.11352661818967</v>
      </c>
      <c r="CX123" s="59">
        <f t="shared" si="133"/>
        <v>845.44685995152304</v>
      </c>
      <c r="CY123" s="59">
        <f ca="1">AVERAGE(OFFSET($CX$3,0,0,'Données projet'!$E$13+1,1))-AVERAGE(OFFSET($H$3,0,0,'Données projet'!$E$13+1,1))</f>
        <v>250.31277422753283</v>
      </c>
      <c r="CZ123" s="59">
        <f t="shared" si="191"/>
        <v>159.20429420478047</v>
      </c>
      <c r="DA123" s="15">
        <f>IF(ISNA(VLOOKUP(A123,'Données projet'!$A$149:$I$169,3,0)),0,VLOOKUP(A123,'Données projet'!$A$149:$I$169,3,0))</f>
        <v>0</v>
      </c>
      <c r="DB123" s="15">
        <f>IF(ISNA(VLOOKUP(A123,'Données projet'!$A$149:$I$169,4,0)),0,VLOOKUP(A123,'Données projet'!$A$149:$I$169,4,0))</f>
        <v>0</v>
      </c>
      <c r="DC123" s="16">
        <f>IF(ISNA(VLOOKUP(A123,'Données projet'!$A$149:$I$169,5,0)),0%,VLOOKUP(A123,'Données projet'!$A$149:$I$169,5,0)*VLOOKUP('Données projet'!$B$13,Paramètres!$A$1:$I$89,7,0))</f>
        <v>0</v>
      </c>
      <c r="DD123" s="16">
        <f>IF(ISNA(VLOOKUP(A123,'Données projet'!$A$149:$I$169,6,0)),0%,VLOOKUP(A123,'Données projet'!$A$149:$I$169,6,0)*VLOOKUP('Données projet'!$B$13,Paramètres!$A$1:$I$89,7,0))</f>
        <v>0</v>
      </c>
      <c r="DE123" s="16">
        <f>IF(ISNA(VLOOKUP(A123,'Données projet'!$A$149:$I$169,7,0)),0%,VLOOKUP(A123,'Données projet'!$A$149:$I$169,7,0))</f>
        <v>0</v>
      </c>
      <c r="DF123" s="21">
        <f>EXP(-LN(2)/35)*DF122+(1-EXP(-LN(2)/35))/(LN(2)/35)*DB123*DC123*VLOOKUP('Données projet'!$B$13,Paramètres!$A$1:$I$89,3,0)*0.475*44/12</f>
        <v>34.831025464420868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134"/>
        <v>34.831025464420868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projet'!$A$175:$I$195,2,0)</f>
        <v>#N/A</v>
      </c>
      <c r="DM123" s="12" t="e">
        <f>VLOOKUP(A123,'Données projet'!$A$175:$I$195,9,0)</f>
        <v>#N/A</v>
      </c>
      <c r="DN123" s="12">
        <f t="array" ref="DN123">INDEX(DM:DM,MIN(IF(ISNUMBER(DM123:DM319),ROW(DM123:DM319),"")))</f>
        <v>0</v>
      </c>
      <c r="DO123" s="12">
        <f>IF('Données projet'!$A$176&gt;35,DO122+DN123-DW122,IF(A123&lt;'Données projet'!$A$176,$DL$205^A123,IF(A123='Données projet'!$A$176,'Données projet'!$B$176,DO122+DN123-DW122)))</f>
        <v>-2.8421709430404007E-13</v>
      </c>
      <c r="DP123" s="17">
        <f>DO123*VLOOKUP('Données projet'!$B$14,Paramètres!$A$1:$I$89,3,0)*VLOOKUP('Données projet'!$B$14,Paramètres!$A$1:$I$89,5,0)</f>
        <v>-2.0838797354372215E-13</v>
      </c>
      <c r="DQ123" s="13" t="e">
        <f t="shared" si="192"/>
        <v>#NUM!</v>
      </c>
      <c r="DR123" s="20" t="e">
        <f t="shared" si="135"/>
        <v>#NUM!</v>
      </c>
      <c r="DS123" s="59" t="e">
        <f t="shared" si="136"/>
        <v>#NUM!</v>
      </c>
      <c r="DT123" s="59">
        <f ca="1">AVERAGE(OFFSET($DS$3,0,0,'Données projet'!$E$14+1,1))-AVERAGE(OFFSET($H$3,0,0,'Données projet'!$E$14+1,1))</f>
        <v>296.91321813251051</v>
      </c>
      <c r="DU123" s="59">
        <f t="shared" si="193"/>
        <v>291.0718079639509</v>
      </c>
      <c r="DV123" s="15">
        <f>IF(ISNA(VLOOKUP(A123,'Données projet'!$A$175:$I$195,3,0)),0,VLOOKUP(A123,'Données projet'!$A$175:$I$195,3,0))</f>
        <v>0</v>
      </c>
      <c r="DW123" s="15">
        <f>IF(ISNA(VLOOKUP(A123,'Données projet'!$A$175:$I$195,4,0)),0,VLOOKUP(A123,'Données projet'!$A$175:$I$195,4,0))</f>
        <v>0</v>
      </c>
      <c r="DX123" s="16">
        <f>IF(ISNA(VLOOKUP(A123,'Données projet'!$A$175:$I$195,5,0)),0%,VLOOKUP(A123,'Données projet'!$A$175:$I$195,5,0)*VLOOKUP('Données projet'!$B$14,Paramètres!$A$1:$I$89,7,0))</f>
        <v>0</v>
      </c>
      <c r="DY123" s="16">
        <f>IF(ISNA(VLOOKUP(A123,'Données projet'!$A$175:$I$195,6,0)),0%,VLOOKUP(A123,'Données projet'!$A$175:$I$195,6,0)*VLOOKUP('Données projet'!$B$14,Paramètres!$A$1:$I$89,7,0))</f>
        <v>0</v>
      </c>
      <c r="DZ123" s="16">
        <f>IF(ISNA(VLOOKUP(A123,'Données projet'!$A$175:$I$195,7,0)),0%,VLOOKUP(A123,'Données projet'!$A$175:$I$195,7,0))</f>
        <v>0</v>
      </c>
      <c r="EA123" s="21">
        <f>EXP(-LN(2)/35)*EA122+(1-EXP(-LN(2)/35))/(LN(2)/35)*DW123*DX123*VLOOKUP('Données projet'!$B$14,Paramètres!$A$1:$I$89,3,0)*0.475*44/12</f>
        <v>78.55267597886241</v>
      </c>
      <c r="EB123" s="21">
        <f>EXP(-LN(2)/25)*EB122+(1-EXP(-LN(2)/25))/(LN(2)/25)*Calculateur!DW123*Calculateur!DY123*VLOOKUP('Données projet'!$B$14,Paramètres!$A$1:$I$89,3,0)*0.475*44/12</f>
        <v>1.7664495222687557</v>
      </c>
      <c r="EC123" s="21">
        <f>EXP(-LN(2)/2)*EC122+(1-EXP(-LN(2)/2))/(LN(2)/2)*DW123*DZ123*VLOOKUP('Données projet'!$B$14,Paramètres!$A$1:$I$89,3,0)*0.475*44/12</f>
        <v>0</v>
      </c>
      <c r="ED123" s="22">
        <f t="shared" si="137"/>
        <v>80.319125501131168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projet'!$A$201:$I$221,2,0)</f>
        <v>#N/A</v>
      </c>
      <c r="EH123" s="12" t="e">
        <f>VLOOKUP(A123,'Données projet'!$A$201:$I$221,9,0)</f>
        <v>#N/A</v>
      </c>
      <c r="EI123" s="12">
        <f t="array" ref="EI123">INDEX(EH:EH,MIN(IF(ISNUMBER(EH123:EH319),ROW(EH123:EH319),"")))</f>
        <v>0</v>
      </c>
      <c r="EJ123" s="12">
        <f>IF('Données projet'!$A$202&gt;35,EJ122+EI123-ER122,IF(A123&lt;'Données projet'!$A$202,$EG$205^A123,IF(A123='Données projet'!$A$202,'Données projet'!$B$202,EJ122+EI123-ER122)))</f>
        <v>5.1159076974727213E-13</v>
      </c>
      <c r="EK123" s="17">
        <f>EJ123*VLOOKUP('Données projet'!$B$15,Paramètres!$A$1:$I$89,3,0)*VLOOKUP('Données projet'!$B$15,Paramètres!$A$1:$I$89,5,0)</f>
        <v>2.3942448024172334E-13</v>
      </c>
      <c r="EL123" s="13">
        <f t="shared" si="194"/>
        <v>3.2492669905861755E-12</v>
      </c>
      <c r="EM123" s="20">
        <f t="shared" si="138"/>
        <v>6.0761376450252565E-12</v>
      </c>
      <c r="EN123" s="59">
        <f t="shared" si="139"/>
        <v>293.3333333333394</v>
      </c>
      <c r="EO123" s="59">
        <f ca="1">AVERAGE(OFFSET($EN$3,0,0,'Données projet'!$E$15+1,1))-AVERAGE(OFFSET($H$3,0,0,'Données projet'!$E$15+1,1))</f>
        <v>147.64256291235483</v>
      </c>
      <c r="EP123" s="59">
        <f t="shared" si="195"/>
        <v>70.859031694091868</v>
      </c>
      <c r="EQ123" s="15">
        <f>IF(ISNA(VLOOKUP(A123,'Données projet'!$A$201:$I$221,3,0)),0,VLOOKUP(A123,'Données projet'!$A$201:$I$221,3,0))</f>
        <v>0</v>
      </c>
      <c r="ER123" s="15">
        <f>IF(ISNA(VLOOKUP(A123,'Données projet'!$A$201:$I$221,4,0)),0,VLOOKUP(A123,'Données projet'!$A$201:$I$221,4,0))</f>
        <v>0</v>
      </c>
      <c r="ES123" s="16">
        <f>IF(ISNA(VLOOKUP(A123,'Données projet'!$A$201:$I$221,5,0)),0%,VLOOKUP(A123,'Données projet'!$A$201:$I$221,5,0)*VLOOKUP('Données projet'!$B$15,Paramètres!$A$1:$I$89,7,0))</f>
        <v>0</v>
      </c>
      <c r="ET123" s="16">
        <f>IF(ISNA(VLOOKUP(A123,'Données projet'!$A$201:$I$221,6,0)),0%,VLOOKUP(A123,'Données projet'!$A$201:$I$221,6,0)*VLOOKUP('Données projet'!$B$15,Paramètres!$A$1:$I$89,7,0))</f>
        <v>0</v>
      </c>
      <c r="EU123" s="16">
        <f>IF(ISNA(VLOOKUP(A123,'Données projet'!$A$201:$I$221,7,0)),0%,VLOOKUP(A123,'Données projet'!$A$201:$I$221,7,0))</f>
        <v>0</v>
      </c>
      <c r="EV123" s="21">
        <f>EXP(-LN(2)/35)*EV122+(1-EXP(-LN(2)/35))/(LN(2)/35)*ER123*ES123*VLOOKUP('Données projet'!$B$15,Paramètres!$A$1:$I$89,3,0)*0.475*44/12</f>
        <v>107.5398516282813</v>
      </c>
      <c r="EW123" s="21">
        <f>EXP(-LN(2)/25)*EW122+(1-EXP(-LN(2)/25))/(LN(2)/25)*Calculateur!ER123*Calculateur!ET123*VLOOKUP('Données projet'!$B$15,Paramètres!$A$1:$I$89,3,0)*0.475*44/12</f>
        <v>24.507707453664207</v>
      </c>
      <c r="EX123" s="21">
        <f>EXP(-LN(2)/2)*EX122+(1-EXP(-LN(2)/2))/(LN(2)/2)*ER123*EU123*VLOOKUP('Données projet'!$B$15,Paramètres!$A$1:$I$89,3,0)*0.475*44/12</f>
        <v>0.40545258273093843</v>
      </c>
      <c r="EY123" s="22">
        <f t="shared" si="140"/>
        <v>132.45301166467644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projet'!$A$227:$I$247,2,0)</f>
        <v>#N/A</v>
      </c>
      <c r="FC123" s="12" t="e">
        <f>VLOOKUP(A123,'Données projet'!$A$227:$I$247,9,0)</f>
        <v>#N/A</v>
      </c>
      <c r="FD123" s="12">
        <f t="array" ref="FD123">INDEX(FC:FC,MIN(IF(ISNUMBER(FC123:FC319),ROW(FC123:FC319),"")))</f>
        <v>0</v>
      </c>
      <c r="FE123" s="12">
        <f>IF('Données projet'!$A$228&gt;35,FE122+FD123-FM122,IF(A123&lt;'Données projet'!$A$228,$FB$205^A123,IF(A123='Données projet'!$A$228,'Données projet'!$B$228,FE122+FD123-FM122)))</f>
        <v>8.5265128291212022E-14</v>
      </c>
      <c r="FF123" s="17">
        <f>FE123*VLOOKUP('Données projet'!$B$16,Paramètres!$A$1:$I$89,3,0)*VLOOKUP('Données projet'!$B$16,Paramètres!$A$1:$I$89,5,0)</f>
        <v>8.9119112089974823E-14</v>
      </c>
      <c r="FG123" s="13">
        <f t="shared" si="196"/>
        <v>1.3568952080113142E-12</v>
      </c>
      <c r="FH123" s="20">
        <f t="shared" si="141"/>
        <v>2.5184749408430782E-12</v>
      </c>
      <c r="FI123" s="59">
        <f t="shared" si="142"/>
        <v>293.33333333333582</v>
      </c>
      <c r="FJ123" s="59">
        <f ca="1">AVERAGE(OFFSET($FI$3,0,0,'Données projet'!$E$16+1,1))-AVERAGE(OFFSET($H$3,0,0,'Données projet'!$E$16+1,1))</f>
        <v>259.03906550253788</v>
      </c>
      <c r="FK123" s="59">
        <f t="shared" si="197"/>
        <v>235.54542903570831</v>
      </c>
      <c r="FL123" s="15">
        <f>IF(ISNA(VLOOKUP(A123,'Données projet'!$A$227:$I$247,3,0)),0,VLOOKUP(A123,'Données projet'!$A$227:$I$247,3,0))</f>
        <v>0</v>
      </c>
      <c r="FM123" s="15">
        <f>IF(ISNA(VLOOKUP(A123,'Données projet'!$A$227:$I$247,4,0)),0,VLOOKUP(A123,'Données projet'!$A$227:$I$247,4,0))</f>
        <v>0</v>
      </c>
      <c r="FN123" s="16">
        <f>IF(ISNA(VLOOKUP(A123,'Données projet'!$A$227:$I$247,5,0)),0%,VLOOKUP(A123,'Données projet'!$A$227:$I$247,5,0)*VLOOKUP('Données projet'!$B$16,Paramètres!$A$1:$I$89,7,0))</f>
        <v>0</v>
      </c>
      <c r="FO123" s="16">
        <f>IF(ISNA(VLOOKUP(A123,'Données projet'!$A$227:$I$247,6,0)),0%,VLOOKUP(A123,'Données projet'!$A$227:$I$247,6,0)*VLOOKUP('Données projet'!$B$16,Paramètres!$A$1:$I$89,7,0))</f>
        <v>0</v>
      </c>
      <c r="FP123" s="16">
        <f>IF(ISNA(VLOOKUP(A123,'Données projet'!$A$227:$I$247,7,0)),0%,VLOOKUP(A123,'Données projet'!$A$227:$I$247,7,0))</f>
        <v>0</v>
      </c>
      <c r="FQ123" s="21">
        <f>EXP(-LN(2)/35)*FQ122+(1-EXP(-LN(2)/35))/(LN(2)/35)*FM123*FN123*VLOOKUP('Données projet'!$B$16,Paramètres!$A$1:$I$89,3,0)*0.475*44/12</f>
        <v>47.465167908769629</v>
      </c>
      <c r="FR123" s="21">
        <f>EXP(-LN(2)/25)*FR122+(1-EXP(-LN(2)/25))/(LN(2)/25)*Calculateur!FM123*Calculateur!FO123*VLOOKUP('Données projet'!$B$16,Paramètres!$A$1:$I$89,3,0)*0.475*44/12</f>
        <v>33.714632047397366</v>
      </c>
      <c r="FS123" s="21">
        <f>EXP(-LN(2)/2)*FS122+(1-EXP(-LN(2)/2))/(LN(2)/2)*FM123*FP123*VLOOKUP('Données projet'!$B$16,Paramètres!$A$1:$I$89,3,0)*0.475*44/12</f>
        <v>0</v>
      </c>
      <c r="FT123" s="22">
        <f t="shared" si="143"/>
        <v>81.179799956166988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projet'!$A$253:$I$273,2,0)</f>
        <v>#N/A</v>
      </c>
      <c r="FX123" s="12" t="e">
        <f>VLOOKUP(A123,'Données projet'!$A$253:$I$273,9,0)</f>
        <v>#N/A</v>
      </c>
      <c r="FY123" s="12">
        <f t="array" ref="FY123">INDEX(FX:FX,MIN(IF(ISNUMBER(FX123:FX319),ROW(FX123:FX319),"")))</f>
        <v>0</v>
      </c>
      <c r="FZ123" s="12">
        <f>IF('Données projet'!$A$254&gt;35,FZ122+FY123-GH122,IF(A123&lt;'Données projet'!$A$254,$FW$205^A123,IF(A123='Données projet'!$A$254,'Données projet'!$B$254,FZ122+FY123-GH122)))</f>
        <v>-1.7053025658242404E-13</v>
      </c>
      <c r="GA123" s="17">
        <f>FZ123*VLOOKUP('Données projet'!$B$17,Paramètres!$A$1:$I$89,3,0)*VLOOKUP('Données projet'!$B$17,Paramètres!$A$1:$I$89,5,0)</f>
        <v>-1.4897523215040567E-13</v>
      </c>
      <c r="GB123" s="13" t="e">
        <f t="shared" si="198"/>
        <v>#NUM!</v>
      </c>
      <c r="GC123" s="20" t="e">
        <f t="shared" si="144"/>
        <v>#NUM!</v>
      </c>
      <c r="GD123" s="59" t="e">
        <f t="shared" si="145"/>
        <v>#NUM!</v>
      </c>
      <c r="GE123" s="59">
        <f ca="1">AVERAGE(OFFSET($GD$3,0,0,'Données projet'!$E$17+1,1))-AVERAGE(OFFSET($H$3,0,0,'Données projet'!$E$17+1,1))</f>
        <v>245.1983232777614</v>
      </c>
      <c r="GF123" s="59">
        <f t="shared" si="199"/>
        <v>242.34010522344573</v>
      </c>
      <c r="GG123" s="15">
        <f>IF(ISNA(VLOOKUP(A123,'Données projet'!$A$253:$I$273,3,0)),0,VLOOKUP(A123,'Données projet'!$A$253:$I$273,3,0))</f>
        <v>0</v>
      </c>
      <c r="GH123" s="15">
        <f>IF(ISNA(VLOOKUP(A123,'Données projet'!$A$253:$I$273,4,0)),0,VLOOKUP(A123,'Données projet'!$A$253:$I$273,4,0))</f>
        <v>0</v>
      </c>
      <c r="GI123" s="16">
        <f>IF(ISNA(VLOOKUP(A123,'Données projet'!$A$253:$I$273,5,0)),0%,VLOOKUP(A123,'Données projet'!$A$253:$I$273,5,0)*VLOOKUP('Données projet'!$B$17,Paramètres!$A$1:$I$89,7,0))</f>
        <v>0</v>
      </c>
      <c r="GJ123" s="16">
        <f>IF(ISNA(VLOOKUP(A123,'Données projet'!$A$253:$I$273,6,0)),0%,VLOOKUP(A123,'Données projet'!$A$253:$I$273,6,0)*VLOOKUP('Données projet'!$B$17,Paramètres!$A$1:$I$89,7,0))</f>
        <v>0</v>
      </c>
      <c r="GK123" s="16">
        <f>IF(ISNA(VLOOKUP(A123,'Données projet'!$A$253:$I$273,7,0)),0%,VLOOKUP(A123,'Données projet'!$A$253:$I$273,7,0))</f>
        <v>0</v>
      </c>
      <c r="GL123" s="21">
        <f>EXP(-LN(2)/35)*GL122+(1-EXP(-LN(2)/35))/(LN(2)/35)*GH123*GI123*VLOOKUP('Données projet'!$B$17,Paramètres!$A$1:$I$89,3,0)*0.475*44/12</f>
        <v>55.801817206815073</v>
      </c>
      <c r="GM123" s="21">
        <f>EXP(-LN(2)/25)*GM122+(1-EXP(-LN(2)/25))/(LN(2)/25)*Calculateur!GH123*Calculateur!GJ123*VLOOKUP('Données projet'!$B$17,Paramètres!$A$1:$I$89,3,0)*0.475*44/12</f>
        <v>7.1837667457785876</v>
      </c>
      <c r="GN123" s="21">
        <f>EXP(-LN(2)/2)*GN122+(1-EXP(-LN(2)/2))/(LN(2)/2)*GH123*GK123*VLOOKUP('Données projet'!$B$17,Paramètres!$A$1:$I$89,3,0)*0.475*44/12</f>
        <v>0</v>
      </c>
      <c r="GO123" s="21">
        <f t="shared" si="146"/>
        <v>62.985583952593657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projet'!$A$279:$I$299,2,0)</f>
        <v>#N/A</v>
      </c>
      <c r="GS123" s="12" t="e">
        <f>VLOOKUP(A123,'Données projet'!$A$279:$I$299,9,0)</f>
        <v>#N/A</v>
      </c>
      <c r="GT123" s="12">
        <f t="array" ref="GT123">INDEX(GS:GS,MIN(IF(ISNUMBER(GS123:GS319),ROW(GS123:GS319),"")))</f>
        <v>0</v>
      </c>
      <c r="GU123" s="12">
        <f>IF('Données projet'!$A$280&gt;35,GU122+GT123-HC122,IF(A123&lt;'Données projet'!$A$280,$GR$205^A123,IF(A123='Données projet'!$A$280,'Données projet'!$B$280,GU122+GT123-HC122)))</f>
        <v>-1.1368683772161603E-13</v>
      </c>
      <c r="GV123" s="17">
        <f>GU123*VLOOKUP('Données projet'!$B$18,Paramètres!$A$1:$I$89,3,0)*VLOOKUP('Données projet'!$B$18,Paramètres!$A$1:$I$89,5,0)</f>
        <v>-4.5815795601811263E-14</v>
      </c>
      <c r="GW123" s="13" t="e">
        <f t="shared" si="200"/>
        <v>#NUM!</v>
      </c>
      <c r="GX123" s="20" t="e">
        <f t="shared" si="147"/>
        <v>#NUM!</v>
      </c>
      <c r="GY123" s="59" t="e">
        <f t="shared" si="148"/>
        <v>#NUM!</v>
      </c>
      <c r="GZ123" s="59">
        <f ca="1">AVERAGE(OFFSET($GY$3,0,0,'Données projet'!$E$18+1,1))-AVERAGE(OFFSET($H$3,0,0,'Données projet'!$E$18+1,1))</f>
        <v>324.36162935850876</v>
      </c>
      <c r="HA123" s="59">
        <f t="shared" si="201"/>
        <v>265.23571072429735</v>
      </c>
      <c r="HB123" s="15">
        <f>IF(ISNA(VLOOKUP(A123,'Données projet'!$A$279:$I$299,3,0)),0,VLOOKUP(A123,'Données projet'!$A$279:$I$299,3,0))</f>
        <v>0</v>
      </c>
      <c r="HC123" s="15">
        <f>IF(ISNA(VLOOKUP(A123,'Données projet'!$A$279:$I$299,4,0)),0,VLOOKUP(A123,'Données projet'!$A$279:$I$299,4,0))</f>
        <v>0</v>
      </c>
      <c r="HD123" s="16">
        <f>IF(ISNA(VLOOKUP(A123,'Données projet'!$A$279:$I$299,5,0)),0%,VLOOKUP(A123,'Données projet'!$A$279:$I$299,5,0)*VLOOKUP('Données projet'!$B$18,Paramètres!$A$1:$I$89,7,0))</f>
        <v>0</v>
      </c>
      <c r="HE123" s="16">
        <f>IF(ISNA(VLOOKUP(A123,'Données projet'!$A$279:$I$299,6,0)),0%,VLOOKUP(A123,'Données projet'!$A$279:$I$299,6,0)*VLOOKUP('Données projet'!$B$18,Paramètres!$A$1:$I$89,7,0))</f>
        <v>0</v>
      </c>
      <c r="HF123" s="16">
        <f>IF(ISNA(VLOOKUP($A123,'Données projet'!$A$279:$I$299,7,0)),0%,VLOOKUP($A123,'Données projet'!$A$279:$I$299,7,0))</f>
        <v>0</v>
      </c>
      <c r="HG123" s="21">
        <f>EXP(-LN(2)/35)*HG122+(1-EXP(-LN(2)/35))/(LN(2)/35)*HC123*HD123*VLOOKUP('Données projet'!$B$18,Paramètres!$A$1:$I$89,3,0)*0.475*44/12</f>
        <v>106.93086941291659</v>
      </c>
      <c r="HH123" s="21">
        <f>EXP(-LN(2)/25)*HH122+(1-EXP(-LN(2)/25))/(LN(2)/25)*Calculateur!HC123*Calculateur!HE123*VLOOKUP('Données projet'!$B$18,Paramètres!$A$1:$I$89,3,0)*0.475*44/12</f>
        <v>7.9896335533204788</v>
      </c>
      <c r="HI123" s="21">
        <f>EXP(-LN(2)/2)*HI122+(1-EXP(-LN(2)/2))/(LN(2)/2)*HC123*HF123*VLOOKUP('Données projet'!$B$18,Paramètres!$A$1:$I$89,3,0)*0.475*44/12</f>
        <v>8.1512543767737653E-6</v>
      </c>
      <c r="HJ123" s="22">
        <f t="shared" si="149"/>
        <v>114.92051111749144</v>
      </c>
      <c r="HK123" s="74">
        <f>('Scénario référence'!$F$8+'Scénario référence'!$F$9+'Scénario référence'!$B$17+'Scénario référence'!$B$9+'Scénario référence'!$B$10)*70+IF((45+25*(1-EXP(-0.0175*$A123)))&lt;70,'Scénario référence'!$B$16*(45+25*(1-EXP(-0.0175*$A123))),70*'Scénario référence'!$B$16)+IF((32+38*(1-EXP(-0.0175*$A123)))&lt;70,'Scénario référence'!$B$18*(32+38*(1-EXP(-0.0175*$A123))),70*'Scénario référence'!$B$18)</f>
        <v>70</v>
      </c>
      <c r="HL123" s="12">
        <f>IF($A123&gt;30,10,('Scénario référence'!$B$16+'Scénario référence'!$B$17+'Scénario référence'!$B$18+'Scénario référence'!$B$9+'Scénario référence'!$B$10)*$A123*10/30+('Scénario référence'!$F$8+'Scénario référence'!$F$9)*10)</f>
        <v>10</v>
      </c>
      <c r="HM123" s="12" t="e">
        <f>VLOOKUP($A123,'Données projet'!$A$304:$I$324,2,0)</f>
        <v>#N/A</v>
      </c>
      <c r="HN123" s="12" t="e">
        <f>VLOOKUP($A123,'Données projet'!$A$304:$I$324,9,0)</f>
        <v>#N/A</v>
      </c>
      <c r="HO123" s="12">
        <f t="array" ref="HO123">INDEX(HN:HN,MIN(IF(ISNUMBER(HN123:HN319),ROW(HN123:HN319),"")))</f>
        <v>0</v>
      </c>
      <c r="HP123" s="12">
        <f>IF('Données projet'!$A$304&gt;35,HP122+HO123-HX122,IF($A123&lt;'Données projet'!$A$304,$CQ$205^$A123,IF($A123='Données projet'!$A$304,'Données projet'!$B$304,HP122+HO123-HX122)))</f>
        <v>0</v>
      </c>
      <c r="HQ123" s="17">
        <f>HP123*VLOOKUP('Données projet'!$B$19,Paramètres!$A$1:$I$89,3,0)*VLOOKUP('Données projet'!$B$19,Paramètres!$A$1:$I$89,5,0)</f>
        <v>0</v>
      </c>
      <c r="HR123" s="13" t="e">
        <f t="shared" si="202"/>
        <v>#NUM!</v>
      </c>
      <c r="HS123" s="14" t="e">
        <f t="shared" si="150"/>
        <v>#NUM!</v>
      </c>
      <c r="HT123" s="59" t="e">
        <f t="shared" si="151"/>
        <v>#NUM!</v>
      </c>
      <c r="HU123" s="59">
        <f ca="1">AVERAGE(OFFSET(HT$3,0,0,'Données projet'!$E$19+1,1))-AVERAGE(OFFSET($H$3,0,0,'Données projet'!$E$19+1,1))</f>
        <v>91.60721429656013</v>
      </c>
      <c r="HV123" s="59">
        <f t="shared" si="203"/>
        <v>258.94957804210856</v>
      </c>
      <c r="HW123" s="15">
        <f>IF(ISNA(VLOOKUP($A123,'Données projet'!$A$304:$I$324,3,0)),0,VLOOKUP($A123,'Données projet'!$A$304:$I$324,3,0))</f>
        <v>0</v>
      </c>
      <c r="HX123" s="15">
        <f>IF(ISNA(VLOOKUP($A123,'Données projet'!$A$304:$I$324,4,0)),0,VLOOKUP($A123,'Données projet'!$A$304:$I$324,4,0))</f>
        <v>0</v>
      </c>
      <c r="HY123" s="16">
        <f>IF(ISNA(VLOOKUP($A123,'Données projet'!$A$304:$I$324,5,0)),0%,VLOOKUP($A123,'Données projet'!$A$304:$I$324,5,0)*VLOOKUP('Données projet'!$B$19,Paramètres!$A$1:$I$89,7,0))</f>
        <v>0</v>
      </c>
      <c r="HZ123" s="16">
        <f>IF(ISNA(VLOOKUP($A123,'Données projet'!$A$304:$I$324,6,0)),0%,VLOOKUP($A123,'Données projet'!$A$304:$I$324,6,0)*VLOOKUP('Données projet'!$B$19,Paramètres!$A$1:$I$89,7,0))</f>
        <v>0</v>
      </c>
      <c r="IA123" s="16">
        <f>IF(ISNA(VLOOKUP($A123,'Données projet'!$A$304:$I$324,7,0)),0%,VLOOKUP($A123,'Données projet'!$A$304:$I$324,7,0))</f>
        <v>0</v>
      </c>
      <c r="IB123" s="21">
        <f>EXP(-LN(2)/35)*IB122+(1-EXP(-LN(2)/35))/(LN(2)/35)*HX123*HY123*VLOOKUP('Données projet'!$B$19,Paramètres!$A$1:$I$89,3,0)*0.475*44/12</f>
        <v>8.29961209711119</v>
      </c>
      <c r="IC123" s="21">
        <f>EXP(-LN(2)/25)*IC122+(1-EXP(-LN(2)/25))/(LN(2)/25)*Calculateur!HX123*Calculateur!HZ123*VLOOKUP('Données projet'!$B$19,Paramètres!$A$1:$I$89,3,0)*0.475*44/12</f>
        <v>0.80223826893769479</v>
      </c>
      <c r="ID123" s="21">
        <f>EXP(-LN(2)/2)*ID122+(1-EXP(-LN(2)/2))/(LN(2)/2)*HX123*IA123*VLOOKUP('Données projet'!$B$19,Paramètres!$A$1:$I$89,3,0)*0.475*44/12</f>
        <v>1.6281441950922543E-14</v>
      </c>
      <c r="IE123" s="22">
        <f t="shared" si="152"/>
        <v>9.1018503660489003</v>
      </c>
      <c r="IF123" s="74">
        <f>('Scénario référence'!$F$8+'Scénario référence'!$F$9+'Scénario référence'!$B$17+'Scénario référence'!$B$9+'Scénario référence'!$B$10)*70+IF((45+25*(1-EXP(-0.0175*$A123)))&lt;70,'Scénario référence'!$B$16*(45+25*(1-EXP(-0.0175*$A123))),70*'Scénario référence'!$B$16)+IF((32+38*(1-EXP(-0.0175*$A123)))&lt;70,'Scénario référence'!$B$18*(32+38*(1-EXP(-0.0175*$A123))),70*'Scénario référence'!$B$18)</f>
        <v>70</v>
      </c>
      <c r="IG123" s="12">
        <f>IF($A123&gt;30,10,('Scénario référence'!$B$16+'Scénario référence'!$B$17+'Scénario référence'!$B$18+'Scénario référence'!$B$9+'Scénario référence'!$B$10)*$A123*10/30+('Scénario référence'!$F$8+'Scénario référence'!$F$9)*10)</f>
        <v>10</v>
      </c>
      <c r="IH123" s="12" t="e">
        <f>VLOOKUP($A123,'Données projet'!$A$330:$I$350,2,0)</f>
        <v>#N/A</v>
      </c>
      <c r="II123" s="12" t="e">
        <f>VLOOKUP($A123,'Données projet'!$A$330:$I$350,9,0)</f>
        <v>#N/A</v>
      </c>
      <c r="IJ123" s="12">
        <f t="array" ref="IJ123">INDEX(II:II,MIN(IF(ISNUMBER(II123:II319),ROW(II123:II319),"")))</f>
        <v>0</v>
      </c>
      <c r="IK123" s="12">
        <f>IF('Données projet'!$A$330&gt;35,IK122+IJ123-IS122,IF($A123&lt;'Données projet'!$A$330,$CQ$205^$A123,IF($A123='Données projet'!$A$330,'Données projet'!$B$330,IK122+IJ123-IS122)))</f>
        <v>0</v>
      </c>
      <c r="IL123" s="17">
        <f>IK123*VLOOKUP('Données projet'!$B$20,Paramètres!$A$1:$I$89,3,0)*VLOOKUP('Données projet'!$B$20,Paramètres!$A$1:$I$89,5,0)</f>
        <v>0</v>
      </c>
      <c r="IM123" s="13" t="e">
        <f t="shared" si="204"/>
        <v>#NUM!</v>
      </c>
      <c r="IN123" s="20" t="e">
        <f t="shared" si="153"/>
        <v>#NUM!</v>
      </c>
      <c r="IO123" s="59" t="e">
        <f t="shared" si="154"/>
        <v>#NUM!</v>
      </c>
      <c r="IP123" s="59">
        <f ca="1">AVERAGE(OFFSET(IO$3,0,0,'Données projet'!$E$20+1,1))-AVERAGE(OFFSET($H$3,0,0,'Données projet'!$E$20+1,1))</f>
        <v>91.60721429656013</v>
      </c>
      <c r="IQ123" s="59">
        <f t="shared" si="205"/>
        <v>258.94957804210856</v>
      </c>
      <c r="IR123" s="15">
        <f>IF(ISNA(VLOOKUP($A123,'Données projet'!$A$330:$I$350,3,0)),0,VLOOKUP($A123,'Données projet'!$A$330:$I$350,3,0))</f>
        <v>0</v>
      </c>
      <c r="IS123" s="15">
        <f>IF(ISNA(VLOOKUP($A123,'Données projet'!$A$330:$I$350,4,0)),0,VLOOKUP($A123,'Données projet'!$A$330:$I$350,4,0))</f>
        <v>0</v>
      </c>
      <c r="IT123" s="16">
        <f>IF(ISNA(VLOOKUP($A123,'Données projet'!$A$330:$I$350,5,0)),0%,VLOOKUP($A123,'Données projet'!$A$330:$I$350,5,0)*VLOOKUP('Données projet'!$B$20,Paramètres!$A$1:$I$89,7,0))</f>
        <v>0</v>
      </c>
      <c r="IU123" s="16">
        <f>IF(ISNA(VLOOKUP($A123,'Données projet'!$A$330:$I$350,6,0)),0%,VLOOKUP($A123,'Données projet'!$A$330:$I$350,6,0)*VLOOKUP('Données projet'!$B$20,Paramètres!$A$1:$I$89,7,0))</f>
        <v>0</v>
      </c>
      <c r="IV123" s="16">
        <f>IF(ISNA(VLOOKUP($A123,'Données projet'!$A$330:$I$350,7,0)),0%,VLOOKUP($A123,'Données projet'!$A$330:$I$350,7,0))</f>
        <v>0</v>
      </c>
      <c r="IW123" s="21">
        <f>EXP(-LN(2)/35)*IW122+(1-EXP(-LN(2)/35))/(LN(2)/35)*IS123*IT123*VLOOKUP('Données projet'!$B$20,Paramètres!$A$1:$I$89,3,0)*0.475*44/12</f>
        <v>8.29961209711119</v>
      </c>
      <c r="IX123" s="21">
        <f>EXP(-LN(2)/25)*IX122+(1-EXP(-LN(2)/25))/(LN(2)/25)*Calculateur!IS123*Calculateur!IU123*VLOOKUP('Données projet'!$B$20,Paramètres!$A$1:$I$89,3,0)*0.475*44/12</f>
        <v>0.80223826893769479</v>
      </c>
      <c r="IY123" s="21">
        <f>EXP(-LN(2)/2)*IY122+(1-EXP(-LN(2)/2))/(LN(2)/2)*IS123*IV123*VLOOKUP('Données projet'!$B$20,Paramètres!$A$1:$I$89,3,0)*0.475*44/12</f>
        <v>1.6281441950922543E-14</v>
      </c>
      <c r="IZ123" s="22">
        <f t="shared" si="155"/>
        <v>9.1018503660489003</v>
      </c>
      <c r="JA123" s="74">
        <f>('Scénario référence'!$F$8+'Scénario référence'!$F$9+'Scénario référence'!$B$17+'Scénario référence'!$B$9+'Scénario référence'!$B$10)*70+IF((45+25*(1-EXP(-0.0175*$A123)))&lt;70,'Scénario référence'!$B$16*(45+25*(1-EXP(-0.0175*$A123))),70*'Scénario référence'!$B$16)+IF((32+38*(1-EXP(-0.0175*$A123)))&lt;70,'Scénario référence'!$B$18*(32+38*(1-EXP(-0.0175*$A123))),70*'Scénario référence'!$B$18)</f>
        <v>70</v>
      </c>
      <c r="JB123" s="12">
        <f>IF($A123&gt;30,10,('Scénario référence'!$B$16+'Scénario référence'!$B$17+'Scénario référence'!$B$18+'Scénario référence'!$B$9+'Scénario référence'!$B$10)*$A123*10/30+('Scénario référence'!$F$8+'Scénario référence'!$F$9)*10)</f>
        <v>10</v>
      </c>
      <c r="JC123" s="12" t="e">
        <f>VLOOKUP($A123,'Données projet'!$A$356:$I$376,2,0)</f>
        <v>#N/A</v>
      </c>
      <c r="JD123" s="12" t="e">
        <f>VLOOKUP($A123,'Données projet'!$A$356:$I$376,9,0)</f>
        <v>#N/A</v>
      </c>
      <c r="JE123" s="12">
        <f t="array" ref="JE123">INDEX(JD:JD,MIN(IF(ISNUMBER(JD123:JD319),ROW(JD123:JD319),"")))</f>
        <v>2.2000000000000002</v>
      </c>
      <c r="JF123" s="12">
        <f>IF('Données projet'!$A$356&gt;35,JF122+JE123-JN122,IF($A123&lt;'Données projet'!$A$356,$CQ$205^$A123,IF($A123='Données projet'!$A$356,'Données projet'!$B$356,JF122+JE123-JN122)))</f>
        <v>417.99999999999926</v>
      </c>
      <c r="JG123" s="17">
        <f>JF123*VLOOKUP('Données projet'!$B$21,Paramètres!$A$1:$I$89,3,0)*VLOOKUP('Données projet'!$B$21,Paramètres!$A$1:$I$89,5,0)</f>
        <v>339.08159999999941</v>
      </c>
      <c r="JH123" s="13">
        <f t="shared" si="206"/>
        <v>79.310169307181781</v>
      </c>
      <c r="JI123" s="20">
        <f t="shared" si="156"/>
        <v>728.69899821000729</v>
      </c>
      <c r="JJ123" s="59">
        <f t="shared" si="157"/>
        <v>1022.0323315433407</v>
      </c>
      <c r="JK123" s="59">
        <f ca="1">AVERAGE(OFFSET($JJ$3,0,0,'Données projet'!$E$22+1,1))-AVERAGE(OFFSET($H$3,0,0,'Données projet'!$E$22+1,1))</f>
        <v>353.35574633294613</v>
      </c>
      <c r="JL123" s="59">
        <f t="shared" si="207"/>
        <v>170.36796666474726</v>
      </c>
      <c r="JM123" s="15">
        <f>IF(ISNA(VLOOKUP($A123,'Données projet'!$A$356:$I$376,3,0)),0,VLOOKUP($A123,'Données projet'!$A$356:$I$376,3,0))</f>
        <v>0</v>
      </c>
      <c r="JN123" s="15">
        <f>IF(ISNA(VLOOKUP($A123,'Données projet'!$A$356:$I$376,4,0)),0,VLOOKUP($A123,'Données projet'!$A$356:$I$376,4,0))</f>
        <v>0</v>
      </c>
      <c r="JO123" s="16">
        <f>IF(ISNA(VLOOKUP($A123,'Données projet'!$A$356:$I$376,5,0)),0%,VLOOKUP($A123,'Données projet'!$A$356:$I$376,5,0)*VLOOKUP('Données projet'!$B$21,Paramètres!$A$1:$I$89,7,0))</f>
        <v>0</v>
      </c>
      <c r="JP123" s="16">
        <f>IF(ISNA(VLOOKUP($A123,'Données projet'!$A$356:$I$376,6,0)),0%,VLOOKUP($A123,'Données projet'!$A$356:$I$376,6,0)*VLOOKUP('Données projet'!$B$21,Paramètres!$A$1:$I$89,7,0))</f>
        <v>0</v>
      </c>
      <c r="JQ123" s="16">
        <f>IF(ISNA(VLOOKUP($A123,'Données projet'!$A$356:$I$376,7,0)),0%,VLOOKUP($A123,'Données projet'!$A$356:$I$376,7,0))</f>
        <v>0</v>
      </c>
      <c r="JR123" s="21">
        <f>EXP(-LN(2)/35)*JR122+(1-EXP(-LN(2)/35))/(LN(2)/35)*JN123*JO123*VLOOKUP('Données projet'!$B$21,Paramètres!$A$1:$I$89,3,0)*0.475*44/12</f>
        <v>4.122678884511755</v>
      </c>
      <c r="JS123" s="21">
        <f>EXP(-LN(2)/25)*JS122+(1-EXP(-LN(2)/25))/(LN(2)/25)*Calculateur!JN123*Calculateur!JP123*VLOOKUP('Données projet'!$B$21,Paramètres!$A$1:$I$89,3,0)*0.475*44/12</f>
        <v>13.402195292979085</v>
      </c>
      <c r="JT123" s="21">
        <f>EXP(-LN(2)/2)*JT122+(1-EXP(-LN(2)/2))/(LN(2)/2)*JN123*JQ123*VLOOKUP('Données projet'!$B$21,Paramètres!$A$1:$I$89,3,0)*0.475*44/12</f>
        <v>0.10901839221428757</v>
      </c>
      <c r="JU123" s="18">
        <f t="shared" si="158"/>
        <v>17.633892569705129</v>
      </c>
      <c r="JV123" s="74">
        <f>('Scénario référence'!$F$8+'Scénario référence'!$F$9+'Scénario référence'!$B$17+'Scénario référence'!$B$9+'Scénario référence'!$B$10)*70+IF((45+25*(1-EXP(-0.0175*$A123)))&lt;70,'Scénario référence'!$B$16*(45+25*(1-EXP(-0.0175*$A123))),70*'Scénario référence'!$B$16)+IF((32+38*(1-EXP(-0.0175*$A123)))&lt;70,'Scénario référence'!$B$18*(32+38*(1-EXP(-0.0175*$A123))),70*'Scénario référence'!$B$18)</f>
        <v>70</v>
      </c>
      <c r="JW123" s="12">
        <f>IF($A123&gt;30,10,('Scénario référence'!$B$16+'Scénario référence'!$B$17+'Scénario référence'!$B$18+'Scénario référence'!$B$9+'Scénario référence'!$B$10)*$A123*10/30+('Scénario référence'!$F$8+'Scénario référence'!$F$9)*10)</f>
        <v>10</v>
      </c>
      <c r="JX123" s="12" t="e">
        <f>VLOOKUP($A123,'Données projet'!$A$382:$I$402,2,0)</f>
        <v>#N/A</v>
      </c>
      <c r="JY123" s="12" t="e">
        <f>VLOOKUP($A123,'Données projet'!$A$382:$I$402,9,0)</f>
        <v>#N/A</v>
      </c>
      <c r="JZ123" s="12">
        <f t="array" ref="JZ123">INDEX(JY:JY,MIN(IF(ISNUMBER(JY123:JY319),ROW(JY123:JY319),"")))</f>
        <v>3.8301282051282044</v>
      </c>
      <c r="KA123" s="12">
        <f>IF('Données projet'!$A$382&gt;35,KA122+JZ123-KI122,IF($A123&lt;'Données projet'!$A$382,$CQ$205^$A123,IF($A123='Données projet'!$A$382,'Données projet'!$B$382,KA122+JZ123-KI122)))</f>
        <v>211.14423076923126</v>
      </c>
      <c r="KB123" s="17">
        <f>KA123*VLOOKUP('Données projet'!$B$22,Paramètres!$A$1:$I$89,3,0)*VLOOKUP('Données projet'!$B$22,Paramètres!$A$1:$I$89,5,0)</f>
        <v>141.63555000000034</v>
      </c>
      <c r="KC123" s="13">
        <f t="shared" si="208"/>
        <v>36.671433379560327</v>
      </c>
      <c r="KD123" s="20">
        <f t="shared" si="159"/>
        <v>310.55132938606818</v>
      </c>
      <c r="KE123" s="59">
        <f t="shared" si="160"/>
        <v>603.88466271940149</v>
      </c>
      <c r="KF123" s="59">
        <f ca="1">AVERAGE(OFFSET($KE$3,0,0,'Données projet'!$E$22+1,1))-AVERAGE(OFFSET($H$3,0,0,'Données projet'!$E$22+1,1))</f>
        <v>193.91714772848269</v>
      </c>
      <c r="KG123" s="59">
        <f t="shared" si="209"/>
        <v>159.20429420478047</v>
      </c>
      <c r="KH123" s="15">
        <f>IF(ISNA(VLOOKUP($A123,'Données projet'!$A$382:$I$402,3,0)),0,VLOOKUP($A123,'Données projet'!$A$382:$I$402,3,0))</f>
        <v>0</v>
      </c>
      <c r="KI123" s="15">
        <f>IF(ISNA(VLOOKUP($A123,'Données projet'!$A$382:$I$402,4,0)),0,VLOOKUP($A123,'Données projet'!$A$382:$I$402,4,0))</f>
        <v>0</v>
      </c>
      <c r="KJ123" s="16">
        <f>IF(ISNA(VLOOKUP($A123,'Données projet'!$A$382:$I$402,5,0)),0%,VLOOKUP($A123,'Données projet'!$A$382:$I$402,5,0)*VLOOKUP('Données projet'!$B$22,Paramètres!$A$1:$I$89,7,0))</f>
        <v>0</v>
      </c>
      <c r="KK123" s="16">
        <f>IF(ISNA(VLOOKUP($A123,'Données projet'!$A$382:$I$402,6,0)),0%,VLOOKUP($A123,'Données projet'!$A$382:$I$402,6,0)*VLOOKUP('Données projet'!$B$22,Paramètres!$A$1:$I$89,7,0))</f>
        <v>0</v>
      </c>
      <c r="KL123" s="16">
        <f>IF(ISNA(VLOOKUP($A123,'Données projet'!$A$382:$I$402,7,0)),0%,VLOOKUP($A123,'Données projet'!$A$382:$I$402,7,0))</f>
        <v>0</v>
      </c>
      <c r="KM123" s="21">
        <f>EXP(-LN(2)/35)*KM122+(1-EXP(-LN(2)/35))/(LN(2)/35)*KI123*KJ123*VLOOKUP('Données projet'!$B$22,Paramètres!$A$1:$I$89,3,0)*0.475*44/12</f>
        <v>96.244922331976909</v>
      </c>
      <c r="KN123" s="21">
        <f>EXP(-LN(2)/25)*KN122+(1-EXP(-LN(2)/25))/(LN(2)/25)*Calculateur!KI123*Calculateur!KK123*VLOOKUP('Données projet'!$B$22,Paramètres!$A$1:$I$89,3,0)*0.475*44/12</f>
        <v>0</v>
      </c>
      <c r="KO123" s="21">
        <f>EXP(-LN(2)/2)*KO122+(1-EXP(-LN(2)/2))/(LN(2)/2)*KI123*KL123*VLOOKUP('Données projet'!$B$22,Paramètres!$A$1:$I$89,3,0)*0.475*44/12</f>
        <v>0</v>
      </c>
      <c r="KP123" s="22">
        <f t="shared" si="161"/>
        <v>96.244922331976909</v>
      </c>
      <c r="KQ123" s="74">
        <f>('Scénario référence'!$F$8+'Scénario référence'!$F$9+'Scénario référence'!$B$17+'Scénario référence'!$B$9+'Scénario référence'!$B$10)*70+IF((45+25*(1-EXP(-0.0175*$A123)))&lt;70,'Scénario référence'!$B$16*(45+25*(1-EXP(-0.0175*$A123))),70*'Scénario référence'!$B$16)+IF((32+38*(1-EXP(-0.0175*$A123)))&lt;70,'Scénario référence'!$B$18*(32+38*(1-EXP(-0.0175*$A123))),70*'Scénario référence'!$B$18)</f>
        <v>70</v>
      </c>
      <c r="KR123" s="12">
        <f>IF($A123&gt;30,10,('Scénario référence'!$B$16+'Scénario référence'!$B$17+'Scénario référence'!$B$18+'Scénario référence'!$B$9+'Scénario référence'!$B$10)*$A123*10/30+('Scénario référence'!$F$8+'Scénario référence'!$F$9)*10)</f>
        <v>10</v>
      </c>
      <c r="KS123" s="12" t="e">
        <f>VLOOKUP($A123,'Données projet'!$A$408:$I$428,2,0)</f>
        <v>#N/A</v>
      </c>
      <c r="KT123" s="12" t="e">
        <f>VLOOKUP($A123,'Données projet'!$A$408:$I$428,9,0)</f>
        <v>#N/A</v>
      </c>
      <c r="KU123" s="12">
        <f t="array" ref="KU123">INDEX(KT:KT,MIN(IF(ISNUMBER(KT123:KT319),ROW(KT123:KT319),"")))</f>
        <v>0</v>
      </c>
      <c r="KV123" s="12">
        <f>IF('Données projet'!$A$408&gt;35,KV122+KU123-LD122,IF($A123&lt;'Données projet'!$A$408,$CQ$205^$A123,IF($A123='Données projet'!$A$408,'Données projet'!$B$408,KV122+KU123-LD122)))</f>
        <v>-1.1368683772161603E-13</v>
      </c>
      <c r="KW123" s="17">
        <f>KV123*VLOOKUP('Données projet'!$B$23,Paramètres!$A$1:$I$89,3,0)*VLOOKUP('Données projet'!$B$23,Paramètres!$A$1:$I$89,5,0)</f>
        <v>-9.9316821433603781E-14</v>
      </c>
      <c r="KX123" s="13" t="e">
        <f t="shared" si="210"/>
        <v>#NUM!</v>
      </c>
      <c r="KY123" s="14" t="e">
        <f t="shared" si="162"/>
        <v>#NUM!</v>
      </c>
      <c r="KZ123" s="59" t="e">
        <f t="shared" si="163"/>
        <v>#NUM!</v>
      </c>
      <c r="LA123" s="59">
        <f ca="1">AVERAGE(OFFSET($KZ$3,0,0,'Données projet'!$E$23+1,1))-AVERAGE(OFFSET($H$3,0,0,'Données projet'!$E$23+1,1))</f>
        <v>248.33596943633819</v>
      </c>
      <c r="LB123" s="59">
        <f t="shared" si="211"/>
        <v>242.34010522344573</v>
      </c>
      <c r="LC123" s="15">
        <f>IF(ISNA(VLOOKUP($A123,'Données projet'!$A$408:$I$428,3,0)),0,VLOOKUP($A123,'Données projet'!$A$408:$I$428,3,0))</f>
        <v>0</v>
      </c>
      <c r="LD123" s="15">
        <f>IF(ISNA(VLOOKUP($A123,'Données projet'!$A$408:$I$428,4,0)),0,VLOOKUP($A123,'Données projet'!$A$408:$I$428,4,0))</f>
        <v>0</v>
      </c>
      <c r="LE123" s="16">
        <f>IF(ISNA(VLOOKUP($A123,'Données projet'!$A$408:$I$428,5,0)),0%,VLOOKUP($A123,'Données projet'!$A$408:$I$428,5,0)*VLOOKUP('Données projet'!$B$23,Paramètres!$A$1:$I$89,7,0))</f>
        <v>0</v>
      </c>
      <c r="LF123" s="16">
        <f>IF(ISNA(VLOOKUP($A123,'Données projet'!$A$408:$I$428,6,0)),0%,VLOOKUP($A123,'Données projet'!$A$408:$I$428,6,0)*VLOOKUP('Données projet'!$B$23,Paramètres!$A$1:$I$89,7,0))</f>
        <v>0</v>
      </c>
      <c r="LG123" s="16">
        <f>IF(ISNA(VLOOKUP($A123,'Données projet'!$A$408:$I$428,7,0)),0%,VLOOKUP($A123,'Données projet'!$A$408:$I$428,7,0))</f>
        <v>0</v>
      </c>
      <c r="LH123" s="21">
        <f>EXP(-LN(2)/35)*LH122+(1-EXP(-LN(2)/35))/(LN(2)/35)*LD123*LE123*VLOOKUP('Données projet'!$B$23,Paramètres!$A$1:$I$89,3,0)*0.475*44/12</f>
        <v>55.801817206815073</v>
      </c>
      <c r="LI123" s="21">
        <f>EXP(-LN(2)/25)*LI122+(1-EXP(-LN(2)/25))/(LN(2)/25)*Calculateur!LD123*Calculateur!LF123*VLOOKUP('Données projet'!$B$23,Paramètres!$A$1:$I$89,3,0)*0.475*44/12</f>
        <v>7.1837667457785876</v>
      </c>
      <c r="LJ123" s="21">
        <f>EXP(-LN(2)/2)*LJ122+(1-EXP(-LN(2)/2))/(LN(2)/2)*LD123*LG123*VLOOKUP('Données projet'!$B$23,Paramètres!$A$1:$I$89,3,0)*0.475*44/12</f>
        <v>0</v>
      </c>
      <c r="LK123" s="22">
        <f t="shared" si="164"/>
        <v>62.985583952593657</v>
      </c>
      <c r="LL123" s="74">
        <f>('Scénario référence'!$F$8+'Scénario référence'!$F$9+'Scénario référence'!$B$17+'Scénario référence'!$B$9+'Scénario référence'!$B$10)*70+IF((45+25*(1-EXP(-0.0175*$A123)))&lt;70,'Scénario référence'!$B$16*(45+25*(1-EXP(-0.0175*$A123))),70*'Scénario référence'!$B$16)+IF((32+38*(1-EXP(-0.0175*$A123)))&lt;70,'Scénario référence'!$B$18*(32+38*(1-EXP(-0.0175*$A123))),70*'Scénario référence'!$B$18)</f>
        <v>70</v>
      </c>
      <c r="LM123" s="12">
        <f>IF($A123&gt;30,10,('Scénario référence'!$B$16+'Scénario référence'!$B$17+'Scénario référence'!$B$18+'Scénario référence'!$B$9+'Scénario référence'!$B$10)*$A123*10/30+('Scénario référence'!$F$8+'Scénario référence'!$F$9)*10)</f>
        <v>10</v>
      </c>
      <c r="LN123" s="12" t="e">
        <f>VLOOKUP($A123,'Données projet'!$A$434:$I$454,2,0)</f>
        <v>#N/A</v>
      </c>
      <c r="LO123" s="12" t="e">
        <f>VLOOKUP($A123,'Données projet'!$A$434:$I$454,9,0)</f>
        <v>#N/A</v>
      </c>
      <c r="LP123" s="12">
        <f t="array" ref="LP123">INDEX(LO:LO,MIN(IF(ISNUMBER(LO123:LO319),ROW(LO123:LO319),"")))</f>
        <v>5.3066239316239274</v>
      </c>
      <c r="LQ123" s="12">
        <f>IF('Données projet'!$A$434&gt;35,LQ122+LP123-LY122,IF($A123&lt;'Données projet'!$A$434,$CQ$205^$A123,IF($A123='Données projet'!$A$434,'Données projet'!$B$434,LQ122+LP123-LY122)))</f>
        <v>251.7617521367518</v>
      </c>
      <c r="LR123" s="17">
        <f>LQ123*VLOOKUP('Données projet'!$B$24,Paramètres!$A$1:$I$89,3,0)*VLOOKUP('Données projet'!$B$24,Paramètres!$A$1:$I$89,5,0)</f>
        <v>255.28641666666636</v>
      </c>
      <c r="LS123" s="13">
        <f t="shared" si="212"/>
        <v>61.716565123681811</v>
      </c>
      <c r="LT123" s="14">
        <f t="shared" si="165"/>
        <v>552.11352661818967</v>
      </c>
      <c r="LU123" s="59">
        <f t="shared" si="166"/>
        <v>845.44685995152304</v>
      </c>
      <c r="LV123" s="59">
        <f ca="1">AVERAGE(OFFSET($LU$3,0,0,'Données projet'!$E$24+1,1))-AVERAGE(OFFSET($H$3,0,0,'Données projet'!$E$24+1,1))</f>
        <v>260.52627655062872</v>
      </c>
      <c r="LW123" s="59">
        <f t="shared" si="213"/>
        <v>159.20429420478047</v>
      </c>
      <c r="LX123" s="15">
        <f>IF(ISNA(VLOOKUP($A123,'Données projet'!$A$434:$I$454,3,0)),0,VLOOKUP($A123,'Données projet'!$A$434:$I$454,3,0))</f>
        <v>0</v>
      </c>
      <c r="LY123" s="15">
        <f>IF(ISNA(VLOOKUP($A123,'Données projet'!$A$434:$I$454,4,0)),0,VLOOKUP($A123,'Données projet'!$A$434:$I$454,4,0))</f>
        <v>0</v>
      </c>
      <c r="LZ123" s="16">
        <f>IF(ISNA(VLOOKUP($A123,'Données projet'!$A$434:$I$454,5,0)),0%,VLOOKUP($A123,'Données projet'!$A$434:$I$454,5,0)*VLOOKUP('Données projet'!$B$24,Paramètres!$A$1:$I$89,7,0))</f>
        <v>0</v>
      </c>
      <c r="MA123" s="16">
        <f>IF(ISNA(VLOOKUP($A123,'Données projet'!$A$434:$I$454,6,0)),0%,VLOOKUP($A123,'Données projet'!$A$434:$I$454,6,0)*VLOOKUP('Données projet'!$B$24,Paramètres!$A$1:$I$89,7,0))</f>
        <v>0</v>
      </c>
      <c r="MB123" s="16">
        <f>IF(ISNA(VLOOKUP($A123,'Données projet'!$A$434:$I$454,7,0)),0%,VLOOKUP($A123,'Données projet'!$A$434:$I$454,7,0))</f>
        <v>0</v>
      </c>
      <c r="MC123" s="21">
        <f>EXP(-LN(2)/35)*MC122+(1-EXP(-LN(2)/35))/(LN(2)/35)*LY123*LZ123*VLOOKUP('Données projet'!$B$24,Paramètres!$A$1:$I$89,3,0)*0.475*44/12</f>
        <v>34.831025464420868</v>
      </c>
      <c r="MD123" s="21">
        <f>EXP(-LN(2)/25)*MD122+(1-EXP(-LN(2)/25))/(LN(2)/25)*Calculateur!LY123*Calculateur!MA123*VLOOKUP('Données projet'!$B$24,Paramètres!$A$1:$I$89,3,0)*0.475*44/12</f>
        <v>0</v>
      </c>
      <c r="ME123" s="21">
        <f>EXP(-LN(2)/2)*ME122+(1-EXP(-LN(2)/2))/(LN(2)/2)*LY123*MB123*VLOOKUP('Données projet'!$B$24,Paramètres!$A$1:$I$89,3,0)*0.475*44/12</f>
        <v>0</v>
      </c>
      <c r="MF123" s="22">
        <f t="shared" si="167"/>
        <v>34.831025464420868</v>
      </c>
      <c r="MG123" s="74">
        <f>('Scénario référence'!$F$8+'Scénario référence'!$F$9+'Scénario référence'!$B$17+'Scénario référence'!$B$9+'Scénario référence'!$B$10)*70+IF((45+25*(1-EXP(-0.0175*$A123)))&lt;70,'Scénario référence'!$B$16*(45+25*(1-EXP(-0.0175*$A123))),70*'Scénario référence'!$B$16)+IF((32+38*(1-EXP(-0.0175*$A123)))&lt;70,'Scénario référence'!$B$18*(32+38*(1-EXP(-0.0175*$A123))),70*'Scénario référence'!$B$18)</f>
        <v>70</v>
      </c>
      <c r="MH123" s="12">
        <f>IF($A123&gt;30,10,('Scénario référence'!$B$16+'Scénario référence'!$B$17+'Scénario référence'!$B$18+'Scénario référence'!$B$9+'Scénario référence'!$B$10)*$A123*10/30+('Scénario référence'!$F$8+'Scénario référence'!$F$9)*10)</f>
        <v>10</v>
      </c>
      <c r="MI123" s="12" t="e">
        <f>VLOOKUP($A123,'Données projet'!$A$460:$I$480,2,0)</f>
        <v>#N/A</v>
      </c>
      <c r="MJ123" s="12" t="e">
        <f>VLOOKUP($A123,'Données projet'!$A$460:$I$480,9,0)</f>
        <v>#N/A</v>
      </c>
      <c r="MK123" s="12">
        <f t="array" ref="MK123">INDEX(MJ:MJ,MIN(IF(ISNUMBER(MJ123:MJ319),ROW(MJ123:MJ319),"")))</f>
        <v>0</v>
      </c>
      <c r="ML123" s="12">
        <f>IF('Données projet'!$A$460&gt;35,ML122+MK123-MT122,IF($A123&lt;'Données projet'!$A$460,$CQ$205^$A123,IF($A123='Données projet'!$A$460,'Données projet'!$B$460,ML122+MK123-MT122)))</f>
        <v>0</v>
      </c>
      <c r="MM123" s="17" t="e">
        <f>ML123*VLOOKUP('Données projet'!$B$25,Paramètres!$A$1:$I$89,3,0)*VLOOKUP('Données projet'!$B$25,Paramètres!$A$1:$I$89,5,0)</f>
        <v>#N/A</v>
      </c>
      <c r="MN123" s="13" t="e">
        <f t="shared" si="214"/>
        <v>#N/A</v>
      </c>
      <c r="MO123" s="14" t="e">
        <f t="shared" si="168"/>
        <v>#N/A</v>
      </c>
      <c r="MP123" s="59" t="e">
        <f t="shared" si="169"/>
        <v>#N/A</v>
      </c>
      <c r="MQ123" s="20" t="e">
        <f ca="1">AVERAGE(OFFSET($MP$3,0,0,'Données projet'!$E$25+1,1))-AVERAGE(OFFSET($H$3,0,0,'Données projet'!$E$25+1,1))</f>
        <v>#N/A</v>
      </c>
      <c r="MR123" s="59" t="e">
        <f t="shared" si="215"/>
        <v>#N/A</v>
      </c>
      <c r="MS123" s="15">
        <f>IF(ISNA(VLOOKUP($A123,'Données projet'!$A$460:$I$480,3,0)),0,VLOOKUP($A123,'Données projet'!$A$460:$I$480,3,0))</f>
        <v>0</v>
      </c>
      <c r="MT123" s="15">
        <f>IF(ISNA(VLOOKUP($A123,'Données projet'!$A$460:$I$480,4,0)),0,VLOOKUP($A123,'Données projet'!$A$460:$I$480,4,0))</f>
        <v>0</v>
      </c>
      <c r="MU123" s="16">
        <f>IF(ISNA(VLOOKUP($A123,'Données projet'!$A$460:$I$480,5,0)),0%,VLOOKUP($A123,'Données projet'!$A$460:$I$480,5,0)*VLOOKUP('Données projet'!$B$25,Paramètres!$A$1:$I$89,7,0))</f>
        <v>0</v>
      </c>
      <c r="MV123" s="16">
        <f>IF(ISNA(VLOOKUP($A123,'Données projet'!$A$460:$I$480,6,0)),0%,VLOOKUP($A123,'Données projet'!$A$460:$I$480,6,0)*VLOOKUP('Données projet'!$B$25,Paramètres!$A$1:$I$89,7,0))</f>
        <v>0</v>
      </c>
      <c r="MW123" s="16">
        <f>IF(ISNA(VLOOKUP($A123,'Données projet'!$A$460:$I$480,7,0)),0%,VLOOKUP($A123,'Données projet'!$A$460:$I$480,7,0))</f>
        <v>0</v>
      </c>
      <c r="MX123" s="21" t="e">
        <f>EXP(-LN(2)/35)*MX122+(1-EXP(-LN(2)/35))/(LN(2)/35)*MT123*MU123*VLOOKUP('Données projet'!$B$25,Paramètres!$A$1:$I$89,3,0)*0.475*44/12</f>
        <v>#N/A</v>
      </c>
      <c r="MY123" s="21" t="e">
        <f>EXP(-LN(2)/25)*MY122+(1-EXP(-LN(2)/25))/(LN(2)/25)*Calculateur!MT123*Calculateur!MV123*VLOOKUP('Données projet'!$B$25,Paramètres!$A$1:$I$89,3,0)*0.475*44/12</f>
        <v>#N/A</v>
      </c>
      <c r="MZ123" s="21" t="e">
        <f>EXP(-LN(2)/2)*MZ122+(1-EXP(-LN(2)/2))/(LN(2)/2)*MT123*MW123*VLOOKUP('Données projet'!$B$25,Paramètres!$A$1:$I$89,3,0)*0.475*44/12</f>
        <v>#N/A</v>
      </c>
      <c r="NA123" s="22" t="e">
        <f t="shared" si="170"/>
        <v>#N/A</v>
      </c>
      <c r="NB123" s="74">
        <f>('Scénario référence'!$F$8+'Scénario référence'!$F$9+'Scénario référence'!$B$17+'Scénario référence'!$B$9+'Scénario référence'!$B$10)*70+IF((45+25*(1-EXP(-0.0175*$A123)))&lt;70,'Scénario référence'!$B$16*(45+25*(1-EXP(-0.0175*$A123))),70*'Scénario référence'!$B$16)+IF((32+38*(1-EXP(-0.0175*$A123)))&lt;70,'Scénario référence'!$B$18*(32+38*(1-EXP(-0.0175*$A123))),70*'Scénario référence'!$B$18)</f>
        <v>70</v>
      </c>
      <c r="NC123" s="12">
        <f>IF($A123&gt;30,10,('Scénario référence'!$B$16+'Scénario référence'!$B$17+'Scénario référence'!$B$18+'Scénario référence'!$B$9+'Scénario référence'!$B$10)*$A123*10/30+('Scénario référence'!$F$8+'Scénario référence'!$F$9)*10)</f>
        <v>10</v>
      </c>
      <c r="ND123" s="12" t="e">
        <f>VLOOKUP($A123,'Données projet'!$A$486:$I$506,2,0)</f>
        <v>#N/A</v>
      </c>
      <c r="NE123" s="12" t="e">
        <f>VLOOKUP($A123,'Données projet'!$A$486:$I$506,9,0)</f>
        <v>#N/A</v>
      </c>
      <c r="NF123" s="12">
        <f t="array" ref="NF123">INDEX(NE:NE,MIN(IF(ISNUMBER(NE123:NE319),ROW(NE123:NE319),"")))</f>
        <v>0</v>
      </c>
      <c r="NG123" s="12">
        <f>IF('Données projet'!$A$486&gt;35,NG122+NF123-NO122,IF($A123&lt;'Données projet'!$A$486,$CQ$205^$A123,IF($A123='Données projet'!$A$486,'Données projet'!$B$486,NG122+NF123-NO122)))</f>
        <v>0</v>
      </c>
      <c r="NH123" s="17" t="e">
        <f>NG123*VLOOKUP('Données projet'!$B$26,Paramètres!$A$1:$I$89,3,0)*VLOOKUP('Données projet'!$B$26,Paramètres!$A$1:$I$89,5,0)</f>
        <v>#N/A</v>
      </c>
      <c r="NI123" s="13" t="e">
        <f t="shared" si="216"/>
        <v>#N/A</v>
      </c>
      <c r="NJ123" s="14" t="e">
        <f t="shared" si="171"/>
        <v>#N/A</v>
      </c>
      <c r="NK123" s="59" t="e">
        <f t="shared" si="172"/>
        <v>#N/A</v>
      </c>
      <c r="NL123" s="20" t="e">
        <f ca="1">AVERAGE(OFFSET($NK$3,0,0,'Données projet'!$E$26+1,1))-AVERAGE(OFFSET($H$3,0,0,'Données projet'!$E$26+1,1))</f>
        <v>#N/A</v>
      </c>
      <c r="NM123" s="59" t="e">
        <f t="shared" si="217"/>
        <v>#N/A</v>
      </c>
      <c r="NN123" s="15">
        <f>IF(ISNA(VLOOKUP($A123,'Données projet'!$A$486:$I$506,3,0)),0,VLOOKUP($A123,'Données projet'!$A$486:$I$506,3,0))</f>
        <v>0</v>
      </c>
      <c r="NO123" s="15">
        <f>IF(ISNA(VLOOKUP($A123,'Données projet'!$A$486:$I$506,4,0)),0,VLOOKUP($A123,'Données projet'!$A$486:$I$506,4,0))</f>
        <v>0</v>
      </c>
      <c r="NP123" s="16">
        <f>IF(ISNA(VLOOKUP($A123,'Données projet'!$A$486:$I$506,5,0)),0%,VLOOKUP($A123,'Données projet'!$A$486:$I$506,5,0)*VLOOKUP('Données projet'!$B$26,Paramètres!$A$1:$I$89,7,0))</f>
        <v>0</v>
      </c>
      <c r="NQ123" s="16">
        <f>IF(ISNA(VLOOKUP($A123,'Données projet'!$A$486:$I$506,6,0)),0%,VLOOKUP($A123,'Données projet'!$A$486:$I$506,6,0)*VLOOKUP('Données projet'!$B$26,Paramètres!$A$1:$I$89,7,0))</f>
        <v>0</v>
      </c>
      <c r="NR123" s="16">
        <f>IF(ISNA(VLOOKUP($A123,'Données projet'!$A$486:$I$506,7,0)),0%,VLOOKUP($A123,'Données projet'!$A$486:$I$506,7,0))</f>
        <v>0</v>
      </c>
      <c r="NS123" s="21" t="e">
        <f>EXP(-LN(2)/35)*NS122+(1-EXP(-LN(2)/35))/(LN(2)/35)*NO123*NP123*VLOOKUP('Données projet'!$B$26,Paramètres!$A$1:$I$89,3,0)*0.475*44/12</f>
        <v>#N/A</v>
      </c>
      <c r="NT123" s="21" t="e">
        <f>EXP(-LN(2)/25)*NT122+(1-EXP(-LN(2)/25))/(LN(2)/25)*Calculateur!NO123*Calculateur!NQ123*VLOOKUP('Données projet'!$B$26,Paramètres!$A$1:$I$89,3,0)*0.475*44/12</f>
        <v>#N/A</v>
      </c>
      <c r="NU123" s="21" t="e">
        <f>EXP(-LN(2)/2)*NU122+(1-EXP(-LN(2)/2))/(LN(2)/2)*NO123*NR123*VLOOKUP('Données projet'!$B$26,Paramètres!$A$1:$I$89,3,0)*0.475*44/12</f>
        <v>#N/A</v>
      </c>
      <c r="NV123" s="22" t="e">
        <f t="shared" si="173"/>
        <v>#N/A</v>
      </c>
      <c r="NW123" s="74">
        <f>('Scénario référence'!$F$8+'Scénario référence'!$F$9+'Scénario référence'!$B$17+'Scénario référence'!$B$9+'Scénario référence'!$B$10)*70+IF((45+25*(1-EXP(-0.0175*$A123)))&lt;70,'Scénario référence'!$B$16*(45+25*(1-EXP(-0.0175*$A123))),70*'Scénario référence'!$B$16)+IF((32+38*(1-EXP(-0.0175*$A123)))&lt;70,'Scénario référence'!$B$18*(32+38*(1-EXP(-0.0175*$A123))),70*'Scénario référence'!$B$18)</f>
        <v>70</v>
      </c>
      <c r="NX123" s="12">
        <f>IF($A123&gt;30,10,('Scénario référence'!$B$16+'Scénario référence'!$B$17+'Scénario référence'!$B$18+'Scénario référence'!$B$9+'Scénario référence'!$B$10)*$A123*10/30+('Scénario référence'!$F$8+'Scénario référence'!$F$9)*10)</f>
        <v>10</v>
      </c>
      <c r="NY123" s="12" t="e">
        <f>VLOOKUP($A123,'Données projet'!$A$512:$I$532,2,0)</f>
        <v>#N/A</v>
      </c>
      <c r="NZ123" s="12" t="e">
        <f>VLOOKUP($A123,'Données projet'!$A$512:$I$532,9,0)</f>
        <v>#N/A</v>
      </c>
      <c r="OA123" s="12">
        <f t="array" ref="OA123">INDEX(NZ:NZ,MIN(IF(ISNUMBER(NZ123:NZ319),ROW(NZ123:NZ319),"")))</f>
        <v>0</v>
      </c>
      <c r="OB123" s="12">
        <f>IF('Données projet'!$A$512&gt;35,OB122+OA123-OJ122,IF($A123&lt;'Données projet'!$A$512,$CQ$205^$A123,IF($A123='Données projet'!$A$512,'Données projet'!$B$512,OB122+OA123-OJ122)))</f>
        <v>0</v>
      </c>
      <c r="OC123" s="17" t="e">
        <f>OB123*VLOOKUP('Données projet'!$B$27,Paramètres!$A$1:$I$89,3,0)*VLOOKUP('Données projet'!$B$27,Paramètres!$A$1:$I$89,5,0)</f>
        <v>#N/A</v>
      </c>
      <c r="OD123" s="13" t="e">
        <f t="shared" si="218"/>
        <v>#N/A</v>
      </c>
      <c r="OE123" s="14" t="e">
        <f t="shared" si="174"/>
        <v>#N/A</v>
      </c>
      <c r="OF123" s="59" t="e">
        <f t="shared" si="175"/>
        <v>#N/A</v>
      </c>
      <c r="OG123" s="20" t="e">
        <f ca="1">AVERAGE(OFFSET($OF$3,0,0,'Données projet'!$E$27+1,1))-AVERAGE(OFFSET($H$3,0,0,'Données projet'!$E$27+1,1))</f>
        <v>#N/A</v>
      </c>
      <c r="OH123" s="59" t="e">
        <f t="shared" si="219"/>
        <v>#N/A</v>
      </c>
      <c r="OI123" s="15">
        <f>IF(ISNA(VLOOKUP($A123,'Données projet'!$A$512:$I$532,3,0)),0,VLOOKUP($A123,'Données projet'!$A$512:$I$532,3,0))</f>
        <v>0</v>
      </c>
      <c r="OJ123" s="15">
        <f>IF(ISNA(VLOOKUP($A123,'Données projet'!$A$512:$I$532,4,0)),0,VLOOKUP($A123,'Données projet'!$A$512:$I$532,4,0))</f>
        <v>0</v>
      </c>
      <c r="OK123" s="16">
        <f>IF(ISNA(VLOOKUP($A123,'Données projet'!$A$512:$I$532,5,0)),0%,VLOOKUP($A123,'Données projet'!$A$512:$I$532,5,0)*VLOOKUP('Données projet'!$B$27,Paramètres!$A$1:$I$89,7,0))</f>
        <v>0</v>
      </c>
      <c r="OL123" s="16">
        <f>IF(ISNA(VLOOKUP($A123,'Données projet'!$A$512:$I$532,6,0)),0%,VLOOKUP($A123,'Données projet'!$A$512:$I$532,6,0)*VLOOKUP('Données projet'!$B$27,Paramètres!$A$1:$I$89,7,0))</f>
        <v>0</v>
      </c>
      <c r="OM123" s="16">
        <f>IF(ISNA(VLOOKUP($A123,'Données projet'!$A$512:$I$532,7,0)),0%,VLOOKUP($A123,'Données projet'!$A$512:$I$532,7,0))</f>
        <v>0</v>
      </c>
      <c r="ON123" s="21" t="e">
        <f>EXP(-LN(2)/35)*ON122+(1-EXP(-LN(2)/35))/(LN(2)/35)*OJ123*OK123*VLOOKUP('Données projet'!$B$27,Paramètres!$A$1:$I$89,3,0)*0.475*44/12</f>
        <v>#N/A</v>
      </c>
      <c r="OO123" s="21" t="e">
        <f>EXP(-LN(2)/25)*OO122+(1-EXP(-LN(2)/25))/(LN(2)/25)*Calculateur!OJ123*Calculateur!OL123*VLOOKUP('Données projet'!$B$27,Paramètres!$A$1:$I$89,3,0)*0.475*44/12</f>
        <v>#N/A</v>
      </c>
      <c r="OP123" s="21" t="e">
        <f>EXP(-LN(2)/2)*OP122+(1-EXP(-LN(2)/2))/(LN(2)/2)*OJ123*OM123*VLOOKUP('Données projet'!$B$27,Paramètres!$A$1:$I$89,3,0)*0.475*44/12</f>
        <v>#N/A</v>
      </c>
      <c r="OQ123" s="22" t="e">
        <f t="shared" si="176"/>
        <v>#N/A</v>
      </c>
      <c r="OR123" s="74">
        <f>('Scénario référence'!$F$8+'Scénario référence'!$F$9+'Scénario référence'!$B$17+'Scénario référence'!$B$9+'Scénario référence'!$B$10)*70+IF((45+25*(1-EXP(-0.0175*$A123)))&lt;70,'Scénario référence'!$B$16*(45+25*(1-EXP(-0.0175*$A123))),70*'Scénario référence'!$B$16)+IF((32+38*(1-EXP(-0.0175*$A123)))&lt;70,'Scénario référence'!$B$18*(32+38*(1-EXP(-0.0175*$A123))),70*'Scénario référence'!$B$18)</f>
        <v>70</v>
      </c>
      <c r="OS123" s="12">
        <f>IF($A123&gt;30,10,('Scénario référence'!$B$16+'Scénario référence'!$B$17+'Scénario référence'!$B$18+'Scénario référence'!$B$9+'Scénario référence'!$B$10)*$A123*10/30+('Scénario référence'!$F$8+'Scénario référence'!$F$9)*10)</f>
        <v>10</v>
      </c>
      <c r="OT123" s="12" t="e">
        <f>VLOOKUP($A123,'Données projet'!$A$538:$I$558,2,0)</f>
        <v>#N/A</v>
      </c>
      <c r="OU123" s="12" t="e">
        <f>VLOOKUP($A123,'Données projet'!$A$538:$I$558,9,0)</f>
        <v>#N/A</v>
      </c>
      <c r="OV123" s="12">
        <f t="array" ref="OV123">INDEX(OU:OU,MIN(IF(ISNUMBER(OU123:OU319),ROW(OU123:OU319),"")))</f>
        <v>0</v>
      </c>
      <c r="OW123" s="12">
        <f>IF('Données projet'!$A$538&gt;35,OW122+OV123-PE122,IF($A123&lt;'Données projet'!$A$538,$CQ$205^$A123,IF($A123='Données projet'!$A$538,'Données projet'!$B$538,OW122+OV123-PE122)))</f>
        <v>0</v>
      </c>
      <c r="OX123" s="17" t="e">
        <f>OW123*VLOOKUP('Données projet'!$B$28,Paramètres!$A$1:$I$89,3,0)*VLOOKUP('Données projet'!$B$28,Paramètres!$A$1:$I$89,5,0)</f>
        <v>#N/A</v>
      </c>
      <c r="OY123" s="13" t="e">
        <f t="shared" si="220"/>
        <v>#N/A</v>
      </c>
      <c r="OZ123" s="14" t="e">
        <f t="shared" si="177"/>
        <v>#N/A</v>
      </c>
      <c r="PA123" s="59" t="e">
        <f t="shared" si="178"/>
        <v>#N/A</v>
      </c>
      <c r="PB123" s="20" t="e">
        <f ca="1">AVERAGE(OFFSET($PA$3,0,0,'Données projet'!$E$28+1,1))-AVERAGE(OFFSET($H$3,0,0,'Données projet'!$E$28+1,1))</f>
        <v>#N/A</v>
      </c>
      <c r="PC123" s="59" t="e">
        <f t="shared" si="221"/>
        <v>#N/A</v>
      </c>
      <c r="PD123" s="15">
        <f>IF(ISNA(VLOOKUP($A123,'Données projet'!$A$538:$I$558,3,0)),0,VLOOKUP($A123,'Données projet'!$A$538:$I$558,3,0))</f>
        <v>0</v>
      </c>
      <c r="PE123" s="15">
        <f>IF(ISNA(VLOOKUP($A123,'Données projet'!$A$538:$I$558,4,0)),0,VLOOKUP($A123,'Données projet'!$A$538:$I$558,4,0))</f>
        <v>0</v>
      </c>
      <c r="PF123" s="16">
        <f>IF(ISNA(VLOOKUP($A123,'Données projet'!$A$538:$I$558,5,0)),0%,VLOOKUP($A123,'Données projet'!$A$538:$I$558,5,0)*VLOOKUP('Données projet'!$B$28,Paramètres!$A$1:$I$89,7,0))</f>
        <v>0</v>
      </c>
      <c r="PG123" s="16">
        <f>IF(ISNA(VLOOKUP($A123,'Données projet'!$A$538:$I$558,6,0)),0%,VLOOKUP($A123,'Données projet'!$A$538:$I$558,6,0)*VLOOKUP('Données projet'!$B$28,Paramètres!$A$1:$I$89,7,0))</f>
        <v>0</v>
      </c>
      <c r="PH123" s="16">
        <f>IF(ISNA(VLOOKUP($A123,'Données projet'!$A$538:$I$558,7,0)),0%,VLOOKUP($A123,'Données projet'!$A$538:$I$558,7,0))</f>
        <v>0</v>
      </c>
      <c r="PI123" s="21" t="e">
        <f>EXP(-LN(2)/35)*PI122+(1-EXP(-LN(2)/35))/(LN(2)/35)*PE123*PF123*VLOOKUP('Données projet'!$B$28,Paramètres!$A$1:$I$89,3,0)*0.475*44/12</f>
        <v>#N/A</v>
      </c>
      <c r="PJ123" s="21" t="e">
        <f>EXP(-LN(2)/25)*PJ122+(1-EXP(-LN(2)/25))/(LN(2)/25)*Calculateur!PE123*Calculateur!PG123*VLOOKUP('Données projet'!$B$28,Paramètres!$A$1:$I$89,3,0)*0.475*44/12</f>
        <v>#N/A</v>
      </c>
      <c r="PK123" s="21" t="e">
        <f>EXP(-LN(2)/2)*PK122+(1-EXP(-LN(2)/2))/(LN(2)/2)*PE123*PH123*VLOOKUP('Données projet'!$B$28,Paramètres!$A$1:$I$89,3,0)*0.475*44/12</f>
        <v>#N/A</v>
      </c>
      <c r="PL123" s="22" t="e">
        <f t="shared" si="179"/>
        <v>#N/A</v>
      </c>
    </row>
    <row r="124" spans="1:428" x14ac:dyDescent="0.35">
      <c r="A124" s="10">
        <f t="shared" si="180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181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121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projet'!$A$45:$I$65,2,0)</f>
        <v>#N/A</v>
      </c>
      <c r="L124" s="12" t="e">
        <f>VLOOKUP(A124,'Données projet'!$A$45:$I$65,9,0)</f>
        <v>#N/A</v>
      </c>
      <c r="M124" s="12">
        <f t="array" ref="M124">INDEX(L:L,MIN(IF(ISNUMBER(L124:L320),ROW(L124:L320),"")))</f>
        <v>0</v>
      </c>
      <c r="N124" s="13">
        <f>IF('Données projet'!$A$46&gt;35,N123+M124-V123,IF(A124&lt;'Données projet'!$A$46,$K$205^A124,IF(A124='Données projet'!$A$46,'Données projet'!$B$46,N123+M124-V123)))</f>
        <v>-1.1368683772161603E-13</v>
      </c>
      <c r="O124" s="13">
        <f>N124*VLOOKUP('Données projet'!$B$9,Paramètres!$A$1:$I$89,3,0)*VLOOKUP('Données projet'!$B$9,Paramètres!$A$1:$I$89,5,0)</f>
        <v>-6.3550942286383367E-14</v>
      </c>
      <c r="P124" s="13" t="e">
        <f t="shared" si="182"/>
        <v>#NUM!</v>
      </c>
      <c r="Q124" s="20" t="e">
        <f t="shared" si="222"/>
        <v>#NUM!</v>
      </c>
      <c r="R124" s="59" t="e">
        <f t="shared" si="120"/>
        <v>#NUM!</v>
      </c>
      <c r="S124" s="59">
        <f ca="1">AVERAGE(OFFSET($R$3,0,0,'Données projet'!$E$9+1,1))-AVERAGE(OFFSET($H$3,0,0,'Données projet'!$E$9+1,1))</f>
        <v>274.57619581652199</v>
      </c>
      <c r="T124" s="59">
        <f t="shared" si="183"/>
        <v>366.15117322598775</v>
      </c>
      <c r="U124" s="15">
        <f>IF(ISNA(VLOOKUP(A124,'Données projet'!$A$45:$I$65,3,0)),0,VLOOKUP(A124,'Données projet'!$A$45:$I$65,3,0))</f>
        <v>0</v>
      </c>
      <c r="V124" s="15">
        <f>IF(ISNA(VLOOKUP(A124,'Données projet'!$A$45:$I$65,4,0)),0,VLOOKUP(A124,'Données projet'!$A$45:$I$65,4,0))</f>
        <v>0</v>
      </c>
      <c r="W124" s="16">
        <f>IF(ISNA(VLOOKUP(A124,'Données projet'!$A$45:$I$65,5,0)),0%,VLOOKUP(A124,'Données projet'!$A$45:$I$65,5,0)*VLOOKUP('Données projet'!$B$9,Paramètres!$A$1:$I$89,7,0))</f>
        <v>0</v>
      </c>
      <c r="X124" s="16">
        <f>IF(ISNA(VLOOKUP(A124,'Données projet'!$A$45:$I$65,6,0)),0%,VLOOKUP(A124,'Données projet'!$A$45:$I$65,6,0)*VLOOKUP('Données projet'!$B$9,Paramètres!$A$1:$I$89,7,0))</f>
        <v>0</v>
      </c>
      <c r="Y124" s="16">
        <f>IF(ISNA(VLOOKUP(A124,'Données projet'!$A$45:$I$65,7,0)),0%,VLOOKUP(A124,'Données projet'!$A$45:$I$65,7,0))</f>
        <v>0</v>
      </c>
      <c r="Z124" s="21">
        <f>EXP(-LN(2)/35)*Z123+(1-EXP(-LN(2)/35))/(LN(2)/35)*V124*W124*VLOOKUP('Données projet'!$B$9,Paramètres!$A$1:$I$89,3,0)*0.475*44/12</f>
        <v>61.335615817503005</v>
      </c>
      <c r="AA124" s="21">
        <f>EXP(-LN(2)/25)*AA123+(1-EXP(-LN(2)/25))/(LN(2)/25)*Calculateur!V124*Calculateur!X124*VLOOKUP('Données projet'!$B$9,Paramètres!$A$1:$I$89,3,0)*0.475*44/12</f>
        <v>9.2418986135992203</v>
      </c>
      <c r="AB124" s="21">
        <f>EXP(-LN(2)/2)*AB123+(1-EXP(-LN(2)/2))/(LN(2)/2)*V124*Y124*VLOOKUP('Données projet'!$B$9,Paramètres!$A$1:$I$89,3,0)*0.475*44/12</f>
        <v>3.9768991996665105E-9</v>
      </c>
      <c r="AC124" s="22">
        <f t="shared" si="122"/>
        <v>70.577514435079124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projet'!$A$71:$I$91,2,0)</f>
        <v>#N/A</v>
      </c>
      <c r="AG124" s="12" t="e">
        <f>VLOOKUP(A124,'Données projet'!$A$71:$I$91,9,0)</f>
        <v>#N/A</v>
      </c>
      <c r="AH124" s="12">
        <f t="array" ref="AH124">INDEX(AG:AG,MIN(IF(ISNUMBER(AG124:AG320),ROW(AG124:AG320),"")))</f>
        <v>3.8301282051282044</v>
      </c>
      <c r="AI124" s="13">
        <f>IF('Données projet'!$A$72&gt;35,AI123+AH124-AQ123,IF(A124&lt;'Données projet'!$A$72,$AF$205^A124,IF(A124='Données projet'!$A$72,'Données projet'!$B$72,AI123+AH124-AQ123)))</f>
        <v>214.97435897435946</v>
      </c>
      <c r="AJ124" s="13">
        <f>AI124*VLOOKUP('Données projet'!$B$10,Paramètres!$A$1:$I$89,3,0)*VLOOKUP('Données projet'!$B$10,Paramètres!$A$1:$I$89,5,0)</f>
        <v>194.50880000000043</v>
      </c>
      <c r="AK124" s="13">
        <f t="shared" si="184"/>
        <v>48.535419780989194</v>
      </c>
      <c r="AL124" s="20">
        <f t="shared" si="123"/>
        <v>423.30201611855699</v>
      </c>
      <c r="AM124" s="59">
        <f t="shared" si="124"/>
        <v>716.63534945189031</v>
      </c>
      <c r="AN124" s="59">
        <f ca="1">AVERAGE(OFFSET($AM$3,0,0,'Données projet'!$E$10+1,1))-AVERAGE(OFFSET($H$3,0,0,'Données projet'!$E$10+1,1))</f>
        <v>270.87836509222456</v>
      </c>
      <c r="AO124" s="59">
        <f t="shared" si="185"/>
        <v>205.24998237949734</v>
      </c>
      <c r="AP124" s="15">
        <f>IF(ISNA(VLOOKUP(A124,'Données projet'!$A$71:$I$91,3,0)),0,VLOOKUP(A124,'Données projet'!$A$71:$I$91,3,0))</f>
        <v>0</v>
      </c>
      <c r="AQ124" s="15">
        <f>IF(ISNA(VLOOKUP(A124,'Données projet'!$A$71:$I$91,4,0)),0,VLOOKUP(A124,'Données projet'!$A$71:$I$91,4,0))</f>
        <v>0</v>
      </c>
      <c r="AR124" s="16">
        <f>IF(ISNA(VLOOKUP(A124,'Données projet'!$A$71:$I$91,5,0)),0%,VLOOKUP(A124,'Données projet'!$A$71:$I$91,5,0)*VLOOKUP('Données projet'!$B$10,Paramètres!$A$1:$I$89,7,0))</f>
        <v>0</v>
      </c>
      <c r="AS124" s="16">
        <f>IF(ISNA(VLOOKUP(A124,'Données projet'!$A$71:$I$91,6,0)),0%,VLOOKUP(A124,'Données projet'!$A$71:$I$91,6,0)*VLOOKUP('Données projet'!$B$10,Paramètres!$A$1:$I$89,7,0))</f>
        <v>0</v>
      </c>
      <c r="AT124" s="16">
        <f>IF(ISNA(VLOOKUP(A124,'Données projet'!$A$71:$I$91,7,0)),0%,VLOOKUP(A124,'Données projet'!$A$71:$I$91,7,0))</f>
        <v>0</v>
      </c>
      <c r="AU124" s="21">
        <f>EXP(-LN(2)/35)*AU123+(1-EXP(-LN(2)/35))/(LN(2)/35)*AQ124*AR124*VLOOKUP('Données projet'!$B$10,Paramètres!$A$1:$I$89,3,0)*0.475*44/12</f>
        <v>103.25928019437497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125"/>
        <v>103.25928019437497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projet'!$A$97:$I$117,2,0)</f>
        <v>#N/A</v>
      </c>
      <c r="BB124" s="12" t="e">
        <f>VLOOKUP(A124,'Données projet'!$A$97:$I$117,9,0)</f>
        <v>#N/A</v>
      </c>
      <c r="BC124" s="12">
        <f t="array" ref="BC124">INDEX(BB:BB,MIN(IF(ISNUMBER(BB124:BB320),ROW(BB124:BB320),"")))</f>
        <v>0</v>
      </c>
      <c r="BD124" s="12">
        <f>IF('Données projet'!$A$98&gt;35,BD123+BC124-BL123,IF(A124&lt;'Données projet'!$A$98,$BA$205^A124,IF(A124='Données projet'!$A$98,'Données projet'!$B$98,BD123+BC124-BL123)))</f>
        <v>-1.1368683772161603E-13</v>
      </c>
      <c r="BE124" s="13">
        <f>BD124*VLOOKUP('Données projet'!$B$11,Paramètres!$A$1:$I$89,3,0)*VLOOKUP('Données projet'!$B$11,Paramètres!$A$1:$I$89,5,0)</f>
        <v>-5.0249582272954292E-14</v>
      </c>
      <c r="BF124" s="13" t="e">
        <f t="shared" si="186"/>
        <v>#NUM!</v>
      </c>
      <c r="BG124" s="20" t="e">
        <f t="shared" si="126"/>
        <v>#NUM!</v>
      </c>
      <c r="BH124" s="59" t="e">
        <f t="shared" si="127"/>
        <v>#NUM!</v>
      </c>
      <c r="BI124" s="59">
        <f ca="1">AVERAGE(OFFSET($BH$3,0,0,'Données projet'!$E$11+1,1))-AVERAGE(OFFSET($H$3,0,0,'Données projet'!$E$11+1,1))</f>
        <v>211.31057120485542</v>
      </c>
      <c r="BJ124" s="59">
        <f t="shared" si="187"/>
        <v>283.33292006714777</v>
      </c>
      <c r="BK124" s="15">
        <f>IF(ISNA(VLOOKUP(A124,'Données projet'!$A$97:$I$117,3,0)),0,VLOOKUP(A124,'Données projet'!$A$97:$I$117,3,0))</f>
        <v>0</v>
      </c>
      <c r="BL124" s="15">
        <f>IF(ISNA(VLOOKUP(A124,'Données projet'!$A$97:$I$117,4,0)),0,VLOOKUP(A124,'Données projet'!$A$97:$I$117,4,0))</f>
        <v>0</v>
      </c>
      <c r="BM124" s="16">
        <f>IF(ISNA(VLOOKUP(A124,'Données projet'!$A$97:$I$117,5,0)),0%,VLOOKUP(A124,'Données projet'!$A$97:$I$117,5,0)*VLOOKUP('Données projet'!$B$11,Paramètres!$A$1:$I$89,7,0))</f>
        <v>0</v>
      </c>
      <c r="BN124" s="16">
        <f>IF(ISNA(VLOOKUP(A124,'Données projet'!$A$97:$I$117,6,0)),0%,VLOOKUP(A124,'Données projet'!$A$97:$I$117,6,0)*VLOOKUP('Données projet'!$B$11,Paramètres!$A$1:$I$89,7,0))</f>
        <v>0</v>
      </c>
      <c r="BO124" s="16">
        <f>IF(ISNA(VLOOKUP(A124,'Données projet'!$A$97:$I$117,7,0)),0%,VLOOKUP(A124,'Données projet'!$A$97:$I$117,7,0))</f>
        <v>0</v>
      </c>
      <c r="BP124" s="21">
        <f>EXP(-LN(2)/35)*BP123+(1-EXP(-LN(2)/35))/(LN(2)/35)*BL124*BM124*VLOOKUP('Données projet'!$B$11,Paramètres!$A$1:$I$89,3,0)*0.475*44/12</f>
        <v>48.497928785932622</v>
      </c>
      <c r="BQ124" s="21">
        <f>EXP(-LN(2)/25)*BQ123+(1-EXP(-LN(2)/25))/(LN(2)/25)*Calculateur!BL124*Calculateur!BN124*VLOOKUP('Données projet'!$B$11,Paramètres!$A$1:$I$89,3,0)*0.475*44/12</f>
        <v>7.3075477409854264</v>
      </c>
      <c r="BR124" s="21">
        <f>EXP(-LN(2)/2)*BR123+(1-EXP(-LN(2)/2))/(LN(2)/2)*BL124*BO124*VLOOKUP('Données projet'!$B$11,Paramètres!$A$1:$I$89,3,0)*0.475*44/12</f>
        <v>3.1445249485735193E-9</v>
      </c>
      <c r="BS124" s="22">
        <f t="shared" si="128"/>
        <v>55.805476530062577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projet'!$A$123:$I$143,2,0)</f>
        <v>#N/A</v>
      </c>
      <c r="BW124" s="12" t="e">
        <f>VLOOKUP(A124,'Données projet'!$A$123:$I$143,9,0)</f>
        <v>#N/A</v>
      </c>
      <c r="BX124" s="12">
        <f t="array" ref="BX124">INDEX(BW:BW,MIN(IF(ISNUMBER(BW124:BW320),ROW(BW124:BW320),"")))</f>
        <v>0</v>
      </c>
      <c r="BY124" s="12">
        <f>IF('Données projet'!$A$124&gt;35,BY123+BX124-CG123,IF(A124&lt;'Données projet'!$A$124,$BV$205^A124,IF(A124='Données projet'!$A$124,'Données projet'!$B$124,BY123+BX124-CG123)))</f>
        <v>0</v>
      </c>
      <c r="BZ124" s="13">
        <f>BY124*VLOOKUP('Données projet'!$B$12,Paramètres!$A$1:$I$89,3,0)*VLOOKUP('Données projet'!$B$12,Paramètres!$A$1:$I$89,5,0)</f>
        <v>0</v>
      </c>
      <c r="CA124" s="13" t="e">
        <f t="shared" si="188"/>
        <v>#NUM!</v>
      </c>
      <c r="CB124" s="20" t="e">
        <f t="shared" si="129"/>
        <v>#NUM!</v>
      </c>
      <c r="CC124" s="59" t="e">
        <f t="shared" si="130"/>
        <v>#NUM!</v>
      </c>
      <c r="CD124" s="59">
        <f ca="1">AVERAGE(OFFSET($CC$3,0,0,'Données projet'!$E$12+1,1))-AVERAGE(OFFSET($H$3,0,0,'Données projet'!$E$12+1,1))</f>
        <v>322.93502595881938</v>
      </c>
      <c r="CE124" s="59">
        <f t="shared" si="189"/>
        <v>302.67072119588164</v>
      </c>
      <c r="CF124" s="15">
        <f>IF(ISNA(VLOOKUP(A124,'Données projet'!$A$123:$I$143,3,0)),0,VLOOKUP(A124,'Données projet'!$A$123:$I$143,3,0))</f>
        <v>0</v>
      </c>
      <c r="CG124" s="15">
        <f>IF(ISNA(VLOOKUP(A124,'Données projet'!$A$123:$I$143,4,0)),0,VLOOKUP(A124,'Données projet'!$A$123:$I$143,4,0))</f>
        <v>0</v>
      </c>
      <c r="CH124" s="16">
        <f>IF(ISNA(VLOOKUP(A124,'Données projet'!$A$123:$I$143,5,0)),0%,VLOOKUP(A124,'Données projet'!$A$123:$I$143,5,0)*VLOOKUP('Données projet'!$B$12,Paramètres!$A$1:$I$89,7,0))</f>
        <v>0</v>
      </c>
      <c r="CI124" s="16">
        <f>IF(ISNA(VLOOKUP(A124,'Données projet'!$A$123:$I$143,6,0)),0%,VLOOKUP(A124,'Données projet'!$A$123:$I$143,6,0)*VLOOKUP('Données projet'!$B$12,Paramètres!$A$1:$I$89,7,0))</f>
        <v>0</v>
      </c>
      <c r="CJ124" s="16">
        <f>IF(ISNA(VLOOKUP(A124,'Données projet'!$A$123:$I$143,7,0)),0%,VLOOKUP(A124,'Données projet'!$A$123:$I$143,7,0))</f>
        <v>0</v>
      </c>
      <c r="CK124" s="21">
        <f>EXP(-LN(2)/35)*CK123+(1-EXP(-LN(2)/35))/(LN(2)/35)*CG124*CH124*VLOOKUP('Données projet'!$B$12,Paramètres!$A$1:$I$89,3,0)*0.475*44/12</f>
        <v>77.268919314803554</v>
      </c>
      <c r="CL124" s="21">
        <f>EXP(-LN(2)/25)*CL123+(1-EXP(-LN(2)/25))/(LN(2)/25)*Calculateur!CG124*Calculateur!CI124*VLOOKUP('Données projet'!$B$12,Paramètres!$A$1:$I$89,3,0)*0.475*44/12</f>
        <v>23.388574122303758</v>
      </c>
      <c r="CM124" s="21">
        <f>EXP(-LN(2)/2)*CM123+(1-EXP(-LN(2)/2))/(LN(2)/2)*CG124*CJ124*VLOOKUP('Données projet'!$B$12,Paramètres!$A$1:$I$89,3,0)*0.475*44/12</f>
        <v>0</v>
      </c>
      <c r="CN124" s="22">
        <f t="shared" si="131"/>
        <v>100.65749343710732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projet'!$A$149:$I$169,2,0)</f>
        <v>#N/A</v>
      </c>
      <c r="CR124" s="12" t="e">
        <f>VLOOKUP(A124,'Données projet'!$A$149:$I$169,9,0)</f>
        <v>#N/A</v>
      </c>
      <c r="CS124" s="12">
        <f t="array" ref="CS124">INDEX(CR:CR,MIN(IF(ISNUMBER(CR124:CR320),ROW(CR124:CR320),"")))</f>
        <v>5.3066239316239274</v>
      </c>
      <c r="CT124" s="12">
        <f>IF('Données projet'!$A$150&gt;35,CT123+CS124-DB123,IF(A124&lt;'Données projet'!$A$150,$CQ$205^A124,IF(A124='Données projet'!$A$150,'Données projet'!$B$150,CT123+CS124-DB123)))</f>
        <v>257.0683760683757</v>
      </c>
      <c r="CU124" s="17">
        <f>CT124*VLOOKUP('Données projet'!$B$13,Paramètres!$A$1:$I$89,3,0)*VLOOKUP('Données projet'!$B$13,Paramètres!$A$1:$I$89,5,0)</f>
        <v>260.66733333333298</v>
      </c>
      <c r="CV124" s="13">
        <f t="shared" si="190"/>
        <v>62.864605226466139</v>
      </c>
      <c r="CW124" s="20">
        <f t="shared" si="132"/>
        <v>563.48479299165012</v>
      </c>
      <c r="CX124" s="59">
        <f t="shared" si="133"/>
        <v>856.8181263249835</v>
      </c>
      <c r="CY124" s="59">
        <f ca="1">AVERAGE(OFFSET($CX$3,0,0,'Données projet'!$E$13+1,1))-AVERAGE(OFFSET($H$3,0,0,'Données projet'!$E$13+1,1))</f>
        <v>250.31277422753283</v>
      </c>
      <c r="CZ124" s="59">
        <f t="shared" si="191"/>
        <v>159.20429420478047</v>
      </c>
      <c r="DA124" s="15">
        <f>IF(ISNA(VLOOKUP(A124,'Données projet'!$A$149:$I$169,3,0)),0,VLOOKUP(A124,'Données projet'!$A$149:$I$169,3,0))</f>
        <v>0</v>
      </c>
      <c r="DB124" s="15">
        <f>IF(ISNA(VLOOKUP(A124,'Données projet'!$A$149:$I$169,4,0)),0,VLOOKUP(A124,'Données projet'!$A$149:$I$169,4,0))</f>
        <v>0</v>
      </c>
      <c r="DC124" s="16">
        <f>IF(ISNA(VLOOKUP(A124,'Données projet'!$A$149:$I$169,5,0)),0%,VLOOKUP(A124,'Données projet'!$A$149:$I$169,5,0)*VLOOKUP('Données projet'!$B$13,Paramètres!$A$1:$I$89,7,0))</f>
        <v>0</v>
      </c>
      <c r="DD124" s="16">
        <f>IF(ISNA(VLOOKUP(A124,'Données projet'!$A$149:$I$169,6,0)),0%,VLOOKUP(A124,'Données projet'!$A$149:$I$169,6,0)*VLOOKUP('Données projet'!$B$13,Paramètres!$A$1:$I$89,7,0))</f>
        <v>0</v>
      </c>
      <c r="DE124" s="16">
        <f>IF(ISNA(VLOOKUP(A124,'Données projet'!$A$149:$I$169,7,0)),0%,VLOOKUP(A124,'Données projet'!$A$149:$I$169,7,0))</f>
        <v>0</v>
      </c>
      <c r="DF124" s="21">
        <f>EXP(-LN(2)/35)*DF123+(1-EXP(-LN(2)/35))/(LN(2)/35)*DB124*DC124*VLOOKUP('Données projet'!$B$13,Paramètres!$A$1:$I$89,3,0)*0.475*44/12</f>
        <v>34.148010299891354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134"/>
        <v>34.148010299891354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projet'!$A$175:$I$195,2,0)</f>
        <v>#N/A</v>
      </c>
      <c r="DM124" s="12" t="e">
        <f>VLOOKUP(A124,'Données projet'!$A$175:$I$195,9,0)</f>
        <v>#N/A</v>
      </c>
      <c r="DN124" s="12">
        <f t="array" ref="DN124">INDEX(DM:DM,MIN(IF(ISNUMBER(DM124:DM320),ROW(DM124:DM320),"")))</f>
        <v>0</v>
      </c>
      <c r="DO124" s="12">
        <f>IF('Données projet'!$A$176&gt;35,DO123+DN124-DW123,IF(A124&lt;'Données projet'!$A$176,$DL$205^A124,IF(A124='Données projet'!$A$176,'Données projet'!$B$176,DO123+DN124-DW123)))</f>
        <v>-2.8421709430404007E-13</v>
      </c>
      <c r="DP124" s="17">
        <f>DO124*VLOOKUP('Données projet'!$B$14,Paramètres!$A$1:$I$89,3,0)*VLOOKUP('Données projet'!$B$14,Paramètres!$A$1:$I$89,5,0)</f>
        <v>-2.0838797354372215E-13</v>
      </c>
      <c r="DQ124" s="13" t="e">
        <f t="shared" si="192"/>
        <v>#NUM!</v>
      </c>
      <c r="DR124" s="20" t="e">
        <f t="shared" si="135"/>
        <v>#NUM!</v>
      </c>
      <c r="DS124" s="59" t="e">
        <f t="shared" si="136"/>
        <v>#NUM!</v>
      </c>
      <c r="DT124" s="59">
        <f ca="1">AVERAGE(OFFSET($DS$3,0,0,'Données projet'!$E$14+1,1))-AVERAGE(OFFSET($H$3,0,0,'Données projet'!$E$14+1,1))</f>
        <v>296.91321813251051</v>
      </c>
      <c r="DU124" s="59">
        <f t="shared" si="193"/>
        <v>291.0718079639509</v>
      </c>
      <c r="DV124" s="15">
        <f>IF(ISNA(VLOOKUP(A124,'Données projet'!$A$175:$I$195,3,0)),0,VLOOKUP(A124,'Données projet'!$A$175:$I$195,3,0))</f>
        <v>0</v>
      </c>
      <c r="DW124" s="15">
        <f>IF(ISNA(VLOOKUP(A124,'Données projet'!$A$175:$I$195,4,0)),0,VLOOKUP(A124,'Données projet'!$A$175:$I$195,4,0))</f>
        <v>0</v>
      </c>
      <c r="DX124" s="16">
        <f>IF(ISNA(VLOOKUP(A124,'Données projet'!$A$175:$I$195,5,0)),0%,VLOOKUP(A124,'Données projet'!$A$175:$I$195,5,0)*VLOOKUP('Données projet'!$B$14,Paramètres!$A$1:$I$89,7,0))</f>
        <v>0</v>
      </c>
      <c r="DY124" s="16">
        <f>IF(ISNA(VLOOKUP(A124,'Données projet'!$A$175:$I$195,6,0)),0%,VLOOKUP(A124,'Données projet'!$A$175:$I$195,6,0)*VLOOKUP('Données projet'!$B$14,Paramètres!$A$1:$I$89,7,0))</f>
        <v>0</v>
      </c>
      <c r="DZ124" s="16">
        <f>IF(ISNA(VLOOKUP(A124,'Données projet'!$A$175:$I$195,7,0)),0%,VLOOKUP(A124,'Données projet'!$A$175:$I$195,7,0))</f>
        <v>0</v>
      </c>
      <c r="EA124" s="21">
        <f>EXP(-LN(2)/35)*EA123+(1-EXP(-LN(2)/35))/(LN(2)/35)*DW124*DX124*VLOOKUP('Données projet'!$B$14,Paramètres!$A$1:$I$89,3,0)*0.475*44/12</f>
        <v>77.012305915318308</v>
      </c>
      <c r="EB124" s="21">
        <f>EXP(-LN(2)/25)*EB123+(1-EXP(-LN(2)/25))/(LN(2)/25)*Calculateur!DW124*Calculateur!DY124*VLOOKUP('Données projet'!$B$14,Paramètres!$A$1:$I$89,3,0)*0.475*44/12</f>
        <v>1.7181458671887735</v>
      </c>
      <c r="EC124" s="21">
        <f>EXP(-LN(2)/2)*EC123+(1-EXP(-LN(2)/2))/(LN(2)/2)*DW124*DZ124*VLOOKUP('Données projet'!$B$14,Paramètres!$A$1:$I$89,3,0)*0.475*44/12</f>
        <v>0</v>
      </c>
      <c r="ED124" s="22">
        <f t="shared" si="137"/>
        <v>78.730451782507075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projet'!$A$201:$I$221,2,0)</f>
        <v>#N/A</v>
      </c>
      <c r="EH124" s="12" t="e">
        <f>VLOOKUP(A124,'Données projet'!$A$201:$I$221,9,0)</f>
        <v>#N/A</v>
      </c>
      <c r="EI124" s="12">
        <f t="array" ref="EI124">INDEX(EH:EH,MIN(IF(ISNUMBER(EH124:EH320),ROW(EH124:EH320),"")))</f>
        <v>0</v>
      </c>
      <c r="EJ124" s="12">
        <f>IF('Données projet'!$A$202&gt;35,EJ123+EI124-ER123,IF(A124&lt;'Données projet'!$A$202,$EG$205^A124,IF(A124='Données projet'!$A$202,'Données projet'!$B$202,EJ123+EI124-ER123)))</f>
        <v>5.1159076974727213E-13</v>
      </c>
      <c r="EK124" s="17">
        <f>EJ124*VLOOKUP('Données projet'!$B$15,Paramètres!$A$1:$I$89,3,0)*VLOOKUP('Données projet'!$B$15,Paramètres!$A$1:$I$89,5,0)</f>
        <v>2.3942448024172334E-13</v>
      </c>
      <c r="EL124" s="13">
        <f t="shared" si="194"/>
        <v>3.2492669905861755E-12</v>
      </c>
      <c r="EM124" s="20">
        <f t="shared" si="138"/>
        <v>6.0761376450252565E-12</v>
      </c>
      <c r="EN124" s="59">
        <f t="shared" si="139"/>
        <v>293.3333333333394</v>
      </c>
      <c r="EO124" s="59">
        <f ca="1">AVERAGE(OFFSET($EN$3,0,0,'Données projet'!$E$15+1,1))-AVERAGE(OFFSET($H$3,0,0,'Données projet'!$E$15+1,1))</f>
        <v>147.64256291235483</v>
      </c>
      <c r="EP124" s="59">
        <f t="shared" si="195"/>
        <v>70.859031694091868</v>
      </c>
      <c r="EQ124" s="15">
        <f>IF(ISNA(VLOOKUP(A124,'Données projet'!$A$201:$I$221,3,0)),0,VLOOKUP(A124,'Données projet'!$A$201:$I$221,3,0))</f>
        <v>0</v>
      </c>
      <c r="ER124" s="15">
        <f>IF(ISNA(VLOOKUP(A124,'Données projet'!$A$201:$I$221,4,0)),0,VLOOKUP(A124,'Données projet'!$A$201:$I$221,4,0))</f>
        <v>0</v>
      </c>
      <c r="ES124" s="16">
        <f>IF(ISNA(VLOOKUP(A124,'Données projet'!$A$201:$I$221,5,0)),0%,VLOOKUP(A124,'Données projet'!$A$201:$I$221,5,0)*VLOOKUP('Données projet'!$B$15,Paramètres!$A$1:$I$89,7,0))</f>
        <v>0</v>
      </c>
      <c r="ET124" s="16">
        <f>IF(ISNA(VLOOKUP(A124,'Données projet'!$A$201:$I$221,6,0)),0%,VLOOKUP(A124,'Données projet'!$A$201:$I$221,6,0)*VLOOKUP('Données projet'!$B$15,Paramètres!$A$1:$I$89,7,0))</f>
        <v>0</v>
      </c>
      <c r="EU124" s="16">
        <f>IF(ISNA(VLOOKUP(A124,'Données projet'!$A$201:$I$221,7,0)),0%,VLOOKUP(A124,'Données projet'!$A$201:$I$221,7,0))</f>
        <v>0</v>
      </c>
      <c r="EV124" s="21">
        <f>EXP(-LN(2)/35)*EV123+(1-EXP(-LN(2)/35))/(LN(2)/35)*ER124*ES124*VLOOKUP('Données projet'!$B$15,Paramètres!$A$1:$I$89,3,0)*0.475*44/12</f>
        <v>105.43106073068344</v>
      </c>
      <c r="EW124" s="21">
        <f>EXP(-LN(2)/25)*EW123+(1-EXP(-LN(2)/25))/(LN(2)/25)*Calculateur!ER124*Calculateur!ET124*VLOOKUP('Données projet'!$B$15,Paramètres!$A$1:$I$89,3,0)*0.475*44/12</f>
        <v>23.837542904539436</v>
      </c>
      <c r="EX124" s="21">
        <f>EXP(-LN(2)/2)*EX123+(1-EXP(-LN(2)/2))/(LN(2)/2)*ER124*EU124*VLOOKUP('Données projet'!$B$15,Paramètres!$A$1:$I$89,3,0)*0.475*44/12</f>
        <v>0.28669827069864623</v>
      </c>
      <c r="EY124" s="22">
        <f t="shared" si="140"/>
        <v>129.55530190592154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projet'!$A$227:$I$247,2,0)</f>
        <v>#N/A</v>
      </c>
      <c r="FC124" s="12" t="e">
        <f>VLOOKUP(A124,'Données projet'!$A$227:$I$247,9,0)</f>
        <v>#N/A</v>
      </c>
      <c r="FD124" s="12">
        <f t="array" ref="FD124">INDEX(FC:FC,MIN(IF(ISNUMBER(FC124:FC320),ROW(FC124:FC320),"")))</f>
        <v>0</v>
      </c>
      <c r="FE124" s="12">
        <f>IF('Données projet'!$A$228&gt;35,FE123+FD124-FM123,IF(A124&lt;'Données projet'!$A$228,$FB$205^A124,IF(A124='Données projet'!$A$228,'Données projet'!$B$228,FE123+FD124-FM123)))</f>
        <v>8.5265128291212022E-14</v>
      </c>
      <c r="FF124" s="17">
        <f>FE124*VLOOKUP('Données projet'!$B$16,Paramètres!$A$1:$I$89,3,0)*VLOOKUP('Données projet'!$B$16,Paramètres!$A$1:$I$89,5,0)</f>
        <v>8.9119112089974823E-14</v>
      </c>
      <c r="FG124" s="13">
        <f t="shared" si="196"/>
        <v>1.3568952080113142E-12</v>
      </c>
      <c r="FH124" s="20">
        <f t="shared" si="141"/>
        <v>2.5184749408430782E-12</v>
      </c>
      <c r="FI124" s="59">
        <f t="shared" si="142"/>
        <v>293.33333333333582</v>
      </c>
      <c r="FJ124" s="59">
        <f ca="1">AVERAGE(OFFSET($FI$3,0,0,'Données projet'!$E$16+1,1))-AVERAGE(OFFSET($H$3,0,0,'Données projet'!$E$16+1,1))</f>
        <v>259.03906550253788</v>
      </c>
      <c r="FK124" s="59">
        <f t="shared" si="197"/>
        <v>235.54542903570831</v>
      </c>
      <c r="FL124" s="15">
        <f>IF(ISNA(VLOOKUP(A124,'Données projet'!$A$227:$I$247,3,0)),0,VLOOKUP(A124,'Données projet'!$A$227:$I$247,3,0))</f>
        <v>0</v>
      </c>
      <c r="FM124" s="15">
        <f>IF(ISNA(VLOOKUP(A124,'Données projet'!$A$227:$I$247,4,0)),0,VLOOKUP(A124,'Données projet'!$A$227:$I$247,4,0))</f>
        <v>0</v>
      </c>
      <c r="FN124" s="16">
        <f>IF(ISNA(VLOOKUP(A124,'Données projet'!$A$227:$I$247,5,0)),0%,VLOOKUP(A124,'Données projet'!$A$227:$I$247,5,0)*VLOOKUP('Données projet'!$B$16,Paramètres!$A$1:$I$89,7,0))</f>
        <v>0</v>
      </c>
      <c r="FO124" s="16">
        <f>IF(ISNA(VLOOKUP(A124,'Données projet'!$A$227:$I$247,6,0)),0%,VLOOKUP(A124,'Données projet'!$A$227:$I$247,6,0)*VLOOKUP('Données projet'!$B$16,Paramètres!$A$1:$I$89,7,0))</f>
        <v>0</v>
      </c>
      <c r="FP124" s="16">
        <f>IF(ISNA(VLOOKUP(A124,'Données projet'!$A$227:$I$247,7,0)),0%,VLOOKUP(A124,'Données projet'!$A$227:$I$247,7,0))</f>
        <v>0</v>
      </c>
      <c r="FQ124" s="21">
        <f>EXP(-LN(2)/35)*FQ123+(1-EXP(-LN(2)/35))/(LN(2)/35)*FM124*FN124*VLOOKUP('Données projet'!$B$16,Paramètres!$A$1:$I$89,3,0)*0.475*44/12</f>
        <v>46.53440491697242</v>
      </c>
      <c r="FR124" s="21">
        <f>EXP(-LN(2)/25)*FR123+(1-EXP(-LN(2)/25))/(LN(2)/25)*Calculateur!FM124*Calculateur!FO124*VLOOKUP('Données projet'!$B$16,Paramètres!$A$1:$I$89,3,0)*0.475*44/12</f>
        <v>32.792703661085838</v>
      </c>
      <c r="FS124" s="21">
        <f>EXP(-LN(2)/2)*FS123+(1-EXP(-LN(2)/2))/(LN(2)/2)*FM124*FP124*VLOOKUP('Données projet'!$B$16,Paramètres!$A$1:$I$89,3,0)*0.475*44/12</f>
        <v>0</v>
      </c>
      <c r="FT124" s="22">
        <f t="shared" si="143"/>
        <v>79.327108578058258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projet'!$A$253:$I$273,2,0)</f>
        <v>#N/A</v>
      </c>
      <c r="FX124" s="12" t="e">
        <f>VLOOKUP(A124,'Données projet'!$A$253:$I$273,9,0)</f>
        <v>#N/A</v>
      </c>
      <c r="FY124" s="12">
        <f t="array" ref="FY124">INDEX(FX:FX,MIN(IF(ISNUMBER(FX124:FX320),ROW(FX124:FX320),"")))</f>
        <v>0</v>
      </c>
      <c r="FZ124" s="12">
        <f>IF('Données projet'!$A$254&gt;35,FZ123+FY124-GH123,IF(A124&lt;'Données projet'!$A$254,$FW$205^A124,IF(A124='Données projet'!$A$254,'Données projet'!$B$254,FZ123+FY124-GH123)))</f>
        <v>-1.7053025658242404E-13</v>
      </c>
      <c r="GA124" s="17">
        <f>FZ124*VLOOKUP('Données projet'!$B$17,Paramètres!$A$1:$I$89,3,0)*VLOOKUP('Données projet'!$B$17,Paramètres!$A$1:$I$89,5,0)</f>
        <v>-1.4897523215040567E-13</v>
      </c>
      <c r="GB124" s="13" t="e">
        <f t="shared" si="198"/>
        <v>#NUM!</v>
      </c>
      <c r="GC124" s="20" t="e">
        <f t="shared" si="144"/>
        <v>#NUM!</v>
      </c>
      <c r="GD124" s="59" t="e">
        <f t="shared" si="145"/>
        <v>#NUM!</v>
      </c>
      <c r="GE124" s="59">
        <f ca="1">AVERAGE(OFFSET($GD$3,0,0,'Données projet'!$E$17+1,1))-AVERAGE(OFFSET($H$3,0,0,'Données projet'!$E$17+1,1))</f>
        <v>245.1983232777614</v>
      </c>
      <c r="GF124" s="59">
        <f t="shared" si="199"/>
        <v>242.34010522344573</v>
      </c>
      <c r="GG124" s="15">
        <f>IF(ISNA(VLOOKUP(A124,'Données projet'!$A$253:$I$273,3,0)),0,VLOOKUP(A124,'Données projet'!$A$253:$I$273,3,0))</f>
        <v>0</v>
      </c>
      <c r="GH124" s="15">
        <f>IF(ISNA(VLOOKUP(A124,'Données projet'!$A$253:$I$273,4,0)),0,VLOOKUP(A124,'Données projet'!$A$253:$I$273,4,0))</f>
        <v>0</v>
      </c>
      <c r="GI124" s="16">
        <f>IF(ISNA(VLOOKUP(A124,'Données projet'!$A$253:$I$273,5,0)),0%,VLOOKUP(A124,'Données projet'!$A$253:$I$273,5,0)*VLOOKUP('Données projet'!$B$17,Paramètres!$A$1:$I$89,7,0))</f>
        <v>0</v>
      </c>
      <c r="GJ124" s="16">
        <f>IF(ISNA(VLOOKUP(A124,'Données projet'!$A$253:$I$273,6,0)),0%,VLOOKUP(A124,'Données projet'!$A$253:$I$273,6,0)*VLOOKUP('Données projet'!$B$17,Paramètres!$A$1:$I$89,7,0))</f>
        <v>0</v>
      </c>
      <c r="GK124" s="16">
        <f>IF(ISNA(VLOOKUP(A124,'Données projet'!$A$253:$I$273,7,0)),0%,VLOOKUP(A124,'Données projet'!$A$253:$I$273,7,0))</f>
        <v>0</v>
      </c>
      <c r="GL124" s="21">
        <f>EXP(-LN(2)/35)*GL123+(1-EXP(-LN(2)/35))/(LN(2)/35)*GH124*GI124*VLOOKUP('Données projet'!$B$17,Paramètres!$A$1:$I$89,3,0)*0.475*44/12</f>
        <v>54.707577607137175</v>
      </c>
      <c r="GM124" s="21">
        <f>EXP(-LN(2)/25)*GM123+(1-EXP(-LN(2)/25))/(LN(2)/25)*Calculateur!GH124*Calculateur!GJ124*VLOOKUP('Données projet'!$B$17,Paramètres!$A$1:$I$89,3,0)*0.475*44/12</f>
        <v>6.9873262663373978</v>
      </c>
      <c r="GN124" s="21">
        <f>EXP(-LN(2)/2)*GN123+(1-EXP(-LN(2)/2))/(LN(2)/2)*GH124*GK124*VLOOKUP('Données projet'!$B$17,Paramètres!$A$1:$I$89,3,0)*0.475*44/12</f>
        <v>0</v>
      </c>
      <c r="GO124" s="21">
        <f t="shared" si="146"/>
        <v>61.694903873474573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projet'!$A$279:$I$299,2,0)</f>
        <v>#N/A</v>
      </c>
      <c r="GS124" s="12" t="e">
        <f>VLOOKUP(A124,'Données projet'!$A$279:$I$299,9,0)</f>
        <v>#N/A</v>
      </c>
      <c r="GT124" s="12">
        <f t="array" ref="GT124">INDEX(GS:GS,MIN(IF(ISNUMBER(GS124:GS320),ROW(GS124:GS320),"")))</f>
        <v>0</v>
      </c>
      <c r="GU124" s="12">
        <f>IF('Données projet'!$A$280&gt;35,GU123+GT124-HC123,IF(A124&lt;'Données projet'!$A$280,$GR$205^A124,IF(A124='Données projet'!$A$280,'Données projet'!$B$280,GU123+GT124-HC123)))</f>
        <v>-1.1368683772161603E-13</v>
      </c>
      <c r="GV124" s="17">
        <f>GU124*VLOOKUP('Données projet'!$B$18,Paramètres!$A$1:$I$89,3,0)*VLOOKUP('Données projet'!$B$18,Paramètres!$A$1:$I$89,5,0)</f>
        <v>-4.5815795601811263E-14</v>
      </c>
      <c r="GW124" s="13" t="e">
        <f t="shared" si="200"/>
        <v>#NUM!</v>
      </c>
      <c r="GX124" s="20" t="e">
        <f t="shared" si="147"/>
        <v>#NUM!</v>
      </c>
      <c r="GY124" s="59" t="e">
        <f t="shared" si="148"/>
        <v>#NUM!</v>
      </c>
      <c r="GZ124" s="59">
        <f ca="1">AVERAGE(OFFSET($GY$3,0,0,'Données projet'!$E$18+1,1))-AVERAGE(OFFSET($H$3,0,0,'Données projet'!$E$18+1,1))</f>
        <v>324.36162935850876</v>
      </c>
      <c r="HA124" s="59">
        <f t="shared" si="201"/>
        <v>265.23571072429735</v>
      </c>
      <c r="HB124" s="15">
        <f>IF(ISNA(VLOOKUP(A124,'Données projet'!$A$279:$I$299,3,0)),0,VLOOKUP(A124,'Données projet'!$A$279:$I$299,3,0))</f>
        <v>0</v>
      </c>
      <c r="HC124" s="15">
        <f>IF(ISNA(VLOOKUP(A124,'Données projet'!$A$279:$I$299,4,0)),0,VLOOKUP(A124,'Données projet'!$A$279:$I$299,4,0))</f>
        <v>0</v>
      </c>
      <c r="HD124" s="16">
        <f>IF(ISNA(VLOOKUP(A124,'Données projet'!$A$279:$I$299,5,0)),0%,VLOOKUP(A124,'Données projet'!$A$279:$I$299,5,0)*VLOOKUP('Données projet'!$B$18,Paramètres!$A$1:$I$89,7,0))</f>
        <v>0</v>
      </c>
      <c r="HE124" s="16">
        <f>IF(ISNA(VLOOKUP(A124,'Données projet'!$A$279:$I$299,6,0)),0%,VLOOKUP(A124,'Données projet'!$A$279:$I$299,6,0)*VLOOKUP('Données projet'!$B$18,Paramètres!$A$1:$I$89,7,0))</f>
        <v>0</v>
      </c>
      <c r="HF124" s="16">
        <f>IF(ISNA(VLOOKUP($A124,'Données projet'!$A$279:$I$299,7,0)),0%,VLOOKUP($A124,'Données projet'!$A$279:$I$299,7,0))</f>
        <v>0</v>
      </c>
      <c r="HG124" s="21">
        <f>EXP(-LN(2)/35)*HG123+(1-EXP(-LN(2)/35))/(LN(2)/35)*HC124*HD124*VLOOKUP('Données projet'!$B$18,Paramètres!$A$1:$I$89,3,0)*0.475*44/12</f>
        <v>104.83402028511956</v>
      </c>
      <c r="HH124" s="21">
        <f>EXP(-LN(2)/25)*HH123+(1-EXP(-LN(2)/25))/(LN(2)/25)*Calculateur!HC124*Calculateur!HE124*VLOOKUP('Données projet'!$B$18,Paramètres!$A$1:$I$89,3,0)*0.475*44/12</f>
        <v>7.7711566036483619</v>
      </c>
      <c r="HI124" s="21">
        <f>EXP(-LN(2)/2)*HI123+(1-EXP(-LN(2)/2))/(LN(2)/2)*HC124*HF124*VLOOKUP('Données projet'!$B$18,Paramètres!$A$1:$I$89,3,0)*0.475*44/12</f>
        <v>5.7638072449932548E-6</v>
      </c>
      <c r="HJ124" s="22">
        <f t="shared" si="149"/>
        <v>112.60518265257518</v>
      </c>
      <c r="HK124" s="74">
        <f>('Scénario référence'!$F$8+'Scénario référence'!$F$9+'Scénario référence'!$B$17+'Scénario référence'!$B$9+'Scénario référence'!$B$10)*70+IF((45+25*(1-EXP(-0.0175*$A124)))&lt;70,'Scénario référence'!$B$16*(45+25*(1-EXP(-0.0175*$A124))),70*'Scénario référence'!$B$16)+IF((32+38*(1-EXP(-0.0175*$A124)))&lt;70,'Scénario référence'!$B$18*(32+38*(1-EXP(-0.0175*$A124))),70*'Scénario référence'!$B$18)</f>
        <v>70</v>
      </c>
      <c r="HL124" s="12">
        <f>IF($A124&gt;30,10,('Scénario référence'!$B$16+'Scénario référence'!$B$17+'Scénario référence'!$B$18+'Scénario référence'!$B$9+'Scénario référence'!$B$10)*$A124*10/30+('Scénario référence'!$F$8+'Scénario référence'!$F$9)*10)</f>
        <v>10</v>
      </c>
      <c r="HM124" s="12" t="e">
        <f>VLOOKUP($A124,'Données projet'!$A$304:$I$324,2,0)</f>
        <v>#N/A</v>
      </c>
      <c r="HN124" s="12" t="e">
        <f>VLOOKUP($A124,'Données projet'!$A$304:$I$324,9,0)</f>
        <v>#N/A</v>
      </c>
      <c r="HO124" s="12">
        <f t="array" ref="HO124">INDEX(HN:HN,MIN(IF(ISNUMBER(HN124:HN320),ROW(HN124:HN320),"")))</f>
        <v>0</v>
      </c>
      <c r="HP124" s="12">
        <f>IF('Données projet'!$A$304&gt;35,HP123+HO124-HX123,IF($A124&lt;'Données projet'!$A$304,$CQ$205^$A124,IF($A124='Données projet'!$A$304,'Données projet'!$B$304,HP123+HO124-HX123)))</f>
        <v>0</v>
      </c>
      <c r="HQ124" s="17">
        <f>HP124*VLOOKUP('Données projet'!$B$19,Paramètres!$A$1:$I$89,3,0)*VLOOKUP('Données projet'!$B$19,Paramètres!$A$1:$I$89,5,0)</f>
        <v>0</v>
      </c>
      <c r="HR124" s="13" t="e">
        <f t="shared" si="202"/>
        <v>#NUM!</v>
      </c>
      <c r="HS124" s="14" t="e">
        <f t="shared" si="150"/>
        <v>#NUM!</v>
      </c>
      <c r="HT124" s="59" t="e">
        <f t="shared" si="151"/>
        <v>#NUM!</v>
      </c>
      <c r="HU124" s="59">
        <f ca="1">AVERAGE(OFFSET(HT$3,0,0,'Données projet'!$E$19+1,1))-AVERAGE(OFFSET($H$3,0,0,'Données projet'!$E$19+1,1))</f>
        <v>91.60721429656013</v>
      </c>
      <c r="HV124" s="59">
        <f t="shared" si="203"/>
        <v>258.94957804210856</v>
      </c>
      <c r="HW124" s="15">
        <f>IF(ISNA(VLOOKUP($A124,'Données projet'!$A$304:$I$324,3,0)),0,VLOOKUP($A124,'Données projet'!$A$304:$I$324,3,0))</f>
        <v>0</v>
      </c>
      <c r="HX124" s="15">
        <f>IF(ISNA(VLOOKUP($A124,'Données projet'!$A$304:$I$324,4,0)),0,VLOOKUP($A124,'Données projet'!$A$304:$I$324,4,0))</f>
        <v>0</v>
      </c>
      <c r="HY124" s="16">
        <f>IF(ISNA(VLOOKUP($A124,'Données projet'!$A$304:$I$324,5,0)),0%,VLOOKUP($A124,'Données projet'!$A$304:$I$324,5,0)*VLOOKUP('Données projet'!$B$19,Paramètres!$A$1:$I$89,7,0))</f>
        <v>0</v>
      </c>
      <c r="HZ124" s="16">
        <f>IF(ISNA(VLOOKUP($A124,'Données projet'!$A$304:$I$324,6,0)),0%,VLOOKUP($A124,'Données projet'!$A$304:$I$324,6,0)*VLOOKUP('Données projet'!$B$19,Paramètres!$A$1:$I$89,7,0))</f>
        <v>0</v>
      </c>
      <c r="IA124" s="16">
        <f>IF(ISNA(VLOOKUP($A124,'Données projet'!$A$304:$I$324,7,0)),0%,VLOOKUP($A124,'Données projet'!$A$304:$I$324,7,0))</f>
        <v>0</v>
      </c>
      <c r="IB124" s="21">
        <f>EXP(-LN(2)/35)*IB123+(1-EXP(-LN(2)/35))/(LN(2)/35)*HX124*HY124*VLOOKUP('Données projet'!$B$19,Paramètres!$A$1:$I$89,3,0)*0.475*44/12</f>
        <v>8.1368617661503624</v>
      </c>
      <c r="IC124" s="21">
        <f>EXP(-LN(2)/25)*IC123+(1-EXP(-LN(2)/25))/(LN(2)/25)*Calculateur!HX124*Calculateur!HZ124*VLOOKUP('Données projet'!$B$19,Paramètres!$A$1:$I$89,3,0)*0.475*44/12</f>
        <v>0.78030102128571655</v>
      </c>
      <c r="ID124" s="21">
        <f>EXP(-LN(2)/2)*ID123+(1-EXP(-LN(2)/2))/(LN(2)/2)*HX124*IA124*VLOOKUP('Données projet'!$B$19,Paramètres!$A$1:$I$89,3,0)*0.475*44/12</f>
        <v>1.1512718010992462E-14</v>
      </c>
      <c r="IE124" s="22">
        <f t="shared" si="152"/>
        <v>8.917162787436089</v>
      </c>
      <c r="IF124" s="74">
        <f>('Scénario référence'!$F$8+'Scénario référence'!$F$9+'Scénario référence'!$B$17+'Scénario référence'!$B$9+'Scénario référence'!$B$10)*70+IF((45+25*(1-EXP(-0.0175*$A124)))&lt;70,'Scénario référence'!$B$16*(45+25*(1-EXP(-0.0175*$A124))),70*'Scénario référence'!$B$16)+IF((32+38*(1-EXP(-0.0175*$A124)))&lt;70,'Scénario référence'!$B$18*(32+38*(1-EXP(-0.0175*$A124))),70*'Scénario référence'!$B$18)</f>
        <v>70</v>
      </c>
      <c r="IG124" s="12">
        <f>IF($A124&gt;30,10,('Scénario référence'!$B$16+'Scénario référence'!$B$17+'Scénario référence'!$B$18+'Scénario référence'!$B$9+'Scénario référence'!$B$10)*$A124*10/30+('Scénario référence'!$F$8+'Scénario référence'!$F$9)*10)</f>
        <v>10</v>
      </c>
      <c r="IH124" s="12" t="e">
        <f>VLOOKUP($A124,'Données projet'!$A$330:$I$350,2,0)</f>
        <v>#N/A</v>
      </c>
      <c r="II124" s="12" t="e">
        <f>VLOOKUP($A124,'Données projet'!$A$330:$I$350,9,0)</f>
        <v>#N/A</v>
      </c>
      <c r="IJ124" s="12">
        <f t="array" ref="IJ124">INDEX(II:II,MIN(IF(ISNUMBER(II124:II320),ROW(II124:II320),"")))</f>
        <v>0</v>
      </c>
      <c r="IK124" s="12">
        <f>IF('Données projet'!$A$330&gt;35,IK123+IJ124-IS123,IF($A124&lt;'Données projet'!$A$330,$CQ$205^$A124,IF($A124='Données projet'!$A$330,'Données projet'!$B$330,IK123+IJ124-IS123)))</f>
        <v>0</v>
      </c>
      <c r="IL124" s="17">
        <f>IK124*VLOOKUP('Données projet'!$B$20,Paramètres!$A$1:$I$89,3,0)*VLOOKUP('Données projet'!$B$20,Paramètres!$A$1:$I$89,5,0)</f>
        <v>0</v>
      </c>
      <c r="IM124" s="13" t="e">
        <f t="shared" si="204"/>
        <v>#NUM!</v>
      </c>
      <c r="IN124" s="20" t="e">
        <f t="shared" si="153"/>
        <v>#NUM!</v>
      </c>
      <c r="IO124" s="59" t="e">
        <f t="shared" si="154"/>
        <v>#NUM!</v>
      </c>
      <c r="IP124" s="59">
        <f ca="1">AVERAGE(OFFSET(IO$3,0,0,'Données projet'!$E$20+1,1))-AVERAGE(OFFSET($H$3,0,0,'Données projet'!$E$20+1,1))</f>
        <v>91.60721429656013</v>
      </c>
      <c r="IQ124" s="59">
        <f t="shared" si="205"/>
        <v>258.94957804210856</v>
      </c>
      <c r="IR124" s="15">
        <f>IF(ISNA(VLOOKUP($A124,'Données projet'!$A$330:$I$350,3,0)),0,VLOOKUP($A124,'Données projet'!$A$330:$I$350,3,0))</f>
        <v>0</v>
      </c>
      <c r="IS124" s="15">
        <f>IF(ISNA(VLOOKUP($A124,'Données projet'!$A$330:$I$350,4,0)),0,VLOOKUP($A124,'Données projet'!$A$330:$I$350,4,0))</f>
        <v>0</v>
      </c>
      <c r="IT124" s="16">
        <f>IF(ISNA(VLOOKUP($A124,'Données projet'!$A$330:$I$350,5,0)),0%,VLOOKUP($A124,'Données projet'!$A$330:$I$350,5,0)*VLOOKUP('Données projet'!$B$20,Paramètres!$A$1:$I$89,7,0))</f>
        <v>0</v>
      </c>
      <c r="IU124" s="16">
        <f>IF(ISNA(VLOOKUP($A124,'Données projet'!$A$330:$I$350,6,0)),0%,VLOOKUP($A124,'Données projet'!$A$330:$I$350,6,0)*VLOOKUP('Données projet'!$B$20,Paramètres!$A$1:$I$89,7,0))</f>
        <v>0</v>
      </c>
      <c r="IV124" s="16">
        <f>IF(ISNA(VLOOKUP($A124,'Données projet'!$A$330:$I$350,7,0)),0%,VLOOKUP($A124,'Données projet'!$A$330:$I$350,7,0))</f>
        <v>0</v>
      </c>
      <c r="IW124" s="21">
        <f>EXP(-LN(2)/35)*IW123+(1-EXP(-LN(2)/35))/(LN(2)/35)*IS124*IT124*VLOOKUP('Données projet'!$B$20,Paramètres!$A$1:$I$89,3,0)*0.475*44/12</f>
        <v>8.1368617661503624</v>
      </c>
      <c r="IX124" s="21">
        <f>EXP(-LN(2)/25)*IX123+(1-EXP(-LN(2)/25))/(LN(2)/25)*Calculateur!IS124*Calculateur!IU124*VLOOKUP('Données projet'!$B$20,Paramètres!$A$1:$I$89,3,0)*0.475*44/12</f>
        <v>0.78030102128571655</v>
      </c>
      <c r="IY124" s="21">
        <f>EXP(-LN(2)/2)*IY123+(1-EXP(-LN(2)/2))/(LN(2)/2)*IS124*IV124*VLOOKUP('Données projet'!$B$20,Paramètres!$A$1:$I$89,3,0)*0.475*44/12</f>
        <v>1.1512718010992462E-14</v>
      </c>
      <c r="IZ124" s="22">
        <f t="shared" si="155"/>
        <v>8.917162787436089</v>
      </c>
      <c r="JA124" s="74">
        <f>('Scénario référence'!$F$8+'Scénario référence'!$F$9+'Scénario référence'!$B$17+'Scénario référence'!$B$9+'Scénario référence'!$B$10)*70+IF((45+25*(1-EXP(-0.0175*$A124)))&lt;70,'Scénario référence'!$B$16*(45+25*(1-EXP(-0.0175*$A124))),70*'Scénario référence'!$B$16)+IF((32+38*(1-EXP(-0.0175*$A124)))&lt;70,'Scénario référence'!$B$18*(32+38*(1-EXP(-0.0175*$A124))),70*'Scénario référence'!$B$18)</f>
        <v>70</v>
      </c>
      <c r="JB124" s="12">
        <f>IF($A124&gt;30,10,('Scénario référence'!$B$16+'Scénario référence'!$B$17+'Scénario référence'!$B$18+'Scénario référence'!$B$9+'Scénario référence'!$B$10)*$A124*10/30+('Scénario référence'!$F$8+'Scénario référence'!$F$9)*10)</f>
        <v>10</v>
      </c>
      <c r="JC124" s="12" t="e">
        <f>VLOOKUP($A124,'Données projet'!$A$356:$I$376,2,0)</f>
        <v>#N/A</v>
      </c>
      <c r="JD124" s="12" t="e">
        <f>VLOOKUP($A124,'Données projet'!$A$356:$I$376,9,0)</f>
        <v>#N/A</v>
      </c>
      <c r="JE124" s="12">
        <f t="array" ref="JE124">INDEX(JD:JD,MIN(IF(ISNUMBER(JD124:JD320),ROW(JD124:JD320),"")))</f>
        <v>2.2000000000000002</v>
      </c>
      <c r="JF124" s="12">
        <f>IF('Données projet'!$A$356&gt;35,JF123+JE124-JN123,IF($A124&lt;'Données projet'!$A$356,$CQ$205^$A124,IF($A124='Données projet'!$A$356,'Données projet'!$B$356,JF123+JE124-JN123)))</f>
        <v>420.19999999999925</v>
      </c>
      <c r="JG124" s="17">
        <f>JF124*VLOOKUP('Données projet'!$B$21,Paramètres!$A$1:$I$89,3,0)*VLOOKUP('Données projet'!$B$21,Paramètres!$A$1:$I$89,5,0)</f>
        <v>340.86623999999944</v>
      </c>
      <c r="JH124" s="13">
        <f t="shared" si="206"/>
        <v>79.67889057763503</v>
      </c>
      <c r="JI124" s="20">
        <f t="shared" si="156"/>
        <v>732.44943575604668</v>
      </c>
      <c r="JJ124" s="59">
        <f t="shared" si="157"/>
        <v>1025.7827690893801</v>
      </c>
      <c r="JK124" s="59">
        <f ca="1">AVERAGE(OFFSET($JJ$3,0,0,'Données projet'!$E$22+1,1))-AVERAGE(OFFSET($H$3,0,0,'Données projet'!$E$22+1,1))</f>
        <v>353.35574633294613</v>
      </c>
      <c r="JL124" s="59">
        <f t="shared" si="207"/>
        <v>170.36796666474726</v>
      </c>
      <c r="JM124" s="15">
        <f>IF(ISNA(VLOOKUP($A124,'Données projet'!$A$356:$I$376,3,0)),0,VLOOKUP($A124,'Données projet'!$A$356:$I$376,3,0))</f>
        <v>0</v>
      </c>
      <c r="JN124" s="15">
        <f>IF(ISNA(VLOOKUP($A124,'Données projet'!$A$356:$I$376,4,0)),0,VLOOKUP($A124,'Données projet'!$A$356:$I$376,4,0))</f>
        <v>0</v>
      </c>
      <c r="JO124" s="16">
        <f>IF(ISNA(VLOOKUP($A124,'Données projet'!$A$356:$I$376,5,0)),0%,VLOOKUP($A124,'Données projet'!$A$356:$I$376,5,0)*VLOOKUP('Données projet'!$B$21,Paramètres!$A$1:$I$89,7,0))</f>
        <v>0</v>
      </c>
      <c r="JP124" s="16">
        <f>IF(ISNA(VLOOKUP($A124,'Données projet'!$A$356:$I$376,6,0)),0%,VLOOKUP($A124,'Données projet'!$A$356:$I$376,6,0)*VLOOKUP('Données projet'!$B$21,Paramètres!$A$1:$I$89,7,0))</f>
        <v>0</v>
      </c>
      <c r="JQ124" s="16">
        <f>IF(ISNA(VLOOKUP($A124,'Données projet'!$A$356:$I$376,7,0)),0%,VLOOKUP($A124,'Données projet'!$A$356:$I$376,7,0))</f>
        <v>0</v>
      </c>
      <c r="JR124" s="21">
        <f>EXP(-LN(2)/35)*JR123+(1-EXP(-LN(2)/35))/(LN(2)/35)*JN124*JO124*VLOOKUP('Données projet'!$B$21,Paramètres!$A$1:$I$89,3,0)*0.475*44/12</f>
        <v>4.0418356661723047</v>
      </c>
      <c r="JS124" s="21">
        <f>EXP(-LN(2)/25)*JS123+(1-EXP(-LN(2)/25))/(LN(2)/25)*Calculateur!JN124*Calculateur!JP124*VLOOKUP('Données projet'!$B$21,Paramètres!$A$1:$I$89,3,0)*0.475*44/12</f>
        <v>13.035711557901752</v>
      </c>
      <c r="JT124" s="21">
        <f>EXP(-LN(2)/2)*JT123+(1-EXP(-LN(2)/2))/(LN(2)/2)*JN124*JQ124*VLOOKUP('Données projet'!$B$21,Paramètres!$A$1:$I$89,3,0)*0.475*44/12</f>
        <v>7.7087644408777453E-2</v>
      </c>
      <c r="JU124" s="18">
        <f t="shared" si="158"/>
        <v>17.154634868482834</v>
      </c>
      <c r="JV124" s="74">
        <f>('Scénario référence'!$F$8+'Scénario référence'!$F$9+'Scénario référence'!$B$17+'Scénario référence'!$B$9+'Scénario référence'!$B$10)*70+IF((45+25*(1-EXP(-0.0175*$A124)))&lt;70,'Scénario référence'!$B$16*(45+25*(1-EXP(-0.0175*$A124))),70*'Scénario référence'!$B$16)+IF((32+38*(1-EXP(-0.0175*$A124)))&lt;70,'Scénario référence'!$B$18*(32+38*(1-EXP(-0.0175*$A124))),70*'Scénario référence'!$B$18)</f>
        <v>70</v>
      </c>
      <c r="JW124" s="12">
        <f>IF($A124&gt;30,10,('Scénario référence'!$B$16+'Scénario référence'!$B$17+'Scénario référence'!$B$18+'Scénario référence'!$B$9+'Scénario référence'!$B$10)*$A124*10/30+('Scénario référence'!$F$8+'Scénario référence'!$F$9)*10)</f>
        <v>10</v>
      </c>
      <c r="JX124" s="12" t="e">
        <f>VLOOKUP($A124,'Données projet'!$A$382:$I$402,2,0)</f>
        <v>#N/A</v>
      </c>
      <c r="JY124" s="12" t="e">
        <f>VLOOKUP($A124,'Données projet'!$A$382:$I$402,9,0)</f>
        <v>#N/A</v>
      </c>
      <c r="JZ124" s="12">
        <f t="array" ref="JZ124">INDEX(JY:JY,MIN(IF(ISNUMBER(JY124:JY320),ROW(JY124:JY320),"")))</f>
        <v>3.8301282051282044</v>
      </c>
      <c r="KA124" s="12">
        <f>IF('Données projet'!$A$382&gt;35,KA123+JZ124-KI123,IF($A124&lt;'Données projet'!$A$382,$CQ$205^$A124,IF($A124='Données projet'!$A$382,'Données projet'!$B$382,KA123+JZ124-KI123)))</f>
        <v>214.97435897435946</v>
      </c>
      <c r="KB124" s="17">
        <f>KA124*VLOOKUP('Données projet'!$B$22,Paramètres!$A$1:$I$89,3,0)*VLOOKUP('Données projet'!$B$22,Paramètres!$A$1:$I$89,5,0)</f>
        <v>144.20480000000032</v>
      </c>
      <c r="KC124" s="13">
        <f t="shared" si="208"/>
        <v>37.258600879657607</v>
      </c>
      <c r="KD124" s="20">
        <f t="shared" si="159"/>
        <v>316.04875653207085</v>
      </c>
      <c r="KE124" s="59">
        <f t="shared" si="160"/>
        <v>609.38208986540417</v>
      </c>
      <c r="KF124" s="59">
        <f ca="1">AVERAGE(OFFSET($KE$3,0,0,'Données projet'!$E$22+1,1))-AVERAGE(OFFSET($H$3,0,0,'Données projet'!$E$22+1,1))</f>
        <v>193.91714772848269</v>
      </c>
      <c r="KG124" s="59">
        <f t="shared" si="209"/>
        <v>159.20429420478047</v>
      </c>
      <c r="KH124" s="15">
        <f>IF(ISNA(VLOOKUP($A124,'Données projet'!$A$382:$I$402,3,0)),0,VLOOKUP($A124,'Données projet'!$A$382:$I$402,3,0))</f>
        <v>0</v>
      </c>
      <c r="KI124" s="15">
        <f>IF(ISNA(VLOOKUP($A124,'Données projet'!$A$382:$I$402,4,0)),0,VLOOKUP($A124,'Données projet'!$A$382:$I$402,4,0))</f>
        <v>0</v>
      </c>
      <c r="KJ124" s="16">
        <f>IF(ISNA(VLOOKUP($A124,'Données projet'!$A$382:$I$402,5,0)),0%,VLOOKUP($A124,'Données projet'!$A$382:$I$402,5,0)*VLOOKUP('Données projet'!$B$22,Paramètres!$A$1:$I$89,7,0))</f>
        <v>0</v>
      </c>
      <c r="KK124" s="16">
        <f>IF(ISNA(VLOOKUP($A124,'Données projet'!$A$382:$I$402,6,0)),0%,VLOOKUP($A124,'Données projet'!$A$382:$I$402,6,0)*VLOOKUP('Données projet'!$B$22,Paramètres!$A$1:$I$89,7,0))</f>
        <v>0</v>
      </c>
      <c r="KL124" s="16">
        <f>IF(ISNA(VLOOKUP($A124,'Données projet'!$A$382:$I$402,7,0)),0%,VLOOKUP($A124,'Données projet'!$A$382:$I$402,7,0))</f>
        <v>0</v>
      </c>
      <c r="KM124" s="21">
        <f>EXP(-LN(2)/35)*KM123+(1-EXP(-LN(2)/35))/(LN(2)/35)*KI124*KJ124*VLOOKUP('Données projet'!$B$22,Paramètres!$A$1:$I$89,3,0)*0.475*44/12</f>
        <v>94.357618108652972</v>
      </c>
      <c r="KN124" s="21">
        <f>EXP(-LN(2)/25)*KN123+(1-EXP(-LN(2)/25))/(LN(2)/25)*Calculateur!KI124*Calculateur!KK124*VLOOKUP('Données projet'!$B$22,Paramètres!$A$1:$I$89,3,0)*0.475*44/12</f>
        <v>0</v>
      </c>
      <c r="KO124" s="21">
        <f>EXP(-LN(2)/2)*KO123+(1-EXP(-LN(2)/2))/(LN(2)/2)*KI124*KL124*VLOOKUP('Données projet'!$B$22,Paramètres!$A$1:$I$89,3,0)*0.475*44/12</f>
        <v>0</v>
      </c>
      <c r="KP124" s="22">
        <f t="shared" si="161"/>
        <v>94.357618108652972</v>
      </c>
      <c r="KQ124" s="74">
        <f>('Scénario référence'!$F$8+'Scénario référence'!$F$9+'Scénario référence'!$B$17+'Scénario référence'!$B$9+'Scénario référence'!$B$10)*70+IF((45+25*(1-EXP(-0.0175*$A124)))&lt;70,'Scénario référence'!$B$16*(45+25*(1-EXP(-0.0175*$A124))),70*'Scénario référence'!$B$16)+IF((32+38*(1-EXP(-0.0175*$A124)))&lt;70,'Scénario référence'!$B$18*(32+38*(1-EXP(-0.0175*$A124))),70*'Scénario référence'!$B$18)</f>
        <v>70</v>
      </c>
      <c r="KR124" s="12">
        <f>IF($A124&gt;30,10,('Scénario référence'!$B$16+'Scénario référence'!$B$17+'Scénario référence'!$B$18+'Scénario référence'!$B$9+'Scénario référence'!$B$10)*$A124*10/30+('Scénario référence'!$F$8+'Scénario référence'!$F$9)*10)</f>
        <v>10</v>
      </c>
      <c r="KS124" s="12" t="e">
        <f>VLOOKUP($A124,'Données projet'!$A$408:$I$428,2,0)</f>
        <v>#N/A</v>
      </c>
      <c r="KT124" s="12" t="e">
        <f>VLOOKUP($A124,'Données projet'!$A$408:$I$428,9,0)</f>
        <v>#N/A</v>
      </c>
      <c r="KU124" s="12">
        <f t="array" ref="KU124">INDEX(KT:KT,MIN(IF(ISNUMBER(KT124:KT320),ROW(KT124:KT320),"")))</f>
        <v>0</v>
      </c>
      <c r="KV124" s="12">
        <f>IF('Données projet'!$A$408&gt;35,KV123+KU124-LD123,IF($A124&lt;'Données projet'!$A$408,$CQ$205^$A124,IF($A124='Données projet'!$A$408,'Données projet'!$B$408,KV123+KU124-LD123)))</f>
        <v>-1.1368683772161603E-13</v>
      </c>
      <c r="KW124" s="17">
        <f>KV124*VLOOKUP('Données projet'!$B$23,Paramètres!$A$1:$I$89,3,0)*VLOOKUP('Données projet'!$B$23,Paramètres!$A$1:$I$89,5,0)</f>
        <v>-9.9316821433603781E-14</v>
      </c>
      <c r="KX124" s="13" t="e">
        <f t="shared" si="210"/>
        <v>#NUM!</v>
      </c>
      <c r="KY124" s="14" t="e">
        <f t="shared" si="162"/>
        <v>#NUM!</v>
      </c>
      <c r="KZ124" s="59" t="e">
        <f t="shared" si="163"/>
        <v>#NUM!</v>
      </c>
      <c r="LA124" s="59">
        <f ca="1">AVERAGE(OFFSET($KZ$3,0,0,'Données projet'!$E$23+1,1))-AVERAGE(OFFSET($H$3,0,0,'Données projet'!$E$23+1,1))</f>
        <v>248.33596943633819</v>
      </c>
      <c r="LB124" s="59">
        <f t="shared" si="211"/>
        <v>242.34010522344573</v>
      </c>
      <c r="LC124" s="15">
        <f>IF(ISNA(VLOOKUP($A124,'Données projet'!$A$408:$I$428,3,0)),0,VLOOKUP($A124,'Données projet'!$A$408:$I$428,3,0))</f>
        <v>0</v>
      </c>
      <c r="LD124" s="15">
        <f>IF(ISNA(VLOOKUP($A124,'Données projet'!$A$408:$I$428,4,0)),0,VLOOKUP($A124,'Données projet'!$A$408:$I$428,4,0))</f>
        <v>0</v>
      </c>
      <c r="LE124" s="16">
        <f>IF(ISNA(VLOOKUP($A124,'Données projet'!$A$408:$I$428,5,0)),0%,VLOOKUP($A124,'Données projet'!$A$408:$I$428,5,0)*VLOOKUP('Données projet'!$B$23,Paramètres!$A$1:$I$89,7,0))</f>
        <v>0</v>
      </c>
      <c r="LF124" s="16">
        <f>IF(ISNA(VLOOKUP($A124,'Données projet'!$A$408:$I$428,6,0)),0%,VLOOKUP($A124,'Données projet'!$A$408:$I$428,6,0)*VLOOKUP('Données projet'!$B$23,Paramètres!$A$1:$I$89,7,0))</f>
        <v>0</v>
      </c>
      <c r="LG124" s="16">
        <f>IF(ISNA(VLOOKUP($A124,'Données projet'!$A$408:$I$428,7,0)),0%,VLOOKUP($A124,'Données projet'!$A$408:$I$428,7,0))</f>
        <v>0</v>
      </c>
      <c r="LH124" s="21">
        <f>EXP(-LN(2)/35)*LH123+(1-EXP(-LN(2)/35))/(LN(2)/35)*LD124*LE124*VLOOKUP('Données projet'!$B$23,Paramètres!$A$1:$I$89,3,0)*0.475*44/12</f>
        <v>54.707577607137175</v>
      </c>
      <c r="LI124" s="21">
        <f>EXP(-LN(2)/25)*LI123+(1-EXP(-LN(2)/25))/(LN(2)/25)*Calculateur!LD124*Calculateur!LF124*VLOOKUP('Données projet'!$B$23,Paramètres!$A$1:$I$89,3,0)*0.475*44/12</f>
        <v>6.9873262663373978</v>
      </c>
      <c r="LJ124" s="21">
        <f>EXP(-LN(2)/2)*LJ123+(1-EXP(-LN(2)/2))/(LN(2)/2)*LD124*LG124*VLOOKUP('Données projet'!$B$23,Paramètres!$A$1:$I$89,3,0)*0.475*44/12</f>
        <v>0</v>
      </c>
      <c r="LK124" s="22">
        <f t="shared" si="164"/>
        <v>61.694903873474573</v>
      </c>
      <c r="LL124" s="74">
        <f>('Scénario référence'!$F$8+'Scénario référence'!$F$9+'Scénario référence'!$B$17+'Scénario référence'!$B$9+'Scénario référence'!$B$10)*70+IF((45+25*(1-EXP(-0.0175*$A124)))&lt;70,'Scénario référence'!$B$16*(45+25*(1-EXP(-0.0175*$A124))),70*'Scénario référence'!$B$16)+IF((32+38*(1-EXP(-0.0175*$A124)))&lt;70,'Scénario référence'!$B$18*(32+38*(1-EXP(-0.0175*$A124))),70*'Scénario référence'!$B$18)</f>
        <v>70</v>
      </c>
      <c r="LM124" s="12">
        <f>IF($A124&gt;30,10,('Scénario référence'!$B$16+'Scénario référence'!$B$17+'Scénario référence'!$B$18+'Scénario référence'!$B$9+'Scénario référence'!$B$10)*$A124*10/30+('Scénario référence'!$F$8+'Scénario référence'!$F$9)*10)</f>
        <v>10</v>
      </c>
      <c r="LN124" s="12" t="e">
        <f>VLOOKUP($A124,'Données projet'!$A$434:$I$454,2,0)</f>
        <v>#N/A</v>
      </c>
      <c r="LO124" s="12" t="e">
        <f>VLOOKUP($A124,'Données projet'!$A$434:$I$454,9,0)</f>
        <v>#N/A</v>
      </c>
      <c r="LP124" s="12">
        <f t="array" ref="LP124">INDEX(LO:LO,MIN(IF(ISNUMBER(LO124:LO320),ROW(LO124:LO320),"")))</f>
        <v>5.3066239316239274</v>
      </c>
      <c r="LQ124" s="12">
        <f>IF('Données projet'!$A$434&gt;35,LQ123+LP124-LY123,IF($A124&lt;'Données projet'!$A$434,$CQ$205^$A124,IF($A124='Données projet'!$A$434,'Données projet'!$B$434,LQ123+LP124-LY123)))</f>
        <v>257.0683760683757</v>
      </c>
      <c r="LR124" s="17">
        <f>LQ124*VLOOKUP('Données projet'!$B$24,Paramètres!$A$1:$I$89,3,0)*VLOOKUP('Données projet'!$B$24,Paramètres!$A$1:$I$89,5,0)</f>
        <v>260.66733333333298</v>
      </c>
      <c r="LS124" s="13">
        <f t="shared" si="212"/>
        <v>62.864605226466139</v>
      </c>
      <c r="LT124" s="14">
        <f t="shared" si="165"/>
        <v>563.48479299165012</v>
      </c>
      <c r="LU124" s="59">
        <f t="shared" si="166"/>
        <v>856.8181263249835</v>
      </c>
      <c r="LV124" s="59">
        <f ca="1">AVERAGE(OFFSET($LU$3,0,0,'Données projet'!$E$24+1,1))-AVERAGE(OFFSET($H$3,0,0,'Données projet'!$E$24+1,1))</f>
        <v>260.52627655062872</v>
      </c>
      <c r="LW124" s="59">
        <f t="shared" si="213"/>
        <v>159.20429420478047</v>
      </c>
      <c r="LX124" s="15">
        <f>IF(ISNA(VLOOKUP($A124,'Données projet'!$A$434:$I$454,3,0)),0,VLOOKUP($A124,'Données projet'!$A$434:$I$454,3,0))</f>
        <v>0</v>
      </c>
      <c r="LY124" s="15">
        <f>IF(ISNA(VLOOKUP($A124,'Données projet'!$A$434:$I$454,4,0)),0,VLOOKUP($A124,'Données projet'!$A$434:$I$454,4,0))</f>
        <v>0</v>
      </c>
      <c r="LZ124" s="16">
        <f>IF(ISNA(VLOOKUP($A124,'Données projet'!$A$434:$I$454,5,0)),0%,VLOOKUP($A124,'Données projet'!$A$434:$I$454,5,0)*VLOOKUP('Données projet'!$B$24,Paramètres!$A$1:$I$89,7,0))</f>
        <v>0</v>
      </c>
      <c r="MA124" s="16">
        <f>IF(ISNA(VLOOKUP($A124,'Données projet'!$A$434:$I$454,6,0)),0%,VLOOKUP($A124,'Données projet'!$A$434:$I$454,6,0)*VLOOKUP('Données projet'!$B$24,Paramètres!$A$1:$I$89,7,0))</f>
        <v>0</v>
      </c>
      <c r="MB124" s="16">
        <f>IF(ISNA(VLOOKUP($A124,'Données projet'!$A$434:$I$454,7,0)),0%,VLOOKUP($A124,'Données projet'!$A$434:$I$454,7,0))</f>
        <v>0</v>
      </c>
      <c r="MC124" s="21">
        <f>EXP(-LN(2)/35)*MC123+(1-EXP(-LN(2)/35))/(LN(2)/35)*LY124*LZ124*VLOOKUP('Données projet'!$B$24,Paramètres!$A$1:$I$89,3,0)*0.475*44/12</f>
        <v>34.148010299891354</v>
      </c>
      <c r="MD124" s="21">
        <f>EXP(-LN(2)/25)*MD123+(1-EXP(-LN(2)/25))/(LN(2)/25)*Calculateur!LY124*Calculateur!MA124*VLOOKUP('Données projet'!$B$24,Paramètres!$A$1:$I$89,3,0)*0.475*44/12</f>
        <v>0</v>
      </c>
      <c r="ME124" s="21">
        <f>EXP(-LN(2)/2)*ME123+(1-EXP(-LN(2)/2))/(LN(2)/2)*LY124*MB124*VLOOKUP('Données projet'!$B$24,Paramètres!$A$1:$I$89,3,0)*0.475*44/12</f>
        <v>0</v>
      </c>
      <c r="MF124" s="22">
        <f t="shared" si="167"/>
        <v>34.148010299891354</v>
      </c>
      <c r="MG124" s="74">
        <f>('Scénario référence'!$F$8+'Scénario référence'!$F$9+'Scénario référence'!$B$17+'Scénario référence'!$B$9+'Scénario référence'!$B$10)*70+IF((45+25*(1-EXP(-0.0175*$A124)))&lt;70,'Scénario référence'!$B$16*(45+25*(1-EXP(-0.0175*$A124))),70*'Scénario référence'!$B$16)+IF((32+38*(1-EXP(-0.0175*$A124)))&lt;70,'Scénario référence'!$B$18*(32+38*(1-EXP(-0.0175*$A124))),70*'Scénario référence'!$B$18)</f>
        <v>70</v>
      </c>
      <c r="MH124" s="12">
        <f>IF($A124&gt;30,10,('Scénario référence'!$B$16+'Scénario référence'!$B$17+'Scénario référence'!$B$18+'Scénario référence'!$B$9+'Scénario référence'!$B$10)*$A124*10/30+('Scénario référence'!$F$8+'Scénario référence'!$F$9)*10)</f>
        <v>10</v>
      </c>
      <c r="MI124" s="12" t="e">
        <f>VLOOKUP($A124,'Données projet'!$A$460:$I$480,2,0)</f>
        <v>#N/A</v>
      </c>
      <c r="MJ124" s="12" t="e">
        <f>VLOOKUP($A124,'Données projet'!$A$460:$I$480,9,0)</f>
        <v>#N/A</v>
      </c>
      <c r="MK124" s="12">
        <f t="array" ref="MK124">INDEX(MJ:MJ,MIN(IF(ISNUMBER(MJ124:MJ320),ROW(MJ124:MJ320),"")))</f>
        <v>0</v>
      </c>
      <c r="ML124" s="12">
        <f>IF('Données projet'!$A$460&gt;35,ML123+MK124-MT123,IF($A124&lt;'Données projet'!$A$460,$CQ$205^$A124,IF($A124='Données projet'!$A$460,'Données projet'!$B$460,ML123+MK124-MT123)))</f>
        <v>0</v>
      </c>
      <c r="MM124" s="17" t="e">
        <f>ML124*VLOOKUP('Données projet'!$B$25,Paramètres!$A$1:$I$89,3,0)*VLOOKUP('Données projet'!$B$25,Paramètres!$A$1:$I$89,5,0)</f>
        <v>#N/A</v>
      </c>
      <c r="MN124" s="13" t="e">
        <f t="shared" si="214"/>
        <v>#N/A</v>
      </c>
      <c r="MO124" s="14" t="e">
        <f t="shared" si="168"/>
        <v>#N/A</v>
      </c>
      <c r="MP124" s="59" t="e">
        <f t="shared" si="169"/>
        <v>#N/A</v>
      </c>
      <c r="MQ124" s="20" t="e">
        <f ca="1">AVERAGE(OFFSET($MP$3,0,0,'Données projet'!$E$25+1,1))-AVERAGE(OFFSET($H$3,0,0,'Données projet'!$E$25+1,1))</f>
        <v>#N/A</v>
      </c>
      <c r="MR124" s="59" t="e">
        <f t="shared" si="215"/>
        <v>#N/A</v>
      </c>
      <c r="MS124" s="15">
        <f>IF(ISNA(VLOOKUP($A124,'Données projet'!$A$460:$I$480,3,0)),0,VLOOKUP($A124,'Données projet'!$A$460:$I$480,3,0))</f>
        <v>0</v>
      </c>
      <c r="MT124" s="15">
        <f>IF(ISNA(VLOOKUP($A124,'Données projet'!$A$460:$I$480,4,0)),0,VLOOKUP($A124,'Données projet'!$A$460:$I$480,4,0))</f>
        <v>0</v>
      </c>
      <c r="MU124" s="16">
        <f>IF(ISNA(VLOOKUP($A124,'Données projet'!$A$460:$I$480,5,0)),0%,VLOOKUP($A124,'Données projet'!$A$460:$I$480,5,0)*VLOOKUP('Données projet'!$B$25,Paramètres!$A$1:$I$89,7,0))</f>
        <v>0</v>
      </c>
      <c r="MV124" s="16">
        <f>IF(ISNA(VLOOKUP($A124,'Données projet'!$A$460:$I$480,6,0)),0%,VLOOKUP($A124,'Données projet'!$A$460:$I$480,6,0)*VLOOKUP('Données projet'!$B$25,Paramètres!$A$1:$I$89,7,0))</f>
        <v>0</v>
      </c>
      <c r="MW124" s="16">
        <f>IF(ISNA(VLOOKUP($A124,'Données projet'!$A$460:$I$480,7,0)),0%,VLOOKUP($A124,'Données projet'!$A$460:$I$480,7,0))</f>
        <v>0</v>
      </c>
      <c r="MX124" s="21" t="e">
        <f>EXP(-LN(2)/35)*MX123+(1-EXP(-LN(2)/35))/(LN(2)/35)*MT124*MU124*VLOOKUP('Données projet'!$B$25,Paramètres!$A$1:$I$89,3,0)*0.475*44/12</f>
        <v>#N/A</v>
      </c>
      <c r="MY124" s="21" t="e">
        <f>EXP(-LN(2)/25)*MY123+(1-EXP(-LN(2)/25))/(LN(2)/25)*Calculateur!MT124*Calculateur!MV124*VLOOKUP('Données projet'!$B$25,Paramètres!$A$1:$I$89,3,0)*0.475*44/12</f>
        <v>#N/A</v>
      </c>
      <c r="MZ124" s="21" t="e">
        <f>EXP(-LN(2)/2)*MZ123+(1-EXP(-LN(2)/2))/(LN(2)/2)*MT124*MW124*VLOOKUP('Données projet'!$B$25,Paramètres!$A$1:$I$89,3,0)*0.475*44/12</f>
        <v>#N/A</v>
      </c>
      <c r="NA124" s="22" t="e">
        <f t="shared" si="170"/>
        <v>#N/A</v>
      </c>
      <c r="NB124" s="74">
        <f>('Scénario référence'!$F$8+'Scénario référence'!$F$9+'Scénario référence'!$B$17+'Scénario référence'!$B$9+'Scénario référence'!$B$10)*70+IF((45+25*(1-EXP(-0.0175*$A124)))&lt;70,'Scénario référence'!$B$16*(45+25*(1-EXP(-0.0175*$A124))),70*'Scénario référence'!$B$16)+IF((32+38*(1-EXP(-0.0175*$A124)))&lt;70,'Scénario référence'!$B$18*(32+38*(1-EXP(-0.0175*$A124))),70*'Scénario référence'!$B$18)</f>
        <v>70</v>
      </c>
      <c r="NC124" s="12">
        <f>IF($A124&gt;30,10,('Scénario référence'!$B$16+'Scénario référence'!$B$17+'Scénario référence'!$B$18+'Scénario référence'!$B$9+'Scénario référence'!$B$10)*$A124*10/30+('Scénario référence'!$F$8+'Scénario référence'!$F$9)*10)</f>
        <v>10</v>
      </c>
      <c r="ND124" s="12" t="e">
        <f>VLOOKUP($A124,'Données projet'!$A$486:$I$506,2,0)</f>
        <v>#N/A</v>
      </c>
      <c r="NE124" s="12" t="e">
        <f>VLOOKUP($A124,'Données projet'!$A$486:$I$506,9,0)</f>
        <v>#N/A</v>
      </c>
      <c r="NF124" s="12">
        <f t="array" ref="NF124">INDEX(NE:NE,MIN(IF(ISNUMBER(NE124:NE320),ROW(NE124:NE320),"")))</f>
        <v>0</v>
      </c>
      <c r="NG124" s="12">
        <f>IF('Données projet'!$A$486&gt;35,NG123+NF124-NO123,IF($A124&lt;'Données projet'!$A$486,$CQ$205^$A124,IF($A124='Données projet'!$A$486,'Données projet'!$B$486,NG123+NF124-NO123)))</f>
        <v>0</v>
      </c>
      <c r="NH124" s="17" t="e">
        <f>NG124*VLOOKUP('Données projet'!$B$26,Paramètres!$A$1:$I$89,3,0)*VLOOKUP('Données projet'!$B$26,Paramètres!$A$1:$I$89,5,0)</f>
        <v>#N/A</v>
      </c>
      <c r="NI124" s="13" t="e">
        <f t="shared" si="216"/>
        <v>#N/A</v>
      </c>
      <c r="NJ124" s="14" t="e">
        <f t="shared" si="171"/>
        <v>#N/A</v>
      </c>
      <c r="NK124" s="59" t="e">
        <f t="shared" si="172"/>
        <v>#N/A</v>
      </c>
      <c r="NL124" s="20" t="e">
        <f ca="1">AVERAGE(OFFSET($NK$3,0,0,'Données projet'!$E$26+1,1))-AVERAGE(OFFSET($H$3,0,0,'Données projet'!$E$26+1,1))</f>
        <v>#N/A</v>
      </c>
      <c r="NM124" s="59" t="e">
        <f t="shared" si="217"/>
        <v>#N/A</v>
      </c>
      <c r="NN124" s="15">
        <f>IF(ISNA(VLOOKUP($A124,'Données projet'!$A$486:$I$506,3,0)),0,VLOOKUP($A124,'Données projet'!$A$486:$I$506,3,0))</f>
        <v>0</v>
      </c>
      <c r="NO124" s="15">
        <f>IF(ISNA(VLOOKUP($A124,'Données projet'!$A$486:$I$506,4,0)),0,VLOOKUP($A124,'Données projet'!$A$486:$I$506,4,0))</f>
        <v>0</v>
      </c>
      <c r="NP124" s="16">
        <f>IF(ISNA(VLOOKUP($A124,'Données projet'!$A$486:$I$506,5,0)),0%,VLOOKUP($A124,'Données projet'!$A$486:$I$506,5,0)*VLOOKUP('Données projet'!$B$26,Paramètres!$A$1:$I$89,7,0))</f>
        <v>0</v>
      </c>
      <c r="NQ124" s="16">
        <f>IF(ISNA(VLOOKUP($A124,'Données projet'!$A$486:$I$506,6,0)),0%,VLOOKUP($A124,'Données projet'!$A$486:$I$506,6,0)*VLOOKUP('Données projet'!$B$26,Paramètres!$A$1:$I$89,7,0))</f>
        <v>0</v>
      </c>
      <c r="NR124" s="16">
        <f>IF(ISNA(VLOOKUP($A124,'Données projet'!$A$486:$I$506,7,0)),0%,VLOOKUP($A124,'Données projet'!$A$486:$I$506,7,0))</f>
        <v>0</v>
      </c>
      <c r="NS124" s="21" t="e">
        <f>EXP(-LN(2)/35)*NS123+(1-EXP(-LN(2)/35))/(LN(2)/35)*NO124*NP124*VLOOKUP('Données projet'!$B$26,Paramètres!$A$1:$I$89,3,0)*0.475*44/12</f>
        <v>#N/A</v>
      </c>
      <c r="NT124" s="21" t="e">
        <f>EXP(-LN(2)/25)*NT123+(1-EXP(-LN(2)/25))/(LN(2)/25)*Calculateur!NO124*Calculateur!NQ124*VLOOKUP('Données projet'!$B$26,Paramètres!$A$1:$I$89,3,0)*0.475*44/12</f>
        <v>#N/A</v>
      </c>
      <c r="NU124" s="21" t="e">
        <f>EXP(-LN(2)/2)*NU123+(1-EXP(-LN(2)/2))/(LN(2)/2)*NO124*NR124*VLOOKUP('Données projet'!$B$26,Paramètres!$A$1:$I$89,3,0)*0.475*44/12</f>
        <v>#N/A</v>
      </c>
      <c r="NV124" s="22" t="e">
        <f t="shared" si="173"/>
        <v>#N/A</v>
      </c>
      <c r="NW124" s="74">
        <f>('Scénario référence'!$F$8+'Scénario référence'!$F$9+'Scénario référence'!$B$17+'Scénario référence'!$B$9+'Scénario référence'!$B$10)*70+IF((45+25*(1-EXP(-0.0175*$A124)))&lt;70,'Scénario référence'!$B$16*(45+25*(1-EXP(-0.0175*$A124))),70*'Scénario référence'!$B$16)+IF((32+38*(1-EXP(-0.0175*$A124)))&lt;70,'Scénario référence'!$B$18*(32+38*(1-EXP(-0.0175*$A124))),70*'Scénario référence'!$B$18)</f>
        <v>70</v>
      </c>
      <c r="NX124" s="12">
        <f>IF($A124&gt;30,10,('Scénario référence'!$B$16+'Scénario référence'!$B$17+'Scénario référence'!$B$18+'Scénario référence'!$B$9+'Scénario référence'!$B$10)*$A124*10/30+('Scénario référence'!$F$8+'Scénario référence'!$F$9)*10)</f>
        <v>10</v>
      </c>
      <c r="NY124" s="12" t="e">
        <f>VLOOKUP($A124,'Données projet'!$A$512:$I$532,2,0)</f>
        <v>#N/A</v>
      </c>
      <c r="NZ124" s="12" t="e">
        <f>VLOOKUP($A124,'Données projet'!$A$512:$I$532,9,0)</f>
        <v>#N/A</v>
      </c>
      <c r="OA124" s="12">
        <f t="array" ref="OA124">INDEX(NZ:NZ,MIN(IF(ISNUMBER(NZ124:NZ320),ROW(NZ124:NZ320),"")))</f>
        <v>0</v>
      </c>
      <c r="OB124" s="12">
        <f>IF('Données projet'!$A$512&gt;35,OB123+OA124-OJ123,IF($A124&lt;'Données projet'!$A$512,$CQ$205^$A124,IF($A124='Données projet'!$A$512,'Données projet'!$B$512,OB123+OA124-OJ123)))</f>
        <v>0</v>
      </c>
      <c r="OC124" s="17" t="e">
        <f>OB124*VLOOKUP('Données projet'!$B$27,Paramètres!$A$1:$I$89,3,0)*VLOOKUP('Données projet'!$B$27,Paramètres!$A$1:$I$89,5,0)</f>
        <v>#N/A</v>
      </c>
      <c r="OD124" s="13" t="e">
        <f t="shared" si="218"/>
        <v>#N/A</v>
      </c>
      <c r="OE124" s="14" t="e">
        <f t="shared" si="174"/>
        <v>#N/A</v>
      </c>
      <c r="OF124" s="59" t="e">
        <f t="shared" si="175"/>
        <v>#N/A</v>
      </c>
      <c r="OG124" s="20" t="e">
        <f ca="1">AVERAGE(OFFSET($OF$3,0,0,'Données projet'!$E$27+1,1))-AVERAGE(OFFSET($H$3,0,0,'Données projet'!$E$27+1,1))</f>
        <v>#N/A</v>
      </c>
      <c r="OH124" s="59" t="e">
        <f t="shared" si="219"/>
        <v>#N/A</v>
      </c>
      <c r="OI124" s="15">
        <f>IF(ISNA(VLOOKUP($A124,'Données projet'!$A$512:$I$532,3,0)),0,VLOOKUP($A124,'Données projet'!$A$512:$I$532,3,0))</f>
        <v>0</v>
      </c>
      <c r="OJ124" s="15">
        <f>IF(ISNA(VLOOKUP($A124,'Données projet'!$A$512:$I$532,4,0)),0,VLOOKUP($A124,'Données projet'!$A$512:$I$532,4,0))</f>
        <v>0</v>
      </c>
      <c r="OK124" s="16">
        <f>IF(ISNA(VLOOKUP($A124,'Données projet'!$A$512:$I$532,5,0)),0%,VLOOKUP($A124,'Données projet'!$A$512:$I$532,5,0)*VLOOKUP('Données projet'!$B$27,Paramètres!$A$1:$I$89,7,0))</f>
        <v>0</v>
      </c>
      <c r="OL124" s="16">
        <f>IF(ISNA(VLOOKUP($A124,'Données projet'!$A$512:$I$532,6,0)),0%,VLOOKUP($A124,'Données projet'!$A$512:$I$532,6,0)*VLOOKUP('Données projet'!$B$27,Paramètres!$A$1:$I$89,7,0))</f>
        <v>0</v>
      </c>
      <c r="OM124" s="16">
        <f>IF(ISNA(VLOOKUP($A124,'Données projet'!$A$512:$I$532,7,0)),0%,VLOOKUP($A124,'Données projet'!$A$512:$I$532,7,0))</f>
        <v>0</v>
      </c>
      <c r="ON124" s="21" t="e">
        <f>EXP(-LN(2)/35)*ON123+(1-EXP(-LN(2)/35))/(LN(2)/35)*OJ124*OK124*VLOOKUP('Données projet'!$B$27,Paramètres!$A$1:$I$89,3,0)*0.475*44/12</f>
        <v>#N/A</v>
      </c>
      <c r="OO124" s="21" t="e">
        <f>EXP(-LN(2)/25)*OO123+(1-EXP(-LN(2)/25))/(LN(2)/25)*Calculateur!OJ124*Calculateur!OL124*VLOOKUP('Données projet'!$B$27,Paramètres!$A$1:$I$89,3,0)*0.475*44/12</f>
        <v>#N/A</v>
      </c>
      <c r="OP124" s="21" t="e">
        <f>EXP(-LN(2)/2)*OP123+(1-EXP(-LN(2)/2))/(LN(2)/2)*OJ124*OM124*VLOOKUP('Données projet'!$B$27,Paramètres!$A$1:$I$89,3,0)*0.475*44/12</f>
        <v>#N/A</v>
      </c>
      <c r="OQ124" s="22" t="e">
        <f t="shared" si="176"/>
        <v>#N/A</v>
      </c>
      <c r="OR124" s="74">
        <f>('Scénario référence'!$F$8+'Scénario référence'!$F$9+'Scénario référence'!$B$17+'Scénario référence'!$B$9+'Scénario référence'!$B$10)*70+IF((45+25*(1-EXP(-0.0175*$A124)))&lt;70,'Scénario référence'!$B$16*(45+25*(1-EXP(-0.0175*$A124))),70*'Scénario référence'!$B$16)+IF((32+38*(1-EXP(-0.0175*$A124)))&lt;70,'Scénario référence'!$B$18*(32+38*(1-EXP(-0.0175*$A124))),70*'Scénario référence'!$B$18)</f>
        <v>70</v>
      </c>
      <c r="OS124" s="12">
        <f>IF($A124&gt;30,10,('Scénario référence'!$B$16+'Scénario référence'!$B$17+'Scénario référence'!$B$18+'Scénario référence'!$B$9+'Scénario référence'!$B$10)*$A124*10/30+('Scénario référence'!$F$8+'Scénario référence'!$F$9)*10)</f>
        <v>10</v>
      </c>
      <c r="OT124" s="12" t="e">
        <f>VLOOKUP($A124,'Données projet'!$A$538:$I$558,2,0)</f>
        <v>#N/A</v>
      </c>
      <c r="OU124" s="12" t="e">
        <f>VLOOKUP($A124,'Données projet'!$A$538:$I$558,9,0)</f>
        <v>#N/A</v>
      </c>
      <c r="OV124" s="12">
        <f t="array" ref="OV124">INDEX(OU:OU,MIN(IF(ISNUMBER(OU124:OU320),ROW(OU124:OU320),"")))</f>
        <v>0</v>
      </c>
      <c r="OW124" s="12">
        <f>IF('Données projet'!$A$538&gt;35,OW123+OV124-PE123,IF($A124&lt;'Données projet'!$A$538,$CQ$205^$A124,IF($A124='Données projet'!$A$538,'Données projet'!$B$538,OW123+OV124-PE123)))</f>
        <v>0</v>
      </c>
      <c r="OX124" s="17" t="e">
        <f>OW124*VLOOKUP('Données projet'!$B$28,Paramètres!$A$1:$I$89,3,0)*VLOOKUP('Données projet'!$B$28,Paramètres!$A$1:$I$89,5,0)</f>
        <v>#N/A</v>
      </c>
      <c r="OY124" s="13" t="e">
        <f t="shared" si="220"/>
        <v>#N/A</v>
      </c>
      <c r="OZ124" s="14" t="e">
        <f t="shared" si="177"/>
        <v>#N/A</v>
      </c>
      <c r="PA124" s="59" t="e">
        <f t="shared" si="178"/>
        <v>#N/A</v>
      </c>
      <c r="PB124" s="20" t="e">
        <f ca="1">AVERAGE(OFFSET($PA$3,0,0,'Données projet'!$E$28+1,1))-AVERAGE(OFFSET($H$3,0,0,'Données projet'!$E$28+1,1))</f>
        <v>#N/A</v>
      </c>
      <c r="PC124" s="59" t="e">
        <f t="shared" si="221"/>
        <v>#N/A</v>
      </c>
      <c r="PD124" s="15">
        <f>IF(ISNA(VLOOKUP($A124,'Données projet'!$A$538:$I$558,3,0)),0,VLOOKUP($A124,'Données projet'!$A$538:$I$558,3,0))</f>
        <v>0</v>
      </c>
      <c r="PE124" s="15">
        <f>IF(ISNA(VLOOKUP($A124,'Données projet'!$A$538:$I$558,4,0)),0,VLOOKUP($A124,'Données projet'!$A$538:$I$558,4,0))</f>
        <v>0</v>
      </c>
      <c r="PF124" s="16">
        <f>IF(ISNA(VLOOKUP($A124,'Données projet'!$A$538:$I$558,5,0)),0%,VLOOKUP($A124,'Données projet'!$A$538:$I$558,5,0)*VLOOKUP('Données projet'!$B$28,Paramètres!$A$1:$I$89,7,0))</f>
        <v>0</v>
      </c>
      <c r="PG124" s="16">
        <f>IF(ISNA(VLOOKUP($A124,'Données projet'!$A$538:$I$558,6,0)),0%,VLOOKUP($A124,'Données projet'!$A$538:$I$558,6,0)*VLOOKUP('Données projet'!$B$28,Paramètres!$A$1:$I$89,7,0))</f>
        <v>0</v>
      </c>
      <c r="PH124" s="16">
        <f>IF(ISNA(VLOOKUP($A124,'Données projet'!$A$538:$I$558,7,0)),0%,VLOOKUP($A124,'Données projet'!$A$538:$I$558,7,0))</f>
        <v>0</v>
      </c>
      <c r="PI124" s="21" t="e">
        <f>EXP(-LN(2)/35)*PI123+(1-EXP(-LN(2)/35))/(LN(2)/35)*PE124*PF124*VLOOKUP('Données projet'!$B$28,Paramètres!$A$1:$I$89,3,0)*0.475*44/12</f>
        <v>#N/A</v>
      </c>
      <c r="PJ124" s="21" t="e">
        <f>EXP(-LN(2)/25)*PJ123+(1-EXP(-LN(2)/25))/(LN(2)/25)*Calculateur!PE124*Calculateur!PG124*VLOOKUP('Données projet'!$B$28,Paramètres!$A$1:$I$89,3,0)*0.475*44/12</f>
        <v>#N/A</v>
      </c>
      <c r="PK124" s="21" t="e">
        <f>EXP(-LN(2)/2)*PK123+(1-EXP(-LN(2)/2))/(LN(2)/2)*PE124*PH124*VLOOKUP('Données projet'!$B$28,Paramètres!$A$1:$I$89,3,0)*0.475*44/12</f>
        <v>#N/A</v>
      </c>
      <c r="PL124" s="22" t="e">
        <f t="shared" si="179"/>
        <v>#N/A</v>
      </c>
    </row>
    <row r="125" spans="1:428" x14ac:dyDescent="0.35">
      <c r="A125" s="10">
        <f t="shared" si="180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181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121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projet'!$A$45:$I$65,2,0)</f>
        <v>#N/A</v>
      </c>
      <c r="L125" s="12" t="e">
        <f>VLOOKUP(A125,'Données projet'!$A$45:$I$65,9,0)</f>
        <v>#N/A</v>
      </c>
      <c r="M125" s="12">
        <f t="array" ref="M125">INDEX(L:L,MIN(IF(ISNUMBER(L125:L321),ROW(L125:L321),"")))</f>
        <v>0</v>
      </c>
      <c r="N125" s="13">
        <f>IF('Données projet'!$A$46&gt;35,N124+M125-V124,IF(A125&lt;'Données projet'!$A$46,$K$205^A125,IF(A125='Données projet'!$A$46,'Données projet'!$B$46,N124+M125-V124)))</f>
        <v>-1.1368683772161603E-13</v>
      </c>
      <c r="O125" s="13">
        <f>N125*VLOOKUP('Données projet'!$B$9,Paramètres!$A$1:$I$89,3,0)*VLOOKUP('Données projet'!$B$9,Paramètres!$A$1:$I$89,5,0)</f>
        <v>-6.3550942286383367E-14</v>
      </c>
      <c r="P125" s="13" t="e">
        <f t="shared" si="182"/>
        <v>#NUM!</v>
      </c>
      <c r="Q125" s="20" t="e">
        <f t="shared" si="222"/>
        <v>#NUM!</v>
      </c>
      <c r="R125" s="59" t="e">
        <f t="shared" si="120"/>
        <v>#NUM!</v>
      </c>
      <c r="S125" s="59">
        <f ca="1">AVERAGE(OFFSET($R$3,0,0,'Données projet'!$E$9+1,1))-AVERAGE(OFFSET($H$3,0,0,'Données projet'!$E$9+1,1))</f>
        <v>274.57619581652199</v>
      </c>
      <c r="T125" s="59">
        <f t="shared" si="183"/>
        <v>366.15117322598775</v>
      </c>
      <c r="U125" s="15">
        <f>IF(ISNA(VLOOKUP(A125,'Données projet'!$A$45:$I$65,3,0)),0,VLOOKUP(A125,'Données projet'!$A$45:$I$65,3,0))</f>
        <v>0</v>
      </c>
      <c r="V125" s="15">
        <f>IF(ISNA(VLOOKUP(A125,'Données projet'!$A$45:$I$65,4,0)),0,VLOOKUP(A125,'Données projet'!$A$45:$I$65,4,0))</f>
        <v>0</v>
      </c>
      <c r="W125" s="16">
        <f>IF(ISNA(VLOOKUP(A125,'Données projet'!$A$45:$I$65,5,0)),0%,VLOOKUP(A125,'Données projet'!$A$45:$I$65,5,0)*VLOOKUP('Données projet'!$B$9,Paramètres!$A$1:$I$89,7,0))</f>
        <v>0</v>
      </c>
      <c r="X125" s="16">
        <f>IF(ISNA(VLOOKUP(A125,'Données projet'!$A$45:$I$65,6,0)),0%,VLOOKUP(A125,'Données projet'!$A$45:$I$65,6,0)*VLOOKUP('Données projet'!$B$9,Paramètres!$A$1:$I$89,7,0))</f>
        <v>0</v>
      </c>
      <c r="Y125" s="16">
        <f>IF(ISNA(VLOOKUP(A125,'Données projet'!$A$45:$I$65,7,0)),0%,VLOOKUP(A125,'Données projet'!$A$45:$I$65,7,0))</f>
        <v>0</v>
      </c>
      <c r="Z125" s="21">
        <f>EXP(-LN(2)/35)*Z124+(1-EXP(-LN(2)/35))/(LN(2)/35)*V125*W125*VLOOKUP('Données projet'!$B$9,Paramètres!$A$1:$I$89,3,0)*0.475*44/12</f>
        <v>60.132861802353389</v>
      </c>
      <c r="AA125" s="21">
        <f>EXP(-LN(2)/25)*AA124+(1-EXP(-LN(2)/25))/(LN(2)/25)*Calculateur!V125*Calculateur!X125*VLOOKUP('Données projet'!$B$9,Paramètres!$A$1:$I$89,3,0)*0.475*44/12</f>
        <v>8.989178410000024</v>
      </c>
      <c r="AB125" s="21">
        <f>EXP(-LN(2)/2)*AB124+(1-EXP(-LN(2)/2))/(LN(2)/2)*V125*Y125*VLOOKUP('Données projet'!$B$9,Paramètres!$A$1:$I$89,3,0)*0.475*44/12</f>
        <v>2.8120923921795432E-9</v>
      </c>
      <c r="AC125" s="22">
        <f t="shared" si="122"/>
        <v>69.122040215165498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projet'!$A$71:$I$91,2,0)</f>
        <v>#N/A</v>
      </c>
      <c r="AG125" s="12" t="e">
        <f>VLOOKUP(A125,'Données projet'!$A$71:$I$91,9,0)</f>
        <v>#N/A</v>
      </c>
      <c r="AH125" s="12">
        <f t="array" ref="AH125">INDEX(AG:AG,MIN(IF(ISNUMBER(AG125:AG321),ROW(AG125:AG321),"")))</f>
        <v>3.8301282051282044</v>
      </c>
      <c r="AI125" s="13">
        <f>IF('Données projet'!$A$72&gt;35,AI124+AH125-AQ124,IF(A125&lt;'Données projet'!$A$72,$AF$205^A125,IF(A125='Données projet'!$A$72,'Données projet'!$B$72,AI124+AH125-AQ124)))</f>
        <v>218.80448717948767</v>
      </c>
      <c r="AJ125" s="13">
        <f>AI125*VLOOKUP('Données projet'!$B$10,Paramètres!$A$1:$I$89,3,0)*VLOOKUP('Données projet'!$B$10,Paramètres!$A$1:$I$89,5,0)</f>
        <v>197.97430000000043</v>
      </c>
      <c r="AK125" s="13">
        <f t="shared" si="184"/>
        <v>49.298716754178493</v>
      </c>
      <c r="AL125" s="20">
        <f t="shared" si="123"/>
        <v>430.66717084686161</v>
      </c>
      <c r="AM125" s="59">
        <f t="shared" si="124"/>
        <v>724.00050418019487</v>
      </c>
      <c r="AN125" s="59">
        <f ca="1">AVERAGE(OFFSET($AM$3,0,0,'Données projet'!$E$10+1,1))-AVERAGE(OFFSET($H$3,0,0,'Données projet'!$E$10+1,1))</f>
        <v>270.87836509222456</v>
      </c>
      <c r="AO125" s="59">
        <f t="shared" si="185"/>
        <v>205.24998237949734</v>
      </c>
      <c r="AP125" s="15">
        <f>IF(ISNA(VLOOKUP(A125,'Données projet'!$A$71:$I$91,3,0)),0,VLOOKUP(A125,'Données projet'!$A$71:$I$91,3,0))</f>
        <v>0</v>
      </c>
      <c r="AQ125" s="15">
        <f>IF(ISNA(VLOOKUP(A125,'Données projet'!$A$71:$I$91,4,0)),0,VLOOKUP(A125,'Données projet'!$A$71:$I$91,4,0))</f>
        <v>0</v>
      </c>
      <c r="AR125" s="16">
        <f>IF(ISNA(VLOOKUP(A125,'Données projet'!$A$71:$I$91,5,0)),0%,VLOOKUP(A125,'Données projet'!$A$71:$I$91,5,0)*VLOOKUP('Données projet'!$B$10,Paramètres!$A$1:$I$89,7,0))</f>
        <v>0</v>
      </c>
      <c r="AS125" s="16">
        <f>IF(ISNA(VLOOKUP(A125,'Données projet'!$A$71:$I$91,6,0)),0%,VLOOKUP(A125,'Données projet'!$A$71:$I$91,6,0)*VLOOKUP('Données projet'!$B$10,Paramètres!$A$1:$I$89,7,0))</f>
        <v>0</v>
      </c>
      <c r="AT125" s="16">
        <f>IF(ISNA(VLOOKUP(A125,'Données projet'!$A$71:$I$91,7,0)),0%,VLOOKUP(A125,'Données projet'!$A$71:$I$91,7,0))</f>
        <v>0</v>
      </c>
      <c r="AU125" s="21">
        <f>EXP(-LN(2)/35)*AU124+(1-EXP(-LN(2)/35))/(LN(2)/35)*AQ125*AR125*VLOOKUP('Données projet'!$B$10,Paramètres!$A$1:$I$89,3,0)*0.475*44/12</f>
        <v>101.23442869170525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125"/>
        <v>101.23442869170525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projet'!$A$97:$I$117,2,0)</f>
        <v>#N/A</v>
      </c>
      <c r="BB125" s="12" t="e">
        <f>VLOOKUP(A125,'Données projet'!$A$97:$I$117,9,0)</f>
        <v>#N/A</v>
      </c>
      <c r="BC125" s="12">
        <f t="array" ref="BC125">INDEX(BB:BB,MIN(IF(ISNUMBER(BB125:BB321),ROW(BB125:BB321),"")))</f>
        <v>0</v>
      </c>
      <c r="BD125" s="12">
        <f>IF('Données projet'!$A$98&gt;35,BD124+BC125-BL124,IF(A125&lt;'Données projet'!$A$98,$BA$205^A125,IF(A125='Données projet'!$A$98,'Données projet'!$B$98,BD124+BC125-BL124)))</f>
        <v>-1.1368683772161603E-13</v>
      </c>
      <c r="BE125" s="13">
        <f>BD125*VLOOKUP('Données projet'!$B$11,Paramètres!$A$1:$I$89,3,0)*VLOOKUP('Données projet'!$B$11,Paramètres!$A$1:$I$89,5,0)</f>
        <v>-5.0249582272954292E-14</v>
      </c>
      <c r="BF125" s="13" t="e">
        <f t="shared" si="186"/>
        <v>#NUM!</v>
      </c>
      <c r="BG125" s="20" t="e">
        <f t="shared" si="126"/>
        <v>#NUM!</v>
      </c>
      <c r="BH125" s="59" t="e">
        <f t="shared" si="127"/>
        <v>#NUM!</v>
      </c>
      <c r="BI125" s="59">
        <f ca="1">AVERAGE(OFFSET($BH$3,0,0,'Données projet'!$E$11+1,1))-AVERAGE(OFFSET($H$3,0,0,'Données projet'!$E$11+1,1))</f>
        <v>211.31057120485542</v>
      </c>
      <c r="BJ125" s="59">
        <f t="shared" si="187"/>
        <v>283.33292006714777</v>
      </c>
      <c r="BK125" s="15">
        <f>IF(ISNA(VLOOKUP(A125,'Données projet'!$A$97:$I$117,3,0)),0,VLOOKUP(A125,'Données projet'!$A$97:$I$117,3,0))</f>
        <v>0</v>
      </c>
      <c r="BL125" s="15">
        <f>IF(ISNA(VLOOKUP(A125,'Données projet'!$A$97:$I$117,4,0)),0,VLOOKUP(A125,'Données projet'!$A$97:$I$117,4,0))</f>
        <v>0</v>
      </c>
      <c r="BM125" s="16">
        <f>IF(ISNA(VLOOKUP(A125,'Données projet'!$A$97:$I$117,5,0)),0%,VLOOKUP(A125,'Données projet'!$A$97:$I$117,5,0)*VLOOKUP('Données projet'!$B$11,Paramètres!$A$1:$I$89,7,0))</f>
        <v>0</v>
      </c>
      <c r="BN125" s="16">
        <f>IF(ISNA(VLOOKUP(A125,'Données projet'!$A$97:$I$117,6,0)),0%,VLOOKUP(A125,'Données projet'!$A$97:$I$117,6,0)*VLOOKUP('Données projet'!$B$11,Paramètres!$A$1:$I$89,7,0))</f>
        <v>0</v>
      </c>
      <c r="BO125" s="16">
        <f>IF(ISNA(VLOOKUP(A125,'Données projet'!$A$97:$I$117,7,0)),0%,VLOOKUP(A125,'Données projet'!$A$97:$I$117,7,0))</f>
        <v>0</v>
      </c>
      <c r="BP125" s="21">
        <f>EXP(-LN(2)/35)*BP124+(1-EXP(-LN(2)/35))/(LN(2)/35)*BL125*BM125*VLOOKUP('Données projet'!$B$11,Paramètres!$A$1:$I$89,3,0)*0.475*44/12</f>
        <v>47.546913983256182</v>
      </c>
      <c r="BQ125" s="21">
        <f>EXP(-LN(2)/25)*BQ124+(1-EXP(-LN(2)/25))/(LN(2)/25)*Calculateur!BL125*Calculateur!BN125*VLOOKUP('Données projet'!$B$11,Paramètres!$A$1:$I$89,3,0)*0.475*44/12</f>
        <v>7.107722463720946</v>
      </c>
      <c r="BR125" s="21">
        <f>EXP(-LN(2)/2)*BR124+(1-EXP(-LN(2)/2))/(LN(2)/2)*BL125*BO125*VLOOKUP('Données projet'!$B$11,Paramètres!$A$1:$I$89,3,0)*0.475*44/12</f>
        <v>2.2235149147466151E-9</v>
      </c>
      <c r="BS125" s="22">
        <f t="shared" si="128"/>
        <v>54.654636449200645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projet'!$A$123:$I$143,2,0)</f>
        <v>#N/A</v>
      </c>
      <c r="BW125" s="12" t="e">
        <f>VLOOKUP(A125,'Données projet'!$A$123:$I$143,9,0)</f>
        <v>#N/A</v>
      </c>
      <c r="BX125" s="12">
        <f t="array" ref="BX125">INDEX(BW:BW,MIN(IF(ISNUMBER(BW125:BW321),ROW(BW125:BW321),"")))</f>
        <v>0</v>
      </c>
      <c r="BY125" s="12">
        <f>IF('Données projet'!$A$124&gt;35,BY124+BX125-CG124,IF(A125&lt;'Données projet'!$A$124,$BV$205^A125,IF(A125='Données projet'!$A$124,'Données projet'!$B$124,BY124+BX125-CG124)))</f>
        <v>0</v>
      </c>
      <c r="BZ125" s="13">
        <f>BY125*VLOOKUP('Données projet'!$B$12,Paramètres!$A$1:$I$89,3,0)*VLOOKUP('Données projet'!$B$12,Paramètres!$A$1:$I$89,5,0)</f>
        <v>0</v>
      </c>
      <c r="CA125" s="13" t="e">
        <f t="shared" si="188"/>
        <v>#NUM!</v>
      </c>
      <c r="CB125" s="20" t="e">
        <f t="shared" si="129"/>
        <v>#NUM!</v>
      </c>
      <c r="CC125" s="59" t="e">
        <f t="shared" si="130"/>
        <v>#NUM!</v>
      </c>
      <c r="CD125" s="59">
        <f ca="1">AVERAGE(OFFSET($CC$3,0,0,'Données projet'!$E$12+1,1))-AVERAGE(OFFSET($H$3,0,0,'Données projet'!$E$12+1,1))</f>
        <v>322.93502595881938</v>
      </c>
      <c r="CE125" s="59">
        <f t="shared" si="189"/>
        <v>302.67072119588164</v>
      </c>
      <c r="CF125" s="15">
        <f>IF(ISNA(VLOOKUP(A125,'Données projet'!$A$123:$I$143,3,0)),0,VLOOKUP(A125,'Données projet'!$A$123:$I$143,3,0))</f>
        <v>0</v>
      </c>
      <c r="CG125" s="15">
        <f>IF(ISNA(VLOOKUP(A125,'Données projet'!$A$123:$I$143,4,0)),0,VLOOKUP(A125,'Données projet'!$A$123:$I$143,4,0))</f>
        <v>0</v>
      </c>
      <c r="CH125" s="16">
        <f>IF(ISNA(VLOOKUP(A125,'Données projet'!$A$123:$I$143,5,0)),0%,VLOOKUP(A125,'Données projet'!$A$123:$I$143,5,0)*VLOOKUP('Données projet'!$B$12,Paramètres!$A$1:$I$89,7,0))</f>
        <v>0</v>
      </c>
      <c r="CI125" s="16">
        <f>IF(ISNA(VLOOKUP(A125,'Données projet'!$A$123:$I$143,6,0)),0%,VLOOKUP(A125,'Données projet'!$A$123:$I$143,6,0)*VLOOKUP('Données projet'!$B$12,Paramètres!$A$1:$I$89,7,0))</f>
        <v>0</v>
      </c>
      <c r="CJ125" s="16">
        <f>IF(ISNA(VLOOKUP(A125,'Données projet'!$A$123:$I$143,7,0)),0%,VLOOKUP(A125,'Données projet'!$A$123:$I$143,7,0))</f>
        <v>0</v>
      </c>
      <c r="CK125" s="21">
        <f>EXP(-LN(2)/35)*CK124+(1-EXP(-LN(2)/35))/(LN(2)/35)*CG125*CH125*VLOOKUP('Données projet'!$B$12,Paramètres!$A$1:$I$89,3,0)*0.475*44/12</f>
        <v>75.753722936427394</v>
      </c>
      <c r="CL125" s="21">
        <f>EXP(-LN(2)/25)*CL124+(1-EXP(-LN(2)/25))/(LN(2)/25)*Calculateur!CG125*Calculateur!CI125*VLOOKUP('Données projet'!$B$12,Paramètres!$A$1:$I$89,3,0)*0.475*44/12</f>
        <v>22.749012332977703</v>
      </c>
      <c r="CM125" s="21">
        <f>EXP(-LN(2)/2)*CM124+(1-EXP(-LN(2)/2))/(LN(2)/2)*CG125*CJ125*VLOOKUP('Données projet'!$B$12,Paramètres!$A$1:$I$89,3,0)*0.475*44/12</f>
        <v>0</v>
      </c>
      <c r="CN125" s="22">
        <f t="shared" si="131"/>
        <v>98.502735269405093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projet'!$A$149:$I$169,2,0)</f>
        <v>#N/A</v>
      </c>
      <c r="CR125" s="12" t="e">
        <f>VLOOKUP(A125,'Données projet'!$A$149:$I$169,9,0)</f>
        <v>#N/A</v>
      </c>
      <c r="CS125" s="12">
        <f t="array" ref="CS125">INDEX(CR:CR,MIN(IF(ISNUMBER(CR125:CR321),ROW(CR125:CR321),"")))</f>
        <v>5.3066239316239274</v>
      </c>
      <c r="CT125" s="12">
        <f>IF('Données projet'!$A$150&gt;35,CT124+CS125-DB124,IF(A125&lt;'Données projet'!$A$150,$CQ$205^A125,IF(A125='Données projet'!$A$150,'Données projet'!$B$150,CT124+CS125-DB124)))</f>
        <v>262.3749999999996</v>
      </c>
      <c r="CU125" s="17">
        <f>CT125*VLOOKUP('Données projet'!$B$13,Paramètres!$A$1:$I$89,3,0)*VLOOKUP('Données projet'!$B$13,Paramètres!$A$1:$I$89,5,0)</f>
        <v>266.04824999999965</v>
      </c>
      <c r="CV125" s="13">
        <f t="shared" si="190"/>
        <v>64.009889891284331</v>
      </c>
      <c r="CW125" s="20">
        <f t="shared" si="132"/>
        <v>574.85126031065295</v>
      </c>
      <c r="CX125" s="59">
        <f t="shared" si="133"/>
        <v>868.18459364398632</v>
      </c>
      <c r="CY125" s="59">
        <f ca="1">AVERAGE(OFFSET($CX$3,0,0,'Données projet'!$E$13+1,1))-AVERAGE(OFFSET($H$3,0,0,'Données projet'!$E$13+1,1))</f>
        <v>250.31277422753283</v>
      </c>
      <c r="CZ125" s="59">
        <f t="shared" si="191"/>
        <v>159.20429420478047</v>
      </c>
      <c r="DA125" s="15">
        <f>IF(ISNA(VLOOKUP(A125,'Données projet'!$A$149:$I$169,3,0)),0,VLOOKUP(A125,'Données projet'!$A$149:$I$169,3,0))</f>
        <v>0</v>
      </c>
      <c r="DB125" s="15">
        <f>IF(ISNA(VLOOKUP(A125,'Données projet'!$A$149:$I$169,4,0)),0,VLOOKUP(A125,'Données projet'!$A$149:$I$169,4,0))</f>
        <v>0</v>
      </c>
      <c r="DC125" s="16">
        <f>IF(ISNA(VLOOKUP(A125,'Données projet'!$A$149:$I$169,5,0)),0%,VLOOKUP(A125,'Données projet'!$A$149:$I$169,5,0)*VLOOKUP('Données projet'!$B$13,Paramètres!$A$1:$I$89,7,0))</f>
        <v>0</v>
      </c>
      <c r="DD125" s="16">
        <f>IF(ISNA(VLOOKUP(A125,'Données projet'!$A$149:$I$169,6,0)),0%,VLOOKUP(A125,'Données projet'!$A$149:$I$169,6,0)*VLOOKUP('Données projet'!$B$13,Paramètres!$A$1:$I$89,7,0))</f>
        <v>0</v>
      </c>
      <c r="DE125" s="16">
        <f>IF(ISNA(VLOOKUP(A125,'Données projet'!$A$149:$I$169,7,0)),0%,VLOOKUP(A125,'Données projet'!$A$149:$I$169,7,0))</f>
        <v>0</v>
      </c>
      <c r="DF125" s="21">
        <f>EXP(-LN(2)/35)*DF124+(1-EXP(-LN(2)/35))/(LN(2)/35)*DB125*DC125*VLOOKUP('Données projet'!$B$13,Paramètres!$A$1:$I$89,3,0)*0.475*44/12</f>
        <v>33.478388646140154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134"/>
        <v>33.478388646140154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projet'!$A$175:$I$195,2,0)</f>
        <v>#N/A</v>
      </c>
      <c r="DM125" s="12" t="e">
        <f>VLOOKUP(A125,'Données projet'!$A$175:$I$195,9,0)</f>
        <v>#N/A</v>
      </c>
      <c r="DN125" s="12">
        <f t="array" ref="DN125">INDEX(DM:DM,MIN(IF(ISNUMBER(DM125:DM321),ROW(DM125:DM321),"")))</f>
        <v>0</v>
      </c>
      <c r="DO125" s="12">
        <f>IF('Données projet'!$A$176&gt;35,DO124+DN125-DW124,IF(A125&lt;'Données projet'!$A$176,$DL$205^A125,IF(A125='Données projet'!$A$176,'Données projet'!$B$176,DO124+DN125-DW124)))</f>
        <v>-2.8421709430404007E-13</v>
      </c>
      <c r="DP125" s="17">
        <f>DO125*VLOOKUP('Données projet'!$B$14,Paramètres!$A$1:$I$89,3,0)*VLOOKUP('Données projet'!$B$14,Paramètres!$A$1:$I$89,5,0)</f>
        <v>-2.0838797354372215E-13</v>
      </c>
      <c r="DQ125" s="13" t="e">
        <f t="shared" si="192"/>
        <v>#NUM!</v>
      </c>
      <c r="DR125" s="20" t="e">
        <f t="shared" si="135"/>
        <v>#NUM!</v>
      </c>
      <c r="DS125" s="59" t="e">
        <f t="shared" si="136"/>
        <v>#NUM!</v>
      </c>
      <c r="DT125" s="59">
        <f ca="1">AVERAGE(OFFSET($DS$3,0,0,'Données projet'!$E$14+1,1))-AVERAGE(OFFSET($H$3,0,0,'Données projet'!$E$14+1,1))</f>
        <v>296.91321813251051</v>
      </c>
      <c r="DU125" s="59">
        <f t="shared" si="193"/>
        <v>291.0718079639509</v>
      </c>
      <c r="DV125" s="15">
        <f>IF(ISNA(VLOOKUP(A125,'Données projet'!$A$175:$I$195,3,0)),0,VLOOKUP(A125,'Données projet'!$A$175:$I$195,3,0))</f>
        <v>0</v>
      </c>
      <c r="DW125" s="15">
        <f>IF(ISNA(VLOOKUP(A125,'Données projet'!$A$175:$I$195,4,0)),0,VLOOKUP(A125,'Données projet'!$A$175:$I$195,4,0))</f>
        <v>0</v>
      </c>
      <c r="DX125" s="16">
        <f>IF(ISNA(VLOOKUP(A125,'Données projet'!$A$175:$I$195,5,0)),0%,VLOOKUP(A125,'Données projet'!$A$175:$I$195,5,0)*VLOOKUP('Données projet'!$B$14,Paramètres!$A$1:$I$89,7,0))</f>
        <v>0</v>
      </c>
      <c r="DY125" s="16">
        <f>IF(ISNA(VLOOKUP(A125,'Données projet'!$A$175:$I$195,6,0)),0%,VLOOKUP(A125,'Données projet'!$A$175:$I$195,6,0)*VLOOKUP('Données projet'!$B$14,Paramètres!$A$1:$I$89,7,0))</f>
        <v>0</v>
      </c>
      <c r="DZ125" s="16">
        <f>IF(ISNA(VLOOKUP(A125,'Données projet'!$A$175:$I$195,7,0)),0%,VLOOKUP(A125,'Données projet'!$A$175:$I$195,7,0))</f>
        <v>0</v>
      </c>
      <c r="EA125" s="21">
        <f>EXP(-LN(2)/35)*EA124+(1-EXP(-LN(2)/35))/(LN(2)/35)*DW125*DX125*VLOOKUP('Données projet'!$B$14,Paramètres!$A$1:$I$89,3,0)*0.475*44/12</f>
        <v>75.502141569187344</v>
      </c>
      <c r="EB125" s="21">
        <f>EXP(-LN(2)/25)*EB124+(1-EXP(-LN(2)/25))/(LN(2)/25)*Calculateur!DW125*Calculateur!DY125*VLOOKUP('Données projet'!$B$14,Paramètres!$A$1:$I$89,3,0)*0.475*44/12</f>
        <v>1.6711630780971323</v>
      </c>
      <c r="EC125" s="21">
        <f>EXP(-LN(2)/2)*EC124+(1-EXP(-LN(2)/2))/(LN(2)/2)*DW125*DZ125*VLOOKUP('Données projet'!$B$14,Paramètres!$A$1:$I$89,3,0)*0.475*44/12</f>
        <v>0</v>
      </c>
      <c r="ED125" s="22">
        <f t="shared" si="137"/>
        <v>77.173304647284482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projet'!$A$201:$I$221,2,0)</f>
        <v>#N/A</v>
      </c>
      <c r="EH125" s="12" t="e">
        <f>VLOOKUP(A125,'Données projet'!$A$201:$I$221,9,0)</f>
        <v>#N/A</v>
      </c>
      <c r="EI125" s="12">
        <f t="array" ref="EI125">INDEX(EH:EH,MIN(IF(ISNUMBER(EH125:EH321),ROW(EH125:EH321),"")))</f>
        <v>0</v>
      </c>
      <c r="EJ125" s="12">
        <f>IF('Données projet'!$A$202&gt;35,EJ124+EI125-ER124,IF(A125&lt;'Données projet'!$A$202,$EG$205^A125,IF(A125='Données projet'!$A$202,'Données projet'!$B$202,EJ124+EI125-ER124)))</f>
        <v>5.1159076974727213E-13</v>
      </c>
      <c r="EK125" s="17">
        <f>EJ125*VLOOKUP('Données projet'!$B$15,Paramètres!$A$1:$I$89,3,0)*VLOOKUP('Données projet'!$B$15,Paramètres!$A$1:$I$89,5,0)</f>
        <v>2.3942448024172334E-13</v>
      </c>
      <c r="EL125" s="13">
        <f t="shared" si="194"/>
        <v>3.2492669905861755E-12</v>
      </c>
      <c r="EM125" s="20">
        <f t="shared" si="138"/>
        <v>6.0761376450252565E-12</v>
      </c>
      <c r="EN125" s="59">
        <f t="shared" si="139"/>
        <v>293.3333333333394</v>
      </c>
      <c r="EO125" s="59">
        <f ca="1">AVERAGE(OFFSET($EN$3,0,0,'Données projet'!$E$15+1,1))-AVERAGE(OFFSET($H$3,0,0,'Données projet'!$E$15+1,1))</f>
        <v>147.64256291235483</v>
      </c>
      <c r="EP125" s="59">
        <f t="shared" si="195"/>
        <v>70.859031694091868</v>
      </c>
      <c r="EQ125" s="15">
        <f>IF(ISNA(VLOOKUP(A125,'Données projet'!$A$201:$I$221,3,0)),0,VLOOKUP(A125,'Données projet'!$A$201:$I$221,3,0))</f>
        <v>0</v>
      </c>
      <c r="ER125" s="15">
        <f>IF(ISNA(VLOOKUP(A125,'Données projet'!$A$201:$I$221,4,0)),0,VLOOKUP(A125,'Données projet'!$A$201:$I$221,4,0))</f>
        <v>0</v>
      </c>
      <c r="ES125" s="16">
        <f>IF(ISNA(VLOOKUP(A125,'Données projet'!$A$201:$I$221,5,0)),0%,VLOOKUP(A125,'Données projet'!$A$201:$I$221,5,0)*VLOOKUP('Données projet'!$B$15,Paramètres!$A$1:$I$89,7,0))</f>
        <v>0</v>
      </c>
      <c r="ET125" s="16">
        <f>IF(ISNA(VLOOKUP(A125,'Données projet'!$A$201:$I$221,6,0)),0%,VLOOKUP(A125,'Données projet'!$A$201:$I$221,6,0)*VLOOKUP('Données projet'!$B$15,Paramètres!$A$1:$I$89,7,0))</f>
        <v>0</v>
      </c>
      <c r="EU125" s="16">
        <f>IF(ISNA(VLOOKUP(A125,'Données projet'!$A$201:$I$221,7,0)),0%,VLOOKUP(A125,'Données projet'!$A$201:$I$221,7,0))</f>
        <v>0</v>
      </c>
      <c r="EV125" s="21">
        <f>EXP(-LN(2)/35)*EV124+(1-EXP(-LN(2)/35))/(LN(2)/35)*ER125*ES125*VLOOKUP('Données projet'!$B$15,Paramètres!$A$1:$I$89,3,0)*0.475*44/12</f>
        <v>103.36362193635203</v>
      </c>
      <c r="EW125" s="21">
        <f>EXP(-LN(2)/25)*EW124+(1-EXP(-LN(2)/25))/(LN(2)/25)*Calculateur!ER125*Calculateur!ET125*VLOOKUP('Données projet'!$B$15,Paramètres!$A$1:$I$89,3,0)*0.475*44/12</f>
        <v>23.185704040252904</v>
      </c>
      <c r="EX125" s="21">
        <f>EXP(-LN(2)/2)*EX124+(1-EXP(-LN(2)/2))/(LN(2)/2)*ER125*EU125*VLOOKUP('Données projet'!$B$15,Paramètres!$A$1:$I$89,3,0)*0.475*44/12</f>
        <v>0.20272629136546921</v>
      </c>
      <c r="EY125" s="22">
        <f t="shared" si="140"/>
        <v>126.7520522679704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projet'!$A$227:$I$247,2,0)</f>
        <v>#N/A</v>
      </c>
      <c r="FC125" s="12" t="e">
        <f>VLOOKUP(A125,'Données projet'!$A$227:$I$247,9,0)</f>
        <v>#N/A</v>
      </c>
      <c r="FD125" s="12">
        <f t="array" ref="FD125">INDEX(FC:FC,MIN(IF(ISNUMBER(FC125:FC321),ROW(FC125:FC321),"")))</f>
        <v>0</v>
      </c>
      <c r="FE125" s="12">
        <f>IF('Données projet'!$A$228&gt;35,FE124+FD125-FM124,IF(A125&lt;'Données projet'!$A$228,$FB$205^A125,IF(A125='Données projet'!$A$228,'Données projet'!$B$228,FE124+FD125-FM124)))</f>
        <v>8.5265128291212022E-14</v>
      </c>
      <c r="FF125" s="17">
        <f>FE125*VLOOKUP('Données projet'!$B$16,Paramètres!$A$1:$I$89,3,0)*VLOOKUP('Données projet'!$B$16,Paramètres!$A$1:$I$89,5,0)</f>
        <v>8.9119112089974823E-14</v>
      </c>
      <c r="FG125" s="13">
        <f t="shared" si="196"/>
        <v>1.3568952080113142E-12</v>
      </c>
      <c r="FH125" s="20">
        <f t="shared" si="141"/>
        <v>2.5184749408430782E-12</v>
      </c>
      <c r="FI125" s="59">
        <f t="shared" si="142"/>
        <v>293.33333333333582</v>
      </c>
      <c r="FJ125" s="59">
        <f ca="1">AVERAGE(OFFSET($FI$3,0,0,'Données projet'!$E$16+1,1))-AVERAGE(OFFSET($H$3,0,0,'Données projet'!$E$16+1,1))</f>
        <v>259.03906550253788</v>
      </c>
      <c r="FK125" s="59">
        <f t="shared" si="197"/>
        <v>235.54542903570831</v>
      </c>
      <c r="FL125" s="15">
        <f>IF(ISNA(VLOOKUP(A125,'Données projet'!$A$227:$I$247,3,0)),0,VLOOKUP(A125,'Données projet'!$A$227:$I$247,3,0))</f>
        <v>0</v>
      </c>
      <c r="FM125" s="15">
        <f>IF(ISNA(VLOOKUP(A125,'Données projet'!$A$227:$I$247,4,0)),0,VLOOKUP(A125,'Données projet'!$A$227:$I$247,4,0))</f>
        <v>0</v>
      </c>
      <c r="FN125" s="16">
        <f>IF(ISNA(VLOOKUP(A125,'Données projet'!$A$227:$I$247,5,0)),0%,VLOOKUP(A125,'Données projet'!$A$227:$I$247,5,0)*VLOOKUP('Données projet'!$B$16,Paramètres!$A$1:$I$89,7,0))</f>
        <v>0</v>
      </c>
      <c r="FO125" s="16">
        <f>IF(ISNA(VLOOKUP(A125,'Données projet'!$A$227:$I$247,6,0)),0%,VLOOKUP(A125,'Données projet'!$A$227:$I$247,6,0)*VLOOKUP('Données projet'!$B$16,Paramètres!$A$1:$I$89,7,0))</f>
        <v>0</v>
      </c>
      <c r="FP125" s="16">
        <f>IF(ISNA(VLOOKUP(A125,'Données projet'!$A$227:$I$247,7,0)),0%,VLOOKUP(A125,'Données projet'!$A$227:$I$247,7,0))</f>
        <v>0</v>
      </c>
      <c r="FQ125" s="21">
        <f>EXP(-LN(2)/35)*FQ124+(1-EXP(-LN(2)/35))/(LN(2)/35)*FM125*FN125*VLOOKUP('Données projet'!$B$16,Paramètres!$A$1:$I$89,3,0)*0.475*44/12</f>
        <v>45.621893619734983</v>
      </c>
      <c r="FR125" s="21">
        <f>EXP(-LN(2)/25)*FR124+(1-EXP(-LN(2)/25))/(LN(2)/25)*Calculateur!FM125*Calculateur!FO125*VLOOKUP('Données projet'!$B$16,Paramètres!$A$1:$I$89,3,0)*0.475*44/12</f>
        <v>31.89598545498011</v>
      </c>
      <c r="FS125" s="21">
        <f>EXP(-LN(2)/2)*FS124+(1-EXP(-LN(2)/2))/(LN(2)/2)*FM125*FP125*VLOOKUP('Données projet'!$B$16,Paramètres!$A$1:$I$89,3,0)*0.475*44/12</f>
        <v>0</v>
      </c>
      <c r="FT125" s="22">
        <f t="shared" si="143"/>
        <v>77.517879074715097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projet'!$A$253:$I$273,2,0)</f>
        <v>#N/A</v>
      </c>
      <c r="FX125" s="12" t="e">
        <f>VLOOKUP(A125,'Données projet'!$A$253:$I$273,9,0)</f>
        <v>#N/A</v>
      </c>
      <c r="FY125" s="12">
        <f t="array" ref="FY125">INDEX(FX:FX,MIN(IF(ISNUMBER(FX125:FX321),ROW(FX125:FX321),"")))</f>
        <v>0</v>
      </c>
      <c r="FZ125" s="12">
        <f>IF('Données projet'!$A$254&gt;35,FZ124+FY125-GH124,IF(A125&lt;'Données projet'!$A$254,$FW$205^A125,IF(A125='Données projet'!$A$254,'Données projet'!$B$254,FZ124+FY125-GH124)))</f>
        <v>-1.7053025658242404E-13</v>
      </c>
      <c r="GA125" s="17">
        <f>FZ125*VLOOKUP('Données projet'!$B$17,Paramètres!$A$1:$I$89,3,0)*VLOOKUP('Données projet'!$B$17,Paramètres!$A$1:$I$89,5,0)</f>
        <v>-1.4897523215040567E-13</v>
      </c>
      <c r="GB125" s="13" t="e">
        <f t="shared" si="198"/>
        <v>#NUM!</v>
      </c>
      <c r="GC125" s="20" t="e">
        <f t="shared" si="144"/>
        <v>#NUM!</v>
      </c>
      <c r="GD125" s="59" t="e">
        <f t="shared" si="145"/>
        <v>#NUM!</v>
      </c>
      <c r="GE125" s="59">
        <f ca="1">AVERAGE(OFFSET($GD$3,0,0,'Données projet'!$E$17+1,1))-AVERAGE(OFFSET($H$3,0,0,'Données projet'!$E$17+1,1))</f>
        <v>245.1983232777614</v>
      </c>
      <c r="GF125" s="59">
        <f t="shared" si="199"/>
        <v>242.34010522344573</v>
      </c>
      <c r="GG125" s="15">
        <f>IF(ISNA(VLOOKUP(A125,'Données projet'!$A$253:$I$273,3,0)),0,VLOOKUP(A125,'Données projet'!$A$253:$I$273,3,0))</f>
        <v>0</v>
      </c>
      <c r="GH125" s="15">
        <f>IF(ISNA(VLOOKUP(A125,'Données projet'!$A$253:$I$273,4,0)),0,VLOOKUP(A125,'Données projet'!$A$253:$I$273,4,0))</f>
        <v>0</v>
      </c>
      <c r="GI125" s="16">
        <f>IF(ISNA(VLOOKUP(A125,'Données projet'!$A$253:$I$273,5,0)),0%,VLOOKUP(A125,'Données projet'!$A$253:$I$273,5,0)*VLOOKUP('Données projet'!$B$17,Paramètres!$A$1:$I$89,7,0))</f>
        <v>0</v>
      </c>
      <c r="GJ125" s="16">
        <f>IF(ISNA(VLOOKUP(A125,'Données projet'!$A$253:$I$273,6,0)),0%,VLOOKUP(A125,'Données projet'!$A$253:$I$273,6,0)*VLOOKUP('Données projet'!$B$17,Paramètres!$A$1:$I$89,7,0))</f>
        <v>0</v>
      </c>
      <c r="GK125" s="16">
        <f>IF(ISNA(VLOOKUP(A125,'Données projet'!$A$253:$I$273,7,0)),0%,VLOOKUP(A125,'Données projet'!$A$253:$I$273,7,0))</f>
        <v>0</v>
      </c>
      <c r="GL125" s="21">
        <f>EXP(-LN(2)/35)*GL124+(1-EXP(-LN(2)/35))/(LN(2)/35)*GH125*GI125*VLOOKUP('Données projet'!$B$17,Paramètres!$A$1:$I$89,3,0)*0.475*44/12</f>
        <v>53.634795378588706</v>
      </c>
      <c r="GM125" s="21">
        <f>EXP(-LN(2)/25)*GM124+(1-EXP(-LN(2)/25))/(LN(2)/25)*Calculateur!GH125*Calculateur!GJ125*VLOOKUP('Données projet'!$B$17,Paramètres!$A$1:$I$89,3,0)*0.475*44/12</f>
        <v>6.7962574621368832</v>
      </c>
      <c r="GN125" s="21">
        <f>EXP(-LN(2)/2)*GN124+(1-EXP(-LN(2)/2))/(LN(2)/2)*GH125*GK125*VLOOKUP('Données projet'!$B$17,Paramètres!$A$1:$I$89,3,0)*0.475*44/12</f>
        <v>0</v>
      </c>
      <c r="GO125" s="21">
        <f t="shared" si="146"/>
        <v>60.431052840725592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projet'!$A$279:$I$299,2,0)</f>
        <v>#N/A</v>
      </c>
      <c r="GS125" s="12" t="e">
        <f>VLOOKUP(A125,'Données projet'!$A$279:$I$299,9,0)</f>
        <v>#N/A</v>
      </c>
      <c r="GT125" s="12">
        <f t="array" ref="GT125">INDEX(GS:GS,MIN(IF(ISNUMBER(GS125:GS321),ROW(GS125:GS321),"")))</f>
        <v>0</v>
      </c>
      <c r="GU125" s="12">
        <f>IF('Données projet'!$A$280&gt;35,GU124+GT125-HC124,IF(A125&lt;'Données projet'!$A$280,$GR$205^A125,IF(A125='Données projet'!$A$280,'Données projet'!$B$280,GU124+GT125-HC124)))</f>
        <v>-1.1368683772161603E-13</v>
      </c>
      <c r="GV125" s="17">
        <f>GU125*VLOOKUP('Données projet'!$B$18,Paramètres!$A$1:$I$89,3,0)*VLOOKUP('Données projet'!$B$18,Paramètres!$A$1:$I$89,5,0)</f>
        <v>-4.5815795601811263E-14</v>
      </c>
      <c r="GW125" s="13" t="e">
        <f t="shared" si="200"/>
        <v>#NUM!</v>
      </c>
      <c r="GX125" s="20" t="e">
        <f t="shared" si="147"/>
        <v>#NUM!</v>
      </c>
      <c r="GY125" s="59" t="e">
        <f t="shared" si="148"/>
        <v>#NUM!</v>
      </c>
      <c r="GZ125" s="59">
        <f ca="1">AVERAGE(OFFSET($GY$3,0,0,'Données projet'!$E$18+1,1))-AVERAGE(OFFSET($H$3,0,0,'Données projet'!$E$18+1,1))</f>
        <v>324.36162935850876</v>
      </c>
      <c r="HA125" s="59">
        <f t="shared" si="201"/>
        <v>265.23571072429735</v>
      </c>
      <c r="HB125" s="15">
        <f>IF(ISNA(VLOOKUP(A125,'Données projet'!$A$279:$I$299,3,0)),0,VLOOKUP(A125,'Données projet'!$A$279:$I$299,3,0))</f>
        <v>0</v>
      </c>
      <c r="HC125" s="15">
        <f>IF(ISNA(VLOOKUP(A125,'Données projet'!$A$279:$I$299,4,0)),0,VLOOKUP(A125,'Données projet'!$A$279:$I$299,4,0))</f>
        <v>0</v>
      </c>
      <c r="HD125" s="16">
        <f>IF(ISNA(VLOOKUP(A125,'Données projet'!$A$279:$I$299,5,0)),0%,VLOOKUP(A125,'Données projet'!$A$279:$I$299,5,0)*VLOOKUP('Données projet'!$B$18,Paramètres!$A$1:$I$89,7,0))</f>
        <v>0</v>
      </c>
      <c r="HE125" s="16">
        <f>IF(ISNA(VLOOKUP(A125,'Données projet'!$A$279:$I$299,6,0)),0%,VLOOKUP(A125,'Données projet'!$A$279:$I$299,6,0)*VLOOKUP('Données projet'!$B$18,Paramètres!$A$1:$I$89,7,0))</f>
        <v>0</v>
      </c>
      <c r="HF125" s="16">
        <f>IF(ISNA(VLOOKUP($A125,'Données projet'!$A$279:$I$299,7,0)),0%,VLOOKUP($A125,'Données projet'!$A$279:$I$299,7,0))</f>
        <v>0</v>
      </c>
      <c r="HG125" s="21">
        <f>EXP(-LN(2)/35)*HG124+(1-EXP(-LN(2)/35))/(LN(2)/35)*HC125*HD125*VLOOKUP('Données projet'!$B$18,Paramètres!$A$1:$I$89,3,0)*0.475*44/12</f>
        <v>102.77828908976696</v>
      </c>
      <c r="HH125" s="21">
        <f>EXP(-LN(2)/25)*HH124+(1-EXP(-LN(2)/25))/(LN(2)/25)*Calculateur!HC125*Calculateur!HE125*VLOOKUP('Données projet'!$B$18,Paramètres!$A$1:$I$89,3,0)*0.475*44/12</f>
        <v>7.5586539176542331</v>
      </c>
      <c r="HI125" s="21">
        <f>EXP(-LN(2)/2)*HI124+(1-EXP(-LN(2)/2))/(LN(2)/2)*HC125*HF125*VLOOKUP('Données projet'!$B$18,Paramètres!$A$1:$I$89,3,0)*0.475*44/12</f>
        <v>4.0756271883868827E-6</v>
      </c>
      <c r="HJ125" s="22">
        <f t="shared" si="149"/>
        <v>110.33694708304837</v>
      </c>
      <c r="HK125" s="74">
        <f>('Scénario référence'!$F$8+'Scénario référence'!$F$9+'Scénario référence'!$B$17+'Scénario référence'!$B$9+'Scénario référence'!$B$10)*70+IF((45+25*(1-EXP(-0.0175*$A125)))&lt;70,'Scénario référence'!$B$16*(45+25*(1-EXP(-0.0175*$A125))),70*'Scénario référence'!$B$16)+IF((32+38*(1-EXP(-0.0175*$A125)))&lt;70,'Scénario référence'!$B$18*(32+38*(1-EXP(-0.0175*$A125))),70*'Scénario référence'!$B$18)</f>
        <v>70</v>
      </c>
      <c r="HL125" s="12">
        <f>IF($A125&gt;30,10,('Scénario référence'!$B$16+'Scénario référence'!$B$17+'Scénario référence'!$B$18+'Scénario référence'!$B$9+'Scénario référence'!$B$10)*$A125*10/30+('Scénario référence'!$F$8+'Scénario référence'!$F$9)*10)</f>
        <v>10</v>
      </c>
      <c r="HM125" s="12" t="e">
        <f>VLOOKUP($A125,'Données projet'!$A$304:$I$324,2,0)</f>
        <v>#N/A</v>
      </c>
      <c r="HN125" s="12" t="e">
        <f>VLOOKUP($A125,'Données projet'!$A$304:$I$324,9,0)</f>
        <v>#N/A</v>
      </c>
      <c r="HO125" s="12">
        <f t="array" ref="HO125">INDEX(HN:HN,MIN(IF(ISNUMBER(HN125:HN321),ROW(HN125:HN321),"")))</f>
        <v>0</v>
      </c>
      <c r="HP125" s="12">
        <f>IF('Données projet'!$A$304&gt;35,HP124+HO125-HX124,IF($A125&lt;'Données projet'!$A$304,$CQ$205^$A125,IF($A125='Données projet'!$A$304,'Données projet'!$B$304,HP124+HO125-HX124)))</f>
        <v>0</v>
      </c>
      <c r="HQ125" s="17">
        <f>HP125*VLOOKUP('Données projet'!$B$19,Paramètres!$A$1:$I$89,3,0)*VLOOKUP('Données projet'!$B$19,Paramètres!$A$1:$I$89,5,0)</f>
        <v>0</v>
      </c>
      <c r="HR125" s="13" t="e">
        <f t="shared" si="202"/>
        <v>#NUM!</v>
      </c>
      <c r="HS125" s="14" t="e">
        <f t="shared" si="150"/>
        <v>#NUM!</v>
      </c>
      <c r="HT125" s="59" t="e">
        <f t="shared" si="151"/>
        <v>#NUM!</v>
      </c>
      <c r="HU125" s="59">
        <f ca="1">AVERAGE(OFFSET(HT$3,0,0,'Données projet'!$E$19+1,1))-AVERAGE(OFFSET($H$3,0,0,'Données projet'!$E$19+1,1))</f>
        <v>91.60721429656013</v>
      </c>
      <c r="HV125" s="59">
        <f t="shared" si="203"/>
        <v>258.94957804210856</v>
      </c>
      <c r="HW125" s="15">
        <f>IF(ISNA(VLOOKUP($A125,'Données projet'!$A$304:$I$324,3,0)),0,VLOOKUP($A125,'Données projet'!$A$304:$I$324,3,0))</f>
        <v>0</v>
      </c>
      <c r="HX125" s="15">
        <f>IF(ISNA(VLOOKUP($A125,'Données projet'!$A$304:$I$324,4,0)),0,VLOOKUP($A125,'Données projet'!$A$304:$I$324,4,0))</f>
        <v>0</v>
      </c>
      <c r="HY125" s="16">
        <f>IF(ISNA(VLOOKUP($A125,'Données projet'!$A$304:$I$324,5,0)),0%,VLOOKUP($A125,'Données projet'!$A$304:$I$324,5,0)*VLOOKUP('Données projet'!$B$19,Paramètres!$A$1:$I$89,7,0))</f>
        <v>0</v>
      </c>
      <c r="HZ125" s="16">
        <f>IF(ISNA(VLOOKUP($A125,'Données projet'!$A$304:$I$324,6,0)),0%,VLOOKUP($A125,'Données projet'!$A$304:$I$324,6,0)*VLOOKUP('Données projet'!$B$19,Paramètres!$A$1:$I$89,7,0))</f>
        <v>0</v>
      </c>
      <c r="IA125" s="16">
        <f>IF(ISNA(VLOOKUP($A125,'Données projet'!$A$304:$I$324,7,0)),0%,VLOOKUP($A125,'Données projet'!$A$304:$I$324,7,0))</f>
        <v>0</v>
      </c>
      <c r="IB125" s="21">
        <f>EXP(-LN(2)/35)*IB124+(1-EXP(-LN(2)/35))/(LN(2)/35)*HX125*HY125*VLOOKUP('Données projet'!$B$19,Paramètres!$A$1:$I$89,3,0)*0.475*44/12</f>
        <v>7.9773028699117763</v>
      </c>
      <c r="IC125" s="21">
        <f>EXP(-LN(2)/25)*IC124+(1-EXP(-LN(2)/25))/(LN(2)/25)*Calculateur!HX125*Calculateur!HZ125*VLOOKUP('Données projet'!$B$19,Paramètres!$A$1:$I$89,3,0)*0.475*44/12</f>
        <v>0.75896364882441136</v>
      </c>
      <c r="ID125" s="21">
        <f>EXP(-LN(2)/2)*ID124+(1-EXP(-LN(2)/2))/(LN(2)/2)*HX125*IA125*VLOOKUP('Données projet'!$B$19,Paramètres!$A$1:$I$89,3,0)*0.475*44/12</f>
        <v>8.1407209754612715E-15</v>
      </c>
      <c r="IE125" s="22">
        <f t="shared" si="152"/>
        <v>8.7362665187361959</v>
      </c>
      <c r="IF125" s="74">
        <f>('Scénario référence'!$F$8+'Scénario référence'!$F$9+'Scénario référence'!$B$17+'Scénario référence'!$B$9+'Scénario référence'!$B$10)*70+IF((45+25*(1-EXP(-0.0175*$A125)))&lt;70,'Scénario référence'!$B$16*(45+25*(1-EXP(-0.0175*$A125))),70*'Scénario référence'!$B$16)+IF((32+38*(1-EXP(-0.0175*$A125)))&lt;70,'Scénario référence'!$B$18*(32+38*(1-EXP(-0.0175*$A125))),70*'Scénario référence'!$B$18)</f>
        <v>70</v>
      </c>
      <c r="IG125" s="12">
        <f>IF($A125&gt;30,10,('Scénario référence'!$B$16+'Scénario référence'!$B$17+'Scénario référence'!$B$18+'Scénario référence'!$B$9+'Scénario référence'!$B$10)*$A125*10/30+('Scénario référence'!$F$8+'Scénario référence'!$F$9)*10)</f>
        <v>10</v>
      </c>
      <c r="IH125" s="12" t="e">
        <f>VLOOKUP($A125,'Données projet'!$A$330:$I$350,2,0)</f>
        <v>#N/A</v>
      </c>
      <c r="II125" s="12" t="e">
        <f>VLOOKUP($A125,'Données projet'!$A$330:$I$350,9,0)</f>
        <v>#N/A</v>
      </c>
      <c r="IJ125" s="12">
        <f t="array" ref="IJ125">INDEX(II:II,MIN(IF(ISNUMBER(II125:II321),ROW(II125:II321),"")))</f>
        <v>0</v>
      </c>
      <c r="IK125" s="12">
        <f>IF('Données projet'!$A$330&gt;35,IK124+IJ125-IS124,IF($A125&lt;'Données projet'!$A$330,$CQ$205^$A125,IF($A125='Données projet'!$A$330,'Données projet'!$B$330,IK124+IJ125-IS124)))</f>
        <v>0</v>
      </c>
      <c r="IL125" s="17">
        <f>IK125*VLOOKUP('Données projet'!$B$20,Paramètres!$A$1:$I$89,3,0)*VLOOKUP('Données projet'!$B$20,Paramètres!$A$1:$I$89,5,0)</f>
        <v>0</v>
      </c>
      <c r="IM125" s="13" t="e">
        <f t="shared" si="204"/>
        <v>#NUM!</v>
      </c>
      <c r="IN125" s="20" t="e">
        <f t="shared" si="153"/>
        <v>#NUM!</v>
      </c>
      <c r="IO125" s="59" t="e">
        <f t="shared" si="154"/>
        <v>#NUM!</v>
      </c>
      <c r="IP125" s="59">
        <f ca="1">AVERAGE(OFFSET(IO$3,0,0,'Données projet'!$E$20+1,1))-AVERAGE(OFFSET($H$3,0,0,'Données projet'!$E$20+1,1))</f>
        <v>91.60721429656013</v>
      </c>
      <c r="IQ125" s="59">
        <f t="shared" si="205"/>
        <v>258.94957804210856</v>
      </c>
      <c r="IR125" s="15">
        <f>IF(ISNA(VLOOKUP($A125,'Données projet'!$A$330:$I$350,3,0)),0,VLOOKUP($A125,'Données projet'!$A$330:$I$350,3,0))</f>
        <v>0</v>
      </c>
      <c r="IS125" s="15">
        <f>IF(ISNA(VLOOKUP($A125,'Données projet'!$A$330:$I$350,4,0)),0,VLOOKUP($A125,'Données projet'!$A$330:$I$350,4,0))</f>
        <v>0</v>
      </c>
      <c r="IT125" s="16">
        <f>IF(ISNA(VLOOKUP($A125,'Données projet'!$A$330:$I$350,5,0)),0%,VLOOKUP($A125,'Données projet'!$A$330:$I$350,5,0)*VLOOKUP('Données projet'!$B$20,Paramètres!$A$1:$I$89,7,0))</f>
        <v>0</v>
      </c>
      <c r="IU125" s="16">
        <f>IF(ISNA(VLOOKUP($A125,'Données projet'!$A$330:$I$350,6,0)),0%,VLOOKUP($A125,'Données projet'!$A$330:$I$350,6,0)*VLOOKUP('Données projet'!$B$20,Paramètres!$A$1:$I$89,7,0))</f>
        <v>0</v>
      </c>
      <c r="IV125" s="16">
        <f>IF(ISNA(VLOOKUP($A125,'Données projet'!$A$330:$I$350,7,0)),0%,VLOOKUP($A125,'Données projet'!$A$330:$I$350,7,0))</f>
        <v>0</v>
      </c>
      <c r="IW125" s="21">
        <f>EXP(-LN(2)/35)*IW124+(1-EXP(-LN(2)/35))/(LN(2)/35)*IS125*IT125*VLOOKUP('Données projet'!$B$20,Paramètres!$A$1:$I$89,3,0)*0.475*44/12</f>
        <v>7.9773028699117763</v>
      </c>
      <c r="IX125" s="21">
        <f>EXP(-LN(2)/25)*IX124+(1-EXP(-LN(2)/25))/(LN(2)/25)*Calculateur!IS125*Calculateur!IU125*VLOOKUP('Données projet'!$B$20,Paramètres!$A$1:$I$89,3,0)*0.475*44/12</f>
        <v>0.75896364882441136</v>
      </c>
      <c r="IY125" s="21">
        <f>EXP(-LN(2)/2)*IY124+(1-EXP(-LN(2)/2))/(LN(2)/2)*IS125*IV125*VLOOKUP('Données projet'!$B$20,Paramètres!$A$1:$I$89,3,0)*0.475*44/12</f>
        <v>8.1407209754612715E-15</v>
      </c>
      <c r="IZ125" s="22">
        <f t="shared" si="155"/>
        <v>8.7362665187361959</v>
      </c>
      <c r="JA125" s="74">
        <f>('Scénario référence'!$F$8+'Scénario référence'!$F$9+'Scénario référence'!$B$17+'Scénario référence'!$B$9+'Scénario référence'!$B$10)*70+IF((45+25*(1-EXP(-0.0175*$A125)))&lt;70,'Scénario référence'!$B$16*(45+25*(1-EXP(-0.0175*$A125))),70*'Scénario référence'!$B$16)+IF((32+38*(1-EXP(-0.0175*$A125)))&lt;70,'Scénario référence'!$B$18*(32+38*(1-EXP(-0.0175*$A125))),70*'Scénario référence'!$B$18)</f>
        <v>70</v>
      </c>
      <c r="JB125" s="12">
        <f>IF($A125&gt;30,10,('Scénario référence'!$B$16+'Scénario référence'!$B$17+'Scénario référence'!$B$18+'Scénario référence'!$B$9+'Scénario référence'!$B$10)*$A125*10/30+('Scénario référence'!$F$8+'Scénario référence'!$F$9)*10)</f>
        <v>10</v>
      </c>
      <c r="JC125" s="12" t="e">
        <f>VLOOKUP($A125,'Données projet'!$A$356:$I$376,2,0)</f>
        <v>#N/A</v>
      </c>
      <c r="JD125" s="12" t="e">
        <f>VLOOKUP($A125,'Données projet'!$A$356:$I$376,9,0)</f>
        <v>#N/A</v>
      </c>
      <c r="JE125" s="12">
        <f t="array" ref="JE125">INDEX(JD:JD,MIN(IF(ISNUMBER(JD125:JD321),ROW(JD125:JD321),"")))</f>
        <v>2.2000000000000002</v>
      </c>
      <c r="JF125" s="12">
        <f>IF('Données projet'!$A$356&gt;35,JF124+JE125-JN124,IF($A125&lt;'Données projet'!$A$356,$CQ$205^$A125,IF($A125='Données projet'!$A$356,'Données projet'!$B$356,JF124+JE125-JN124)))</f>
        <v>422.39999999999924</v>
      </c>
      <c r="JG125" s="17">
        <f>JF125*VLOOKUP('Données projet'!$B$21,Paramètres!$A$1:$I$89,3,0)*VLOOKUP('Données projet'!$B$21,Paramètres!$A$1:$I$89,5,0)</f>
        <v>342.6508799999994</v>
      </c>
      <c r="JH125" s="13">
        <f t="shared" si="206"/>
        <v>80.047387207837389</v>
      </c>
      <c r="JI125" s="20">
        <f t="shared" si="156"/>
        <v>736.19948205364915</v>
      </c>
      <c r="JJ125" s="59">
        <f t="shared" si="157"/>
        <v>1029.5328153869825</v>
      </c>
      <c r="JK125" s="59">
        <f ca="1">AVERAGE(OFFSET($JJ$3,0,0,'Données projet'!$E$22+1,1))-AVERAGE(OFFSET($H$3,0,0,'Données projet'!$E$22+1,1))</f>
        <v>353.35574633294613</v>
      </c>
      <c r="JL125" s="59">
        <f t="shared" si="207"/>
        <v>170.36796666474726</v>
      </c>
      <c r="JM125" s="15">
        <f>IF(ISNA(VLOOKUP($A125,'Données projet'!$A$356:$I$376,3,0)),0,VLOOKUP($A125,'Données projet'!$A$356:$I$376,3,0))</f>
        <v>0</v>
      </c>
      <c r="JN125" s="15">
        <f>IF(ISNA(VLOOKUP($A125,'Données projet'!$A$356:$I$376,4,0)),0,VLOOKUP($A125,'Données projet'!$A$356:$I$376,4,0))</f>
        <v>0</v>
      </c>
      <c r="JO125" s="16">
        <f>IF(ISNA(VLOOKUP($A125,'Données projet'!$A$356:$I$376,5,0)),0%,VLOOKUP($A125,'Données projet'!$A$356:$I$376,5,0)*VLOOKUP('Données projet'!$B$21,Paramètres!$A$1:$I$89,7,0))</f>
        <v>0</v>
      </c>
      <c r="JP125" s="16">
        <f>IF(ISNA(VLOOKUP($A125,'Données projet'!$A$356:$I$376,6,0)),0%,VLOOKUP($A125,'Données projet'!$A$356:$I$376,6,0)*VLOOKUP('Données projet'!$B$21,Paramètres!$A$1:$I$89,7,0))</f>
        <v>0</v>
      </c>
      <c r="JQ125" s="16">
        <f>IF(ISNA(VLOOKUP($A125,'Données projet'!$A$356:$I$376,7,0)),0%,VLOOKUP($A125,'Données projet'!$A$356:$I$376,7,0))</f>
        <v>0</v>
      </c>
      <c r="JR125" s="21">
        <f>EXP(-LN(2)/35)*JR124+(1-EXP(-LN(2)/35))/(LN(2)/35)*JN125*JO125*VLOOKUP('Données projet'!$B$21,Paramètres!$A$1:$I$89,3,0)*0.475*44/12</f>
        <v>3.9625777340349964</v>
      </c>
      <c r="JS125" s="21">
        <f>EXP(-LN(2)/25)*JS124+(1-EXP(-LN(2)/25))/(LN(2)/25)*Calculateur!JN125*Calculateur!JP125*VLOOKUP('Données projet'!$B$21,Paramètres!$A$1:$I$89,3,0)*0.475*44/12</f>
        <v>12.679249339832651</v>
      </c>
      <c r="JT125" s="21">
        <f>EXP(-LN(2)/2)*JT124+(1-EXP(-LN(2)/2))/(LN(2)/2)*JN125*JQ125*VLOOKUP('Données projet'!$B$21,Paramètres!$A$1:$I$89,3,0)*0.475*44/12</f>
        <v>5.4509196107143783E-2</v>
      </c>
      <c r="JU125" s="18">
        <f t="shared" si="158"/>
        <v>16.696336269974793</v>
      </c>
      <c r="JV125" s="74">
        <f>('Scénario référence'!$F$8+'Scénario référence'!$F$9+'Scénario référence'!$B$17+'Scénario référence'!$B$9+'Scénario référence'!$B$10)*70+IF((45+25*(1-EXP(-0.0175*$A125)))&lt;70,'Scénario référence'!$B$16*(45+25*(1-EXP(-0.0175*$A125))),70*'Scénario référence'!$B$16)+IF((32+38*(1-EXP(-0.0175*$A125)))&lt;70,'Scénario référence'!$B$18*(32+38*(1-EXP(-0.0175*$A125))),70*'Scénario référence'!$B$18)</f>
        <v>70</v>
      </c>
      <c r="JW125" s="12">
        <f>IF($A125&gt;30,10,('Scénario référence'!$B$16+'Scénario référence'!$B$17+'Scénario référence'!$B$18+'Scénario référence'!$B$9+'Scénario référence'!$B$10)*$A125*10/30+('Scénario référence'!$F$8+'Scénario référence'!$F$9)*10)</f>
        <v>10</v>
      </c>
      <c r="JX125" s="12" t="e">
        <f>VLOOKUP($A125,'Données projet'!$A$382:$I$402,2,0)</f>
        <v>#N/A</v>
      </c>
      <c r="JY125" s="12" t="e">
        <f>VLOOKUP($A125,'Données projet'!$A$382:$I$402,9,0)</f>
        <v>#N/A</v>
      </c>
      <c r="JZ125" s="12">
        <f t="array" ref="JZ125">INDEX(JY:JY,MIN(IF(ISNUMBER(JY125:JY321),ROW(JY125:JY321),"")))</f>
        <v>3.8301282051282044</v>
      </c>
      <c r="KA125" s="12">
        <f>IF('Données projet'!$A$382&gt;35,KA124+JZ125-KI124,IF($A125&lt;'Données projet'!$A$382,$CQ$205^$A125,IF($A125='Données projet'!$A$382,'Données projet'!$B$382,KA124+JZ125-KI124)))</f>
        <v>218.80448717948767</v>
      </c>
      <c r="KB125" s="17">
        <f>KA125*VLOOKUP('Données projet'!$B$22,Paramètres!$A$1:$I$89,3,0)*VLOOKUP('Données projet'!$B$22,Paramètres!$A$1:$I$89,5,0)</f>
        <v>146.77405000000033</v>
      </c>
      <c r="KC125" s="13">
        <f t="shared" si="208"/>
        <v>37.844551869780702</v>
      </c>
      <c r="KD125" s="20">
        <f t="shared" si="159"/>
        <v>321.54406492320192</v>
      </c>
      <c r="KE125" s="59">
        <f t="shared" si="160"/>
        <v>614.87739825653523</v>
      </c>
      <c r="KF125" s="59">
        <f ca="1">AVERAGE(OFFSET($KE$3,0,0,'Données projet'!$E$22+1,1))-AVERAGE(OFFSET($H$3,0,0,'Données projet'!$E$22+1,1))</f>
        <v>193.91714772848269</v>
      </c>
      <c r="KG125" s="59">
        <f t="shared" si="209"/>
        <v>159.20429420478047</v>
      </c>
      <c r="KH125" s="15">
        <f>IF(ISNA(VLOOKUP($A125,'Données projet'!$A$382:$I$402,3,0)),0,VLOOKUP($A125,'Données projet'!$A$382:$I$402,3,0))</f>
        <v>0</v>
      </c>
      <c r="KI125" s="15">
        <f>IF(ISNA(VLOOKUP($A125,'Données projet'!$A$382:$I$402,4,0)),0,VLOOKUP($A125,'Données projet'!$A$382:$I$402,4,0))</f>
        <v>0</v>
      </c>
      <c r="KJ125" s="16">
        <f>IF(ISNA(VLOOKUP($A125,'Données projet'!$A$382:$I$402,5,0)),0%,VLOOKUP($A125,'Données projet'!$A$382:$I$402,5,0)*VLOOKUP('Données projet'!$B$22,Paramètres!$A$1:$I$89,7,0))</f>
        <v>0</v>
      </c>
      <c r="KK125" s="16">
        <f>IF(ISNA(VLOOKUP($A125,'Données projet'!$A$382:$I$402,6,0)),0%,VLOOKUP($A125,'Données projet'!$A$382:$I$402,6,0)*VLOOKUP('Données projet'!$B$22,Paramètres!$A$1:$I$89,7,0))</f>
        <v>0</v>
      </c>
      <c r="KL125" s="16">
        <f>IF(ISNA(VLOOKUP($A125,'Données projet'!$A$382:$I$402,7,0)),0%,VLOOKUP($A125,'Données projet'!$A$382:$I$402,7,0))</f>
        <v>0</v>
      </c>
      <c r="KM125" s="21">
        <f>EXP(-LN(2)/35)*KM124+(1-EXP(-LN(2)/35))/(LN(2)/35)*KI125*KJ125*VLOOKUP('Données projet'!$B$22,Paramètres!$A$1:$I$89,3,0)*0.475*44/12</f>
        <v>92.507322770006496</v>
      </c>
      <c r="KN125" s="21">
        <f>EXP(-LN(2)/25)*KN124+(1-EXP(-LN(2)/25))/(LN(2)/25)*Calculateur!KI125*Calculateur!KK125*VLOOKUP('Données projet'!$B$22,Paramètres!$A$1:$I$89,3,0)*0.475*44/12</f>
        <v>0</v>
      </c>
      <c r="KO125" s="21">
        <f>EXP(-LN(2)/2)*KO124+(1-EXP(-LN(2)/2))/(LN(2)/2)*KI125*KL125*VLOOKUP('Données projet'!$B$22,Paramètres!$A$1:$I$89,3,0)*0.475*44/12</f>
        <v>0</v>
      </c>
      <c r="KP125" s="22">
        <f t="shared" si="161"/>
        <v>92.507322770006496</v>
      </c>
      <c r="KQ125" s="74">
        <f>('Scénario référence'!$F$8+'Scénario référence'!$F$9+'Scénario référence'!$B$17+'Scénario référence'!$B$9+'Scénario référence'!$B$10)*70+IF((45+25*(1-EXP(-0.0175*$A125)))&lt;70,'Scénario référence'!$B$16*(45+25*(1-EXP(-0.0175*$A125))),70*'Scénario référence'!$B$16)+IF((32+38*(1-EXP(-0.0175*$A125)))&lt;70,'Scénario référence'!$B$18*(32+38*(1-EXP(-0.0175*$A125))),70*'Scénario référence'!$B$18)</f>
        <v>70</v>
      </c>
      <c r="KR125" s="12">
        <f>IF($A125&gt;30,10,('Scénario référence'!$B$16+'Scénario référence'!$B$17+'Scénario référence'!$B$18+'Scénario référence'!$B$9+'Scénario référence'!$B$10)*$A125*10/30+('Scénario référence'!$F$8+'Scénario référence'!$F$9)*10)</f>
        <v>10</v>
      </c>
      <c r="KS125" s="12" t="e">
        <f>VLOOKUP($A125,'Données projet'!$A$408:$I$428,2,0)</f>
        <v>#N/A</v>
      </c>
      <c r="KT125" s="12" t="e">
        <f>VLOOKUP($A125,'Données projet'!$A$408:$I$428,9,0)</f>
        <v>#N/A</v>
      </c>
      <c r="KU125" s="12">
        <f t="array" ref="KU125">INDEX(KT:KT,MIN(IF(ISNUMBER(KT125:KT321),ROW(KT125:KT321),"")))</f>
        <v>0</v>
      </c>
      <c r="KV125" s="12">
        <f>IF('Données projet'!$A$408&gt;35,KV124+KU125-LD124,IF($A125&lt;'Données projet'!$A$408,$CQ$205^$A125,IF($A125='Données projet'!$A$408,'Données projet'!$B$408,KV124+KU125-LD124)))</f>
        <v>-1.1368683772161603E-13</v>
      </c>
      <c r="KW125" s="17">
        <f>KV125*VLOOKUP('Données projet'!$B$23,Paramètres!$A$1:$I$89,3,0)*VLOOKUP('Données projet'!$B$23,Paramètres!$A$1:$I$89,5,0)</f>
        <v>-9.9316821433603781E-14</v>
      </c>
      <c r="KX125" s="13" t="e">
        <f t="shared" si="210"/>
        <v>#NUM!</v>
      </c>
      <c r="KY125" s="14" t="e">
        <f t="shared" si="162"/>
        <v>#NUM!</v>
      </c>
      <c r="KZ125" s="59" t="e">
        <f t="shared" si="163"/>
        <v>#NUM!</v>
      </c>
      <c r="LA125" s="59">
        <f ca="1">AVERAGE(OFFSET($KZ$3,0,0,'Données projet'!$E$23+1,1))-AVERAGE(OFFSET($H$3,0,0,'Données projet'!$E$23+1,1))</f>
        <v>248.33596943633819</v>
      </c>
      <c r="LB125" s="59">
        <f t="shared" si="211"/>
        <v>242.34010522344573</v>
      </c>
      <c r="LC125" s="15">
        <f>IF(ISNA(VLOOKUP($A125,'Données projet'!$A$408:$I$428,3,0)),0,VLOOKUP($A125,'Données projet'!$A$408:$I$428,3,0))</f>
        <v>0</v>
      </c>
      <c r="LD125" s="15">
        <f>IF(ISNA(VLOOKUP($A125,'Données projet'!$A$408:$I$428,4,0)),0,VLOOKUP($A125,'Données projet'!$A$408:$I$428,4,0))</f>
        <v>0</v>
      </c>
      <c r="LE125" s="16">
        <f>IF(ISNA(VLOOKUP($A125,'Données projet'!$A$408:$I$428,5,0)),0%,VLOOKUP($A125,'Données projet'!$A$408:$I$428,5,0)*VLOOKUP('Données projet'!$B$23,Paramètres!$A$1:$I$89,7,0))</f>
        <v>0</v>
      </c>
      <c r="LF125" s="16">
        <f>IF(ISNA(VLOOKUP($A125,'Données projet'!$A$408:$I$428,6,0)),0%,VLOOKUP($A125,'Données projet'!$A$408:$I$428,6,0)*VLOOKUP('Données projet'!$B$23,Paramètres!$A$1:$I$89,7,0))</f>
        <v>0</v>
      </c>
      <c r="LG125" s="16">
        <f>IF(ISNA(VLOOKUP($A125,'Données projet'!$A$408:$I$428,7,0)),0%,VLOOKUP($A125,'Données projet'!$A$408:$I$428,7,0))</f>
        <v>0</v>
      </c>
      <c r="LH125" s="21">
        <f>EXP(-LN(2)/35)*LH124+(1-EXP(-LN(2)/35))/(LN(2)/35)*LD125*LE125*VLOOKUP('Données projet'!$B$23,Paramètres!$A$1:$I$89,3,0)*0.475*44/12</f>
        <v>53.634795378588706</v>
      </c>
      <c r="LI125" s="21">
        <f>EXP(-LN(2)/25)*LI124+(1-EXP(-LN(2)/25))/(LN(2)/25)*Calculateur!LD125*Calculateur!LF125*VLOOKUP('Données projet'!$B$23,Paramètres!$A$1:$I$89,3,0)*0.475*44/12</f>
        <v>6.7962574621368832</v>
      </c>
      <c r="LJ125" s="21">
        <f>EXP(-LN(2)/2)*LJ124+(1-EXP(-LN(2)/2))/(LN(2)/2)*LD125*LG125*VLOOKUP('Données projet'!$B$23,Paramètres!$A$1:$I$89,3,0)*0.475*44/12</f>
        <v>0</v>
      </c>
      <c r="LK125" s="22">
        <f t="shared" si="164"/>
        <v>60.431052840725592</v>
      </c>
      <c r="LL125" s="74">
        <f>('Scénario référence'!$F$8+'Scénario référence'!$F$9+'Scénario référence'!$B$17+'Scénario référence'!$B$9+'Scénario référence'!$B$10)*70+IF((45+25*(1-EXP(-0.0175*$A125)))&lt;70,'Scénario référence'!$B$16*(45+25*(1-EXP(-0.0175*$A125))),70*'Scénario référence'!$B$16)+IF((32+38*(1-EXP(-0.0175*$A125)))&lt;70,'Scénario référence'!$B$18*(32+38*(1-EXP(-0.0175*$A125))),70*'Scénario référence'!$B$18)</f>
        <v>70</v>
      </c>
      <c r="LM125" s="12">
        <f>IF($A125&gt;30,10,('Scénario référence'!$B$16+'Scénario référence'!$B$17+'Scénario référence'!$B$18+'Scénario référence'!$B$9+'Scénario référence'!$B$10)*$A125*10/30+('Scénario référence'!$F$8+'Scénario référence'!$F$9)*10)</f>
        <v>10</v>
      </c>
      <c r="LN125" s="12" t="e">
        <f>VLOOKUP($A125,'Données projet'!$A$434:$I$454,2,0)</f>
        <v>#N/A</v>
      </c>
      <c r="LO125" s="12" t="e">
        <f>VLOOKUP($A125,'Données projet'!$A$434:$I$454,9,0)</f>
        <v>#N/A</v>
      </c>
      <c r="LP125" s="12">
        <f t="array" ref="LP125">INDEX(LO:LO,MIN(IF(ISNUMBER(LO125:LO321),ROW(LO125:LO321),"")))</f>
        <v>5.3066239316239274</v>
      </c>
      <c r="LQ125" s="12">
        <f>IF('Données projet'!$A$434&gt;35,LQ124+LP125-LY124,IF($A125&lt;'Données projet'!$A$434,$CQ$205^$A125,IF($A125='Données projet'!$A$434,'Données projet'!$B$434,LQ124+LP125-LY124)))</f>
        <v>262.3749999999996</v>
      </c>
      <c r="LR125" s="17">
        <f>LQ125*VLOOKUP('Données projet'!$B$24,Paramètres!$A$1:$I$89,3,0)*VLOOKUP('Données projet'!$B$24,Paramètres!$A$1:$I$89,5,0)</f>
        <v>266.04824999999965</v>
      </c>
      <c r="LS125" s="13">
        <f t="shared" si="212"/>
        <v>64.009889891284331</v>
      </c>
      <c r="LT125" s="14">
        <f t="shared" si="165"/>
        <v>574.85126031065295</v>
      </c>
      <c r="LU125" s="59">
        <f t="shared" si="166"/>
        <v>868.18459364398632</v>
      </c>
      <c r="LV125" s="59">
        <f ca="1">AVERAGE(OFFSET($LU$3,0,0,'Données projet'!$E$24+1,1))-AVERAGE(OFFSET($H$3,0,0,'Données projet'!$E$24+1,1))</f>
        <v>260.52627655062872</v>
      </c>
      <c r="LW125" s="59">
        <f t="shared" si="213"/>
        <v>159.20429420478047</v>
      </c>
      <c r="LX125" s="15">
        <f>IF(ISNA(VLOOKUP($A125,'Données projet'!$A$434:$I$454,3,0)),0,VLOOKUP($A125,'Données projet'!$A$434:$I$454,3,0))</f>
        <v>0</v>
      </c>
      <c r="LY125" s="15">
        <f>IF(ISNA(VLOOKUP($A125,'Données projet'!$A$434:$I$454,4,0)),0,VLOOKUP($A125,'Données projet'!$A$434:$I$454,4,0))</f>
        <v>0</v>
      </c>
      <c r="LZ125" s="16">
        <f>IF(ISNA(VLOOKUP($A125,'Données projet'!$A$434:$I$454,5,0)),0%,VLOOKUP($A125,'Données projet'!$A$434:$I$454,5,0)*VLOOKUP('Données projet'!$B$24,Paramètres!$A$1:$I$89,7,0))</f>
        <v>0</v>
      </c>
      <c r="MA125" s="16">
        <f>IF(ISNA(VLOOKUP($A125,'Données projet'!$A$434:$I$454,6,0)),0%,VLOOKUP($A125,'Données projet'!$A$434:$I$454,6,0)*VLOOKUP('Données projet'!$B$24,Paramètres!$A$1:$I$89,7,0))</f>
        <v>0</v>
      </c>
      <c r="MB125" s="16">
        <f>IF(ISNA(VLOOKUP($A125,'Données projet'!$A$434:$I$454,7,0)),0%,VLOOKUP($A125,'Données projet'!$A$434:$I$454,7,0))</f>
        <v>0</v>
      </c>
      <c r="MC125" s="21">
        <f>EXP(-LN(2)/35)*MC124+(1-EXP(-LN(2)/35))/(LN(2)/35)*LY125*LZ125*VLOOKUP('Données projet'!$B$24,Paramètres!$A$1:$I$89,3,0)*0.475*44/12</f>
        <v>33.478388646140154</v>
      </c>
      <c r="MD125" s="21">
        <f>EXP(-LN(2)/25)*MD124+(1-EXP(-LN(2)/25))/(LN(2)/25)*Calculateur!LY125*Calculateur!MA125*VLOOKUP('Données projet'!$B$24,Paramètres!$A$1:$I$89,3,0)*0.475*44/12</f>
        <v>0</v>
      </c>
      <c r="ME125" s="21">
        <f>EXP(-LN(2)/2)*ME124+(1-EXP(-LN(2)/2))/(LN(2)/2)*LY125*MB125*VLOOKUP('Données projet'!$B$24,Paramètres!$A$1:$I$89,3,0)*0.475*44/12</f>
        <v>0</v>
      </c>
      <c r="MF125" s="22">
        <f t="shared" si="167"/>
        <v>33.478388646140154</v>
      </c>
      <c r="MG125" s="74">
        <f>('Scénario référence'!$F$8+'Scénario référence'!$F$9+'Scénario référence'!$B$17+'Scénario référence'!$B$9+'Scénario référence'!$B$10)*70+IF((45+25*(1-EXP(-0.0175*$A125)))&lt;70,'Scénario référence'!$B$16*(45+25*(1-EXP(-0.0175*$A125))),70*'Scénario référence'!$B$16)+IF((32+38*(1-EXP(-0.0175*$A125)))&lt;70,'Scénario référence'!$B$18*(32+38*(1-EXP(-0.0175*$A125))),70*'Scénario référence'!$B$18)</f>
        <v>70</v>
      </c>
      <c r="MH125" s="12">
        <f>IF($A125&gt;30,10,('Scénario référence'!$B$16+'Scénario référence'!$B$17+'Scénario référence'!$B$18+'Scénario référence'!$B$9+'Scénario référence'!$B$10)*$A125*10/30+('Scénario référence'!$F$8+'Scénario référence'!$F$9)*10)</f>
        <v>10</v>
      </c>
      <c r="MI125" s="12" t="e">
        <f>VLOOKUP($A125,'Données projet'!$A$460:$I$480,2,0)</f>
        <v>#N/A</v>
      </c>
      <c r="MJ125" s="12" t="e">
        <f>VLOOKUP($A125,'Données projet'!$A$460:$I$480,9,0)</f>
        <v>#N/A</v>
      </c>
      <c r="MK125" s="12">
        <f t="array" ref="MK125">INDEX(MJ:MJ,MIN(IF(ISNUMBER(MJ125:MJ321),ROW(MJ125:MJ321),"")))</f>
        <v>0</v>
      </c>
      <c r="ML125" s="12">
        <f>IF('Données projet'!$A$460&gt;35,ML124+MK125-MT124,IF($A125&lt;'Données projet'!$A$460,$CQ$205^$A125,IF($A125='Données projet'!$A$460,'Données projet'!$B$460,ML124+MK125-MT124)))</f>
        <v>0</v>
      </c>
      <c r="MM125" s="17" t="e">
        <f>ML125*VLOOKUP('Données projet'!$B$25,Paramètres!$A$1:$I$89,3,0)*VLOOKUP('Données projet'!$B$25,Paramètres!$A$1:$I$89,5,0)</f>
        <v>#N/A</v>
      </c>
      <c r="MN125" s="13" t="e">
        <f t="shared" si="214"/>
        <v>#N/A</v>
      </c>
      <c r="MO125" s="14" t="e">
        <f t="shared" si="168"/>
        <v>#N/A</v>
      </c>
      <c r="MP125" s="59" t="e">
        <f t="shared" si="169"/>
        <v>#N/A</v>
      </c>
      <c r="MQ125" s="20" t="e">
        <f ca="1">AVERAGE(OFFSET($MP$3,0,0,'Données projet'!$E$25+1,1))-AVERAGE(OFFSET($H$3,0,0,'Données projet'!$E$25+1,1))</f>
        <v>#N/A</v>
      </c>
      <c r="MR125" s="59" t="e">
        <f t="shared" si="215"/>
        <v>#N/A</v>
      </c>
      <c r="MS125" s="15">
        <f>IF(ISNA(VLOOKUP($A125,'Données projet'!$A$460:$I$480,3,0)),0,VLOOKUP($A125,'Données projet'!$A$460:$I$480,3,0))</f>
        <v>0</v>
      </c>
      <c r="MT125" s="15">
        <f>IF(ISNA(VLOOKUP($A125,'Données projet'!$A$460:$I$480,4,0)),0,VLOOKUP($A125,'Données projet'!$A$460:$I$480,4,0))</f>
        <v>0</v>
      </c>
      <c r="MU125" s="16">
        <f>IF(ISNA(VLOOKUP($A125,'Données projet'!$A$460:$I$480,5,0)),0%,VLOOKUP($A125,'Données projet'!$A$460:$I$480,5,0)*VLOOKUP('Données projet'!$B$25,Paramètres!$A$1:$I$89,7,0))</f>
        <v>0</v>
      </c>
      <c r="MV125" s="16">
        <f>IF(ISNA(VLOOKUP($A125,'Données projet'!$A$460:$I$480,6,0)),0%,VLOOKUP($A125,'Données projet'!$A$460:$I$480,6,0)*VLOOKUP('Données projet'!$B$25,Paramètres!$A$1:$I$89,7,0))</f>
        <v>0</v>
      </c>
      <c r="MW125" s="16">
        <f>IF(ISNA(VLOOKUP($A125,'Données projet'!$A$460:$I$480,7,0)),0%,VLOOKUP($A125,'Données projet'!$A$460:$I$480,7,0))</f>
        <v>0</v>
      </c>
      <c r="MX125" s="21" t="e">
        <f>EXP(-LN(2)/35)*MX124+(1-EXP(-LN(2)/35))/(LN(2)/35)*MT125*MU125*VLOOKUP('Données projet'!$B$25,Paramètres!$A$1:$I$89,3,0)*0.475*44/12</f>
        <v>#N/A</v>
      </c>
      <c r="MY125" s="21" t="e">
        <f>EXP(-LN(2)/25)*MY124+(1-EXP(-LN(2)/25))/(LN(2)/25)*Calculateur!MT125*Calculateur!MV125*VLOOKUP('Données projet'!$B$25,Paramètres!$A$1:$I$89,3,0)*0.475*44/12</f>
        <v>#N/A</v>
      </c>
      <c r="MZ125" s="21" t="e">
        <f>EXP(-LN(2)/2)*MZ124+(1-EXP(-LN(2)/2))/(LN(2)/2)*MT125*MW125*VLOOKUP('Données projet'!$B$25,Paramètres!$A$1:$I$89,3,0)*0.475*44/12</f>
        <v>#N/A</v>
      </c>
      <c r="NA125" s="22" t="e">
        <f t="shared" si="170"/>
        <v>#N/A</v>
      </c>
      <c r="NB125" s="74">
        <f>('Scénario référence'!$F$8+'Scénario référence'!$F$9+'Scénario référence'!$B$17+'Scénario référence'!$B$9+'Scénario référence'!$B$10)*70+IF((45+25*(1-EXP(-0.0175*$A125)))&lt;70,'Scénario référence'!$B$16*(45+25*(1-EXP(-0.0175*$A125))),70*'Scénario référence'!$B$16)+IF((32+38*(1-EXP(-0.0175*$A125)))&lt;70,'Scénario référence'!$B$18*(32+38*(1-EXP(-0.0175*$A125))),70*'Scénario référence'!$B$18)</f>
        <v>70</v>
      </c>
      <c r="NC125" s="12">
        <f>IF($A125&gt;30,10,('Scénario référence'!$B$16+'Scénario référence'!$B$17+'Scénario référence'!$B$18+'Scénario référence'!$B$9+'Scénario référence'!$B$10)*$A125*10/30+('Scénario référence'!$F$8+'Scénario référence'!$F$9)*10)</f>
        <v>10</v>
      </c>
      <c r="ND125" s="12" t="e">
        <f>VLOOKUP($A125,'Données projet'!$A$486:$I$506,2,0)</f>
        <v>#N/A</v>
      </c>
      <c r="NE125" s="12" t="e">
        <f>VLOOKUP($A125,'Données projet'!$A$486:$I$506,9,0)</f>
        <v>#N/A</v>
      </c>
      <c r="NF125" s="12">
        <f t="array" ref="NF125">INDEX(NE:NE,MIN(IF(ISNUMBER(NE125:NE321),ROW(NE125:NE321),"")))</f>
        <v>0</v>
      </c>
      <c r="NG125" s="12">
        <f>IF('Données projet'!$A$486&gt;35,NG124+NF125-NO124,IF($A125&lt;'Données projet'!$A$486,$CQ$205^$A125,IF($A125='Données projet'!$A$486,'Données projet'!$B$486,NG124+NF125-NO124)))</f>
        <v>0</v>
      </c>
      <c r="NH125" s="17" t="e">
        <f>NG125*VLOOKUP('Données projet'!$B$26,Paramètres!$A$1:$I$89,3,0)*VLOOKUP('Données projet'!$B$26,Paramètres!$A$1:$I$89,5,0)</f>
        <v>#N/A</v>
      </c>
      <c r="NI125" s="13" t="e">
        <f t="shared" si="216"/>
        <v>#N/A</v>
      </c>
      <c r="NJ125" s="14" t="e">
        <f t="shared" si="171"/>
        <v>#N/A</v>
      </c>
      <c r="NK125" s="59" t="e">
        <f t="shared" si="172"/>
        <v>#N/A</v>
      </c>
      <c r="NL125" s="20" t="e">
        <f ca="1">AVERAGE(OFFSET($NK$3,0,0,'Données projet'!$E$26+1,1))-AVERAGE(OFFSET($H$3,0,0,'Données projet'!$E$26+1,1))</f>
        <v>#N/A</v>
      </c>
      <c r="NM125" s="59" t="e">
        <f t="shared" si="217"/>
        <v>#N/A</v>
      </c>
      <c r="NN125" s="15">
        <f>IF(ISNA(VLOOKUP($A125,'Données projet'!$A$486:$I$506,3,0)),0,VLOOKUP($A125,'Données projet'!$A$486:$I$506,3,0))</f>
        <v>0</v>
      </c>
      <c r="NO125" s="15">
        <f>IF(ISNA(VLOOKUP($A125,'Données projet'!$A$486:$I$506,4,0)),0,VLOOKUP($A125,'Données projet'!$A$486:$I$506,4,0))</f>
        <v>0</v>
      </c>
      <c r="NP125" s="16">
        <f>IF(ISNA(VLOOKUP($A125,'Données projet'!$A$486:$I$506,5,0)),0%,VLOOKUP($A125,'Données projet'!$A$486:$I$506,5,0)*VLOOKUP('Données projet'!$B$26,Paramètres!$A$1:$I$89,7,0))</f>
        <v>0</v>
      </c>
      <c r="NQ125" s="16">
        <f>IF(ISNA(VLOOKUP($A125,'Données projet'!$A$486:$I$506,6,0)),0%,VLOOKUP($A125,'Données projet'!$A$486:$I$506,6,0)*VLOOKUP('Données projet'!$B$26,Paramètres!$A$1:$I$89,7,0))</f>
        <v>0</v>
      </c>
      <c r="NR125" s="16">
        <f>IF(ISNA(VLOOKUP($A125,'Données projet'!$A$486:$I$506,7,0)),0%,VLOOKUP($A125,'Données projet'!$A$486:$I$506,7,0))</f>
        <v>0</v>
      </c>
      <c r="NS125" s="21" t="e">
        <f>EXP(-LN(2)/35)*NS124+(1-EXP(-LN(2)/35))/(LN(2)/35)*NO125*NP125*VLOOKUP('Données projet'!$B$26,Paramètres!$A$1:$I$89,3,0)*0.475*44/12</f>
        <v>#N/A</v>
      </c>
      <c r="NT125" s="21" t="e">
        <f>EXP(-LN(2)/25)*NT124+(1-EXP(-LN(2)/25))/(LN(2)/25)*Calculateur!NO125*Calculateur!NQ125*VLOOKUP('Données projet'!$B$26,Paramètres!$A$1:$I$89,3,0)*0.475*44/12</f>
        <v>#N/A</v>
      </c>
      <c r="NU125" s="21" t="e">
        <f>EXP(-LN(2)/2)*NU124+(1-EXP(-LN(2)/2))/(LN(2)/2)*NO125*NR125*VLOOKUP('Données projet'!$B$26,Paramètres!$A$1:$I$89,3,0)*0.475*44/12</f>
        <v>#N/A</v>
      </c>
      <c r="NV125" s="22" t="e">
        <f t="shared" si="173"/>
        <v>#N/A</v>
      </c>
      <c r="NW125" s="74">
        <f>('Scénario référence'!$F$8+'Scénario référence'!$F$9+'Scénario référence'!$B$17+'Scénario référence'!$B$9+'Scénario référence'!$B$10)*70+IF((45+25*(1-EXP(-0.0175*$A125)))&lt;70,'Scénario référence'!$B$16*(45+25*(1-EXP(-0.0175*$A125))),70*'Scénario référence'!$B$16)+IF((32+38*(1-EXP(-0.0175*$A125)))&lt;70,'Scénario référence'!$B$18*(32+38*(1-EXP(-0.0175*$A125))),70*'Scénario référence'!$B$18)</f>
        <v>70</v>
      </c>
      <c r="NX125" s="12">
        <f>IF($A125&gt;30,10,('Scénario référence'!$B$16+'Scénario référence'!$B$17+'Scénario référence'!$B$18+'Scénario référence'!$B$9+'Scénario référence'!$B$10)*$A125*10/30+('Scénario référence'!$F$8+'Scénario référence'!$F$9)*10)</f>
        <v>10</v>
      </c>
      <c r="NY125" s="12" t="e">
        <f>VLOOKUP($A125,'Données projet'!$A$512:$I$532,2,0)</f>
        <v>#N/A</v>
      </c>
      <c r="NZ125" s="12" t="e">
        <f>VLOOKUP($A125,'Données projet'!$A$512:$I$532,9,0)</f>
        <v>#N/A</v>
      </c>
      <c r="OA125" s="12">
        <f t="array" ref="OA125">INDEX(NZ:NZ,MIN(IF(ISNUMBER(NZ125:NZ321),ROW(NZ125:NZ321),"")))</f>
        <v>0</v>
      </c>
      <c r="OB125" s="12">
        <f>IF('Données projet'!$A$512&gt;35,OB124+OA125-OJ124,IF($A125&lt;'Données projet'!$A$512,$CQ$205^$A125,IF($A125='Données projet'!$A$512,'Données projet'!$B$512,OB124+OA125-OJ124)))</f>
        <v>0</v>
      </c>
      <c r="OC125" s="17" t="e">
        <f>OB125*VLOOKUP('Données projet'!$B$27,Paramètres!$A$1:$I$89,3,0)*VLOOKUP('Données projet'!$B$27,Paramètres!$A$1:$I$89,5,0)</f>
        <v>#N/A</v>
      </c>
      <c r="OD125" s="13" t="e">
        <f t="shared" si="218"/>
        <v>#N/A</v>
      </c>
      <c r="OE125" s="14" t="e">
        <f t="shared" si="174"/>
        <v>#N/A</v>
      </c>
      <c r="OF125" s="59" t="e">
        <f t="shared" si="175"/>
        <v>#N/A</v>
      </c>
      <c r="OG125" s="20" t="e">
        <f ca="1">AVERAGE(OFFSET($OF$3,0,0,'Données projet'!$E$27+1,1))-AVERAGE(OFFSET($H$3,0,0,'Données projet'!$E$27+1,1))</f>
        <v>#N/A</v>
      </c>
      <c r="OH125" s="59" t="e">
        <f t="shared" si="219"/>
        <v>#N/A</v>
      </c>
      <c r="OI125" s="15">
        <f>IF(ISNA(VLOOKUP($A125,'Données projet'!$A$512:$I$532,3,0)),0,VLOOKUP($A125,'Données projet'!$A$512:$I$532,3,0))</f>
        <v>0</v>
      </c>
      <c r="OJ125" s="15">
        <f>IF(ISNA(VLOOKUP($A125,'Données projet'!$A$512:$I$532,4,0)),0,VLOOKUP($A125,'Données projet'!$A$512:$I$532,4,0))</f>
        <v>0</v>
      </c>
      <c r="OK125" s="16">
        <f>IF(ISNA(VLOOKUP($A125,'Données projet'!$A$512:$I$532,5,0)),0%,VLOOKUP($A125,'Données projet'!$A$512:$I$532,5,0)*VLOOKUP('Données projet'!$B$27,Paramètres!$A$1:$I$89,7,0))</f>
        <v>0</v>
      </c>
      <c r="OL125" s="16">
        <f>IF(ISNA(VLOOKUP($A125,'Données projet'!$A$512:$I$532,6,0)),0%,VLOOKUP($A125,'Données projet'!$A$512:$I$532,6,0)*VLOOKUP('Données projet'!$B$27,Paramètres!$A$1:$I$89,7,0))</f>
        <v>0</v>
      </c>
      <c r="OM125" s="16">
        <f>IF(ISNA(VLOOKUP($A125,'Données projet'!$A$512:$I$532,7,0)),0%,VLOOKUP($A125,'Données projet'!$A$512:$I$532,7,0))</f>
        <v>0</v>
      </c>
      <c r="ON125" s="21" t="e">
        <f>EXP(-LN(2)/35)*ON124+(1-EXP(-LN(2)/35))/(LN(2)/35)*OJ125*OK125*VLOOKUP('Données projet'!$B$27,Paramètres!$A$1:$I$89,3,0)*0.475*44/12</f>
        <v>#N/A</v>
      </c>
      <c r="OO125" s="21" t="e">
        <f>EXP(-LN(2)/25)*OO124+(1-EXP(-LN(2)/25))/(LN(2)/25)*Calculateur!OJ125*Calculateur!OL125*VLOOKUP('Données projet'!$B$27,Paramètres!$A$1:$I$89,3,0)*0.475*44/12</f>
        <v>#N/A</v>
      </c>
      <c r="OP125" s="21" t="e">
        <f>EXP(-LN(2)/2)*OP124+(1-EXP(-LN(2)/2))/(LN(2)/2)*OJ125*OM125*VLOOKUP('Données projet'!$B$27,Paramètres!$A$1:$I$89,3,0)*0.475*44/12</f>
        <v>#N/A</v>
      </c>
      <c r="OQ125" s="22" t="e">
        <f t="shared" si="176"/>
        <v>#N/A</v>
      </c>
      <c r="OR125" s="74">
        <f>('Scénario référence'!$F$8+'Scénario référence'!$F$9+'Scénario référence'!$B$17+'Scénario référence'!$B$9+'Scénario référence'!$B$10)*70+IF((45+25*(1-EXP(-0.0175*$A125)))&lt;70,'Scénario référence'!$B$16*(45+25*(1-EXP(-0.0175*$A125))),70*'Scénario référence'!$B$16)+IF((32+38*(1-EXP(-0.0175*$A125)))&lt;70,'Scénario référence'!$B$18*(32+38*(1-EXP(-0.0175*$A125))),70*'Scénario référence'!$B$18)</f>
        <v>70</v>
      </c>
      <c r="OS125" s="12">
        <f>IF($A125&gt;30,10,('Scénario référence'!$B$16+'Scénario référence'!$B$17+'Scénario référence'!$B$18+'Scénario référence'!$B$9+'Scénario référence'!$B$10)*$A125*10/30+('Scénario référence'!$F$8+'Scénario référence'!$F$9)*10)</f>
        <v>10</v>
      </c>
      <c r="OT125" s="12" t="e">
        <f>VLOOKUP($A125,'Données projet'!$A$538:$I$558,2,0)</f>
        <v>#N/A</v>
      </c>
      <c r="OU125" s="12" t="e">
        <f>VLOOKUP($A125,'Données projet'!$A$538:$I$558,9,0)</f>
        <v>#N/A</v>
      </c>
      <c r="OV125" s="12">
        <f t="array" ref="OV125">INDEX(OU:OU,MIN(IF(ISNUMBER(OU125:OU321),ROW(OU125:OU321),"")))</f>
        <v>0</v>
      </c>
      <c r="OW125" s="12">
        <f>IF('Données projet'!$A$538&gt;35,OW124+OV125-PE124,IF($A125&lt;'Données projet'!$A$538,$CQ$205^$A125,IF($A125='Données projet'!$A$538,'Données projet'!$B$538,OW124+OV125-PE124)))</f>
        <v>0</v>
      </c>
      <c r="OX125" s="17" t="e">
        <f>OW125*VLOOKUP('Données projet'!$B$28,Paramètres!$A$1:$I$89,3,0)*VLOOKUP('Données projet'!$B$28,Paramètres!$A$1:$I$89,5,0)</f>
        <v>#N/A</v>
      </c>
      <c r="OY125" s="13" t="e">
        <f t="shared" si="220"/>
        <v>#N/A</v>
      </c>
      <c r="OZ125" s="14" t="e">
        <f t="shared" si="177"/>
        <v>#N/A</v>
      </c>
      <c r="PA125" s="59" t="e">
        <f t="shared" si="178"/>
        <v>#N/A</v>
      </c>
      <c r="PB125" s="20" t="e">
        <f ca="1">AVERAGE(OFFSET($PA$3,0,0,'Données projet'!$E$28+1,1))-AVERAGE(OFFSET($H$3,0,0,'Données projet'!$E$28+1,1))</f>
        <v>#N/A</v>
      </c>
      <c r="PC125" s="59" t="e">
        <f t="shared" si="221"/>
        <v>#N/A</v>
      </c>
      <c r="PD125" s="15">
        <f>IF(ISNA(VLOOKUP($A125,'Données projet'!$A$538:$I$558,3,0)),0,VLOOKUP($A125,'Données projet'!$A$538:$I$558,3,0))</f>
        <v>0</v>
      </c>
      <c r="PE125" s="15">
        <f>IF(ISNA(VLOOKUP($A125,'Données projet'!$A$538:$I$558,4,0)),0,VLOOKUP($A125,'Données projet'!$A$538:$I$558,4,0))</f>
        <v>0</v>
      </c>
      <c r="PF125" s="16">
        <f>IF(ISNA(VLOOKUP($A125,'Données projet'!$A$538:$I$558,5,0)),0%,VLOOKUP($A125,'Données projet'!$A$538:$I$558,5,0)*VLOOKUP('Données projet'!$B$28,Paramètres!$A$1:$I$89,7,0))</f>
        <v>0</v>
      </c>
      <c r="PG125" s="16">
        <f>IF(ISNA(VLOOKUP($A125,'Données projet'!$A$538:$I$558,6,0)),0%,VLOOKUP($A125,'Données projet'!$A$538:$I$558,6,0)*VLOOKUP('Données projet'!$B$28,Paramètres!$A$1:$I$89,7,0))</f>
        <v>0</v>
      </c>
      <c r="PH125" s="16">
        <f>IF(ISNA(VLOOKUP($A125,'Données projet'!$A$538:$I$558,7,0)),0%,VLOOKUP($A125,'Données projet'!$A$538:$I$558,7,0))</f>
        <v>0</v>
      </c>
      <c r="PI125" s="21" t="e">
        <f>EXP(-LN(2)/35)*PI124+(1-EXP(-LN(2)/35))/(LN(2)/35)*PE125*PF125*VLOOKUP('Données projet'!$B$28,Paramètres!$A$1:$I$89,3,0)*0.475*44/12</f>
        <v>#N/A</v>
      </c>
      <c r="PJ125" s="21" t="e">
        <f>EXP(-LN(2)/25)*PJ124+(1-EXP(-LN(2)/25))/(LN(2)/25)*Calculateur!PE125*Calculateur!PG125*VLOOKUP('Données projet'!$B$28,Paramètres!$A$1:$I$89,3,0)*0.475*44/12</f>
        <v>#N/A</v>
      </c>
      <c r="PK125" s="21" t="e">
        <f>EXP(-LN(2)/2)*PK124+(1-EXP(-LN(2)/2))/(LN(2)/2)*PE125*PH125*VLOOKUP('Données projet'!$B$28,Paramètres!$A$1:$I$89,3,0)*0.475*44/12</f>
        <v>#N/A</v>
      </c>
      <c r="PL125" s="22" t="e">
        <f t="shared" si="179"/>
        <v>#N/A</v>
      </c>
    </row>
    <row r="126" spans="1:428" x14ac:dyDescent="0.35">
      <c r="A126" s="10">
        <f t="shared" si="180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181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121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projet'!$A$45:$I$65,2,0)</f>
        <v>#N/A</v>
      </c>
      <c r="L126" s="12" t="e">
        <f>VLOOKUP(A126,'Données projet'!$A$45:$I$65,9,0)</f>
        <v>#N/A</v>
      </c>
      <c r="M126" s="12">
        <f t="array" ref="M126">INDEX(L:L,MIN(IF(ISNUMBER(L126:L322),ROW(L126:L322),"")))</f>
        <v>0</v>
      </c>
      <c r="N126" s="13">
        <f>IF('Données projet'!$A$46&gt;35,N125+M126-V125,IF(A126&lt;'Données projet'!$A$46,$K$205^A126,IF(A126='Données projet'!$A$46,'Données projet'!$B$46,N125+M126-V125)))</f>
        <v>-1.1368683772161603E-13</v>
      </c>
      <c r="O126" s="13">
        <f>N126*VLOOKUP('Données projet'!$B$9,Paramètres!$A$1:$I$89,3,0)*VLOOKUP('Données projet'!$B$9,Paramètres!$A$1:$I$89,5,0)</f>
        <v>-6.3550942286383367E-14</v>
      </c>
      <c r="P126" s="13" t="e">
        <f t="shared" si="182"/>
        <v>#NUM!</v>
      </c>
      <c r="Q126" s="20" t="e">
        <f t="shared" si="222"/>
        <v>#NUM!</v>
      </c>
      <c r="R126" s="59" t="e">
        <f t="shared" si="120"/>
        <v>#NUM!</v>
      </c>
      <c r="S126" s="59">
        <f ca="1">AVERAGE(OFFSET($R$3,0,0,'Données projet'!$E$9+1,1))-AVERAGE(OFFSET($H$3,0,0,'Données projet'!$E$9+1,1))</f>
        <v>274.57619581652199</v>
      </c>
      <c r="T126" s="59">
        <f t="shared" si="183"/>
        <v>366.15117322598775</v>
      </c>
      <c r="U126" s="15">
        <f>IF(ISNA(VLOOKUP(A126,'Données projet'!$A$45:$I$65,3,0)),0,VLOOKUP(A126,'Données projet'!$A$45:$I$65,3,0))</f>
        <v>0</v>
      </c>
      <c r="V126" s="15">
        <f>IF(ISNA(VLOOKUP(A126,'Données projet'!$A$45:$I$65,4,0)),0,VLOOKUP(A126,'Données projet'!$A$45:$I$65,4,0))</f>
        <v>0</v>
      </c>
      <c r="W126" s="16">
        <f>IF(ISNA(VLOOKUP(A126,'Données projet'!$A$45:$I$65,5,0)),0%,VLOOKUP(A126,'Données projet'!$A$45:$I$65,5,0)*VLOOKUP('Données projet'!$B$9,Paramètres!$A$1:$I$89,7,0))</f>
        <v>0</v>
      </c>
      <c r="X126" s="16">
        <f>IF(ISNA(VLOOKUP(A126,'Données projet'!$A$45:$I$65,6,0)),0%,VLOOKUP(A126,'Données projet'!$A$45:$I$65,6,0)*VLOOKUP('Données projet'!$B$9,Paramètres!$A$1:$I$89,7,0))</f>
        <v>0</v>
      </c>
      <c r="Y126" s="16">
        <f>IF(ISNA(VLOOKUP(A126,'Données projet'!$A$45:$I$65,7,0)),0%,VLOOKUP(A126,'Données projet'!$A$45:$I$65,7,0))</f>
        <v>0</v>
      </c>
      <c r="Z126" s="21">
        <f>EXP(-LN(2)/35)*Z125+(1-EXP(-LN(2)/35))/(LN(2)/35)*V126*W126*VLOOKUP('Données projet'!$B$9,Paramètres!$A$1:$I$89,3,0)*0.475*44/12</f>
        <v>58.953693059833341</v>
      </c>
      <c r="AA126" s="21">
        <f>EXP(-LN(2)/25)*AA125+(1-EXP(-LN(2)/25))/(LN(2)/25)*Calculateur!V126*Calculateur!X126*VLOOKUP('Données projet'!$B$9,Paramètres!$A$1:$I$89,3,0)*0.475*44/12</f>
        <v>8.7433688536582252</v>
      </c>
      <c r="AB126" s="21">
        <f>EXP(-LN(2)/2)*AB125+(1-EXP(-LN(2)/2))/(LN(2)/2)*V126*Y126*VLOOKUP('Données projet'!$B$9,Paramètres!$A$1:$I$89,3,0)*0.475*44/12</f>
        <v>1.9884495998332552E-9</v>
      </c>
      <c r="AC126" s="22">
        <f t="shared" si="122"/>
        <v>67.69706191548002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>
        <f>VLOOKUP(A126,'Données projet'!$A$71:$I$91,2,0)</f>
        <v>222.63461538461539</v>
      </c>
      <c r="AG126" s="12">
        <f>VLOOKUP(A126,'Données projet'!$A$71:$I$91,9,0)</f>
        <v>3.8301282051282044</v>
      </c>
      <c r="AH126" s="12">
        <f t="array" ref="AH126">INDEX(AG:AG,MIN(IF(ISNUMBER(AG126:AG322),ROW(AG126:AG322),"")))</f>
        <v>3.8301282051282044</v>
      </c>
      <c r="AI126" s="13">
        <f>IF('Données projet'!$A$72&gt;35,AI125+AH126-AQ125,IF(A126&lt;'Données projet'!$A$72,$AF$205^A126,IF(A126='Données projet'!$A$72,'Données projet'!$B$72,AI125+AH126-AQ125)))</f>
        <v>222.63461538461587</v>
      </c>
      <c r="AJ126" s="13">
        <f>AI126*VLOOKUP('Données projet'!$B$10,Paramètres!$A$1:$I$89,3,0)*VLOOKUP('Données projet'!$B$10,Paramètres!$A$1:$I$89,5,0)</f>
        <v>201.43980000000045</v>
      </c>
      <c r="AK126" s="13">
        <f t="shared" si="184"/>
        <v>50.06045996470462</v>
      </c>
      <c r="AL126" s="20">
        <f t="shared" si="123"/>
        <v>438.02961943852802</v>
      </c>
      <c r="AM126" s="59">
        <f t="shared" si="124"/>
        <v>731.36295277186127</v>
      </c>
      <c r="AN126" s="59">
        <f ca="1">AVERAGE(OFFSET($AM$3,0,0,'Données projet'!$E$10+1,1))-AVERAGE(OFFSET($H$3,0,0,'Données projet'!$E$10+1,1))</f>
        <v>270.87836509222456</v>
      </c>
      <c r="AO126" s="59">
        <f t="shared" si="185"/>
        <v>205.24998237949734</v>
      </c>
      <c r="AP126" s="15">
        <f>IF(ISNA(VLOOKUP(A126,'Données projet'!$A$71:$I$91,3,0)),0,VLOOKUP(A126,'Données projet'!$A$71:$I$91,3,0))</f>
        <v>12</v>
      </c>
      <c r="AQ126" s="15">
        <f>IF(ISNA(VLOOKUP(A126,'Données projet'!$A$71:$I$91,4,0)),0,VLOOKUP(A126,'Données projet'!$A$71:$I$91,4,0))</f>
        <v>77.17307692307692</v>
      </c>
      <c r="AR126" s="16">
        <f>IF(ISNA(VLOOKUP(A126,'Données projet'!$A$71:$I$91,5,0)),0%,VLOOKUP(A126,'Données projet'!$A$71:$I$91,5,0)*VLOOKUP('Données projet'!$B$10,Paramètres!$A$1:$I$89,7,0))</f>
        <v>0.38700000000000001</v>
      </c>
      <c r="AS126" s="16">
        <f>IF(ISNA(VLOOKUP(A126,'Données projet'!$A$71:$I$91,6,0)),0%,VLOOKUP(A126,'Données projet'!$A$71:$I$91,6,0)*VLOOKUP('Données projet'!$B$10,Paramètres!$A$1:$I$89,7,0))</f>
        <v>0</v>
      </c>
      <c r="AT126" s="16">
        <f>IF(ISNA(VLOOKUP(A126,'Données projet'!$A$71:$I$91,7,0)),0%,VLOOKUP(A126,'Données projet'!$A$71:$I$91,7,0))</f>
        <v>0</v>
      </c>
      <c r="AU126" s="21">
        <f>EXP(-LN(2)/35)*AU125+(1-EXP(-LN(2)/35))/(LN(2)/35)*AQ126*AR126*VLOOKUP('Données projet'!$B$10,Paramètres!$A$1:$I$89,3,0)*0.475*44/12</f>
        <v>129.12212127250342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125"/>
        <v>129.12212127250342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projet'!$A$97:$I$117,2,0)</f>
        <v>#N/A</v>
      </c>
      <c r="BB126" s="12" t="e">
        <f>VLOOKUP(A126,'Données projet'!$A$97:$I$117,9,0)</f>
        <v>#N/A</v>
      </c>
      <c r="BC126" s="12">
        <f t="array" ref="BC126">INDEX(BB:BB,MIN(IF(ISNUMBER(BB126:BB322),ROW(BB126:BB322),"")))</f>
        <v>0</v>
      </c>
      <c r="BD126" s="12">
        <f>IF('Données projet'!$A$98&gt;35,BD125+BC126-BL125,IF(A126&lt;'Données projet'!$A$98,$BA$205^A126,IF(A126='Données projet'!$A$98,'Données projet'!$B$98,BD125+BC126-BL125)))</f>
        <v>-1.1368683772161603E-13</v>
      </c>
      <c r="BE126" s="13">
        <f>BD126*VLOOKUP('Données projet'!$B$11,Paramètres!$A$1:$I$89,3,0)*VLOOKUP('Données projet'!$B$11,Paramètres!$A$1:$I$89,5,0)</f>
        <v>-5.0249582272954292E-14</v>
      </c>
      <c r="BF126" s="13" t="e">
        <f t="shared" si="186"/>
        <v>#NUM!</v>
      </c>
      <c r="BG126" s="20" t="e">
        <f t="shared" si="126"/>
        <v>#NUM!</v>
      </c>
      <c r="BH126" s="59" t="e">
        <f t="shared" si="127"/>
        <v>#NUM!</v>
      </c>
      <c r="BI126" s="59">
        <f ca="1">AVERAGE(OFFSET($BH$3,0,0,'Données projet'!$E$11+1,1))-AVERAGE(OFFSET($H$3,0,0,'Données projet'!$E$11+1,1))</f>
        <v>211.31057120485542</v>
      </c>
      <c r="BJ126" s="59">
        <f t="shared" si="187"/>
        <v>283.33292006714777</v>
      </c>
      <c r="BK126" s="15">
        <f>IF(ISNA(VLOOKUP(A126,'Données projet'!$A$97:$I$117,3,0)),0,VLOOKUP(A126,'Données projet'!$A$97:$I$117,3,0))</f>
        <v>0</v>
      </c>
      <c r="BL126" s="15">
        <f>IF(ISNA(VLOOKUP(A126,'Données projet'!$A$97:$I$117,4,0)),0,VLOOKUP(A126,'Données projet'!$A$97:$I$117,4,0))</f>
        <v>0</v>
      </c>
      <c r="BM126" s="16">
        <f>IF(ISNA(VLOOKUP(A126,'Données projet'!$A$97:$I$117,5,0)),0%,VLOOKUP(A126,'Données projet'!$A$97:$I$117,5,0)*VLOOKUP('Données projet'!$B$11,Paramètres!$A$1:$I$89,7,0))</f>
        <v>0</v>
      </c>
      <c r="BN126" s="16">
        <f>IF(ISNA(VLOOKUP(A126,'Données projet'!$A$97:$I$117,6,0)),0%,VLOOKUP(A126,'Données projet'!$A$97:$I$117,6,0)*VLOOKUP('Données projet'!$B$11,Paramètres!$A$1:$I$89,7,0))</f>
        <v>0</v>
      </c>
      <c r="BO126" s="16">
        <f>IF(ISNA(VLOOKUP(A126,'Données projet'!$A$97:$I$117,7,0)),0%,VLOOKUP(A126,'Données projet'!$A$97:$I$117,7,0))</f>
        <v>0</v>
      </c>
      <c r="BP126" s="21">
        <f>EXP(-LN(2)/35)*BP125+(1-EXP(-LN(2)/35))/(LN(2)/35)*BL126*BM126*VLOOKUP('Données projet'!$B$11,Paramètres!$A$1:$I$89,3,0)*0.475*44/12</f>
        <v>46.614548000798472</v>
      </c>
      <c r="BQ126" s="21">
        <f>EXP(-LN(2)/25)*BQ125+(1-EXP(-LN(2)/25))/(LN(2)/25)*Calculateur!BL126*Calculateur!BN126*VLOOKUP('Données projet'!$B$11,Paramètres!$A$1:$I$89,3,0)*0.475*44/12</f>
        <v>6.9133614191716175</v>
      </c>
      <c r="BR126" s="21">
        <f>EXP(-LN(2)/2)*BR125+(1-EXP(-LN(2)/2))/(LN(2)/2)*BL126*BO126*VLOOKUP('Données projet'!$B$11,Paramètres!$A$1:$I$89,3,0)*0.475*44/12</f>
        <v>1.5722624742867597E-9</v>
      </c>
      <c r="BS126" s="22">
        <f t="shared" si="128"/>
        <v>53.527909421542347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projet'!$A$123:$I$143,2,0)</f>
        <v>#N/A</v>
      </c>
      <c r="BW126" s="12" t="e">
        <f>VLOOKUP(A126,'Données projet'!$A$123:$I$143,9,0)</f>
        <v>#N/A</v>
      </c>
      <c r="BX126" s="12">
        <f t="array" ref="BX126">INDEX(BW:BW,MIN(IF(ISNUMBER(BW126:BW322),ROW(BW126:BW322),"")))</f>
        <v>0</v>
      </c>
      <c r="BY126" s="12">
        <f>IF('Données projet'!$A$124&gt;35,BY125+BX126-CG125,IF(A126&lt;'Données projet'!$A$124,$BV$205^A126,IF(A126='Données projet'!$A$124,'Données projet'!$B$124,BY125+BX126-CG125)))</f>
        <v>0</v>
      </c>
      <c r="BZ126" s="13">
        <f>BY126*VLOOKUP('Données projet'!$B$12,Paramètres!$A$1:$I$89,3,0)*VLOOKUP('Données projet'!$B$12,Paramètres!$A$1:$I$89,5,0)</f>
        <v>0</v>
      </c>
      <c r="CA126" s="13" t="e">
        <f t="shared" si="188"/>
        <v>#NUM!</v>
      </c>
      <c r="CB126" s="20" t="e">
        <f t="shared" si="129"/>
        <v>#NUM!</v>
      </c>
      <c r="CC126" s="59" t="e">
        <f t="shared" si="130"/>
        <v>#NUM!</v>
      </c>
      <c r="CD126" s="59">
        <f ca="1">AVERAGE(OFFSET($CC$3,0,0,'Données projet'!$E$12+1,1))-AVERAGE(OFFSET($H$3,0,0,'Données projet'!$E$12+1,1))</f>
        <v>322.93502595881938</v>
      </c>
      <c r="CE126" s="59">
        <f t="shared" si="189"/>
        <v>302.67072119588164</v>
      </c>
      <c r="CF126" s="15">
        <f>IF(ISNA(VLOOKUP(A126,'Données projet'!$A$123:$I$143,3,0)),0,VLOOKUP(A126,'Données projet'!$A$123:$I$143,3,0))</f>
        <v>0</v>
      </c>
      <c r="CG126" s="15">
        <f>IF(ISNA(VLOOKUP(A126,'Données projet'!$A$123:$I$143,4,0)),0,VLOOKUP(A126,'Données projet'!$A$123:$I$143,4,0))</f>
        <v>0</v>
      </c>
      <c r="CH126" s="16">
        <f>IF(ISNA(VLOOKUP(A126,'Données projet'!$A$123:$I$143,5,0)),0%,VLOOKUP(A126,'Données projet'!$A$123:$I$143,5,0)*VLOOKUP('Données projet'!$B$12,Paramètres!$A$1:$I$89,7,0))</f>
        <v>0</v>
      </c>
      <c r="CI126" s="16">
        <f>IF(ISNA(VLOOKUP(A126,'Données projet'!$A$123:$I$143,6,0)),0%,VLOOKUP(A126,'Données projet'!$A$123:$I$143,6,0)*VLOOKUP('Données projet'!$B$12,Paramètres!$A$1:$I$89,7,0))</f>
        <v>0</v>
      </c>
      <c r="CJ126" s="16">
        <f>IF(ISNA(VLOOKUP(A126,'Données projet'!$A$123:$I$143,7,0)),0%,VLOOKUP(A126,'Données projet'!$A$123:$I$143,7,0))</f>
        <v>0</v>
      </c>
      <c r="CK126" s="21">
        <f>EXP(-LN(2)/35)*CK125+(1-EXP(-LN(2)/35))/(LN(2)/35)*CG126*CH126*VLOOKUP('Données projet'!$B$12,Paramètres!$A$1:$I$89,3,0)*0.475*44/12</f>
        <v>74.268238634852665</v>
      </c>
      <c r="CL126" s="21">
        <f>EXP(-LN(2)/25)*CL125+(1-EXP(-LN(2)/25))/(LN(2)/25)*Calculateur!CG126*Calculateur!CI126*VLOOKUP('Données projet'!$B$12,Paramètres!$A$1:$I$89,3,0)*0.475*44/12</f>
        <v>22.126939394413863</v>
      </c>
      <c r="CM126" s="21">
        <f>EXP(-LN(2)/2)*CM125+(1-EXP(-LN(2)/2))/(LN(2)/2)*CG126*CJ126*VLOOKUP('Données projet'!$B$12,Paramètres!$A$1:$I$89,3,0)*0.475*44/12</f>
        <v>0</v>
      </c>
      <c r="CN126" s="22">
        <f t="shared" si="131"/>
        <v>96.395178029266532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projet'!$A$149:$I$169,2,0)</f>
        <v>#N/A</v>
      </c>
      <c r="CR126" s="12" t="e">
        <f>VLOOKUP(A126,'Données projet'!$A$149:$I$169,9,0)</f>
        <v>#N/A</v>
      </c>
      <c r="CS126" s="12">
        <f t="array" ref="CS126">INDEX(CR:CR,MIN(IF(ISNUMBER(CR126:CR322),ROW(CR126:CR322),"")))</f>
        <v>5.3066239316239274</v>
      </c>
      <c r="CT126" s="12">
        <f>IF('Données projet'!$A$150&gt;35,CT125+CS126-DB125,IF(A126&lt;'Données projet'!$A$150,$CQ$205^A126,IF(A126='Données projet'!$A$150,'Données projet'!$B$150,CT125+CS126-DB125)))</f>
        <v>267.68162393162351</v>
      </c>
      <c r="CU126" s="17">
        <f>CT126*VLOOKUP('Données projet'!$B$13,Paramètres!$A$1:$I$89,3,0)*VLOOKUP('Données projet'!$B$13,Paramètres!$A$1:$I$89,5,0)</f>
        <v>271.42916666666628</v>
      </c>
      <c r="CV126" s="13">
        <f t="shared" si="190"/>
        <v>65.152481270117946</v>
      </c>
      <c r="CW126" s="20">
        <f t="shared" si="132"/>
        <v>586.21303682323253</v>
      </c>
      <c r="CX126" s="59">
        <f t="shared" si="133"/>
        <v>879.5463701565659</v>
      </c>
      <c r="CY126" s="59">
        <f ca="1">AVERAGE(OFFSET($CX$3,0,0,'Données projet'!$E$13+1,1))-AVERAGE(OFFSET($H$3,0,0,'Données projet'!$E$13+1,1))</f>
        <v>250.31277422753283</v>
      </c>
      <c r="CZ126" s="59">
        <f t="shared" si="191"/>
        <v>159.20429420478047</v>
      </c>
      <c r="DA126" s="15">
        <f>IF(ISNA(VLOOKUP(A126,'Données projet'!$A$149:$I$169,3,0)),0,VLOOKUP(A126,'Données projet'!$A$149:$I$169,3,0))</f>
        <v>0</v>
      </c>
      <c r="DB126" s="15">
        <f>IF(ISNA(VLOOKUP(A126,'Données projet'!$A$149:$I$169,4,0)),0,VLOOKUP(A126,'Données projet'!$A$149:$I$169,4,0))</f>
        <v>0</v>
      </c>
      <c r="DC126" s="16">
        <f>IF(ISNA(VLOOKUP(A126,'Données projet'!$A$149:$I$169,5,0)),0%,VLOOKUP(A126,'Données projet'!$A$149:$I$169,5,0)*VLOOKUP('Données projet'!$B$13,Paramètres!$A$1:$I$89,7,0))</f>
        <v>0</v>
      </c>
      <c r="DD126" s="16">
        <f>IF(ISNA(VLOOKUP(A126,'Données projet'!$A$149:$I$169,6,0)),0%,VLOOKUP(A126,'Données projet'!$A$149:$I$169,6,0)*VLOOKUP('Données projet'!$B$13,Paramètres!$A$1:$I$89,7,0))</f>
        <v>0</v>
      </c>
      <c r="DE126" s="16">
        <f>IF(ISNA(VLOOKUP(A126,'Données projet'!$A$149:$I$169,7,0)),0%,VLOOKUP(A126,'Données projet'!$A$149:$I$169,7,0))</f>
        <v>0</v>
      </c>
      <c r="DF126" s="21">
        <f>EXP(-LN(2)/35)*DF125+(1-EXP(-LN(2)/35))/(LN(2)/35)*DB126*DC126*VLOOKUP('Données projet'!$B$13,Paramètres!$A$1:$I$89,3,0)*0.475*44/12</f>
        <v>32.821897864590134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134"/>
        <v>32.821897864590134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projet'!$A$175:$I$195,2,0)</f>
        <v>#N/A</v>
      </c>
      <c r="DM126" s="12" t="e">
        <f>VLOOKUP(A126,'Données projet'!$A$175:$I$195,9,0)</f>
        <v>#N/A</v>
      </c>
      <c r="DN126" s="12">
        <f t="array" ref="DN126">INDEX(DM:DM,MIN(IF(ISNUMBER(DM126:DM322),ROW(DM126:DM322),"")))</f>
        <v>0</v>
      </c>
      <c r="DO126" s="12">
        <f>IF('Données projet'!$A$176&gt;35,DO125+DN126-DW125,IF(A126&lt;'Données projet'!$A$176,$DL$205^A126,IF(A126='Données projet'!$A$176,'Données projet'!$B$176,DO125+DN126-DW125)))</f>
        <v>-2.8421709430404007E-13</v>
      </c>
      <c r="DP126" s="17">
        <f>DO126*VLOOKUP('Données projet'!$B$14,Paramètres!$A$1:$I$89,3,0)*VLOOKUP('Données projet'!$B$14,Paramètres!$A$1:$I$89,5,0)</f>
        <v>-2.0838797354372215E-13</v>
      </c>
      <c r="DQ126" s="13" t="e">
        <f t="shared" si="192"/>
        <v>#NUM!</v>
      </c>
      <c r="DR126" s="20" t="e">
        <f t="shared" si="135"/>
        <v>#NUM!</v>
      </c>
      <c r="DS126" s="59" t="e">
        <f t="shared" si="136"/>
        <v>#NUM!</v>
      </c>
      <c r="DT126" s="59">
        <f ca="1">AVERAGE(OFFSET($DS$3,0,0,'Données projet'!$E$14+1,1))-AVERAGE(OFFSET($H$3,0,0,'Données projet'!$E$14+1,1))</f>
        <v>296.91321813251051</v>
      </c>
      <c r="DU126" s="59">
        <f t="shared" si="193"/>
        <v>291.0718079639509</v>
      </c>
      <c r="DV126" s="15">
        <f>IF(ISNA(VLOOKUP(A126,'Données projet'!$A$175:$I$195,3,0)),0,VLOOKUP(A126,'Données projet'!$A$175:$I$195,3,0))</f>
        <v>0</v>
      </c>
      <c r="DW126" s="15">
        <f>IF(ISNA(VLOOKUP(A126,'Données projet'!$A$175:$I$195,4,0)),0,VLOOKUP(A126,'Données projet'!$A$175:$I$195,4,0))</f>
        <v>0</v>
      </c>
      <c r="DX126" s="16">
        <f>IF(ISNA(VLOOKUP(A126,'Données projet'!$A$175:$I$195,5,0)),0%,VLOOKUP(A126,'Données projet'!$A$175:$I$195,5,0)*VLOOKUP('Données projet'!$B$14,Paramètres!$A$1:$I$89,7,0))</f>
        <v>0</v>
      </c>
      <c r="DY126" s="16">
        <f>IF(ISNA(VLOOKUP(A126,'Données projet'!$A$175:$I$195,6,0)),0%,VLOOKUP(A126,'Données projet'!$A$175:$I$195,6,0)*VLOOKUP('Données projet'!$B$14,Paramètres!$A$1:$I$89,7,0))</f>
        <v>0</v>
      </c>
      <c r="DZ126" s="16">
        <f>IF(ISNA(VLOOKUP(A126,'Données projet'!$A$175:$I$195,7,0)),0%,VLOOKUP(A126,'Données projet'!$A$175:$I$195,7,0))</f>
        <v>0</v>
      </c>
      <c r="EA126" s="21">
        <f>EXP(-LN(2)/35)*EA125+(1-EXP(-LN(2)/35))/(LN(2)/35)*DW126*DX126*VLOOKUP('Données projet'!$B$14,Paramètres!$A$1:$I$89,3,0)*0.475*44/12</f>
        <v>74.021590624774703</v>
      </c>
      <c r="EB126" s="21">
        <f>EXP(-LN(2)/25)*EB125+(1-EXP(-LN(2)/25))/(LN(2)/25)*Calculateur!DW126*Calculateur!DY126*VLOOKUP('Données projet'!$B$14,Paramètres!$A$1:$I$89,3,0)*0.475*44/12</f>
        <v>1.6254650358439193</v>
      </c>
      <c r="EC126" s="21">
        <f>EXP(-LN(2)/2)*EC125+(1-EXP(-LN(2)/2))/(LN(2)/2)*DW126*DZ126*VLOOKUP('Données projet'!$B$14,Paramètres!$A$1:$I$89,3,0)*0.475*44/12</f>
        <v>0</v>
      </c>
      <c r="ED126" s="22">
        <f t="shared" si="137"/>
        <v>75.647055660618619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projet'!$A$201:$I$221,2,0)</f>
        <v>#N/A</v>
      </c>
      <c r="EH126" s="12" t="e">
        <f>VLOOKUP(A126,'Données projet'!$A$201:$I$221,9,0)</f>
        <v>#N/A</v>
      </c>
      <c r="EI126" s="12">
        <f t="array" ref="EI126">INDEX(EH:EH,MIN(IF(ISNUMBER(EH126:EH322),ROW(EH126:EH322),"")))</f>
        <v>0</v>
      </c>
      <c r="EJ126" s="12">
        <f>IF('Données projet'!$A$202&gt;35,EJ125+EI126-ER125,IF(A126&lt;'Données projet'!$A$202,$EG$205^A126,IF(A126='Données projet'!$A$202,'Données projet'!$B$202,EJ125+EI126-ER125)))</f>
        <v>5.1159076974727213E-13</v>
      </c>
      <c r="EK126" s="17">
        <f>EJ126*VLOOKUP('Données projet'!$B$15,Paramètres!$A$1:$I$89,3,0)*VLOOKUP('Données projet'!$B$15,Paramètres!$A$1:$I$89,5,0)</f>
        <v>2.3942448024172334E-13</v>
      </c>
      <c r="EL126" s="13">
        <f t="shared" si="194"/>
        <v>3.2492669905861755E-12</v>
      </c>
      <c r="EM126" s="20">
        <f t="shared" si="138"/>
        <v>6.0761376450252565E-12</v>
      </c>
      <c r="EN126" s="59">
        <f t="shared" si="139"/>
        <v>293.3333333333394</v>
      </c>
      <c r="EO126" s="59">
        <f ca="1">AVERAGE(OFFSET($EN$3,0,0,'Données projet'!$E$15+1,1))-AVERAGE(OFFSET($H$3,0,0,'Données projet'!$E$15+1,1))</f>
        <v>147.64256291235483</v>
      </c>
      <c r="EP126" s="59">
        <f t="shared" si="195"/>
        <v>70.859031694091868</v>
      </c>
      <c r="EQ126" s="15">
        <f>IF(ISNA(VLOOKUP(A126,'Données projet'!$A$201:$I$221,3,0)),0,VLOOKUP(A126,'Données projet'!$A$201:$I$221,3,0))</f>
        <v>0</v>
      </c>
      <c r="ER126" s="15">
        <f>IF(ISNA(VLOOKUP(A126,'Données projet'!$A$201:$I$221,4,0)),0,VLOOKUP(A126,'Données projet'!$A$201:$I$221,4,0))</f>
        <v>0</v>
      </c>
      <c r="ES126" s="16">
        <f>IF(ISNA(VLOOKUP(A126,'Données projet'!$A$201:$I$221,5,0)),0%,VLOOKUP(A126,'Données projet'!$A$201:$I$221,5,0)*VLOOKUP('Données projet'!$B$15,Paramètres!$A$1:$I$89,7,0))</f>
        <v>0</v>
      </c>
      <c r="ET126" s="16">
        <f>IF(ISNA(VLOOKUP(A126,'Données projet'!$A$201:$I$221,6,0)),0%,VLOOKUP(A126,'Données projet'!$A$201:$I$221,6,0)*VLOOKUP('Données projet'!$B$15,Paramètres!$A$1:$I$89,7,0))</f>
        <v>0</v>
      </c>
      <c r="EU126" s="16">
        <f>IF(ISNA(VLOOKUP(A126,'Données projet'!$A$201:$I$221,7,0)),0%,VLOOKUP(A126,'Données projet'!$A$201:$I$221,7,0))</f>
        <v>0</v>
      </c>
      <c r="EV126" s="21">
        <f>EXP(-LN(2)/35)*EV125+(1-EXP(-LN(2)/35))/(LN(2)/35)*ER126*ES126*VLOOKUP('Données projet'!$B$15,Paramètres!$A$1:$I$89,3,0)*0.475*44/12</f>
        <v>101.33672435576432</v>
      </c>
      <c r="EW126" s="21">
        <f>EXP(-LN(2)/25)*EW125+(1-EXP(-LN(2)/25))/(LN(2)/25)*Calculateur!ER126*Calculateur!ET126*VLOOKUP('Données projet'!$B$15,Paramètres!$A$1:$I$89,3,0)*0.475*44/12</f>
        <v>22.551689743989005</v>
      </c>
      <c r="EX126" s="21">
        <f>EXP(-LN(2)/2)*EX125+(1-EXP(-LN(2)/2))/(LN(2)/2)*ER126*EU126*VLOOKUP('Données projet'!$B$15,Paramètres!$A$1:$I$89,3,0)*0.475*44/12</f>
        <v>0.14334913534932311</v>
      </c>
      <c r="EY126" s="22">
        <f t="shared" si="140"/>
        <v>124.03176323510264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projet'!$A$227:$I$247,2,0)</f>
        <v>#N/A</v>
      </c>
      <c r="FC126" s="12" t="e">
        <f>VLOOKUP(A126,'Données projet'!$A$227:$I$247,9,0)</f>
        <v>#N/A</v>
      </c>
      <c r="FD126" s="12">
        <f t="array" ref="FD126">INDEX(FC:FC,MIN(IF(ISNUMBER(FC126:FC322),ROW(FC126:FC322),"")))</f>
        <v>0</v>
      </c>
      <c r="FE126" s="12">
        <f>IF('Données projet'!$A$228&gt;35,FE125+FD126-FM125,IF(A126&lt;'Données projet'!$A$228,$FB$205^A126,IF(A126='Données projet'!$A$228,'Données projet'!$B$228,FE125+FD126-FM125)))</f>
        <v>8.5265128291212022E-14</v>
      </c>
      <c r="FF126" s="17">
        <f>FE126*VLOOKUP('Données projet'!$B$16,Paramètres!$A$1:$I$89,3,0)*VLOOKUP('Données projet'!$B$16,Paramètres!$A$1:$I$89,5,0)</f>
        <v>8.9119112089974823E-14</v>
      </c>
      <c r="FG126" s="13">
        <f t="shared" si="196"/>
        <v>1.3568952080113142E-12</v>
      </c>
      <c r="FH126" s="20">
        <f t="shared" si="141"/>
        <v>2.5184749408430782E-12</v>
      </c>
      <c r="FI126" s="59">
        <f t="shared" si="142"/>
        <v>293.33333333333582</v>
      </c>
      <c r="FJ126" s="59">
        <f ca="1">AVERAGE(OFFSET($FI$3,0,0,'Données projet'!$E$16+1,1))-AVERAGE(OFFSET($H$3,0,0,'Données projet'!$E$16+1,1))</f>
        <v>259.03906550253788</v>
      </c>
      <c r="FK126" s="59">
        <f t="shared" si="197"/>
        <v>235.54542903570831</v>
      </c>
      <c r="FL126" s="15">
        <f>IF(ISNA(VLOOKUP(A126,'Données projet'!$A$227:$I$247,3,0)),0,VLOOKUP(A126,'Données projet'!$A$227:$I$247,3,0))</f>
        <v>0</v>
      </c>
      <c r="FM126" s="15">
        <f>IF(ISNA(VLOOKUP(A126,'Données projet'!$A$227:$I$247,4,0)),0,VLOOKUP(A126,'Données projet'!$A$227:$I$247,4,0))</f>
        <v>0</v>
      </c>
      <c r="FN126" s="16">
        <f>IF(ISNA(VLOOKUP(A126,'Données projet'!$A$227:$I$247,5,0)),0%,VLOOKUP(A126,'Données projet'!$A$227:$I$247,5,0)*VLOOKUP('Données projet'!$B$16,Paramètres!$A$1:$I$89,7,0))</f>
        <v>0</v>
      </c>
      <c r="FO126" s="16">
        <f>IF(ISNA(VLOOKUP(A126,'Données projet'!$A$227:$I$247,6,0)),0%,VLOOKUP(A126,'Données projet'!$A$227:$I$247,6,0)*VLOOKUP('Données projet'!$B$16,Paramètres!$A$1:$I$89,7,0))</f>
        <v>0</v>
      </c>
      <c r="FP126" s="16">
        <f>IF(ISNA(VLOOKUP(A126,'Données projet'!$A$227:$I$247,7,0)),0%,VLOOKUP(A126,'Données projet'!$A$227:$I$247,7,0))</f>
        <v>0</v>
      </c>
      <c r="FQ126" s="21">
        <f>EXP(-LN(2)/35)*FQ125+(1-EXP(-LN(2)/35))/(LN(2)/35)*FM126*FN126*VLOOKUP('Données projet'!$B$16,Paramètres!$A$1:$I$89,3,0)*0.475*44/12</f>
        <v>44.727276112459442</v>
      </c>
      <c r="FR126" s="21">
        <f>EXP(-LN(2)/25)*FR125+(1-EXP(-LN(2)/25))/(LN(2)/25)*Calculateur!FM126*Calculateur!FO126*VLOOKUP('Données projet'!$B$16,Paramètres!$A$1:$I$89,3,0)*0.475*44/12</f>
        <v>31.023788055376702</v>
      </c>
      <c r="FS126" s="21">
        <f>EXP(-LN(2)/2)*FS125+(1-EXP(-LN(2)/2))/(LN(2)/2)*FM126*FP126*VLOOKUP('Données projet'!$B$16,Paramètres!$A$1:$I$89,3,0)*0.475*44/12</f>
        <v>0</v>
      </c>
      <c r="FT126" s="22">
        <f t="shared" si="143"/>
        <v>75.751064167836148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projet'!$A$253:$I$273,2,0)</f>
        <v>#N/A</v>
      </c>
      <c r="FX126" s="12" t="e">
        <f>VLOOKUP(A126,'Données projet'!$A$253:$I$273,9,0)</f>
        <v>#N/A</v>
      </c>
      <c r="FY126" s="12">
        <f t="array" ref="FY126">INDEX(FX:FX,MIN(IF(ISNUMBER(FX126:FX322),ROW(FX126:FX322),"")))</f>
        <v>0</v>
      </c>
      <c r="FZ126" s="12">
        <f>IF('Données projet'!$A$254&gt;35,FZ125+FY126-GH125,IF(A126&lt;'Données projet'!$A$254,$FW$205^A126,IF(A126='Données projet'!$A$254,'Données projet'!$B$254,FZ125+FY126-GH125)))</f>
        <v>-1.7053025658242404E-13</v>
      </c>
      <c r="GA126" s="17">
        <f>FZ126*VLOOKUP('Données projet'!$B$17,Paramètres!$A$1:$I$89,3,0)*VLOOKUP('Données projet'!$B$17,Paramètres!$A$1:$I$89,5,0)</f>
        <v>-1.4897523215040567E-13</v>
      </c>
      <c r="GB126" s="13" t="e">
        <f t="shared" si="198"/>
        <v>#NUM!</v>
      </c>
      <c r="GC126" s="20" t="e">
        <f t="shared" si="144"/>
        <v>#NUM!</v>
      </c>
      <c r="GD126" s="59" t="e">
        <f t="shared" si="145"/>
        <v>#NUM!</v>
      </c>
      <c r="GE126" s="59">
        <f ca="1">AVERAGE(OFFSET($GD$3,0,0,'Données projet'!$E$17+1,1))-AVERAGE(OFFSET($H$3,0,0,'Données projet'!$E$17+1,1))</f>
        <v>245.1983232777614</v>
      </c>
      <c r="GF126" s="59">
        <f t="shared" si="199"/>
        <v>242.34010522344573</v>
      </c>
      <c r="GG126" s="15">
        <f>IF(ISNA(VLOOKUP(A126,'Données projet'!$A$253:$I$273,3,0)),0,VLOOKUP(A126,'Données projet'!$A$253:$I$273,3,0))</f>
        <v>0</v>
      </c>
      <c r="GH126" s="15">
        <f>IF(ISNA(VLOOKUP(A126,'Données projet'!$A$253:$I$273,4,0)),0,VLOOKUP(A126,'Données projet'!$A$253:$I$273,4,0))</f>
        <v>0</v>
      </c>
      <c r="GI126" s="16">
        <f>IF(ISNA(VLOOKUP(A126,'Données projet'!$A$253:$I$273,5,0)),0%,VLOOKUP(A126,'Données projet'!$A$253:$I$273,5,0)*VLOOKUP('Données projet'!$B$17,Paramètres!$A$1:$I$89,7,0))</f>
        <v>0</v>
      </c>
      <c r="GJ126" s="16">
        <f>IF(ISNA(VLOOKUP(A126,'Données projet'!$A$253:$I$273,6,0)),0%,VLOOKUP(A126,'Données projet'!$A$253:$I$273,6,0)*VLOOKUP('Données projet'!$B$17,Paramètres!$A$1:$I$89,7,0))</f>
        <v>0</v>
      </c>
      <c r="GK126" s="16">
        <f>IF(ISNA(VLOOKUP(A126,'Données projet'!$A$253:$I$273,7,0)),0%,VLOOKUP(A126,'Données projet'!$A$253:$I$273,7,0))</f>
        <v>0</v>
      </c>
      <c r="GL126" s="21">
        <f>EXP(-LN(2)/35)*GL125+(1-EXP(-LN(2)/35))/(LN(2)/35)*GH126*GI126*VLOOKUP('Données projet'!$B$17,Paramètres!$A$1:$I$89,3,0)*0.475*44/12</f>
        <v>52.583049755209522</v>
      </c>
      <c r="GM126" s="21">
        <f>EXP(-LN(2)/25)*GM125+(1-EXP(-LN(2)/25))/(LN(2)/25)*Calculateur!GH126*Calculateur!GJ126*VLOOKUP('Données projet'!$B$17,Paramètres!$A$1:$I$89,3,0)*0.475*44/12</f>
        <v>6.6104134444351033</v>
      </c>
      <c r="GN126" s="21">
        <f>EXP(-LN(2)/2)*GN125+(1-EXP(-LN(2)/2))/(LN(2)/2)*GH126*GK126*VLOOKUP('Données projet'!$B$17,Paramètres!$A$1:$I$89,3,0)*0.475*44/12</f>
        <v>0</v>
      </c>
      <c r="GO126" s="21">
        <f t="shared" si="146"/>
        <v>59.193463199644626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projet'!$A$279:$I$299,2,0)</f>
        <v>#N/A</v>
      </c>
      <c r="GS126" s="12" t="e">
        <f>VLOOKUP(A126,'Données projet'!$A$279:$I$299,9,0)</f>
        <v>#N/A</v>
      </c>
      <c r="GT126" s="12">
        <f t="array" ref="GT126">INDEX(GS:GS,MIN(IF(ISNUMBER(GS126:GS322),ROW(GS126:GS322),"")))</f>
        <v>0</v>
      </c>
      <c r="GU126" s="12">
        <f>IF('Données projet'!$A$280&gt;35,GU125+GT126-HC125,IF(A126&lt;'Données projet'!$A$280,$GR$205^A126,IF(A126='Données projet'!$A$280,'Données projet'!$B$280,GU125+GT126-HC125)))</f>
        <v>-1.1368683772161603E-13</v>
      </c>
      <c r="GV126" s="17">
        <f>GU126*VLOOKUP('Données projet'!$B$18,Paramètres!$A$1:$I$89,3,0)*VLOOKUP('Données projet'!$B$18,Paramètres!$A$1:$I$89,5,0)</f>
        <v>-4.5815795601811263E-14</v>
      </c>
      <c r="GW126" s="13" t="e">
        <f t="shared" si="200"/>
        <v>#NUM!</v>
      </c>
      <c r="GX126" s="20" t="e">
        <f t="shared" si="147"/>
        <v>#NUM!</v>
      </c>
      <c r="GY126" s="59" t="e">
        <f t="shared" si="148"/>
        <v>#NUM!</v>
      </c>
      <c r="GZ126" s="59">
        <f ca="1">AVERAGE(OFFSET($GY$3,0,0,'Données projet'!$E$18+1,1))-AVERAGE(OFFSET($H$3,0,0,'Données projet'!$E$18+1,1))</f>
        <v>324.36162935850876</v>
      </c>
      <c r="HA126" s="59">
        <f t="shared" si="201"/>
        <v>265.23571072429735</v>
      </c>
      <c r="HB126" s="15">
        <f>IF(ISNA(VLOOKUP(A126,'Données projet'!$A$279:$I$299,3,0)),0,VLOOKUP(A126,'Données projet'!$A$279:$I$299,3,0))</f>
        <v>0</v>
      </c>
      <c r="HC126" s="15">
        <f>IF(ISNA(VLOOKUP(A126,'Données projet'!$A$279:$I$299,4,0)),0,VLOOKUP(A126,'Données projet'!$A$279:$I$299,4,0))</f>
        <v>0</v>
      </c>
      <c r="HD126" s="16">
        <f>IF(ISNA(VLOOKUP(A126,'Données projet'!$A$279:$I$299,5,0)),0%,VLOOKUP(A126,'Données projet'!$A$279:$I$299,5,0)*VLOOKUP('Données projet'!$B$18,Paramètres!$A$1:$I$89,7,0))</f>
        <v>0</v>
      </c>
      <c r="HE126" s="16">
        <f>IF(ISNA(VLOOKUP(A126,'Données projet'!$A$279:$I$299,6,0)),0%,VLOOKUP(A126,'Données projet'!$A$279:$I$299,6,0)*VLOOKUP('Données projet'!$B$18,Paramètres!$A$1:$I$89,7,0))</f>
        <v>0</v>
      </c>
      <c r="HF126" s="16">
        <f>IF(ISNA(VLOOKUP($A126,'Données projet'!$A$279:$I$299,7,0)),0%,VLOOKUP($A126,'Données projet'!$A$279:$I$299,7,0))</f>
        <v>0</v>
      </c>
      <c r="HG126" s="21">
        <f>EXP(-LN(2)/35)*HG125+(1-EXP(-LN(2)/35))/(LN(2)/35)*HC126*HD126*VLOOKUP('Données projet'!$B$18,Paramètres!$A$1:$I$89,3,0)*0.475*44/12</f>
        <v>100.76286952928299</v>
      </c>
      <c r="HH126" s="21">
        <f>EXP(-LN(2)/25)*HH125+(1-EXP(-LN(2)/25))/(LN(2)/25)*Calculateur!HC126*Calculateur!HE126*VLOOKUP('Données projet'!$B$18,Paramètres!$A$1:$I$89,3,0)*0.475*44/12</f>
        <v>7.3519621287836445</v>
      </c>
      <c r="HI126" s="21">
        <f>EXP(-LN(2)/2)*HI125+(1-EXP(-LN(2)/2))/(LN(2)/2)*HC126*HF126*VLOOKUP('Données projet'!$B$18,Paramètres!$A$1:$I$89,3,0)*0.475*44/12</f>
        <v>2.8819036224966274E-6</v>
      </c>
      <c r="HJ126" s="22">
        <f t="shared" si="149"/>
        <v>108.11483453997026</v>
      </c>
      <c r="HK126" s="74">
        <f>('Scénario référence'!$F$8+'Scénario référence'!$F$9+'Scénario référence'!$B$17+'Scénario référence'!$B$9+'Scénario référence'!$B$10)*70+IF((45+25*(1-EXP(-0.0175*$A126)))&lt;70,'Scénario référence'!$B$16*(45+25*(1-EXP(-0.0175*$A126))),70*'Scénario référence'!$B$16)+IF((32+38*(1-EXP(-0.0175*$A126)))&lt;70,'Scénario référence'!$B$18*(32+38*(1-EXP(-0.0175*$A126))),70*'Scénario référence'!$B$18)</f>
        <v>70</v>
      </c>
      <c r="HL126" s="12">
        <f>IF($A126&gt;30,10,('Scénario référence'!$B$16+'Scénario référence'!$B$17+'Scénario référence'!$B$18+'Scénario référence'!$B$9+'Scénario référence'!$B$10)*$A126*10/30+('Scénario référence'!$F$8+'Scénario référence'!$F$9)*10)</f>
        <v>10</v>
      </c>
      <c r="HM126" s="12" t="e">
        <f>VLOOKUP($A126,'Données projet'!$A$304:$I$324,2,0)</f>
        <v>#N/A</v>
      </c>
      <c r="HN126" s="12" t="e">
        <f>VLOOKUP($A126,'Données projet'!$A$304:$I$324,9,0)</f>
        <v>#N/A</v>
      </c>
      <c r="HO126" s="12">
        <f t="array" ref="HO126">INDEX(HN:HN,MIN(IF(ISNUMBER(HN126:HN322),ROW(HN126:HN322),"")))</f>
        <v>0</v>
      </c>
      <c r="HP126" s="12">
        <f>IF('Données projet'!$A$304&gt;35,HP125+HO126-HX125,IF($A126&lt;'Données projet'!$A$304,$CQ$205^$A126,IF($A126='Données projet'!$A$304,'Données projet'!$B$304,HP125+HO126-HX125)))</f>
        <v>0</v>
      </c>
      <c r="HQ126" s="17">
        <f>HP126*VLOOKUP('Données projet'!$B$19,Paramètres!$A$1:$I$89,3,0)*VLOOKUP('Données projet'!$B$19,Paramètres!$A$1:$I$89,5,0)</f>
        <v>0</v>
      </c>
      <c r="HR126" s="13" t="e">
        <f t="shared" si="202"/>
        <v>#NUM!</v>
      </c>
      <c r="HS126" s="14" t="e">
        <f t="shared" si="150"/>
        <v>#NUM!</v>
      </c>
      <c r="HT126" s="59" t="e">
        <f t="shared" si="151"/>
        <v>#NUM!</v>
      </c>
      <c r="HU126" s="59">
        <f ca="1">AVERAGE(OFFSET(HT$3,0,0,'Données projet'!$E$19+1,1))-AVERAGE(OFFSET($H$3,0,0,'Données projet'!$E$19+1,1))</f>
        <v>91.60721429656013</v>
      </c>
      <c r="HV126" s="59">
        <f t="shared" si="203"/>
        <v>258.94957804210856</v>
      </c>
      <c r="HW126" s="15">
        <f>IF(ISNA(VLOOKUP($A126,'Données projet'!$A$304:$I$324,3,0)),0,VLOOKUP($A126,'Données projet'!$A$304:$I$324,3,0))</f>
        <v>0</v>
      </c>
      <c r="HX126" s="15">
        <f>IF(ISNA(VLOOKUP($A126,'Données projet'!$A$304:$I$324,4,0)),0,VLOOKUP($A126,'Données projet'!$A$304:$I$324,4,0))</f>
        <v>0</v>
      </c>
      <c r="HY126" s="16">
        <f>IF(ISNA(VLOOKUP($A126,'Données projet'!$A$304:$I$324,5,0)),0%,VLOOKUP($A126,'Données projet'!$A$304:$I$324,5,0)*VLOOKUP('Données projet'!$B$19,Paramètres!$A$1:$I$89,7,0))</f>
        <v>0</v>
      </c>
      <c r="HZ126" s="16">
        <f>IF(ISNA(VLOOKUP($A126,'Données projet'!$A$304:$I$324,6,0)),0%,VLOOKUP($A126,'Données projet'!$A$304:$I$324,6,0)*VLOOKUP('Données projet'!$B$19,Paramètres!$A$1:$I$89,7,0))</f>
        <v>0</v>
      </c>
      <c r="IA126" s="16">
        <f>IF(ISNA(VLOOKUP($A126,'Données projet'!$A$304:$I$324,7,0)),0%,VLOOKUP($A126,'Données projet'!$A$304:$I$324,7,0))</f>
        <v>0</v>
      </c>
      <c r="IB126" s="21">
        <f>EXP(-LN(2)/35)*IB125+(1-EXP(-LN(2)/35))/(LN(2)/35)*HX126*HY126*VLOOKUP('Données projet'!$B$19,Paramètres!$A$1:$I$89,3,0)*0.475*44/12</f>
        <v>7.8208728263071112</v>
      </c>
      <c r="IC126" s="21">
        <f>EXP(-LN(2)/25)*IC125+(1-EXP(-LN(2)/25))/(LN(2)/25)*Calculateur!HX126*Calculateur!HZ126*VLOOKUP('Données projet'!$B$19,Paramètres!$A$1:$I$89,3,0)*0.475*44/12</f>
        <v>0.73820974793514416</v>
      </c>
      <c r="ID126" s="21">
        <f>EXP(-LN(2)/2)*ID125+(1-EXP(-LN(2)/2))/(LN(2)/2)*HX126*IA126*VLOOKUP('Données projet'!$B$19,Paramètres!$A$1:$I$89,3,0)*0.475*44/12</f>
        <v>5.7563590054962311E-15</v>
      </c>
      <c r="IE126" s="22">
        <f t="shared" si="152"/>
        <v>8.5590825742422609</v>
      </c>
      <c r="IF126" s="74">
        <f>('Scénario référence'!$F$8+'Scénario référence'!$F$9+'Scénario référence'!$B$17+'Scénario référence'!$B$9+'Scénario référence'!$B$10)*70+IF((45+25*(1-EXP(-0.0175*$A126)))&lt;70,'Scénario référence'!$B$16*(45+25*(1-EXP(-0.0175*$A126))),70*'Scénario référence'!$B$16)+IF((32+38*(1-EXP(-0.0175*$A126)))&lt;70,'Scénario référence'!$B$18*(32+38*(1-EXP(-0.0175*$A126))),70*'Scénario référence'!$B$18)</f>
        <v>70</v>
      </c>
      <c r="IG126" s="12">
        <f>IF($A126&gt;30,10,('Scénario référence'!$B$16+'Scénario référence'!$B$17+'Scénario référence'!$B$18+'Scénario référence'!$B$9+'Scénario référence'!$B$10)*$A126*10/30+('Scénario référence'!$F$8+'Scénario référence'!$F$9)*10)</f>
        <v>10</v>
      </c>
      <c r="IH126" s="12" t="e">
        <f>VLOOKUP($A126,'Données projet'!$A$330:$I$350,2,0)</f>
        <v>#N/A</v>
      </c>
      <c r="II126" s="12" t="e">
        <f>VLOOKUP($A126,'Données projet'!$A$330:$I$350,9,0)</f>
        <v>#N/A</v>
      </c>
      <c r="IJ126" s="12">
        <f t="array" ref="IJ126">INDEX(II:II,MIN(IF(ISNUMBER(II126:II322),ROW(II126:II322),"")))</f>
        <v>0</v>
      </c>
      <c r="IK126" s="12">
        <f>IF('Données projet'!$A$330&gt;35,IK125+IJ126-IS125,IF($A126&lt;'Données projet'!$A$330,$CQ$205^$A126,IF($A126='Données projet'!$A$330,'Données projet'!$B$330,IK125+IJ126-IS125)))</f>
        <v>0</v>
      </c>
      <c r="IL126" s="17">
        <f>IK126*VLOOKUP('Données projet'!$B$20,Paramètres!$A$1:$I$89,3,0)*VLOOKUP('Données projet'!$B$20,Paramètres!$A$1:$I$89,5,0)</f>
        <v>0</v>
      </c>
      <c r="IM126" s="13" t="e">
        <f t="shared" si="204"/>
        <v>#NUM!</v>
      </c>
      <c r="IN126" s="20" t="e">
        <f t="shared" si="153"/>
        <v>#NUM!</v>
      </c>
      <c r="IO126" s="59" t="e">
        <f t="shared" si="154"/>
        <v>#NUM!</v>
      </c>
      <c r="IP126" s="59">
        <f ca="1">AVERAGE(OFFSET(IO$3,0,0,'Données projet'!$E$20+1,1))-AVERAGE(OFFSET($H$3,0,0,'Données projet'!$E$20+1,1))</f>
        <v>91.60721429656013</v>
      </c>
      <c r="IQ126" s="59">
        <f t="shared" si="205"/>
        <v>258.94957804210856</v>
      </c>
      <c r="IR126" s="15">
        <f>IF(ISNA(VLOOKUP($A126,'Données projet'!$A$330:$I$350,3,0)),0,VLOOKUP($A126,'Données projet'!$A$330:$I$350,3,0))</f>
        <v>0</v>
      </c>
      <c r="IS126" s="15">
        <f>IF(ISNA(VLOOKUP($A126,'Données projet'!$A$330:$I$350,4,0)),0,VLOOKUP($A126,'Données projet'!$A$330:$I$350,4,0))</f>
        <v>0</v>
      </c>
      <c r="IT126" s="16">
        <f>IF(ISNA(VLOOKUP($A126,'Données projet'!$A$330:$I$350,5,0)),0%,VLOOKUP($A126,'Données projet'!$A$330:$I$350,5,0)*VLOOKUP('Données projet'!$B$20,Paramètres!$A$1:$I$89,7,0))</f>
        <v>0</v>
      </c>
      <c r="IU126" s="16">
        <f>IF(ISNA(VLOOKUP($A126,'Données projet'!$A$330:$I$350,6,0)),0%,VLOOKUP($A126,'Données projet'!$A$330:$I$350,6,0)*VLOOKUP('Données projet'!$B$20,Paramètres!$A$1:$I$89,7,0))</f>
        <v>0</v>
      </c>
      <c r="IV126" s="16">
        <f>IF(ISNA(VLOOKUP($A126,'Données projet'!$A$330:$I$350,7,0)),0%,VLOOKUP($A126,'Données projet'!$A$330:$I$350,7,0))</f>
        <v>0</v>
      </c>
      <c r="IW126" s="21">
        <f>EXP(-LN(2)/35)*IW125+(1-EXP(-LN(2)/35))/(LN(2)/35)*IS126*IT126*VLOOKUP('Données projet'!$B$20,Paramètres!$A$1:$I$89,3,0)*0.475*44/12</f>
        <v>7.8208728263071112</v>
      </c>
      <c r="IX126" s="21">
        <f>EXP(-LN(2)/25)*IX125+(1-EXP(-LN(2)/25))/(LN(2)/25)*Calculateur!IS126*Calculateur!IU126*VLOOKUP('Données projet'!$B$20,Paramètres!$A$1:$I$89,3,0)*0.475*44/12</f>
        <v>0.73820974793514416</v>
      </c>
      <c r="IY126" s="21">
        <f>EXP(-LN(2)/2)*IY125+(1-EXP(-LN(2)/2))/(LN(2)/2)*IS126*IV126*VLOOKUP('Données projet'!$B$20,Paramètres!$A$1:$I$89,3,0)*0.475*44/12</f>
        <v>5.7563590054962311E-15</v>
      </c>
      <c r="IZ126" s="22">
        <f t="shared" si="155"/>
        <v>8.5590825742422609</v>
      </c>
      <c r="JA126" s="74">
        <f>('Scénario référence'!$F$8+'Scénario référence'!$F$9+'Scénario référence'!$B$17+'Scénario référence'!$B$9+'Scénario référence'!$B$10)*70+IF((45+25*(1-EXP(-0.0175*$A126)))&lt;70,'Scénario référence'!$B$16*(45+25*(1-EXP(-0.0175*$A126))),70*'Scénario référence'!$B$16)+IF((32+38*(1-EXP(-0.0175*$A126)))&lt;70,'Scénario référence'!$B$18*(32+38*(1-EXP(-0.0175*$A126))),70*'Scénario référence'!$B$18)</f>
        <v>70</v>
      </c>
      <c r="JB126" s="12">
        <f>IF($A126&gt;30,10,('Scénario référence'!$B$16+'Scénario référence'!$B$17+'Scénario référence'!$B$18+'Scénario référence'!$B$9+'Scénario référence'!$B$10)*$A126*10/30+('Scénario référence'!$F$8+'Scénario référence'!$F$9)*10)</f>
        <v>10</v>
      </c>
      <c r="JC126" s="12" t="e">
        <f>VLOOKUP($A126,'Données projet'!$A$356:$I$376,2,0)</f>
        <v>#N/A</v>
      </c>
      <c r="JD126" s="12" t="e">
        <f>VLOOKUP($A126,'Données projet'!$A$356:$I$376,9,0)</f>
        <v>#N/A</v>
      </c>
      <c r="JE126" s="12">
        <f t="array" ref="JE126">INDEX(JD:JD,MIN(IF(ISNUMBER(JD126:JD322),ROW(JD126:JD322),"")))</f>
        <v>2.2000000000000002</v>
      </c>
      <c r="JF126" s="12">
        <f>IF('Données projet'!$A$356&gt;35,JF125+JE126-JN125,IF($A126&lt;'Données projet'!$A$356,$CQ$205^$A126,IF($A126='Données projet'!$A$356,'Données projet'!$B$356,JF125+JE126-JN125)))</f>
        <v>424.59999999999923</v>
      </c>
      <c r="JG126" s="17">
        <f>JF126*VLOOKUP('Données projet'!$B$21,Paramètres!$A$1:$I$89,3,0)*VLOOKUP('Données projet'!$B$21,Paramètres!$A$1:$I$89,5,0)</f>
        <v>344.43551999999937</v>
      </c>
      <c r="JH126" s="13">
        <f t="shared" si="206"/>
        <v>80.415660503594367</v>
      </c>
      <c r="JI126" s="20">
        <f t="shared" si="156"/>
        <v>739.94913937709237</v>
      </c>
      <c r="JJ126" s="59">
        <f t="shared" si="157"/>
        <v>1033.2824727104257</v>
      </c>
      <c r="JK126" s="59">
        <f ca="1">AVERAGE(OFFSET($JJ$3,0,0,'Données projet'!$E$22+1,1))-AVERAGE(OFFSET($H$3,0,0,'Données projet'!$E$22+1,1))</f>
        <v>353.35574633294613</v>
      </c>
      <c r="JL126" s="59">
        <f t="shared" si="207"/>
        <v>170.36796666474726</v>
      </c>
      <c r="JM126" s="15">
        <f>IF(ISNA(VLOOKUP($A126,'Données projet'!$A$356:$I$376,3,0)),0,VLOOKUP($A126,'Données projet'!$A$356:$I$376,3,0))</f>
        <v>0</v>
      </c>
      <c r="JN126" s="15">
        <f>IF(ISNA(VLOOKUP($A126,'Données projet'!$A$356:$I$376,4,0)),0,VLOOKUP($A126,'Données projet'!$A$356:$I$376,4,0))</f>
        <v>0</v>
      </c>
      <c r="JO126" s="16">
        <f>IF(ISNA(VLOOKUP($A126,'Données projet'!$A$356:$I$376,5,0)),0%,VLOOKUP($A126,'Données projet'!$A$356:$I$376,5,0)*VLOOKUP('Données projet'!$B$21,Paramètres!$A$1:$I$89,7,0))</f>
        <v>0</v>
      </c>
      <c r="JP126" s="16">
        <f>IF(ISNA(VLOOKUP($A126,'Données projet'!$A$356:$I$376,6,0)),0%,VLOOKUP($A126,'Données projet'!$A$356:$I$376,6,0)*VLOOKUP('Données projet'!$B$21,Paramètres!$A$1:$I$89,7,0))</f>
        <v>0</v>
      </c>
      <c r="JQ126" s="16">
        <f>IF(ISNA(VLOOKUP($A126,'Données projet'!$A$356:$I$376,7,0)),0%,VLOOKUP($A126,'Données projet'!$A$356:$I$376,7,0))</f>
        <v>0</v>
      </c>
      <c r="JR126" s="21">
        <f>EXP(-LN(2)/35)*JR125+(1-EXP(-LN(2)/35))/(LN(2)/35)*JN126*JO126*VLOOKUP('Données projet'!$B$21,Paramètres!$A$1:$I$89,3,0)*0.475*44/12</f>
        <v>3.8848740016043353</v>
      </c>
      <c r="JS126" s="21">
        <f>EXP(-LN(2)/25)*JS125+(1-EXP(-LN(2)/25))/(LN(2)/25)*Calculateur!JN126*Calculateur!JP126*VLOOKUP('Données projet'!$B$21,Paramètres!$A$1:$I$89,3,0)*0.475*44/12</f>
        <v>12.332534599862184</v>
      </c>
      <c r="JT126" s="21">
        <f>EXP(-LN(2)/2)*JT125+(1-EXP(-LN(2)/2))/(LN(2)/2)*JN126*JQ126*VLOOKUP('Données projet'!$B$21,Paramètres!$A$1:$I$89,3,0)*0.475*44/12</f>
        <v>3.8543822204388727E-2</v>
      </c>
      <c r="JU126" s="18">
        <f t="shared" si="158"/>
        <v>16.255952423670909</v>
      </c>
      <c r="JV126" s="74">
        <f>('Scénario référence'!$F$8+'Scénario référence'!$F$9+'Scénario référence'!$B$17+'Scénario référence'!$B$9+'Scénario référence'!$B$10)*70+IF((45+25*(1-EXP(-0.0175*$A126)))&lt;70,'Scénario référence'!$B$16*(45+25*(1-EXP(-0.0175*$A126))),70*'Scénario référence'!$B$16)+IF((32+38*(1-EXP(-0.0175*$A126)))&lt;70,'Scénario référence'!$B$18*(32+38*(1-EXP(-0.0175*$A126))),70*'Scénario référence'!$B$18)</f>
        <v>70</v>
      </c>
      <c r="JW126" s="12">
        <f>IF($A126&gt;30,10,('Scénario référence'!$B$16+'Scénario référence'!$B$17+'Scénario référence'!$B$18+'Scénario référence'!$B$9+'Scénario référence'!$B$10)*$A126*10/30+('Scénario référence'!$F$8+'Scénario référence'!$F$9)*10)</f>
        <v>10</v>
      </c>
      <c r="JX126" s="12">
        <f>VLOOKUP($A126,'Données projet'!$A$382:$I$402,2,0)</f>
        <v>222.63461538461539</v>
      </c>
      <c r="JY126" s="12">
        <f>VLOOKUP($A126,'Données projet'!$A$382:$I$402,9,0)</f>
        <v>3.8301282051282044</v>
      </c>
      <c r="JZ126" s="12">
        <f t="array" ref="JZ126">INDEX(JY:JY,MIN(IF(ISNUMBER(JY126:JY322),ROW(JY126:JY322),"")))</f>
        <v>3.8301282051282044</v>
      </c>
      <c r="KA126" s="12">
        <f>IF('Données projet'!$A$382&gt;35,KA125+JZ126-KI125,IF($A126&lt;'Données projet'!$A$382,$CQ$205^$A126,IF($A126='Données projet'!$A$382,'Données projet'!$B$382,KA125+JZ126-KI125)))</f>
        <v>222.63461538461587</v>
      </c>
      <c r="KB126" s="17">
        <f>KA126*VLOOKUP('Données projet'!$B$22,Paramètres!$A$1:$I$89,3,0)*VLOOKUP('Données projet'!$B$22,Paramètres!$A$1:$I$89,5,0)</f>
        <v>149.34330000000031</v>
      </c>
      <c r="KC126" s="13">
        <f t="shared" si="208"/>
        <v>38.429310101642066</v>
      </c>
      <c r="KD126" s="20">
        <f t="shared" si="159"/>
        <v>327.03729592702717</v>
      </c>
      <c r="KE126" s="59">
        <f t="shared" si="160"/>
        <v>620.37062926036049</v>
      </c>
      <c r="KF126" s="59">
        <f ca="1">AVERAGE(OFFSET($KE$3,0,0,'Données projet'!$E$22+1,1))-AVERAGE(OFFSET($H$3,0,0,'Données projet'!$E$22+1,1))</f>
        <v>193.91714772848269</v>
      </c>
      <c r="KG126" s="59">
        <f t="shared" si="209"/>
        <v>159.20429420478047</v>
      </c>
      <c r="KH126" s="15">
        <f>IF(ISNA(VLOOKUP($A126,'Données projet'!$A$382:$I$402,3,0)),0,VLOOKUP($A126,'Données projet'!$A$382:$I$402,3,0))</f>
        <v>12</v>
      </c>
      <c r="KI126" s="15">
        <f>IF(ISNA(VLOOKUP($A126,'Données projet'!$A$382:$I$402,4,0)),0,VLOOKUP($A126,'Données projet'!$A$382:$I$402,4,0))</f>
        <v>77.17307692307692</v>
      </c>
      <c r="KJ126" s="16">
        <f>IF(ISNA(VLOOKUP($A126,'Données projet'!$A$382:$I$402,5,0)),0%,VLOOKUP($A126,'Données projet'!$A$382:$I$402,5,0)*VLOOKUP('Données projet'!$B$22,Paramètres!$A$1:$I$89,7,0))</f>
        <v>0.47700000000000004</v>
      </c>
      <c r="KK126" s="16">
        <f>IF(ISNA(VLOOKUP($A126,'Données projet'!$A$382:$I$402,6,0)),0%,VLOOKUP($A126,'Données projet'!$A$382:$I$402,6,0)*VLOOKUP('Données projet'!$B$22,Paramètres!$A$1:$I$89,7,0))</f>
        <v>0</v>
      </c>
      <c r="KL126" s="16">
        <f>IF(ISNA(VLOOKUP($A126,'Données projet'!$A$382:$I$402,7,0)),0%,VLOOKUP($A126,'Données projet'!$A$382:$I$402,7,0))</f>
        <v>0</v>
      </c>
      <c r="KM126" s="21">
        <f>EXP(-LN(2)/35)*KM125+(1-EXP(-LN(2)/35))/(LN(2)/35)*KI126*KJ126*VLOOKUP('Données projet'!$B$22,Paramètres!$A$1:$I$89,3,0)*0.475*44/12</f>
        <v>117.9909039214255</v>
      </c>
      <c r="KN126" s="21">
        <f>EXP(-LN(2)/25)*KN125+(1-EXP(-LN(2)/25))/(LN(2)/25)*Calculateur!KI126*Calculateur!KK126*VLOOKUP('Données projet'!$B$22,Paramètres!$A$1:$I$89,3,0)*0.475*44/12</f>
        <v>0</v>
      </c>
      <c r="KO126" s="21">
        <f>EXP(-LN(2)/2)*KO125+(1-EXP(-LN(2)/2))/(LN(2)/2)*KI126*KL126*VLOOKUP('Données projet'!$B$22,Paramètres!$A$1:$I$89,3,0)*0.475*44/12</f>
        <v>0</v>
      </c>
      <c r="KP126" s="22">
        <f t="shared" si="161"/>
        <v>117.9909039214255</v>
      </c>
      <c r="KQ126" s="74">
        <f>('Scénario référence'!$F$8+'Scénario référence'!$F$9+'Scénario référence'!$B$17+'Scénario référence'!$B$9+'Scénario référence'!$B$10)*70+IF((45+25*(1-EXP(-0.0175*$A126)))&lt;70,'Scénario référence'!$B$16*(45+25*(1-EXP(-0.0175*$A126))),70*'Scénario référence'!$B$16)+IF((32+38*(1-EXP(-0.0175*$A126)))&lt;70,'Scénario référence'!$B$18*(32+38*(1-EXP(-0.0175*$A126))),70*'Scénario référence'!$B$18)</f>
        <v>70</v>
      </c>
      <c r="KR126" s="12">
        <f>IF($A126&gt;30,10,('Scénario référence'!$B$16+'Scénario référence'!$B$17+'Scénario référence'!$B$18+'Scénario référence'!$B$9+'Scénario référence'!$B$10)*$A126*10/30+('Scénario référence'!$F$8+'Scénario référence'!$F$9)*10)</f>
        <v>10</v>
      </c>
      <c r="KS126" s="12" t="e">
        <f>VLOOKUP($A126,'Données projet'!$A$408:$I$428,2,0)</f>
        <v>#N/A</v>
      </c>
      <c r="KT126" s="12" t="e">
        <f>VLOOKUP($A126,'Données projet'!$A$408:$I$428,9,0)</f>
        <v>#N/A</v>
      </c>
      <c r="KU126" s="12">
        <f t="array" ref="KU126">INDEX(KT:KT,MIN(IF(ISNUMBER(KT126:KT322),ROW(KT126:KT322),"")))</f>
        <v>0</v>
      </c>
      <c r="KV126" s="12">
        <f>IF('Données projet'!$A$408&gt;35,KV125+KU126-LD125,IF($A126&lt;'Données projet'!$A$408,$CQ$205^$A126,IF($A126='Données projet'!$A$408,'Données projet'!$B$408,KV125+KU126-LD125)))</f>
        <v>-1.1368683772161603E-13</v>
      </c>
      <c r="KW126" s="17">
        <f>KV126*VLOOKUP('Données projet'!$B$23,Paramètres!$A$1:$I$89,3,0)*VLOOKUP('Données projet'!$B$23,Paramètres!$A$1:$I$89,5,0)</f>
        <v>-9.9316821433603781E-14</v>
      </c>
      <c r="KX126" s="13" t="e">
        <f t="shared" si="210"/>
        <v>#NUM!</v>
      </c>
      <c r="KY126" s="14" t="e">
        <f t="shared" si="162"/>
        <v>#NUM!</v>
      </c>
      <c r="KZ126" s="59" t="e">
        <f t="shared" si="163"/>
        <v>#NUM!</v>
      </c>
      <c r="LA126" s="59">
        <f ca="1">AVERAGE(OFFSET($KZ$3,0,0,'Données projet'!$E$23+1,1))-AVERAGE(OFFSET($H$3,0,0,'Données projet'!$E$23+1,1))</f>
        <v>248.33596943633819</v>
      </c>
      <c r="LB126" s="59">
        <f t="shared" si="211"/>
        <v>242.34010522344573</v>
      </c>
      <c r="LC126" s="15">
        <f>IF(ISNA(VLOOKUP($A126,'Données projet'!$A$408:$I$428,3,0)),0,VLOOKUP($A126,'Données projet'!$A$408:$I$428,3,0))</f>
        <v>0</v>
      </c>
      <c r="LD126" s="15">
        <f>IF(ISNA(VLOOKUP($A126,'Données projet'!$A$408:$I$428,4,0)),0,VLOOKUP($A126,'Données projet'!$A$408:$I$428,4,0))</f>
        <v>0</v>
      </c>
      <c r="LE126" s="16">
        <f>IF(ISNA(VLOOKUP($A126,'Données projet'!$A$408:$I$428,5,0)),0%,VLOOKUP($A126,'Données projet'!$A$408:$I$428,5,0)*VLOOKUP('Données projet'!$B$23,Paramètres!$A$1:$I$89,7,0))</f>
        <v>0</v>
      </c>
      <c r="LF126" s="16">
        <f>IF(ISNA(VLOOKUP($A126,'Données projet'!$A$408:$I$428,6,0)),0%,VLOOKUP($A126,'Données projet'!$A$408:$I$428,6,0)*VLOOKUP('Données projet'!$B$23,Paramètres!$A$1:$I$89,7,0))</f>
        <v>0</v>
      </c>
      <c r="LG126" s="16">
        <f>IF(ISNA(VLOOKUP($A126,'Données projet'!$A$408:$I$428,7,0)),0%,VLOOKUP($A126,'Données projet'!$A$408:$I$428,7,0))</f>
        <v>0</v>
      </c>
      <c r="LH126" s="21">
        <f>EXP(-LN(2)/35)*LH125+(1-EXP(-LN(2)/35))/(LN(2)/35)*LD126*LE126*VLOOKUP('Données projet'!$B$23,Paramètres!$A$1:$I$89,3,0)*0.475*44/12</f>
        <v>52.583049755209522</v>
      </c>
      <c r="LI126" s="21">
        <f>EXP(-LN(2)/25)*LI125+(1-EXP(-LN(2)/25))/(LN(2)/25)*Calculateur!LD126*Calculateur!LF126*VLOOKUP('Données projet'!$B$23,Paramètres!$A$1:$I$89,3,0)*0.475*44/12</f>
        <v>6.6104134444351033</v>
      </c>
      <c r="LJ126" s="21">
        <f>EXP(-LN(2)/2)*LJ125+(1-EXP(-LN(2)/2))/(LN(2)/2)*LD126*LG126*VLOOKUP('Données projet'!$B$23,Paramètres!$A$1:$I$89,3,0)*0.475*44/12</f>
        <v>0</v>
      </c>
      <c r="LK126" s="22">
        <f t="shared" si="164"/>
        <v>59.193463199644626</v>
      </c>
      <c r="LL126" s="74">
        <f>('Scénario référence'!$F$8+'Scénario référence'!$F$9+'Scénario référence'!$B$17+'Scénario référence'!$B$9+'Scénario référence'!$B$10)*70+IF((45+25*(1-EXP(-0.0175*$A126)))&lt;70,'Scénario référence'!$B$16*(45+25*(1-EXP(-0.0175*$A126))),70*'Scénario référence'!$B$16)+IF((32+38*(1-EXP(-0.0175*$A126)))&lt;70,'Scénario référence'!$B$18*(32+38*(1-EXP(-0.0175*$A126))),70*'Scénario référence'!$B$18)</f>
        <v>70</v>
      </c>
      <c r="LM126" s="12">
        <f>IF($A126&gt;30,10,('Scénario référence'!$B$16+'Scénario référence'!$B$17+'Scénario référence'!$B$18+'Scénario référence'!$B$9+'Scénario référence'!$B$10)*$A126*10/30+('Scénario référence'!$F$8+'Scénario référence'!$F$9)*10)</f>
        <v>10</v>
      </c>
      <c r="LN126" s="12" t="e">
        <f>VLOOKUP($A126,'Données projet'!$A$434:$I$454,2,0)</f>
        <v>#N/A</v>
      </c>
      <c r="LO126" s="12" t="e">
        <f>VLOOKUP($A126,'Données projet'!$A$434:$I$454,9,0)</f>
        <v>#N/A</v>
      </c>
      <c r="LP126" s="12">
        <f t="array" ref="LP126">INDEX(LO:LO,MIN(IF(ISNUMBER(LO126:LO322),ROW(LO126:LO322),"")))</f>
        <v>5.3066239316239274</v>
      </c>
      <c r="LQ126" s="12">
        <f>IF('Données projet'!$A$434&gt;35,LQ125+LP126-LY125,IF($A126&lt;'Données projet'!$A$434,$CQ$205^$A126,IF($A126='Données projet'!$A$434,'Données projet'!$B$434,LQ125+LP126-LY125)))</f>
        <v>267.68162393162351</v>
      </c>
      <c r="LR126" s="17">
        <f>LQ126*VLOOKUP('Données projet'!$B$24,Paramètres!$A$1:$I$89,3,0)*VLOOKUP('Données projet'!$B$24,Paramètres!$A$1:$I$89,5,0)</f>
        <v>271.42916666666628</v>
      </c>
      <c r="LS126" s="13">
        <f t="shared" si="212"/>
        <v>65.152481270117946</v>
      </c>
      <c r="LT126" s="14">
        <f t="shared" si="165"/>
        <v>586.21303682323253</v>
      </c>
      <c r="LU126" s="59">
        <f t="shared" si="166"/>
        <v>879.5463701565659</v>
      </c>
      <c r="LV126" s="59">
        <f ca="1">AVERAGE(OFFSET($LU$3,0,0,'Données projet'!$E$24+1,1))-AVERAGE(OFFSET($H$3,0,0,'Données projet'!$E$24+1,1))</f>
        <v>260.52627655062872</v>
      </c>
      <c r="LW126" s="59">
        <f t="shared" si="213"/>
        <v>159.20429420478047</v>
      </c>
      <c r="LX126" s="15">
        <f>IF(ISNA(VLOOKUP($A126,'Données projet'!$A$434:$I$454,3,0)),0,VLOOKUP($A126,'Données projet'!$A$434:$I$454,3,0))</f>
        <v>0</v>
      </c>
      <c r="LY126" s="15">
        <f>IF(ISNA(VLOOKUP($A126,'Données projet'!$A$434:$I$454,4,0)),0,VLOOKUP($A126,'Données projet'!$A$434:$I$454,4,0))</f>
        <v>0</v>
      </c>
      <c r="LZ126" s="16">
        <f>IF(ISNA(VLOOKUP($A126,'Données projet'!$A$434:$I$454,5,0)),0%,VLOOKUP($A126,'Données projet'!$A$434:$I$454,5,0)*VLOOKUP('Données projet'!$B$24,Paramètres!$A$1:$I$89,7,0))</f>
        <v>0</v>
      </c>
      <c r="MA126" s="16">
        <f>IF(ISNA(VLOOKUP($A126,'Données projet'!$A$434:$I$454,6,0)),0%,VLOOKUP($A126,'Données projet'!$A$434:$I$454,6,0)*VLOOKUP('Données projet'!$B$24,Paramètres!$A$1:$I$89,7,0))</f>
        <v>0</v>
      </c>
      <c r="MB126" s="16">
        <f>IF(ISNA(VLOOKUP($A126,'Données projet'!$A$434:$I$454,7,0)),0%,VLOOKUP($A126,'Données projet'!$A$434:$I$454,7,0))</f>
        <v>0</v>
      </c>
      <c r="MC126" s="21">
        <f>EXP(-LN(2)/35)*MC125+(1-EXP(-LN(2)/35))/(LN(2)/35)*LY126*LZ126*VLOOKUP('Données projet'!$B$24,Paramètres!$A$1:$I$89,3,0)*0.475*44/12</f>
        <v>32.821897864590134</v>
      </c>
      <c r="MD126" s="21">
        <f>EXP(-LN(2)/25)*MD125+(1-EXP(-LN(2)/25))/(LN(2)/25)*Calculateur!LY126*Calculateur!MA126*VLOOKUP('Données projet'!$B$24,Paramètres!$A$1:$I$89,3,0)*0.475*44/12</f>
        <v>0</v>
      </c>
      <c r="ME126" s="21">
        <f>EXP(-LN(2)/2)*ME125+(1-EXP(-LN(2)/2))/(LN(2)/2)*LY126*MB126*VLOOKUP('Données projet'!$B$24,Paramètres!$A$1:$I$89,3,0)*0.475*44/12</f>
        <v>0</v>
      </c>
      <c r="MF126" s="22">
        <f t="shared" si="167"/>
        <v>32.821897864590134</v>
      </c>
      <c r="MG126" s="74">
        <f>('Scénario référence'!$F$8+'Scénario référence'!$F$9+'Scénario référence'!$B$17+'Scénario référence'!$B$9+'Scénario référence'!$B$10)*70+IF((45+25*(1-EXP(-0.0175*$A126)))&lt;70,'Scénario référence'!$B$16*(45+25*(1-EXP(-0.0175*$A126))),70*'Scénario référence'!$B$16)+IF((32+38*(1-EXP(-0.0175*$A126)))&lt;70,'Scénario référence'!$B$18*(32+38*(1-EXP(-0.0175*$A126))),70*'Scénario référence'!$B$18)</f>
        <v>70</v>
      </c>
      <c r="MH126" s="12">
        <f>IF($A126&gt;30,10,('Scénario référence'!$B$16+'Scénario référence'!$B$17+'Scénario référence'!$B$18+'Scénario référence'!$B$9+'Scénario référence'!$B$10)*$A126*10/30+('Scénario référence'!$F$8+'Scénario référence'!$F$9)*10)</f>
        <v>10</v>
      </c>
      <c r="MI126" s="12" t="e">
        <f>VLOOKUP($A126,'Données projet'!$A$460:$I$480,2,0)</f>
        <v>#N/A</v>
      </c>
      <c r="MJ126" s="12" t="e">
        <f>VLOOKUP($A126,'Données projet'!$A$460:$I$480,9,0)</f>
        <v>#N/A</v>
      </c>
      <c r="MK126" s="12">
        <f t="array" ref="MK126">INDEX(MJ:MJ,MIN(IF(ISNUMBER(MJ126:MJ322),ROW(MJ126:MJ322),"")))</f>
        <v>0</v>
      </c>
      <c r="ML126" s="12">
        <f>IF('Données projet'!$A$460&gt;35,ML125+MK126-MT125,IF($A126&lt;'Données projet'!$A$460,$CQ$205^$A126,IF($A126='Données projet'!$A$460,'Données projet'!$B$460,ML125+MK126-MT125)))</f>
        <v>0</v>
      </c>
      <c r="MM126" s="17" t="e">
        <f>ML126*VLOOKUP('Données projet'!$B$25,Paramètres!$A$1:$I$89,3,0)*VLOOKUP('Données projet'!$B$25,Paramètres!$A$1:$I$89,5,0)</f>
        <v>#N/A</v>
      </c>
      <c r="MN126" s="13" t="e">
        <f t="shared" si="214"/>
        <v>#N/A</v>
      </c>
      <c r="MO126" s="14" t="e">
        <f t="shared" si="168"/>
        <v>#N/A</v>
      </c>
      <c r="MP126" s="59" t="e">
        <f t="shared" si="169"/>
        <v>#N/A</v>
      </c>
      <c r="MQ126" s="20" t="e">
        <f ca="1">AVERAGE(OFFSET($MP$3,0,0,'Données projet'!$E$25+1,1))-AVERAGE(OFFSET($H$3,0,0,'Données projet'!$E$25+1,1))</f>
        <v>#N/A</v>
      </c>
      <c r="MR126" s="59" t="e">
        <f t="shared" si="215"/>
        <v>#N/A</v>
      </c>
      <c r="MS126" s="15">
        <f>IF(ISNA(VLOOKUP($A126,'Données projet'!$A$460:$I$480,3,0)),0,VLOOKUP($A126,'Données projet'!$A$460:$I$480,3,0))</f>
        <v>0</v>
      </c>
      <c r="MT126" s="15">
        <f>IF(ISNA(VLOOKUP($A126,'Données projet'!$A$460:$I$480,4,0)),0,VLOOKUP($A126,'Données projet'!$A$460:$I$480,4,0))</f>
        <v>0</v>
      </c>
      <c r="MU126" s="16">
        <f>IF(ISNA(VLOOKUP($A126,'Données projet'!$A$460:$I$480,5,0)),0%,VLOOKUP($A126,'Données projet'!$A$460:$I$480,5,0)*VLOOKUP('Données projet'!$B$25,Paramètres!$A$1:$I$89,7,0))</f>
        <v>0</v>
      </c>
      <c r="MV126" s="16">
        <f>IF(ISNA(VLOOKUP($A126,'Données projet'!$A$460:$I$480,6,0)),0%,VLOOKUP($A126,'Données projet'!$A$460:$I$480,6,0)*VLOOKUP('Données projet'!$B$25,Paramètres!$A$1:$I$89,7,0))</f>
        <v>0</v>
      </c>
      <c r="MW126" s="16">
        <f>IF(ISNA(VLOOKUP($A126,'Données projet'!$A$460:$I$480,7,0)),0%,VLOOKUP($A126,'Données projet'!$A$460:$I$480,7,0))</f>
        <v>0</v>
      </c>
      <c r="MX126" s="21" t="e">
        <f>EXP(-LN(2)/35)*MX125+(1-EXP(-LN(2)/35))/(LN(2)/35)*MT126*MU126*VLOOKUP('Données projet'!$B$25,Paramètres!$A$1:$I$89,3,0)*0.475*44/12</f>
        <v>#N/A</v>
      </c>
      <c r="MY126" s="21" t="e">
        <f>EXP(-LN(2)/25)*MY125+(1-EXP(-LN(2)/25))/(LN(2)/25)*Calculateur!MT126*Calculateur!MV126*VLOOKUP('Données projet'!$B$25,Paramètres!$A$1:$I$89,3,0)*0.475*44/12</f>
        <v>#N/A</v>
      </c>
      <c r="MZ126" s="21" t="e">
        <f>EXP(-LN(2)/2)*MZ125+(1-EXP(-LN(2)/2))/(LN(2)/2)*MT126*MW126*VLOOKUP('Données projet'!$B$25,Paramètres!$A$1:$I$89,3,0)*0.475*44/12</f>
        <v>#N/A</v>
      </c>
      <c r="NA126" s="22" t="e">
        <f t="shared" si="170"/>
        <v>#N/A</v>
      </c>
      <c r="NB126" s="74">
        <f>('Scénario référence'!$F$8+'Scénario référence'!$F$9+'Scénario référence'!$B$17+'Scénario référence'!$B$9+'Scénario référence'!$B$10)*70+IF((45+25*(1-EXP(-0.0175*$A126)))&lt;70,'Scénario référence'!$B$16*(45+25*(1-EXP(-0.0175*$A126))),70*'Scénario référence'!$B$16)+IF((32+38*(1-EXP(-0.0175*$A126)))&lt;70,'Scénario référence'!$B$18*(32+38*(1-EXP(-0.0175*$A126))),70*'Scénario référence'!$B$18)</f>
        <v>70</v>
      </c>
      <c r="NC126" s="12">
        <f>IF($A126&gt;30,10,('Scénario référence'!$B$16+'Scénario référence'!$B$17+'Scénario référence'!$B$18+'Scénario référence'!$B$9+'Scénario référence'!$B$10)*$A126*10/30+('Scénario référence'!$F$8+'Scénario référence'!$F$9)*10)</f>
        <v>10</v>
      </c>
      <c r="ND126" s="12" t="e">
        <f>VLOOKUP($A126,'Données projet'!$A$486:$I$506,2,0)</f>
        <v>#N/A</v>
      </c>
      <c r="NE126" s="12" t="e">
        <f>VLOOKUP($A126,'Données projet'!$A$486:$I$506,9,0)</f>
        <v>#N/A</v>
      </c>
      <c r="NF126" s="12">
        <f t="array" ref="NF126">INDEX(NE:NE,MIN(IF(ISNUMBER(NE126:NE322),ROW(NE126:NE322),"")))</f>
        <v>0</v>
      </c>
      <c r="NG126" s="12">
        <f>IF('Données projet'!$A$486&gt;35,NG125+NF126-NO125,IF($A126&lt;'Données projet'!$A$486,$CQ$205^$A126,IF($A126='Données projet'!$A$486,'Données projet'!$B$486,NG125+NF126-NO125)))</f>
        <v>0</v>
      </c>
      <c r="NH126" s="17" t="e">
        <f>NG126*VLOOKUP('Données projet'!$B$26,Paramètres!$A$1:$I$89,3,0)*VLOOKUP('Données projet'!$B$26,Paramètres!$A$1:$I$89,5,0)</f>
        <v>#N/A</v>
      </c>
      <c r="NI126" s="13" t="e">
        <f t="shared" si="216"/>
        <v>#N/A</v>
      </c>
      <c r="NJ126" s="14" t="e">
        <f t="shared" si="171"/>
        <v>#N/A</v>
      </c>
      <c r="NK126" s="59" t="e">
        <f t="shared" si="172"/>
        <v>#N/A</v>
      </c>
      <c r="NL126" s="20" t="e">
        <f ca="1">AVERAGE(OFFSET($NK$3,0,0,'Données projet'!$E$26+1,1))-AVERAGE(OFFSET($H$3,0,0,'Données projet'!$E$26+1,1))</f>
        <v>#N/A</v>
      </c>
      <c r="NM126" s="59" t="e">
        <f t="shared" si="217"/>
        <v>#N/A</v>
      </c>
      <c r="NN126" s="15">
        <f>IF(ISNA(VLOOKUP($A126,'Données projet'!$A$486:$I$506,3,0)),0,VLOOKUP($A126,'Données projet'!$A$486:$I$506,3,0))</f>
        <v>0</v>
      </c>
      <c r="NO126" s="15">
        <f>IF(ISNA(VLOOKUP($A126,'Données projet'!$A$486:$I$506,4,0)),0,VLOOKUP($A126,'Données projet'!$A$486:$I$506,4,0))</f>
        <v>0</v>
      </c>
      <c r="NP126" s="16">
        <f>IF(ISNA(VLOOKUP($A126,'Données projet'!$A$486:$I$506,5,0)),0%,VLOOKUP($A126,'Données projet'!$A$486:$I$506,5,0)*VLOOKUP('Données projet'!$B$26,Paramètres!$A$1:$I$89,7,0))</f>
        <v>0</v>
      </c>
      <c r="NQ126" s="16">
        <f>IF(ISNA(VLOOKUP($A126,'Données projet'!$A$486:$I$506,6,0)),0%,VLOOKUP($A126,'Données projet'!$A$486:$I$506,6,0)*VLOOKUP('Données projet'!$B$26,Paramètres!$A$1:$I$89,7,0))</f>
        <v>0</v>
      </c>
      <c r="NR126" s="16">
        <f>IF(ISNA(VLOOKUP($A126,'Données projet'!$A$486:$I$506,7,0)),0%,VLOOKUP($A126,'Données projet'!$A$486:$I$506,7,0))</f>
        <v>0</v>
      </c>
      <c r="NS126" s="21" t="e">
        <f>EXP(-LN(2)/35)*NS125+(1-EXP(-LN(2)/35))/(LN(2)/35)*NO126*NP126*VLOOKUP('Données projet'!$B$26,Paramètres!$A$1:$I$89,3,0)*0.475*44/12</f>
        <v>#N/A</v>
      </c>
      <c r="NT126" s="21" t="e">
        <f>EXP(-LN(2)/25)*NT125+(1-EXP(-LN(2)/25))/(LN(2)/25)*Calculateur!NO126*Calculateur!NQ126*VLOOKUP('Données projet'!$B$26,Paramètres!$A$1:$I$89,3,0)*0.475*44/12</f>
        <v>#N/A</v>
      </c>
      <c r="NU126" s="21" t="e">
        <f>EXP(-LN(2)/2)*NU125+(1-EXP(-LN(2)/2))/(LN(2)/2)*NO126*NR126*VLOOKUP('Données projet'!$B$26,Paramètres!$A$1:$I$89,3,0)*0.475*44/12</f>
        <v>#N/A</v>
      </c>
      <c r="NV126" s="22" t="e">
        <f t="shared" si="173"/>
        <v>#N/A</v>
      </c>
      <c r="NW126" s="74">
        <f>('Scénario référence'!$F$8+'Scénario référence'!$F$9+'Scénario référence'!$B$17+'Scénario référence'!$B$9+'Scénario référence'!$B$10)*70+IF((45+25*(1-EXP(-0.0175*$A126)))&lt;70,'Scénario référence'!$B$16*(45+25*(1-EXP(-0.0175*$A126))),70*'Scénario référence'!$B$16)+IF((32+38*(1-EXP(-0.0175*$A126)))&lt;70,'Scénario référence'!$B$18*(32+38*(1-EXP(-0.0175*$A126))),70*'Scénario référence'!$B$18)</f>
        <v>70</v>
      </c>
      <c r="NX126" s="12">
        <f>IF($A126&gt;30,10,('Scénario référence'!$B$16+'Scénario référence'!$B$17+'Scénario référence'!$B$18+'Scénario référence'!$B$9+'Scénario référence'!$B$10)*$A126*10/30+('Scénario référence'!$F$8+'Scénario référence'!$F$9)*10)</f>
        <v>10</v>
      </c>
      <c r="NY126" s="12" t="e">
        <f>VLOOKUP($A126,'Données projet'!$A$512:$I$532,2,0)</f>
        <v>#N/A</v>
      </c>
      <c r="NZ126" s="12" t="e">
        <f>VLOOKUP($A126,'Données projet'!$A$512:$I$532,9,0)</f>
        <v>#N/A</v>
      </c>
      <c r="OA126" s="12">
        <f t="array" ref="OA126">INDEX(NZ:NZ,MIN(IF(ISNUMBER(NZ126:NZ322),ROW(NZ126:NZ322),"")))</f>
        <v>0</v>
      </c>
      <c r="OB126" s="12">
        <f>IF('Données projet'!$A$512&gt;35,OB125+OA126-OJ125,IF($A126&lt;'Données projet'!$A$512,$CQ$205^$A126,IF($A126='Données projet'!$A$512,'Données projet'!$B$512,OB125+OA126-OJ125)))</f>
        <v>0</v>
      </c>
      <c r="OC126" s="17" t="e">
        <f>OB126*VLOOKUP('Données projet'!$B$27,Paramètres!$A$1:$I$89,3,0)*VLOOKUP('Données projet'!$B$27,Paramètres!$A$1:$I$89,5,0)</f>
        <v>#N/A</v>
      </c>
      <c r="OD126" s="13" t="e">
        <f t="shared" si="218"/>
        <v>#N/A</v>
      </c>
      <c r="OE126" s="14" t="e">
        <f t="shared" si="174"/>
        <v>#N/A</v>
      </c>
      <c r="OF126" s="59" t="e">
        <f t="shared" si="175"/>
        <v>#N/A</v>
      </c>
      <c r="OG126" s="20" t="e">
        <f ca="1">AVERAGE(OFFSET($OF$3,0,0,'Données projet'!$E$27+1,1))-AVERAGE(OFFSET($H$3,0,0,'Données projet'!$E$27+1,1))</f>
        <v>#N/A</v>
      </c>
      <c r="OH126" s="59" t="e">
        <f t="shared" si="219"/>
        <v>#N/A</v>
      </c>
      <c r="OI126" s="15">
        <f>IF(ISNA(VLOOKUP($A126,'Données projet'!$A$512:$I$532,3,0)),0,VLOOKUP($A126,'Données projet'!$A$512:$I$532,3,0))</f>
        <v>0</v>
      </c>
      <c r="OJ126" s="15">
        <f>IF(ISNA(VLOOKUP($A126,'Données projet'!$A$512:$I$532,4,0)),0,VLOOKUP($A126,'Données projet'!$A$512:$I$532,4,0))</f>
        <v>0</v>
      </c>
      <c r="OK126" s="16">
        <f>IF(ISNA(VLOOKUP($A126,'Données projet'!$A$512:$I$532,5,0)),0%,VLOOKUP($A126,'Données projet'!$A$512:$I$532,5,0)*VLOOKUP('Données projet'!$B$27,Paramètres!$A$1:$I$89,7,0))</f>
        <v>0</v>
      </c>
      <c r="OL126" s="16">
        <f>IF(ISNA(VLOOKUP($A126,'Données projet'!$A$512:$I$532,6,0)),0%,VLOOKUP($A126,'Données projet'!$A$512:$I$532,6,0)*VLOOKUP('Données projet'!$B$27,Paramètres!$A$1:$I$89,7,0))</f>
        <v>0</v>
      </c>
      <c r="OM126" s="16">
        <f>IF(ISNA(VLOOKUP($A126,'Données projet'!$A$512:$I$532,7,0)),0%,VLOOKUP($A126,'Données projet'!$A$512:$I$532,7,0))</f>
        <v>0</v>
      </c>
      <c r="ON126" s="21" t="e">
        <f>EXP(-LN(2)/35)*ON125+(1-EXP(-LN(2)/35))/(LN(2)/35)*OJ126*OK126*VLOOKUP('Données projet'!$B$27,Paramètres!$A$1:$I$89,3,0)*0.475*44/12</f>
        <v>#N/A</v>
      </c>
      <c r="OO126" s="21" t="e">
        <f>EXP(-LN(2)/25)*OO125+(1-EXP(-LN(2)/25))/(LN(2)/25)*Calculateur!OJ126*Calculateur!OL126*VLOOKUP('Données projet'!$B$27,Paramètres!$A$1:$I$89,3,0)*0.475*44/12</f>
        <v>#N/A</v>
      </c>
      <c r="OP126" s="21" t="e">
        <f>EXP(-LN(2)/2)*OP125+(1-EXP(-LN(2)/2))/(LN(2)/2)*OJ126*OM126*VLOOKUP('Données projet'!$B$27,Paramètres!$A$1:$I$89,3,0)*0.475*44/12</f>
        <v>#N/A</v>
      </c>
      <c r="OQ126" s="22" t="e">
        <f t="shared" si="176"/>
        <v>#N/A</v>
      </c>
      <c r="OR126" s="74">
        <f>('Scénario référence'!$F$8+'Scénario référence'!$F$9+'Scénario référence'!$B$17+'Scénario référence'!$B$9+'Scénario référence'!$B$10)*70+IF((45+25*(1-EXP(-0.0175*$A126)))&lt;70,'Scénario référence'!$B$16*(45+25*(1-EXP(-0.0175*$A126))),70*'Scénario référence'!$B$16)+IF((32+38*(1-EXP(-0.0175*$A126)))&lt;70,'Scénario référence'!$B$18*(32+38*(1-EXP(-0.0175*$A126))),70*'Scénario référence'!$B$18)</f>
        <v>70</v>
      </c>
      <c r="OS126" s="12">
        <f>IF($A126&gt;30,10,('Scénario référence'!$B$16+'Scénario référence'!$B$17+'Scénario référence'!$B$18+'Scénario référence'!$B$9+'Scénario référence'!$B$10)*$A126*10/30+('Scénario référence'!$F$8+'Scénario référence'!$F$9)*10)</f>
        <v>10</v>
      </c>
      <c r="OT126" s="12" t="e">
        <f>VLOOKUP($A126,'Données projet'!$A$538:$I$558,2,0)</f>
        <v>#N/A</v>
      </c>
      <c r="OU126" s="12" t="e">
        <f>VLOOKUP($A126,'Données projet'!$A$538:$I$558,9,0)</f>
        <v>#N/A</v>
      </c>
      <c r="OV126" s="12">
        <f t="array" ref="OV126">INDEX(OU:OU,MIN(IF(ISNUMBER(OU126:OU322),ROW(OU126:OU322),"")))</f>
        <v>0</v>
      </c>
      <c r="OW126" s="12">
        <f>IF('Données projet'!$A$538&gt;35,OW125+OV126-PE125,IF($A126&lt;'Données projet'!$A$538,$CQ$205^$A126,IF($A126='Données projet'!$A$538,'Données projet'!$B$538,OW125+OV126-PE125)))</f>
        <v>0</v>
      </c>
      <c r="OX126" s="17" t="e">
        <f>OW126*VLOOKUP('Données projet'!$B$28,Paramètres!$A$1:$I$89,3,0)*VLOOKUP('Données projet'!$B$28,Paramètres!$A$1:$I$89,5,0)</f>
        <v>#N/A</v>
      </c>
      <c r="OY126" s="13" t="e">
        <f t="shared" si="220"/>
        <v>#N/A</v>
      </c>
      <c r="OZ126" s="14" t="e">
        <f t="shared" si="177"/>
        <v>#N/A</v>
      </c>
      <c r="PA126" s="59" t="e">
        <f t="shared" si="178"/>
        <v>#N/A</v>
      </c>
      <c r="PB126" s="20" t="e">
        <f ca="1">AVERAGE(OFFSET($PA$3,0,0,'Données projet'!$E$28+1,1))-AVERAGE(OFFSET($H$3,0,0,'Données projet'!$E$28+1,1))</f>
        <v>#N/A</v>
      </c>
      <c r="PC126" s="59" t="e">
        <f t="shared" si="221"/>
        <v>#N/A</v>
      </c>
      <c r="PD126" s="15">
        <f>IF(ISNA(VLOOKUP($A126,'Données projet'!$A$538:$I$558,3,0)),0,VLOOKUP($A126,'Données projet'!$A$538:$I$558,3,0))</f>
        <v>0</v>
      </c>
      <c r="PE126" s="15">
        <f>IF(ISNA(VLOOKUP($A126,'Données projet'!$A$538:$I$558,4,0)),0,VLOOKUP($A126,'Données projet'!$A$538:$I$558,4,0))</f>
        <v>0</v>
      </c>
      <c r="PF126" s="16">
        <f>IF(ISNA(VLOOKUP($A126,'Données projet'!$A$538:$I$558,5,0)),0%,VLOOKUP($A126,'Données projet'!$A$538:$I$558,5,0)*VLOOKUP('Données projet'!$B$28,Paramètres!$A$1:$I$89,7,0))</f>
        <v>0</v>
      </c>
      <c r="PG126" s="16">
        <f>IF(ISNA(VLOOKUP($A126,'Données projet'!$A$538:$I$558,6,0)),0%,VLOOKUP($A126,'Données projet'!$A$538:$I$558,6,0)*VLOOKUP('Données projet'!$B$28,Paramètres!$A$1:$I$89,7,0))</f>
        <v>0</v>
      </c>
      <c r="PH126" s="16">
        <f>IF(ISNA(VLOOKUP($A126,'Données projet'!$A$538:$I$558,7,0)),0%,VLOOKUP($A126,'Données projet'!$A$538:$I$558,7,0))</f>
        <v>0</v>
      </c>
      <c r="PI126" s="21" t="e">
        <f>EXP(-LN(2)/35)*PI125+(1-EXP(-LN(2)/35))/(LN(2)/35)*PE126*PF126*VLOOKUP('Données projet'!$B$28,Paramètres!$A$1:$I$89,3,0)*0.475*44/12</f>
        <v>#N/A</v>
      </c>
      <c r="PJ126" s="21" t="e">
        <f>EXP(-LN(2)/25)*PJ125+(1-EXP(-LN(2)/25))/(LN(2)/25)*Calculateur!PE126*Calculateur!PG126*VLOOKUP('Données projet'!$B$28,Paramètres!$A$1:$I$89,3,0)*0.475*44/12</f>
        <v>#N/A</v>
      </c>
      <c r="PK126" s="21" t="e">
        <f>EXP(-LN(2)/2)*PK125+(1-EXP(-LN(2)/2))/(LN(2)/2)*PE126*PH126*VLOOKUP('Données projet'!$B$28,Paramètres!$A$1:$I$89,3,0)*0.475*44/12</f>
        <v>#N/A</v>
      </c>
      <c r="PL126" s="22" t="e">
        <f t="shared" si="179"/>
        <v>#N/A</v>
      </c>
    </row>
    <row r="127" spans="1:428" x14ac:dyDescent="0.35">
      <c r="A127" s="10">
        <f t="shared" si="180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181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121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projet'!$A$45:$I$65,2,0)</f>
        <v>#N/A</v>
      </c>
      <c r="L127" s="12" t="e">
        <f>VLOOKUP(A127,'Données projet'!$A$45:$I$65,9,0)</f>
        <v>#N/A</v>
      </c>
      <c r="M127" s="12">
        <f t="array" ref="M127">INDEX(L:L,MIN(IF(ISNUMBER(L127:L323),ROW(L127:L323),"")))</f>
        <v>0</v>
      </c>
      <c r="N127" s="13">
        <f>IF('Données projet'!$A$46&gt;35,N126+M127-V126,IF(A127&lt;'Données projet'!$A$46,$K$205^A127,IF(A127='Données projet'!$A$46,'Données projet'!$B$46,N126+M127-V126)))</f>
        <v>-1.1368683772161603E-13</v>
      </c>
      <c r="O127" s="13">
        <f>N127*VLOOKUP('Données projet'!$B$9,Paramètres!$A$1:$I$89,3,0)*VLOOKUP('Données projet'!$B$9,Paramètres!$A$1:$I$89,5,0)</f>
        <v>-6.3550942286383367E-14</v>
      </c>
      <c r="P127" s="13" t="e">
        <f t="shared" si="182"/>
        <v>#NUM!</v>
      </c>
      <c r="Q127" s="20" t="e">
        <f t="shared" si="222"/>
        <v>#NUM!</v>
      </c>
      <c r="R127" s="59" t="e">
        <f t="shared" si="120"/>
        <v>#NUM!</v>
      </c>
      <c r="S127" s="59">
        <f ca="1">AVERAGE(OFFSET($R$3,0,0,'Données projet'!$E$9+1,1))-AVERAGE(OFFSET($H$3,0,0,'Données projet'!$E$9+1,1))</f>
        <v>274.57619581652199</v>
      </c>
      <c r="T127" s="59">
        <f t="shared" si="183"/>
        <v>366.15117322598775</v>
      </c>
      <c r="U127" s="15">
        <f>IF(ISNA(VLOOKUP(A127,'Données projet'!$A$45:$I$65,3,0)),0,VLOOKUP(A127,'Données projet'!$A$45:$I$65,3,0))</f>
        <v>0</v>
      </c>
      <c r="V127" s="15">
        <f>IF(ISNA(VLOOKUP(A127,'Données projet'!$A$45:$I$65,4,0)),0,VLOOKUP(A127,'Données projet'!$A$45:$I$65,4,0))</f>
        <v>0</v>
      </c>
      <c r="W127" s="16">
        <f>IF(ISNA(VLOOKUP(A127,'Données projet'!$A$45:$I$65,5,0)),0%,VLOOKUP(A127,'Données projet'!$A$45:$I$65,5,0)*VLOOKUP('Données projet'!$B$9,Paramètres!$A$1:$I$89,7,0))</f>
        <v>0</v>
      </c>
      <c r="X127" s="16">
        <f>IF(ISNA(VLOOKUP(A127,'Données projet'!$A$45:$I$65,6,0)),0%,VLOOKUP(A127,'Données projet'!$A$45:$I$65,6,0)*VLOOKUP('Données projet'!$B$9,Paramètres!$A$1:$I$89,7,0))</f>
        <v>0</v>
      </c>
      <c r="Y127" s="16">
        <f>IF(ISNA(VLOOKUP(A127,'Données projet'!$A$45:$I$65,7,0)),0%,VLOOKUP(A127,'Données projet'!$A$45:$I$65,7,0))</f>
        <v>0</v>
      </c>
      <c r="Z127" s="21">
        <f>EXP(-LN(2)/35)*Z126+(1-EXP(-LN(2)/35))/(LN(2)/35)*V127*W127*VLOOKUP('Données projet'!$B$9,Paramètres!$A$1:$I$89,3,0)*0.475*44/12</f>
        <v>57.797647097132199</v>
      </c>
      <c r="AA127" s="21">
        <f>EXP(-LN(2)/25)*AA126+(1-EXP(-LN(2)/25))/(LN(2)/25)*Calculateur!V127*Calculateur!X127*VLOOKUP('Données projet'!$B$9,Paramètres!$A$1:$I$89,3,0)*0.475*44/12</f>
        <v>8.5042809725611566</v>
      </c>
      <c r="AB127" s="21">
        <f>EXP(-LN(2)/2)*AB126+(1-EXP(-LN(2)/2))/(LN(2)/2)*V127*Y127*VLOOKUP('Données projet'!$B$9,Paramètres!$A$1:$I$89,3,0)*0.475*44/12</f>
        <v>1.4060461960897716E-9</v>
      </c>
      <c r="AC127" s="22">
        <f t="shared" si="122"/>
        <v>66.301928071099411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projet'!$A$71:$I$91,2,0)</f>
        <v>#N/A</v>
      </c>
      <c r="AG127" s="12" t="e">
        <f>VLOOKUP(A127,'Données projet'!$A$71:$I$91,9,0)</f>
        <v>#N/A</v>
      </c>
      <c r="AH127" s="12">
        <f t="array" ref="AH127">INDEX(AG:AG,MIN(IF(ISNUMBER(AG127:AG323),ROW(AG127:AG323),"")))</f>
        <v>2.3349358974358978</v>
      </c>
      <c r="AI127" s="13">
        <f>IF('Données projet'!$A$72&gt;35,AI126+AH127-AQ126,IF(A127&lt;'Données projet'!$A$72,$AF$205^A127,IF(A127='Données projet'!$A$72,'Données projet'!$B$72,AI126+AH127-AQ126)))</f>
        <v>147.79647435897488</v>
      </c>
      <c r="AJ127" s="13">
        <f>AI127*VLOOKUP('Données projet'!$B$10,Paramètres!$A$1:$I$89,3,0)*VLOOKUP('Données projet'!$B$10,Paramètres!$A$1:$I$89,5,0)</f>
        <v>133.72625000000048</v>
      </c>
      <c r="AK127" s="13">
        <f t="shared" si="184"/>
        <v>34.855965018185749</v>
      </c>
      <c r="AL127" s="20">
        <f t="shared" si="123"/>
        <v>293.61402449000764</v>
      </c>
      <c r="AM127" s="59">
        <f t="shared" si="124"/>
        <v>586.94735782334101</v>
      </c>
      <c r="AN127" s="59">
        <f ca="1">AVERAGE(OFFSET($AM$3,0,0,'Données projet'!$E$10+1,1))-AVERAGE(OFFSET($H$3,0,0,'Données projet'!$E$10+1,1))</f>
        <v>270.87836509222456</v>
      </c>
      <c r="AO127" s="59">
        <f t="shared" si="185"/>
        <v>205.24998237949734</v>
      </c>
      <c r="AP127" s="15">
        <f>IF(ISNA(VLOOKUP(A127,'Données projet'!$A$71:$I$91,3,0)),0,VLOOKUP(A127,'Données projet'!$A$71:$I$91,3,0))</f>
        <v>0</v>
      </c>
      <c r="AQ127" s="15">
        <f>IF(ISNA(VLOOKUP(A127,'Données projet'!$A$71:$I$91,4,0)),0,VLOOKUP(A127,'Données projet'!$A$71:$I$91,4,0))</f>
        <v>0</v>
      </c>
      <c r="AR127" s="16">
        <f>IF(ISNA(VLOOKUP(A127,'Données projet'!$A$71:$I$91,5,0)),0%,VLOOKUP(A127,'Données projet'!$A$71:$I$91,5,0)*VLOOKUP('Données projet'!$B$10,Paramètres!$A$1:$I$89,7,0))</f>
        <v>0</v>
      </c>
      <c r="AS127" s="16">
        <f>IF(ISNA(VLOOKUP(A127,'Données projet'!$A$71:$I$91,6,0)),0%,VLOOKUP(A127,'Données projet'!$A$71:$I$91,6,0)*VLOOKUP('Données projet'!$B$10,Paramètres!$A$1:$I$89,7,0))</f>
        <v>0</v>
      </c>
      <c r="AT127" s="16">
        <f>IF(ISNA(VLOOKUP(A127,'Données projet'!$A$71:$I$91,7,0)),0%,VLOOKUP(A127,'Données projet'!$A$71:$I$91,7,0))</f>
        <v>0</v>
      </c>
      <c r="AU127" s="21">
        <f>EXP(-LN(2)/35)*AU126+(1-EXP(-LN(2)/35))/(LN(2)/35)*AQ127*AR127*VLOOKUP('Données projet'!$B$10,Paramètres!$A$1:$I$89,3,0)*0.475*44/12</f>
        <v>126.59011523106703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125"/>
        <v>126.59011523106703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projet'!$A$97:$I$117,2,0)</f>
        <v>#N/A</v>
      </c>
      <c r="BB127" s="12" t="e">
        <f>VLOOKUP(A127,'Données projet'!$A$97:$I$117,9,0)</f>
        <v>#N/A</v>
      </c>
      <c r="BC127" s="12">
        <f t="array" ref="BC127">INDEX(BB:BB,MIN(IF(ISNUMBER(BB127:BB323),ROW(BB127:BB323),"")))</f>
        <v>0</v>
      </c>
      <c r="BD127" s="12">
        <f>IF('Données projet'!$A$98&gt;35,BD126+BC127-BL126,IF(A127&lt;'Données projet'!$A$98,$BA$205^A127,IF(A127='Données projet'!$A$98,'Données projet'!$B$98,BD126+BC127-BL126)))</f>
        <v>-1.1368683772161603E-13</v>
      </c>
      <c r="BE127" s="13">
        <f>BD127*VLOOKUP('Données projet'!$B$11,Paramètres!$A$1:$I$89,3,0)*VLOOKUP('Données projet'!$B$11,Paramètres!$A$1:$I$89,5,0)</f>
        <v>-5.0249582272954292E-14</v>
      </c>
      <c r="BF127" s="13" t="e">
        <f t="shared" si="186"/>
        <v>#NUM!</v>
      </c>
      <c r="BG127" s="20" t="e">
        <f t="shared" si="126"/>
        <v>#NUM!</v>
      </c>
      <c r="BH127" s="59" t="e">
        <f t="shared" si="127"/>
        <v>#NUM!</v>
      </c>
      <c r="BI127" s="59">
        <f ca="1">AVERAGE(OFFSET($BH$3,0,0,'Données projet'!$E$11+1,1))-AVERAGE(OFFSET($H$3,0,0,'Données projet'!$E$11+1,1))</f>
        <v>211.31057120485542</v>
      </c>
      <c r="BJ127" s="59">
        <f t="shared" si="187"/>
        <v>283.33292006714777</v>
      </c>
      <c r="BK127" s="15">
        <f>IF(ISNA(VLOOKUP(A127,'Données projet'!$A$97:$I$117,3,0)),0,VLOOKUP(A127,'Données projet'!$A$97:$I$117,3,0))</f>
        <v>0</v>
      </c>
      <c r="BL127" s="15">
        <f>IF(ISNA(VLOOKUP(A127,'Données projet'!$A$97:$I$117,4,0)),0,VLOOKUP(A127,'Données projet'!$A$97:$I$117,4,0))</f>
        <v>0</v>
      </c>
      <c r="BM127" s="16">
        <f>IF(ISNA(VLOOKUP(A127,'Données projet'!$A$97:$I$117,5,0)),0%,VLOOKUP(A127,'Données projet'!$A$97:$I$117,5,0)*VLOOKUP('Données projet'!$B$11,Paramètres!$A$1:$I$89,7,0))</f>
        <v>0</v>
      </c>
      <c r="BN127" s="16">
        <f>IF(ISNA(VLOOKUP(A127,'Données projet'!$A$97:$I$117,6,0)),0%,VLOOKUP(A127,'Données projet'!$A$97:$I$117,6,0)*VLOOKUP('Données projet'!$B$11,Paramètres!$A$1:$I$89,7,0))</f>
        <v>0</v>
      </c>
      <c r="BO127" s="16">
        <f>IF(ISNA(VLOOKUP(A127,'Données projet'!$A$97:$I$117,7,0)),0%,VLOOKUP(A127,'Données projet'!$A$97:$I$117,7,0))</f>
        <v>0</v>
      </c>
      <c r="BP127" s="21">
        <f>EXP(-LN(2)/35)*BP126+(1-EXP(-LN(2)/35))/(LN(2)/35)*BL127*BM127*VLOOKUP('Données projet'!$B$11,Paramètres!$A$1:$I$89,3,0)*0.475*44/12</f>
        <v>45.700465146569663</v>
      </c>
      <c r="BQ127" s="21">
        <f>EXP(-LN(2)/25)*BQ126+(1-EXP(-LN(2)/25))/(LN(2)/25)*Calculateur!BL127*Calculateur!BN127*VLOOKUP('Données projet'!$B$11,Paramètres!$A$1:$I$89,3,0)*0.475*44/12</f>
        <v>6.7243151876064937</v>
      </c>
      <c r="BR127" s="21">
        <f>EXP(-LN(2)/2)*BR126+(1-EXP(-LN(2)/2))/(LN(2)/2)*BL127*BO127*VLOOKUP('Données projet'!$B$11,Paramètres!$A$1:$I$89,3,0)*0.475*44/12</f>
        <v>1.1117574573733076E-9</v>
      </c>
      <c r="BS127" s="22">
        <f t="shared" si="128"/>
        <v>52.424780335287913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projet'!$A$123:$I$143,2,0)</f>
        <v>#N/A</v>
      </c>
      <c r="BW127" s="12" t="e">
        <f>VLOOKUP(A127,'Données projet'!$A$123:$I$143,9,0)</f>
        <v>#N/A</v>
      </c>
      <c r="BX127" s="12">
        <f t="array" ref="BX127">INDEX(BW:BW,MIN(IF(ISNUMBER(BW127:BW323),ROW(BW127:BW323),"")))</f>
        <v>0</v>
      </c>
      <c r="BY127" s="12">
        <f>IF('Données projet'!$A$124&gt;35,BY126+BX127-CG126,IF(A127&lt;'Données projet'!$A$124,$BV$205^A127,IF(A127='Données projet'!$A$124,'Données projet'!$B$124,BY126+BX127-CG126)))</f>
        <v>0</v>
      </c>
      <c r="BZ127" s="13">
        <f>BY127*VLOOKUP('Données projet'!$B$12,Paramètres!$A$1:$I$89,3,0)*VLOOKUP('Données projet'!$B$12,Paramètres!$A$1:$I$89,5,0)</f>
        <v>0</v>
      </c>
      <c r="CA127" s="13" t="e">
        <f t="shared" si="188"/>
        <v>#NUM!</v>
      </c>
      <c r="CB127" s="20" t="e">
        <f t="shared" si="129"/>
        <v>#NUM!</v>
      </c>
      <c r="CC127" s="59" t="e">
        <f t="shared" si="130"/>
        <v>#NUM!</v>
      </c>
      <c r="CD127" s="59">
        <f ca="1">AVERAGE(OFFSET($CC$3,0,0,'Données projet'!$E$12+1,1))-AVERAGE(OFFSET($H$3,0,0,'Données projet'!$E$12+1,1))</f>
        <v>322.93502595881938</v>
      </c>
      <c r="CE127" s="59">
        <f t="shared" si="189"/>
        <v>302.67072119588164</v>
      </c>
      <c r="CF127" s="15">
        <f>IF(ISNA(VLOOKUP(A127,'Données projet'!$A$123:$I$143,3,0)),0,VLOOKUP(A127,'Données projet'!$A$123:$I$143,3,0))</f>
        <v>0</v>
      </c>
      <c r="CG127" s="15">
        <f>IF(ISNA(VLOOKUP(A127,'Données projet'!$A$123:$I$143,4,0)),0,VLOOKUP(A127,'Données projet'!$A$123:$I$143,4,0))</f>
        <v>0</v>
      </c>
      <c r="CH127" s="16">
        <f>IF(ISNA(VLOOKUP(A127,'Données projet'!$A$123:$I$143,5,0)),0%,VLOOKUP(A127,'Données projet'!$A$123:$I$143,5,0)*VLOOKUP('Données projet'!$B$12,Paramètres!$A$1:$I$89,7,0))</f>
        <v>0</v>
      </c>
      <c r="CI127" s="16">
        <f>IF(ISNA(VLOOKUP(A127,'Données projet'!$A$123:$I$143,6,0)),0%,VLOOKUP(A127,'Données projet'!$A$123:$I$143,6,0)*VLOOKUP('Données projet'!$B$12,Paramètres!$A$1:$I$89,7,0))</f>
        <v>0</v>
      </c>
      <c r="CJ127" s="16">
        <f>IF(ISNA(VLOOKUP(A127,'Données projet'!$A$123:$I$143,7,0)),0%,VLOOKUP(A127,'Données projet'!$A$123:$I$143,7,0))</f>
        <v>0</v>
      </c>
      <c r="CK127" s="21">
        <f>EXP(-LN(2)/35)*CK126+(1-EXP(-LN(2)/35))/(LN(2)/35)*CG127*CH127*VLOOKUP('Données projet'!$B$12,Paramètres!$A$1:$I$89,3,0)*0.475*44/12</f>
        <v>72.811883774375858</v>
      </c>
      <c r="CL127" s="21">
        <f>EXP(-LN(2)/25)*CL126+(1-EXP(-LN(2)/25))/(LN(2)/25)*Calculateur!CG127*Calculateur!CI127*VLOOKUP('Données projet'!$B$12,Paramètres!$A$1:$I$89,3,0)*0.475*44/12</f>
        <v>21.521877073068445</v>
      </c>
      <c r="CM127" s="21">
        <f>EXP(-LN(2)/2)*CM126+(1-EXP(-LN(2)/2))/(LN(2)/2)*CG127*CJ127*VLOOKUP('Données projet'!$B$12,Paramètres!$A$1:$I$89,3,0)*0.475*44/12</f>
        <v>0</v>
      </c>
      <c r="CN127" s="22">
        <f t="shared" si="131"/>
        <v>94.333760847444296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projet'!$A$149:$I$169,2,0)</f>
        <v>#N/A</v>
      </c>
      <c r="CR127" s="12" t="e">
        <f>VLOOKUP(A127,'Données projet'!$A$149:$I$169,9,0)</f>
        <v>#N/A</v>
      </c>
      <c r="CS127" s="12">
        <f t="array" ref="CS127">INDEX(CR:CR,MIN(IF(ISNUMBER(CR127:CR323),ROW(CR127:CR323),"")))</f>
        <v>5.3066239316239274</v>
      </c>
      <c r="CT127" s="12">
        <f>IF('Données projet'!$A$150&gt;35,CT126+CS127-DB126,IF(A127&lt;'Données projet'!$A$150,$CQ$205^A127,IF(A127='Données projet'!$A$150,'Données projet'!$B$150,CT126+CS127-DB126)))</f>
        <v>272.98824786324741</v>
      </c>
      <c r="CU127" s="17">
        <f>CT127*VLOOKUP('Données projet'!$B$13,Paramètres!$A$1:$I$89,3,0)*VLOOKUP('Données projet'!$B$13,Paramètres!$A$1:$I$89,5,0)</f>
        <v>276.8100833333329</v>
      </c>
      <c r="CV127" s="13">
        <f t="shared" si="190"/>
        <v>66.292438909774205</v>
      </c>
      <c r="CW127" s="20">
        <f t="shared" si="132"/>
        <v>597.57022624007823</v>
      </c>
      <c r="CX127" s="59">
        <f t="shared" si="133"/>
        <v>890.90355957341148</v>
      </c>
      <c r="CY127" s="59">
        <f ca="1">AVERAGE(OFFSET($CX$3,0,0,'Données projet'!$E$13+1,1))-AVERAGE(OFFSET($H$3,0,0,'Données projet'!$E$13+1,1))</f>
        <v>250.31277422753283</v>
      </c>
      <c r="CZ127" s="59">
        <f t="shared" si="191"/>
        <v>159.20429420478047</v>
      </c>
      <c r="DA127" s="15">
        <f>IF(ISNA(VLOOKUP(A127,'Données projet'!$A$149:$I$169,3,0)),0,VLOOKUP(A127,'Données projet'!$A$149:$I$169,3,0))</f>
        <v>0</v>
      </c>
      <c r="DB127" s="15">
        <f>IF(ISNA(VLOOKUP(A127,'Données projet'!$A$149:$I$169,4,0)),0,VLOOKUP(A127,'Données projet'!$A$149:$I$169,4,0))</f>
        <v>0</v>
      </c>
      <c r="DC127" s="16">
        <f>IF(ISNA(VLOOKUP(A127,'Données projet'!$A$149:$I$169,5,0)),0%,VLOOKUP(A127,'Données projet'!$A$149:$I$169,5,0)*VLOOKUP('Données projet'!$B$13,Paramètres!$A$1:$I$89,7,0))</f>
        <v>0</v>
      </c>
      <c r="DD127" s="16">
        <f>IF(ISNA(VLOOKUP(A127,'Données projet'!$A$149:$I$169,6,0)),0%,VLOOKUP(A127,'Données projet'!$A$149:$I$169,6,0)*VLOOKUP('Données projet'!$B$13,Paramètres!$A$1:$I$89,7,0))</f>
        <v>0</v>
      </c>
      <c r="DE127" s="16">
        <f>IF(ISNA(VLOOKUP(A127,'Données projet'!$A$149:$I$169,7,0)),0%,VLOOKUP(A127,'Données projet'!$A$149:$I$169,7,0))</f>
        <v>0</v>
      </c>
      <c r="DF127" s="21">
        <f>EXP(-LN(2)/35)*DF126+(1-EXP(-LN(2)/35))/(LN(2)/35)*DB127*DC127*VLOOKUP('Données projet'!$B$13,Paramètres!$A$1:$I$89,3,0)*0.475*44/12</f>
        <v>32.178280466846466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134"/>
        <v>32.178280466846466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projet'!$A$175:$I$195,2,0)</f>
        <v>#N/A</v>
      </c>
      <c r="DM127" s="12" t="e">
        <f>VLOOKUP(A127,'Données projet'!$A$175:$I$195,9,0)</f>
        <v>#N/A</v>
      </c>
      <c r="DN127" s="12">
        <f t="array" ref="DN127">INDEX(DM:DM,MIN(IF(ISNUMBER(DM127:DM323),ROW(DM127:DM323),"")))</f>
        <v>0</v>
      </c>
      <c r="DO127" s="12">
        <f>IF('Données projet'!$A$176&gt;35,DO126+DN127-DW126,IF(A127&lt;'Données projet'!$A$176,$DL$205^A127,IF(A127='Données projet'!$A$176,'Données projet'!$B$176,DO126+DN127-DW126)))</f>
        <v>-2.8421709430404007E-13</v>
      </c>
      <c r="DP127" s="17">
        <f>DO127*VLOOKUP('Données projet'!$B$14,Paramètres!$A$1:$I$89,3,0)*VLOOKUP('Données projet'!$B$14,Paramètres!$A$1:$I$89,5,0)</f>
        <v>-2.0838797354372215E-13</v>
      </c>
      <c r="DQ127" s="13" t="e">
        <f t="shared" si="192"/>
        <v>#NUM!</v>
      </c>
      <c r="DR127" s="20" t="e">
        <f t="shared" si="135"/>
        <v>#NUM!</v>
      </c>
      <c r="DS127" s="59" t="e">
        <f t="shared" si="136"/>
        <v>#NUM!</v>
      </c>
      <c r="DT127" s="59">
        <f ca="1">AVERAGE(OFFSET($DS$3,0,0,'Données projet'!$E$14+1,1))-AVERAGE(OFFSET($H$3,0,0,'Données projet'!$E$14+1,1))</f>
        <v>296.91321813251051</v>
      </c>
      <c r="DU127" s="59">
        <f t="shared" si="193"/>
        <v>291.0718079639509</v>
      </c>
      <c r="DV127" s="15">
        <f>IF(ISNA(VLOOKUP(A127,'Données projet'!$A$175:$I$195,3,0)),0,VLOOKUP(A127,'Données projet'!$A$175:$I$195,3,0))</f>
        <v>0</v>
      </c>
      <c r="DW127" s="15">
        <f>IF(ISNA(VLOOKUP(A127,'Données projet'!$A$175:$I$195,4,0)),0,VLOOKUP(A127,'Données projet'!$A$175:$I$195,4,0))</f>
        <v>0</v>
      </c>
      <c r="DX127" s="16">
        <f>IF(ISNA(VLOOKUP(A127,'Données projet'!$A$175:$I$195,5,0)),0%,VLOOKUP(A127,'Données projet'!$A$175:$I$195,5,0)*VLOOKUP('Données projet'!$B$14,Paramètres!$A$1:$I$89,7,0))</f>
        <v>0</v>
      </c>
      <c r="DY127" s="16">
        <f>IF(ISNA(VLOOKUP(A127,'Données projet'!$A$175:$I$195,6,0)),0%,VLOOKUP(A127,'Données projet'!$A$175:$I$195,6,0)*VLOOKUP('Données projet'!$B$14,Paramètres!$A$1:$I$89,7,0))</f>
        <v>0</v>
      </c>
      <c r="DZ127" s="16">
        <f>IF(ISNA(VLOOKUP(A127,'Données projet'!$A$175:$I$195,7,0)),0%,VLOOKUP(A127,'Données projet'!$A$175:$I$195,7,0))</f>
        <v>0</v>
      </c>
      <c r="EA127" s="21">
        <f>EXP(-LN(2)/35)*EA126+(1-EXP(-LN(2)/35))/(LN(2)/35)*DW127*DX127*VLOOKUP('Données projet'!$B$14,Paramètres!$A$1:$I$89,3,0)*0.475*44/12</f>
        <v>72.570072381335081</v>
      </c>
      <c r="EB127" s="21">
        <f>EXP(-LN(2)/25)*EB126+(1-EXP(-LN(2)/25))/(LN(2)/25)*Calculateur!DW127*Calculateur!DY127*VLOOKUP('Données projet'!$B$14,Paramètres!$A$1:$I$89,3,0)*0.475*44/12</f>
        <v>1.5810166089592761</v>
      </c>
      <c r="EC127" s="21">
        <f>EXP(-LN(2)/2)*EC126+(1-EXP(-LN(2)/2))/(LN(2)/2)*DW127*DZ127*VLOOKUP('Données projet'!$B$14,Paramètres!$A$1:$I$89,3,0)*0.475*44/12</f>
        <v>0</v>
      </c>
      <c r="ED127" s="22">
        <f t="shared" si="137"/>
        <v>74.151088990294355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projet'!$A$201:$I$221,2,0)</f>
        <v>#N/A</v>
      </c>
      <c r="EH127" s="12" t="e">
        <f>VLOOKUP(A127,'Données projet'!$A$201:$I$221,9,0)</f>
        <v>#N/A</v>
      </c>
      <c r="EI127" s="12">
        <f t="array" ref="EI127">INDEX(EH:EH,MIN(IF(ISNUMBER(EH127:EH323),ROW(EH127:EH323),"")))</f>
        <v>0</v>
      </c>
      <c r="EJ127" s="12">
        <f>IF('Données projet'!$A$202&gt;35,EJ126+EI127-ER126,IF(A127&lt;'Données projet'!$A$202,$EG$205^A127,IF(A127='Données projet'!$A$202,'Données projet'!$B$202,EJ126+EI127-ER126)))</f>
        <v>5.1159076974727213E-13</v>
      </c>
      <c r="EK127" s="17">
        <f>EJ127*VLOOKUP('Données projet'!$B$15,Paramètres!$A$1:$I$89,3,0)*VLOOKUP('Données projet'!$B$15,Paramètres!$A$1:$I$89,5,0)</f>
        <v>2.3942448024172334E-13</v>
      </c>
      <c r="EL127" s="13">
        <f t="shared" si="194"/>
        <v>3.2492669905861755E-12</v>
      </c>
      <c r="EM127" s="20">
        <f t="shared" si="138"/>
        <v>6.0761376450252565E-12</v>
      </c>
      <c r="EN127" s="59">
        <f t="shared" si="139"/>
        <v>293.3333333333394</v>
      </c>
      <c r="EO127" s="59">
        <f ca="1">AVERAGE(OFFSET($EN$3,0,0,'Données projet'!$E$15+1,1))-AVERAGE(OFFSET($H$3,0,0,'Données projet'!$E$15+1,1))</f>
        <v>147.64256291235483</v>
      </c>
      <c r="EP127" s="59">
        <f t="shared" si="195"/>
        <v>70.859031694091868</v>
      </c>
      <c r="EQ127" s="15">
        <f>IF(ISNA(VLOOKUP(A127,'Données projet'!$A$201:$I$221,3,0)),0,VLOOKUP(A127,'Données projet'!$A$201:$I$221,3,0))</f>
        <v>0</v>
      </c>
      <c r="ER127" s="15">
        <f>IF(ISNA(VLOOKUP(A127,'Données projet'!$A$201:$I$221,4,0)),0,VLOOKUP(A127,'Données projet'!$A$201:$I$221,4,0))</f>
        <v>0</v>
      </c>
      <c r="ES127" s="16">
        <f>IF(ISNA(VLOOKUP(A127,'Données projet'!$A$201:$I$221,5,0)),0%,VLOOKUP(A127,'Données projet'!$A$201:$I$221,5,0)*VLOOKUP('Données projet'!$B$15,Paramètres!$A$1:$I$89,7,0))</f>
        <v>0</v>
      </c>
      <c r="ET127" s="16">
        <f>IF(ISNA(VLOOKUP(A127,'Données projet'!$A$201:$I$221,6,0)),0%,VLOOKUP(A127,'Données projet'!$A$201:$I$221,6,0)*VLOOKUP('Données projet'!$B$15,Paramètres!$A$1:$I$89,7,0))</f>
        <v>0</v>
      </c>
      <c r="EU127" s="16">
        <f>IF(ISNA(VLOOKUP(A127,'Données projet'!$A$201:$I$221,7,0)),0%,VLOOKUP(A127,'Données projet'!$A$201:$I$221,7,0))</f>
        <v>0</v>
      </c>
      <c r="EV127" s="21">
        <f>EXP(-LN(2)/35)*EV126+(1-EXP(-LN(2)/35))/(LN(2)/35)*ER127*ES127*VLOOKUP('Données projet'!$B$15,Paramètres!$A$1:$I$89,3,0)*0.475*44/12</f>
        <v>99.349573000446469</v>
      </c>
      <c r="EW127" s="21">
        <f>EXP(-LN(2)/25)*EW126+(1-EXP(-LN(2)/25))/(LN(2)/25)*Calculateur!ER127*Calculateur!ET127*VLOOKUP('Données projet'!$B$15,Paramètres!$A$1:$I$89,3,0)*0.475*44/12</f>
        <v>21.935012601997805</v>
      </c>
      <c r="EX127" s="21">
        <f>EXP(-LN(2)/2)*EX126+(1-EXP(-LN(2)/2))/(LN(2)/2)*ER127*EU127*VLOOKUP('Données projet'!$B$15,Paramètres!$A$1:$I$89,3,0)*0.475*44/12</f>
        <v>0.10136314568273461</v>
      </c>
      <c r="EY127" s="22">
        <f t="shared" si="140"/>
        <v>121.38594874812702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projet'!$A$227:$I$247,2,0)</f>
        <v>#N/A</v>
      </c>
      <c r="FC127" s="12" t="e">
        <f>VLOOKUP(A127,'Données projet'!$A$227:$I$247,9,0)</f>
        <v>#N/A</v>
      </c>
      <c r="FD127" s="12">
        <f t="array" ref="FD127">INDEX(FC:FC,MIN(IF(ISNUMBER(FC127:FC323),ROW(FC127:FC323),"")))</f>
        <v>0</v>
      </c>
      <c r="FE127" s="12">
        <f>IF('Données projet'!$A$228&gt;35,FE126+FD127-FM126,IF(A127&lt;'Données projet'!$A$228,$FB$205^A127,IF(A127='Données projet'!$A$228,'Données projet'!$B$228,FE126+FD127-FM126)))</f>
        <v>8.5265128291212022E-14</v>
      </c>
      <c r="FF127" s="17">
        <f>FE127*VLOOKUP('Données projet'!$B$16,Paramètres!$A$1:$I$89,3,0)*VLOOKUP('Données projet'!$B$16,Paramètres!$A$1:$I$89,5,0)</f>
        <v>8.9119112089974823E-14</v>
      </c>
      <c r="FG127" s="13">
        <f t="shared" si="196"/>
        <v>1.3568952080113142E-12</v>
      </c>
      <c r="FH127" s="20">
        <f t="shared" si="141"/>
        <v>2.5184749408430782E-12</v>
      </c>
      <c r="FI127" s="59">
        <f t="shared" si="142"/>
        <v>293.33333333333582</v>
      </c>
      <c r="FJ127" s="59">
        <f ca="1">AVERAGE(OFFSET($FI$3,0,0,'Données projet'!$E$16+1,1))-AVERAGE(OFFSET($H$3,0,0,'Données projet'!$E$16+1,1))</f>
        <v>259.03906550253788</v>
      </c>
      <c r="FK127" s="59">
        <f t="shared" si="197"/>
        <v>235.54542903570831</v>
      </c>
      <c r="FL127" s="15">
        <f>IF(ISNA(VLOOKUP(A127,'Données projet'!$A$227:$I$247,3,0)),0,VLOOKUP(A127,'Données projet'!$A$227:$I$247,3,0))</f>
        <v>0</v>
      </c>
      <c r="FM127" s="15">
        <f>IF(ISNA(VLOOKUP(A127,'Données projet'!$A$227:$I$247,4,0)),0,VLOOKUP(A127,'Données projet'!$A$227:$I$247,4,0))</f>
        <v>0</v>
      </c>
      <c r="FN127" s="16">
        <f>IF(ISNA(VLOOKUP(A127,'Données projet'!$A$227:$I$247,5,0)),0%,VLOOKUP(A127,'Données projet'!$A$227:$I$247,5,0)*VLOOKUP('Données projet'!$B$16,Paramètres!$A$1:$I$89,7,0))</f>
        <v>0</v>
      </c>
      <c r="FO127" s="16">
        <f>IF(ISNA(VLOOKUP(A127,'Données projet'!$A$227:$I$247,6,0)),0%,VLOOKUP(A127,'Données projet'!$A$227:$I$247,6,0)*VLOOKUP('Données projet'!$B$16,Paramètres!$A$1:$I$89,7,0))</f>
        <v>0</v>
      </c>
      <c r="FP127" s="16">
        <f>IF(ISNA(VLOOKUP(A127,'Données projet'!$A$227:$I$247,7,0)),0%,VLOOKUP(A127,'Données projet'!$A$227:$I$247,7,0))</f>
        <v>0</v>
      </c>
      <c r="FQ127" s="21">
        <f>EXP(-LN(2)/35)*FQ126+(1-EXP(-LN(2)/35))/(LN(2)/35)*FM127*FN127*VLOOKUP('Données projet'!$B$16,Paramètres!$A$1:$I$89,3,0)*0.475*44/12</f>
        <v>43.850201508838772</v>
      </c>
      <c r="FR127" s="21">
        <f>EXP(-LN(2)/25)*FR126+(1-EXP(-LN(2)/25))/(LN(2)/25)*Calculateur!FM127*Calculateur!FO127*VLOOKUP('Données projet'!$B$16,Paramètres!$A$1:$I$89,3,0)*0.475*44/12</f>
        <v>30.175440939532319</v>
      </c>
      <c r="FS127" s="21">
        <f>EXP(-LN(2)/2)*FS126+(1-EXP(-LN(2)/2))/(LN(2)/2)*FM127*FP127*VLOOKUP('Données projet'!$B$16,Paramètres!$A$1:$I$89,3,0)*0.475*44/12</f>
        <v>0</v>
      </c>
      <c r="FT127" s="22">
        <f t="shared" si="143"/>
        <v>74.025642448371087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projet'!$A$253:$I$273,2,0)</f>
        <v>#N/A</v>
      </c>
      <c r="FX127" s="12" t="e">
        <f>VLOOKUP(A127,'Données projet'!$A$253:$I$273,9,0)</f>
        <v>#N/A</v>
      </c>
      <c r="FY127" s="12">
        <f t="array" ref="FY127">INDEX(FX:FX,MIN(IF(ISNUMBER(FX127:FX323),ROW(FX127:FX323),"")))</f>
        <v>0</v>
      </c>
      <c r="FZ127" s="12">
        <f>IF('Données projet'!$A$254&gt;35,FZ126+FY127-GH126,IF(A127&lt;'Données projet'!$A$254,$FW$205^A127,IF(A127='Données projet'!$A$254,'Données projet'!$B$254,FZ126+FY127-GH126)))</f>
        <v>-1.7053025658242404E-13</v>
      </c>
      <c r="GA127" s="17">
        <f>FZ127*VLOOKUP('Données projet'!$B$17,Paramètres!$A$1:$I$89,3,0)*VLOOKUP('Données projet'!$B$17,Paramètres!$A$1:$I$89,5,0)</f>
        <v>-1.4897523215040567E-13</v>
      </c>
      <c r="GB127" s="13" t="e">
        <f t="shared" si="198"/>
        <v>#NUM!</v>
      </c>
      <c r="GC127" s="20" t="e">
        <f t="shared" si="144"/>
        <v>#NUM!</v>
      </c>
      <c r="GD127" s="59" t="e">
        <f t="shared" si="145"/>
        <v>#NUM!</v>
      </c>
      <c r="GE127" s="59">
        <f ca="1">AVERAGE(OFFSET($GD$3,0,0,'Données projet'!$E$17+1,1))-AVERAGE(OFFSET($H$3,0,0,'Données projet'!$E$17+1,1))</f>
        <v>245.1983232777614</v>
      </c>
      <c r="GF127" s="59">
        <f t="shared" si="199"/>
        <v>242.34010522344573</v>
      </c>
      <c r="GG127" s="15">
        <f>IF(ISNA(VLOOKUP(A127,'Données projet'!$A$253:$I$273,3,0)),0,VLOOKUP(A127,'Données projet'!$A$253:$I$273,3,0))</f>
        <v>0</v>
      </c>
      <c r="GH127" s="15">
        <f>IF(ISNA(VLOOKUP(A127,'Données projet'!$A$253:$I$273,4,0)),0,VLOOKUP(A127,'Données projet'!$A$253:$I$273,4,0))</f>
        <v>0</v>
      </c>
      <c r="GI127" s="16">
        <f>IF(ISNA(VLOOKUP(A127,'Données projet'!$A$253:$I$273,5,0)),0%,VLOOKUP(A127,'Données projet'!$A$253:$I$273,5,0)*VLOOKUP('Données projet'!$B$17,Paramètres!$A$1:$I$89,7,0))</f>
        <v>0</v>
      </c>
      <c r="GJ127" s="16">
        <f>IF(ISNA(VLOOKUP(A127,'Données projet'!$A$253:$I$273,6,0)),0%,VLOOKUP(A127,'Données projet'!$A$253:$I$273,6,0)*VLOOKUP('Données projet'!$B$17,Paramètres!$A$1:$I$89,7,0))</f>
        <v>0</v>
      </c>
      <c r="GK127" s="16">
        <f>IF(ISNA(VLOOKUP(A127,'Données projet'!$A$253:$I$273,7,0)),0%,VLOOKUP(A127,'Données projet'!$A$253:$I$273,7,0))</f>
        <v>0</v>
      </c>
      <c r="GL127" s="21">
        <f>EXP(-LN(2)/35)*GL126+(1-EXP(-LN(2)/35))/(LN(2)/35)*GH127*GI127*VLOOKUP('Données projet'!$B$17,Paramètres!$A$1:$I$89,3,0)*0.475*44/12</f>
        <v>51.551928222003319</v>
      </c>
      <c r="GM127" s="21">
        <f>EXP(-LN(2)/25)*GM126+(1-EXP(-LN(2)/25))/(LN(2)/25)*Calculateur!GH127*Calculateur!GJ127*VLOOKUP('Données projet'!$B$17,Paramètres!$A$1:$I$89,3,0)*0.475*44/12</f>
        <v>6.4296513411704908</v>
      </c>
      <c r="GN127" s="21">
        <f>EXP(-LN(2)/2)*GN126+(1-EXP(-LN(2)/2))/(LN(2)/2)*GH127*GK127*VLOOKUP('Données projet'!$B$17,Paramètres!$A$1:$I$89,3,0)*0.475*44/12</f>
        <v>0</v>
      </c>
      <c r="GO127" s="21">
        <f t="shared" si="146"/>
        <v>57.98157956317381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projet'!$A$279:$I$299,2,0)</f>
        <v>#N/A</v>
      </c>
      <c r="GS127" s="12" t="e">
        <f>VLOOKUP(A127,'Données projet'!$A$279:$I$299,9,0)</f>
        <v>#N/A</v>
      </c>
      <c r="GT127" s="12">
        <f t="array" ref="GT127">INDEX(GS:GS,MIN(IF(ISNUMBER(GS127:GS323),ROW(GS127:GS323),"")))</f>
        <v>0</v>
      </c>
      <c r="GU127" s="12">
        <f>IF('Données projet'!$A$280&gt;35,GU126+GT127-HC126,IF(A127&lt;'Données projet'!$A$280,$GR$205^A127,IF(A127='Données projet'!$A$280,'Données projet'!$B$280,GU126+GT127-HC126)))</f>
        <v>-1.1368683772161603E-13</v>
      </c>
      <c r="GV127" s="17">
        <f>GU127*VLOOKUP('Données projet'!$B$18,Paramètres!$A$1:$I$89,3,0)*VLOOKUP('Données projet'!$B$18,Paramètres!$A$1:$I$89,5,0)</f>
        <v>-4.5815795601811263E-14</v>
      </c>
      <c r="GW127" s="13" t="e">
        <f t="shared" si="200"/>
        <v>#NUM!</v>
      </c>
      <c r="GX127" s="20" t="e">
        <f t="shared" si="147"/>
        <v>#NUM!</v>
      </c>
      <c r="GY127" s="59" t="e">
        <f t="shared" si="148"/>
        <v>#NUM!</v>
      </c>
      <c r="GZ127" s="59">
        <f ca="1">AVERAGE(OFFSET($GY$3,0,0,'Données projet'!$E$18+1,1))-AVERAGE(OFFSET($H$3,0,0,'Données projet'!$E$18+1,1))</f>
        <v>324.36162935850876</v>
      </c>
      <c r="HA127" s="59">
        <f t="shared" si="201"/>
        <v>265.23571072429735</v>
      </c>
      <c r="HB127" s="15">
        <f>IF(ISNA(VLOOKUP(A127,'Données projet'!$A$279:$I$299,3,0)),0,VLOOKUP(A127,'Données projet'!$A$279:$I$299,3,0))</f>
        <v>0</v>
      </c>
      <c r="HC127" s="15">
        <f>IF(ISNA(VLOOKUP(A127,'Données projet'!$A$279:$I$299,4,0)),0,VLOOKUP(A127,'Données projet'!$A$279:$I$299,4,0))</f>
        <v>0</v>
      </c>
      <c r="HD127" s="16">
        <f>IF(ISNA(VLOOKUP(A127,'Données projet'!$A$279:$I$299,5,0)),0%,VLOOKUP(A127,'Données projet'!$A$279:$I$299,5,0)*VLOOKUP('Données projet'!$B$18,Paramètres!$A$1:$I$89,7,0))</f>
        <v>0</v>
      </c>
      <c r="HE127" s="16">
        <f>IF(ISNA(VLOOKUP(A127,'Données projet'!$A$279:$I$299,6,0)),0%,VLOOKUP(A127,'Données projet'!$A$279:$I$299,6,0)*VLOOKUP('Données projet'!$B$18,Paramètres!$A$1:$I$89,7,0))</f>
        <v>0</v>
      </c>
      <c r="HF127" s="16">
        <f>IF(ISNA(VLOOKUP($A127,'Données projet'!$A$279:$I$299,7,0)),0%,VLOOKUP($A127,'Données projet'!$A$279:$I$299,7,0))</f>
        <v>0</v>
      </c>
      <c r="HG127" s="21">
        <f>EXP(-LN(2)/35)*HG126+(1-EXP(-LN(2)/35))/(LN(2)/35)*HC127*HD127*VLOOKUP('Données projet'!$B$18,Paramètres!$A$1:$I$89,3,0)*0.475*44/12</f>
        <v>98.786971117095561</v>
      </c>
      <c r="HH127" s="21">
        <f>EXP(-LN(2)/25)*HH126+(1-EXP(-LN(2)/25))/(LN(2)/25)*Calculateur!HC127*Calculateur!HE127*VLOOKUP('Données projet'!$B$18,Paramètres!$A$1:$I$89,3,0)*0.475*44/12</f>
        <v>7.1509223377491704</v>
      </c>
      <c r="HI127" s="21">
        <f>EXP(-LN(2)/2)*HI126+(1-EXP(-LN(2)/2))/(LN(2)/2)*HC127*HF127*VLOOKUP('Données projet'!$B$18,Paramètres!$A$1:$I$89,3,0)*0.475*44/12</f>
        <v>2.0378135941934413E-6</v>
      </c>
      <c r="HJ127" s="22">
        <f t="shared" si="149"/>
        <v>105.93789549265831</v>
      </c>
      <c r="HK127" s="74">
        <f>('Scénario référence'!$F$8+'Scénario référence'!$F$9+'Scénario référence'!$B$17+'Scénario référence'!$B$9+'Scénario référence'!$B$10)*70+IF((45+25*(1-EXP(-0.0175*$A127)))&lt;70,'Scénario référence'!$B$16*(45+25*(1-EXP(-0.0175*$A127))),70*'Scénario référence'!$B$16)+IF((32+38*(1-EXP(-0.0175*$A127)))&lt;70,'Scénario référence'!$B$18*(32+38*(1-EXP(-0.0175*$A127))),70*'Scénario référence'!$B$18)</f>
        <v>70</v>
      </c>
      <c r="HL127" s="12">
        <f>IF($A127&gt;30,10,('Scénario référence'!$B$16+'Scénario référence'!$B$17+'Scénario référence'!$B$18+'Scénario référence'!$B$9+'Scénario référence'!$B$10)*$A127*10/30+('Scénario référence'!$F$8+'Scénario référence'!$F$9)*10)</f>
        <v>10</v>
      </c>
      <c r="HM127" s="12" t="e">
        <f>VLOOKUP($A127,'Données projet'!$A$304:$I$324,2,0)</f>
        <v>#N/A</v>
      </c>
      <c r="HN127" s="12" t="e">
        <f>VLOOKUP($A127,'Données projet'!$A$304:$I$324,9,0)</f>
        <v>#N/A</v>
      </c>
      <c r="HO127" s="12">
        <f t="array" ref="HO127">INDEX(HN:HN,MIN(IF(ISNUMBER(HN127:HN323),ROW(HN127:HN323),"")))</f>
        <v>0</v>
      </c>
      <c r="HP127" s="12">
        <f>IF('Données projet'!$A$304&gt;35,HP126+HO127-HX126,IF($A127&lt;'Données projet'!$A$304,$CQ$205^$A127,IF($A127='Données projet'!$A$304,'Données projet'!$B$304,HP126+HO127-HX126)))</f>
        <v>0</v>
      </c>
      <c r="HQ127" s="17">
        <f>HP127*VLOOKUP('Données projet'!$B$19,Paramètres!$A$1:$I$89,3,0)*VLOOKUP('Données projet'!$B$19,Paramètres!$A$1:$I$89,5,0)</f>
        <v>0</v>
      </c>
      <c r="HR127" s="13" t="e">
        <f t="shared" si="202"/>
        <v>#NUM!</v>
      </c>
      <c r="HS127" s="14" t="e">
        <f t="shared" si="150"/>
        <v>#NUM!</v>
      </c>
      <c r="HT127" s="59" t="e">
        <f t="shared" si="151"/>
        <v>#NUM!</v>
      </c>
      <c r="HU127" s="59">
        <f ca="1">AVERAGE(OFFSET(HT$3,0,0,'Données projet'!$E$19+1,1))-AVERAGE(OFFSET($H$3,0,0,'Données projet'!$E$19+1,1))</f>
        <v>91.60721429656013</v>
      </c>
      <c r="HV127" s="59">
        <f t="shared" si="203"/>
        <v>258.94957804210856</v>
      </c>
      <c r="HW127" s="15">
        <f>IF(ISNA(VLOOKUP($A127,'Données projet'!$A$304:$I$324,3,0)),0,VLOOKUP($A127,'Données projet'!$A$304:$I$324,3,0))</f>
        <v>0</v>
      </c>
      <c r="HX127" s="15">
        <f>IF(ISNA(VLOOKUP($A127,'Données projet'!$A$304:$I$324,4,0)),0,VLOOKUP($A127,'Données projet'!$A$304:$I$324,4,0))</f>
        <v>0</v>
      </c>
      <c r="HY127" s="16">
        <f>IF(ISNA(VLOOKUP($A127,'Données projet'!$A$304:$I$324,5,0)),0%,VLOOKUP($A127,'Données projet'!$A$304:$I$324,5,0)*VLOOKUP('Données projet'!$B$19,Paramètres!$A$1:$I$89,7,0))</f>
        <v>0</v>
      </c>
      <c r="HZ127" s="16">
        <f>IF(ISNA(VLOOKUP($A127,'Données projet'!$A$304:$I$324,6,0)),0%,VLOOKUP($A127,'Données projet'!$A$304:$I$324,6,0)*VLOOKUP('Données projet'!$B$19,Paramètres!$A$1:$I$89,7,0))</f>
        <v>0</v>
      </c>
      <c r="IA127" s="16">
        <f>IF(ISNA(VLOOKUP($A127,'Données projet'!$A$304:$I$324,7,0)),0%,VLOOKUP($A127,'Données projet'!$A$304:$I$324,7,0))</f>
        <v>0</v>
      </c>
      <c r="IB127" s="21">
        <f>EXP(-LN(2)/35)*IB126+(1-EXP(-LN(2)/35))/(LN(2)/35)*HX127*HY127*VLOOKUP('Données projet'!$B$19,Paramètres!$A$1:$I$89,3,0)*0.475*44/12</f>
        <v>7.6675102804446285</v>
      </c>
      <c r="IC127" s="21">
        <f>EXP(-LN(2)/25)*IC126+(1-EXP(-LN(2)/25))/(LN(2)/25)*Calculateur!HX127*Calculateur!HZ127*VLOOKUP('Données projet'!$B$19,Paramètres!$A$1:$I$89,3,0)*0.475*44/12</f>
        <v>0.71802336355709417</v>
      </c>
      <c r="ID127" s="21">
        <f>EXP(-LN(2)/2)*ID126+(1-EXP(-LN(2)/2))/(LN(2)/2)*HX127*IA127*VLOOKUP('Données projet'!$B$19,Paramètres!$A$1:$I$89,3,0)*0.475*44/12</f>
        <v>4.0703604877306358E-15</v>
      </c>
      <c r="IE127" s="22">
        <f t="shared" si="152"/>
        <v>8.3855336440017254</v>
      </c>
      <c r="IF127" s="74">
        <f>('Scénario référence'!$F$8+'Scénario référence'!$F$9+'Scénario référence'!$B$17+'Scénario référence'!$B$9+'Scénario référence'!$B$10)*70+IF((45+25*(1-EXP(-0.0175*$A127)))&lt;70,'Scénario référence'!$B$16*(45+25*(1-EXP(-0.0175*$A127))),70*'Scénario référence'!$B$16)+IF((32+38*(1-EXP(-0.0175*$A127)))&lt;70,'Scénario référence'!$B$18*(32+38*(1-EXP(-0.0175*$A127))),70*'Scénario référence'!$B$18)</f>
        <v>70</v>
      </c>
      <c r="IG127" s="12">
        <f>IF($A127&gt;30,10,('Scénario référence'!$B$16+'Scénario référence'!$B$17+'Scénario référence'!$B$18+'Scénario référence'!$B$9+'Scénario référence'!$B$10)*$A127*10/30+('Scénario référence'!$F$8+'Scénario référence'!$F$9)*10)</f>
        <v>10</v>
      </c>
      <c r="IH127" s="12" t="e">
        <f>VLOOKUP($A127,'Données projet'!$A$330:$I$350,2,0)</f>
        <v>#N/A</v>
      </c>
      <c r="II127" s="12" t="e">
        <f>VLOOKUP($A127,'Données projet'!$A$330:$I$350,9,0)</f>
        <v>#N/A</v>
      </c>
      <c r="IJ127" s="12">
        <f t="array" ref="IJ127">INDEX(II:II,MIN(IF(ISNUMBER(II127:II323),ROW(II127:II323),"")))</f>
        <v>0</v>
      </c>
      <c r="IK127" s="12">
        <f>IF('Données projet'!$A$330&gt;35,IK126+IJ127-IS126,IF($A127&lt;'Données projet'!$A$330,$CQ$205^$A127,IF($A127='Données projet'!$A$330,'Données projet'!$B$330,IK126+IJ127-IS126)))</f>
        <v>0</v>
      </c>
      <c r="IL127" s="17">
        <f>IK127*VLOOKUP('Données projet'!$B$20,Paramètres!$A$1:$I$89,3,0)*VLOOKUP('Données projet'!$B$20,Paramètres!$A$1:$I$89,5,0)</f>
        <v>0</v>
      </c>
      <c r="IM127" s="13" t="e">
        <f t="shared" si="204"/>
        <v>#NUM!</v>
      </c>
      <c r="IN127" s="20" t="e">
        <f t="shared" si="153"/>
        <v>#NUM!</v>
      </c>
      <c r="IO127" s="59" t="e">
        <f t="shared" si="154"/>
        <v>#NUM!</v>
      </c>
      <c r="IP127" s="59">
        <f ca="1">AVERAGE(OFFSET(IO$3,0,0,'Données projet'!$E$20+1,1))-AVERAGE(OFFSET($H$3,0,0,'Données projet'!$E$20+1,1))</f>
        <v>91.60721429656013</v>
      </c>
      <c r="IQ127" s="59">
        <f t="shared" si="205"/>
        <v>258.94957804210856</v>
      </c>
      <c r="IR127" s="15">
        <f>IF(ISNA(VLOOKUP($A127,'Données projet'!$A$330:$I$350,3,0)),0,VLOOKUP($A127,'Données projet'!$A$330:$I$350,3,0))</f>
        <v>0</v>
      </c>
      <c r="IS127" s="15">
        <f>IF(ISNA(VLOOKUP($A127,'Données projet'!$A$330:$I$350,4,0)),0,VLOOKUP($A127,'Données projet'!$A$330:$I$350,4,0))</f>
        <v>0</v>
      </c>
      <c r="IT127" s="16">
        <f>IF(ISNA(VLOOKUP($A127,'Données projet'!$A$330:$I$350,5,0)),0%,VLOOKUP($A127,'Données projet'!$A$330:$I$350,5,0)*VLOOKUP('Données projet'!$B$20,Paramètres!$A$1:$I$89,7,0))</f>
        <v>0</v>
      </c>
      <c r="IU127" s="16">
        <f>IF(ISNA(VLOOKUP($A127,'Données projet'!$A$330:$I$350,6,0)),0%,VLOOKUP($A127,'Données projet'!$A$330:$I$350,6,0)*VLOOKUP('Données projet'!$B$20,Paramètres!$A$1:$I$89,7,0))</f>
        <v>0</v>
      </c>
      <c r="IV127" s="16">
        <f>IF(ISNA(VLOOKUP($A127,'Données projet'!$A$330:$I$350,7,0)),0%,VLOOKUP($A127,'Données projet'!$A$330:$I$350,7,0))</f>
        <v>0</v>
      </c>
      <c r="IW127" s="21">
        <f>EXP(-LN(2)/35)*IW126+(1-EXP(-LN(2)/35))/(LN(2)/35)*IS127*IT127*VLOOKUP('Données projet'!$B$20,Paramètres!$A$1:$I$89,3,0)*0.475*44/12</f>
        <v>7.6675102804446285</v>
      </c>
      <c r="IX127" s="21">
        <f>EXP(-LN(2)/25)*IX126+(1-EXP(-LN(2)/25))/(LN(2)/25)*Calculateur!IS127*Calculateur!IU127*VLOOKUP('Données projet'!$B$20,Paramètres!$A$1:$I$89,3,0)*0.475*44/12</f>
        <v>0.71802336355709417</v>
      </c>
      <c r="IY127" s="21">
        <f>EXP(-LN(2)/2)*IY126+(1-EXP(-LN(2)/2))/(LN(2)/2)*IS127*IV127*VLOOKUP('Données projet'!$B$20,Paramètres!$A$1:$I$89,3,0)*0.475*44/12</f>
        <v>4.0703604877306358E-15</v>
      </c>
      <c r="IZ127" s="22">
        <f t="shared" si="155"/>
        <v>8.3855336440017254</v>
      </c>
      <c r="JA127" s="74">
        <f>('Scénario référence'!$F$8+'Scénario référence'!$F$9+'Scénario référence'!$B$17+'Scénario référence'!$B$9+'Scénario référence'!$B$10)*70+IF((45+25*(1-EXP(-0.0175*$A127)))&lt;70,'Scénario référence'!$B$16*(45+25*(1-EXP(-0.0175*$A127))),70*'Scénario référence'!$B$16)+IF((32+38*(1-EXP(-0.0175*$A127)))&lt;70,'Scénario référence'!$B$18*(32+38*(1-EXP(-0.0175*$A127))),70*'Scénario référence'!$B$18)</f>
        <v>70</v>
      </c>
      <c r="JB127" s="12">
        <f>IF($A127&gt;30,10,('Scénario référence'!$B$16+'Scénario référence'!$B$17+'Scénario référence'!$B$18+'Scénario référence'!$B$9+'Scénario référence'!$B$10)*$A127*10/30+('Scénario référence'!$F$8+'Scénario référence'!$F$9)*10)</f>
        <v>10</v>
      </c>
      <c r="JC127" s="12" t="e">
        <f>VLOOKUP($A127,'Données projet'!$A$356:$I$376,2,0)</f>
        <v>#N/A</v>
      </c>
      <c r="JD127" s="12" t="e">
        <f>VLOOKUP($A127,'Données projet'!$A$356:$I$376,9,0)</f>
        <v>#N/A</v>
      </c>
      <c r="JE127" s="12">
        <f t="array" ref="JE127">INDEX(JD:JD,MIN(IF(ISNUMBER(JD127:JD323),ROW(JD127:JD323),"")))</f>
        <v>2.2000000000000002</v>
      </c>
      <c r="JF127" s="12">
        <f>IF('Données projet'!$A$356&gt;35,JF126+JE127-JN126,IF($A127&lt;'Données projet'!$A$356,$CQ$205^$A127,IF($A127='Données projet'!$A$356,'Données projet'!$B$356,JF126+JE127-JN126)))</f>
        <v>426.79999999999922</v>
      </c>
      <c r="JG127" s="17">
        <f>JF127*VLOOKUP('Données projet'!$B$21,Paramètres!$A$1:$I$89,3,0)*VLOOKUP('Données projet'!$B$21,Paramètres!$A$1:$I$89,5,0)</f>
        <v>346.2201599999994</v>
      </c>
      <c r="JH127" s="13">
        <f t="shared" si="206"/>
        <v>80.783711756396158</v>
      </c>
      <c r="JI127" s="20">
        <f t="shared" si="156"/>
        <v>743.69840997572226</v>
      </c>
      <c r="JJ127" s="59">
        <f t="shared" si="157"/>
        <v>1037.0317433090556</v>
      </c>
      <c r="JK127" s="59">
        <f ca="1">AVERAGE(OFFSET($JJ$3,0,0,'Données projet'!$E$22+1,1))-AVERAGE(OFFSET($H$3,0,0,'Données projet'!$E$22+1,1))</f>
        <v>353.35574633294613</v>
      </c>
      <c r="JL127" s="59">
        <f t="shared" si="207"/>
        <v>170.36796666474726</v>
      </c>
      <c r="JM127" s="15">
        <f>IF(ISNA(VLOOKUP($A127,'Données projet'!$A$356:$I$376,3,0)),0,VLOOKUP($A127,'Données projet'!$A$356:$I$376,3,0))</f>
        <v>0</v>
      </c>
      <c r="JN127" s="15">
        <f>IF(ISNA(VLOOKUP($A127,'Données projet'!$A$356:$I$376,4,0)),0,VLOOKUP($A127,'Données projet'!$A$356:$I$376,4,0))</f>
        <v>0</v>
      </c>
      <c r="JO127" s="16">
        <f>IF(ISNA(VLOOKUP($A127,'Données projet'!$A$356:$I$376,5,0)),0%,VLOOKUP($A127,'Données projet'!$A$356:$I$376,5,0)*VLOOKUP('Données projet'!$B$21,Paramètres!$A$1:$I$89,7,0))</f>
        <v>0</v>
      </c>
      <c r="JP127" s="16">
        <f>IF(ISNA(VLOOKUP($A127,'Données projet'!$A$356:$I$376,6,0)),0%,VLOOKUP($A127,'Données projet'!$A$356:$I$376,6,0)*VLOOKUP('Données projet'!$B$21,Paramètres!$A$1:$I$89,7,0))</f>
        <v>0</v>
      </c>
      <c r="JQ127" s="16">
        <f>IF(ISNA(VLOOKUP($A127,'Données projet'!$A$356:$I$376,7,0)),0%,VLOOKUP($A127,'Données projet'!$A$356:$I$376,7,0))</f>
        <v>0</v>
      </c>
      <c r="JR127" s="21">
        <f>EXP(-LN(2)/35)*JR126+(1-EXP(-LN(2)/35))/(LN(2)/35)*JN127*JO127*VLOOKUP('Données projet'!$B$21,Paramètres!$A$1:$I$89,3,0)*0.475*44/12</f>
        <v>3.8086939919720426</v>
      </c>
      <c r="JS127" s="21">
        <f>EXP(-LN(2)/25)*JS126+(1-EXP(-LN(2)/25))/(LN(2)/25)*Calculateur!JN127*Calculateur!JP127*VLOOKUP('Données projet'!$B$21,Paramètres!$A$1:$I$89,3,0)*0.475*44/12</f>
        <v>11.995300792689145</v>
      </c>
      <c r="JT127" s="21">
        <f>EXP(-LN(2)/2)*JT126+(1-EXP(-LN(2)/2))/(LN(2)/2)*JN127*JQ127*VLOOKUP('Données projet'!$B$21,Paramètres!$A$1:$I$89,3,0)*0.475*44/12</f>
        <v>2.7254598053571891E-2</v>
      </c>
      <c r="JU127" s="18">
        <f t="shared" si="158"/>
        <v>15.831249382714759</v>
      </c>
      <c r="JV127" s="74">
        <f>('Scénario référence'!$F$8+'Scénario référence'!$F$9+'Scénario référence'!$B$17+'Scénario référence'!$B$9+'Scénario référence'!$B$10)*70+IF((45+25*(1-EXP(-0.0175*$A127)))&lt;70,'Scénario référence'!$B$16*(45+25*(1-EXP(-0.0175*$A127))),70*'Scénario référence'!$B$16)+IF((32+38*(1-EXP(-0.0175*$A127)))&lt;70,'Scénario référence'!$B$18*(32+38*(1-EXP(-0.0175*$A127))),70*'Scénario référence'!$B$18)</f>
        <v>70</v>
      </c>
      <c r="JW127" s="12">
        <f>IF($A127&gt;30,10,('Scénario référence'!$B$16+'Scénario référence'!$B$17+'Scénario référence'!$B$18+'Scénario référence'!$B$9+'Scénario référence'!$B$10)*$A127*10/30+('Scénario référence'!$F$8+'Scénario référence'!$F$9)*10)</f>
        <v>10</v>
      </c>
      <c r="JX127" s="12" t="e">
        <f>VLOOKUP($A127,'Données projet'!$A$382:$I$402,2,0)</f>
        <v>#N/A</v>
      </c>
      <c r="JY127" s="12" t="e">
        <f>VLOOKUP($A127,'Données projet'!$A$382:$I$402,9,0)</f>
        <v>#N/A</v>
      </c>
      <c r="JZ127" s="12">
        <f t="array" ref="JZ127">INDEX(JY:JY,MIN(IF(ISNUMBER(JY127:JY323),ROW(JY127:JY323),"")))</f>
        <v>2.3349358974358978</v>
      </c>
      <c r="KA127" s="12">
        <f>IF('Données projet'!$A$382&gt;35,KA126+JZ127-KI126,IF($A127&lt;'Données projet'!$A$382,$CQ$205^$A127,IF($A127='Données projet'!$A$382,'Données projet'!$B$382,KA126+JZ127-KI126)))</f>
        <v>147.79647435897488</v>
      </c>
      <c r="KB127" s="17">
        <f>KA127*VLOOKUP('Données projet'!$B$22,Paramètres!$A$1:$I$89,3,0)*VLOOKUP('Données projet'!$B$22,Paramètres!$A$1:$I$89,5,0)</f>
        <v>99.141875000000354</v>
      </c>
      <c r="KC127" s="13">
        <f t="shared" si="208"/>
        <v>26.757458671379844</v>
      </c>
      <c r="KD127" s="20">
        <f t="shared" si="159"/>
        <v>219.27467281098714</v>
      </c>
      <c r="KE127" s="59">
        <f t="shared" si="160"/>
        <v>512.60800614432048</v>
      </c>
      <c r="KF127" s="59">
        <f ca="1">AVERAGE(OFFSET($KE$3,0,0,'Données projet'!$E$22+1,1))-AVERAGE(OFFSET($H$3,0,0,'Données projet'!$E$22+1,1))</f>
        <v>193.91714772848269</v>
      </c>
      <c r="KG127" s="59">
        <f t="shared" si="209"/>
        <v>159.20429420478047</v>
      </c>
      <c r="KH127" s="15">
        <f>IF(ISNA(VLOOKUP($A127,'Données projet'!$A$382:$I$402,3,0)),0,VLOOKUP($A127,'Données projet'!$A$382:$I$402,3,0))</f>
        <v>0</v>
      </c>
      <c r="KI127" s="15">
        <f>IF(ISNA(VLOOKUP($A127,'Données projet'!$A$382:$I$402,4,0)),0,VLOOKUP($A127,'Données projet'!$A$382:$I$402,4,0))</f>
        <v>0</v>
      </c>
      <c r="KJ127" s="16">
        <f>IF(ISNA(VLOOKUP($A127,'Données projet'!$A$382:$I$402,5,0)),0%,VLOOKUP($A127,'Données projet'!$A$382:$I$402,5,0)*VLOOKUP('Données projet'!$B$22,Paramètres!$A$1:$I$89,7,0))</f>
        <v>0</v>
      </c>
      <c r="KK127" s="16">
        <f>IF(ISNA(VLOOKUP($A127,'Données projet'!$A$382:$I$402,6,0)),0%,VLOOKUP($A127,'Données projet'!$A$382:$I$402,6,0)*VLOOKUP('Données projet'!$B$22,Paramètres!$A$1:$I$89,7,0))</f>
        <v>0</v>
      </c>
      <c r="KL127" s="16">
        <f>IF(ISNA(VLOOKUP($A127,'Données projet'!$A$382:$I$402,7,0)),0%,VLOOKUP($A127,'Données projet'!$A$382:$I$402,7,0))</f>
        <v>0</v>
      </c>
      <c r="KM127" s="21">
        <f>EXP(-LN(2)/35)*KM126+(1-EXP(-LN(2)/35))/(LN(2)/35)*KI127*KJ127*VLOOKUP('Données projet'!$B$22,Paramètres!$A$1:$I$89,3,0)*0.475*44/12</f>
        <v>115.67717426287155</v>
      </c>
      <c r="KN127" s="21">
        <f>EXP(-LN(2)/25)*KN126+(1-EXP(-LN(2)/25))/(LN(2)/25)*Calculateur!KI127*Calculateur!KK127*VLOOKUP('Données projet'!$B$22,Paramètres!$A$1:$I$89,3,0)*0.475*44/12</f>
        <v>0</v>
      </c>
      <c r="KO127" s="21">
        <f>EXP(-LN(2)/2)*KO126+(1-EXP(-LN(2)/2))/(LN(2)/2)*KI127*KL127*VLOOKUP('Données projet'!$B$22,Paramètres!$A$1:$I$89,3,0)*0.475*44/12</f>
        <v>0</v>
      </c>
      <c r="KP127" s="22">
        <f t="shared" si="161"/>
        <v>115.67717426287155</v>
      </c>
      <c r="KQ127" s="74">
        <f>('Scénario référence'!$F$8+'Scénario référence'!$F$9+'Scénario référence'!$B$17+'Scénario référence'!$B$9+'Scénario référence'!$B$10)*70+IF((45+25*(1-EXP(-0.0175*$A127)))&lt;70,'Scénario référence'!$B$16*(45+25*(1-EXP(-0.0175*$A127))),70*'Scénario référence'!$B$16)+IF((32+38*(1-EXP(-0.0175*$A127)))&lt;70,'Scénario référence'!$B$18*(32+38*(1-EXP(-0.0175*$A127))),70*'Scénario référence'!$B$18)</f>
        <v>70</v>
      </c>
      <c r="KR127" s="12">
        <f>IF($A127&gt;30,10,('Scénario référence'!$B$16+'Scénario référence'!$B$17+'Scénario référence'!$B$18+'Scénario référence'!$B$9+'Scénario référence'!$B$10)*$A127*10/30+('Scénario référence'!$F$8+'Scénario référence'!$F$9)*10)</f>
        <v>10</v>
      </c>
      <c r="KS127" s="12" t="e">
        <f>VLOOKUP($A127,'Données projet'!$A$408:$I$428,2,0)</f>
        <v>#N/A</v>
      </c>
      <c r="KT127" s="12" t="e">
        <f>VLOOKUP($A127,'Données projet'!$A$408:$I$428,9,0)</f>
        <v>#N/A</v>
      </c>
      <c r="KU127" s="12">
        <f t="array" ref="KU127">INDEX(KT:KT,MIN(IF(ISNUMBER(KT127:KT323),ROW(KT127:KT323),"")))</f>
        <v>0</v>
      </c>
      <c r="KV127" s="12">
        <f>IF('Données projet'!$A$408&gt;35,KV126+KU127-LD126,IF($A127&lt;'Données projet'!$A$408,$CQ$205^$A127,IF($A127='Données projet'!$A$408,'Données projet'!$B$408,KV126+KU127-LD126)))</f>
        <v>-1.1368683772161603E-13</v>
      </c>
      <c r="KW127" s="17">
        <f>KV127*VLOOKUP('Données projet'!$B$23,Paramètres!$A$1:$I$89,3,0)*VLOOKUP('Données projet'!$B$23,Paramètres!$A$1:$I$89,5,0)</f>
        <v>-9.9316821433603781E-14</v>
      </c>
      <c r="KX127" s="13" t="e">
        <f t="shared" si="210"/>
        <v>#NUM!</v>
      </c>
      <c r="KY127" s="14" t="e">
        <f t="shared" si="162"/>
        <v>#NUM!</v>
      </c>
      <c r="KZ127" s="59" t="e">
        <f t="shared" si="163"/>
        <v>#NUM!</v>
      </c>
      <c r="LA127" s="59">
        <f ca="1">AVERAGE(OFFSET($KZ$3,0,0,'Données projet'!$E$23+1,1))-AVERAGE(OFFSET($H$3,0,0,'Données projet'!$E$23+1,1))</f>
        <v>248.33596943633819</v>
      </c>
      <c r="LB127" s="59">
        <f t="shared" si="211"/>
        <v>242.34010522344573</v>
      </c>
      <c r="LC127" s="15">
        <f>IF(ISNA(VLOOKUP($A127,'Données projet'!$A$408:$I$428,3,0)),0,VLOOKUP($A127,'Données projet'!$A$408:$I$428,3,0))</f>
        <v>0</v>
      </c>
      <c r="LD127" s="15">
        <f>IF(ISNA(VLOOKUP($A127,'Données projet'!$A$408:$I$428,4,0)),0,VLOOKUP($A127,'Données projet'!$A$408:$I$428,4,0))</f>
        <v>0</v>
      </c>
      <c r="LE127" s="16">
        <f>IF(ISNA(VLOOKUP($A127,'Données projet'!$A$408:$I$428,5,0)),0%,VLOOKUP($A127,'Données projet'!$A$408:$I$428,5,0)*VLOOKUP('Données projet'!$B$23,Paramètres!$A$1:$I$89,7,0))</f>
        <v>0</v>
      </c>
      <c r="LF127" s="16">
        <f>IF(ISNA(VLOOKUP($A127,'Données projet'!$A$408:$I$428,6,0)),0%,VLOOKUP($A127,'Données projet'!$A$408:$I$428,6,0)*VLOOKUP('Données projet'!$B$23,Paramètres!$A$1:$I$89,7,0))</f>
        <v>0</v>
      </c>
      <c r="LG127" s="16">
        <f>IF(ISNA(VLOOKUP($A127,'Données projet'!$A$408:$I$428,7,0)),0%,VLOOKUP($A127,'Données projet'!$A$408:$I$428,7,0))</f>
        <v>0</v>
      </c>
      <c r="LH127" s="21">
        <f>EXP(-LN(2)/35)*LH126+(1-EXP(-LN(2)/35))/(LN(2)/35)*LD127*LE127*VLOOKUP('Données projet'!$B$23,Paramètres!$A$1:$I$89,3,0)*0.475*44/12</f>
        <v>51.551928222003319</v>
      </c>
      <c r="LI127" s="21">
        <f>EXP(-LN(2)/25)*LI126+(1-EXP(-LN(2)/25))/(LN(2)/25)*Calculateur!LD127*Calculateur!LF127*VLOOKUP('Données projet'!$B$23,Paramètres!$A$1:$I$89,3,0)*0.475*44/12</f>
        <v>6.4296513411704908</v>
      </c>
      <c r="LJ127" s="21">
        <f>EXP(-LN(2)/2)*LJ126+(1-EXP(-LN(2)/2))/(LN(2)/2)*LD127*LG127*VLOOKUP('Données projet'!$B$23,Paramètres!$A$1:$I$89,3,0)*0.475*44/12</f>
        <v>0</v>
      </c>
      <c r="LK127" s="22">
        <f t="shared" si="164"/>
        <v>57.98157956317381</v>
      </c>
      <c r="LL127" s="74">
        <f>('Scénario référence'!$F$8+'Scénario référence'!$F$9+'Scénario référence'!$B$17+'Scénario référence'!$B$9+'Scénario référence'!$B$10)*70+IF((45+25*(1-EXP(-0.0175*$A127)))&lt;70,'Scénario référence'!$B$16*(45+25*(1-EXP(-0.0175*$A127))),70*'Scénario référence'!$B$16)+IF((32+38*(1-EXP(-0.0175*$A127)))&lt;70,'Scénario référence'!$B$18*(32+38*(1-EXP(-0.0175*$A127))),70*'Scénario référence'!$B$18)</f>
        <v>70</v>
      </c>
      <c r="LM127" s="12">
        <f>IF($A127&gt;30,10,('Scénario référence'!$B$16+'Scénario référence'!$B$17+'Scénario référence'!$B$18+'Scénario référence'!$B$9+'Scénario référence'!$B$10)*$A127*10/30+('Scénario référence'!$F$8+'Scénario référence'!$F$9)*10)</f>
        <v>10</v>
      </c>
      <c r="LN127" s="12" t="e">
        <f>VLOOKUP($A127,'Données projet'!$A$434:$I$454,2,0)</f>
        <v>#N/A</v>
      </c>
      <c r="LO127" s="12" t="e">
        <f>VLOOKUP($A127,'Données projet'!$A$434:$I$454,9,0)</f>
        <v>#N/A</v>
      </c>
      <c r="LP127" s="12">
        <f t="array" ref="LP127">INDEX(LO:LO,MIN(IF(ISNUMBER(LO127:LO323),ROW(LO127:LO323),"")))</f>
        <v>5.3066239316239274</v>
      </c>
      <c r="LQ127" s="12">
        <f>IF('Données projet'!$A$434&gt;35,LQ126+LP127-LY126,IF($A127&lt;'Données projet'!$A$434,$CQ$205^$A127,IF($A127='Données projet'!$A$434,'Données projet'!$B$434,LQ126+LP127-LY126)))</f>
        <v>272.98824786324741</v>
      </c>
      <c r="LR127" s="17">
        <f>LQ127*VLOOKUP('Données projet'!$B$24,Paramètres!$A$1:$I$89,3,0)*VLOOKUP('Données projet'!$B$24,Paramètres!$A$1:$I$89,5,0)</f>
        <v>276.8100833333329</v>
      </c>
      <c r="LS127" s="13">
        <f t="shared" si="212"/>
        <v>66.292438909774205</v>
      </c>
      <c r="LT127" s="14">
        <f t="shared" si="165"/>
        <v>597.57022624007823</v>
      </c>
      <c r="LU127" s="59">
        <f t="shared" si="166"/>
        <v>890.90355957341148</v>
      </c>
      <c r="LV127" s="59">
        <f ca="1">AVERAGE(OFFSET($LU$3,0,0,'Données projet'!$E$24+1,1))-AVERAGE(OFFSET($H$3,0,0,'Données projet'!$E$24+1,1))</f>
        <v>260.52627655062872</v>
      </c>
      <c r="LW127" s="59">
        <f t="shared" si="213"/>
        <v>159.20429420478047</v>
      </c>
      <c r="LX127" s="15">
        <f>IF(ISNA(VLOOKUP($A127,'Données projet'!$A$434:$I$454,3,0)),0,VLOOKUP($A127,'Données projet'!$A$434:$I$454,3,0))</f>
        <v>0</v>
      </c>
      <c r="LY127" s="15">
        <f>IF(ISNA(VLOOKUP($A127,'Données projet'!$A$434:$I$454,4,0)),0,VLOOKUP($A127,'Données projet'!$A$434:$I$454,4,0))</f>
        <v>0</v>
      </c>
      <c r="LZ127" s="16">
        <f>IF(ISNA(VLOOKUP($A127,'Données projet'!$A$434:$I$454,5,0)),0%,VLOOKUP($A127,'Données projet'!$A$434:$I$454,5,0)*VLOOKUP('Données projet'!$B$24,Paramètres!$A$1:$I$89,7,0))</f>
        <v>0</v>
      </c>
      <c r="MA127" s="16">
        <f>IF(ISNA(VLOOKUP($A127,'Données projet'!$A$434:$I$454,6,0)),0%,VLOOKUP($A127,'Données projet'!$A$434:$I$454,6,0)*VLOOKUP('Données projet'!$B$24,Paramètres!$A$1:$I$89,7,0))</f>
        <v>0</v>
      </c>
      <c r="MB127" s="16">
        <f>IF(ISNA(VLOOKUP($A127,'Données projet'!$A$434:$I$454,7,0)),0%,VLOOKUP($A127,'Données projet'!$A$434:$I$454,7,0))</f>
        <v>0</v>
      </c>
      <c r="MC127" s="21">
        <f>EXP(-LN(2)/35)*MC126+(1-EXP(-LN(2)/35))/(LN(2)/35)*LY127*LZ127*VLOOKUP('Données projet'!$B$24,Paramètres!$A$1:$I$89,3,0)*0.475*44/12</f>
        <v>32.178280466846466</v>
      </c>
      <c r="MD127" s="21">
        <f>EXP(-LN(2)/25)*MD126+(1-EXP(-LN(2)/25))/(LN(2)/25)*Calculateur!LY127*Calculateur!MA127*VLOOKUP('Données projet'!$B$24,Paramètres!$A$1:$I$89,3,0)*0.475*44/12</f>
        <v>0</v>
      </c>
      <c r="ME127" s="21">
        <f>EXP(-LN(2)/2)*ME126+(1-EXP(-LN(2)/2))/(LN(2)/2)*LY127*MB127*VLOOKUP('Données projet'!$B$24,Paramètres!$A$1:$I$89,3,0)*0.475*44/12</f>
        <v>0</v>
      </c>
      <c r="MF127" s="22">
        <f t="shared" si="167"/>
        <v>32.178280466846466</v>
      </c>
      <c r="MG127" s="74">
        <f>('Scénario référence'!$F$8+'Scénario référence'!$F$9+'Scénario référence'!$B$17+'Scénario référence'!$B$9+'Scénario référence'!$B$10)*70+IF((45+25*(1-EXP(-0.0175*$A127)))&lt;70,'Scénario référence'!$B$16*(45+25*(1-EXP(-0.0175*$A127))),70*'Scénario référence'!$B$16)+IF((32+38*(1-EXP(-0.0175*$A127)))&lt;70,'Scénario référence'!$B$18*(32+38*(1-EXP(-0.0175*$A127))),70*'Scénario référence'!$B$18)</f>
        <v>70</v>
      </c>
      <c r="MH127" s="12">
        <f>IF($A127&gt;30,10,('Scénario référence'!$B$16+'Scénario référence'!$B$17+'Scénario référence'!$B$18+'Scénario référence'!$B$9+'Scénario référence'!$B$10)*$A127*10/30+('Scénario référence'!$F$8+'Scénario référence'!$F$9)*10)</f>
        <v>10</v>
      </c>
      <c r="MI127" s="12" t="e">
        <f>VLOOKUP($A127,'Données projet'!$A$460:$I$480,2,0)</f>
        <v>#N/A</v>
      </c>
      <c r="MJ127" s="12" t="e">
        <f>VLOOKUP($A127,'Données projet'!$A$460:$I$480,9,0)</f>
        <v>#N/A</v>
      </c>
      <c r="MK127" s="12">
        <f t="array" ref="MK127">INDEX(MJ:MJ,MIN(IF(ISNUMBER(MJ127:MJ323),ROW(MJ127:MJ323),"")))</f>
        <v>0</v>
      </c>
      <c r="ML127" s="12">
        <f>IF('Données projet'!$A$460&gt;35,ML126+MK127-MT126,IF($A127&lt;'Données projet'!$A$460,$CQ$205^$A127,IF($A127='Données projet'!$A$460,'Données projet'!$B$460,ML126+MK127-MT126)))</f>
        <v>0</v>
      </c>
      <c r="MM127" s="17" t="e">
        <f>ML127*VLOOKUP('Données projet'!$B$25,Paramètres!$A$1:$I$89,3,0)*VLOOKUP('Données projet'!$B$25,Paramètres!$A$1:$I$89,5,0)</f>
        <v>#N/A</v>
      </c>
      <c r="MN127" s="13" t="e">
        <f t="shared" si="214"/>
        <v>#N/A</v>
      </c>
      <c r="MO127" s="14" t="e">
        <f t="shared" si="168"/>
        <v>#N/A</v>
      </c>
      <c r="MP127" s="59" t="e">
        <f t="shared" si="169"/>
        <v>#N/A</v>
      </c>
      <c r="MQ127" s="20" t="e">
        <f ca="1">AVERAGE(OFFSET($MP$3,0,0,'Données projet'!$E$25+1,1))-AVERAGE(OFFSET($H$3,0,0,'Données projet'!$E$25+1,1))</f>
        <v>#N/A</v>
      </c>
      <c r="MR127" s="59" t="e">
        <f t="shared" si="215"/>
        <v>#N/A</v>
      </c>
      <c r="MS127" s="15">
        <f>IF(ISNA(VLOOKUP($A127,'Données projet'!$A$460:$I$480,3,0)),0,VLOOKUP($A127,'Données projet'!$A$460:$I$480,3,0))</f>
        <v>0</v>
      </c>
      <c r="MT127" s="15">
        <f>IF(ISNA(VLOOKUP($A127,'Données projet'!$A$460:$I$480,4,0)),0,VLOOKUP($A127,'Données projet'!$A$460:$I$480,4,0))</f>
        <v>0</v>
      </c>
      <c r="MU127" s="16">
        <f>IF(ISNA(VLOOKUP($A127,'Données projet'!$A$460:$I$480,5,0)),0%,VLOOKUP($A127,'Données projet'!$A$460:$I$480,5,0)*VLOOKUP('Données projet'!$B$25,Paramètres!$A$1:$I$89,7,0))</f>
        <v>0</v>
      </c>
      <c r="MV127" s="16">
        <f>IF(ISNA(VLOOKUP($A127,'Données projet'!$A$460:$I$480,6,0)),0%,VLOOKUP($A127,'Données projet'!$A$460:$I$480,6,0)*VLOOKUP('Données projet'!$B$25,Paramètres!$A$1:$I$89,7,0))</f>
        <v>0</v>
      </c>
      <c r="MW127" s="16">
        <f>IF(ISNA(VLOOKUP($A127,'Données projet'!$A$460:$I$480,7,0)),0%,VLOOKUP($A127,'Données projet'!$A$460:$I$480,7,0))</f>
        <v>0</v>
      </c>
      <c r="MX127" s="21" t="e">
        <f>EXP(-LN(2)/35)*MX126+(1-EXP(-LN(2)/35))/(LN(2)/35)*MT127*MU127*VLOOKUP('Données projet'!$B$25,Paramètres!$A$1:$I$89,3,0)*0.475*44/12</f>
        <v>#N/A</v>
      </c>
      <c r="MY127" s="21" t="e">
        <f>EXP(-LN(2)/25)*MY126+(1-EXP(-LN(2)/25))/(LN(2)/25)*Calculateur!MT127*Calculateur!MV127*VLOOKUP('Données projet'!$B$25,Paramètres!$A$1:$I$89,3,0)*0.475*44/12</f>
        <v>#N/A</v>
      </c>
      <c r="MZ127" s="21" t="e">
        <f>EXP(-LN(2)/2)*MZ126+(1-EXP(-LN(2)/2))/(LN(2)/2)*MT127*MW127*VLOOKUP('Données projet'!$B$25,Paramètres!$A$1:$I$89,3,0)*0.475*44/12</f>
        <v>#N/A</v>
      </c>
      <c r="NA127" s="22" t="e">
        <f t="shared" si="170"/>
        <v>#N/A</v>
      </c>
      <c r="NB127" s="74">
        <f>('Scénario référence'!$F$8+'Scénario référence'!$F$9+'Scénario référence'!$B$17+'Scénario référence'!$B$9+'Scénario référence'!$B$10)*70+IF((45+25*(1-EXP(-0.0175*$A127)))&lt;70,'Scénario référence'!$B$16*(45+25*(1-EXP(-0.0175*$A127))),70*'Scénario référence'!$B$16)+IF((32+38*(1-EXP(-0.0175*$A127)))&lt;70,'Scénario référence'!$B$18*(32+38*(1-EXP(-0.0175*$A127))),70*'Scénario référence'!$B$18)</f>
        <v>70</v>
      </c>
      <c r="NC127" s="12">
        <f>IF($A127&gt;30,10,('Scénario référence'!$B$16+'Scénario référence'!$B$17+'Scénario référence'!$B$18+'Scénario référence'!$B$9+'Scénario référence'!$B$10)*$A127*10/30+('Scénario référence'!$F$8+'Scénario référence'!$F$9)*10)</f>
        <v>10</v>
      </c>
      <c r="ND127" s="12" t="e">
        <f>VLOOKUP($A127,'Données projet'!$A$486:$I$506,2,0)</f>
        <v>#N/A</v>
      </c>
      <c r="NE127" s="12" t="e">
        <f>VLOOKUP($A127,'Données projet'!$A$486:$I$506,9,0)</f>
        <v>#N/A</v>
      </c>
      <c r="NF127" s="12">
        <f t="array" ref="NF127">INDEX(NE:NE,MIN(IF(ISNUMBER(NE127:NE323),ROW(NE127:NE323),"")))</f>
        <v>0</v>
      </c>
      <c r="NG127" s="12">
        <f>IF('Données projet'!$A$486&gt;35,NG126+NF127-NO126,IF($A127&lt;'Données projet'!$A$486,$CQ$205^$A127,IF($A127='Données projet'!$A$486,'Données projet'!$B$486,NG126+NF127-NO126)))</f>
        <v>0</v>
      </c>
      <c r="NH127" s="17" t="e">
        <f>NG127*VLOOKUP('Données projet'!$B$26,Paramètres!$A$1:$I$89,3,0)*VLOOKUP('Données projet'!$B$26,Paramètres!$A$1:$I$89,5,0)</f>
        <v>#N/A</v>
      </c>
      <c r="NI127" s="13" t="e">
        <f t="shared" si="216"/>
        <v>#N/A</v>
      </c>
      <c r="NJ127" s="14" t="e">
        <f t="shared" si="171"/>
        <v>#N/A</v>
      </c>
      <c r="NK127" s="59" t="e">
        <f t="shared" si="172"/>
        <v>#N/A</v>
      </c>
      <c r="NL127" s="20" t="e">
        <f ca="1">AVERAGE(OFFSET($NK$3,0,0,'Données projet'!$E$26+1,1))-AVERAGE(OFFSET($H$3,0,0,'Données projet'!$E$26+1,1))</f>
        <v>#N/A</v>
      </c>
      <c r="NM127" s="59" t="e">
        <f t="shared" si="217"/>
        <v>#N/A</v>
      </c>
      <c r="NN127" s="15">
        <f>IF(ISNA(VLOOKUP($A127,'Données projet'!$A$486:$I$506,3,0)),0,VLOOKUP($A127,'Données projet'!$A$486:$I$506,3,0))</f>
        <v>0</v>
      </c>
      <c r="NO127" s="15">
        <f>IF(ISNA(VLOOKUP($A127,'Données projet'!$A$486:$I$506,4,0)),0,VLOOKUP($A127,'Données projet'!$A$486:$I$506,4,0))</f>
        <v>0</v>
      </c>
      <c r="NP127" s="16">
        <f>IF(ISNA(VLOOKUP($A127,'Données projet'!$A$486:$I$506,5,0)),0%,VLOOKUP($A127,'Données projet'!$A$486:$I$506,5,0)*VLOOKUP('Données projet'!$B$26,Paramètres!$A$1:$I$89,7,0))</f>
        <v>0</v>
      </c>
      <c r="NQ127" s="16">
        <f>IF(ISNA(VLOOKUP($A127,'Données projet'!$A$486:$I$506,6,0)),0%,VLOOKUP($A127,'Données projet'!$A$486:$I$506,6,0)*VLOOKUP('Données projet'!$B$26,Paramètres!$A$1:$I$89,7,0))</f>
        <v>0</v>
      </c>
      <c r="NR127" s="16">
        <f>IF(ISNA(VLOOKUP($A127,'Données projet'!$A$486:$I$506,7,0)),0%,VLOOKUP($A127,'Données projet'!$A$486:$I$506,7,0))</f>
        <v>0</v>
      </c>
      <c r="NS127" s="21" t="e">
        <f>EXP(-LN(2)/35)*NS126+(1-EXP(-LN(2)/35))/(LN(2)/35)*NO127*NP127*VLOOKUP('Données projet'!$B$26,Paramètres!$A$1:$I$89,3,0)*0.475*44/12</f>
        <v>#N/A</v>
      </c>
      <c r="NT127" s="21" t="e">
        <f>EXP(-LN(2)/25)*NT126+(1-EXP(-LN(2)/25))/(LN(2)/25)*Calculateur!NO127*Calculateur!NQ127*VLOOKUP('Données projet'!$B$26,Paramètres!$A$1:$I$89,3,0)*0.475*44/12</f>
        <v>#N/A</v>
      </c>
      <c r="NU127" s="21" t="e">
        <f>EXP(-LN(2)/2)*NU126+(1-EXP(-LN(2)/2))/(LN(2)/2)*NO127*NR127*VLOOKUP('Données projet'!$B$26,Paramètres!$A$1:$I$89,3,0)*0.475*44/12</f>
        <v>#N/A</v>
      </c>
      <c r="NV127" s="22" t="e">
        <f t="shared" si="173"/>
        <v>#N/A</v>
      </c>
      <c r="NW127" s="74">
        <f>('Scénario référence'!$F$8+'Scénario référence'!$F$9+'Scénario référence'!$B$17+'Scénario référence'!$B$9+'Scénario référence'!$B$10)*70+IF((45+25*(1-EXP(-0.0175*$A127)))&lt;70,'Scénario référence'!$B$16*(45+25*(1-EXP(-0.0175*$A127))),70*'Scénario référence'!$B$16)+IF((32+38*(1-EXP(-0.0175*$A127)))&lt;70,'Scénario référence'!$B$18*(32+38*(1-EXP(-0.0175*$A127))),70*'Scénario référence'!$B$18)</f>
        <v>70</v>
      </c>
      <c r="NX127" s="12">
        <f>IF($A127&gt;30,10,('Scénario référence'!$B$16+'Scénario référence'!$B$17+'Scénario référence'!$B$18+'Scénario référence'!$B$9+'Scénario référence'!$B$10)*$A127*10/30+('Scénario référence'!$F$8+'Scénario référence'!$F$9)*10)</f>
        <v>10</v>
      </c>
      <c r="NY127" s="12" t="e">
        <f>VLOOKUP($A127,'Données projet'!$A$512:$I$532,2,0)</f>
        <v>#N/A</v>
      </c>
      <c r="NZ127" s="12" t="e">
        <f>VLOOKUP($A127,'Données projet'!$A$512:$I$532,9,0)</f>
        <v>#N/A</v>
      </c>
      <c r="OA127" s="12">
        <f t="array" ref="OA127">INDEX(NZ:NZ,MIN(IF(ISNUMBER(NZ127:NZ323),ROW(NZ127:NZ323),"")))</f>
        <v>0</v>
      </c>
      <c r="OB127" s="12">
        <f>IF('Données projet'!$A$512&gt;35,OB126+OA127-OJ126,IF($A127&lt;'Données projet'!$A$512,$CQ$205^$A127,IF($A127='Données projet'!$A$512,'Données projet'!$B$512,OB126+OA127-OJ126)))</f>
        <v>0</v>
      </c>
      <c r="OC127" s="17" t="e">
        <f>OB127*VLOOKUP('Données projet'!$B$27,Paramètres!$A$1:$I$89,3,0)*VLOOKUP('Données projet'!$B$27,Paramètres!$A$1:$I$89,5,0)</f>
        <v>#N/A</v>
      </c>
      <c r="OD127" s="13" t="e">
        <f t="shared" si="218"/>
        <v>#N/A</v>
      </c>
      <c r="OE127" s="14" t="e">
        <f t="shared" si="174"/>
        <v>#N/A</v>
      </c>
      <c r="OF127" s="59" t="e">
        <f t="shared" si="175"/>
        <v>#N/A</v>
      </c>
      <c r="OG127" s="20" t="e">
        <f ca="1">AVERAGE(OFFSET($OF$3,0,0,'Données projet'!$E$27+1,1))-AVERAGE(OFFSET($H$3,0,0,'Données projet'!$E$27+1,1))</f>
        <v>#N/A</v>
      </c>
      <c r="OH127" s="59" t="e">
        <f t="shared" si="219"/>
        <v>#N/A</v>
      </c>
      <c r="OI127" s="15">
        <f>IF(ISNA(VLOOKUP($A127,'Données projet'!$A$512:$I$532,3,0)),0,VLOOKUP($A127,'Données projet'!$A$512:$I$532,3,0))</f>
        <v>0</v>
      </c>
      <c r="OJ127" s="15">
        <f>IF(ISNA(VLOOKUP($A127,'Données projet'!$A$512:$I$532,4,0)),0,VLOOKUP($A127,'Données projet'!$A$512:$I$532,4,0))</f>
        <v>0</v>
      </c>
      <c r="OK127" s="16">
        <f>IF(ISNA(VLOOKUP($A127,'Données projet'!$A$512:$I$532,5,0)),0%,VLOOKUP($A127,'Données projet'!$A$512:$I$532,5,0)*VLOOKUP('Données projet'!$B$27,Paramètres!$A$1:$I$89,7,0))</f>
        <v>0</v>
      </c>
      <c r="OL127" s="16">
        <f>IF(ISNA(VLOOKUP($A127,'Données projet'!$A$512:$I$532,6,0)),0%,VLOOKUP($A127,'Données projet'!$A$512:$I$532,6,0)*VLOOKUP('Données projet'!$B$27,Paramètres!$A$1:$I$89,7,0))</f>
        <v>0</v>
      </c>
      <c r="OM127" s="16">
        <f>IF(ISNA(VLOOKUP($A127,'Données projet'!$A$512:$I$532,7,0)),0%,VLOOKUP($A127,'Données projet'!$A$512:$I$532,7,0))</f>
        <v>0</v>
      </c>
      <c r="ON127" s="21" t="e">
        <f>EXP(-LN(2)/35)*ON126+(1-EXP(-LN(2)/35))/(LN(2)/35)*OJ127*OK127*VLOOKUP('Données projet'!$B$27,Paramètres!$A$1:$I$89,3,0)*0.475*44/12</f>
        <v>#N/A</v>
      </c>
      <c r="OO127" s="21" t="e">
        <f>EXP(-LN(2)/25)*OO126+(1-EXP(-LN(2)/25))/(LN(2)/25)*Calculateur!OJ127*Calculateur!OL127*VLOOKUP('Données projet'!$B$27,Paramètres!$A$1:$I$89,3,0)*0.475*44/12</f>
        <v>#N/A</v>
      </c>
      <c r="OP127" s="21" t="e">
        <f>EXP(-LN(2)/2)*OP126+(1-EXP(-LN(2)/2))/(LN(2)/2)*OJ127*OM127*VLOOKUP('Données projet'!$B$27,Paramètres!$A$1:$I$89,3,0)*0.475*44/12</f>
        <v>#N/A</v>
      </c>
      <c r="OQ127" s="22" t="e">
        <f t="shared" si="176"/>
        <v>#N/A</v>
      </c>
      <c r="OR127" s="74">
        <f>('Scénario référence'!$F$8+'Scénario référence'!$F$9+'Scénario référence'!$B$17+'Scénario référence'!$B$9+'Scénario référence'!$B$10)*70+IF((45+25*(1-EXP(-0.0175*$A127)))&lt;70,'Scénario référence'!$B$16*(45+25*(1-EXP(-0.0175*$A127))),70*'Scénario référence'!$B$16)+IF((32+38*(1-EXP(-0.0175*$A127)))&lt;70,'Scénario référence'!$B$18*(32+38*(1-EXP(-0.0175*$A127))),70*'Scénario référence'!$B$18)</f>
        <v>70</v>
      </c>
      <c r="OS127" s="12">
        <f>IF($A127&gt;30,10,('Scénario référence'!$B$16+'Scénario référence'!$B$17+'Scénario référence'!$B$18+'Scénario référence'!$B$9+'Scénario référence'!$B$10)*$A127*10/30+('Scénario référence'!$F$8+'Scénario référence'!$F$9)*10)</f>
        <v>10</v>
      </c>
      <c r="OT127" s="12" t="e">
        <f>VLOOKUP($A127,'Données projet'!$A$538:$I$558,2,0)</f>
        <v>#N/A</v>
      </c>
      <c r="OU127" s="12" t="e">
        <f>VLOOKUP($A127,'Données projet'!$A$538:$I$558,9,0)</f>
        <v>#N/A</v>
      </c>
      <c r="OV127" s="12">
        <f t="array" ref="OV127">INDEX(OU:OU,MIN(IF(ISNUMBER(OU127:OU323),ROW(OU127:OU323),"")))</f>
        <v>0</v>
      </c>
      <c r="OW127" s="12">
        <f>IF('Données projet'!$A$538&gt;35,OW126+OV127-PE126,IF($A127&lt;'Données projet'!$A$538,$CQ$205^$A127,IF($A127='Données projet'!$A$538,'Données projet'!$B$538,OW126+OV127-PE126)))</f>
        <v>0</v>
      </c>
      <c r="OX127" s="17" t="e">
        <f>OW127*VLOOKUP('Données projet'!$B$28,Paramètres!$A$1:$I$89,3,0)*VLOOKUP('Données projet'!$B$28,Paramètres!$A$1:$I$89,5,0)</f>
        <v>#N/A</v>
      </c>
      <c r="OY127" s="13" t="e">
        <f t="shared" si="220"/>
        <v>#N/A</v>
      </c>
      <c r="OZ127" s="14" t="e">
        <f t="shared" si="177"/>
        <v>#N/A</v>
      </c>
      <c r="PA127" s="59" t="e">
        <f t="shared" si="178"/>
        <v>#N/A</v>
      </c>
      <c r="PB127" s="20" t="e">
        <f ca="1">AVERAGE(OFFSET($PA$3,0,0,'Données projet'!$E$28+1,1))-AVERAGE(OFFSET($H$3,0,0,'Données projet'!$E$28+1,1))</f>
        <v>#N/A</v>
      </c>
      <c r="PC127" s="59" t="e">
        <f t="shared" si="221"/>
        <v>#N/A</v>
      </c>
      <c r="PD127" s="15">
        <f>IF(ISNA(VLOOKUP($A127,'Données projet'!$A$538:$I$558,3,0)),0,VLOOKUP($A127,'Données projet'!$A$538:$I$558,3,0))</f>
        <v>0</v>
      </c>
      <c r="PE127" s="15">
        <f>IF(ISNA(VLOOKUP($A127,'Données projet'!$A$538:$I$558,4,0)),0,VLOOKUP($A127,'Données projet'!$A$538:$I$558,4,0))</f>
        <v>0</v>
      </c>
      <c r="PF127" s="16">
        <f>IF(ISNA(VLOOKUP($A127,'Données projet'!$A$538:$I$558,5,0)),0%,VLOOKUP($A127,'Données projet'!$A$538:$I$558,5,0)*VLOOKUP('Données projet'!$B$28,Paramètres!$A$1:$I$89,7,0))</f>
        <v>0</v>
      </c>
      <c r="PG127" s="16">
        <f>IF(ISNA(VLOOKUP($A127,'Données projet'!$A$538:$I$558,6,0)),0%,VLOOKUP($A127,'Données projet'!$A$538:$I$558,6,0)*VLOOKUP('Données projet'!$B$28,Paramètres!$A$1:$I$89,7,0))</f>
        <v>0</v>
      </c>
      <c r="PH127" s="16">
        <f>IF(ISNA(VLOOKUP($A127,'Données projet'!$A$538:$I$558,7,0)),0%,VLOOKUP($A127,'Données projet'!$A$538:$I$558,7,0))</f>
        <v>0</v>
      </c>
      <c r="PI127" s="21" t="e">
        <f>EXP(-LN(2)/35)*PI126+(1-EXP(-LN(2)/35))/(LN(2)/35)*PE127*PF127*VLOOKUP('Données projet'!$B$28,Paramètres!$A$1:$I$89,3,0)*0.475*44/12</f>
        <v>#N/A</v>
      </c>
      <c r="PJ127" s="21" t="e">
        <f>EXP(-LN(2)/25)*PJ126+(1-EXP(-LN(2)/25))/(LN(2)/25)*Calculateur!PE127*Calculateur!PG127*VLOOKUP('Données projet'!$B$28,Paramètres!$A$1:$I$89,3,0)*0.475*44/12</f>
        <v>#N/A</v>
      </c>
      <c r="PK127" s="21" t="e">
        <f>EXP(-LN(2)/2)*PK126+(1-EXP(-LN(2)/2))/(LN(2)/2)*PE127*PH127*VLOOKUP('Données projet'!$B$28,Paramètres!$A$1:$I$89,3,0)*0.475*44/12</f>
        <v>#N/A</v>
      </c>
      <c r="PL127" s="22" t="e">
        <f t="shared" si="179"/>
        <v>#N/A</v>
      </c>
    </row>
    <row r="128" spans="1:428" x14ac:dyDescent="0.35">
      <c r="A128" s="10">
        <f t="shared" si="180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181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121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projet'!$A$45:$I$65,2,0)</f>
        <v>#N/A</v>
      </c>
      <c r="L128" s="12" t="e">
        <f>VLOOKUP(A128,'Données projet'!$A$45:$I$65,9,0)</f>
        <v>#N/A</v>
      </c>
      <c r="M128" s="12">
        <f t="array" ref="M128">INDEX(L:L,MIN(IF(ISNUMBER(L128:L324),ROW(L128:L324),"")))</f>
        <v>0</v>
      </c>
      <c r="N128" s="13">
        <f>IF('Données projet'!$A$46&gt;35,N127+M128-V127,IF(A128&lt;'Données projet'!$A$46,$K$205^A128,IF(A128='Données projet'!$A$46,'Données projet'!$B$46,N127+M128-V127)))</f>
        <v>-1.1368683772161603E-13</v>
      </c>
      <c r="O128" s="13">
        <f>N128*VLOOKUP('Données projet'!$B$9,Paramètres!$A$1:$I$89,3,0)*VLOOKUP('Données projet'!$B$9,Paramètres!$A$1:$I$89,5,0)</f>
        <v>-6.3550942286383367E-14</v>
      </c>
      <c r="P128" s="13" t="e">
        <f t="shared" si="182"/>
        <v>#NUM!</v>
      </c>
      <c r="Q128" s="20" t="e">
        <f t="shared" si="222"/>
        <v>#NUM!</v>
      </c>
      <c r="R128" s="59" t="e">
        <f t="shared" si="120"/>
        <v>#NUM!</v>
      </c>
      <c r="S128" s="59">
        <f ca="1">AVERAGE(OFFSET($R$3,0,0,'Données projet'!$E$9+1,1))-AVERAGE(OFFSET($H$3,0,0,'Données projet'!$E$9+1,1))</f>
        <v>274.57619581652199</v>
      </c>
      <c r="T128" s="59">
        <f t="shared" si="183"/>
        <v>366.15117322598775</v>
      </c>
      <c r="U128" s="15">
        <f>IF(ISNA(VLOOKUP(A128,'Données projet'!$A$45:$I$65,3,0)),0,VLOOKUP(A128,'Données projet'!$A$45:$I$65,3,0))</f>
        <v>0</v>
      </c>
      <c r="V128" s="15">
        <f>IF(ISNA(VLOOKUP(A128,'Données projet'!$A$45:$I$65,4,0)),0,VLOOKUP(A128,'Données projet'!$A$45:$I$65,4,0))</f>
        <v>0</v>
      </c>
      <c r="W128" s="16">
        <f>IF(ISNA(VLOOKUP(A128,'Données projet'!$A$45:$I$65,5,0)),0%,VLOOKUP(A128,'Données projet'!$A$45:$I$65,5,0)*VLOOKUP('Données projet'!$B$9,Paramètres!$A$1:$I$89,7,0))</f>
        <v>0</v>
      </c>
      <c r="X128" s="16">
        <f>IF(ISNA(VLOOKUP(A128,'Données projet'!$A$45:$I$65,6,0)),0%,VLOOKUP(A128,'Données projet'!$A$45:$I$65,6,0)*VLOOKUP('Données projet'!$B$9,Paramètres!$A$1:$I$89,7,0))</f>
        <v>0</v>
      </c>
      <c r="Y128" s="16">
        <f>IF(ISNA(VLOOKUP(A128,'Données projet'!$A$45:$I$65,7,0)),0%,VLOOKUP(A128,'Données projet'!$A$45:$I$65,7,0))</f>
        <v>0</v>
      </c>
      <c r="Z128" s="21">
        <f>EXP(-LN(2)/35)*Z127+(1-EXP(-LN(2)/35))/(LN(2)/35)*V128*W128*VLOOKUP('Données projet'!$B$9,Paramètres!$A$1:$I$89,3,0)*0.475*44/12</f>
        <v>56.664270490641215</v>
      </c>
      <c r="AA128" s="21">
        <f>EXP(-LN(2)/25)*AA127+(1-EXP(-LN(2)/25))/(LN(2)/25)*Calculateur!V128*Calculateur!X128*VLOOKUP('Données projet'!$B$9,Paramètres!$A$1:$I$89,3,0)*0.475*44/12</f>
        <v>8.2717309621457726</v>
      </c>
      <c r="AB128" s="21">
        <f>EXP(-LN(2)/2)*AB127+(1-EXP(-LN(2)/2))/(LN(2)/2)*V128*Y128*VLOOKUP('Données projet'!$B$9,Paramètres!$A$1:$I$89,3,0)*0.475*44/12</f>
        <v>9.9422479991662762E-10</v>
      </c>
      <c r="AC128" s="22">
        <f t="shared" si="122"/>
        <v>64.936001453781202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projet'!$A$71:$I$91,2,0)</f>
        <v>#N/A</v>
      </c>
      <c r="AG128" s="12" t="e">
        <f>VLOOKUP(A128,'Données projet'!$A$71:$I$91,9,0)</f>
        <v>#N/A</v>
      </c>
      <c r="AH128" s="12">
        <f t="array" ref="AH128">INDEX(AG:AG,MIN(IF(ISNUMBER(AG128:AG324),ROW(AG128:AG324),"")))</f>
        <v>2.3349358974358978</v>
      </c>
      <c r="AI128" s="13">
        <f>IF('Données projet'!$A$72&gt;35,AI127+AH128-AQ127,IF(A128&lt;'Données projet'!$A$72,$AF$205^A128,IF(A128='Données projet'!$A$72,'Données projet'!$B$72,AI127+AH128-AQ127)))</f>
        <v>150.13141025641079</v>
      </c>
      <c r="AJ128" s="13">
        <f>AI128*VLOOKUP('Données projet'!$B$10,Paramètres!$A$1:$I$89,3,0)*VLOOKUP('Données projet'!$B$10,Paramètres!$A$1:$I$89,5,0)</f>
        <v>135.83890000000048</v>
      </c>
      <c r="AK128" s="13">
        <f t="shared" si="184"/>
        <v>35.342088427890417</v>
      </c>
      <c r="AL128" s="20">
        <f t="shared" si="123"/>
        <v>298.14022151190994</v>
      </c>
      <c r="AM128" s="59">
        <f t="shared" si="124"/>
        <v>591.47355484524326</v>
      </c>
      <c r="AN128" s="59">
        <f ca="1">AVERAGE(OFFSET($AM$3,0,0,'Données projet'!$E$10+1,1))-AVERAGE(OFFSET($H$3,0,0,'Données projet'!$E$10+1,1))</f>
        <v>270.87836509222456</v>
      </c>
      <c r="AO128" s="59">
        <f t="shared" si="185"/>
        <v>205.24998237949734</v>
      </c>
      <c r="AP128" s="15">
        <f>IF(ISNA(VLOOKUP(A128,'Données projet'!$A$71:$I$91,3,0)),0,VLOOKUP(A128,'Données projet'!$A$71:$I$91,3,0))</f>
        <v>0</v>
      </c>
      <c r="AQ128" s="15">
        <f>IF(ISNA(VLOOKUP(A128,'Données projet'!$A$71:$I$91,4,0)),0,VLOOKUP(A128,'Données projet'!$A$71:$I$91,4,0))</f>
        <v>0</v>
      </c>
      <c r="AR128" s="16">
        <f>IF(ISNA(VLOOKUP(A128,'Données projet'!$A$71:$I$91,5,0)),0%,VLOOKUP(A128,'Données projet'!$A$71:$I$91,5,0)*VLOOKUP('Données projet'!$B$10,Paramètres!$A$1:$I$89,7,0))</f>
        <v>0</v>
      </c>
      <c r="AS128" s="16">
        <f>IF(ISNA(VLOOKUP(A128,'Données projet'!$A$71:$I$91,6,0)),0%,VLOOKUP(A128,'Données projet'!$A$71:$I$91,6,0)*VLOOKUP('Données projet'!$B$10,Paramètres!$A$1:$I$89,7,0))</f>
        <v>0</v>
      </c>
      <c r="AT128" s="16">
        <f>IF(ISNA(VLOOKUP(A128,'Données projet'!$A$71:$I$91,7,0)),0%,VLOOKUP(A128,'Données projet'!$A$71:$I$91,7,0))</f>
        <v>0</v>
      </c>
      <c r="AU128" s="21">
        <f>EXP(-LN(2)/35)*AU127+(1-EXP(-LN(2)/35))/(LN(2)/35)*AQ128*AR128*VLOOKUP('Données projet'!$B$10,Paramètres!$A$1:$I$89,3,0)*0.475*44/12</f>
        <v>124.10776028373201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125"/>
        <v>124.10776028373201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projet'!$A$97:$I$117,2,0)</f>
        <v>#N/A</v>
      </c>
      <c r="BB128" s="12" t="e">
        <f>VLOOKUP(A128,'Données projet'!$A$97:$I$117,9,0)</f>
        <v>#N/A</v>
      </c>
      <c r="BC128" s="12">
        <f t="array" ref="BC128">INDEX(BB:BB,MIN(IF(ISNUMBER(BB128:BB324),ROW(BB128:BB324),"")))</f>
        <v>0</v>
      </c>
      <c r="BD128" s="12">
        <f>IF('Données projet'!$A$98&gt;35,BD127+BC128-BL127,IF(A128&lt;'Données projet'!$A$98,$BA$205^A128,IF(A128='Données projet'!$A$98,'Données projet'!$B$98,BD127+BC128-BL127)))</f>
        <v>-1.1368683772161603E-13</v>
      </c>
      <c r="BE128" s="13">
        <f>BD128*VLOOKUP('Données projet'!$B$11,Paramètres!$A$1:$I$89,3,0)*VLOOKUP('Données projet'!$B$11,Paramètres!$A$1:$I$89,5,0)</f>
        <v>-5.0249582272954292E-14</v>
      </c>
      <c r="BF128" s="13" t="e">
        <f t="shared" si="186"/>
        <v>#NUM!</v>
      </c>
      <c r="BG128" s="20" t="e">
        <f t="shared" si="126"/>
        <v>#NUM!</v>
      </c>
      <c r="BH128" s="59" t="e">
        <f t="shared" si="127"/>
        <v>#NUM!</v>
      </c>
      <c r="BI128" s="59">
        <f ca="1">AVERAGE(OFFSET($BH$3,0,0,'Données projet'!$E$11+1,1))-AVERAGE(OFFSET($H$3,0,0,'Données projet'!$E$11+1,1))</f>
        <v>211.31057120485542</v>
      </c>
      <c r="BJ128" s="59">
        <f t="shared" si="187"/>
        <v>283.33292006714777</v>
      </c>
      <c r="BK128" s="15">
        <f>IF(ISNA(VLOOKUP(A128,'Données projet'!$A$97:$I$117,3,0)),0,VLOOKUP(A128,'Données projet'!$A$97:$I$117,3,0))</f>
        <v>0</v>
      </c>
      <c r="BL128" s="15">
        <f>IF(ISNA(VLOOKUP(A128,'Données projet'!$A$97:$I$117,4,0)),0,VLOOKUP(A128,'Données projet'!$A$97:$I$117,4,0))</f>
        <v>0</v>
      </c>
      <c r="BM128" s="16">
        <f>IF(ISNA(VLOOKUP(A128,'Données projet'!$A$97:$I$117,5,0)),0%,VLOOKUP(A128,'Données projet'!$A$97:$I$117,5,0)*VLOOKUP('Données projet'!$B$11,Paramètres!$A$1:$I$89,7,0))</f>
        <v>0</v>
      </c>
      <c r="BN128" s="16">
        <f>IF(ISNA(VLOOKUP(A128,'Données projet'!$A$97:$I$117,6,0)),0%,VLOOKUP(A128,'Données projet'!$A$97:$I$117,6,0)*VLOOKUP('Données projet'!$B$11,Paramètres!$A$1:$I$89,7,0))</f>
        <v>0</v>
      </c>
      <c r="BO128" s="16">
        <f>IF(ISNA(VLOOKUP(A128,'Données projet'!$A$97:$I$117,7,0)),0%,VLOOKUP(A128,'Données projet'!$A$97:$I$117,7,0))</f>
        <v>0</v>
      </c>
      <c r="BP128" s="21">
        <f>EXP(-LN(2)/35)*BP127+(1-EXP(-LN(2)/35))/(LN(2)/35)*BL128*BM128*VLOOKUP('Données projet'!$B$11,Paramètres!$A$1:$I$89,3,0)*0.475*44/12</f>
        <v>44.804306899576787</v>
      </c>
      <c r="BQ128" s="21">
        <f>EXP(-LN(2)/25)*BQ127+(1-EXP(-LN(2)/25))/(LN(2)/25)*Calculateur!BL128*Calculateur!BN128*VLOOKUP('Données projet'!$B$11,Paramètres!$A$1:$I$89,3,0)*0.475*44/12</f>
        <v>6.5404384351850267</v>
      </c>
      <c r="BR128" s="21">
        <f>EXP(-LN(2)/2)*BR127+(1-EXP(-LN(2)/2))/(LN(2)/2)*BL128*BO128*VLOOKUP('Données projet'!$B$11,Paramètres!$A$1:$I$89,3,0)*0.475*44/12</f>
        <v>7.8613123714337983E-10</v>
      </c>
      <c r="BS128" s="22">
        <f t="shared" si="128"/>
        <v>51.344745335547941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projet'!$A$123:$I$143,2,0)</f>
        <v>#N/A</v>
      </c>
      <c r="BW128" s="12" t="e">
        <f>VLOOKUP(A128,'Données projet'!$A$123:$I$143,9,0)</f>
        <v>#N/A</v>
      </c>
      <c r="BX128" s="12">
        <f t="array" ref="BX128">INDEX(BW:BW,MIN(IF(ISNUMBER(BW128:BW324),ROW(BW128:BW324),"")))</f>
        <v>0</v>
      </c>
      <c r="BY128" s="12">
        <f>IF('Données projet'!$A$124&gt;35,BY127+BX128-CG127,IF(A128&lt;'Données projet'!$A$124,$BV$205^A128,IF(A128='Données projet'!$A$124,'Données projet'!$B$124,BY127+BX128-CG127)))</f>
        <v>0</v>
      </c>
      <c r="BZ128" s="13">
        <f>BY128*VLOOKUP('Données projet'!$B$12,Paramètres!$A$1:$I$89,3,0)*VLOOKUP('Données projet'!$B$12,Paramètres!$A$1:$I$89,5,0)</f>
        <v>0</v>
      </c>
      <c r="CA128" s="13" t="e">
        <f t="shared" si="188"/>
        <v>#NUM!</v>
      </c>
      <c r="CB128" s="20" t="e">
        <f t="shared" si="129"/>
        <v>#NUM!</v>
      </c>
      <c r="CC128" s="59" t="e">
        <f t="shared" si="130"/>
        <v>#NUM!</v>
      </c>
      <c r="CD128" s="59">
        <f ca="1">AVERAGE(OFFSET($CC$3,0,0,'Données projet'!$E$12+1,1))-AVERAGE(OFFSET($H$3,0,0,'Données projet'!$E$12+1,1))</f>
        <v>322.93502595881938</v>
      </c>
      <c r="CE128" s="59">
        <f t="shared" si="189"/>
        <v>302.67072119588164</v>
      </c>
      <c r="CF128" s="15">
        <f>IF(ISNA(VLOOKUP(A128,'Données projet'!$A$123:$I$143,3,0)),0,VLOOKUP(A128,'Données projet'!$A$123:$I$143,3,0))</f>
        <v>0</v>
      </c>
      <c r="CG128" s="15">
        <f>IF(ISNA(VLOOKUP(A128,'Données projet'!$A$123:$I$143,4,0)),0,VLOOKUP(A128,'Données projet'!$A$123:$I$143,4,0))</f>
        <v>0</v>
      </c>
      <c r="CH128" s="16">
        <f>IF(ISNA(VLOOKUP(A128,'Données projet'!$A$123:$I$143,5,0)),0%,VLOOKUP(A128,'Données projet'!$A$123:$I$143,5,0)*VLOOKUP('Données projet'!$B$12,Paramètres!$A$1:$I$89,7,0))</f>
        <v>0</v>
      </c>
      <c r="CI128" s="16">
        <f>IF(ISNA(VLOOKUP(A128,'Données projet'!$A$123:$I$143,6,0)),0%,VLOOKUP(A128,'Données projet'!$A$123:$I$143,6,0)*VLOOKUP('Données projet'!$B$12,Paramètres!$A$1:$I$89,7,0))</f>
        <v>0</v>
      </c>
      <c r="CJ128" s="16">
        <f>IF(ISNA(VLOOKUP(A128,'Données projet'!$A$123:$I$143,7,0)),0%,VLOOKUP(A128,'Données projet'!$A$123:$I$143,7,0))</f>
        <v>0</v>
      </c>
      <c r="CK128" s="21">
        <f>EXP(-LN(2)/35)*CK127+(1-EXP(-LN(2)/35))/(LN(2)/35)*CG128*CH128*VLOOKUP('Données projet'!$B$12,Paramètres!$A$1:$I$89,3,0)*0.475*44/12</f>
        <v>71.384087144424242</v>
      </c>
      <c r="CL128" s="21">
        <f>EXP(-LN(2)/25)*CL127+(1-EXP(-LN(2)/25))/(LN(2)/25)*Calculateur!CG128*Calculateur!CI128*VLOOKUP('Données projet'!$B$12,Paramètres!$A$1:$I$89,3,0)*0.475*44/12</f>
        <v>20.933360212719062</v>
      </c>
      <c r="CM128" s="21">
        <f>EXP(-LN(2)/2)*CM127+(1-EXP(-LN(2)/2))/(LN(2)/2)*CG128*CJ128*VLOOKUP('Données projet'!$B$12,Paramètres!$A$1:$I$89,3,0)*0.475*44/12</f>
        <v>0</v>
      </c>
      <c r="CN128" s="22">
        <f t="shared" si="131"/>
        <v>92.317447357143308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>
        <f>VLOOKUP(A128,'Données projet'!$A$149:$I$169,2,0)</f>
        <v>278.29487179487177</v>
      </c>
      <c r="CR128" s="12">
        <f>VLOOKUP(A128,'Données projet'!$A$149:$I$169,9,0)</f>
        <v>5.3066239316239274</v>
      </c>
      <c r="CS128" s="12">
        <f t="array" ref="CS128">INDEX(CR:CR,MIN(IF(ISNUMBER(CR128:CR324),ROW(CR128:CR324),"")))</f>
        <v>5.3066239316239274</v>
      </c>
      <c r="CT128" s="12">
        <f>IF('Données projet'!$A$150&gt;35,CT127+CS128-DB127,IF(A128&lt;'Données projet'!$A$150,$CQ$205^A128,IF(A128='Données projet'!$A$150,'Données projet'!$B$150,CT127+CS128-DB127)))</f>
        <v>278.29487179487131</v>
      </c>
      <c r="CU128" s="17">
        <f>CT128*VLOOKUP('Données projet'!$B$13,Paramètres!$A$1:$I$89,3,0)*VLOOKUP('Données projet'!$B$13,Paramètres!$A$1:$I$89,5,0)</f>
        <v>282.19099999999952</v>
      </c>
      <c r="CV128" s="13">
        <f t="shared" si="190"/>
        <v>67.429819909567854</v>
      </c>
      <c r="CW128" s="20">
        <f t="shared" si="132"/>
        <v>608.92292800916312</v>
      </c>
      <c r="CX128" s="59">
        <f t="shared" si="133"/>
        <v>902.25626134249637</v>
      </c>
      <c r="CY128" s="59">
        <f ca="1">AVERAGE(OFFSET($CX$3,0,0,'Données projet'!$E$13+1,1))-AVERAGE(OFFSET($H$3,0,0,'Données projet'!$E$13+1,1))</f>
        <v>250.31277422753283</v>
      </c>
      <c r="CZ128" s="59">
        <f t="shared" si="191"/>
        <v>159.20429420478047</v>
      </c>
      <c r="DA128" s="15">
        <f>IF(ISNA(VLOOKUP(A128,'Données projet'!$A$149:$I$169,3,0)),0,VLOOKUP(A128,'Données projet'!$A$149:$I$169,3,0))</f>
        <v>10</v>
      </c>
      <c r="DB128" s="15">
        <f>IF(ISNA(VLOOKUP(A128,'Données projet'!$A$149:$I$169,4,0)),0,VLOOKUP(A128,'Données projet'!$A$149:$I$169,4,0))</f>
        <v>48.160256410256409</v>
      </c>
      <c r="DC128" s="16">
        <f>IF(ISNA(VLOOKUP(A128,'Données projet'!$A$149:$I$169,5,0)),0%,VLOOKUP(A128,'Données projet'!$A$149:$I$169,5,0)*VLOOKUP('Données projet'!$B$13,Paramètres!$A$1:$I$89,7,0))</f>
        <v>0.30099999999999999</v>
      </c>
      <c r="DD128" s="16">
        <f>IF(ISNA(VLOOKUP(A128,'Données projet'!$A$149:$I$169,6,0)),0%,VLOOKUP(A128,'Données projet'!$A$149:$I$169,6,0)*VLOOKUP('Données projet'!$B$13,Paramètres!$A$1:$I$89,7,0))</f>
        <v>0</v>
      </c>
      <c r="DE128" s="16">
        <f>IF(ISNA(VLOOKUP(A128,'Données projet'!$A$149:$I$169,7,0)),0%,VLOOKUP(A128,'Données projet'!$A$149:$I$169,7,0))</f>
        <v>0</v>
      </c>
      <c r="DF128" s="21">
        <f>EXP(-LN(2)/35)*DF127+(1-EXP(-LN(2)/35))/(LN(2)/35)*DB128*DC128*VLOOKUP('Données projet'!$B$13,Paramètres!$A$1:$I$89,3,0)*0.475*44/12</f>
        <v>47.796797081744565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134"/>
        <v>47.796797081744565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projet'!$A$175:$I$195,2,0)</f>
        <v>#N/A</v>
      </c>
      <c r="DM128" s="12" t="e">
        <f>VLOOKUP(A128,'Données projet'!$A$175:$I$195,9,0)</f>
        <v>#N/A</v>
      </c>
      <c r="DN128" s="12">
        <f t="array" ref="DN128">INDEX(DM:DM,MIN(IF(ISNUMBER(DM128:DM324),ROW(DM128:DM324),"")))</f>
        <v>0</v>
      </c>
      <c r="DO128" s="12">
        <f>IF('Données projet'!$A$176&gt;35,DO127+DN128-DW127,IF(A128&lt;'Données projet'!$A$176,$DL$205^A128,IF(A128='Données projet'!$A$176,'Données projet'!$B$176,DO127+DN128-DW127)))</f>
        <v>-2.8421709430404007E-13</v>
      </c>
      <c r="DP128" s="17">
        <f>DO128*VLOOKUP('Données projet'!$B$14,Paramètres!$A$1:$I$89,3,0)*VLOOKUP('Données projet'!$B$14,Paramètres!$A$1:$I$89,5,0)</f>
        <v>-2.0838797354372215E-13</v>
      </c>
      <c r="DQ128" s="13" t="e">
        <f t="shared" si="192"/>
        <v>#NUM!</v>
      </c>
      <c r="DR128" s="20" t="e">
        <f t="shared" si="135"/>
        <v>#NUM!</v>
      </c>
      <c r="DS128" s="59" t="e">
        <f t="shared" si="136"/>
        <v>#NUM!</v>
      </c>
      <c r="DT128" s="59">
        <f ca="1">AVERAGE(OFFSET($DS$3,0,0,'Données projet'!$E$14+1,1))-AVERAGE(OFFSET($H$3,0,0,'Données projet'!$E$14+1,1))</f>
        <v>296.91321813251051</v>
      </c>
      <c r="DU128" s="59">
        <f t="shared" si="193"/>
        <v>291.0718079639509</v>
      </c>
      <c r="DV128" s="15">
        <f>IF(ISNA(VLOOKUP(A128,'Données projet'!$A$175:$I$195,3,0)),0,VLOOKUP(A128,'Données projet'!$A$175:$I$195,3,0))</f>
        <v>0</v>
      </c>
      <c r="DW128" s="15">
        <f>IF(ISNA(VLOOKUP(A128,'Données projet'!$A$175:$I$195,4,0)),0,VLOOKUP(A128,'Données projet'!$A$175:$I$195,4,0))</f>
        <v>0</v>
      </c>
      <c r="DX128" s="16">
        <f>IF(ISNA(VLOOKUP(A128,'Données projet'!$A$175:$I$195,5,0)),0%,VLOOKUP(A128,'Données projet'!$A$175:$I$195,5,0)*VLOOKUP('Données projet'!$B$14,Paramètres!$A$1:$I$89,7,0))</f>
        <v>0</v>
      </c>
      <c r="DY128" s="16">
        <f>IF(ISNA(VLOOKUP(A128,'Données projet'!$A$175:$I$195,6,0)),0%,VLOOKUP(A128,'Données projet'!$A$175:$I$195,6,0)*VLOOKUP('Données projet'!$B$14,Paramètres!$A$1:$I$89,7,0))</f>
        <v>0</v>
      </c>
      <c r="DZ128" s="16">
        <f>IF(ISNA(VLOOKUP(A128,'Données projet'!$A$175:$I$195,7,0)),0%,VLOOKUP(A128,'Données projet'!$A$175:$I$195,7,0))</f>
        <v>0</v>
      </c>
      <c r="EA128" s="21">
        <f>EXP(-LN(2)/35)*EA127+(1-EXP(-LN(2)/35))/(LN(2)/35)*DW128*DX128*VLOOKUP('Données projet'!$B$14,Paramètres!$A$1:$I$89,3,0)*0.475*44/12</f>
        <v>71.147017525310602</v>
      </c>
      <c r="EB128" s="21">
        <f>EXP(-LN(2)/25)*EB127+(1-EXP(-LN(2)/25))/(LN(2)/25)*Calculateur!DW128*Calculateur!DY128*VLOOKUP('Données projet'!$B$14,Paramètres!$A$1:$I$89,3,0)*0.475*44/12</f>
        <v>1.5377836266452347</v>
      </c>
      <c r="EC128" s="21">
        <f>EXP(-LN(2)/2)*EC127+(1-EXP(-LN(2)/2))/(LN(2)/2)*DW128*DZ128*VLOOKUP('Données projet'!$B$14,Paramètres!$A$1:$I$89,3,0)*0.475*44/12</f>
        <v>0</v>
      </c>
      <c r="ED128" s="22">
        <f t="shared" si="137"/>
        <v>72.684801151955838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projet'!$A$201:$I$221,2,0)</f>
        <v>#N/A</v>
      </c>
      <c r="EH128" s="12" t="e">
        <f>VLOOKUP(A128,'Données projet'!$A$201:$I$221,9,0)</f>
        <v>#N/A</v>
      </c>
      <c r="EI128" s="12">
        <f t="array" ref="EI128">INDEX(EH:EH,MIN(IF(ISNUMBER(EH128:EH324),ROW(EH128:EH324),"")))</f>
        <v>0</v>
      </c>
      <c r="EJ128" s="12">
        <f>IF('Données projet'!$A$202&gt;35,EJ127+EI128-ER127,IF(A128&lt;'Données projet'!$A$202,$EG$205^A128,IF(A128='Données projet'!$A$202,'Données projet'!$B$202,EJ127+EI128-ER127)))</f>
        <v>5.1159076974727213E-13</v>
      </c>
      <c r="EK128" s="17">
        <f>EJ128*VLOOKUP('Données projet'!$B$15,Paramètres!$A$1:$I$89,3,0)*VLOOKUP('Données projet'!$B$15,Paramètres!$A$1:$I$89,5,0)</f>
        <v>2.3942448024172334E-13</v>
      </c>
      <c r="EL128" s="13">
        <f t="shared" si="194"/>
        <v>3.2492669905861755E-12</v>
      </c>
      <c r="EM128" s="20">
        <f t="shared" si="138"/>
        <v>6.0761376450252565E-12</v>
      </c>
      <c r="EN128" s="59">
        <f t="shared" si="139"/>
        <v>293.3333333333394</v>
      </c>
      <c r="EO128" s="59">
        <f ca="1">AVERAGE(OFFSET($EN$3,0,0,'Données projet'!$E$15+1,1))-AVERAGE(OFFSET($H$3,0,0,'Données projet'!$E$15+1,1))</f>
        <v>147.64256291235483</v>
      </c>
      <c r="EP128" s="59">
        <f t="shared" si="195"/>
        <v>70.859031694091868</v>
      </c>
      <c r="EQ128" s="15">
        <f>IF(ISNA(VLOOKUP(A128,'Données projet'!$A$201:$I$221,3,0)),0,VLOOKUP(A128,'Données projet'!$A$201:$I$221,3,0))</f>
        <v>0</v>
      </c>
      <c r="ER128" s="15">
        <f>IF(ISNA(VLOOKUP(A128,'Données projet'!$A$201:$I$221,4,0)),0,VLOOKUP(A128,'Données projet'!$A$201:$I$221,4,0))</f>
        <v>0</v>
      </c>
      <c r="ES128" s="16">
        <f>IF(ISNA(VLOOKUP(A128,'Données projet'!$A$201:$I$221,5,0)),0%,VLOOKUP(A128,'Données projet'!$A$201:$I$221,5,0)*VLOOKUP('Données projet'!$B$15,Paramètres!$A$1:$I$89,7,0))</f>
        <v>0</v>
      </c>
      <c r="ET128" s="16">
        <f>IF(ISNA(VLOOKUP(A128,'Données projet'!$A$201:$I$221,6,0)),0%,VLOOKUP(A128,'Données projet'!$A$201:$I$221,6,0)*VLOOKUP('Données projet'!$B$15,Paramètres!$A$1:$I$89,7,0))</f>
        <v>0</v>
      </c>
      <c r="EU128" s="16">
        <f>IF(ISNA(VLOOKUP(A128,'Données projet'!$A$201:$I$221,7,0)),0%,VLOOKUP(A128,'Données projet'!$A$201:$I$221,7,0))</f>
        <v>0</v>
      </c>
      <c r="EV128" s="21">
        <f>EXP(-LN(2)/35)*EV127+(1-EXP(-LN(2)/35))/(LN(2)/35)*ER128*ES128*VLOOKUP('Données projet'!$B$15,Paramètres!$A$1:$I$89,3,0)*0.475*44/12</f>
        <v>97.401388471163756</v>
      </c>
      <c r="EW128" s="21">
        <f>EXP(-LN(2)/25)*EW127+(1-EXP(-LN(2)/25))/(LN(2)/25)*Calculateur!ER128*Calculateur!ET128*VLOOKUP('Données projet'!$B$15,Paramètres!$A$1:$I$89,3,0)*0.475*44/12</f>
        <v>21.335198528883996</v>
      </c>
      <c r="EX128" s="21">
        <f>EXP(-LN(2)/2)*EX127+(1-EXP(-LN(2)/2))/(LN(2)/2)*ER128*EU128*VLOOKUP('Données projet'!$B$15,Paramètres!$A$1:$I$89,3,0)*0.475*44/12</f>
        <v>7.1674567674661557E-2</v>
      </c>
      <c r="EY128" s="22">
        <f t="shared" si="140"/>
        <v>118.80826156772241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projet'!$A$227:$I$247,2,0)</f>
        <v>#N/A</v>
      </c>
      <c r="FC128" s="12" t="e">
        <f>VLOOKUP(A128,'Données projet'!$A$227:$I$247,9,0)</f>
        <v>#N/A</v>
      </c>
      <c r="FD128" s="12">
        <f t="array" ref="FD128">INDEX(FC:FC,MIN(IF(ISNUMBER(FC128:FC324),ROW(FC128:FC324),"")))</f>
        <v>0</v>
      </c>
      <c r="FE128" s="12">
        <f>IF('Données projet'!$A$228&gt;35,FE127+FD128-FM127,IF(A128&lt;'Données projet'!$A$228,$FB$205^A128,IF(A128='Données projet'!$A$228,'Données projet'!$B$228,FE127+FD128-FM127)))</f>
        <v>8.5265128291212022E-14</v>
      </c>
      <c r="FF128" s="17">
        <f>FE128*VLOOKUP('Données projet'!$B$16,Paramètres!$A$1:$I$89,3,0)*VLOOKUP('Données projet'!$B$16,Paramètres!$A$1:$I$89,5,0)</f>
        <v>8.9119112089974823E-14</v>
      </c>
      <c r="FG128" s="13">
        <f t="shared" si="196"/>
        <v>1.3568952080113142E-12</v>
      </c>
      <c r="FH128" s="20">
        <f t="shared" si="141"/>
        <v>2.5184749408430782E-12</v>
      </c>
      <c r="FI128" s="59">
        <f t="shared" si="142"/>
        <v>293.33333333333582</v>
      </c>
      <c r="FJ128" s="59">
        <f ca="1">AVERAGE(OFFSET($FI$3,0,0,'Données projet'!$E$16+1,1))-AVERAGE(OFFSET($H$3,0,0,'Données projet'!$E$16+1,1))</f>
        <v>259.03906550253788</v>
      </c>
      <c r="FK128" s="59">
        <f t="shared" si="197"/>
        <v>235.54542903570831</v>
      </c>
      <c r="FL128" s="15">
        <f>IF(ISNA(VLOOKUP(A128,'Données projet'!$A$227:$I$247,3,0)),0,VLOOKUP(A128,'Données projet'!$A$227:$I$247,3,0))</f>
        <v>0</v>
      </c>
      <c r="FM128" s="15">
        <f>IF(ISNA(VLOOKUP(A128,'Données projet'!$A$227:$I$247,4,0)),0,VLOOKUP(A128,'Données projet'!$A$227:$I$247,4,0))</f>
        <v>0</v>
      </c>
      <c r="FN128" s="16">
        <f>IF(ISNA(VLOOKUP(A128,'Données projet'!$A$227:$I$247,5,0)),0%,VLOOKUP(A128,'Données projet'!$A$227:$I$247,5,0)*VLOOKUP('Données projet'!$B$16,Paramètres!$A$1:$I$89,7,0))</f>
        <v>0</v>
      </c>
      <c r="FO128" s="16">
        <f>IF(ISNA(VLOOKUP(A128,'Données projet'!$A$227:$I$247,6,0)),0%,VLOOKUP(A128,'Données projet'!$A$227:$I$247,6,0)*VLOOKUP('Données projet'!$B$16,Paramètres!$A$1:$I$89,7,0))</f>
        <v>0</v>
      </c>
      <c r="FP128" s="16">
        <f>IF(ISNA(VLOOKUP(A128,'Données projet'!$A$227:$I$247,7,0)),0%,VLOOKUP(A128,'Données projet'!$A$227:$I$247,7,0))</f>
        <v>0</v>
      </c>
      <c r="FQ128" s="21">
        <f>EXP(-LN(2)/35)*FQ127+(1-EXP(-LN(2)/35))/(LN(2)/35)*FM128*FN128*VLOOKUP('Données projet'!$B$16,Paramètres!$A$1:$I$89,3,0)*0.475*44/12</f>
        <v>42.990325803232416</v>
      </c>
      <c r="FR128" s="21">
        <f>EXP(-LN(2)/25)*FR127+(1-EXP(-LN(2)/25))/(LN(2)/25)*Calculateur!FM128*Calculateur!FO128*VLOOKUP('Données projet'!$B$16,Paramètres!$A$1:$I$89,3,0)*0.475*44/12</f>
        <v>29.350291920183334</v>
      </c>
      <c r="FS128" s="21">
        <f>EXP(-LN(2)/2)*FS127+(1-EXP(-LN(2)/2))/(LN(2)/2)*FM128*FP128*VLOOKUP('Données projet'!$B$16,Paramètres!$A$1:$I$89,3,0)*0.475*44/12</f>
        <v>0</v>
      </c>
      <c r="FT128" s="22">
        <f t="shared" si="143"/>
        <v>72.340617723415747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projet'!$A$253:$I$273,2,0)</f>
        <v>#N/A</v>
      </c>
      <c r="FX128" s="12" t="e">
        <f>VLOOKUP(A128,'Données projet'!$A$253:$I$273,9,0)</f>
        <v>#N/A</v>
      </c>
      <c r="FY128" s="12">
        <f t="array" ref="FY128">INDEX(FX:FX,MIN(IF(ISNUMBER(FX128:FX324),ROW(FX128:FX324),"")))</f>
        <v>0</v>
      </c>
      <c r="FZ128" s="12">
        <f>IF('Données projet'!$A$254&gt;35,FZ127+FY128-GH127,IF(A128&lt;'Données projet'!$A$254,$FW$205^A128,IF(A128='Données projet'!$A$254,'Données projet'!$B$254,FZ127+FY128-GH127)))</f>
        <v>-1.7053025658242404E-13</v>
      </c>
      <c r="GA128" s="17">
        <f>FZ128*VLOOKUP('Données projet'!$B$17,Paramètres!$A$1:$I$89,3,0)*VLOOKUP('Données projet'!$B$17,Paramètres!$A$1:$I$89,5,0)</f>
        <v>-1.4897523215040567E-13</v>
      </c>
      <c r="GB128" s="13" t="e">
        <f t="shared" si="198"/>
        <v>#NUM!</v>
      </c>
      <c r="GC128" s="20" t="e">
        <f t="shared" si="144"/>
        <v>#NUM!</v>
      </c>
      <c r="GD128" s="59" t="e">
        <f t="shared" si="145"/>
        <v>#NUM!</v>
      </c>
      <c r="GE128" s="59">
        <f ca="1">AVERAGE(OFFSET($GD$3,0,0,'Données projet'!$E$17+1,1))-AVERAGE(OFFSET($H$3,0,0,'Données projet'!$E$17+1,1))</f>
        <v>245.1983232777614</v>
      </c>
      <c r="GF128" s="59">
        <f t="shared" si="199"/>
        <v>242.34010522344573</v>
      </c>
      <c r="GG128" s="15">
        <f>IF(ISNA(VLOOKUP(A128,'Données projet'!$A$253:$I$273,3,0)),0,VLOOKUP(A128,'Données projet'!$A$253:$I$273,3,0))</f>
        <v>0</v>
      </c>
      <c r="GH128" s="15">
        <f>IF(ISNA(VLOOKUP(A128,'Données projet'!$A$253:$I$273,4,0)),0,VLOOKUP(A128,'Données projet'!$A$253:$I$273,4,0))</f>
        <v>0</v>
      </c>
      <c r="GI128" s="16">
        <f>IF(ISNA(VLOOKUP(A128,'Données projet'!$A$253:$I$273,5,0)),0%,VLOOKUP(A128,'Données projet'!$A$253:$I$273,5,0)*VLOOKUP('Données projet'!$B$17,Paramètres!$A$1:$I$89,7,0))</f>
        <v>0</v>
      </c>
      <c r="GJ128" s="16">
        <f>IF(ISNA(VLOOKUP(A128,'Données projet'!$A$253:$I$273,6,0)),0%,VLOOKUP(A128,'Données projet'!$A$253:$I$273,6,0)*VLOOKUP('Données projet'!$B$17,Paramètres!$A$1:$I$89,7,0))</f>
        <v>0</v>
      </c>
      <c r="GK128" s="16">
        <f>IF(ISNA(VLOOKUP(A128,'Données projet'!$A$253:$I$273,7,0)),0%,VLOOKUP(A128,'Données projet'!$A$253:$I$273,7,0))</f>
        <v>0</v>
      </c>
      <c r="GL128" s="21">
        <f>EXP(-LN(2)/35)*GL127+(1-EXP(-LN(2)/35))/(LN(2)/35)*GH128*GI128*VLOOKUP('Données projet'!$B$17,Paramètres!$A$1:$I$89,3,0)*0.475*44/12</f>
        <v>50.541026353141255</v>
      </c>
      <c r="GM128" s="21">
        <f>EXP(-LN(2)/25)*GM127+(1-EXP(-LN(2)/25))/(LN(2)/25)*Calculateur!GH128*Calculateur!GJ128*VLOOKUP('Données projet'!$B$17,Paramètres!$A$1:$I$89,3,0)*0.475*44/12</f>
        <v>6.2538321871255151</v>
      </c>
      <c r="GN128" s="21">
        <f>EXP(-LN(2)/2)*GN127+(1-EXP(-LN(2)/2))/(LN(2)/2)*GH128*GK128*VLOOKUP('Données projet'!$B$17,Paramètres!$A$1:$I$89,3,0)*0.475*44/12</f>
        <v>0</v>
      </c>
      <c r="GO128" s="21">
        <f t="shared" si="146"/>
        <v>56.794858540266773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projet'!$A$279:$I$299,2,0)</f>
        <v>#N/A</v>
      </c>
      <c r="GS128" s="12" t="e">
        <f>VLOOKUP(A128,'Données projet'!$A$279:$I$299,9,0)</f>
        <v>#N/A</v>
      </c>
      <c r="GT128" s="12">
        <f t="array" ref="GT128">INDEX(GS:GS,MIN(IF(ISNUMBER(GS128:GS324),ROW(GS128:GS324),"")))</f>
        <v>0</v>
      </c>
      <c r="GU128" s="12">
        <f>IF('Données projet'!$A$280&gt;35,GU127+GT128-HC127,IF(A128&lt;'Données projet'!$A$280,$GR$205^A128,IF(A128='Données projet'!$A$280,'Données projet'!$B$280,GU127+GT128-HC127)))</f>
        <v>-1.1368683772161603E-13</v>
      </c>
      <c r="GV128" s="17">
        <f>GU128*VLOOKUP('Données projet'!$B$18,Paramètres!$A$1:$I$89,3,0)*VLOOKUP('Données projet'!$B$18,Paramètres!$A$1:$I$89,5,0)</f>
        <v>-4.5815795601811263E-14</v>
      </c>
      <c r="GW128" s="13" t="e">
        <f t="shared" si="200"/>
        <v>#NUM!</v>
      </c>
      <c r="GX128" s="20" t="e">
        <f t="shared" si="147"/>
        <v>#NUM!</v>
      </c>
      <c r="GY128" s="59" t="e">
        <f t="shared" si="148"/>
        <v>#NUM!</v>
      </c>
      <c r="GZ128" s="59">
        <f ca="1">AVERAGE(OFFSET($GY$3,0,0,'Données projet'!$E$18+1,1))-AVERAGE(OFFSET($H$3,0,0,'Données projet'!$E$18+1,1))</f>
        <v>324.36162935850876</v>
      </c>
      <c r="HA128" s="59">
        <f t="shared" si="201"/>
        <v>265.23571072429735</v>
      </c>
      <c r="HB128" s="15">
        <f>IF(ISNA(VLOOKUP(A128,'Données projet'!$A$279:$I$299,3,0)),0,VLOOKUP(A128,'Données projet'!$A$279:$I$299,3,0))</f>
        <v>0</v>
      </c>
      <c r="HC128" s="15">
        <f>IF(ISNA(VLOOKUP(A128,'Données projet'!$A$279:$I$299,4,0)),0,VLOOKUP(A128,'Données projet'!$A$279:$I$299,4,0))</f>
        <v>0</v>
      </c>
      <c r="HD128" s="16">
        <f>IF(ISNA(VLOOKUP(A128,'Données projet'!$A$279:$I$299,5,0)),0%,VLOOKUP(A128,'Données projet'!$A$279:$I$299,5,0)*VLOOKUP('Données projet'!$B$18,Paramètres!$A$1:$I$89,7,0))</f>
        <v>0</v>
      </c>
      <c r="HE128" s="16">
        <f>IF(ISNA(VLOOKUP(A128,'Données projet'!$A$279:$I$299,6,0)),0%,VLOOKUP(A128,'Données projet'!$A$279:$I$299,6,0)*VLOOKUP('Données projet'!$B$18,Paramètres!$A$1:$I$89,7,0))</f>
        <v>0</v>
      </c>
      <c r="HF128" s="16">
        <f>IF(ISNA(VLOOKUP($A128,'Données projet'!$A$279:$I$299,7,0)),0%,VLOOKUP($A128,'Données projet'!$A$279:$I$299,7,0))</f>
        <v>0</v>
      </c>
      <c r="HG128" s="21">
        <f>EXP(-LN(2)/35)*HG127+(1-EXP(-LN(2)/35))/(LN(2)/35)*HC128*HD128*VLOOKUP('Données projet'!$B$18,Paramètres!$A$1:$I$89,3,0)*0.475*44/12</f>
        <v>96.849818867592106</v>
      </c>
      <c r="HH128" s="21">
        <f>EXP(-LN(2)/25)*HH127+(1-EXP(-LN(2)/25))/(LN(2)/25)*Calculateur!HC128*Calculateur!HE128*VLOOKUP('Données projet'!$B$18,Paramètres!$A$1:$I$89,3,0)*0.475*44/12</f>
        <v>6.9553799903727569</v>
      </c>
      <c r="HI128" s="21">
        <f>EXP(-LN(2)/2)*HI127+(1-EXP(-LN(2)/2))/(LN(2)/2)*HC128*HF128*VLOOKUP('Données projet'!$B$18,Paramètres!$A$1:$I$89,3,0)*0.475*44/12</f>
        <v>1.4409518112483137E-6</v>
      </c>
      <c r="HJ128" s="22">
        <f t="shared" si="149"/>
        <v>103.80520029891667</v>
      </c>
      <c r="HK128" s="74">
        <f>('Scénario référence'!$F$8+'Scénario référence'!$F$9+'Scénario référence'!$B$17+'Scénario référence'!$B$9+'Scénario référence'!$B$10)*70+IF((45+25*(1-EXP(-0.0175*$A128)))&lt;70,'Scénario référence'!$B$16*(45+25*(1-EXP(-0.0175*$A128))),70*'Scénario référence'!$B$16)+IF((32+38*(1-EXP(-0.0175*$A128)))&lt;70,'Scénario référence'!$B$18*(32+38*(1-EXP(-0.0175*$A128))),70*'Scénario référence'!$B$18)</f>
        <v>70</v>
      </c>
      <c r="HL128" s="12">
        <f>IF($A128&gt;30,10,('Scénario référence'!$B$16+'Scénario référence'!$B$17+'Scénario référence'!$B$18+'Scénario référence'!$B$9+'Scénario référence'!$B$10)*$A128*10/30+('Scénario référence'!$F$8+'Scénario référence'!$F$9)*10)</f>
        <v>10</v>
      </c>
      <c r="HM128" s="12" t="e">
        <f>VLOOKUP($A128,'Données projet'!$A$304:$I$324,2,0)</f>
        <v>#N/A</v>
      </c>
      <c r="HN128" s="12" t="e">
        <f>VLOOKUP($A128,'Données projet'!$A$304:$I$324,9,0)</f>
        <v>#N/A</v>
      </c>
      <c r="HO128" s="12">
        <f t="array" ref="HO128">INDEX(HN:HN,MIN(IF(ISNUMBER(HN128:HN324),ROW(HN128:HN324),"")))</f>
        <v>0</v>
      </c>
      <c r="HP128" s="12">
        <f>IF('Données projet'!$A$304&gt;35,HP127+HO128-HX127,IF($A128&lt;'Données projet'!$A$304,$CQ$205^$A128,IF($A128='Données projet'!$A$304,'Données projet'!$B$304,HP127+HO128-HX127)))</f>
        <v>0</v>
      </c>
      <c r="HQ128" s="17">
        <f>HP128*VLOOKUP('Données projet'!$B$19,Paramètres!$A$1:$I$89,3,0)*VLOOKUP('Données projet'!$B$19,Paramètres!$A$1:$I$89,5,0)</f>
        <v>0</v>
      </c>
      <c r="HR128" s="13" t="e">
        <f t="shared" si="202"/>
        <v>#NUM!</v>
      </c>
      <c r="HS128" s="14" t="e">
        <f t="shared" si="150"/>
        <v>#NUM!</v>
      </c>
      <c r="HT128" s="59" t="e">
        <f t="shared" si="151"/>
        <v>#NUM!</v>
      </c>
      <c r="HU128" s="59">
        <f ca="1">AVERAGE(OFFSET(HT$3,0,0,'Données projet'!$E$19+1,1))-AVERAGE(OFFSET($H$3,0,0,'Données projet'!$E$19+1,1))</f>
        <v>91.60721429656013</v>
      </c>
      <c r="HV128" s="59">
        <f t="shared" si="203"/>
        <v>258.94957804210856</v>
      </c>
      <c r="HW128" s="15">
        <f>IF(ISNA(VLOOKUP($A128,'Données projet'!$A$304:$I$324,3,0)),0,VLOOKUP($A128,'Données projet'!$A$304:$I$324,3,0))</f>
        <v>0</v>
      </c>
      <c r="HX128" s="15">
        <f>IF(ISNA(VLOOKUP($A128,'Données projet'!$A$304:$I$324,4,0)),0,VLOOKUP($A128,'Données projet'!$A$304:$I$324,4,0))</f>
        <v>0</v>
      </c>
      <c r="HY128" s="16">
        <f>IF(ISNA(VLOOKUP($A128,'Données projet'!$A$304:$I$324,5,0)),0%,VLOOKUP($A128,'Données projet'!$A$304:$I$324,5,0)*VLOOKUP('Données projet'!$B$19,Paramètres!$A$1:$I$89,7,0))</f>
        <v>0</v>
      </c>
      <c r="HZ128" s="16">
        <f>IF(ISNA(VLOOKUP($A128,'Données projet'!$A$304:$I$324,6,0)),0%,VLOOKUP($A128,'Données projet'!$A$304:$I$324,6,0)*VLOOKUP('Données projet'!$B$19,Paramètres!$A$1:$I$89,7,0))</f>
        <v>0</v>
      </c>
      <c r="IA128" s="16">
        <f>IF(ISNA(VLOOKUP($A128,'Données projet'!$A$304:$I$324,7,0)),0%,VLOOKUP($A128,'Données projet'!$A$304:$I$324,7,0))</f>
        <v>0</v>
      </c>
      <c r="IB128" s="21">
        <f>EXP(-LN(2)/35)*IB127+(1-EXP(-LN(2)/35))/(LN(2)/35)*HX128*HY128*VLOOKUP('Données projet'!$B$19,Paramètres!$A$1:$I$89,3,0)*0.475*44/12</f>
        <v>7.517155080564593</v>
      </c>
      <c r="IC128" s="21">
        <f>EXP(-LN(2)/25)*IC127+(1-EXP(-LN(2)/25))/(LN(2)/25)*Calculateur!HX128*Calculateur!HZ128*VLOOKUP('Données projet'!$B$19,Paramètres!$A$1:$I$89,3,0)*0.475*44/12</f>
        <v>0.69838897692141777</v>
      </c>
      <c r="ID128" s="21">
        <f>EXP(-LN(2)/2)*ID127+(1-EXP(-LN(2)/2))/(LN(2)/2)*HX128*IA128*VLOOKUP('Données projet'!$B$19,Paramètres!$A$1:$I$89,3,0)*0.475*44/12</f>
        <v>2.8781795027481155E-15</v>
      </c>
      <c r="IE128" s="22">
        <f t="shared" si="152"/>
        <v>8.2155440574860137</v>
      </c>
      <c r="IF128" s="74">
        <f>('Scénario référence'!$F$8+'Scénario référence'!$F$9+'Scénario référence'!$B$17+'Scénario référence'!$B$9+'Scénario référence'!$B$10)*70+IF((45+25*(1-EXP(-0.0175*$A128)))&lt;70,'Scénario référence'!$B$16*(45+25*(1-EXP(-0.0175*$A128))),70*'Scénario référence'!$B$16)+IF((32+38*(1-EXP(-0.0175*$A128)))&lt;70,'Scénario référence'!$B$18*(32+38*(1-EXP(-0.0175*$A128))),70*'Scénario référence'!$B$18)</f>
        <v>70</v>
      </c>
      <c r="IG128" s="12">
        <f>IF($A128&gt;30,10,('Scénario référence'!$B$16+'Scénario référence'!$B$17+'Scénario référence'!$B$18+'Scénario référence'!$B$9+'Scénario référence'!$B$10)*$A128*10/30+('Scénario référence'!$F$8+'Scénario référence'!$F$9)*10)</f>
        <v>10</v>
      </c>
      <c r="IH128" s="12" t="e">
        <f>VLOOKUP($A128,'Données projet'!$A$330:$I$350,2,0)</f>
        <v>#N/A</v>
      </c>
      <c r="II128" s="12" t="e">
        <f>VLOOKUP($A128,'Données projet'!$A$330:$I$350,9,0)</f>
        <v>#N/A</v>
      </c>
      <c r="IJ128" s="12">
        <f t="array" ref="IJ128">INDEX(II:II,MIN(IF(ISNUMBER(II128:II324),ROW(II128:II324),"")))</f>
        <v>0</v>
      </c>
      <c r="IK128" s="12">
        <f>IF('Données projet'!$A$330&gt;35,IK127+IJ128-IS127,IF($A128&lt;'Données projet'!$A$330,$CQ$205^$A128,IF($A128='Données projet'!$A$330,'Données projet'!$B$330,IK127+IJ128-IS127)))</f>
        <v>0</v>
      </c>
      <c r="IL128" s="17">
        <f>IK128*VLOOKUP('Données projet'!$B$20,Paramètres!$A$1:$I$89,3,0)*VLOOKUP('Données projet'!$B$20,Paramètres!$A$1:$I$89,5,0)</f>
        <v>0</v>
      </c>
      <c r="IM128" s="13" t="e">
        <f t="shared" si="204"/>
        <v>#NUM!</v>
      </c>
      <c r="IN128" s="20" t="e">
        <f t="shared" si="153"/>
        <v>#NUM!</v>
      </c>
      <c r="IO128" s="59" t="e">
        <f t="shared" si="154"/>
        <v>#NUM!</v>
      </c>
      <c r="IP128" s="59">
        <f ca="1">AVERAGE(OFFSET(IO$3,0,0,'Données projet'!$E$20+1,1))-AVERAGE(OFFSET($H$3,0,0,'Données projet'!$E$20+1,1))</f>
        <v>91.60721429656013</v>
      </c>
      <c r="IQ128" s="59">
        <f t="shared" si="205"/>
        <v>258.94957804210856</v>
      </c>
      <c r="IR128" s="15">
        <f>IF(ISNA(VLOOKUP($A128,'Données projet'!$A$330:$I$350,3,0)),0,VLOOKUP($A128,'Données projet'!$A$330:$I$350,3,0))</f>
        <v>0</v>
      </c>
      <c r="IS128" s="15">
        <f>IF(ISNA(VLOOKUP($A128,'Données projet'!$A$330:$I$350,4,0)),0,VLOOKUP($A128,'Données projet'!$A$330:$I$350,4,0))</f>
        <v>0</v>
      </c>
      <c r="IT128" s="16">
        <f>IF(ISNA(VLOOKUP($A128,'Données projet'!$A$330:$I$350,5,0)),0%,VLOOKUP($A128,'Données projet'!$A$330:$I$350,5,0)*VLOOKUP('Données projet'!$B$20,Paramètres!$A$1:$I$89,7,0))</f>
        <v>0</v>
      </c>
      <c r="IU128" s="16">
        <f>IF(ISNA(VLOOKUP($A128,'Données projet'!$A$330:$I$350,6,0)),0%,VLOOKUP($A128,'Données projet'!$A$330:$I$350,6,0)*VLOOKUP('Données projet'!$B$20,Paramètres!$A$1:$I$89,7,0))</f>
        <v>0</v>
      </c>
      <c r="IV128" s="16">
        <f>IF(ISNA(VLOOKUP($A128,'Données projet'!$A$330:$I$350,7,0)),0%,VLOOKUP($A128,'Données projet'!$A$330:$I$350,7,0))</f>
        <v>0</v>
      </c>
      <c r="IW128" s="21">
        <f>EXP(-LN(2)/35)*IW127+(1-EXP(-LN(2)/35))/(LN(2)/35)*IS128*IT128*VLOOKUP('Données projet'!$B$20,Paramètres!$A$1:$I$89,3,0)*0.475*44/12</f>
        <v>7.517155080564593</v>
      </c>
      <c r="IX128" s="21">
        <f>EXP(-LN(2)/25)*IX127+(1-EXP(-LN(2)/25))/(LN(2)/25)*Calculateur!IS128*Calculateur!IU128*VLOOKUP('Données projet'!$B$20,Paramètres!$A$1:$I$89,3,0)*0.475*44/12</f>
        <v>0.69838897692141777</v>
      </c>
      <c r="IY128" s="21">
        <f>EXP(-LN(2)/2)*IY127+(1-EXP(-LN(2)/2))/(LN(2)/2)*IS128*IV128*VLOOKUP('Données projet'!$B$20,Paramètres!$A$1:$I$89,3,0)*0.475*44/12</f>
        <v>2.8781795027481155E-15</v>
      </c>
      <c r="IZ128" s="22">
        <f t="shared" si="155"/>
        <v>8.2155440574860137</v>
      </c>
      <c r="JA128" s="74">
        <f>('Scénario référence'!$F$8+'Scénario référence'!$F$9+'Scénario référence'!$B$17+'Scénario référence'!$B$9+'Scénario référence'!$B$10)*70+IF((45+25*(1-EXP(-0.0175*$A128)))&lt;70,'Scénario référence'!$B$16*(45+25*(1-EXP(-0.0175*$A128))),70*'Scénario référence'!$B$16)+IF((32+38*(1-EXP(-0.0175*$A128)))&lt;70,'Scénario référence'!$B$18*(32+38*(1-EXP(-0.0175*$A128))),70*'Scénario référence'!$B$18)</f>
        <v>70</v>
      </c>
      <c r="JB128" s="12">
        <f>IF($A128&gt;30,10,('Scénario référence'!$B$16+'Scénario référence'!$B$17+'Scénario référence'!$B$18+'Scénario référence'!$B$9+'Scénario référence'!$B$10)*$A128*10/30+('Scénario référence'!$F$8+'Scénario référence'!$F$9)*10)</f>
        <v>10</v>
      </c>
      <c r="JC128" s="12" t="e">
        <f>VLOOKUP($A128,'Données projet'!$A$356:$I$376,2,0)</f>
        <v>#N/A</v>
      </c>
      <c r="JD128" s="12" t="e">
        <f>VLOOKUP($A128,'Données projet'!$A$356:$I$376,9,0)</f>
        <v>#N/A</v>
      </c>
      <c r="JE128" s="12">
        <f t="array" ref="JE128">INDEX(JD:JD,MIN(IF(ISNUMBER(JD128:JD324),ROW(JD128:JD324),"")))</f>
        <v>2.2000000000000002</v>
      </c>
      <c r="JF128" s="12">
        <f>IF('Données projet'!$A$356&gt;35,JF127+JE128-JN127,IF($A128&lt;'Données projet'!$A$356,$CQ$205^$A128,IF($A128='Données projet'!$A$356,'Données projet'!$B$356,JF127+JE128-JN127)))</f>
        <v>428.9999999999992</v>
      </c>
      <c r="JG128" s="17">
        <f>JF128*VLOOKUP('Données projet'!$B$21,Paramètres!$A$1:$I$89,3,0)*VLOOKUP('Données projet'!$B$21,Paramètres!$A$1:$I$89,5,0)</f>
        <v>348.00479999999936</v>
      </c>
      <c r="JH128" s="13">
        <f t="shared" si="206"/>
        <v>81.151542243647995</v>
      </c>
      <c r="JI128" s="20">
        <f t="shared" si="156"/>
        <v>747.44729607435238</v>
      </c>
      <c r="JJ128" s="59">
        <f t="shared" si="157"/>
        <v>1040.7806294076856</v>
      </c>
      <c r="JK128" s="59">
        <f ca="1">AVERAGE(OFFSET($JJ$3,0,0,'Données projet'!$E$22+1,1))-AVERAGE(OFFSET($H$3,0,0,'Données projet'!$E$22+1,1))</f>
        <v>353.35574633294613</v>
      </c>
      <c r="JL128" s="59">
        <f t="shared" si="207"/>
        <v>170.36796666474726</v>
      </c>
      <c r="JM128" s="15">
        <f>IF(ISNA(VLOOKUP($A128,'Données projet'!$A$356:$I$376,3,0)),0,VLOOKUP($A128,'Données projet'!$A$356:$I$376,3,0))</f>
        <v>0</v>
      </c>
      <c r="JN128" s="15">
        <f>IF(ISNA(VLOOKUP($A128,'Données projet'!$A$356:$I$376,4,0)),0,VLOOKUP($A128,'Données projet'!$A$356:$I$376,4,0))</f>
        <v>0</v>
      </c>
      <c r="JO128" s="16">
        <f>IF(ISNA(VLOOKUP($A128,'Données projet'!$A$356:$I$376,5,0)),0%,VLOOKUP($A128,'Données projet'!$A$356:$I$376,5,0)*VLOOKUP('Données projet'!$B$21,Paramètres!$A$1:$I$89,7,0))</f>
        <v>0</v>
      </c>
      <c r="JP128" s="16">
        <f>IF(ISNA(VLOOKUP($A128,'Données projet'!$A$356:$I$376,6,0)),0%,VLOOKUP($A128,'Données projet'!$A$356:$I$376,6,0)*VLOOKUP('Données projet'!$B$21,Paramètres!$A$1:$I$89,7,0))</f>
        <v>0</v>
      </c>
      <c r="JQ128" s="16">
        <f>IF(ISNA(VLOOKUP($A128,'Données projet'!$A$356:$I$376,7,0)),0%,VLOOKUP($A128,'Données projet'!$A$356:$I$376,7,0))</f>
        <v>0</v>
      </c>
      <c r="JR128" s="21">
        <f>EXP(-LN(2)/35)*JR127+(1-EXP(-LN(2)/35))/(LN(2)/35)*JN128*JO128*VLOOKUP('Données projet'!$B$21,Paramètres!$A$1:$I$89,3,0)*0.475*44/12</f>
        <v>3.7340078258634213</v>
      </c>
      <c r="JS128" s="21">
        <f>EXP(-LN(2)/25)*JS127+(1-EXP(-LN(2)/25))/(LN(2)/25)*Calculateur!JN128*Calculateur!JP128*VLOOKUP('Données projet'!$B$21,Paramètres!$A$1:$I$89,3,0)*0.475*44/12</f>
        <v>11.667288661707607</v>
      </c>
      <c r="JT128" s="21">
        <f>EXP(-LN(2)/2)*JT127+(1-EXP(-LN(2)/2))/(LN(2)/2)*JN128*JQ128*VLOOKUP('Données projet'!$B$21,Paramètres!$A$1:$I$89,3,0)*0.475*44/12</f>
        <v>1.9271911102194363E-2</v>
      </c>
      <c r="JU128" s="18">
        <f t="shared" si="158"/>
        <v>15.420568398673222</v>
      </c>
      <c r="JV128" s="74">
        <f>('Scénario référence'!$F$8+'Scénario référence'!$F$9+'Scénario référence'!$B$17+'Scénario référence'!$B$9+'Scénario référence'!$B$10)*70+IF((45+25*(1-EXP(-0.0175*$A128)))&lt;70,'Scénario référence'!$B$16*(45+25*(1-EXP(-0.0175*$A128))),70*'Scénario référence'!$B$16)+IF((32+38*(1-EXP(-0.0175*$A128)))&lt;70,'Scénario référence'!$B$18*(32+38*(1-EXP(-0.0175*$A128))),70*'Scénario référence'!$B$18)</f>
        <v>70</v>
      </c>
      <c r="JW128" s="12">
        <f>IF($A128&gt;30,10,('Scénario référence'!$B$16+'Scénario référence'!$B$17+'Scénario référence'!$B$18+'Scénario référence'!$B$9+'Scénario référence'!$B$10)*$A128*10/30+('Scénario référence'!$F$8+'Scénario référence'!$F$9)*10)</f>
        <v>10</v>
      </c>
      <c r="JX128" s="12" t="e">
        <f>VLOOKUP($A128,'Données projet'!$A$382:$I$402,2,0)</f>
        <v>#N/A</v>
      </c>
      <c r="JY128" s="12" t="e">
        <f>VLOOKUP($A128,'Données projet'!$A$382:$I$402,9,0)</f>
        <v>#N/A</v>
      </c>
      <c r="JZ128" s="12">
        <f t="array" ref="JZ128">INDEX(JY:JY,MIN(IF(ISNUMBER(JY128:JY324),ROW(JY128:JY324),"")))</f>
        <v>2.3349358974358978</v>
      </c>
      <c r="KA128" s="12">
        <f>IF('Données projet'!$A$382&gt;35,KA127+JZ128-KI127,IF($A128&lt;'Données projet'!$A$382,$CQ$205^$A128,IF($A128='Données projet'!$A$382,'Données projet'!$B$382,KA127+JZ128-KI127)))</f>
        <v>150.13141025641079</v>
      </c>
      <c r="KB128" s="17">
        <f>KA128*VLOOKUP('Données projet'!$B$22,Paramètres!$A$1:$I$89,3,0)*VLOOKUP('Données projet'!$B$22,Paramètres!$A$1:$I$89,5,0)</f>
        <v>100.70815000000034</v>
      </c>
      <c r="KC128" s="13">
        <f t="shared" si="208"/>
        <v>27.130635171803128</v>
      </c>
      <c r="KD128" s="20">
        <f t="shared" si="159"/>
        <v>222.652550840891</v>
      </c>
      <c r="KE128" s="59">
        <f t="shared" si="160"/>
        <v>515.98588417422434</v>
      </c>
      <c r="KF128" s="59">
        <f ca="1">AVERAGE(OFFSET($KE$3,0,0,'Données projet'!$E$22+1,1))-AVERAGE(OFFSET($H$3,0,0,'Données projet'!$E$22+1,1))</f>
        <v>193.91714772848269</v>
      </c>
      <c r="KG128" s="59">
        <f t="shared" si="209"/>
        <v>159.20429420478047</v>
      </c>
      <c r="KH128" s="15">
        <f>IF(ISNA(VLOOKUP($A128,'Données projet'!$A$382:$I$402,3,0)),0,VLOOKUP($A128,'Données projet'!$A$382:$I$402,3,0))</f>
        <v>0</v>
      </c>
      <c r="KI128" s="15">
        <f>IF(ISNA(VLOOKUP($A128,'Données projet'!$A$382:$I$402,4,0)),0,VLOOKUP($A128,'Données projet'!$A$382:$I$402,4,0))</f>
        <v>0</v>
      </c>
      <c r="KJ128" s="16">
        <f>IF(ISNA(VLOOKUP($A128,'Données projet'!$A$382:$I$402,5,0)),0%,VLOOKUP($A128,'Données projet'!$A$382:$I$402,5,0)*VLOOKUP('Données projet'!$B$22,Paramètres!$A$1:$I$89,7,0))</f>
        <v>0</v>
      </c>
      <c r="KK128" s="16">
        <f>IF(ISNA(VLOOKUP($A128,'Données projet'!$A$382:$I$402,6,0)),0%,VLOOKUP($A128,'Données projet'!$A$382:$I$402,6,0)*VLOOKUP('Données projet'!$B$22,Paramètres!$A$1:$I$89,7,0))</f>
        <v>0</v>
      </c>
      <c r="KL128" s="16">
        <f>IF(ISNA(VLOOKUP($A128,'Données projet'!$A$382:$I$402,7,0)),0%,VLOOKUP($A128,'Données projet'!$A$382:$I$402,7,0))</f>
        <v>0</v>
      </c>
      <c r="KM128" s="21">
        <f>EXP(-LN(2)/35)*KM127+(1-EXP(-LN(2)/35))/(LN(2)/35)*KI128*KJ128*VLOOKUP('Données projet'!$B$22,Paramètres!$A$1:$I$89,3,0)*0.475*44/12</f>
        <v>113.40881543168609</v>
      </c>
      <c r="KN128" s="21">
        <f>EXP(-LN(2)/25)*KN127+(1-EXP(-LN(2)/25))/(LN(2)/25)*Calculateur!KI128*Calculateur!KK128*VLOOKUP('Données projet'!$B$22,Paramètres!$A$1:$I$89,3,0)*0.475*44/12</f>
        <v>0</v>
      </c>
      <c r="KO128" s="21">
        <f>EXP(-LN(2)/2)*KO127+(1-EXP(-LN(2)/2))/(LN(2)/2)*KI128*KL128*VLOOKUP('Données projet'!$B$22,Paramètres!$A$1:$I$89,3,0)*0.475*44/12</f>
        <v>0</v>
      </c>
      <c r="KP128" s="22">
        <f t="shared" si="161"/>
        <v>113.40881543168609</v>
      </c>
      <c r="KQ128" s="74">
        <f>('Scénario référence'!$F$8+'Scénario référence'!$F$9+'Scénario référence'!$B$17+'Scénario référence'!$B$9+'Scénario référence'!$B$10)*70+IF((45+25*(1-EXP(-0.0175*$A128)))&lt;70,'Scénario référence'!$B$16*(45+25*(1-EXP(-0.0175*$A128))),70*'Scénario référence'!$B$16)+IF((32+38*(1-EXP(-0.0175*$A128)))&lt;70,'Scénario référence'!$B$18*(32+38*(1-EXP(-0.0175*$A128))),70*'Scénario référence'!$B$18)</f>
        <v>70</v>
      </c>
      <c r="KR128" s="12">
        <f>IF($A128&gt;30,10,('Scénario référence'!$B$16+'Scénario référence'!$B$17+'Scénario référence'!$B$18+'Scénario référence'!$B$9+'Scénario référence'!$B$10)*$A128*10/30+('Scénario référence'!$F$8+'Scénario référence'!$F$9)*10)</f>
        <v>10</v>
      </c>
      <c r="KS128" s="12" t="e">
        <f>VLOOKUP($A128,'Données projet'!$A$408:$I$428,2,0)</f>
        <v>#N/A</v>
      </c>
      <c r="KT128" s="12" t="e">
        <f>VLOOKUP($A128,'Données projet'!$A$408:$I$428,9,0)</f>
        <v>#N/A</v>
      </c>
      <c r="KU128" s="12">
        <f t="array" ref="KU128">INDEX(KT:KT,MIN(IF(ISNUMBER(KT128:KT324),ROW(KT128:KT324),"")))</f>
        <v>0</v>
      </c>
      <c r="KV128" s="12">
        <f>IF('Données projet'!$A$408&gt;35,KV127+KU128-LD127,IF($A128&lt;'Données projet'!$A$408,$CQ$205^$A128,IF($A128='Données projet'!$A$408,'Données projet'!$B$408,KV127+KU128-LD127)))</f>
        <v>-1.1368683772161603E-13</v>
      </c>
      <c r="KW128" s="17">
        <f>KV128*VLOOKUP('Données projet'!$B$23,Paramètres!$A$1:$I$89,3,0)*VLOOKUP('Données projet'!$B$23,Paramètres!$A$1:$I$89,5,0)</f>
        <v>-9.9316821433603781E-14</v>
      </c>
      <c r="KX128" s="13" t="e">
        <f t="shared" si="210"/>
        <v>#NUM!</v>
      </c>
      <c r="KY128" s="14" t="e">
        <f t="shared" si="162"/>
        <v>#NUM!</v>
      </c>
      <c r="KZ128" s="59" t="e">
        <f t="shared" si="163"/>
        <v>#NUM!</v>
      </c>
      <c r="LA128" s="59">
        <f ca="1">AVERAGE(OFFSET($KZ$3,0,0,'Données projet'!$E$23+1,1))-AVERAGE(OFFSET($H$3,0,0,'Données projet'!$E$23+1,1))</f>
        <v>248.33596943633819</v>
      </c>
      <c r="LB128" s="59">
        <f t="shared" si="211"/>
        <v>242.34010522344573</v>
      </c>
      <c r="LC128" s="15">
        <f>IF(ISNA(VLOOKUP($A128,'Données projet'!$A$408:$I$428,3,0)),0,VLOOKUP($A128,'Données projet'!$A$408:$I$428,3,0))</f>
        <v>0</v>
      </c>
      <c r="LD128" s="15">
        <f>IF(ISNA(VLOOKUP($A128,'Données projet'!$A$408:$I$428,4,0)),0,VLOOKUP($A128,'Données projet'!$A$408:$I$428,4,0))</f>
        <v>0</v>
      </c>
      <c r="LE128" s="16">
        <f>IF(ISNA(VLOOKUP($A128,'Données projet'!$A$408:$I$428,5,0)),0%,VLOOKUP($A128,'Données projet'!$A$408:$I$428,5,0)*VLOOKUP('Données projet'!$B$23,Paramètres!$A$1:$I$89,7,0))</f>
        <v>0</v>
      </c>
      <c r="LF128" s="16">
        <f>IF(ISNA(VLOOKUP($A128,'Données projet'!$A$408:$I$428,6,0)),0%,VLOOKUP($A128,'Données projet'!$A$408:$I$428,6,0)*VLOOKUP('Données projet'!$B$23,Paramètres!$A$1:$I$89,7,0))</f>
        <v>0</v>
      </c>
      <c r="LG128" s="16">
        <f>IF(ISNA(VLOOKUP($A128,'Données projet'!$A$408:$I$428,7,0)),0%,VLOOKUP($A128,'Données projet'!$A$408:$I$428,7,0))</f>
        <v>0</v>
      </c>
      <c r="LH128" s="21">
        <f>EXP(-LN(2)/35)*LH127+(1-EXP(-LN(2)/35))/(LN(2)/35)*LD128*LE128*VLOOKUP('Données projet'!$B$23,Paramètres!$A$1:$I$89,3,0)*0.475*44/12</f>
        <v>50.541026353141255</v>
      </c>
      <c r="LI128" s="21">
        <f>EXP(-LN(2)/25)*LI127+(1-EXP(-LN(2)/25))/(LN(2)/25)*Calculateur!LD128*Calculateur!LF128*VLOOKUP('Données projet'!$B$23,Paramètres!$A$1:$I$89,3,0)*0.475*44/12</f>
        <v>6.2538321871255151</v>
      </c>
      <c r="LJ128" s="21">
        <f>EXP(-LN(2)/2)*LJ127+(1-EXP(-LN(2)/2))/(LN(2)/2)*LD128*LG128*VLOOKUP('Données projet'!$B$23,Paramètres!$A$1:$I$89,3,0)*0.475*44/12</f>
        <v>0</v>
      </c>
      <c r="LK128" s="22">
        <f t="shared" si="164"/>
        <v>56.794858540266773</v>
      </c>
      <c r="LL128" s="74">
        <f>('Scénario référence'!$F$8+'Scénario référence'!$F$9+'Scénario référence'!$B$17+'Scénario référence'!$B$9+'Scénario référence'!$B$10)*70+IF((45+25*(1-EXP(-0.0175*$A128)))&lt;70,'Scénario référence'!$B$16*(45+25*(1-EXP(-0.0175*$A128))),70*'Scénario référence'!$B$16)+IF((32+38*(1-EXP(-0.0175*$A128)))&lt;70,'Scénario référence'!$B$18*(32+38*(1-EXP(-0.0175*$A128))),70*'Scénario référence'!$B$18)</f>
        <v>70</v>
      </c>
      <c r="LM128" s="12">
        <f>IF($A128&gt;30,10,('Scénario référence'!$B$16+'Scénario référence'!$B$17+'Scénario référence'!$B$18+'Scénario référence'!$B$9+'Scénario référence'!$B$10)*$A128*10/30+('Scénario référence'!$F$8+'Scénario référence'!$F$9)*10)</f>
        <v>10</v>
      </c>
      <c r="LN128" s="12">
        <f>VLOOKUP($A128,'Données projet'!$A$434:$I$454,2,0)</f>
        <v>278.29487179487177</v>
      </c>
      <c r="LO128" s="12">
        <f>VLOOKUP($A128,'Données projet'!$A$434:$I$454,9,0)</f>
        <v>5.3066239316239274</v>
      </c>
      <c r="LP128" s="12">
        <f t="array" ref="LP128">INDEX(LO:LO,MIN(IF(ISNUMBER(LO128:LO324),ROW(LO128:LO324),"")))</f>
        <v>5.3066239316239274</v>
      </c>
      <c r="LQ128" s="12">
        <f>IF('Données projet'!$A$434&gt;35,LQ127+LP128-LY127,IF($A128&lt;'Données projet'!$A$434,$CQ$205^$A128,IF($A128='Données projet'!$A$434,'Données projet'!$B$434,LQ127+LP128-LY127)))</f>
        <v>278.29487179487131</v>
      </c>
      <c r="LR128" s="17">
        <f>LQ128*VLOOKUP('Données projet'!$B$24,Paramètres!$A$1:$I$89,3,0)*VLOOKUP('Données projet'!$B$24,Paramètres!$A$1:$I$89,5,0)</f>
        <v>282.19099999999952</v>
      </c>
      <c r="LS128" s="13">
        <f t="shared" si="212"/>
        <v>67.429819909567854</v>
      </c>
      <c r="LT128" s="14">
        <f t="shared" si="165"/>
        <v>608.92292800916312</v>
      </c>
      <c r="LU128" s="59">
        <f t="shared" si="166"/>
        <v>902.25626134249637</v>
      </c>
      <c r="LV128" s="59">
        <f ca="1">AVERAGE(OFFSET($LU$3,0,0,'Données projet'!$E$24+1,1))-AVERAGE(OFFSET($H$3,0,0,'Données projet'!$E$24+1,1))</f>
        <v>260.52627655062872</v>
      </c>
      <c r="LW128" s="59">
        <f t="shared" si="213"/>
        <v>159.20429420478047</v>
      </c>
      <c r="LX128" s="15">
        <f>IF(ISNA(VLOOKUP($A128,'Données projet'!$A$434:$I$454,3,0)),0,VLOOKUP($A128,'Données projet'!$A$434:$I$454,3,0))</f>
        <v>10</v>
      </c>
      <c r="LY128" s="15">
        <f>IF(ISNA(VLOOKUP($A128,'Données projet'!$A$434:$I$454,4,0)),0,VLOOKUP($A128,'Données projet'!$A$434:$I$454,4,0))</f>
        <v>48.160256410256409</v>
      </c>
      <c r="LZ128" s="16">
        <f>IF(ISNA(VLOOKUP($A128,'Données projet'!$A$434:$I$454,5,0)),0%,VLOOKUP($A128,'Données projet'!$A$434:$I$454,5,0)*VLOOKUP('Données projet'!$B$24,Paramètres!$A$1:$I$89,7,0))</f>
        <v>0.30099999999999999</v>
      </c>
      <c r="MA128" s="16">
        <f>IF(ISNA(VLOOKUP($A128,'Données projet'!$A$434:$I$454,6,0)),0%,VLOOKUP($A128,'Données projet'!$A$434:$I$454,6,0)*VLOOKUP('Données projet'!$B$24,Paramètres!$A$1:$I$89,7,0))</f>
        <v>0</v>
      </c>
      <c r="MB128" s="16">
        <f>IF(ISNA(VLOOKUP($A128,'Données projet'!$A$434:$I$454,7,0)),0%,VLOOKUP($A128,'Données projet'!$A$434:$I$454,7,0))</f>
        <v>0</v>
      </c>
      <c r="MC128" s="21">
        <f>EXP(-LN(2)/35)*MC127+(1-EXP(-LN(2)/35))/(LN(2)/35)*LY128*LZ128*VLOOKUP('Données projet'!$B$24,Paramètres!$A$1:$I$89,3,0)*0.475*44/12</f>
        <v>47.796797081744565</v>
      </c>
      <c r="MD128" s="21">
        <f>EXP(-LN(2)/25)*MD127+(1-EXP(-LN(2)/25))/(LN(2)/25)*Calculateur!LY128*Calculateur!MA128*VLOOKUP('Données projet'!$B$24,Paramètres!$A$1:$I$89,3,0)*0.475*44/12</f>
        <v>0</v>
      </c>
      <c r="ME128" s="21">
        <f>EXP(-LN(2)/2)*ME127+(1-EXP(-LN(2)/2))/(LN(2)/2)*LY128*MB128*VLOOKUP('Données projet'!$B$24,Paramètres!$A$1:$I$89,3,0)*0.475*44/12</f>
        <v>0</v>
      </c>
      <c r="MF128" s="22">
        <f t="shared" si="167"/>
        <v>47.796797081744565</v>
      </c>
      <c r="MG128" s="74">
        <f>('Scénario référence'!$F$8+'Scénario référence'!$F$9+'Scénario référence'!$B$17+'Scénario référence'!$B$9+'Scénario référence'!$B$10)*70+IF((45+25*(1-EXP(-0.0175*$A128)))&lt;70,'Scénario référence'!$B$16*(45+25*(1-EXP(-0.0175*$A128))),70*'Scénario référence'!$B$16)+IF((32+38*(1-EXP(-0.0175*$A128)))&lt;70,'Scénario référence'!$B$18*(32+38*(1-EXP(-0.0175*$A128))),70*'Scénario référence'!$B$18)</f>
        <v>70</v>
      </c>
      <c r="MH128" s="12">
        <f>IF($A128&gt;30,10,('Scénario référence'!$B$16+'Scénario référence'!$B$17+'Scénario référence'!$B$18+'Scénario référence'!$B$9+'Scénario référence'!$B$10)*$A128*10/30+('Scénario référence'!$F$8+'Scénario référence'!$F$9)*10)</f>
        <v>10</v>
      </c>
      <c r="MI128" s="12" t="e">
        <f>VLOOKUP($A128,'Données projet'!$A$460:$I$480,2,0)</f>
        <v>#N/A</v>
      </c>
      <c r="MJ128" s="12" t="e">
        <f>VLOOKUP($A128,'Données projet'!$A$460:$I$480,9,0)</f>
        <v>#N/A</v>
      </c>
      <c r="MK128" s="12">
        <f t="array" ref="MK128">INDEX(MJ:MJ,MIN(IF(ISNUMBER(MJ128:MJ324),ROW(MJ128:MJ324),"")))</f>
        <v>0</v>
      </c>
      <c r="ML128" s="12">
        <f>IF('Données projet'!$A$460&gt;35,ML127+MK128-MT127,IF($A128&lt;'Données projet'!$A$460,$CQ$205^$A128,IF($A128='Données projet'!$A$460,'Données projet'!$B$460,ML127+MK128-MT127)))</f>
        <v>0</v>
      </c>
      <c r="MM128" s="17" t="e">
        <f>ML128*VLOOKUP('Données projet'!$B$25,Paramètres!$A$1:$I$89,3,0)*VLOOKUP('Données projet'!$B$25,Paramètres!$A$1:$I$89,5,0)</f>
        <v>#N/A</v>
      </c>
      <c r="MN128" s="13" t="e">
        <f t="shared" si="214"/>
        <v>#N/A</v>
      </c>
      <c r="MO128" s="14" t="e">
        <f t="shared" si="168"/>
        <v>#N/A</v>
      </c>
      <c r="MP128" s="59" t="e">
        <f t="shared" si="169"/>
        <v>#N/A</v>
      </c>
      <c r="MQ128" s="20" t="e">
        <f ca="1">AVERAGE(OFFSET($MP$3,0,0,'Données projet'!$E$25+1,1))-AVERAGE(OFFSET($H$3,0,0,'Données projet'!$E$25+1,1))</f>
        <v>#N/A</v>
      </c>
      <c r="MR128" s="59" t="e">
        <f t="shared" si="215"/>
        <v>#N/A</v>
      </c>
      <c r="MS128" s="15">
        <f>IF(ISNA(VLOOKUP($A128,'Données projet'!$A$460:$I$480,3,0)),0,VLOOKUP($A128,'Données projet'!$A$460:$I$480,3,0))</f>
        <v>0</v>
      </c>
      <c r="MT128" s="15">
        <f>IF(ISNA(VLOOKUP($A128,'Données projet'!$A$460:$I$480,4,0)),0,VLOOKUP($A128,'Données projet'!$A$460:$I$480,4,0))</f>
        <v>0</v>
      </c>
      <c r="MU128" s="16">
        <f>IF(ISNA(VLOOKUP($A128,'Données projet'!$A$460:$I$480,5,0)),0%,VLOOKUP($A128,'Données projet'!$A$460:$I$480,5,0)*VLOOKUP('Données projet'!$B$25,Paramètres!$A$1:$I$89,7,0))</f>
        <v>0</v>
      </c>
      <c r="MV128" s="16">
        <f>IF(ISNA(VLOOKUP($A128,'Données projet'!$A$460:$I$480,6,0)),0%,VLOOKUP($A128,'Données projet'!$A$460:$I$480,6,0)*VLOOKUP('Données projet'!$B$25,Paramètres!$A$1:$I$89,7,0))</f>
        <v>0</v>
      </c>
      <c r="MW128" s="16">
        <f>IF(ISNA(VLOOKUP($A128,'Données projet'!$A$460:$I$480,7,0)),0%,VLOOKUP($A128,'Données projet'!$A$460:$I$480,7,0))</f>
        <v>0</v>
      </c>
      <c r="MX128" s="21" t="e">
        <f>EXP(-LN(2)/35)*MX127+(1-EXP(-LN(2)/35))/(LN(2)/35)*MT128*MU128*VLOOKUP('Données projet'!$B$25,Paramètres!$A$1:$I$89,3,0)*0.475*44/12</f>
        <v>#N/A</v>
      </c>
      <c r="MY128" s="21" t="e">
        <f>EXP(-LN(2)/25)*MY127+(1-EXP(-LN(2)/25))/(LN(2)/25)*Calculateur!MT128*Calculateur!MV128*VLOOKUP('Données projet'!$B$25,Paramètres!$A$1:$I$89,3,0)*0.475*44/12</f>
        <v>#N/A</v>
      </c>
      <c r="MZ128" s="21" t="e">
        <f>EXP(-LN(2)/2)*MZ127+(1-EXP(-LN(2)/2))/(LN(2)/2)*MT128*MW128*VLOOKUP('Données projet'!$B$25,Paramètres!$A$1:$I$89,3,0)*0.475*44/12</f>
        <v>#N/A</v>
      </c>
      <c r="NA128" s="22" t="e">
        <f t="shared" si="170"/>
        <v>#N/A</v>
      </c>
      <c r="NB128" s="74">
        <f>('Scénario référence'!$F$8+'Scénario référence'!$F$9+'Scénario référence'!$B$17+'Scénario référence'!$B$9+'Scénario référence'!$B$10)*70+IF((45+25*(1-EXP(-0.0175*$A128)))&lt;70,'Scénario référence'!$B$16*(45+25*(1-EXP(-0.0175*$A128))),70*'Scénario référence'!$B$16)+IF((32+38*(1-EXP(-0.0175*$A128)))&lt;70,'Scénario référence'!$B$18*(32+38*(1-EXP(-0.0175*$A128))),70*'Scénario référence'!$B$18)</f>
        <v>70</v>
      </c>
      <c r="NC128" s="12">
        <f>IF($A128&gt;30,10,('Scénario référence'!$B$16+'Scénario référence'!$B$17+'Scénario référence'!$B$18+'Scénario référence'!$B$9+'Scénario référence'!$B$10)*$A128*10/30+('Scénario référence'!$F$8+'Scénario référence'!$F$9)*10)</f>
        <v>10</v>
      </c>
      <c r="ND128" s="12" t="e">
        <f>VLOOKUP($A128,'Données projet'!$A$486:$I$506,2,0)</f>
        <v>#N/A</v>
      </c>
      <c r="NE128" s="12" t="e">
        <f>VLOOKUP($A128,'Données projet'!$A$486:$I$506,9,0)</f>
        <v>#N/A</v>
      </c>
      <c r="NF128" s="12">
        <f t="array" ref="NF128">INDEX(NE:NE,MIN(IF(ISNUMBER(NE128:NE324),ROW(NE128:NE324),"")))</f>
        <v>0</v>
      </c>
      <c r="NG128" s="12">
        <f>IF('Données projet'!$A$486&gt;35,NG127+NF128-NO127,IF($A128&lt;'Données projet'!$A$486,$CQ$205^$A128,IF($A128='Données projet'!$A$486,'Données projet'!$B$486,NG127+NF128-NO127)))</f>
        <v>0</v>
      </c>
      <c r="NH128" s="17" t="e">
        <f>NG128*VLOOKUP('Données projet'!$B$26,Paramètres!$A$1:$I$89,3,0)*VLOOKUP('Données projet'!$B$26,Paramètres!$A$1:$I$89,5,0)</f>
        <v>#N/A</v>
      </c>
      <c r="NI128" s="13" t="e">
        <f t="shared" si="216"/>
        <v>#N/A</v>
      </c>
      <c r="NJ128" s="14" t="e">
        <f t="shared" si="171"/>
        <v>#N/A</v>
      </c>
      <c r="NK128" s="59" t="e">
        <f t="shared" si="172"/>
        <v>#N/A</v>
      </c>
      <c r="NL128" s="20" t="e">
        <f ca="1">AVERAGE(OFFSET($NK$3,0,0,'Données projet'!$E$26+1,1))-AVERAGE(OFFSET($H$3,0,0,'Données projet'!$E$26+1,1))</f>
        <v>#N/A</v>
      </c>
      <c r="NM128" s="59" t="e">
        <f t="shared" si="217"/>
        <v>#N/A</v>
      </c>
      <c r="NN128" s="15">
        <f>IF(ISNA(VLOOKUP($A128,'Données projet'!$A$486:$I$506,3,0)),0,VLOOKUP($A128,'Données projet'!$A$486:$I$506,3,0))</f>
        <v>0</v>
      </c>
      <c r="NO128" s="15">
        <f>IF(ISNA(VLOOKUP($A128,'Données projet'!$A$486:$I$506,4,0)),0,VLOOKUP($A128,'Données projet'!$A$486:$I$506,4,0))</f>
        <v>0</v>
      </c>
      <c r="NP128" s="16">
        <f>IF(ISNA(VLOOKUP($A128,'Données projet'!$A$486:$I$506,5,0)),0%,VLOOKUP($A128,'Données projet'!$A$486:$I$506,5,0)*VLOOKUP('Données projet'!$B$26,Paramètres!$A$1:$I$89,7,0))</f>
        <v>0</v>
      </c>
      <c r="NQ128" s="16">
        <f>IF(ISNA(VLOOKUP($A128,'Données projet'!$A$486:$I$506,6,0)),0%,VLOOKUP($A128,'Données projet'!$A$486:$I$506,6,0)*VLOOKUP('Données projet'!$B$26,Paramètres!$A$1:$I$89,7,0))</f>
        <v>0</v>
      </c>
      <c r="NR128" s="16">
        <f>IF(ISNA(VLOOKUP($A128,'Données projet'!$A$486:$I$506,7,0)),0%,VLOOKUP($A128,'Données projet'!$A$486:$I$506,7,0))</f>
        <v>0</v>
      </c>
      <c r="NS128" s="21" t="e">
        <f>EXP(-LN(2)/35)*NS127+(1-EXP(-LN(2)/35))/(LN(2)/35)*NO128*NP128*VLOOKUP('Données projet'!$B$26,Paramètres!$A$1:$I$89,3,0)*0.475*44/12</f>
        <v>#N/A</v>
      </c>
      <c r="NT128" s="21" t="e">
        <f>EXP(-LN(2)/25)*NT127+(1-EXP(-LN(2)/25))/(LN(2)/25)*Calculateur!NO128*Calculateur!NQ128*VLOOKUP('Données projet'!$B$26,Paramètres!$A$1:$I$89,3,0)*0.475*44/12</f>
        <v>#N/A</v>
      </c>
      <c r="NU128" s="21" t="e">
        <f>EXP(-LN(2)/2)*NU127+(1-EXP(-LN(2)/2))/(LN(2)/2)*NO128*NR128*VLOOKUP('Données projet'!$B$26,Paramètres!$A$1:$I$89,3,0)*0.475*44/12</f>
        <v>#N/A</v>
      </c>
      <c r="NV128" s="22" t="e">
        <f t="shared" si="173"/>
        <v>#N/A</v>
      </c>
      <c r="NW128" s="74">
        <f>('Scénario référence'!$F$8+'Scénario référence'!$F$9+'Scénario référence'!$B$17+'Scénario référence'!$B$9+'Scénario référence'!$B$10)*70+IF((45+25*(1-EXP(-0.0175*$A128)))&lt;70,'Scénario référence'!$B$16*(45+25*(1-EXP(-0.0175*$A128))),70*'Scénario référence'!$B$16)+IF((32+38*(1-EXP(-0.0175*$A128)))&lt;70,'Scénario référence'!$B$18*(32+38*(1-EXP(-0.0175*$A128))),70*'Scénario référence'!$B$18)</f>
        <v>70</v>
      </c>
      <c r="NX128" s="12">
        <f>IF($A128&gt;30,10,('Scénario référence'!$B$16+'Scénario référence'!$B$17+'Scénario référence'!$B$18+'Scénario référence'!$B$9+'Scénario référence'!$B$10)*$A128*10/30+('Scénario référence'!$F$8+'Scénario référence'!$F$9)*10)</f>
        <v>10</v>
      </c>
      <c r="NY128" s="12" t="e">
        <f>VLOOKUP($A128,'Données projet'!$A$512:$I$532,2,0)</f>
        <v>#N/A</v>
      </c>
      <c r="NZ128" s="12" t="e">
        <f>VLOOKUP($A128,'Données projet'!$A$512:$I$532,9,0)</f>
        <v>#N/A</v>
      </c>
      <c r="OA128" s="12">
        <f t="array" ref="OA128">INDEX(NZ:NZ,MIN(IF(ISNUMBER(NZ128:NZ324),ROW(NZ128:NZ324),"")))</f>
        <v>0</v>
      </c>
      <c r="OB128" s="12">
        <f>IF('Données projet'!$A$512&gt;35,OB127+OA128-OJ127,IF($A128&lt;'Données projet'!$A$512,$CQ$205^$A128,IF($A128='Données projet'!$A$512,'Données projet'!$B$512,OB127+OA128-OJ127)))</f>
        <v>0</v>
      </c>
      <c r="OC128" s="17" t="e">
        <f>OB128*VLOOKUP('Données projet'!$B$27,Paramètres!$A$1:$I$89,3,0)*VLOOKUP('Données projet'!$B$27,Paramètres!$A$1:$I$89,5,0)</f>
        <v>#N/A</v>
      </c>
      <c r="OD128" s="13" t="e">
        <f t="shared" si="218"/>
        <v>#N/A</v>
      </c>
      <c r="OE128" s="14" t="e">
        <f t="shared" si="174"/>
        <v>#N/A</v>
      </c>
      <c r="OF128" s="59" t="e">
        <f t="shared" si="175"/>
        <v>#N/A</v>
      </c>
      <c r="OG128" s="20" t="e">
        <f ca="1">AVERAGE(OFFSET($OF$3,0,0,'Données projet'!$E$27+1,1))-AVERAGE(OFFSET($H$3,0,0,'Données projet'!$E$27+1,1))</f>
        <v>#N/A</v>
      </c>
      <c r="OH128" s="59" t="e">
        <f t="shared" si="219"/>
        <v>#N/A</v>
      </c>
      <c r="OI128" s="15">
        <f>IF(ISNA(VLOOKUP($A128,'Données projet'!$A$512:$I$532,3,0)),0,VLOOKUP($A128,'Données projet'!$A$512:$I$532,3,0))</f>
        <v>0</v>
      </c>
      <c r="OJ128" s="15">
        <f>IF(ISNA(VLOOKUP($A128,'Données projet'!$A$512:$I$532,4,0)),0,VLOOKUP($A128,'Données projet'!$A$512:$I$532,4,0))</f>
        <v>0</v>
      </c>
      <c r="OK128" s="16">
        <f>IF(ISNA(VLOOKUP($A128,'Données projet'!$A$512:$I$532,5,0)),0%,VLOOKUP($A128,'Données projet'!$A$512:$I$532,5,0)*VLOOKUP('Données projet'!$B$27,Paramètres!$A$1:$I$89,7,0))</f>
        <v>0</v>
      </c>
      <c r="OL128" s="16">
        <f>IF(ISNA(VLOOKUP($A128,'Données projet'!$A$512:$I$532,6,0)),0%,VLOOKUP($A128,'Données projet'!$A$512:$I$532,6,0)*VLOOKUP('Données projet'!$B$27,Paramètres!$A$1:$I$89,7,0))</f>
        <v>0</v>
      </c>
      <c r="OM128" s="16">
        <f>IF(ISNA(VLOOKUP($A128,'Données projet'!$A$512:$I$532,7,0)),0%,VLOOKUP($A128,'Données projet'!$A$512:$I$532,7,0))</f>
        <v>0</v>
      </c>
      <c r="ON128" s="21" t="e">
        <f>EXP(-LN(2)/35)*ON127+(1-EXP(-LN(2)/35))/(LN(2)/35)*OJ128*OK128*VLOOKUP('Données projet'!$B$27,Paramètres!$A$1:$I$89,3,0)*0.475*44/12</f>
        <v>#N/A</v>
      </c>
      <c r="OO128" s="21" t="e">
        <f>EXP(-LN(2)/25)*OO127+(1-EXP(-LN(2)/25))/(LN(2)/25)*Calculateur!OJ128*Calculateur!OL128*VLOOKUP('Données projet'!$B$27,Paramètres!$A$1:$I$89,3,0)*0.475*44/12</f>
        <v>#N/A</v>
      </c>
      <c r="OP128" s="21" t="e">
        <f>EXP(-LN(2)/2)*OP127+(1-EXP(-LN(2)/2))/(LN(2)/2)*OJ128*OM128*VLOOKUP('Données projet'!$B$27,Paramètres!$A$1:$I$89,3,0)*0.475*44/12</f>
        <v>#N/A</v>
      </c>
      <c r="OQ128" s="22" t="e">
        <f t="shared" si="176"/>
        <v>#N/A</v>
      </c>
      <c r="OR128" s="74">
        <f>('Scénario référence'!$F$8+'Scénario référence'!$F$9+'Scénario référence'!$B$17+'Scénario référence'!$B$9+'Scénario référence'!$B$10)*70+IF((45+25*(1-EXP(-0.0175*$A128)))&lt;70,'Scénario référence'!$B$16*(45+25*(1-EXP(-0.0175*$A128))),70*'Scénario référence'!$B$16)+IF((32+38*(1-EXP(-0.0175*$A128)))&lt;70,'Scénario référence'!$B$18*(32+38*(1-EXP(-0.0175*$A128))),70*'Scénario référence'!$B$18)</f>
        <v>70</v>
      </c>
      <c r="OS128" s="12">
        <f>IF($A128&gt;30,10,('Scénario référence'!$B$16+'Scénario référence'!$B$17+'Scénario référence'!$B$18+'Scénario référence'!$B$9+'Scénario référence'!$B$10)*$A128*10/30+('Scénario référence'!$F$8+'Scénario référence'!$F$9)*10)</f>
        <v>10</v>
      </c>
      <c r="OT128" s="12" t="e">
        <f>VLOOKUP($A128,'Données projet'!$A$538:$I$558,2,0)</f>
        <v>#N/A</v>
      </c>
      <c r="OU128" s="12" t="e">
        <f>VLOOKUP($A128,'Données projet'!$A$538:$I$558,9,0)</f>
        <v>#N/A</v>
      </c>
      <c r="OV128" s="12">
        <f t="array" ref="OV128">INDEX(OU:OU,MIN(IF(ISNUMBER(OU128:OU324),ROW(OU128:OU324),"")))</f>
        <v>0</v>
      </c>
      <c r="OW128" s="12">
        <f>IF('Données projet'!$A$538&gt;35,OW127+OV128-PE127,IF($A128&lt;'Données projet'!$A$538,$CQ$205^$A128,IF($A128='Données projet'!$A$538,'Données projet'!$B$538,OW127+OV128-PE127)))</f>
        <v>0</v>
      </c>
      <c r="OX128" s="17" t="e">
        <f>OW128*VLOOKUP('Données projet'!$B$28,Paramètres!$A$1:$I$89,3,0)*VLOOKUP('Données projet'!$B$28,Paramètres!$A$1:$I$89,5,0)</f>
        <v>#N/A</v>
      </c>
      <c r="OY128" s="13" t="e">
        <f t="shared" si="220"/>
        <v>#N/A</v>
      </c>
      <c r="OZ128" s="14" t="e">
        <f t="shared" si="177"/>
        <v>#N/A</v>
      </c>
      <c r="PA128" s="59" t="e">
        <f t="shared" si="178"/>
        <v>#N/A</v>
      </c>
      <c r="PB128" s="20" t="e">
        <f ca="1">AVERAGE(OFFSET($PA$3,0,0,'Données projet'!$E$28+1,1))-AVERAGE(OFFSET($H$3,0,0,'Données projet'!$E$28+1,1))</f>
        <v>#N/A</v>
      </c>
      <c r="PC128" s="59" t="e">
        <f t="shared" si="221"/>
        <v>#N/A</v>
      </c>
      <c r="PD128" s="15">
        <f>IF(ISNA(VLOOKUP($A128,'Données projet'!$A$538:$I$558,3,0)),0,VLOOKUP($A128,'Données projet'!$A$538:$I$558,3,0))</f>
        <v>0</v>
      </c>
      <c r="PE128" s="15">
        <f>IF(ISNA(VLOOKUP($A128,'Données projet'!$A$538:$I$558,4,0)),0,VLOOKUP($A128,'Données projet'!$A$538:$I$558,4,0))</f>
        <v>0</v>
      </c>
      <c r="PF128" s="16">
        <f>IF(ISNA(VLOOKUP($A128,'Données projet'!$A$538:$I$558,5,0)),0%,VLOOKUP($A128,'Données projet'!$A$538:$I$558,5,0)*VLOOKUP('Données projet'!$B$28,Paramètres!$A$1:$I$89,7,0))</f>
        <v>0</v>
      </c>
      <c r="PG128" s="16">
        <f>IF(ISNA(VLOOKUP($A128,'Données projet'!$A$538:$I$558,6,0)),0%,VLOOKUP($A128,'Données projet'!$A$538:$I$558,6,0)*VLOOKUP('Données projet'!$B$28,Paramètres!$A$1:$I$89,7,0))</f>
        <v>0</v>
      </c>
      <c r="PH128" s="16">
        <f>IF(ISNA(VLOOKUP($A128,'Données projet'!$A$538:$I$558,7,0)),0%,VLOOKUP($A128,'Données projet'!$A$538:$I$558,7,0))</f>
        <v>0</v>
      </c>
      <c r="PI128" s="21" t="e">
        <f>EXP(-LN(2)/35)*PI127+(1-EXP(-LN(2)/35))/(LN(2)/35)*PE128*PF128*VLOOKUP('Données projet'!$B$28,Paramètres!$A$1:$I$89,3,0)*0.475*44/12</f>
        <v>#N/A</v>
      </c>
      <c r="PJ128" s="21" t="e">
        <f>EXP(-LN(2)/25)*PJ127+(1-EXP(-LN(2)/25))/(LN(2)/25)*Calculateur!PE128*Calculateur!PG128*VLOOKUP('Données projet'!$B$28,Paramètres!$A$1:$I$89,3,0)*0.475*44/12</f>
        <v>#N/A</v>
      </c>
      <c r="PK128" s="21" t="e">
        <f>EXP(-LN(2)/2)*PK127+(1-EXP(-LN(2)/2))/(LN(2)/2)*PE128*PH128*VLOOKUP('Données projet'!$B$28,Paramètres!$A$1:$I$89,3,0)*0.475*44/12</f>
        <v>#N/A</v>
      </c>
      <c r="PL128" s="22" t="e">
        <f t="shared" si="179"/>
        <v>#N/A</v>
      </c>
    </row>
    <row r="129" spans="1:428" x14ac:dyDescent="0.35">
      <c r="A129" s="10">
        <f t="shared" si="180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181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121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projet'!$A$45:$I$65,2,0)</f>
        <v>#N/A</v>
      </c>
      <c r="L129" s="12" t="e">
        <f>VLOOKUP(A129,'Données projet'!$A$45:$I$65,9,0)</f>
        <v>#N/A</v>
      </c>
      <c r="M129" s="12">
        <f t="array" ref="M129">INDEX(L:L,MIN(IF(ISNUMBER(L129:L325),ROW(L129:L325),"")))</f>
        <v>0</v>
      </c>
      <c r="N129" s="13">
        <f>IF('Données projet'!$A$46&gt;35,N128+M129-V128,IF(A129&lt;'Données projet'!$A$46,$K$205^A129,IF(A129='Données projet'!$A$46,'Données projet'!$B$46,N128+M129-V128)))</f>
        <v>-1.1368683772161603E-13</v>
      </c>
      <c r="O129" s="13">
        <f>N129*VLOOKUP('Données projet'!$B$9,Paramètres!$A$1:$I$89,3,0)*VLOOKUP('Données projet'!$B$9,Paramètres!$A$1:$I$89,5,0)</f>
        <v>-6.3550942286383367E-14</v>
      </c>
      <c r="P129" s="13" t="e">
        <f t="shared" si="182"/>
        <v>#NUM!</v>
      </c>
      <c r="Q129" s="20" t="e">
        <f t="shared" si="222"/>
        <v>#NUM!</v>
      </c>
      <c r="R129" s="59" t="e">
        <f t="shared" si="120"/>
        <v>#NUM!</v>
      </c>
      <c r="S129" s="59">
        <f ca="1">AVERAGE(OFFSET($R$3,0,0,'Données projet'!$E$9+1,1))-AVERAGE(OFFSET($H$3,0,0,'Données projet'!$E$9+1,1))</f>
        <v>274.57619581652199</v>
      </c>
      <c r="T129" s="59">
        <f t="shared" si="183"/>
        <v>366.15117322598775</v>
      </c>
      <c r="U129" s="15">
        <f>IF(ISNA(VLOOKUP(A129,'Données projet'!$A$45:$I$65,3,0)),0,VLOOKUP(A129,'Données projet'!$A$45:$I$65,3,0))</f>
        <v>0</v>
      </c>
      <c r="V129" s="15">
        <f>IF(ISNA(VLOOKUP(A129,'Données projet'!$A$45:$I$65,4,0)),0,VLOOKUP(A129,'Données projet'!$A$45:$I$65,4,0))</f>
        <v>0</v>
      </c>
      <c r="W129" s="16">
        <f>IF(ISNA(VLOOKUP(A129,'Données projet'!$A$45:$I$65,5,0)),0%,VLOOKUP(A129,'Données projet'!$A$45:$I$65,5,0)*VLOOKUP('Données projet'!$B$9,Paramètres!$A$1:$I$89,7,0))</f>
        <v>0</v>
      </c>
      <c r="X129" s="16">
        <f>IF(ISNA(VLOOKUP(A129,'Données projet'!$A$45:$I$65,6,0)),0%,VLOOKUP(A129,'Données projet'!$A$45:$I$65,6,0)*VLOOKUP('Données projet'!$B$9,Paramètres!$A$1:$I$89,7,0))</f>
        <v>0</v>
      </c>
      <c r="Y129" s="16">
        <f>IF(ISNA(VLOOKUP(A129,'Données projet'!$A$45:$I$65,7,0)),0%,VLOOKUP(A129,'Données projet'!$A$45:$I$65,7,0))</f>
        <v>0</v>
      </c>
      <c r="Z129" s="21">
        <f>EXP(-LN(2)/35)*Z128+(1-EXP(-LN(2)/35))/(LN(2)/35)*V129*W129*VLOOKUP('Données projet'!$B$9,Paramètres!$A$1:$I$89,3,0)*0.475*44/12</f>
        <v>55.553118708112045</v>
      </c>
      <c r="AA129" s="21">
        <f>EXP(-LN(2)/25)*AA128+(1-EXP(-LN(2)/25))/(LN(2)/25)*Calculateur!V129*Calculateur!X129*VLOOKUP('Données projet'!$B$9,Paramètres!$A$1:$I$89,3,0)*0.475*44/12</f>
        <v>8.0455400439944711</v>
      </c>
      <c r="AB129" s="21">
        <f>EXP(-LN(2)/2)*AB128+(1-EXP(-LN(2)/2))/(LN(2)/2)*V129*Y129*VLOOKUP('Données projet'!$B$9,Paramètres!$A$1:$I$89,3,0)*0.475*44/12</f>
        <v>7.030230980448858E-10</v>
      </c>
      <c r="AC129" s="22">
        <f t="shared" si="122"/>
        <v>63.598658752809541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projet'!$A$71:$I$91,2,0)</f>
        <v>#N/A</v>
      </c>
      <c r="AG129" s="12" t="e">
        <f>VLOOKUP(A129,'Données projet'!$A$71:$I$91,9,0)</f>
        <v>#N/A</v>
      </c>
      <c r="AH129" s="12">
        <f t="array" ref="AH129">INDEX(AG:AG,MIN(IF(ISNUMBER(AG129:AG325),ROW(AG129:AG325),"")))</f>
        <v>2.3349358974358978</v>
      </c>
      <c r="AI129" s="13">
        <f>IF('Données projet'!$A$72&gt;35,AI128+AH129-AQ128,IF(A129&lt;'Données projet'!$A$72,$AF$205^A129,IF(A129='Données projet'!$A$72,'Données projet'!$B$72,AI128+AH129-AQ128)))</f>
        <v>152.4663461538467</v>
      </c>
      <c r="AJ129" s="13">
        <f>AI129*VLOOKUP('Données projet'!$B$10,Paramètres!$A$1:$I$89,3,0)*VLOOKUP('Données projet'!$B$10,Paramètres!$A$1:$I$89,5,0)</f>
        <v>137.95155000000048</v>
      </c>
      <c r="AK129" s="13">
        <f t="shared" si="184"/>
        <v>35.827332555199952</v>
      </c>
      <c r="AL129" s="20">
        <f t="shared" si="123"/>
        <v>302.66488711697406</v>
      </c>
      <c r="AM129" s="59">
        <f t="shared" si="124"/>
        <v>595.99822045030737</v>
      </c>
      <c r="AN129" s="59">
        <f ca="1">AVERAGE(OFFSET($AM$3,0,0,'Données projet'!$E$10+1,1))-AVERAGE(OFFSET($H$3,0,0,'Données projet'!$E$10+1,1))</f>
        <v>270.87836509222456</v>
      </c>
      <c r="AO129" s="59">
        <f t="shared" si="185"/>
        <v>205.24998237949734</v>
      </c>
      <c r="AP129" s="15">
        <f>IF(ISNA(VLOOKUP(A129,'Données projet'!$A$71:$I$91,3,0)),0,VLOOKUP(A129,'Données projet'!$A$71:$I$91,3,0))</f>
        <v>0</v>
      </c>
      <c r="AQ129" s="15">
        <f>IF(ISNA(VLOOKUP(A129,'Données projet'!$A$71:$I$91,4,0)),0,VLOOKUP(A129,'Données projet'!$A$71:$I$91,4,0))</f>
        <v>0</v>
      </c>
      <c r="AR129" s="16">
        <f>IF(ISNA(VLOOKUP(A129,'Données projet'!$A$71:$I$91,5,0)),0%,VLOOKUP(A129,'Données projet'!$A$71:$I$91,5,0)*VLOOKUP('Données projet'!$B$10,Paramètres!$A$1:$I$89,7,0))</f>
        <v>0</v>
      </c>
      <c r="AS129" s="16">
        <f>IF(ISNA(VLOOKUP(A129,'Données projet'!$A$71:$I$91,6,0)),0%,VLOOKUP(A129,'Données projet'!$A$71:$I$91,6,0)*VLOOKUP('Données projet'!$B$10,Paramètres!$A$1:$I$89,7,0))</f>
        <v>0</v>
      </c>
      <c r="AT129" s="16">
        <f>IF(ISNA(VLOOKUP(A129,'Données projet'!$A$71:$I$91,7,0)),0%,VLOOKUP(A129,'Données projet'!$A$71:$I$91,7,0))</f>
        <v>0</v>
      </c>
      <c r="AU129" s="21">
        <f>EXP(-LN(2)/35)*AU128+(1-EXP(-LN(2)/35))/(LN(2)/35)*AQ129*AR129*VLOOKUP('Données projet'!$B$10,Paramètres!$A$1:$I$89,3,0)*0.475*44/12</f>
        <v>121.67408280282721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125"/>
        <v>121.67408280282721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projet'!$A$97:$I$117,2,0)</f>
        <v>#N/A</v>
      </c>
      <c r="BB129" s="12" t="e">
        <f>VLOOKUP(A129,'Données projet'!$A$97:$I$117,9,0)</f>
        <v>#N/A</v>
      </c>
      <c r="BC129" s="12">
        <f t="array" ref="BC129">INDEX(BB:BB,MIN(IF(ISNUMBER(BB129:BB325),ROW(BB129:BB325),"")))</f>
        <v>0</v>
      </c>
      <c r="BD129" s="12">
        <f>IF('Données projet'!$A$98&gt;35,BD128+BC129-BL128,IF(A129&lt;'Données projet'!$A$98,$BA$205^A129,IF(A129='Données projet'!$A$98,'Données projet'!$B$98,BD128+BC129-BL128)))</f>
        <v>-1.1368683772161603E-13</v>
      </c>
      <c r="BE129" s="13">
        <f>BD129*VLOOKUP('Données projet'!$B$11,Paramètres!$A$1:$I$89,3,0)*VLOOKUP('Données projet'!$B$11,Paramètres!$A$1:$I$89,5,0)</f>
        <v>-5.0249582272954292E-14</v>
      </c>
      <c r="BF129" s="13" t="e">
        <f t="shared" si="186"/>
        <v>#NUM!</v>
      </c>
      <c r="BG129" s="20" t="e">
        <f t="shared" si="126"/>
        <v>#NUM!</v>
      </c>
      <c r="BH129" s="59" t="e">
        <f t="shared" si="127"/>
        <v>#NUM!</v>
      </c>
      <c r="BI129" s="59">
        <f ca="1">AVERAGE(OFFSET($BH$3,0,0,'Données projet'!$E$11+1,1))-AVERAGE(OFFSET($H$3,0,0,'Données projet'!$E$11+1,1))</f>
        <v>211.31057120485542</v>
      </c>
      <c r="BJ129" s="59">
        <f t="shared" si="187"/>
        <v>283.33292006714777</v>
      </c>
      <c r="BK129" s="15">
        <f>IF(ISNA(VLOOKUP(A129,'Données projet'!$A$97:$I$117,3,0)),0,VLOOKUP(A129,'Données projet'!$A$97:$I$117,3,0))</f>
        <v>0</v>
      </c>
      <c r="BL129" s="15">
        <f>IF(ISNA(VLOOKUP(A129,'Données projet'!$A$97:$I$117,4,0)),0,VLOOKUP(A129,'Données projet'!$A$97:$I$117,4,0))</f>
        <v>0</v>
      </c>
      <c r="BM129" s="16">
        <f>IF(ISNA(VLOOKUP(A129,'Données projet'!$A$97:$I$117,5,0)),0%,VLOOKUP(A129,'Données projet'!$A$97:$I$117,5,0)*VLOOKUP('Données projet'!$B$11,Paramètres!$A$1:$I$89,7,0))</f>
        <v>0</v>
      </c>
      <c r="BN129" s="16">
        <f>IF(ISNA(VLOOKUP(A129,'Données projet'!$A$97:$I$117,6,0)),0%,VLOOKUP(A129,'Données projet'!$A$97:$I$117,6,0)*VLOOKUP('Données projet'!$B$11,Paramètres!$A$1:$I$89,7,0))</f>
        <v>0</v>
      </c>
      <c r="BO129" s="16">
        <f>IF(ISNA(VLOOKUP(A129,'Données projet'!$A$97:$I$117,7,0)),0%,VLOOKUP(A129,'Données projet'!$A$97:$I$117,7,0))</f>
        <v>0</v>
      </c>
      <c r="BP129" s="21">
        <f>EXP(-LN(2)/35)*BP128+(1-EXP(-LN(2)/35))/(LN(2)/35)*BL129*BM129*VLOOKUP('Données projet'!$B$11,Paramètres!$A$1:$I$89,3,0)*0.475*44/12</f>
        <v>43.925721769204884</v>
      </c>
      <c r="BQ129" s="21">
        <f>EXP(-LN(2)/25)*BQ128+(1-EXP(-LN(2)/25))/(LN(2)/25)*Calculateur!BL129*Calculateur!BN129*VLOOKUP('Données projet'!$B$11,Paramètres!$A$1:$I$89,3,0)*0.475*44/12</f>
        <v>6.3615898022281829</v>
      </c>
      <c r="BR129" s="21">
        <f>EXP(-LN(2)/2)*BR128+(1-EXP(-LN(2)/2))/(LN(2)/2)*BL129*BO129*VLOOKUP('Données projet'!$B$11,Paramètres!$A$1:$I$89,3,0)*0.475*44/12</f>
        <v>5.5587872868665378E-10</v>
      </c>
      <c r="BS129" s="22">
        <f t="shared" si="128"/>
        <v>50.287311571988944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projet'!$A$123:$I$143,2,0)</f>
        <v>#N/A</v>
      </c>
      <c r="BW129" s="12" t="e">
        <f>VLOOKUP(A129,'Données projet'!$A$123:$I$143,9,0)</f>
        <v>#N/A</v>
      </c>
      <c r="BX129" s="12">
        <f t="array" ref="BX129">INDEX(BW:BW,MIN(IF(ISNUMBER(BW129:BW325),ROW(BW129:BW325),"")))</f>
        <v>0</v>
      </c>
      <c r="BY129" s="12">
        <f>IF('Données projet'!$A$124&gt;35,BY128+BX129-CG128,IF(A129&lt;'Données projet'!$A$124,$BV$205^A129,IF(A129='Données projet'!$A$124,'Données projet'!$B$124,BY128+BX129-CG128)))</f>
        <v>0</v>
      </c>
      <c r="BZ129" s="13">
        <f>BY129*VLOOKUP('Données projet'!$B$12,Paramètres!$A$1:$I$89,3,0)*VLOOKUP('Données projet'!$B$12,Paramètres!$A$1:$I$89,5,0)</f>
        <v>0</v>
      </c>
      <c r="CA129" s="13" t="e">
        <f t="shared" si="188"/>
        <v>#NUM!</v>
      </c>
      <c r="CB129" s="20" t="e">
        <f t="shared" si="129"/>
        <v>#NUM!</v>
      </c>
      <c r="CC129" s="59" t="e">
        <f t="shared" si="130"/>
        <v>#NUM!</v>
      </c>
      <c r="CD129" s="59">
        <f ca="1">AVERAGE(OFFSET($CC$3,0,0,'Données projet'!$E$12+1,1))-AVERAGE(OFFSET($H$3,0,0,'Données projet'!$E$12+1,1))</f>
        <v>322.93502595881938</v>
      </c>
      <c r="CE129" s="59">
        <f t="shared" si="189"/>
        <v>302.67072119588164</v>
      </c>
      <c r="CF129" s="15">
        <f>IF(ISNA(VLOOKUP(A129,'Données projet'!$A$123:$I$143,3,0)),0,VLOOKUP(A129,'Données projet'!$A$123:$I$143,3,0))</f>
        <v>0</v>
      </c>
      <c r="CG129" s="15">
        <f>IF(ISNA(VLOOKUP(A129,'Données projet'!$A$123:$I$143,4,0)),0,VLOOKUP(A129,'Données projet'!$A$123:$I$143,4,0))</f>
        <v>0</v>
      </c>
      <c r="CH129" s="16">
        <f>IF(ISNA(VLOOKUP(A129,'Données projet'!$A$123:$I$143,5,0)),0%,VLOOKUP(A129,'Données projet'!$A$123:$I$143,5,0)*VLOOKUP('Données projet'!$B$12,Paramètres!$A$1:$I$89,7,0))</f>
        <v>0</v>
      </c>
      <c r="CI129" s="16">
        <f>IF(ISNA(VLOOKUP(A129,'Données projet'!$A$123:$I$143,6,0)),0%,VLOOKUP(A129,'Données projet'!$A$123:$I$143,6,0)*VLOOKUP('Données projet'!$B$12,Paramètres!$A$1:$I$89,7,0))</f>
        <v>0</v>
      </c>
      <c r="CJ129" s="16">
        <f>IF(ISNA(VLOOKUP(A129,'Données projet'!$A$123:$I$143,7,0)),0%,VLOOKUP(A129,'Données projet'!$A$123:$I$143,7,0))</f>
        <v>0</v>
      </c>
      <c r="CK129" s="21">
        <f>EXP(-LN(2)/35)*CK128+(1-EXP(-LN(2)/35))/(LN(2)/35)*CG129*CH129*VLOOKUP('Données projet'!$B$12,Paramètres!$A$1:$I$89,3,0)*0.475*44/12</f>
        <v>69.984288735516017</v>
      </c>
      <c r="CL129" s="21">
        <f>EXP(-LN(2)/25)*CL128+(1-EXP(-LN(2)/25))/(LN(2)/25)*Calculateur!CG129*Calculateur!CI129*VLOOKUP('Données projet'!$B$12,Paramètres!$A$1:$I$89,3,0)*0.475*44/12</f>
        <v>20.360936376864689</v>
      </c>
      <c r="CM129" s="21">
        <f>EXP(-LN(2)/2)*CM128+(1-EXP(-LN(2)/2))/(LN(2)/2)*CG129*CJ129*VLOOKUP('Données projet'!$B$12,Paramètres!$A$1:$I$89,3,0)*0.475*44/12</f>
        <v>0</v>
      </c>
      <c r="CN129" s="22">
        <f t="shared" si="131"/>
        <v>90.345225112380703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projet'!$A$149:$I$169,2,0)</f>
        <v>#N/A</v>
      </c>
      <c r="CR129" s="12" t="e">
        <f>VLOOKUP(A129,'Données projet'!$A$149:$I$169,9,0)</f>
        <v>#N/A</v>
      </c>
      <c r="CS129" s="12">
        <f t="array" ref="CS129">INDEX(CR:CR,MIN(IF(ISNUMBER(CR129:CR325),ROW(CR129:CR325),"")))</f>
        <v>5.2446581196581219</v>
      </c>
      <c r="CT129" s="12">
        <f>IF('Données projet'!$A$150&gt;35,CT128+CS129-DB128,IF(A129&lt;'Données projet'!$A$150,$CQ$205^A129,IF(A129='Données projet'!$A$150,'Données projet'!$B$150,CT128+CS129-DB128)))</f>
        <v>235.37927350427304</v>
      </c>
      <c r="CU129" s="17">
        <f>CT129*VLOOKUP('Données projet'!$B$13,Paramètres!$A$1:$I$89,3,0)*VLOOKUP('Données projet'!$B$13,Paramètres!$A$1:$I$89,5,0)</f>
        <v>238.67458333333289</v>
      </c>
      <c r="CV129" s="13">
        <f t="shared" si="190"/>
        <v>58.154268783384175</v>
      </c>
      <c r="CW129" s="20">
        <f t="shared" si="132"/>
        <v>516.97691743661551</v>
      </c>
      <c r="CX129" s="59">
        <f t="shared" si="133"/>
        <v>810.31025076994888</v>
      </c>
      <c r="CY129" s="59">
        <f ca="1">AVERAGE(OFFSET($CX$3,0,0,'Données projet'!$E$13+1,1))-AVERAGE(OFFSET($H$3,0,0,'Données projet'!$E$13+1,1))</f>
        <v>250.31277422753283</v>
      </c>
      <c r="CZ129" s="59">
        <f t="shared" si="191"/>
        <v>159.20429420478047</v>
      </c>
      <c r="DA129" s="15">
        <f>IF(ISNA(VLOOKUP(A129,'Données projet'!$A$149:$I$169,3,0)),0,VLOOKUP(A129,'Données projet'!$A$149:$I$169,3,0))</f>
        <v>0</v>
      </c>
      <c r="DB129" s="15">
        <f>IF(ISNA(VLOOKUP(A129,'Données projet'!$A$149:$I$169,4,0)),0,VLOOKUP(A129,'Données projet'!$A$149:$I$169,4,0))</f>
        <v>0</v>
      </c>
      <c r="DC129" s="16">
        <f>IF(ISNA(VLOOKUP(A129,'Données projet'!$A$149:$I$169,5,0)),0%,VLOOKUP(A129,'Données projet'!$A$149:$I$169,5,0)*VLOOKUP('Données projet'!$B$13,Paramètres!$A$1:$I$89,7,0))</f>
        <v>0</v>
      </c>
      <c r="DD129" s="16">
        <f>IF(ISNA(VLOOKUP(A129,'Données projet'!$A$149:$I$169,6,0)),0%,VLOOKUP(A129,'Données projet'!$A$149:$I$169,6,0)*VLOOKUP('Données projet'!$B$13,Paramètres!$A$1:$I$89,7,0))</f>
        <v>0</v>
      </c>
      <c r="DE129" s="16">
        <f>IF(ISNA(VLOOKUP(A129,'Données projet'!$A$149:$I$169,7,0)),0%,VLOOKUP(A129,'Données projet'!$A$149:$I$169,7,0))</f>
        <v>0</v>
      </c>
      <c r="DF129" s="21">
        <f>EXP(-LN(2)/35)*DF128+(1-EXP(-LN(2)/35))/(LN(2)/35)*DB129*DC129*VLOOKUP('Données projet'!$B$13,Paramètres!$A$1:$I$89,3,0)*0.475*44/12</f>
        <v>46.859531044139139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134"/>
        <v>46.859531044139139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projet'!$A$175:$I$195,2,0)</f>
        <v>#N/A</v>
      </c>
      <c r="DM129" s="12" t="e">
        <f>VLOOKUP(A129,'Données projet'!$A$175:$I$195,9,0)</f>
        <v>#N/A</v>
      </c>
      <c r="DN129" s="12">
        <f t="array" ref="DN129">INDEX(DM:DM,MIN(IF(ISNUMBER(DM129:DM325),ROW(DM129:DM325),"")))</f>
        <v>0</v>
      </c>
      <c r="DO129" s="12">
        <f>IF('Données projet'!$A$176&gt;35,DO128+DN129-DW128,IF(A129&lt;'Données projet'!$A$176,$DL$205^A129,IF(A129='Données projet'!$A$176,'Données projet'!$B$176,DO128+DN129-DW128)))</f>
        <v>-2.8421709430404007E-13</v>
      </c>
      <c r="DP129" s="17">
        <f>DO129*VLOOKUP('Données projet'!$B$14,Paramètres!$A$1:$I$89,3,0)*VLOOKUP('Données projet'!$B$14,Paramètres!$A$1:$I$89,5,0)</f>
        <v>-2.0838797354372215E-13</v>
      </c>
      <c r="DQ129" s="13" t="e">
        <f t="shared" si="192"/>
        <v>#NUM!</v>
      </c>
      <c r="DR129" s="20" t="e">
        <f t="shared" si="135"/>
        <v>#NUM!</v>
      </c>
      <c r="DS129" s="59" t="e">
        <f t="shared" si="136"/>
        <v>#NUM!</v>
      </c>
      <c r="DT129" s="59">
        <f ca="1">AVERAGE(OFFSET($DS$3,0,0,'Données projet'!$E$14+1,1))-AVERAGE(OFFSET($H$3,0,0,'Données projet'!$E$14+1,1))</f>
        <v>296.91321813251051</v>
      </c>
      <c r="DU129" s="59">
        <f t="shared" si="193"/>
        <v>291.0718079639509</v>
      </c>
      <c r="DV129" s="15">
        <f>IF(ISNA(VLOOKUP(A129,'Données projet'!$A$175:$I$195,3,0)),0,VLOOKUP(A129,'Données projet'!$A$175:$I$195,3,0))</f>
        <v>0</v>
      </c>
      <c r="DW129" s="15">
        <f>IF(ISNA(VLOOKUP(A129,'Données projet'!$A$175:$I$195,4,0)),0,VLOOKUP(A129,'Données projet'!$A$175:$I$195,4,0))</f>
        <v>0</v>
      </c>
      <c r="DX129" s="16">
        <f>IF(ISNA(VLOOKUP(A129,'Données projet'!$A$175:$I$195,5,0)),0%,VLOOKUP(A129,'Données projet'!$A$175:$I$195,5,0)*VLOOKUP('Données projet'!$B$14,Paramètres!$A$1:$I$89,7,0))</f>
        <v>0</v>
      </c>
      <c r="DY129" s="16">
        <f>IF(ISNA(VLOOKUP(A129,'Données projet'!$A$175:$I$195,6,0)),0%,VLOOKUP(A129,'Données projet'!$A$175:$I$195,6,0)*VLOOKUP('Données projet'!$B$14,Paramètres!$A$1:$I$89,7,0))</f>
        <v>0</v>
      </c>
      <c r="DZ129" s="16">
        <f>IF(ISNA(VLOOKUP(A129,'Données projet'!$A$175:$I$195,7,0)),0%,VLOOKUP(A129,'Données projet'!$A$175:$I$195,7,0))</f>
        <v>0</v>
      </c>
      <c r="EA129" s="21">
        <f>EXP(-LN(2)/35)*EA128+(1-EXP(-LN(2)/35))/(LN(2)/35)*DW129*DX129*VLOOKUP('Données projet'!$B$14,Paramètres!$A$1:$I$89,3,0)*0.475*44/12</f>
        <v>69.751867907035006</v>
      </c>
      <c r="EB129" s="21">
        <f>EXP(-LN(2)/25)*EB128+(1-EXP(-LN(2)/25))/(LN(2)/25)*Calculateur!DW129*Calculateur!DY129*VLOOKUP('Données projet'!$B$14,Paramètres!$A$1:$I$89,3,0)*0.475*44/12</f>
        <v>1.4957328525060944</v>
      </c>
      <c r="EC129" s="21">
        <f>EXP(-LN(2)/2)*EC128+(1-EXP(-LN(2)/2))/(LN(2)/2)*DW129*DZ129*VLOOKUP('Données projet'!$B$14,Paramètres!$A$1:$I$89,3,0)*0.475*44/12</f>
        <v>0</v>
      </c>
      <c r="ED129" s="22">
        <f t="shared" si="137"/>
        <v>71.247600759541101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projet'!$A$201:$I$221,2,0)</f>
        <v>#N/A</v>
      </c>
      <c r="EH129" s="12" t="e">
        <f>VLOOKUP(A129,'Données projet'!$A$201:$I$221,9,0)</f>
        <v>#N/A</v>
      </c>
      <c r="EI129" s="12">
        <f t="array" ref="EI129">INDEX(EH:EH,MIN(IF(ISNUMBER(EH129:EH325),ROW(EH129:EH325),"")))</f>
        <v>0</v>
      </c>
      <c r="EJ129" s="12">
        <f>IF('Données projet'!$A$202&gt;35,EJ128+EI129-ER128,IF(A129&lt;'Données projet'!$A$202,$EG$205^A129,IF(A129='Données projet'!$A$202,'Données projet'!$B$202,EJ128+EI129-ER128)))</f>
        <v>5.1159076974727213E-13</v>
      </c>
      <c r="EK129" s="17">
        <f>EJ129*VLOOKUP('Données projet'!$B$15,Paramètres!$A$1:$I$89,3,0)*VLOOKUP('Données projet'!$B$15,Paramètres!$A$1:$I$89,5,0)</f>
        <v>2.3942448024172334E-13</v>
      </c>
      <c r="EL129" s="13">
        <f t="shared" si="194"/>
        <v>3.2492669905861755E-12</v>
      </c>
      <c r="EM129" s="20">
        <f t="shared" si="138"/>
        <v>6.0761376450252565E-12</v>
      </c>
      <c r="EN129" s="59">
        <f t="shared" si="139"/>
        <v>293.3333333333394</v>
      </c>
      <c r="EO129" s="59">
        <f ca="1">AVERAGE(OFFSET($EN$3,0,0,'Données projet'!$E$15+1,1))-AVERAGE(OFFSET($H$3,0,0,'Données projet'!$E$15+1,1))</f>
        <v>147.64256291235483</v>
      </c>
      <c r="EP129" s="59">
        <f t="shared" si="195"/>
        <v>70.859031694091868</v>
      </c>
      <c r="EQ129" s="15">
        <f>IF(ISNA(VLOOKUP(A129,'Données projet'!$A$201:$I$221,3,0)),0,VLOOKUP(A129,'Données projet'!$A$201:$I$221,3,0))</f>
        <v>0</v>
      </c>
      <c r="ER129" s="15">
        <f>IF(ISNA(VLOOKUP(A129,'Données projet'!$A$201:$I$221,4,0)),0,VLOOKUP(A129,'Données projet'!$A$201:$I$221,4,0))</f>
        <v>0</v>
      </c>
      <c r="ES129" s="16">
        <f>IF(ISNA(VLOOKUP(A129,'Données projet'!$A$201:$I$221,5,0)),0%,VLOOKUP(A129,'Données projet'!$A$201:$I$221,5,0)*VLOOKUP('Données projet'!$B$15,Paramètres!$A$1:$I$89,7,0))</f>
        <v>0</v>
      </c>
      <c r="ET129" s="16">
        <f>IF(ISNA(VLOOKUP(A129,'Données projet'!$A$201:$I$221,6,0)),0%,VLOOKUP(A129,'Données projet'!$A$201:$I$221,6,0)*VLOOKUP('Données projet'!$B$15,Paramètres!$A$1:$I$89,7,0))</f>
        <v>0</v>
      </c>
      <c r="EU129" s="16">
        <f>IF(ISNA(VLOOKUP(A129,'Données projet'!$A$201:$I$221,7,0)),0%,VLOOKUP(A129,'Données projet'!$A$201:$I$221,7,0))</f>
        <v>0</v>
      </c>
      <c r="EV129" s="21">
        <f>EXP(-LN(2)/35)*EV128+(1-EXP(-LN(2)/35))/(LN(2)/35)*ER129*ES129*VLOOKUP('Données projet'!$B$15,Paramètres!$A$1:$I$89,3,0)*0.475*44/12</f>
        <v>95.491406652225052</v>
      </c>
      <c r="EW129" s="21">
        <f>EXP(-LN(2)/25)*EW128+(1-EXP(-LN(2)/25))/(LN(2)/25)*Calculateur!ER129*Calculateur!ET129*VLOOKUP('Données projet'!$B$15,Paramètres!$A$1:$I$89,3,0)*0.475*44/12</f>
        <v>20.751786403142336</v>
      </c>
      <c r="EX129" s="21">
        <f>EXP(-LN(2)/2)*EX128+(1-EXP(-LN(2)/2))/(LN(2)/2)*ER129*EU129*VLOOKUP('Données projet'!$B$15,Paramètres!$A$1:$I$89,3,0)*0.475*44/12</f>
        <v>5.0681572841367303E-2</v>
      </c>
      <c r="EY129" s="22">
        <f t="shared" si="140"/>
        <v>116.29387462820875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projet'!$A$227:$I$247,2,0)</f>
        <v>#N/A</v>
      </c>
      <c r="FC129" s="12" t="e">
        <f>VLOOKUP(A129,'Données projet'!$A$227:$I$247,9,0)</f>
        <v>#N/A</v>
      </c>
      <c r="FD129" s="12">
        <f t="array" ref="FD129">INDEX(FC:FC,MIN(IF(ISNUMBER(FC129:FC325),ROW(FC129:FC325),"")))</f>
        <v>0</v>
      </c>
      <c r="FE129" s="12">
        <f>IF('Données projet'!$A$228&gt;35,FE128+FD129-FM128,IF(A129&lt;'Données projet'!$A$228,$FB$205^A129,IF(A129='Données projet'!$A$228,'Données projet'!$B$228,FE128+FD129-FM128)))</f>
        <v>8.5265128291212022E-14</v>
      </c>
      <c r="FF129" s="17">
        <f>FE129*VLOOKUP('Données projet'!$B$16,Paramètres!$A$1:$I$89,3,0)*VLOOKUP('Données projet'!$B$16,Paramètres!$A$1:$I$89,5,0)</f>
        <v>8.9119112089974823E-14</v>
      </c>
      <c r="FG129" s="13">
        <f t="shared" si="196"/>
        <v>1.3568952080113142E-12</v>
      </c>
      <c r="FH129" s="20">
        <f t="shared" si="141"/>
        <v>2.5184749408430782E-12</v>
      </c>
      <c r="FI129" s="59">
        <f t="shared" si="142"/>
        <v>293.33333333333582</v>
      </c>
      <c r="FJ129" s="59">
        <f ca="1">AVERAGE(OFFSET($FI$3,0,0,'Données projet'!$E$16+1,1))-AVERAGE(OFFSET($H$3,0,0,'Données projet'!$E$16+1,1))</f>
        <v>259.03906550253788</v>
      </c>
      <c r="FK129" s="59">
        <f t="shared" si="197"/>
        <v>235.54542903570831</v>
      </c>
      <c r="FL129" s="15">
        <f>IF(ISNA(VLOOKUP(A129,'Données projet'!$A$227:$I$247,3,0)),0,VLOOKUP(A129,'Données projet'!$A$227:$I$247,3,0))</f>
        <v>0</v>
      </c>
      <c r="FM129" s="15">
        <f>IF(ISNA(VLOOKUP(A129,'Données projet'!$A$227:$I$247,4,0)),0,VLOOKUP(A129,'Données projet'!$A$227:$I$247,4,0))</f>
        <v>0</v>
      </c>
      <c r="FN129" s="16">
        <f>IF(ISNA(VLOOKUP(A129,'Données projet'!$A$227:$I$247,5,0)),0%,VLOOKUP(A129,'Données projet'!$A$227:$I$247,5,0)*VLOOKUP('Données projet'!$B$16,Paramètres!$A$1:$I$89,7,0))</f>
        <v>0</v>
      </c>
      <c r="FO129" s="16">
        <f>IF(ISNA(VLOOKUP(A129,'Données projet'!$A$227:$I$247,6,0)),0%,VLOOKUP(A129,'Données projet'!$A$227:$I$247,6,0)*VLOOKUP('Données projet'!$B$16,Paramètres!$A$1:$I$89,7,0))</f>
        <v>0</v>
      </c>
      <c r="FP129" s="16">
        <f>IF(ISNA(VLOOKUP(A129,'Données projet'!$A$227:$I$247,7,0)),0%,VLOOKUP(A129,'Données projet'!$A$227:$I$247,7,0))</f>
        <v>0</v>
      </c>
      <c r="FQ129" s="21">
        <f>EXP(-LN(2)/35)*FQ128+(1-EXP(-LN(2)/35))/(LN(2)/35)*FM129*FN129*VLOOKUP('Données projet'!$B$16,Paramètres!$A$1:$I$89,3,0)*0.475*44/12</f>
        <v>42.147311735740608</v>
      </c>
      <c r="FR129" s="21">
        <f>EXP(-LN(2)/25)*FR128+(1-EXP(-LN(2)/25))/(LN(2)/25)*Calculateur!FM129*Calculateur!FO129*VLOOKUP('Données projet'!$B$16,Paramètres!$A$1:$I$89,3,0)*0.475*44/12</f>
        <v>28.547706644161149</v>
      </c>
      <c r="FS129" s="21">
        <f>EXP(-LN(2)/2)*FS128+(1-EXP(-LN(2)/2))/(LN(2)/2)*FM129*FP129*VLOOKUP('Données projet'!$B$16,Paramètres!$A$1:$I$89,3,0)*0.475*44/12</f>
        <v>0</v>
      </c>
      <c r="FT129" s="22">
        <f t="shared" si="143"/>
        <v>70.695018379901754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projet'!$A$253:$I$273,2,0)</f>
        <v>#N/A</v>
      </c>
      <c r="FX129" s="12" t="e">
        <f>VLOOKUP(A129,'Données projet'!$A$253:$I$273,9,0)</f>
        <v>#N/A</v>
      </c>
      <c r="FY129" s="12">
        <f t="array" ref="FY129">INDEX(FX:FX,MIN(IF(ISNUMBER(FX129:FX325),ROW(FX129:FX325),"")))</f>
        <v>0</v>
      </c>
      <c r="FZ129" s="12">
        <f>IF('Données projet'!$A$254&gt;35,FZ128+FY129-GH128,IF(A129&lt;'Données projet'!$A$254,$FW$205^A129,IF(A129='Données projet'!$A$254,'Données projet'!$B$254,FZ128+FY129-GH128)))</f>
        <v>-1.7053025658242404E-13</v>
      </c>
      <c r="GA129" s="17">
        <f>FZ129*VLOOKUP('Données projet'!$B$17,Paramètres!$A$1:$I$89,3,0)*VLOOKUP('Données projet'!$B$17,Paramètres!$A$1:$I$89,5,0)</f>
        <v>-1.4897523215040567E-13</v>
      </c>
      <c r="GB129" s="13" t="e">
        <f t="shared" si="198"/>
        <v>#NUM!</v>
      </c>
      <c r="GC129" s="20" t="e">
        <f t="shared" si="144"/>
        <v>#NUM!</v>
      </c>
      <c r="GD129" s="59" t="e">
        <f t="shared" si="145"/>
        <v>#NUM!</v>
      </c>
      <c r="GE129" s="59">
        <f ca="1">AVERAGE(OFFSET($GD$3,0,0,'Données projet'!$E$17+1,1))-AVERAGE(OFFSET($H$3,0,0,'Données projet'!$E$17+1,1))</f>
        <v>245.1983232777614</v>
      </c>
      <c r="GF129" s="59">
        <f t="shared" si="199"/>
        <v>242.34010522344573</v>
      </c>
      <c r="GG129" s="15">
        <f>IF(ISNA(VLOOKUP(A129,'Données projet'!$A$253:$I$273,3,0)),0,VLOOKUP(A129,'Données projet'!$A$253:$I$273,3,0))</f>
        <v>0</v>
      </c>
      <c r="GH129" s="15">
        <f>IF(ISNA(VLOOKUP(A129,'Données projet'!$A$253:$I$273,4,0)),0,VLOOKUP(A129,'Données projet'!$A$253:$I$273,4,0))</f>
        <v>0</v>
      </c>
      <c r="GI129" s="16">
        <f>IF(ISNA(VLOOKUP(A129,'Données projet'!$A$253:$I$273,5,0)),0%,VLOOKUP(A129,'Données projet'!$A$253:$I$273,5,0)*VLOOKUP('Données projet'!$B$17,Paramètres!$A$1:$I$89,7,0))</f>
        <v>0</v>
      </c>
      <c r="GJ129" s="16">
        <f>IF(ISNA(VLOOKUP(A129,'Données projet'!$A$253:$I$273,6,0)),0%,VLOOKUP(A129,'Données projet'!$A$253:$I$273,6,0)*VLOOKUP('Données projet'!$B$17,Paramètres!$A$1:$I$89,7,0))</f>
        <v>0</v>
      </c>
      <c r="GK129" s="16">
        <f>IF(ISNA(VLOOKUP(A129,'Données projet'!$A$253:$I$273,7,0)),0%,VLOOKUP(A129,'Données projet'!$A$253:$I$273,7,0))</f>
        <v>0</v>
      </c>
      <c r="GL129" s="21">
        <f>EXP(-LN(2)/35)*GL128+(1-EXP(-LN(2)/35))/(LN(2)/35)*GH129*GI129*VLOOKUP('Données projet'!$B$17,Paramètres!$A$1:$I$89,3,0)*0.475*44/12</f>
        <v>49.549947653338322</v>
      </c>
      <c r="GM129" s="21">
        <f>EXP(-LN(2)/25)*GM128+(1-EXP(-LN(2)/25))/(LN(2)/25)*Calculateur!GH129*Calculateur!GJ129*VLOOKUP('Données projet'!$B$17,Paramètres!$A$1:$I$89,3,0)*0.475*44/12</f>
        <v>6.0828208170938263</v>
      </c>
      <c r="GN129" s="21">
        <f>EXP(-LN(2)/2)*GN128+(1-EXP(-LN(2)/2))/(LN(2)/2)*GH129*GK129*VLOOKUP('Données projet'!$B$17,Paramètres!$A$1:$I$89,3,0)*0.475*44/12</f>
        <v>0</v>
      </c>
      <c r="GO129" s="21">
        <f t="shared" si="146"/>
        <v>55.632768470432147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projet'!$A$279:$I$299,2,0)</f>
        <v>#N/A</v>
      </c>
      <c r="GS129" s="12" t="e">
        <f>VLOOKUP(A129,'Données projet'!$A$279:$I$299,9,0)</f>
        <v>#N/A</v>
      </c>
      <c r="GT129" s="12">
        <f t="array" ref="GT129">INDEX(GS:GS,MIN(IF(ISNUMBER(GS129:GS325),ROW(GS129:GS325),"")))</f>
        <v>0</v>
      </c>
      <c r="GU129" s="12">
        <f>IF('Données projet'!$A$280&gt;35,GU128+GT129-HC128,IF(A129&lt;'Données projet'!$A$280,$GR$205^A129,IF(A129='Données projet'!$A$280,'Données projet'!$B$280,GU128+GT129-HC128)))</f>
        <v>-1.1368683772161603E-13</v>
      </c>
      <c r="GV129" s="17">
        <f>GU129*VLOOKUP('Données projet'!$B$18,Paramètres!$A$1:$I$89,3,0)*VLOOKUP('Données projet'!$B$18,Paramètres!$A$1:$I$89,5,0)</f>
        <v>-4.5815795601811263E-14</v>
      </c>
      <c r="GW129" s="13" t="e">
        <f t="shared" si="200"/>
        <v>#NUM!</v>
      </c>
      <c r="GX129" s="20" t="e">
        <f t="shared" si="147"/>
        <v>#NUM!</v>
      </c>
      <c r="GY129" s="59" t="e">
        <f t="shared" si="148"/>
        <v>#NUM!</v>
      </c>
      <c r="GZ129" s="59">
        <f ca="1">AVERAGE(OFFSET($GY$3,0,0,'Données projet'!$E$18+1,1))-AVERAGE(OFFSET($H$3,0,0,'Données projet'!$E$18+1,1))</f>
        <v>324.36162935850876</v>
      </c>
      <c r="HA129" s="59">
        <f t="shared" si="201"/>
        <v>265.23571072429735</v>
      </c>
      <c r="HB129" s="15">
        <f>IF(ISNA(VLOOKUP(A129,'Données projet'!$A$279:$I$299,3,0)),0,VLOOKUP(A129,'Données projet'!$A$279:$I$299,3,0))</f>
        <v>0</v>
      </c>
      <c r="HC129" s="15">
        <f>IF(ISNA(VLOOKUP(A129,'Données projet'!$A$279:$I$299,4,0)),0,VLOOKUP(A129,'Données projet'!$A$279:$I$299,4,0))</f>
        <v>0</v>
      </c>
      <c r="HD129" s="16">
        <f>IF(ISNA(VLOOKUP(A129,'Données projet'!$A$279:$I$299,5,0)),0%,VLOOKUP(A129,'Données projet'!$A$279:$I$299,5,0)*VLOOKUP('Données projet'!$B$18,Paramètres!$A$1:$I$89,7,0))</f>
        <v>0</v>
      </c>
      <c r="HE129" s="16">
        <f>IF(ISNA(VLOOKUP(A129,'Données projet'!$A$279:$I$299,6,0)),0%,VLOOKUP(A129,'Données projet'!$A$279:$I$299,6,0)*VLOOKUP('Données projet'!$B$18,Paramètres!$A$1:$I$89,7,0))</f>
        <v>0</v>
      </c>
      <c r="HF129" s="16">
        <f>IF(ISNA(VLOOKUP($A129,'Données projet'!$A$279:$I$299,7,0)),0%,VLOOKUP($A129,'Données projet'!$A$279:$I$299,7,0))</f>
        <v>0</v>
      </c>
      <c r="HG129" s="21">
        <f>EXP(-LN(2)/35)*HG128+(1-EXP(-LN(2)/35))/(LN(2)/35)*HC129*HD129*VLOOKUP('Données projet'!$B$18,Paramètres!$A$1:$I$89,3,0)*0.475*44/12</f>
        <v>94.950652992155199</v>
      </c>
      <c r="HH129" s="21">
        <f>EXP(-LN(2)/25)*HH128+(1-EXP(-LN(2)/25))/(LN(2)/25)*Calculateur!HC129*Calculateur!HE129*VLOOKUP('Données projet'!$B$18,Paramètres!$A$1:$I$89,3,0)*0.475*44/12</f>
        <v>6.765184758768477</v>
      </c>
      <c r="HI129" s="21">
        <f>EXP(-LN(2)/2)*HI128+(1-EXP(-LN(2)/2))/(LN(2)/2)*HC129*HF129*VLOOKUP('Données projet'!$B$18,Paramètres!$A$1:$I$89,3,0)*0.475*44/12</f>
        <v>1.0189067970967207E-6</v>
      </c>
      <c r="HJ129" s="22">
        <f t="shared" si="149"/>
        <v>101.71583876983047</v>
      </c>
      <c r="HK129" s="74">
        <f>('Scénario référence'!$F$8+'Scénario référence'!$F$9+'Scénario référence'!$B$17+'Scénario référence'!$B$9+'Scénario référence'!$B$10)*70+IF((45+25*(1-EXP(-0.0175*$A129)))&lt;70,'Scénario référence'!$B$16*(45+25*(1-EXP(-0.0175*$A129))),70*'Scénario référence'!$B$16)+IF((32+38*(1-EXP(-0.0175*$A129)))&lt;70,'Scénario référence'!$B$18*(32+38*(1-EXP(-0.0175*$A129))),70*'Scénario référence'!$B$18)</f>
        <v>70</v>
      </c>
      <c r="HL129" s="12">
        <f>IF($A129&gt;30,10,('Scénario référence'!$B$16+'Scénario référence'!$B$17+'Scénario référence'!$B$18+'Scénario référence'!$B$9+'Scénario référence'!$B$10)*$A129*10/30+('Scénario référence'!$F$8+'Scénario référence'!$F$9)*10)</f>
        <v>10</v>
      </c>
      <c r="HM129" s="12" t="e">
        <f>VLOOKUP($A129,'Données projet'!$A$304:$I$324,2,0)</f>
        <v>#N/A</v>
      </c>
      <c r="HN129" s="12" t="e">
        <f>VLOOKUP($A129,'Données projet'!$A$304:$I$324,9,0)</f>
        <v>#N/A</v>
      </c>
      <c r="HO129" s="12">
        <f t="array" ref="HO129">INDEX(HN:HN,MIN(IF(ISNUMBER(HN129:HN325),ROW(HN129:HN325),"")))</f>
        <v>0</v>
      </c>
      <c r="HP129" s="12">
        <f>IF('Données projet'!$A$304&gt;35,HP128+HO129-HX128,IF($A129&lt;'Données projet'!$A$304,$CQ$205^$A129,IF($A129='Données projet'!$A$304,'Données projet'!$B$304,HP128+HO129-HX128)))</f>
        <v>0</v>
      </c>
      <c r="HQ129" s="17">
        <f>HP129*VLOOKUP('Données projet'!$B$19,Paramètres!$A$1:$I$89,3,0)*VLOOKUP('Données projet'!$B$19,Paramètres!$A$1:$I$89,5,0)</f>
        <v>0</v>
      </c>
      <c r="HR129" s="13" t="e">
        <f t="shared" si="202"/>
        <v>#NUM!</v>
      </c>
      <c r="HS129" s="14" t="e">
        <f t="shared" si="150"/>
        <v>#NUM!</v>
      </c>
      <c r="HT129" s="59" t="e">
        <f t="shared" si="151"/>
        <v>#NUM!</v>
      </c>
      <c r="HU129" s="59">
        <f ca="1">AVERAGE(OFFSET(HT$3,0,0,'Données projet'!$E$19+1,1))-AVERAGE(OFFSET($H$3,0,0,'Données projet'!$E$19+1,1))</f>
        <v>91.60721429656013</v>
      </c>
      <c r="HV129" s="59">
        <f t="shared" si="203"/>
        <v>258.94957804210856</v>
      </c>
      <c r="HW129" s="15">
        <f>IF(ISNA(VLOOKUP($A129,'Données projet'!$A$304:$I$324,3,0)),0,VLOOKUP($A129,'Données projet'!$A$304:$I$324,3,0))</f>
        <v>0</v>
      </c>
      <c r="HX129" s="15">
        <f>IF(ISNA(VLOOKUP($A129,'Données projet'!$A$304:$I$324,4,0)),0,VLOOKUP($A129,'Données projet'!$A$304:$I$324,4,0))</f>
        <v>0</v>
      </c>
      <c r="HY129" s="16">
        <f>IF(ISNA(VLOOKUP($A129,'Données projet'!$A$304:$I$324,5,0)),0%,VLOOKUP($A129,'Données projet'!$A$304:$I$324,5,0)*VLOOKUP('Données projet'!$B$19,Paramètres!$A$1:$I$89,7,0))</f>
        <v>0</v>
      </c>
      <c r="HZ129" s="16">
        <f>IF(ISNA(VLOOKUP($A129,'Données projet'!$A$304:$I$324,6,0)),0%,VLOOKUP($A129,'Données projet'!$A$304:$I$324,6,0)*VLOOKUP('Données projet'!$B$19,Paramètres!$A$1:$I$89,7,0))</f>
        <v>0</v>
      </c>
      <c r="IA129" s="16">
        <f>IF(ISNA(VLOOKUP($A129,'Données projet'!$A$304:$I$324,7,0)),0%,VLOOKUP($A129,'Données projet'!$A$304:$I$324,7,0))</f>
        <v>0</v>
      </c>
      <c r="IB129" s="21">
        <f>EXP(-LN(2)/35)*IB128+(1-EXP(-LN(2)/35))/(LN(2)/35)*HX129*HY129*VLOOKUP('Données projet'!$B$19,Paramètres!$A$1:$I$89,3,0)*0.475*44/12</f>
        <v>7.3697482544465878</v>
      </c>
      <c r="IC129" s="21">
        <f>EXP(-LN(2)/25)*IC128+(1-EXP(-LN(2)/25))/(LN(2)/25)*Calculateur!HX129*Calculateur!HZ129*VLOOKUP('Données projet'!$B$19,Paramètres!$A$1:$I$89,3,0)*0.475*44/12</f>
        <v>0.67929149362082153</v>
      </c>
      <c r="ID129" s="21">
        <f>EXP(-LN(2)/2)*ID128+(1-EXP(-LN(2)/2))/(LN(2)/2)*HX129*IA129*VLOOKUP('Données projet'!$B$19,Paramètres!$A$1:$I$89,3,0)*0.475*44/12</f>
        <v>2.0351802438653179E-15</v>
      </c>
      <c r="IE129" s="22">
        <f t="shared" si="152"/>
        <v>8.0490397480674112</v>
      </c>
      <c r="IF129" s="74">
        <f>('Scénario référence'!$F$8+'Scénario référence'!$F$9+'Scénario référence'!$B$17+'Scénario référence'!$B$9+'Scénario référence'!$B$10)*70+IF((45+25*(1-EXP(-0.0175*$A129)))&lt;70,'Scénario référence'!$B$16*(45+25*(1-EXP(-0.0175*$A129))),70*'Scénario référence'!$B$16)+IF((32+38*(1-EXP(-0.0175*$A129)))&lt;70,'Scénario référence'!$B$18*(32+38*(1-EXP(-0.0175*$A129))),70*'Scénario référence'!$B$18)</f>
        <v>70</v>
      </c>
      <c r="IG129" s="12">
        <f>IF($A129&gt;30,10,('Scénario référence'!$B$16+'Scénario référence'!$B$17+'Scénario référence'!$B$18+'Scénario référence'!$B$9+'Scénario référence'!$B$10)*$A129*10/30+('Scénario référence'!$F$8+'Scénario référence'!$F$9)*10)</f>
        <v>10</v>
      </c>
      <c r="IH129" s="12" t="e">
        <f>VLOOKUP($A129,'Données projet'!$A$330:$I$350,2,0)</f>
        <v>#N/A</v>
      </c>
      <c r="II129" s="12" t="e">
        <f>VLOOKUP($A129,'Données projet'!$A$330:$I$350,9,0)</f>
        <v>#N/A</v>
      </c>
      <c r="IJ129" s="12">
        <f t="array" ref="IJ129">INDEX(II:II,MIN(IF(ISNUMBER(II129:II325),ROW(II129:II325),"")))</f>
        <v>0</v>
      </c>
      <c r="IK129" s="12">
        <f>IF('Données projet'!$A$330&gt;35,IK128+IJ129-IS128,IF($A129&lt;'Données projet'!$A$330,$CQ$205^$A129,IF($A129='Données projet'!$A$330,'Données projet'!$B$330,IK128+IJ129-IS128)))</f>
        <v>0</v>
      </c>
      <c r="IL129" s="17">
        <f>IK129*VLOOKUP('Données projet'!$B$20,Paramètres!$A$1:$I$89,3,0)*VLOOKUP('Données projet'!$B$20,Paramètres!$A$1:$I$89,5,0)</f>
        <v>0</v>
      </c>
      <c r="IM129" s="13" t="e">
        <f t="shared" si="204"/>
        <v>#NUM!</v>
      </c>
      <c r="IN129" s="20" t="e">
        <f t="shared" si="153"/>
        <v>#NUM!</v>
      </c>
      <c r="IO129" s="59" t="e">
        <f t="shared" si="154"/>
        <v>#NUM!</v>
      </c>
      <c r="IP129" s="59">
        <f ca="1">AVERAGE(OFFSET(IO$3,0,0,'Données projet'!$E$20+1,1))-AVERAGE(OFFSET($H$3,0,0,'Données projet'!$E$20+1,1))</f>
        <v>91.60721429656013</v>
      </c>
      <c r="IQ129" s="59">
        <f t="shared" si="205"/>
        <v>258.94957804210856</v>
      </c>
      <c r="IR129" s="15">
        <f>IF(ISNA(VLOOKUP($A129,'Données projet'!$A$330:$I$350,3,0)),0,VLOOKUP($A129,'Données projet'!$A$330:$I$350,3,0))</f>
        <v>0</v>
      </c>
      <c r="IS129" s="15">
        <f>IF(ISNA(VLOOKUP($A129,'Données projet'!$A$330:$I$350,4,0)),0,VLOOKUP($A129,'Données projet'!$A$330:$I$350,4,0))</f>
        <v>0</v>
      </c>
      <c r="IT129" s="16">
        <f>IF(ISNA(VLOOKUP($A129,'Données projet'!$A$330:$I$350,5,0)),0%,VLOOKUP($A129,'Données projet'!$A$330:$I$350,5,0)*VLOOKUP('Données projet'!$B$20,Paramètres!$A$1:$I$89,7,0))</f>
        <v>0</v>
      </c>
      <c r="IU129" s="16">
        <f>IF(ISNA(VLOOKUP($A129,'Données projet'!$A$330:$I$350,6,0)),0%,VLOOKUP($A129,'Données projet'!$A$330:$I$350,6,0)*VLOOKUP('Données projet'!$B$20,Paramètres!$A$1:$I$89,7,0))</f>
        <v>0</v>
      </c>
      <c r="IV129" s="16">
        <f>IF(ISNA(VLOOKUP($A129,'Données projet'!$A$330:$I$350,7,0)),0%,VLOOKUP($A129,'Données projet'!$A$330:$I$350,7,0))</f>
        <v>0</v>
      </c>
      <c r="IW129" s="21">
        <f>EXP(-LN(2)/35)*IW128+(1-EXP(-LN(2)/35))/(LN(2)/35)*IS129*IT129*VLOOKUP('Données projet'!$B$20,Paramètres!$A$1:$I$89,3,0)*0.475*44/12</f>
        <v>7.3697482544465878</v>
      </c>
      <c r="IX129" s="21">
        <f>EXP(-LN(2)/25)*IX128+(1-EXP(-LN(2)/25))/(LN(2)/25)*Calculateur!IS129*Calculateur!IU129*VLOOKUP('Données projet'!$B$20,Paramètres!$A$1:$I$89,3,0)*0.475*44/12</f>
        <v>0.67929149362082153</v>
      </c>
      <c r="IY129" s="21">
        <f>EXP(-LN(2)/2)*IY128+(1-EXP(-LN(2)/2))/(LN(2)/2)*IS129*IV129*VLOOKUP('Données projet'!$B$20,Paramètres!$A$1:$I$89,3,0)*0.475*44/12</f>
        <v>2.0351802438653179E-15</v>
      </c>
      <c r="IZ129" s="22">
        <f t="shared" si="155"/>
        <v>8.0490397480674112</v>
      </c>
      <c r="JA129" s="74">
        <f>('Scénario référence'!$F$8+'Scénario référence'!$F$9+'Scénario référence'!$B$17+'Scénario référence'!$B$9+'Scénario référence'!$B$10)*70+IF((45+25*(1-EXP(-0.0175*$A129)))&lt;70,'Scénario référence'!$B$16*(45+25*(1-EXP(-0.0175*$A129))),70*'Scénario référence'!$B$16)+IF((32+38*(1-EXP(-0.0175*$A129)))&lt;70,'Scénario référence'!$B$18*(32+38*(1-EXP(-0.0175*$A129))),70*'Scénario référence'!$B$18)</f>
        <v>70</v>
      </c>
      <c r="JB129" s="12">
        <f>IF($A129&gt;30,10,('Scénario référence'!$B$16+'Scénario référence'!$B$17+'Scénario référence'!$B$18+'Scénario référence'!$B$9+'Scénario référence'!$B$10)*$A129*10/30+('Scénario référence'!$F$8+'Scénario référence'!$F$9)*10)</f>
        <v>10</v>
      </c>
      <c r="JC129" s="12" t="e">
        <f>VLOOKUP($A129,'Données projet'!$A$356:$I$376,2,0)</f>
        <v>#N/A</v>
      </c>
      <c r="JD129" s="12" t="e">
        <f>VLOOKUP($A129,'Données projet'!$A$356:$I$376,9,0)</f>
        <v>#N/A</v>
      </c>
      <c r="JE129" s="12">
        <f t="array" ref="JE129">INDEX(JD:JD,MIN(IF(ISNUMBER(JD129:JD325),ROW(JD129:JD325),"")))</f>
        <v>2.2000000000000002</v>
      </c>
      <c r="JF129" s="12">
        <f>IF('Données projet'!$A$356&gt;35,JF128+JE129-JN128,IF($A129&lt;'Données projet'!$A$356,$CQ$205^$A129,IF($A129='Données projet'!$A$356,'Données projet'!$B$356,JF128+JE129-JN128)))</f>
        <v>431.19999999999919</v>
      </c>
      <c r="JG129" s="17">
        <f>JF129*VLOOKUP('Données projet'!$B$21,Paramètres!$A$1:$I$89,3,0)*VLOOKUP('Données projet'!$B$21,Paramètres!$A$1:$I$89,5,0)</f>
        <v>349.78943999999939</v>
      </c>
      <c r="JH129" s="13">
        <f t="shared" si="206"/>
        <v>81.519153228894979</v>
      </c>
      <c r="JI129" s="20">
        <f t="shared" si="156"/>
        <v>751.19579987365762</v>
      </c>
      <c r="JJ129" s="59">
        <f t="shared" si="157"/>
        <v>1044.529133206991</v>
      </c>
      <c r="JK129" s="59">
        <f ca="1">AVERAGE(OFFSET($JJ$3,0,0,'Données projet'!$E$22+1,1))-AVERAGE(OFFSET($H$3,0,0,'Données projet'!$E$22+1,1))</f>
        <v>353.35574633294613</v>
      </c>
      <c r="JL129" s="59">
        <f t="shared" si="207"/>
        <v>170.36796666474726</v>
      </c>
      <c r="JM129" s="15">
        <f>IF(ISNA(VLOOKUP($A129,'Données projet'!$A$356:$I$376,3,0)),0,VLOOKUP($A129,'Données projet'!$A$356:$I$376,3,0))</f>
        <v>0</v>
      </c>
      <c r="JN129" s="15">
        <f>IF(ISNA(VLOOKUP($A129,'Données projet'!$A$356:$I$376,4,0)),0,VLOOKUP($A129,'Données projet'!$A$356:$I$376,4,0))</f>
        <v>0</v>
      </c>
      <c r="JO129" s="16">
        <f>IF(ISNA(VLOOKUP($A129,'Données projet'!$A$356:$I$376,5,0)),0%,VLOOKUP($A129,'Données projet'!$A$356:$I$376,5,0)*VLOOKUP('Données projet'!$B$21,Paramètres!$A$1:$I$89,7,0))</f>
        <v>0</v>
      </c>
      <c r="JP129" s="16">
        <f>IF(ISNA(VLOOKUP($A129,'Données projet'!$A$356:$I$376,6,0)),0%,VLOOKUP($A129,'Données projet'!$A$356:$I$376,6,0)*VLOOKUP('Données projet'!$B$21,Paramètres!$A$1:$I$89,7,0))</f>
        <v>0</v>
      </c>
      <c r="JQ129" s="16">
        <f>IF(ISNA(VLOOKUP($A129,'Données projet'!$A$356:$I$376,7,0)),0%,VLOOKUP($A129,'Données projet'!$A$356:$I$376,7,0))</f>
        <v>0</v>
      </c>
      <c r="JR129" s="21">
        <f>EXP(-LN(2)/35)*JR128+(1-EXP(-LN(2)/35))/(LN(2)/35)*JN129*JO129*VLOOKUP('Données projet'!$B$21,Paramètres!$A$1:$I$89,3,0)*0.475*44/12</f>
        <v>3.6607862099181268</v>
      </c>
      <c r="JS129" s="21">
        <f>EXP(-LN(2)/25)*JS128+(1-EXP(-LN(2)/25))/(LN(2)/25)*Calculateur!JN129*Calculateur!JP129*VLOOKUP('Données projet'!$B$21,Paramètres!$A$1:$I$89,3,0)*0.475*44/12</f>
        <v>11.348246039697168</v>
      </c>
      <c r="JT129" s="21">
        <f>EXP(-LN(2)/2)*JT128+(1-EXP(-LN(2)/2))/(LN(2)/2)*JN129*JQ129*VLOOKUP('Données projet'!$B$21,Paramètres!$A$1:$I$89,3,0)*0.475*44/12</f>
        <v>1.3627299026785946E-2</v>
      </c>
      <c r="JU129" s="18">
        <f t="shared" si="158"/>
        <v>15.02265954864208</v>
      </c>
      <c r="JV129" s="74">
        <f>('Scénario référence'!$F$8+'Scénario référence'!$F$9+'Scénario référence'!$B$17+'Scénario référence'!$B$9+'Scénario référence'!$B$10)*70+IF((45+25*(1-EXP(-0.0175*$A129)))&lt;70,'Scénario référence'!$B$16*(45+25*(1-EXP(-0.0175*$A129))),70*'Scénario référence'!$B$16)+IF((32+38*(1-EXP(-0.0175*$A129)))&lt;70,'Scénario référence'!$B$18*(32+38*(1-EXP(-0.0175*$A129))),70*'Scénario référence'!$B$18)</f>
        <v>70</v>
      </c>
      <c r="JW129" s="12">
        <f>IF($A129&gt;30,10,('Scénario référence'!$B$16+'Scénario référence'!$B$17+'Scénario référence'!$B$18+'Scénario référence'!$B$9+'Scénario référence'!$B$10)*$A129*10/30+('Scénario référence'!$F$8+'Scénario référence'!$F$9)*10)</f>
        <v>10</v>
      </c>
      <c r="JX129" s="12" t="e">
        <f>VLOOKUP($A129,'Données projet'!$A$382:$I$402,2,0)</f>
        <v>#N/A</v>
      </c>
      <c r="JY129" s="12" t="e">
        <f>VLOOKUP($A129,'Données projet'!$A$382:$I$402,9,0)</f>
        <v>#N/A</v>
      </c>
      <c r="JZ129" s="12">
        <f t="array" ref="JZ129">INDEX(JY:JY,MIN(IF(ISNUMBER(JY129:JY325),ROW(JY129:JY325),"")))</f>
        <v>2.3349358974358978</v>
      </c>
      <c r="KA129" s="12">
        <f>IF('Données projet'!$A$382&gt;35,KA128+JZ129-KI128,IF($A129&lt;'Données projet'!$A$382,$CQ$205^$A129,IF($A129='Données projet'!$A$382,'Données projet'!$B$382,KA128+JZ129-KI128)))</f>
        <v>152.4663461538467</v>
      </c>
      <c r="KB129" s="17">
        <f>KA129*VLOOKUP('Données projet'!$B$22,Paramètres!$A$1:$I$89,3,0)*VLOOKUP('Données projet'!$B$22,Paramètres!$A$1:$I$89,5,0)</f>
        <v>102.27442500000038</v>
      </c>
      <c r="KC129" s="13">
        <f t="shared" si="208"/>
        <v>27.503136684105009</v>
      </c>
      <c r="KD129" s="20">
        <f t="shared" si="159"/>
        <v>226.02925326648355</v>
      </c>
      <c r="KE129" s="59">
        <f t="shared" si="160"/>
        <v>519.36258659981684</v>
      </c>
      <c r="KF129" s="59">
        <f ca="1">AVERAGE(OFFSET($KE$3,0,0,'Données projet'!$E$22+1,1))-AVERAGE(OFFSET($H$3,0,0,'Données projet'!$E$22+1,1))</f>
        <v>193.91714772848269</v>
      </c>
      <c r="KG129" s="59">
        <f t="shared" si="209"/>
        <v>159.20429420478047</v>
      </c>
      <c r="KH129" s="15">
        <f>IF(ISNA(VLOOKUP($A129,'Données projet'!$A$382:$I$402,3,0)),0,VLOOKUP($A129,'Données projet'!$A$382:$I$402,3,0))</f>
        <v>0</v>
      </c>
      <c r="KI129" s="15">
        <f>IF(ISNA(VLOOKUP($A129,'Données projet'!$A$382:$I$402,4,0)),0,VLOOKUP($A129,'Données projet'!$A$382:$I$402,4,0))</f>
        <v>0</v>
      </c>
      <c r="KJ129" s="16">
        <f>IF(ISNA(VLOOKUP($A129,'Données projet'!$A$382:$I$402,5,0)),0%,VLOOKUP($A129,'Données projet'!$A$382:$I$402,5,0)*VLOOKUP('Données projet'!$B$22,Paramètres!$A$1:$I$89,7,0))</f>
        <v>0</v>
      </c>
      <c r="KK129" s="16">
        <f>IF(ISNA(VLOOKUP($A129,'Données projet'!$A$382:$I$402,6,0)),0%,VLOOKUP($A129,'Données projet'!$A$382:$I$402,6,0)*VLOOKUP('Données projet'!$B$22,Paramètres!$A$1:$I$89,7,0))</f>
        <v>0</v>
      </c>
      <c r="KL129" s="16">
        <f>IF(ISNA(VLOOKUP($A129,'Données projet'!$A$382:$I$402,7,0)),0%,VLOOKUP($A129,'Données projet'!$A$382:$I$402,7,0))</f>
        <v>0</v>
      </c>
      <c r="KM129" s="21">
        <f>EXP(-LN(2)/35)*KM128+(1-EXP(-LN(2)/35))/(LN(2)/35)*KI129*KJ129*VLOOKUP('Données projet'!$B$22,Paramètres!$A$1:$I$89,3,0)*0.475*44/12</f>
        <v>111.18493773361791</v>
      </c>
      <c r="KN129" s="21">
        <f>EXP(-LN(2)/25)*KN128+(1-EXP(-LN(2)/25))/(LN(2)/25)*Calculateur!KI129*Calculateur!KK129*VLOOKUP('Données projet'!$B$22,Paramètres!$A$1:$I$89,3,0)*0.475*44/12</f>
        <v>0</v>
      </c>
      <c r="KO129" s="21">
        <f>EXP(-LN(2)/2)*KO128+(1-EXP(-LN(2)/2))/(LN(2)/2)*KI129*KL129*VLOOKUP('Données projet'!$B$22,Paramètres!$A$1:$I$89,3,0)*0.475*44/12</f>
        <v>0</v>
      </c>
      <c r="KP129" s="22">
        <f t="shared" si="161"/>
        <v>111.18493773361791</v>
      </c>
      <c r="KQ129" s="74">
        <f>('Scénario référence'!$F$8+'Scénario référence'!$F$9+'Scénario référence'!$B$17+'Scénario référence'!$B$9+'Scénario référence'!$B$10)*70+IF((45+25*(1-EXP(-0.0175*$A129)))&lt;70,'Scénario référence'!$B$16*(45+25*(1-EXP(-0.0175*$A129))),70*'Scénario référence'!$B$16)+IF((32+38*(1-EXP(-0.0175*$A129)))&lt;70,'Scénario référence'!$B$18*(32+38*(1-EXP(-0.0175*$A129))),70*'Scénario référence'!$B$18)</f>
        <v>70</v>
      </c>
      <c r="KR129" s="12">
        <f>IF($A129&gt;30,10,('Scénario référence'!$B$16+'Scénario référence'!$B$17+'Scénario référence'!$B$18+'Scénario référence'!$B$9+'Scénario référence'!$B$10)*$A129*10/30+('Scénario référence'!$F$8+'Scénario référence'!$F$9)*10)</f>
        <v>10</v>
      </c>
      <c r="KS129" s="12" t="e">
        <f>VLOOKUP($A129,'Données projet'!$A$408:$I$428,2,0)</f>
        <v>#N/A</v>
      </c>
      <c r="KT129" s="12" t="e">
        <f>VLOOKUP($A129,'Données projet'!$A$408:$I$428,9,0)</f>
        <v>#N/A</v>
      </c>
      <c r="KU129" s="12">
        <f t="array" ref="KU129">INDEX(KT:KT,MIN(IF(ISNUMBER(KT129:KT325),ROW(KT129:KT325),"")))</f>
        <v>0</v>
      </c>
      <c r="KV129" s="12">
        <f>IF('Données projet'!$A$408&gt;35,KV128+KU129-LD128,IF($A129&lt;'Données projet'!$A$408,$CQ$205^$A129,IF($A129='Données projet'!$A$408,'Données projet'!$B$408,KV128+KU129-LD128)))</f>
        <v>-1.1368683772161603E-13</v>
      </c>
      <c r="KW129" s="17">
        <f>KV129*VLOOKUP('Données projet'!$B$23,Paramètres!$A$1:$I$89,3,0)*VLOOKUP('Données projet'!$B$23,Paramètres!$A$1:$I$89,5,0)</f>
        <v>-9.9316821433603781E-14</v>
      </c>
      <c r="KX129" s="13" t="e">
        <f t="shared" si="210"/>
        <v>#NUM!</v>
      </c>
      <c r="KY129" s="14" t="e">
        <f t="shared" si="162"/>
        <v>#NUM!</v>
      </c>
      <c r="KZ129" s="59" t="e">
        <f t="shared" si="163"/>
        <v>#NUM!</v>
      </c>
      <c r="LA129" s="59">
        <f ca="1">AVERAGE(OFFSET($KZ$3,0,0,'Données projet'!$E$23+1,1))-AVERAGE(OFFSET($H$3,0,0,'Données projet'!$E$23+1,1))</f>
        <v>248.33596943633819</v>
      </c>
      <c r="LB129" s="59">
        <f t="shared" si="211"/>
        <v>242.34010522344573</v>
      </c>
      <c r="LC129" s="15">
        <f>IF(ISNA(VLOOKUP($A129,'Données projet'!$A$408:$I$428,3,0)),0,VLOOKUP($A129,'Données projet'!$A$408:$I$428,3,0))</f>
        <v>0</v>
      </c>
      <c r="LD129" s="15">
        <f>IF(ISNA(VLOOKUP($A129,'Données projet'!$A$408:$I$428,4,0)),0,VLOOKUP($A129,'Données projet'!$A$408:$I$428,4,0))</f>
        <v>0</v>
      </c>
      <c r="LE129" s="16">
        <f>IF(ISNA(VLOOKUP($A129,'Données projet'!$A$408:$I$428,5,0)),0%,VLOOKUP($A129,'Données projet'!$A$408:$I$428,5,0)*VLOOKUP('Données projet'!$B$23,Paramètres!$A$1:$I$89,7,0))</f>
        <v>0</v>
      </c>
      <c r="LF129" s="16">
        <f>IF(ISNA(VLOOKUP($A129,'Données projet'!$A$408:$I$428,6,0)),0%,VLOOKUP($A129,'Données projet'!$A$408:$I$428,6,0)*VLOOKUP('Données projet'!$B$23,Paramètres!$A$1:$I$89,7,0))</f>
        <v>0</v>
      </c>
      <c r="LG129" s="16">
        <f>IF(ISNA(VLOOKUP($A129,'Données projet'!$A$408:$I$428,7,0)),0%,VLOOKUP($A129,'Données projet'!$A$408:$I$428,7,0))</f>
        <v>0</v>
      </c>
      <c r="LH129" s="21">
        <f>EXP(-LN(2)/35)*LH128+(1-EXP(-LN(2)/35))/(LN(2)/35)*LD129*LE129*VLOOKUP('Données projet'!$B$23,Paramètres!$A$1:$I$89,3,0)*0.475*44/12</f>
        <v>49.549947653338322</v>
      </c>
      <c r="LI129" s="21">
        <f>EXP(-LN(2)/25)*LI128+(1-EXP(-LN(2)/25))/(LN(2)/25)*Calculateur!LD129*Calculateur!LF129*VLOOKUP('Données projet'!$B$23,Paramètres!$A$1:$I$89,3,0)*0.475*44/12</f>
        <v>6.0828208170938263</v>
      </c>
      <c r="LJ129" s="21">
        <f>EXP(-LN(2)/2)*LJ128+(1-EXP(-LN(2)/2))/(LN(2)/2)*LD129*LG129*VLOOKUP('Données projet'!$B$23,Paramètres!$A$1:$I$89,3,0)*0.475*44/12</f>
        <v>0</v>
      </c>
      <c r="LK129" s="22">
        <f t="shared" si="164"/>
        <v>55.632768470432147</v>
      </c>
      <c r="LL129" s="74">
        <f>('Scénario référence'!$F$8+'Scénario référence'!$F$9+'Scénario référence'!$B$17+'Scénario référence'!$B$9+'Scénario référence'!$B$10)*70+IF((45+25*(1-EXP(-0.0175*$A129)))&lt;70,'Scénario référence'!$B$16*(45+25*(1-EXP(-0.0175*$A129))),70*'Scénario référence'!$B$16)+IF((32+38*(1-EXP(-0.0175*$A129)))&lt;70,'Scénario référence'!$B$18*(32+38*(1-EXP(-0.0175*$A129))),70*'Scénario référence'!$B$18)</f>
        <v>70</v>
      </c>
      <c r="LM129" s="12">
        <f>IF($A129&gt;30,10,('Scénario référence'!$B$16+'Scénario référence'!$B$17+'Scénario référence'!$B$18+'Scénario référence'!$B$9+'Scénario référence'!$B$10)*$A129*10/30+('Scénario référence'!$F$8+'Scénario référence'!$F$9)*10)</f>
        <v>10</v>
      </c>
      <c r="LN129" s="12" t="e">
        <f>VLOOKUP($A129,'Données projet'!$A$434:$I$454,2,0)</f>
        <v>#N/A</v>
      </c>
      <c r="LO129" s="12" t="e">
        <f>VLOOKUP($A129,'Données projet'!$A$434:$I$454,9,0)</f>
        <v>#N/A</v>
      </c>
      <c r="LP129" s="12">
        <f t="array" ref="LP129">INDEX(LO:LO,MIN(IF(ISNUMBER(LO129:LO325),ROW(LO129:LO325),"")))</f>
        <v>5.2446581196581219</v>
      </c>
      <c r="LQ129" s="12">
        <f>IF('Données projet'!$A$434&gt;35,LQ128+LP129-LY128,IF($A129&lt;'Données projet'!$A$434,$CQ$205^$A129,IF($A129='Données projet'!$A$434,'Données projet'!$B$434,LQ128+LP129-LY128)))</f>
        <v>235.37927350427304</v>
      </c>
      <c r="LR129" s="17">
        <f>LQ129*VLOOKUP('Données projet'!$B$24,Paramètres!$A$1:$I$89,3,0)*VLOOKUP('Données projet'!$B$24,Paramètres!$A$1:$I$89,5,0)</f>
        <v>238.67458333333289</v>
      </c>
      <c r="LS129" s="13">
        <f t="shared" si="212"/>
        <v>58.154268783384175</v>
      </c>
      <c r="LT129" s="14">
        <f t="shared" si="165"/>
        <v>516.97691743661551</v>
      </c>
      <c r="LU129" s="59">
        <f t="shared" si="166"/>
        <v>810.31025076994888</v>
      </c>
      <c r="LV129" s="59">
        <f ca="1">AVERAGE(OFFSET($LU$3,0,0,'Données projet'!$E$24+1,1))-AVERAGE(OFFSET($H$3,0,0,'Données projet'!$E$24+1,1))</f>
        <v>260.52627655062872</v>
      </c>
      <c r="LW129" s="59">
        <f t="shared" si="213"/>
        <v>159.20429420478047</v>
      </c>
      <c r="LX129" s="15">
        <f>IF(ISNA(VLOOKUP($A129,'Données projet'!$A$434:$I$454,3,0)),0,VLOOKUP($A129,'Données projet'!$A$434:$I$454,3,0))</f>
        <v>0</v>
      </c>
      <c r="LY129" s="15">
        <f>IF(ISNA(VLOOKUP($A129,'Données projet'!$A$434:$I$454,4,0)),0,VLOOKUP($A129,'Données projet'!$A$434:$I$454,4,0))</f>
        <v>0</v>
      </c>
      <c r="LZ129" s="16">
        <f>IF(ISNA(VLOOKUP($A129,'Données projet'!$A$434:$I$454,5,0)),0%,VLOOKUP($A129,'Données projet'!$A$434:$I$454,5,0)*VLOOKUP('Données projet'!$B$24,Paramètres!$A$1:$I$89,7,0))</f>
        <v>0</v>
      </c>
      <c r="MA129" s="16">
        <f>IF(ISNA(VLOOKUP($A129,'Données projet'!$A$434:$I$454,6,0)),0%,VLOOKUP($A129,'Données projet'!$A$434:$I$454,6,0)*VLOOKUP('Données projet'!$B$24,Paramètres!$A$1:$I$89,7,0))</f>
        <v>0</v>
      </c>
      <c r="MB129" s="16">
        <f>IF(ISNA(VLOOKUP($A129,'Données projet'!$A$434:$I$454,7,0)),0%,VLOOKUP($A129,'Données projet'!$A$434:$I$454,7,0))</f>
        <v>0</v>
      </c>
      <c r="MC129" s="21">
        <f>EXP(-LN(2)/35)*MC128+(1-EXP(-LN(2)/35))/(LN(2)/35)*LY129*LZ129*VLOOKUP('Données projet'!$B$24,Paramètres!$A$1:$I$89,3,0)*0.475*44/12</f>
        <v>46.859531044139139</v>
      </c>
      <c r="MD129" s="21">
        <f>EXP(-LN(2)/25)*MD128+(1-EXP(-LN(2)/25))/(LN(2)/25)*Calculateur!LY129*Calculateur!MA129*VLOOKUP('Données projet'!$B$24,Paramètres!$A$1:$I$89,3,0)*0.475*44/12</f>
        <v>0</v>
      </c>
      <c r="ME129" s="21">
        <f>EXP(-LN(2)/2)*ME128+(1-EXP(-LN(2)/2))/(LN(2)/2)*LY129*MB129*VLOOKUP('Données projet'!$B$24,Paramètres!$A$1:$I$89,3,0)*0.475*44/12</f>
        <v>0</v>
      </c>
      <c r="MF129" s="22">
        <f t="shared" si="167"/>
        <v>46.859531044139139</v>
      </c>
      <c r="MG129" s="74">
        <f>('Scénario référence'!$F$8+'Scénario référence'!$F$9+'Scénario référence'!$B$17+'Scénario référence'!$B$9+'Scénario référence'!$B$10)*70+IF((45+25*(1-EXP(-0.0175*$A129)))&lt;70,'Scénario référence'!$B$16*(45+25*(1-EXP(-0.0175*$A129))),70*'Scénario référence'!$B$16)+IF((32+38*(1-EXP(-0.0175*$A129)))&lt;70,'Scénario référence'!$B$18*(32+38*(1-EXP(-0.0175*$A129))),70*'Scénario référence'!$B$18)</f>
        <v>70</v>
      </c>
      <c r="MH129" s="12">
        <f>IF($A129&gt;30,10,('Scénario référence'!$B$16+'Scénario référence'!$B$17+'Scénario référence'!$B$18+'Scénario référence'!$B$9+'Scénario référence'!$B$10)*$A129*10/30+('Scénario référence'!$F$8+'Scénario référence'!$F$9)*10)</f>
        <v>10</v>
      </c>
      <c r="MI129" s="12" t="e">
        <f>VLOOKUP($A129,'Données projet'!$A$460:$I$480,2,0)</f>
        <v>#N/A</v>
      </c>
      <c r="MJ129" s="12" t="e">
        <f>VLOOKUP($A129,'Données projet'!$A$460:$I$480,9,0)</f>
        <v>#N/A</v>
      </c>
      <c r="MK129" s="12">
        <f t="array" ref="MK129">INDEX(MJ:MJ,MIN(IF(ISNUMBER(MJ129:MJ325),ROW(MJ129:MJ325),"")))</f>
        <v>0</v>
      </c>
      <c r="ML129" s="12">
        <f>IF('Données projet'!$A$460&gt;35,ML128+MK129-MT128,IF($A129&lt;'Données projet'!$A$460,$CQ$205^$A129,IF($A129='Données projet'!$A$460,'Données projet'!$B$460,ML128+MK129-MT128)))</f>
        <v>0</v>
      </c>
      <c r="MM129" s="17" t="e">
        <f>ML129*VLOOKUP('Données projet'!$B$25,Paramètres!$A$1:$I$89,3,0)*VLOOKUP('Données projet'!$B$25,Paramètres!$A$1:$I$89,5,0)</f>
        <v>#N/A</v>
      </c>
      <c r="MN129" s="13" t="e">
        <f t="shared" si="214"/>
        <v>#N/A</v>
      </c>
      <c r="MO129" s="14" t="e">
        <f t="shared" si="168"/>
        <v>#N/A</v>
      </c>
      <c r="MP129" s="59" t="e">
        <f t="shared" si="169"/>
        <v>#N/A</v>
      </c>
      <c r="MQ129" s="20" t="e">
        <f ca="1">AVERAGE(OFFSET($MP$3,0,0,'Données projet'!$E$25+1,1))-AVERAGE(OFFSET($H$3,0,0,'Données projet'!$E$25+1,1))</f>
        <v>#N/A</v>
      </c>
      <c r="MR129" s="59" t="e">
        <f t="shared" si="215"/>
        <v>#N/A</v>
      </c>
      <c r="MS129" s="15">
        <f>IF(ISNA(VLOOKUP($A129,'Données projet'!$A$460:$I$480,3,0)),0,VLOOKUP($A129,'Données projet'!$A$460:$I$480,3,0))</f>
        <v>0</v>
      </c>
      <c r="MT129" s="15">
        <f>IF(ISNA(VLOOKUP($A129,'Données projet'!$A$460:$I$480,4,0)),0,VLOOKUP($A129,'Données projet'!$A$460:$I$480,4,0))</f>
        <v>0</v>
      </c>
      <c r="MU129" s="16">
        <f>IF(ISNA(VLOOKUP($A129,'Données projet'!$A$460:$I$480,5,0)),0%,VLOOKUP($A129,'Données projet'!$A$460:$I$480,5,0)*VLOOKUP('Données projet'!$B$25,Paramètres!$A$1:$I$89,7,0))</f>
        <v>0</v>
      </c>
      <c r="MV129" s="16">
        <f>IF(ISNA(VLOOKUP($A129,'Données projet'!$A$460:$I$480,6,0)),0%,VLOOKUP($A129,'Données projet'!$A$460:$I$480,6,0)*VLOOKUP('Données projet'!$B$25,Paramètres!$A$1:$I$89,7,0))</f>
        <v>0</v>
      </c>
      <c r="MW129" s="16">
        <f>IF(ISNA(VLOOKUP($A129,'Données projet'!$A$460:$I$480,7,0)),0%,VLOOKUP($A129,'Données projet'!$A$460:$I$480,7,0))</f>
        <v>0</v>
      </c>
      <c r="MX129" s="21" t="e">
        <f>EXP(-LN(2)/35)*MX128+(1-EXP(-LN(2)/35))/(LN(2)/35)*MT129*MU129*VLOOKUP('Données projet'!$B$25,Paramètres!$A$1:$I$89,3,0)*0.475*44/12</f>
        <v>#N/A</v>
      </c>
      <c r="MY129" s="21" t="e">
        <f>EXP(-LN(2)/25)*MY128+(1-EXP(-LN(2)/25))/(LN(2)/25)*Calculateur!MT129*Calculateur!MV129*VLOOKUP('Données projet'!$B$25,Paramètres!$A$1:$I$89,3,0)*0.475*44/12</f>
        <v>#N/A</v>
      </c>
      <c r="MZ129" s="21" t="e">
        <f>EXP(-LN(2)/2)*MZ128+(1-EXP(-LN(2)/2))/(LN(2)/2)*MT129*MW129*VLOOKUP('Données projet'!$B$25,Paramètres!$A$1:$I$89,3,0)*0.475*44/12</f>
        <v>#N/A</v>
      </c>
      <c r="NA129" s="22" t="e">
        <f t="shared" si="170"/>
        <v>#N/A</v>
      </c>
      <c r="NB129" s="74">
        <f>('Scénario référence'!$F$8+'Scénario référence'!$F$9+'Scénario référence'!$B$17+'Scénario référence'!$B$9+'Scénario référence'!$B$10)*70+IF((45+25*(1-EXP(-0.0175*$A129)))&lt;70,'Scénario référence'!$B$16*(45+25*(1-EXP(-0.0175*$A129))),70*'Scénario référence'!$B$16)+IF((32+38*(1-EXP(-0.0175*$A129)))&lt;70,'Scénario référence'!$B$18*(32+38*(1-EXP(-0.0175*$A129))),70*'Scénario référence'!$B$18)</f>
        <v>70</v>
      </c>
      <c r="NC129" s="12">
        <f>IF($A129&gt;30,10,('Scénario référence'!$B$16+'Scénario référence'!$B$17+'Scénario référence'!$B$18+'Scénario référence'!$B$9+'Scénario référence'!$B$10)*$A129*10/30+('Scénario référence'!$F$8+'Scénario référence'!$F$9)*10)</f>
        <v>10</v>
      </c>
      <c r="ND129" s="12" t="e">
        <f>VLOOKUP($A129,'Données projet'!$A$486:$I$506,2,0)</f>
        <v>#N/A</v>
      </c>
      <c r="NE129" s="12" t="e">
        <f>VLOOKUP($A129,'Données projet'!$A$486:$I$506,9,0)</f>
        <v>#N/A</v>
      </c>
      <c r="NF129" s="12">
        <f t="array" ref="NF129">INDEX(NE:NE,MIN(IF(ISNUMBER(NE129:NE325),ROW(NE129:NE325),"")))</f>
        <v>0</v>
      </c>
      <c r="NG129" s="12">
        <f>IF('Données projet'!$A$486&gt;35,NG128+NF129-NO128,IF($A129&lt;'Données projet'!$A$486,$CQ$205^$A129,IF($A129='Données projet'!$A$486,'Données projet'!$B$486,NG128+NF129-NO128)))</f>
        <v>0</v>
      </c>
      <c r="NH129" s="17" t="e">
        <f>NG129*VLOOKUP('Données projet'!$B$26,Paramètres!$A$1:$I$89,3,0)*VLOOKUP('Données projet'!$B$26,Paramètres!$A$1:$I$89,5,0)</f>
        <v>#N/A</v>
      </c>
      <c r="NI129" s="13" t="e">
        <f t="shared" si="216"/>
        <v>#N/A</v>
      </c>
      <c r="NJ129" s="14" t="e">
        <f t="shared" si="171"/>
        <v>#N/A</v>
      </c>
      <c r="NK129" s="59" t="e">
        <f t="shared" si="172"/>
        <v>#N/A</v>
      </c>
      <c r="NL129" s="20" t="e">
        <f ca="1">AVERAGE(OFFSET($NK$3,0,0,'Données projet'!$E$26+1,1))-AVERAGE(OFFSET($H$3,0,0,'Données projet'!$E$26+1,1))</f>
        <v>#N/A</v>
      </c>
      <c r="NM129" s="59" t="e">
        <f t="shared" si="217"/>
        <v>#N/A</v>
      </c>
      <c r="NN129" s="15">
        <f>IF(ISNA(VLOOKUP($A129,'Données projet'!$A$486:$I$506,3,0)),0,VLOOKUP($A129,'Données projet'!$A$486:$I$506,3,0))</f>
        <v>0</v>
      </c>
      <c r="NO129" s="15">
        <f>IF(ISNA(VLOOKUP($A129,'Données projet'!$A$486:$I$506,4,0)),0,VLOOKUP($A129,'Données projet'!$A$486:$I$506,4,0))</f>
        <v>0</v>
      </c>
      <c r="NP129" s="16">
        <f>IF(ISNA(VLOOKUP($A129,'Données projet'!$A$486:$I$506,5,0)),0%,VLOOKUP($A129,'Données projet'!$A$486:$I$506,5,0)*VLOOKUP('Données projet'!$B$26,Paramètres!$A$1:$I$89,7,0))</f>
        <v>0</v>
      </c>
      <c r="NQ129" s="16">
        <f>IF(ISNA(VLOOKUP($A129,'Données projet'!$A$486:$I$506,6,0)),0%,VLOOKUP($A129,'Données projet'!$A$486:$I$506,6,0)*VLOOKUP('Données projet'!$B$26,Paramètres!$A$1:$I$89,7,0))</f>
        <v>0</v>
      </c>
      <c r="NR129" s="16">
        <f>IF(ISNA(VLOOKUP($A129,'Données projet'!$A$486:$I$506,7,0)),0%,VLOOKUP($A129,'Données projet'!$A$486:$I$506,7,0))</f>
        <v>0</v>
      </c>
      <c r="NS129" s="21" t="e">
        <f>EXP(-LN(2)/35)*NS128+(1-EXP(-LN(2)/35))/(LN(2)/35)*NO129*NP129*VLOOKUP('Données projet'!$B$26,Paramètres!$A$1:$I$89,3,0)*0.475*44/12</f>
        <v>#N/A</v>
      </c>
      <c r="NT129" s="21" t="e">
        <f>EXP(-LN(2)/25)*NT128+(1-EXP(-LN(2)/25))/(LN(2)/25)*Calculateur!NO129*Calculateur!NQ129*VLOOKUP('Données projet'!$B$26,Paramètres!$A$1:$I$89,3,0)*0.475*44/12</f>
        <v>#N/A</v>
      </c>
      <c r="NU129" s="21" t="e">
        <f>EXP(-LN(2)/2)*NU128+(1-EXP(-LN(2)/2))/(LN(2)/2)*NO129*NR129*VLOOKUP('Données projet'!$B$26,Paramètres!$A$1:$I$89,3,0)*0.475*44/12</f>
        <v>#N/A</v>
      </c>
      <c r="NV129" s="22" t="e">
        <f t="shared" si="173"/>
        <v>#N/A</v>
      </c>
      <c r="NW129" s="74">
        <f>('Scénario référence'!$F$8+'Scénario référence'!$F$9+'Scénario référence'!$B$17+'Scénario référence'!$B$9+'Scénario référence'!$B$10)*70+IF((45+25*(1-EXP(-0.0175*$A129)))&lt;70,'Scénario référence'!$B$16*(45+25*(1-EXP(-0.0175*$A129))),70*'Scénario référence'!$B$16)+IF((32+38*(1-EXP(-0.0175*$A129)))&lt;70,'Scénario référence'!$B$18*(32+38*(1-EXP(-0.0175*$A129))),70*'Scénario référence'!$B$18)</f>
        <v>70</v>
      </c>
      <c r="NX129" s="12">
        <f>IF($A129&gt;30,10,('Scénario référence'!$B$16+'Scénario référence'!$B$17+'Scénario référence'!$B$18+'Scénario référence'!$B$9+'Scénario référence'!$B$10)*$A129*10/30+('Scénario référence'!$F$8+'Scénario référence'!$F$9)*10)</f>
        <v>10</v>
      </c>
      <c r="NY129" s="12" t="e">
        <f>VLOOKUP($A129,'Données projet'!$A$512:$I$532,2,0)</f>
        <v>#N/A</v>
      </c>
      <c r="NZ129" s="12" t="e">
        <f>VLOOKUP($A129,'Données projet'!$A$512:$I$532,9,0)</f>
        <v>#N/A</v>
      </c>
      <c r="OA129" s="12">
        <f t="array" ref="OA129">INDEX(NZ:NZ,MIN(IF(ISNUMBER(NZ129:NZ325),ROW(NZ129:NZ325),"")))</f>
        <v>0</v>
      </c>
      <c r="OB129" s="12">
        <f>IF('Données projet'!$A$512&gt;35,OB128+OA129-OJ128,IF($A129&lt;'Données projet'!$A$512,$CQ$205^$A129,IF($A129='Données projet'!$A$512,'Données projet'!$B$512,OB128+OA129-OJ128)))</f>
        <v>0</v>
      </c>
      <c r="OC129" s="17" t="e">
        <f>OB129*VLOOKUP('Données projet'!$B$27,Paramètres!$A$1:$I$89,3,0)*VLOOKUP('Données projet'!$B$27,Paramètres!$A$1:$I$89,5,0)</f>
        <v>#N/A</v>
      </c>
      <c r="OD129" s="13" t="e">
        <f t="shared" si="218"/>
        <v>#N/A</v>
      </c>
      <c r="OE129" s="14" t="e">
        <f t="shared" si="174"/>
        <v>#N/A</v>
      </c>
      <c r="OF129" s="59" t="e">
        <f t="shared" si="175"/>
        <v>#N/A</v>
      </c>
      <c r="OG129" s="20" t="e">
        <f ca="1">AVERAGE(OFFSET($OF$3,0,0,'Données projet'!$E$27+1,1))-AVERAGE(OFFSET($H$3,0,0,'Données projet'!$E$27+1,1))</f>
        <v>#N/A</v>
      </c>
      <c r="OH129" s="59" t="e">
        <f t="shared" si="219"/>
        <v>#N/A</v>
      </c>
      <c r="OI129" s="15">
        <f>IF(ISNA(VLOOKUP($A129,'Données projet'!$A$512:$I$532,3,0)),0,VLOOKUP($A129,'Données projet'!$A$512:$I$532,3,0))</f>
        <v>0</v>
      </c>
      <c r="OJ129" s="15">
        <f>IF(ISNA(VLOOKUP($A129,'Données projet'!$A$512:$I$532,4,0)),0,VLOOKUP($A129,'Données projet'!$A$512:$I$532,4,0))</f>
        <v>0</v>
      </c>
      <c r="OK129" s="16">
        <f>IF(ISNA(VLOOKUP($A129,'Données projet'!$A$512:$I$532,5,0)),0%,VLOOKUP($A129,'Données projet'!$A$512:$I$532,5,0)*VLOOKUP('Données projet'!$B$27,Paramètres!$A$1:$I$89,7,0))</f>
        <v>0</v>
      </c>
      <c r="OL129" s="16">
        <f>IF(ISNA(VLOOKUP($A129,'Données projet'!$A$512:$I$532,6,0)),0%,VLOOKUP($A129,'Données projet'!$A$512:$I$532,6,0)*VLOOKUP('Données projet'!$B$27,Paramètres!$A$1:$I$89,7,0))</f>
        <v>0</v>
      </c>
      <c r="OM129" s="16">
        <f>IF(ISNA(VLOOKUP($A129,'Données projet'!$A$512:$I$532,7,0)),0%,VLOOKUP($A129,'Données projet'!$A$512:$I$532,7,0))</f>
        <v>0</v>
      </c>
      <c r="ON129" s="21" t="e">
        <f>EXP(-LN(2)/35)*ON128+(1-EXP(-LN(2)/35))/(LN(2)/35)*OJ129*OK129*VLOOKUP('Données projet'!$B$27,Paramètres!$A$1:$I$89,3,0)*0.475*44/12</f>
        <v>#N/A</v>
      </c>
      <c r="OO129" s="21" t="e">
        <f>EXP(-LN(2)/25)*OO128+(1-EXP(-LN(2)/25))/(LN(2)/25)*Calculateur!OJ129*Calculateur!OL129*VLOOKUP('Données projet'!$B$27,Paramètres!$A$1:$I$89,3,0)*0.475*44/12</f>
        <v>#N/A</v>
      </c>
      <c r="OP129" s="21" t="e">
        <f>EXP(-LN(2)/2)*OP128+(1-EXP(-LN(2)/2))/(LN(2)/2)*OJ129*OM129*VLOOKUP('Données projet'!$B$27,Paramètres!$A$1:$I$89,3,0)*0.475*44/12</f>
        <v>#N/A</v>
      </c>
      <c r="OQ129" s="22" t="e">
        <f t="shared" si="176"/>
        <v>#N/A</v>
      </c>
      <c r="OR129" s="74">
        <f>('Scénario référence'!$F$8+'Scénario référence'!$F$9+'Scénario référence'!$B$17+'Scénario référence'!$B$9+'Scénario référence'!$B$10)*70+IF((45+25*(1-EXP(-0.0175*$A129)))&lt;70,'Scénario référence'!$B$16*(45+25*(1-EXP(-0.0175*$A129))),70*'Scénario référence'!$B$16)+IF((32+38*(1-EXP(-0.0175*$A129)))&lt;70,'Scénario référence'!$B$18*(32+38*(1-EXP(-0.0175*$A129))),70*'Scénario référence'!$B$18)</f>
        <v>70</v>
      </c>
      <c r="OS129" s="12">
        <f>IF($A129&gt;30,10,('Scénario référence'!$B$16+'Scénario référence'!$B$17+'Scénario référence'!$B$18+'Scénario référence'!$B$9+'Scénario référence'!$B$10)*$A129*10/30+('Scénario référence'!$F$8+'Scénario référence'!$F$9)*10)</f>
        <v>10</v>
      </c>
      <c r="OT129" s="12" t="e">
        <f>VLOOKUP($A129,'Données projet'!$A$538:$I$558,2,0)</f>
        <v>#N/A</v>
      </c>
      <c r="OU129" s="12" t="e">
        <f>VLOOKUP($A129,'Données projet'!$A$538:$I$558,9,0)</f>
        <v>#N/A</v>
      </c>
      <c r="OV129" s="12">
        <f t="array" ref="OV129">INDEX(OU:OU,MIN(IF(ISNUMBER(OU129:OU325),ROW(OU129:OU325),"")))</f>
        <v>0</v>
      </c>
      <c r="OW129" s="12">
        <f>IF('Données projet'!$A$538&gt;35,OW128+OV129-PE128,IF($A129&lt;'Données projet'!$A$538,$CQ$205^$A129,IF($A129='Données projet'!$A$538,'Données projet'!$B$538,OW128+OV129-PE128)))</f>
        <v>0</v>
      </c>
      <c r="OX129" s="17" t="e">
        <f>OW129*VLOOKUP('Données projet'!$B$28,Paramètres!$A$1:$I$89,3,0)*VLOOKUP('Données projet'!$B$28,Paramètres!$A$1:$I$89,5,0)</f>
        <v>#N/A</v>
      </c>
      <c r="OY129" s="13" t="e">
        <f t="shared" si="220"/>
        <v>#N/A</v>
      </c>
      <c r="OZ129" s="14" t="e">
        <f t="shared" si="177"/>
        <v>#N/A</v>
      </c>
      <c r="PA129" s="59" t="e">
        <f t="shared" si="178"/>
        <v>#N/A</v>
      </c>
      <c r="PB129" s="20" t="e">
        <f ca="1">AVERAGE(OFFSET($PA$3,0,0,'Données projet'!$E$28+1,1))-AVERAGE(OFFSET($H$3,0,0,'Données projet'!$E$28+1,1))</f>
        <v>#N/A</v>
      </c>
      <c r="PC129" s="59" t="e">
        <f t="shared" si="221"/>
        <v>#N/A</v>
      </c>
      <c r="PD129" s="15">
        <f>IF(ISNA(VLOOKUP($A129,'Données projet'!$A$538:$I$558,3,0)),0,VLOOKUP($A129,'Données projet'!$A$538:$I$558,3,0))</f>
        <v>0</v>
      </c>
      <c r="PE129" s="15">
        <f>IF(ISNA(VLOOKUP($A129,'Données projet'!$A$538:$I$558,4,0)),0,VLOOKUP($A129,'Données projet'!$A$538:$I$558,4,0))</f>
        <v>0</v>
      </c>
      <c r="PF129" s="16">
        <f>IF(ISNA(VLOOKUP($A129,'Données projet'!$A$538:$I$558,5,0)),0%,VLOOKUP($A129,'Données projet'!$A$538:$I$558,5,0)*VLOOKUP('Données projet'!$B$28,Paramètres!$A$1:$I$89,7,0))</f>
        <v>0</v>
      </c>
      <c r="PG129" s="16">
        <f>IF(ISNA(VLOOKUP($A129,'Données projet'!$A$538:$I$558,6,0)),0%,VLOOKUP($A129,'Données projet'!$A$538:$I$558,6,0)*VLOOKUP('Données projet'!$B$28,Paramètres!$A$1:$I$89,7,0))</f>
        <v>0</v>
      </c>
      <c r="PH129" s="16">
        <f>IF(ISNA(VLOOKUP($A129,'Données projet'!$A$538:$I$558,7,0)),0%,VLOOKUP($A129,'Données projet'!$A$538:$I$558,7,0))</f>
        <v>0</v>
      </c>
      <c r="PI129" s="21" t="e">
        <f>EXP(-LN(2)/35)*PI128+(1-EXP(-LN(2)/35))/(LN(2)/35)*PE129*PF129*VLOOKUP('Données projet'!$B$28,Paramètres!$A$1:$I$89,3,0)*0.475*44/12</f>
        <v>#N/A</v>
      </c>
      <c r="PJ129" s="21" t="e">
        <f>EXP(-LN(2)/25)*PJ128+(1-EXP(-LN(2)/25))/(LN(2)/25)*Calculateur!PE129*Calculateur!PG129*VLOOKUP('Données projet'!$B$28,Paramètres!$A$1:$I$89,3,0)*0.475*44/12</f>
        <v>#N/A</v>
      </c>
      <c r="PK129" s="21" t="e">
        <f>EXP(-LN(2)/2)*PK128+(1-EXP(-LN(2)/2))/(LN(2)/2)*PE129*PH129*VLOOKUP('Données projet'!$B$28,Paramètres!$A$1:$I$89,3,0)*0.475*44/12</f>
        <v>#N/A</v>
      </c>
      <c r="PL129" s="22" t="e">
        <f t="shared" si="179"/>
        <v>#N/A</v>
      </c>
    </row>
    <row r="130" spans="1:428" x14ac:dyDescent="0.35">
      <c r="A130" s="10">
        <f t="shared" si="180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181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121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projet'!$A$45:$I$65,2,0)</f>
        <v>#N/A</v>
      </c>
      <c r="L130" s="12" t="e">
        <f>VLOOKUP(A130,'Données projet'!$A$45:$I$65,9,0)</f>
        <v>#N/A</v>
      </c>
      <c r="M130" s="12">
        <f t="array" ref="M130">INDEX(L:L,MIN(IF(ISNUMBER(L130:L326),ROW(L130:L326),"")))</f>
        <v>0</v>
      </c>
      <c r="N130" s="13">
        <f>IF('Données projet'!$A$46&gt;35,N129+M130-V129,IF(A130&lt;'Données projet'!$A$46,$K$205^A130,IF(A130='Données projet'!$A$46,'Données projet'!$B$46,N129+M130-V129)))</f>
        <v>-1.1368683772161603E-13</v>
      </c>
      <c r="O130" s="13">
        <f>N130*VLOOKUP('Données projet'!$B$9,Paramètres!$A$1:$I$89,3,0)*VLOOKUP('Données projet'!$B$9,Paramètres!$A$1:$I$89,5,0)</f>
        <v>-6.3550942286383367E-14</v>
      </c>
      <c r="P130" s="13" t="e">
        <f t="shared" si="182"/>
        <v>#NUM!</v>
      </c>
      <c r="Q130" s="20" t="e">
        <f t="shared" si="222"/>
        <v>#NUM!</v>
      </c>
      <c r="R130" s="59" t="e">
        <f t="shared" si="120"/>
        <v>#NUM!</v>
      </c>
      <c r="S130" s="59">
        <f ca="1">AVERAGE(OFFSET($R$3,0,0,'Données projet'!$E$9+1,1))-AVERAGE(OFFSET($H$3,0,0,'Données projet'!$E$9+1,1))</f>
        <v>274.57619581652199</v>
      </c>
      <c r="T130" s="59">
        <f t="shared" si="183"/>
        <v>366.15117322598775</v>
      </c>
      <c r="U130" s="15">
        <f>IF(ISNA(VLOOKUP(A130,'Données projet'!$A$45:$I$65,3,0)),0,VLOOKUP(A130,'Données projet'!$A$45:$I$65,3,0))</f>
        <v>0</v>
      </c>
      <c r="V130" s="15">
        <f>IF(ISNA(VLOOKUP(A130,'Données projet'!$A$45:$I$65,4,0)),0,VLOOKUP(A130,'Données projet'!$A$45:$I$65,4,0))</f>
        <v>0</v>
      </c>
      <c r="W130" s="16">
        <f>IF(ISNA(VLOOKUP(A130,'Données projet'!$A$45:$I$65,5,0)),0%,VLOOKUP(A130,'Données projet'!$A$45:$I$65,5,0)*VLOOKUP('Données projet'!$B$9,Paramètres!$A$1:$I$89,7,0))</f>
        <v>0</v>
      </c>
      <c r="X130" s="16">
        <f>IF(ISNA(VLOOKUP(A130,'Données projet'!$A$45:$I$65,6,0)),0%,VLOOKUP(A130,'Données projet'!$A$45:$I$65,6,0)*VLOOKUP('Données projet'!$B$9,Paramètres!$A$1:$I$89,7,0))</f>
        <v>0</v>
      </c>
      <c r="Y130" s="16">
        <f>IF(ISNA(VLOOKUP(A130,'Données projet'!$A$45:$I$65,7,0)),0%,VLOOKUP(A130,'Données projet'!$A$45:$I$65,7,0))</f>
        <v>0</v>
      </c>
      <c r="Z130" s="21">
        <f>EXP(-LN(2)/35)*Z129+(1-EXP(-LN(2)/35))/(LN(2)/35)*V130*W130*VLOOKUP('Données projet'!$B$9,Paramètres!$A$1:$I$89,3,0)*0.475*44/12</f>
        <v>54.463755934302604</v>
      </c>
      <c r="AA130" s="21">
        <f>EXP(-LN(2)/25)*AA129+(1-EXP(-LN(2)/25))/(LN(2)/25)*Calculateur!V130*Calculateur!X130*VLOOKUP('Données projet'!$B$9,Paramètres!$A$1:$I$89,3,0)*0.475*44/12</f>
        <v>7.8255343283948795</v>
      </c>
      <c r="AB130" s="21">
        <f>EXP(-LN(2)/2)*AB129+(1-EXP(-LN(2)/2))/(LN(2)/2)*V130*Y130*VLOOKUP('Données projet'!$B$9,Paramètres!$A$1:$I$89,3,0)*0.475*44/12</f>
        <v>4.9711239995831381E-10</v>
      </c>
      <c r="AC130" s="22">
        <f t="shared" si="122"/>
        <v>62.289290263194594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>
        <f>VLOOKUP(A130,'Données projet'!$A$71:$I$91,2,0)</f>
        <v>154.80128205128204</v>
      </c>
      <c r="AG130" s="12">
        <f>VLOOKUP(A130,'Données projet'!$A$71:$I$91,9,0)</f>
        <v>2.3349358974358978</v>
      </c>
      <c r="AH130" s="12">
        <f t="array" ref="AH130">INDEX(AG:AG,MIN(IF(ISNUMBER(AG130:AG326),ROW(AG130:AG326),"")))</f>
        <v>2.3349358974358978</v>
      </c>
      <c r="AI130" s="13">
        <f>IF('Données projet'!$A$72&gt;35,AI129+AH130-AQ129,IF(A130&lt;'Données projet'!$A$72,$AF$205^A130,IF(A130='Données projet'!$A$72,'Données projet'!$B$72,AI129+AH130-AQ129)))</f>
        <v>154.80128205128261</v>
      </c>
      <c r="AJ130" s="13">
        <f>AI130*VLOOKUP('Données projet'!$B$10,Paramètres!$A$1:$I$89,3,0)*VLOOKUP('Données projet'!$B$10,Paramètres!$A$1:$I$89,5,0)</f>
        <v>140.06420000000051</v>
      </c>
      <c r="AK130" s="13">
        <f t="shared" si="184"/>
        <v>36.311712421027522</v>
      </c>
      <c r="AL130" s="20">
        <f t="shared" si="123"/>
        <v>307.1880474666238</v>
      </c>
      <c r="AM130" s="59">
        <f t="shared" si="124"/>
        <v>600.52138079995711</v>
      </c>
      <c r="AN130" s="59">
        <f ca="1">AVERAGE(OFFSET($AM$3,0,0,'Données projet'!$E$10+1,1))-AVERAGE(OFFSET($H$3,0,0,'Données projet'!$E$10+1,1))</f>
        <v>270.87836509222456</v>
      </c>
      <c r="AO130" s="59">
        <f t="shared" si="185"/>
        <v>205.24998237949734</v>
      </c>
      <c r="AP130" s="15">
        <f>IF(ISNA(VLOOKUP(A130,'Données projet'!$A$71:$I$91,3,0)),0,VLOOKUP(A130,'Données projet'!$A$71:$I$91,3,0))</f>
        <v>13</v>
      </c>
      <c r="AQ130" s="15">
        <f>IF(ISNA(VLOOKUP(A130,'Données projet'!$A$71:$I$91,4,0)),0,VLOOKUP(A130,'Données projet'!$A$71:$I$91,4,0))</f>
        <v>49.916666666666671</v>
      </c>
      <c r="AR130" s="16">
        <f>IF(ISNA(VLOOKUP(A130,'Données projet'!$A$71:$I$91,5,0)),0%,VLOOKUP(A130,'Données projet'!$A$71:$I$91,5,0)*VLOOKUP('Données projet'!$B$10,Paramètres!$A$1:$I$89,7,0))</f>
        <v>0.38700000000000001</v>
      </c>
      <c r="AS130" s="16">
        <f>IF(ISNA(VLOOKUP(A130,'Données projet'!$A$71:$I$91,6,0)),0%,VLOOKUP(A130,'Données projet'!$A$71:$I$91,6,0)*VLOOKUP('Données projet'!$B$10,Paramètres!$A$1:$I$89,7,0))</f>
        <v>0</v>
      </c>
      <c r="AT130" s="16">
        <f>IF(ISNA(VLOOKUP(A130,'Données projet'!$A$71:$I$91,7,0)),0%,VLOOKUP(A130,'Données projet'!$A$71:$I$91,7,0))</f>
        <v>0</v>
      </c>
      <c r="AU130" s="21">
        <f>EXP(-LN(2)/35)*AU129+(1-EXP(-LN(2)/35))/(LN(2)/35)*AQ130*AR130*VLOOKUP('Données projet'!$B$10,Paramètres!$A$1:$I$89,3,0)*0.475*44/12</f>
        <v>138.61031359676292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125"/>
        <v>138.61031359676292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projet'!$A$97:$I$117,2,0)</f>
        <v>#N/A</v>
      </c>
      <c r="BB130" s="12" t="e">
        <f>VLOOKUP(A130,'Données projet'!$A$97:$I$117,9,0)</f>
        <v>#N/A</v>
      </c>
      <c r="BC130" s="12">
        <f t="array" ref="BC130">INDEX(BB:BB,MIN(IF(ISNUMBER(BB130:BB326),ROW(BB130:BB326),"")))</f>
        <v>0</v>
      </c>
      <c r="BD130" s="12">
        <f>IF('Données projet'!$A$98&gt;35,BD129+BC130-BL129,IF(A130&lt;'Données projet'!$A$98,$BA$205^A130,IF(A130='Données projet'!$A$98,'Données projet'!$B$98,BD129+BC130-BL129)))</f>
        <v>-1.1368683772161603E-13</v>
      </c>
      <c r="BE130" s="13">
        <f>BD130*VLOOKUP('Données projet'!$B$11,Paramètres!$A$1:$I$89,3,0)*VLOOKUP('Données projet'!$B$11,Paramètres!$A$1:$I$89,5,0)</f>
        <v>-5.0249582272954292E-14</v>
      </c>
      <c r="BF130" s="13" t="e">
        <f t="shared" si="186"/>
        <v>#NUM!</v>
      </c>
      <c r="BG130" s="20" t="e">
        <f t="shared" si="126"/>
        <v>#NUM!</v>
      </c>
      <c r="BH130" s="59" t="e">
        <f t="shared" si="127"/>
        <v>#NUM!</v>
      </c>
      <c r="BI130" s="59">
        <f ca="1">AVERAGE(OFFSET($BH$3,0,0,'Données projet'!$E$11+1,1))-AVERAGE(OFFSET($H$3,0,0,'Données projet'!$E$11+1,1))</f>
        <v>211.31057120485542</v>
      </c>
      <c r="BJ130" s="59">
        <f t="shared" si="187"/>
        <v>283.33292006714777</v>
      </c>
      <c r="BK130" s="15">
        <f>IF(ISNA(VLOOKUP(A130,'Données projet'!$A$97:$I$117,3,0)),0,VLOOKUP(A130,'Données projet'!$A$97:$I$117,3,0))</f>
        <v>0</v>
      </c>
      <c r="BL130" s="15">
        <f>IF(ISNA(VLOOKUP(A130,'Données projet'!$A$97:$I$117,4,0)),0,VLOOKUP(A130,'Données projet'!$A$97:$I$117,4,0))</f>
        <v>0</v>
      </c>
      <c r="BM130" s="16">
        <f>IF(ISNA(VLOOKUP(A130,'Données projet'!$A$97:$I$117,5,0)),0%,VLOOKUP(A130,'Données projet'!$A$97:$I$117,5,0)*VLOOKUP('Données projet'!$B$11,Paramètres!$A$1:$I$89,7,0))</f>
        <v>0</v>
      </c>
      <c r="BN130" s="16">
        <f>IF(ISNA(VLOOKUP(A130,'Données projet'!$A$97:$I$117,6,0)),0%,VLOOKUP(A130,'Données projet'!$A$97:$I$117,6,0)*VLOOKUP('Données projet'!$B$11,Paramètres!$A$1:$I$89,7,0))</f>
        <v>0</v>
      </c>
      <c r="BO130" s="16">
        <f>IF(ISNA(VLOOKUP(A130,'Données projet'!$A$97:$I$117,7,0)),0%,VLOOKUP(A130,'Données projet'!$A$97:$I$117,7,0))</f>
        <v>0</v>
      </c>
      <c r="BP130" s="21">
        <f>EXP(-LN(2)/35)*BP129+(1-EXP(-LN(2)/35))/(LN(2)/35)*BL130*BM130*VLOOKUP('Données projet'!$B$11,Paramètres!$A$1:$I$89,3,0)*0.475*44/12</f>
        <v>43.06436515735556</v>
      </c>
      <c r="BQ130" s="21">
        <f>EXP(-LN(2)/25)*BQ129+(1-EXP(-LN(2)/25))/(LN(2)/25)*Calculateur!BL130*Calculateur!BN130*VLOOKUP('Données projet'!$B$11,Paramètres!$A$1:$I$89,3,0)*0.475*44/12</f>
        <v>6.1876317945447852</v>
      </c>
      <c r="BR130" s="21">
        <f>EXP(-LN(2)/2)*BR129+(1-EXP(-LN(2)/2))/(LN(2)/2)*BL130*BO130*VLOOKUP('Données projet'!$B$11,Paramètres!$A$1:$I$89,3,0)*0.475*44/12</f>
        <v>3.9306561857168992E-10</v>
      </c>
      <c r="BS130" s="22">
        <f t="shared" si="128"/>
        <v>49.25199695229341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projet'!$A$123:$I$143,2,0)</f>
        <v>#N/A</v>
      </c>
      <c r="BW130" s="12" t="e">
        <f>VLOOKUP(A130,'Données projet'!$A$123:$I$143,9,0)</f>
        <v>#N/A</v>
      </c>
      <c r="BX130" s="12">
        <f t="array" ref="BX130">INDEX(BW:BW,MIN(IF(ISNUMBER(BW130:BW326),ROW(BW130:BW326),"")))</f>
        <v>0</v>
      </c>
      <c r="BY130" s="12">
        <f>IF('Données projet'!$A$124&gt;35,BY129+BX130-CG129,IF(A130&lt;'Données projet'!$A$124,$BV$205^A130,IF(A130='Données projet'!$A$124,'Données projet'!$B$124,BY129+BX130-CG129)))</f>
        <v>0</v>
      </c>
      <c r="BZ130" s="13">
        <f>BY130*VLOOKUP('Données projet'!$B$12,Paramètres!$A$1:$I$89,3,0)*VLOOKUP('Données projet'!$B$12,Paramètres!$A$1:$I$89,5,0)</f>
        <v>0</v>
      </c>
      <c r="CA130" s="13" t="e">
        <f t="shared" si="188"/>
        <v>#NUM!</v>
      </c>
      <c r="CB130" s="20" t="e">
        <f t="shared" si="129"/>
        <v>#NUM!</v>
      </c>
      <c r="CC130" s="59" t="e">
        <f t="shared" si="130"/>
        <v>#NUM!</v>
      </c>
      <c r="CD130" s="59">
        <f ca="1">AVERAGE(OFFSET($CC$3,0,0,'Données projet'!$E$12+1,1))-AVERAGE(OFFSET($H$3,0,0,'Données projet'!$E$12+1,1))</f>
        <v>322.93502595881938</v>
      </c>
      <c r="CE130" s="59">
        <f t="shared" si="189"/>
        <v>302.67072119588164</v>
      </c>
      <c r="CF130" s="15">
        <f>IF(ISNA(VLOOKUP(A130,'Données projet'!$A$123:$I$143,3,0)),0,VLOOKUP(A130,'Données projet'!$A$123:$I$143,3,0))</f>
        <v>0</v>
      </c>
      <c r="CG130" s="15">
        <f>IF(ISNA(VLOOKUP(A130,'Données projet'!$A$123:$I$143,4,0)),0,VLOOKUP(A130,'Données projet'!$A$123:$I$143,4,0))</f>
        <v>0</v>
      </c>
      <c r="CH130" s="16">
        <f>IF(ISNA(VLOOKUP(A130,'Données projet'!$A$123:$I$143,5,0)),0%,VLOOKUP(A130,'Données projet'!$A$123:$I$143,5,0)*VLOOKUP('Données projet'!$B$12,Paramètres!$A$1:$I$89,7,0))</f>
        <v>0</v>
      </c>
      <c r="CI130" s="16">
        <f>IF(ISNA(VLOOKUP(A130,'Données projet'!$A$123:$I$143,6,0)),0%,VLOOKUP(A130,'Données projet'!$A$123:$I$143,6,0)*VLOOKUP('Données projet'!$B$12,Paramètres!$A$1:$I$89,7,0))</f>
        <v>0</v>
      </c>
      <c r="CJ130" s="16">
        <f>IF(ISNA(VLOOKUP(A130,'Données projet'!$A$123:$I$143,7,0)),0%,VLOOKUP(A130,'Données projet'!$A$123:$I$143,7,0))</f>
        <v>0</v>
      </c>
      <c r="CK130" s="21">
        <f>EXP(-LN(2)/35)*CK129+(1-EXP(-LN(2)/35))/(LN(2)/35)*CG130*CH130*VLOOKUP('Données projet'!$B$12,Paramètres!$A$1:$I$89,3,0)*0.475*44/12</f>
        <v>68.61193951961377</v>
      </c>
      <c r="CL130" s="21">
        <f>EXP(-LN(2)/25)*CL129+(1-EXP(-LN(2)/25))/(LN(2)/25)*Calculateur!CG130*Calculateur!CI130*VLOOKUP('Données projet'!$B$12,Paramètres!$A$1:$I$89,3,0)*0.475*44/12</f>
        <v>19.804165500904215</v>
      </c>
      <c r="CM130" s="21">
        <f>EXP(-LN(2)/2)*CM129+(1-EXP(-LN(2)/2))/(LN(2)/2)*CG130*CJ130*VLOOKUP('Données projet'!$B$12,Paramètres!$A$1:$I$89,3,0)*0.475*44/12</f>
        <v>0</v>
      </c>
      <c r="CN130" s="22">
        <f t="shared" si="131"/>
        <v>88.416105020517989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projet'!$A$149:$I$169,2,0)</f>
        <v>#N/A</v>
      </c>
      <c r="CR130" s="12" t="e">
        <f>VLOOKUP(A130,'Données projet'!$A$149:$I$169,9,0)</f>
        <v>#N/A</v>
      </c>
      <c r="CS130" s="12">
        <f t="array" ref="CS130">INDEX(CR:CR,MIN(IF(ISNUMBER(CR130:CR326),ROW(CR130:CR326),"")))</f>
        <v>5.2446581196581219</v>
      </c>
      <c r="CT130" s="12">
        <f>IF('Données projet'!$A$150&gt;35,CT129+CS130-DB129,IF(A130&lt;'Données projet'!$A$150,$CQ$205^A130,IF(A130='Données projet'!$A$150,'Données projet'!$B$150,CT129+CS130-DB129)))</f>
        <v>240.62393162393116</v>
      </c>
      <c r="CU130" s="17">
        <f>CT130*VLOOKUP('Données projet'!$B$13,Paramètres!$A$1:$I$89,3,0)*VLOOKUP('Données projet'!$B$13,Paramètres!$A$1:$I$89,5,0)</f>
        <v>243.9926666666662</v>
      </c>
      <c r="CV130" s="13">
        <f t="shared" si="190"/>
        <v>59.297745526958636</v>
      </c>
      <c r="CW130" s="20">
        <f t="shared" si="132"/>
        <v>528.23080123722991</v>
      </c>
      <c r="CX130" s="59">
        <f t="shared" si="133"/>
        <v>821.56413457056328</v>
      </c>
      <c r="CY130" s="59">
        <f ca="1">AVERAGE(OFFSET($CX$3,0,0,'Données projet'!$E$13+1,1))-AVERAGE(OFFSET($H$3,0,0,'Données projet'!$E$13+1,1))</f>
        <v>250.31277422753283</v>
      </c>
      <c r="CZ130" s="59">
        <f t="shared" si="191"/>
        <v>159.20429420478047</v>
      </c>
      <c r="DA130" s="15">
        <f>IF(ISNA(VLOOKUP(A130,'Données projet'!$A$149:$I$169,3,0)),0,VLOOKUP(A130,'Données projet'!$A$149:$I$169,3,0))</f>
        <v>0</v>
      </c>
      <c r="DB130" s="15">
        <f>IF(ISNA(VLOOKUP(A130,'Données projet'!$A$149:$I$169,4,0)),0,VLOOKUP(A130,'Données projet'!$A$149:$I$169,4,0))</f>
        <v>0</v>
      </c>
      <c r="DC130" s="16">
        <f>IF(ISNA(VLOOKUP(A130,'Données projet'!$A$149:$I$169,5,0)),0%,VLOOKUP(A130,'Données projet'!$A$149:$I$169,5,0)*VLOOKUP('Données projet'!$B$13,Paramètres!$A$1:$I$89,7,0))</f>
        <v>0</v>
      </c>
      <c r="DD130" s="16">
        <f>IF(ISNA(VLOOKUP(A130,'Données projet'!$A$149:$I$169,6,0)),0%,VLOOKUP(A130,'Données projet'!$A$149:$I$169,6,0)*VLOOKUP('Données projet'!$B$13,Paramètres!$A$1:$I$89,7,0))</f>
        <v>0</v>
      </c>
      <c r="DE130" s="16">
        <f>IF(ISNA(VLOOKUP(A130,'Données projet'!$A$149:$I$169,7,0)),0%,VLOOKUP(A130,'Données projet'!$A$149:$I$169,7,0))</f>
        <v>0</v>
      </c>
      <c r="DF130" s="21">
        <f>EXP(-LN(2)/35)*DF129+(1-EXP(-LN(2)/35))/(LN(2)/35)*DB130*DC130*VLOOKUP('Données projet'!$B$13,Paramètres!$A$1:$I$89,3,0)*0.475*44/12</f>
        <v>45.940644221855322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134"/>
        <v>45.940644221855322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projet'!$A$175:$I$195,2,0)</f>
        <v>#N/A</v>
      </c>
      <c r="DM130" s="12" t="e">
        <f>VLOOKUP(A130,'Données projet'!$A$175:$I$195,9,0)</f>
        <v>#N/A</v>
      </c>
      <c r="DN130" s="12">
        <f t="array" ref="DN130">INDEX(DM:DM,MIN(IF(ISNUMBER(DM130:DM326),ROW(DM130:DM326),"")))</f>
        <v>0</v>
      </c>
      <c r="DO130" s="12">
        <f>IF('Données projet'!$A$176&gt;35,DO129+DN130-DW129,IF(A130&lt;'Données projet'!$A$176,$DL$205^A130,IF(A130='Données projet'!$A$176,'Données projet'!$B$176,DO129+DN130-DW129)))</f>
        <v>-2.8421709430404007E-13</v>
      </c>
      <c r="DP130" s="17">
        <f>DO130*VLOOKUP('Données projet'!$B$14,Paramètres!$A$1:$I$89,3,0)*VLOOKUP('Données projet'!$B$14,Paramètres!$A$1:$I$89,5,0)</f>
        <v>-2.0838797354372215E-13</v>
      </c>
      <c r="DQ130" s="13" t="e">
        <f t="shared" si="192"/>
        <v>#NUM!</v>
      </c>
      <c r="DR130" s="20" t="e">
        <f t="shared" si="135"/>
        <v>#NUM!</v>
      </c>
      <c r="DS130" s="59" t="e">
        <f t="shared" si="136"/>
        <v>#NUM!</v>
      </c>
      <c r="DT130" s="59">
        <f ca="1">AVERAGE(OFFSET($DS$3,0,0,'Données projet'!$E$14+1,1))-AVERAGE(OFFSET($H$3,0,0,'Données projet'!$E$14+1,1))</f>
        <v>296.91321813251051</v>
      </c>
      <c r="DU130" s="59">
        <f t="shared" si="193"/>
        <v>291.0718079639509</v>
      </c>
      <c r="DV130" s="15">
        <f>IF(ISNA(VLOOKUP(A130,'Données projet'!$A$175:$I$195,3,0)),0,VLOOKUP(A130,'Données projet'!$A$175:$I$195,3,0))</f>
        <v>0</v>
      </c>
      <c r="DW130" s="15">
        <f>IF(ISNA(VLOOKUP(A130,'Données projet'!$A$175:$I$195,4,0)),0,VLOOKUP(A130,'Données projet'!$A$175:$I$195,4,0))</f>
        <v>0</v>
      </c>
      <c r="DX130" s="16">
        <f>IF(ISNA(VLOOKUP(A130,'Données projet'!$A$175:$I$195,5,0)),0%,VLOOKUP(A130,'Données projet'!$A$175:$I$195,5,0)*VLOOKUP('Données projet'!$B$14,Paramètres!$A$1:$I$89,7,0))</f>
        <v>0</v>
      </c>
      <c r="DY130" s="16">
        <f>IF(ISNA(VLOOKUP(A130,'Données projet'!$A$175:$I$195,6,0)),0%,VLOOKUP(A130,'Données projet'!$A$175:$I$195,6,0)*VLOOKUP('Données projet'!$B$14,Paramètres!$A$1:$I$89,7,0))</f>
        <v>0</v>
      </c>
      <c r="DZ130" s="16">
        <f>IF(ISNA(VLOOKUP(A130,'Données projet'!$A$175:$I$195,7,0)),0%,VLOOKUP(A130,'Données projet'!$A$175:$I$195,7,0))</f>
        <v>0</v>
      </c>
      <c r="EA130" s="21">
        <f>EXP(-LN(2)/35)*EA129+(1-EXP(-LN(2)/35))/(LN(2)/35)*DW130*DX130*VLOOKUP('Données projet'!$B$14,Paramètres!$A$1:$I$89,3,0)*0.475*44/12</f>
        <v>68.384076321816565</v>
      </c>
      <c r="EB130" s="21">
        <f>EXP(-LN(2)/25)*EB129+(1-EXP(-LN(2)/25))/(LN(2)/25)*Calculateur!DW130*Calculateur!DY130*VLOOKUP('Données projet'!$B$14,Paramètres!$A$1:$I$89,3,0)*0.475*44/12</f>
        <v>1.454831958997143</v>
      </c>
      <c r="EC130" s="21">
        <f>EXP(-LN(2)/2)*EC129+(1-EXP(-LN(2)/2))/(LN(2)/2)*DW130*DZ130*VLOOKUP('Données projet'!$B$14,Paramètres!$A$1:$I$89,3,0)*0.475*44/12</f>
        <v>0</v>
      </c>
      <c r="ED130" s="22">
        <f t="shared" si="137"/>
        <v>69.838908280813712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projet'!$A$201:$I$221,2,0)</f>
        <v>#N/A</v>
      </c>
      <c r="EH130" s="12" t="e">
        <f>VLOOKUP(A130,'Données projet'!$A$201:$I$221,9,0)</f>
        <v>#N/A</v>
      </c>
      <c r="EI130" s="12">
        <f t="array" ref="EI130">INDEX(EH:EH,MIN(IF(ISNUMBER(EH130:EH326),ROW(EH130:EH326),"")))</f>
        <v>0</v>
      </c>
      <c r="EJ130" s="12">
        <f>IF('Données projet'!$A$202&gt;35,EJ129+EI130-ER129,IF(A130&lt;'Données projet'!$A$202,$EG$205^A130,IF(A130='Données projet'!$A$202,'Données projet'!$B$202,EJ129+EI130-ER129)))</f>
        <v>5.1159076974727213E-13</v>
      </c>
      <c r="EK130" s="17">
        <f>EJ130*VLOOKUP('Données projet'!$B$15,Paramètres!$A$1:$I$89,3,0)*VLOOKUP('Données projet'!$B$15,Paramètres!$A$1:$I$89,5,0)</f>
        <v>2.3942448024172334E-13</v>
      </c>
      <c r="EL130" s="13">
        <f t="shared" si="194"/>
        <v>3.2492669905861755E-12</v>
      </c>
      <c r="EM130" s="20">
        <f t="shared" si="138"/>
        <v>6.0761376450252565E-12</v>
      </c>
      <c r="EN130" s="59">
        <f t="shared" si="139"/>
        <v>293.3333333333394</v>
      </c>
      <c r="EO130" s="59">
        <f ca="1">AVERAGE(OFFSET($EN$3,0,0,'Données projet'!$E$15+1,1))-AVERAGE(OFFSET($H$3,0,0,'Données projet'!$E$15+1,1))</f>
        <v>147.64256291235483</v>
      </c>
      <c r="EP130" s="59">
        <f t="shared" si="195"/>
        <v>70.859031694091868</v>
      </c>
      <c r="EQ130" s="15">
        <f>IF(ISNA(VLOOKUP(A130,'Données projet'!$A$201:$I$221,3,0)),0,VLOOKUP(A130,'Données projet'!$A$201:$I$221,3,0))</f>
        <v>0</v>
      </c>
      <c r="ER130" s="15">
        <f>IF(ISNA(VLOOKUP(A130,'Données projet'!$A$201:$I$221,4,0)),0,VLOOKUP(A130,'Données projet'!$A$201:$I$221,4,0))</f>
        <v>0</v>
      </c>
      <c r="ES130" s="16">
        <f>IF(ISNA(VLOOKUP(A130,'Données projet'!$A$201:$I$221,5,0)),0%,VLOOKUP(A130,'Données projet'!$A$201:$I$221,5,0)*VLOOKUP('Données projet'!$B$15,Paramètres!$A$1:$I$89,7,0))</f>
        <v>0</v>
      </c>
      <c r="ET130" s="16">
        <f>IF(ISNA(VLOOKUP(A130,'Données projet'!$A$201:$I$221,6,0)),0%,VLOOKUP(A130,'Données projet'!$A$201:$I$221,6,0)*VLOOKUP('Données projet'!$B$15,Paramètres!$A$1:$I$89,7,0))</f>
        <v>0</v>
      </c>
      <c r="EU130" s="16">
        <f>IF(ISNA(VLOOKUP(A130,'Données projet'!$A$201:$I$221,7,0)),0%,VLOOKUP(A130,'Données projet'!$A$201:$I$221,7,0))</f>
        <v>0</v>
      </c>
      <c r="EV130" s="21">
        <f>EXP(-LN(2)/35)*EV129+(1-EXP(-LN(2)/35))/(LN(2)/35)*ER130*ES130*VLOOKUP('Données projet'!$B$15,Paramètres!$A$1:$I$89,3,0)*0.475*44/12</f>
        <v>93.618878411781864</v>
      </c>
      <c r="EW130" s="21">
        <f>EXP(-LN(2)/25)*EW129+(1-EXP(-LN(2)/25))/(LN(2)/25)*Calculateur!ER130*Calculateur!ET130*VLOOKUP('Données projet'!$B$15,Paramètres!$A$1:$I$89,3,0)*0.475*44/12</f>
        <v>20.184327712659393</v>
      </c>
      <c r="EX130" s="21">
        <f>EXP(-LN(2)/2)*EX129+(1-EXP(-LN(2)/2))/(LN(2)/2)*ER130*EU130*VLOOKUP('Données projet'!$B$15,Paramètres!$A$1:$I$89,3,0)*0.475*44/12</f>
        <v>3.5837283837330779E-2</v>
      </c>
      <c r="EY130" s="22">
        <f t="shared" si="140"/>
        <v>113.83904340827858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projet'!$A$227:$I$247,2,0)</f>
        <v>#N/A</v>
      </c>
      <c r="FC130" s="12" t="e">
        <f>VLOOKUP(A130,'Données projet'!$A$227:$I$247,9,0)</f>
        <v>#N/A</v>
      </c>
      <c r="FD130" s="12">
        <f t="array" ref="FD130">INDEX(FC:FC,MIN(IF(ISNUMBER(FC130:FC326),ROW(FC130:FC326),"")))</f>
        <v>0</v>
      </c>
      <c r="FE130" s="12">
        <f>IF('Données projet'!$A$228&gt;35,FE129+FD130-FM129,IF(A130&lt;'Données projet'!$A$228,$FB$205^A130,IF(A130='Données projet'!$A$228,'Données projet'!$B$228,FE129+FD130-FM129)))</f>
        <v>8.5265128291212022E-14</v>
      </c>
      <c r="FF130" s="17">
        <f>FE130*VLOOKUP('Données projet'!$B$16,Paramètres!$A$1:$I$89,3,0)*VLOOKUP('Données projet'!$B$16,Paramètres!$A$1:$I$89,5,0)</f>
        <v>8.9119112089974823E-14</v>
      </c>
      <c r="FG130" s="13">
        <f t="shared" si="196"/>
        <v>1.3568952080113142E-12</v>
      </c>
      <c r="FH130" s="20">
        <f t="shared" si="141"/>
        <v>2.5184749408430782E-12</v>
      </c>
      <c r="FI130" s="59">
        <f t="shared" si="142"/>
        <v>293.33333333333582</v>
      </c>
      <c r="FJ130" s="59">
        <f ca="1">AVERAGE(OFFSET($FI$3,0,0,'Données projet'!$E$16+1,1))-AVERAGE(OFFSET($H$3,0,0,'Données projet'!$E$16+1,1))</f>
        <v>259.03906550253788</v>
      </c>
      <c r="FK130" s="59">
        <f t="shared" si="197"/>
        <v>235.54542903570831</v>
      </c>
      <c r="FL130" s="15">
        <f>IF(ISNA(VLOOKUP(A130,'Données projet'!$A$227:$I$247,3,0)),0,VLOOKUP(A130,'Données projet'!$A$227:$I$247,3,0))</f>
        <v>0</v>
      </c>
      <c r="FM130" s="15">
        <f>IF(ISNA(VLOOKUP(A130,'Données projet'!$A$227:$I$247,4,0)),0,VLOOKUP(A130,'Données projet'!$A$227:$I$247,4,0))</f>
        <v>0</v>
      </c>
      <c r="FN130" s="16">
        <f>IF(ISNA(VLOOKUP(A130,'Données projet'!$A$227:$I$247,5,0)),0%,VLOOKUP(A130,'Données projet'!$A$227:$I$247,5,0)*VLOOKUP('Données projet'!$B$16,Paramètres!$A$1:$I$89,7,0))</f>
        <v>0</v>
      </c>
      <c r="FO130" s="16">
        <f>IF(ISNA(VLOOKUP(A130,'Données projet'!$A$227:$I$247,6,0)),0%,VLOOKUP(A130,'Données projet'!$A$227:$I$247,6,0)*VLOOKUP('Données projet'!$B$16,Paramètres!$A$1:$I$89,7,0))</f>
        <v>0</v>
      </c>
      <c r="FP130" s="16">
        <f>IF(ISNA(VLOOKUP(A130,'Données projet'!$A$227:$I$247,7,0)),0%,VLOOKUP(A130,'Données projet'!$A$227:$I$247,7,0))</f>
        <v>0</v>
      </c>
      <c r="FQ130" s="21">
        <f>EXP(-LN(2)/35)*FQ129+(1-EXP(-LN(2)/35))/(LN(2)/35)*FM130*FN130*VLOOKUP('Données projet'!$B$16,Paramètres!$A$1:$I$89,3,0)*0.475*44/12</f>
        <v>41.320828659924508</v>
      </c>
      <c r="FR130" s="21">
        <f>EXP(-LN(2)/25)*FR129+(1-EXP(-LN(2)/25))/(LN(2)/25)*Calculateur!FM130*Calculateur!FO130*VLOOKUP('Données projet'!$B$16,Paramètres!$A$1:$I$89,3,0)*0.475*44/12</f>
        <v>27.767068104717918</v>
      </c>
      <c r="FS130" s="21">
        <f>EXP(-LN(2)/2)*FS129+(1-EXP(-LN(2)/2))/(LN(2)/2)*FM130*FP130*VLOOKUP('Données projet'!$B$16,Paramètres!$A$1:$I$89,3,0)*0.475*44/12</f>
        <v>0</v>
      </c>
      <c r="FT130" s="22">
        <f t="shared" si="143"/>
        <v>69.087896764642423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projet'!$A$253:$I$273,2,0)</f>
        <v>#N/A</v>
      </c>
      <c r="FX130" s="12" t="e">
        <f>VLOOKUP(A130,'Données projet'!$A$253:$I$273,9,0)</f>
        <v>#N/A</v>
      </c>
      <c r="FY130" s="12">
        <f t="array" ref="FY130">INDEX(FX:FX,MIN(IF(ISNUMBER(FX130:FX326),ROW(FX130:FX326),"")))</f>
        <v>0</v>
      </c>
      <c r="FZ130" s="12">
        <f>IF('Données projet'!$A$254&gt;35,FZ129+FY130-GH129,IF(A130&lt;'Données projet'!$A$254,$FW$205^A130,IF(A130='Données projet'!$A$254,'Données projet'!$B$254,FZ129+FY130-GH129)))</f>
        <v>-1.7053025658242404E-13</v>
      </c>
      <c r="GA130" s="17">
        <f>FZ130*VLOOKUP('Données projet'!$B$17,Paramètres!$A$1:$I$89,3,0)*VLOOKUP('Données projet'!$B$17,Paramètres!$A$1:$I$89,5,0)</f>
        <v>-1.4897523215040567E-13</v>
      </c>
      <c r="GB130" s="13" t="e">
        <f t="shared" si="198"/>
        <v>#NUM!</v>
      </c>
      <c r="GC130" s="20" t="e">
        <f t="shared" si="144"/>
        <v>#NUM!</v>
      </c>
      <c r="GD130" s="59" t="e">
        <f t="shared" si="145"/>
        <v>#NUM!</v>
      </c>
      <c r="GE130" s="59">
        <f ca="1">AVERAGE(OFFSET($GD$3,0,0,'Données projet'!$E$17+1,1))-AVERAGE(OFFSET($H$3,0,0,'Données projet'!$E$17+1,1))</f>
        <v>245.1983232777614</v>
      </c>
      <c r="GF130" s="59">
        <f t="shared" si="199"/>
        <v>242.34010522344573</v>
      </c>
      <c r="GG130" s="15">
        <f>IF(ISNA(VLOOKUP(A130,'Données projet'!$A$253:$I$273,3,0)),0,VLOOKUP(A130,'Données projet'!$A$253:$I$273,3,0))</f>
        <v>0</v>
      </c>
      <c r="GH130" s="15">
        <f>IF(ISNA(VLOOKUP(A130,'Données projet'!$A$253:$I$273,4,0)),0,VLOOKUP(A130,'Données projet'!$A$253:$I$273,4,0))</f>
        <v>0</v>
      </c>
      <c r="GI130" s="16">
        <f>IF(ISNA(VLOOKUP(A130,'Données projet'!$A$253:$I$273,5,0)),0%,VLOOKUP(A130,'Données projet'!$A$253:$I$273,5,0)*VLOOKUP('Données projet'!$B$17,Paramètres!$A$1:$I$89,7,0))</f>
        <v>0</v>
      </c>
      <c r="GJ130" s="16">
        <f>IF(ISNA(VLOOKUP(A130,'Données projet'!$A$253:$I$273,6,0)),0%,VLOOKUP(A130,'Données projet'!$A$253:$I$273,6,0)*VLOOKUP('Données projet'!$B$17,Paramètres!$A$1:$I$89,7,0))</f>
        <v>0</v>
      </c>
      <c r="GK130" s="16">
        <f>IF(ISNA(VLOOKUP(A130,'Données projet'!$A$253:$I$273,7,0)),0%,VLOOKUP(A130,'Données projet'!$A$253:$I$273,7,0))</f>
        <v>0</v>
      </c>
      <c r="GL130" s="21">
        <f>EXP(-LN(2)/35)*GL129+(1-EXP(-LN(2)/35))/(LN(2)/35)*GH130*GI130*VLOOKUP('Données projet'!$B$17,Paramètres!$A$1:$I$89,3,0)*0.475*44/12</f>
        <v>48.578303402340204</v>
      </c>
      <c r="GM130" s="21">
        <f>EXP(-LN(2)/25)*GM129+(1-EXP(-LN(2)/25))/(LN(2)/25)*Calculateur!GH130*Calculateur!GJ130*VLOOKUP('Données projet'!$B$17,Paramètres!$A$1:$I$89,3,0)*0.475*44/12</f>
        <v>5.916485761968751</v>
      </c>
      <c r="GN130" s="21">
        <f>EXP(-LN(2)/2)*GN129+(1-EXP(-LN(2)/2))/(LN(2)/2)*GH130*GK130*VLOOKUP('Données projet'!$B$17,Paramètres!$A$1:$I$89,3,0)*0.475*44/12</f>
        <v>0</v>
      </c>
      <c r="GO130" s="21">
        <f t="shared" si="146"/>
        <v>54.494789164308955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projet'!$A$279:$I$299,2,0)</f>
        <v>#N/A</v>
      </c>
      <c r="GS130" s="12" t="e">
        <f>VLOOKUP(A130,'Données projet'!$A$279:$I$299,9,0)</f>
        <v>#N/A</v>
      </c>
      <c r="GT130" s="12">
        <f t="array" ref="GT130">INDEX(GS:GS,MIN(IF(ISNUMBER(GS130:GS326),ROW(GS130:GS326),"")))</f>
        <v>0</v>
      </c>
      <c r="GU130" s="12">
        <f>IF('Données projet'!$A$280&gt;35,GU129+GT130-HC129,IF(A130&lt;'Données projet'!$A$280,$GR$205^A130,IF(A130='Données projet'!$A$280,'Données projet'!$B$280,GU129+GT130-HC129)))</f>
        <v>-1.1368683772161603E-13</v>
      </c>
      <c r="GV130" s="17">
        <f>GU130*VLOOKUP('Données projet'!$B$18,Paramètres!$A$1:$I$89,3,0)*VLOOKUP('Données projet'!$B$18,Paramètres!$A$1:$I$89,5,0)</f>
        <v>-4.5815795601811263E-14</v>
      </c>
      <c r="GW130" s="13" t="e">
        <f t="shared" si="200"/>
        <v>#NUM!</v>
      </c>
      <c r="GX130" s="20" t="e">
        <f t="shared" si="147"/>
        <v>#NUM!</v>
      </c>
      <c r="GY130" s="59" t="e">
        <f t="shared" si="148"/>
        <v>#NUM!</v>
      </c>
      <c r="GZ130" s="59">
        <f ca="1">AVERAGE(OFFSET($GY$3,0,0,'Données projet'!$E$18+1,1))-AVERAGE(OFFSET($H$3,0,0,'Données projet'!$E$18+1,1))</f>
        <v>324.36162935850876</v>
      </c>
      <c r="HA130" s="59">
        <f t="shared" si="201"/>
        <v>265.23571072429735</v>
      </c>
      <c r="HB130" s="15">
        <f>IF(ISNA(VLOOKUP(A130,'Données projet'!$A$279:$I$299,3,0)),0,VLOOKUP(A130,'Données projet'!$A$279:$I$299,3,0))</f>
        <v>0</v>
      </c>
      <c r="HC130" s="15">
        <f>IF(ISNA(VLOOKUP(A130,'Données projet'!$A$279:$I$299,4,0)),0,VLOOKUP(A130,'Données projet'!$A$279:$I$299,4,0))</f>
        <v>0</v>
      </c>
      <c r="HD130" s="16">
        <f>IF(ISNA(VLOOKUP(A130,'Données projet'!$A$279:$I$299,5,0)),0%,VLOOKUP(A130,'Données projet'!$A$279:$I$299,5,0)*VLOOKUP('Données projet'!$B$18,Paramètres!$A$1:$I$89,7,0))</f>
        <v>0</v>
      </c>
      <c r="HE130" s="16">
        <f>IF(ISNA(VLOOKUP(A130,'Données projet'!$A$279:$I$299,6,0)),0%,VLOOKUP(A130,'Données projet'!$A$279:$I$299,6,0)*VLOOKUP('Données projet'!$B$18,Paramètres!$A$1:$I$89,7,0))</f>
        <v>0</v>
      </c>
      <c r="HF130" s="16">
        <f>IF(ISNA(VLOOKUP($A130,'Données projet'!$A$279:$I$299,7,0)),0%,VLOOKUP($A130,'Données projet'!$A$279:$I$299,7,0))</f>
        <v>0</v>
      </c>
      <c r="HG130" s="21">
        <f>EXP(-LN(2)/35)*HG129+(1-EXP(-LN(2)/35))/(LN(2)/35)*HC130*HD130*VLOOKUP('Données projet'!$B$18,Paramètres!$A$1:$I$89,3,0)*0.475*44/12</f>
        <v>93.088728601158806</v>
      </c>
      <c r="HH130" s="21">
        <f>EXP(-LN(2)/25)*HH129+(1-EXP(-LN(2)/25))/(LN(2)/25)*Calculateur!HC130*Calculateur!HE130*VLOOKUP('Données projet'!$B$18,Paramètres!$A$1:$I$89,3,0)*0.475*44/12</f>
        <v>6.5801904257743482</v>
      </c>
      <c r="HI130" s="21">
        <f>EXP(-LN(2)/2)*HI129+(1-EXP(-LN(2)/2))/(LN(2)/2)*HC130*HF130*VLOOKUP('Données projet'!$B$18,Paramètres!$A$1:$I$89,3,0)*0.475*44/12</f>
        <v>7.2047590562415685E-7</v>
      </c>
      <c r="HJ130" s="22">
        <f t="shared" si="149"/>
        <v>99.668919747409063</v>
      </c>
      <c r="HK130" s="74">
        <f>('Scénario référence'!$F$8+'Scénario référence'!$F$9+'Scénario référence'!$B$17+'Scénario référence'!$B$9+'Scénario référence'!$B$10)*70+IF((45+25*(1-EXP(-0.0175*$A130)))&lt;70,'Scénario référence'!$B$16*(45+25*(1-EXP(-0.0175*$A130))),70*'Scénario référence'!$B$16)+IF((32+38*(1-EXP(-0.0175*$A130)))&lt;70,'Scénario référence'!$B$18*(32+38*(1-EXP(-0.0175*$A130))),70*'Scénario référence'!$B$18)</f>
        <v>70</v>
      </c>
      <c r="HL130" s="12">
        <f>IF($A130&gt;30,10,('Scénario référence'!$B$16+'Scénario référence'!$B$17+'Scénario référence'!$B$18+'Scénario référence'!$B$9+'Scénario référence'!$B$10)*$A130*10/30+('Scénario référence'!$F$8+'Scénario référence'!$F$9)*10)</f>
        <v>10</v>
      </c>
      <c r="HM130" s="12" t="e">
        <f>VLOOKUP($A130,'Données projet'!$A$304:$I$324,2,0)</f>
        <v>#N/A</v>
      </c>
      <c r="HN130" s="12" t="e">
        <f>VLOOKUP($A130,'Données projet'!$A$304:$I$324,9,0)</f>
        <v>#N/A</v>
      </c>
      <c r="HO130" s="12">
        <f t="array" ref="HO130">INDEX(HN:HN,MIN(IF(ISNUMBER(HN130:HN326),ROW(HN130:HN326),"")))</f>
        <v>0</v>
      </c>
      <c r="HP130" s="12">
        <f>IF('Données projet'!$A$304&gt;35,HP129+HO130-HX129,IF($A130&lt;'Données projet'!$A$304,$CQ$205^$A130,IF($A130='Données projet'!$A$304,'Données projet'!$B$304,HP129+HO130-HX129)))</f>
        <v>0</v>
      </c>
      <c r="HQ130" s="17">
        <f>HP130*VLOOKUP('Données projet'!$B$19,Paramètres!$A$1:$I$89,3,0)*VLOOKUP('Données projet'!$B$19,Paramètres!$A$1:$I$89,5,0)</f>
        <v>0</v>
      </c>
      <c r="HR130" s="13" t="e">
        <f t="shared" si="202"/>
        <v>#NUM!</v>
      </c>
      <c r="HS130" s="14" t="e">
        <f t="shared" si="150"/>
        <v>#NUM!</v>
      </c>
      <c r="HT130" s="59" t="e">
        <f t="shared" si="151"/>
        <v>#NUM!</v>
      </c>
      <c r="HU130" s="59">
        <f ca="1">AVERAGE(OFFSET(HT$3,0,0,'Données projet'!$E$19+1,1))-AVERAGE(OFFSET($H$3,0,0,'Données projet'!$E$19+1,1))</f>
        <v>91.60721429656013</v>
      </c>
      <c r="HV130" s="59">
        <f t="shared" si="203"/>
        <v>258.94957804210856</v>
      </c>
      <c r="HW130" s="15">
        <f>IF(ISNA(VLOOKUP($A130,'Données projet'!$A$304:$I$324,3,0)),0,VLOOKUP($A130,'Données projet'!$A$304:$I$324,3,0))</f>
        <v>0</v>
      </c>
      <c r="HX130" s="15">
        <f>IF(ISNA(VLOOKUP($A130,'Données projet'!$A$304:$I$324,4,0)),0,VLOOKUP($A130,'Données projet'!$A$304:$I$324,4,0))</f>
        <v>0</v>
      </c>
      <c r="HY130" s="16">
        <f>IF(ISNA(VLOOKUP($A130,'Données projet'!$A$304:$I$324,5,0)),0%,VLOOKUP($A130,'Données projet'!$A$304:$I$324,5,0)*VLOOKUP('Données projet'!$B$19,Paramètres!$A$1:$I$89,7,0))</f>
        <v>0</v>
      </c>
      <c r="HZ130" s="16">
        <f>IF(ISNA(VLOOKUP($A130,'Données projet'!$A$304:$I$324,6,0)),0%,VLOOKUP($A130,'Données projet'!$A$304:$I$324,6,0)*VLOOKUP('Données projet'!$B$19,Paramètres!$A$1:$I$89,7,0))</f>
        <v>0</v>
      </c>
      <c r="IA130" s="16">
        <f>IF(ISNA(VLOOKUP($A130,'Données projet'!$A$304:$I$324,7,0)),0%,VLOOKUP($A130,'Données projet'!$A$304:$I$324,7,0))</f>
        <v>0</v>
      </c>
      <c r="IB130" s="21">
        <f>EXP(-LN(2)/35)*IB129+(1-EXP(-LN(2)/35))/(LN(2)/35)*HX130*HY130*VLOOKUP('Données projet'!$B$19,Paramètres!$A$1:$I$89,3,0)*0.475*44/12</f>
        <v>7.2252319862794705</v>
      </c>
      <c r="IC130" s="21">
        <f>EXP(-LN(2)/25)*IC129+(1-EXP(-LN(2)/25))/(LN(2)/25)*Calculateur!HX130*Calculateur!HZ130*VLOOKUP('Données projet'!$B$19,Paramètres!$A$1:$I$89,3,0)*0.475*44/12</f>
        <v>0.66071623200537311</v>
      </c>
      <c r="ID130" s="21">
        <f>EXP(-LN(2)/2)*ID129+(1-EXP(-LN(2)/2))/(LN(2)/2)*HX130*IA130*VLOOKUP('Données projet'!$B$19,Paramètres!$A$1:$I$89,3,0)*0.475*44/12</f>
        <v>1.4390897513740578E-15</v>
      </c>
      <c r="IE130" s="22">
        <f t="shared" si="152"/>
        <v>7.8859482182848453</v>
      </c>
      <c r="IF130" s="74">
        <f>('Scénario référence'!$F$8+'Scénario référence'!$F$9+'Scénario référence'!$B$17+'Scénario référence'!$B$9+'Scénario référence'!$B$10)*70+IF((45+25*(1-EXP(-0.0175*$A130)))&lt;70,'Scénario référence'!$B$16*(45+25*(1-EXP(-0.0175*$A130))),70*'Scénario référence'!$B$16)+IF((32+38*(1-EXP(-0.0175*$A130)))&lt;70,'Scénario référence'!$B$18*(32+38*(1-EXP(-0.0175*$A130))),70*'Scénario référence'!$B$18)</f>
        <v>70</v>
      </c>
      <c r="IG130" s="12">
        <f>IF($A130&gt;30,10,('Scénario référence'!$B$16+'Scénario référence'!$B$17+'Scénario référence'!$B$18+'Scénario référence'!$B$9+'Scénario référence'!$B$10)*$A130*10/30+('Scénario référence'!$F$8+'Scénario référence'!$F$9)*10)</f>
        <v>10</v>
      </c>
      <c r="IH130" s="12" t="e">
        <f>VLOOKUP($A130,'Données projet'!$A$330:$I$350,2,0)</f>
        <v>#N/A</v>
      </c>
      <c r="II130" s="12" t="e">
        <f>VLOOKUP($A130,'Données projet'!$A$330:$I$350,9,0)</f>
        <v>#N/A</v>
      </c>
      <c r="IJ130" s="12">
        <f t="array" ref="IJ130">INDEX(II:II,MIN(IF(ISNUMBER(II130:II326),ROW(II130:II326),"")))</f>
        <v>0</v>
      </c>
      <c r="IK130" s="12">
        <f>IF('Données projet'!$A$330&gt;35,IK129+IJ130-IS129,IF($A130&lt;'Données projet'!$A$330,$CQ$205^$A130,IF($A130='Données projet'!$A$330,'Données projet'!$B$330,IK129+IJ130-IS129)))</f>
        <v>0</v>
      </c>
      <c r="IL130" s="17">
        <f>IK130*VLOOKUP('Données projet'!$B$20,Paramètres!$A$1:$I$89,3,0)*VLOOKUP('Données projet'!$B$20,Paramètres!$A$1:$I$89,5,0)</f>
        <v>0</v>
      </c>
      <c r="IM130" s="13" t="e">
        <f t="shared" si="204"/>
        <v>#NUM!</v>
      </c>
      <c r="IN130" s="20" t="e">
        <f t="shared" si="153"/>
        <v>#NUM!</v>
      </c>
      <c r="IO130" s="59" t="e">
        <f t="shared" si="154"/>
        <v>#NUM!</v>
      </c>
      <c r="IP130" s="59">
        <f ca="1">AVERAGE(OFFSET(IO$3,0,0,'Données projet'!$E$20+1,1))-AVERAGE(OFFSET($H$3,0,0,'Données projet'!$E$20+1,1))</f>
        <v>91.60721429656013</v>
      </c>
      <c r="IQ130" s="59">
        <f t="shared" si="205"/>
        <v>258.94957804210856</v>
      </c>
      <c r="IR130" s="15">
        <f>IF(ISNA(VLOOKUP($A130,'Données projet'!$A$330:$I$350,3,0)),0,VLOOKUP($A130,'Données projet'!$A$330:$I$350,3,0))</f>
        <v>0</v>
      </c>
      <c r="IS130" s="15">
        <f>IF(ISNA(VLOOKUP($A130,'Données projet'!$A$330:$I$350,4,0)),0,VLOOKUP($A130,'Données projet'!$A$330:$I$350,4,0))</f>
        <v>0</v>
      </c>
      <c r="IT130" s="16">
        <f>IF(ISNA(VLOOKUP($A130,'Données projet'!$A$330:$I$350,5,0)),0%,VLOOKUP($A130,'Données projet'!$A$330:$I$350,5,0)*VLOOKUP('Données projet'!$B$20,Paramètres!$A$1:$I$89,7,0))</f>
        <v>0</v>
      </c>
      <c r="IU130" s="16">
        <f>IF(ISNA(VLOOKUP($A130,'Données projet'!$A$330:$I$350,6,0)),0%,VLOOKUP($A130,'Données projet'!$A$330:$I$350,6,0)*VLOOKUP('Données projet'!$B$20,Paramètres!$A$1:$I$89,7,0))</f>
        <v>0</v>
      </c>
      <c r="IV130" s="16">
        <f>IF(ISNA(VLOOKUP($A130,'Données projet'!$A$330:$I$350,7,0)),0%,VLOOKUP($A130,'Données projet'!$A$330:$I$350,7,0))</f>
        <v>0</v>
      </c>
      <c r="IW130" s="21">
        <f>EXP(-LN(2)/35)*IW129+(1-EXP(-LN(2)/35))/(LN(2)/35)*IS130*IT130*VLOOKUP('Données projet'!$B$20,Paramètres!$A$1:$I$89,3,0)*0.475*44/12</f>
        <v>7.2252319862794705</v>
      </c>
      <c r="IX130" s="21">
        <f>EXP(-LN(2)/25)*IX129+(1-EXP(-LN(2)/25))/(LN(2)/25)*Calculateur!IS130*Calculateur!IU130*VLOOKUP('Données projet'!$B$20,Paramètres!$A$1:$I$89,3,0)*0.475*44/12</f>
        <v>0.66071623200537311</v>
      </c>
      <c r="IY130" s="21">
        <f>EXP(-LN(2)/2)*IY129+(1-EXP(-LN(2)/2))/(LN(2)/2)*IS130*IV130*VLOOKUP('Données projet'!$B$20,Paramètres!$A$1:$I$89,3,0)*0.475*44/12</f>
        <v>1.4390897513740578E-15</v>
      </c>
      <c r="IZ130" s="22">
        <f t="shared" si="155"/>
        <v>7.8859482182848453</v>
      </c>
      <c r="JA130" s="74">
        <f>('Scénario référence'!$F$8+'Scénario référence'!$F$9+'Scénario référence'!$B$17+'Scénario référence'!$B$9+'Scénario référence'!$B$10)*70+IF((45+25*(1-EXP(-0.0175*$A130)))&lt;70,'Scénario référence'!$B$16*(45+25*(1-EXP(-0.0175*$A130))),70*'Scénario référence'!$B$16)+IF((32+38*(1-EXP(-0.0175*$A130)))&lt;70,'Scénario référence'!$B$18*(32+38*(1-EXP(-0.0175*$A130))),70*'Scénario référence'!$B$18)</f>
        <v>70</v>
      </c>
      <c r="JB130" s="12">
        <f>IF($A130&gt;30,10,('Scénario référence'!$B$16+'Scénario référence'!$B$17+'Scénario référence'!$B$18+'Scénario référence'!$B$9+'Scénario référence'!$B$10)*$A130*10/30+('Scénario référence'!$F$8+'Scénario référence'!$F$9)*10)</f>
        <v>10</v>
      </c>
      <c r="JC130" s="12" t="e">
        <f>VLOOKUP($A130,'Données projet'!$A$356:$I$376,2,0)</f>
        <v>#N/A</v>
      </c>
      <c r="JD130" s="12" t="e">
        <f>VLOOKUP($A130,'Données projet'!$A$356:$I$376,9,0)</f>
        <v>#N/A</v>
      </c>
      <c r="JE130" s="12">
        <f t="array" ref="JE130">INDEX(JD:JD,MIN(IF(ISNUMBER(JD130:JD326),ROW(JD130:JD326),"")))</f>
        <v>2.2000000000000002</v>
      </c>
      <c r="JF130" s="12">
        <f>IF('Données projet'!$A$356&gt;35,JF129+JE130-JN129,IF($A130&lt;'Données projet'!$A$356,$CQ$205^$A130,IF($A130='Données projet'!$A$356,'Données projet'!$B$356,JF129+JE130-JN129)))</f>
        <v>433.39999999999918</v>
      </c>
      <c r="JG130" s="17">
        <f>JF130*VLOOKUP('Données projet'!$B$21,Paramètres!$A$1:$I$89,3,0)*VLOOKUP('Données projet'!$B$21,Paramètres!$A$1:$I$89,5,0)</f>
        <v>351.57407999999936</v>
      </c>
      <c r="JH130" s="13">
        <f t="shared" si="206"/>
        <v>81.886545962042234</v>
      </c>
      <c r="JI130" s="20">
        <f t="shared" si="156"/>
        <v>754.94392355055572</v>
      </c>
      <c r="JJ130" s="59">
        <f t="shared" si="157"/>
        <v>1048.2772568838891</v>
      </c>
      <c r="JK130" s="59">
        <f ca="1">AVERAGE(OFFSET($JJ$3,0,0,'Données projet'!$E$22+1,1))-AVERAGE(OFFSET($H$3,0,0,'Données projet'!$E$22+1,1))</f>
        <v>353.35574633294613</v>
      </c>
      <c r="JL130" s="59">
        <f t="shared" si="207"/>
        <v>170.36796666474726</v>
      </c>
      <c r="JM130" s="15">
        <f>IF(ISNA(VLOOKUP($A130,'Données projet'!$A$356:$I$376,3,0)),0,VLOOKUP($A130,'Données projet'!$A$356:$I$376,3,0))</f>
        <v>0</v>
      </c>
      <c r="JN130" s="15">
        <f>IF(ISNA(VLOOKUP($A130,'Données projet'!$A$356:$I$376,4,0)),0,VLOOKUP($A130,'Données projet'!$A$356:$I$376,4,0))</f>
        <v>0</v>
      </c>
      <c r="JO130" s="16">
        <f>IF(ISNA(VLOOKUP($A130,'Données projet'!$A$356:$I$376,5,0)),0%,VLOOKUP($A130,'Données projet'!$A$356:$I$376,5,0)*VLOOKUP('Données projet'!$B$21,Paramètres!$A$1:$I$89,7,0))</f>
        <v>0</v>
      </c>
      <c r="JP130" s="16">
        <f>IF(ISNA(VLOOKUP($A130,'Données projet'!$A$356:$I$376,6,0)),0%,VLOOKUP($A130,'Données projet'!$A$356:$I$376,6,0)*VLOOKUP('Données projet'!$B$21,Paramètres!$A$1:$I$89,7,0))</f>
        <v>0</v>
      </c>
      <c r="JQ130" s="16">
        <f>IF(ISNA(VLOOKUP($A130,'Données projet'!$A$356:$I$376,7,0)),0%,VLOOKUP($A130,'Données projet'!$A$356:$I$376,7,0))</f>
        <v>0</v>
      </c>
      <c r="JR130" s="21">
        <f>EXP(-LN(2)/35)*JR129+(1-EXP(-LN(2)/35))/(LN(2)/35)*JN130*JO130*VLOOKUP('Données projet'!$B$21,Paramètres!$A$1:$I$89,3,0)*0.475*44/12</f>
        <v>3.5890004252007439</v>
      </c>
      <c r="JS130" s="21">
        <f>EXP(-LN(2)/25)*JS129+(1-EXP(-LN(2)/25))/(LN(2)/25)*Calculateur!JN130*Calculateur!JP130*VLOOKUP('Données projet'!$B$21,Paramètres!$A$1:$I$89,3,0)*0.475*44/12</f>
        <v>11.037927654963326</v>
      </c>
      <c r="JT130" s="21">
        <f>EXP(-LN(2)/2)*JT129+(1-EXP(-LN(2)/2))/(LN(2)/2)*JN130*JQ130*VLOOKUP('Données projet'!$B$21,Paramètres!$A$1:$I$89,3,0)*0.475*44/12</f>
        <v>9.6359555510971816E-3</v>
      </c>
      <c r="JU130" s="18">
        <f t="shared" si="158"/>
        <v>14.636564035715168</v>
      </c>
      <c r="JV130" s="74">
        <f>('Scénario référence'!$F$8+'Scénario référence'!$F$9+'Scénario référence'!$B$17+'Scénario référence'!$B$9+'Scénario référence'!$B$10)*70+IF((45+25*(1-EXP(-0.0175*$A130)))&lt;70,'Scénario référence'!$B$16*(45+25*(1-EXP(-0.0175*$A130))),70*'Scénario référence'!$B$16)+IF((32+38*(1-EXP(-0.0175*$A130)))&lt;70,'Scénario référence'!$B$18*(32+38*(1-EXP(-0.0175*$A130))),70*'Scénario référence'!$B$18)</f>
        <v>70</v>
      </c>
      <c r="JW130" s="12">
        <f>IF($A130&gt;30,10,('Scénario référence'!$B$16+'Scénario référence'!$B$17+'Scénario référence'!$B$18+'Scénario référence'!$B$9+'Scénario référence'!$B$10)*$A130*10/30+('Scénario référence'!$F$8+'Scénario référence'!$F$9)*10)</f>
        <v>10</v>
      </c>
      <c r="JX130" s="12">
        <f>VLOOKUP($A130,'Données projet'!$A$382:$I$402,2,0)</f>
        <v>154.80128205128204</v>
      </c>
      <c r="JY130" s="12">
        <f>VLOOKUP($A130,'Données projet'!$A$382:$I$402,9,0)</f>
        <v>2.3349358974358978</v>
      </c>
      <c r="JZ130" s="12">
        <f t="array" ref="JZ130">INDEX(JY:JY,MIN(IF(ISNUMBER(JY130:JY326),ROW(JY130:JY326),"")))</f>
        <v>2.3349358974358978</v>
      </c>
      <c r="KA130" s="12">
        <f>IF('Données projet'!$A$382&gt;35,KA129+JZ130-KI129,IF($A130&lt;'Données projet'!$A$382,$CQ$205^$A130,IF($A130='Données projet'!$A$382,'Données projet'!$B$382,KA129+JZ130-KI129)))</f>
        <v>154.80128205128261</v>
      </c>
      <c r="KB130" s="17">
        <f>KA130*VLOOKUP('Données projet'!$B$22,Paramètres!$A$1:$I$89,3,0)*VLOOKUP('Données projet'!$B$22,Paramètres!$A$1:$I$89,5,0)</f>
        <v>103.84070000000038</v>
      </c>
      <c r="KC130" s="13">
        <f t="shared" si="208"/>
        <v>27.874974739208824</v>
      </c>
      <c r="KD130" s="20">
        <f t="shared" si="159"/>
        <v>229.40480017078934</v>
      </c>
      <c r="KE130" s="59">
        <f t="shared" si="160"/>
        <v>522.73813350412263</v>
      </c>
      <c r="KF130" s="59">
        <f ca="1">AVERAGE(OFFSET($KE$3,0,0,'Données projet'!$E$22+1,1))-AVERAGE(OFFSET($H$3,0,0,'Données projet'!$E$22+1,1))</f>
        <v>193.91714772848269</v>
      </c>
      <c r="KG130" s="59">
        <f t="shared" si="209"/>
        <v>159.20429420478047</v>
      </c>
      <c r="KH130" s="15">
        <f>IF(ISNA(VLOOKUP($A130,'Données projet'!$A$382:$I$402,3,0)),0,VLOOKUP($A130,'Données projet'!$A$382:$I$402,3,0))</f>
        <v>13</v>
      </c>
      <c r="KI130" s="15">
        <f>IF(ISNA(VLOOKUP($A130,'Données projet'!$A$382:$I$402,4,0)),0,VLOOKUP($A130,'Données projet'!$A$382:$I$402,4,0))</f>
        <v>49.916666666666671</v>
      </c>
      <c r="KJ130" s="16">
        <f>IF(ISNA(VLOOKUP($A130,'Données projet'!$A$382:$I$402,5,0)),0%,VLOOKUP($A130,'Données projet'!$A$382:$I$402,5,0)*VLOOKUP('Données projet'!$B$22,Paramètres!$A$1:$I$89,7,0))</f>
        <v>0.47700000000000004</v>
      </c>
      <c r="KK130" s="16">
        <f>IF(ISNA(VLOOKUP($A130,'Données projet'!$A$382:$I$402,6,0)),0%,VLOOKUP($A130,'Données projet'!$A$382:$I$402,6,0)*VLOOKUP('Données projet'!$B$22,Paramètres!$A$1:$I$89,7,0))</f>
        <v>0</v>
      </c>
      <c r="KL130" s="16">
        <f>IF(ISNA(VLOOKUP($A130,'Données projet'!$A$382:$I$402,7,0)),0%,VLOOKUP($A130,'Données projet'!$A$382:$I$402,7,0))</f>
        <v>0</v>
      </c>
      <c r="KM130" s="21">
        <f>EXP(-LN(2)/35)*KM129+(1-EXP(-LN(2)/35))/(LN(2)/35)*KI130*KJ130*VLOOKUP('Données projet'!$B$22,Paramètres!$A$1:$I$89,3,0)*0.475*44/12</f>
        <v>126.6611486315247</v>
      </c>
      <c r="KN130" s="21">
        <f>EXP(-LN(2)/25)*KN129+(1-EXP(-LN(2)/25))/(LN(2)/25)*Calculateur!KI130*Calculateur!KK130*VLOOKUP('Données projet'!$B$22,Paramètres!$A$1:$I$89,3,0)*0.475*44/12</f>
        <v>0</v>
      </c>
      <c r="KO130" s="21">
        <f>EXP(-LN(2)/2)*KO129+(1-EXP(-LN(2)/2))/(LN(2)/2)*KI130*KL130*VLOOKUP('Données projet'!$B$22,Paramètres!$A$1:$I$89,3,0)*0.475*44/12</f>
        <v>0</v>
      </c>
      <c r="KP130" s="22">
        <f t="shared" si="161"/>
        <v>126.6611486315247</v>
      </c>
      <c r="KQ130" s="74">
        <f>('Scénario référence'!$F$8+'Scénario référence'!$F$9+'Scénario référence'!$B$17+'Scénario référence'!$B$9+'Scénario référence'!$B$10)*70+IF((45+25*(1-EXP(-0.0175*$A130)))&lt;70,'Scénario référence'!$B$16*(45+25*(1-EXP(-0.0175*$A130))),70*'Scénario référence'!$B$16)+IF((32+38*(1-EXP(-0.0175*$A130)))&lt;70,'Scénario référence'!$B$18*(32+38*(1-EXP(-0.0175*$A130))),70*'Scénario référence'!$B$18)</f>
        <v>70</v>
      </c>
      <c r="KR130" s="12">
        <f>IF($A130&gt;30,10,('Scénario référence'!$B$16+'Scénario référence'!$B$17+'Scénario référence'!$B$18+'Scénario référence'!$B$9+'Scénario référence'!$B$10)*$A130*10/30+('Scénario référence'!$F$8+'Scénario référence'!$F$9)*10)</f>
        <v>10</v>
      </c>
      <c r="KS130" s="12" t="e">
        <f>VLOOKUP($A130,'Données projet'!$A$408:$I$428,2,0)</f>
        <v>#N/A</v>
      </c>
      <c r="KT130" s="12" t="e">
        <f>VLOOKUP($A130,'Données projet'!$A$408:$I$428,9,0)</f>
        <v>#N/A</v>
      </c>
      <c r="KU130" s="12">
        <f t="array" ref="KU130">INDEX(KT:KT,MIN(IF(ISNUMBER(KT130:KT326),ROW(KT130:KT326),"")))</f>
        <v>0</v>
      </c>
      <c r="KV130" s="12">
        <f>IF('Données projet'!$A$408&gt;35,KV129+KU130-LD129,IF($A130&lt;'Données projet'!$A$408,$CQ$205^$A130,IF($A130='Données projet'!$A$408,'Données projet'!$B$408,KV129+KU130-LD129)))</f>
        <v>-1.1368683772161603E-13</v>
      </c>
      <c r="KW130" s="17">
        <f>KV130*VLOOKUP('Données projet'!$B$23,Paramètres!$A$1:$I$89,3,0)*VLOOKUP('Données projet'!$B$23,Paramètres!$A$1:$I$89,5,0)</f>
        <v>-9.9316821433603781E-14</v>
      </c>
      <c r="KX130" s="13" t="e">
        <f t="shared" si="210"/>
        <v>#NUM!</v>
      </c>
      <c r="KY130" s="14" t="e">
        <f t="shared" si="162"/>
        <v>#NUM!</v>
      </c>
      <c r="KZ130" s="59" t="e">
        <f t="shared" si="163"/>
        <v>#NUM!</v>
      </c>
      <c r="LA130" s="59">
        <f ca="1">AVERAGE(OFFSET($KZ$3,0,0,'Données projet'!$E$23+1,1))-AVERAGE(OFFSET($H$3,0,0,'Données projet'!$E$23+1,1))</f>
        <v>248.33596943633819</v>
      </c>
      <c r="LB130" s="59">
        <f t="shared" si="211"/>
        <v>242.34010522344573</v>
      </c>
      <c r="LC130" s="15">
        <f>IF(ISNA(VLOOKUP($A130,'Données projet'!$A$408:$I$428,3,0)),0,VLOOKUP($A130,'Données projet'!$A$408:$I$428,3,0))</f>
        <v>0</v>
      </c>
      <c r="LD130" s="15">
        <f>IF(ISNA(VLOOKUP($A130,'Données projet'!$A$408:$I$428,4,0)),0,VLOOKUP($A130,'Données projet'!$A$408:$I$428,4,0))</f>
        <v>0</v>
      </c>
      <c r="LE130" s="16">
        <f>IF(ISNA(VLOOKUP($A130,'Données projet'!$A$408:$I$428,5,0)),0%,VLOOKUP($A130,'Données projet'!$A$408:$I$428,5,0)*VLOOKUP('Données projet'!$B$23,Paramètres!$A$1:$I$89,7,0))</f>
        <v>0</v>
      </c>
      <c r="LF130" s="16">
        <f>IF(ISNA(VLOOKUP($A130,'Données projet'!$A$408:$I$428,6,0)),0%,VLOOKUP($A130,'Données projet'!$A$408:$I$428,6,0)*VLOOKUP('Données projet'!$B$23,Paramètres!$A$1:$I$89,7,0))</f>
        <v>0</v>
      </c>
      <c r="LG130" s="16">
        <f>IF(ISNA(VLOOKUP($A130,'Données projet'!$A$408:$I$428,7,0)),0%,VLOOKUP($A130,'Données projet'!$A$408:$I$428,7,0))</f>
        <v>0</v>
      </c>
      <c r="LH130" s="21">
        <f>EXP(-LN(2)/35)*LH129+(1-EXP(-LN(2)/35))/(LN(2)/35)*LD130*LE130*VLOOKUP('Données projet'!$B$23,Paramètres!$A$1:$I$89,3,0)*0.475*44/12</f>
        <v>48.578303402340204</v>
      </c>
      <c r="LI130" s="21">
        <f>EXP(-LN(2)/25)*LI129+(1-EXP(-LN(2)/25))/(LN(2)/25)*Calculateur!LD130*Calculateur!LF130*VLOOKUP('Données projet'!$B$23,Paramètres!$A$1:$I$89,3,0)*0.475*44/12</f>
        <v>5.916485761968751</v>
      </c>
      <c r="LJ130" s="21">
        <f>EXP(-LN(2)/2)*LJ129+(1-EXP(-LN(2)/2))/(LN(2)/2)*LD130*LG130*VLOOKUP('Données projet'!$B$23,Paramètres!$A$1:$I$89,3,0)*0.475*44/12</f>
        <v>0</v>
      </c>
      <c r="LK130" s="22">
        <f t="shared" si="164"/>
        <v>54.494789164308955</v>
      </c>
      <c r="LL130" s="74">
        <f>('Scénario référence'!$F$8+'Scénario référence'!$F$9+'Scénario référence'!$B$17+'Scénario référence'!$B$9+'Scénario référence'!$B$10)*70+IF((45+25*(1-EXP(-0.0175*$A130)))&lt;70,'Scénario référence'!$B$16*(45+25*(1-EXP(-0.0175*$A130))),70*'Scénario référence'!$B$16)+IF((32+38*(1-EXP(-0.0175*$A130)))&lt;70,'Scénario référence'!$B$18*(32+38*(1-EXP(-0.0175*$A130))),70*'Scénario référence'!$B$18)</f>
        <v>70</v>
      </c>
      <c r="LM130" s="12">
        <f>IF($A130&gt;30,10,('Scénario référence'!$B$16+'Scénario référence'!$B$17+'Scénario référence'!$B$18+'Scénario référence'!$B$9+'Scénario référence'!$B$10)*$A130*10/30+('Scénario référence'!$F$8+'Scénario référence'!$F$9)*10)</f>
        <v>10</v>
      </c>
      <c r="LN130" s="12" t="e">
        <f>VLOOKUP($A130,'Données projet'!$A$434:$I$454,2,0)</f>
        <v>#N/A</v>
      </c>
      <c r="LO130" s="12" t="e">
        <f>VLOOKUP($A130,'Données projet'!$A$434:$I$454,9,0)</f>
        <v>#N/A</v>
      </c>
      <c r="LP130" s="12">
        <f t="array" ref="LP130">INDEX(LO:LO,MIN(IF(ISNUMBER(LO130:LO326),ROW(LO130:LO326),"")))</f>
        <v>5.2446581196581219</v>
      </c>
      <c r="LQ130" s="12">
        <f>IF('Données projet'!$A$434&gt;35,LQ129+LP130-LY129,IF($A130&lt;'Données projet'!$A$434,$CQ$205^$A130,IF($A130='Données projet'!$A$434,'Données projet'!$B$434,LQ129+LP130-LY129)))</f>
        <v>240.62393162393116</v>
      </c>
      <c r="LR130" s="17">
        <f>LQ130*VLOOKUP('Données projet'!$B$24,Paramètres!$A$1:$I$89,3,0)*VLOOKUP('Données projet'!$B$24,Paramètres!$A$1:$I$89,5,0)</f>
        <v>243.9926666666662</v>
      </c>
      <c r="LS130" s="13">
        <f t="shared" si="212"/>
        <v>59.297745526958636</v>
      </c>
      <c r="LT130" s="14">
        <f t="shared" si="165"/>
        <v>528.23080123722991</v>
      </c>
      <c r="LU130" s="59">
        <f t="shared" si="166"/>
        <v>821.56413457056328</v>
      </c>
      <c r="LV130" s="59">
        <f ca="1">AVERAGE(OFFSET($LU$3,0,0,'Données projet'!$E$24+1,1))-AVERAGE(OFFSET($H$3,0,0,'Données projet'!$E$24+1,1))</f>
        <v>260.52627655062872</v>
      </c>
      <c r="LW130" s="59">
        <f t="shared" si="213"/>
        <v>159.20429420478047</v>
      </c>
      <c r="LX130" s="15">
        <f>IF(ISNA(VLOOKUP($A130,'Données projet'!$A$434:$I$454,3,0)),0,VLOOKUP($A130,'Données projet'!$A$434:$I$454,3,0))</f>
        <v>0</v>
      </c>
      <c r="LY130" s="15">
        <f>IF(ISNA(VLOOKUP($A130,'Données projet'!$A$434:$I$454,4,0)),0,VLOOKUP($A130,'Données projet'!$A$434:$I$454,4,0))</f>
        <v>0</v>
      </c>
      <c r="LZ130" s="16">
        <f>IF(ISNA(VLOOKUP($A130,'Données projet'!$A$434:$I$454,5,0)),0%,VLOOKUP($A130,'Données projet'!$A$434:$I$454,5,0)*VLOOKUP('Données projet'!$B$24,Paramètres!$A$1:$I$89,7,0))</f>
        <v>0</v>
      </c>
      <c r="MA130" s="16">
        <f>IF(ISNA(VLOOKUP($A130,'Données projet'!$A$434:$I$454,6,0)),0%,VLOOKUP($A130,'Données projet'!$A$434:$I$454,6,0)*VLOOKUP('Données projet'!$B$24,Paramètres!$A$1:$I$89,7,0))</f>
        <v>0</v>
      </c>
      <c r="MB130" s="16">
        <f>IF(ISNA(VLOOKUP($A130,'Données projet'!$A$434:$I$454,7,0)),0%,VLOOKUP($A130,'Données projet'!$A$434:$I$454,7,0))</f>
        <v>0</v>
      </c>
      <c r="MC130" s="21">
        <f>EXP(-LN(2)/35)*MC129+(1-EXP(-LN(2)/35))/(LN(2)/35)*LY130*LZ130*VLOOKUP('Données projet'!$B$24,Paramètres!$A$1:$I$89,3,0)*0.475*44/12</f>
        <v>45.940644221855322</v>
      </c>
      <c r="MD130" s="21">
        <f>EXP(-LN(2)/25)*MD129+(1-EXP(-LN(2)/25))/(LN(2)/25)*Calculateur!LY130*Calculateur!MA130*VLOOKUP('Données projet'!$B$24,Paramètres!$A$1:$I$89,3,0)*0.475*44/12</f>
        <v>0</v>
      </c>
      <c r="ME130" s="21">
        <f>EXP(-LN(2)/2)*ME129+(1-EXP(-LN(2)/2))/(LN(2)/2)*LY130*MB130*VLOOKUP('Données projet'!$B$24,Paramètres!$A$1:$I$89,3,0)*0.475*44/12</f>
        <v>0</v>
      </c>
      <c r="MF130" s="22">
        <f t="shared" si="167"/>
        <v>45.940644221855322</v>
      </c>
      <c r="MG130" s="74">
        <f>('Scénario référence'!$F$8+'Scénario référence'!$F$9+'Scénario référence'!$B$17+'Scénario référence'!$B$9+'Scénario référence'!$B$10)*70+IF((45+25*(1-EXP(-0.0175*$A130)))&lt;70,'Scénario référence'!$B$16*(45+25*(1-EXP(-0.0175*$A130))),70*'Scénario référence'!$B$16)+IF((32+38*(1-EXP(-0.0175*$A130)))&lt;70,'Scénario référence'!$B$18*(32+38*(1-EXP(-0.0175*$A130))),70*'Scénario référence'!$B$18)</f>
        <v>70</v>
      </c>
      <c r="MH130" s="12">
        <f>IF($A130&gt;30,10,('Scénario référence'!$B$16+'Scénario référence'!$B$17+'Scénario référence'!$B$18+'Scénario référence'!$B$9+'Scénario référence'!$B$10)*$A130*10/30+('Scénario référence'!$F$8+'Scénario référence'!$F$9)*10)</f>
        <v>10</v>
      </c>
      <c r="MI130" s="12" t="e">
        <f>VLOOKUP($A130,'Données projet'!$A$460:$I$480,2,0)</f>
        <v>#N/A</v>
      </c>
      <c r="MJ130" s="12" t="e">
        <f>VLOOKUP($A130,'Données projet'!$A$460:$I$480,9,0)</f>
        <v>#N/A</v>
      </c>
      <c r="MK130" s="12">
        <f t="array" ref="MK130">INDEX(MJ:MJ,MIN(IF(ISNUMBER(MJ130:MJ326),ROW(MJ130:MJ326),"")))</f>
        <v>0</v>
      </c>
      <c r="ML130" s="12">
        <f>IF('Données projet'!$A$460&gt;35,ML129+MK130-MT129,IF($A130&lt;'Données projet'!$A$460,$CQ$205^$A130,IF($A130='Données projet'!$A$460,'Données projet'!$B$460,ML129+MK130-MT129)))</f>
        <v>0</v>
      </c>
      <c r="MM130" s="17" t="e">
        <f>ML130*VLOOKUP('Données projet'!$B$25,Paramètres!$A$1:$I$89,3,0)*VLOOKUP('Données projet'!$B$25,Paramètres!$A$1:$I$89,5,0)</f>
        <v>#N/A</v>
      </c>
      <c r="MN130" s="13" t="e">
        <f t="shared" si="214"/>
        <v>#N/A</v>
      </c>
      <c r="MO130" s="14" t="e">
        <f t="shared" si="168"/>
        <v>#N/A</v>
      </c>
      <c r="MP130" s="59" t="e">
        <f t="shared" si="169"/>
        <v>#N/A</v>
      </c>
      <c r="MQ130" s="20" t="e">
        <f ca="1">AVERAGE(OFFSET($MP$3,0,0,'Données projet'!$E$25+1,1))-AVERAGE(OFFSET($H$3,0,0,'Données projet'!$E$25+1,1))</f>
        <v>#N/A</v>
      </c>
      <c r="MR130" s="59" t="e">
        <f t="shared" si="215"/>
        <v>#N/A</v>
      </c>
      <c r="MS130" s="15">
        <f>IF(ISNA(VLOOKUP($A130,'Données projet'!$A$460:$I$480,3,0)),0,VLOOKUP($A130,'Données projet'!$A$460:$I$480,3,0))</f>
        <v>0</v>
      </c>
      <c r="MT130" s="15">
        <f>IF(ISNA(VLOOKUP($A130,'Données projet'!$A$460:$I$480,4,0)),0,VLOOKUP($A130,'Données projet'!$A$460:$I$480,4,0))</f>
        <v>0</v>
      </c>
      <c r="MU130" s="16">
        <f>IF(ISNA(VLOOKUP($A130,'Données projet'!$A$460:$I$480,5,0)),0%,VLOOKUP($A130,'Données projet'!$A$460:$I$480,5,0)*VLOOKUP('Données projet'!$B$25,Paramètres!$A$1:$I$89,7,0))</f>
        <v>0</v>
      </c>
      <c r="MV130" s="16">
        <f>IF(ISNA(VLOOKUP($A130,'Données projet'!$A$460:$I$480,6,0)),0%,VLOOKUP($A130,'Données projet'!$A$460:$I$480,6,0)*VLOOKUP('Données projet'!$B$25,Paramètres!$A$1:$I$89,7,0))</f>
        <v>0</v>
      </c>
      <c r="MW130" s="16">
        <f>IF(ISNA(VLOOKUP($A130,'Données projet'!$A$460:$I$480,7,0)),0%,VLOOKUP($A130,'Données projet'!$A$460:$I$480,7,0))</f>
        <v>0</v>
      </c>
      <c r="MX130" s="21" t="e">
        <f>EXP(-LN(2)/35)*MX129+(1-EXP(-LN(2)/35))/(LN(2)/35)*MT130*MU130*VLOOKUP('Données projet'!$B$25,Paramètres!$A$1:$I$89,3,0)*0.475*44/12</f>
        <v>#N/A</v>
      </c>
      <c r="MY130" s="21" t="e">
        <f>EXP(-LN(2)/25)*MY129+(1-EXP(-LN(2)/25))/(LN(2)/25)*Calculateur!MT130*Calculateur!MV130*VLOOKUP('Données projet'!$B$25,Paramètres!$A$1:$I$89,3,0)*0.475*44/12</f>
        <v>#N/A</v>
      </c>
      <c r="MZ130" s="21" t="e">
        <f>EXP(-LN(2)/2)*MZ129+(1-EXP(-LN(2)/2))/(LN(2)/2)*MT130*MW130*VLOOKUP('Données projet'!$B$25,Paramètres!$A$1:$I$89,3,0)*0.475*44/12</f>
        <v>#N/A</v>
      </c>
      <c r="NA130" s="22" t="e">
        <f t="shared" si="170"/>
        <v>#N/A</v>
      </c>
      <c r="NB130" s="74">
        <f>('Scénario référence'!$F$8+'Scénario référence'!$F$9+'Scénario référence'!$B$17+'Scénario référence'!$B$9+'Scénario référence'!$B$10)*70+IF((45+25*(1-EXP(-0.0175*$A130)))&lt;70,'Scénario référence'!$B$16*(45+25*(1-EXP(-0.0175*$A130))),70*'Scénario référence'!$B$16)+IF((32+38*(1-EXP(-0.0175*$A130)))&lt;70,'Scénario référence'!$B$18*(32+38*(1-EXP(-0.0175*$A130))),70*'Scénario référence'!$B$18)</f>
        <v>70</v>
      </c>
      <c r="NC130" s="12">
        <f>IF($A130&gt;30,10,('Scénario référence'!$B$16+'Scénario référence'!$B$17+'Scénario référence'!$B$18+'Scénario référence'!$B$9+'Scénario référence'!$B$10)*$A130*10/30+('Scénario référence'!$F$8+'Scénario référence'!$F$9)*10)</f>
        <v>10</v>
      </c>
      <c r="ND130" s="12" t="e">
        <f>VLOOKUP($A130,'Données projet'!$A$486:$I$506,2,0)</f>
        <v>#N/A</v>
      </c>
      <c r="NE130" s="12" t="e">
        <f>VLOOKUP($A130,'Données projet'!$A$486:$I$506,9,0)</f>
        <v>#N/A</v>
      </c>
      <c r="NF130" s="12">
        <f t="array" ref="NF130">INDEX(NE:NE,MIN(IF(ISNUMBER(NE130:NE326),ROW(NE130:NE326),"")))</f>
        <v>0</v>
      </c>
      <c r="NG130" s="12">
        <f>IF('Données projet'!$A$486&gt;35,NG129+NF130-NO129,IF($A130&lt;'Données projet'!$A$486,$CQ$205^$A130,IF($A130='Données projet'!$A$486,'Données projet'!$B$486,NG129+NF130-NO129)))</f>
        <v>0</v>
      </c>
      <c r="NH130" s="17" t="e">
        <f>NG130*VLOOKUP('Données projet'!$B$26,Paramètres!$A$1:$I$89,3,0)*VLOOKUP('Données projet'!$B$26,Paramètres!$A$1:$I$89,5,0)</f>
        <v>#N/A</v>
      </c>
      <c r="NI130" s="13" t="e">
        <f t="shared" si="216"/>
        <v>#N/A</v>
      </c>
      <c r="NJ130" s="14" t="e">
        <f t="shared" si="171"/>
        <v>#N/A</v>
      </c>
      <c r="NK130" s="59" t="e">
        <f t="shared" si="172"/>
        <v>#N/A</v>
      </c>
      <c r="NL130" s="20" t="e">
        <f ca="1">AVERAGE(OFFSET($NK$3,0,0,'Données projet'!$E$26+1,1))-AVERAGE(OFFSET($H$3,0,0,'Données projet'!$E$26+1,1))</f>
        <v>#N/A</v>
      </c>
      <c r="NM130" s="59" t="e">
        <f t="shared" si="217"/>
        <v>#N/A</v>
      </c>
      <c r="NN130" s="15">
        <f>IF(ISNA(VLOOKUP($A130,'Données projet'!$A$486:$I$506,3,0)),0,VLOOKUP($A130,'Données projet'!$A$486:$I$506,3,0))</f>
        <v>0</v>
      </c>
      <c r="NO130" s="15">
        <f>IF(ISNA(VLOOKUP($A130,'Données projet'!$A$486:$I$506,4,0)),0,VLOOKUP($A130,'Données projet'!$A$486:$I$506,4,0))</f>
        <v>0</v>
      </c>
      <c r="NP130" s="16">
        <f>IF(ISNA(VLOOKUP($A130,'Données projet'!$A$486:$I$506,5,0)),0%,VLOOKUP($A130,'Données projet'!$A$486:$I$506,5,0)*VLOOKUP('Données projet'!$B$26,Paramètres!$A$1:$I$89,7,0))</f>
        <v>0</v>
      </c>
      <c r="NQ130" s="16">
        <f>IF(ISNA(VLOOKUP($A130,'Données projet'!$A$486:$I$506,6,0)),0%,VLOOKUP($A130,'Données projet'!$A$486:$I$506,6,0)*VLOOKUP('Données projet'!$B$26,Paramètres!$A$1:$I$89,7,0))</f>
        <v>0</v>
      </c>
      <c r="NR130" s="16">
        <f>IF(ISNA(VLOOKUP($A130,'Données projet'!$A$486:$I$506,7,0)),0%,VLOOKUP($A130,'Données projet'!$A$486:$I$506,7,0))</f>
        <v>0</v>
      </c>
      <c r="NS130" s="21" t="e">
        <f>EXP(-LN(2)/35)*NS129+(1-EXP(-LN(2)/35))/(LN(2)/35)*NO130*NP130*VLOOKUP('Données projet'!$B$26,Paramètres!$A$1:$I$89,3,0)*0.475*44/12</f>
        <v>#N/A</v>
      </c>
      <c r="NT130" s="21" t="e">
        <f>EXP(-LN(2)/25)*NT129+(1-EXP(-LN(2)/25))/(LN(2)/25)*Calculateur!NO130*Calculateur!NQ130*VLOOKUP('Données projet'!$B$26,Paramètres!$A$1:$I$89,3,0)*0.475*44/12</f>
        <v>#N/A</v>
      </c>
      <c r="NU130" s="21" t="e">
        <f>EXP(-LN(2)/2)*NU129+(1-EXP(-LN(2)/2))/(LN(2)/2)*NO130*NR130*VLOOKUP('Données projet'!$B$26,Paramètres!$A$1:$I$89,3,0)*0.475*44/12</f>
        <v>#N/A</v>
      </c>
      <c r="NV130" s="22" t="e">
        <f t="shared" si="173"/>
        <v>#N/A</v>
      </c>
      <c r="NW130" s="74">
        <f>('Scénario référence'!$F$8+'Scénario référence'!$F$9+'Scénario référence'!$B$17+'Scénario référence'!$B$9+'Scénario référence'!$B$10)*70+IF((45+25*(1-EXP(-0.0175*$A130)))&lt;70,'Scénario référence'!$B$16*(45+25*(1-EXP(-0.0175*$A130))),70*'Scénario référence'!$B$16)+IF((32+38*(1-EXP(-0.0175*$A130)))&lt;70,'Scénario référence'!$B$18*(32+38*(1-EXP(-0.0175*$A130))),70*'Scénario référence'!$B$18)</f>
        <v>70</v>
      </c>
      <c r="NX130" s="12">
        <f>IF($A130&gt;30,10,('Scénario référence'!$B$16+'Scénario référence'!$B$17+'Scénario référence'!$B$18+'Scénario référence'!$B$9+'Scénario référence'!$B$10)*$A130*10/30+('Scénario référence'!$F$8+'Scénario référence'!$F$9)*10)</f>
        <v>10</v>
      </c>
      <c r="NY130" s="12" t="e">
        <f>VLOOKUP($A130,'Données projet'!$A$512:$I$532,2,0)</f>
        <v>#N/A</v>
      </c>
      <c r="NZ130" s="12" t="e">
        <f>VLOOKUP($A130,'Données projet'!$A$512:$I$532,9,0)</f>
        <v>#N/A</v>
      </c>
      <c r="OA130" s="12">
        <f t="array" ref="OA130">INDEX(NZ:NZ,MIN(IF(ISNUMBER(NZ130:NZ326),ROW(NZ130:NZ326),"")))</f>
        <v>0</v>
      </c>
      <c r="OB130" s="12">
        <f>IF('Données projet'!$A$512&gt;35,OB129+OA130-OJ129,IF($A130&lt;'Données projet'!$A$512,$CQ$205^$A130,IF($A130='Données projet'!$A$512,'Données projet'!$B$512,OB129+OA130-OJ129)))</f>
        <v>0</v>
      </c>
      <c r="OC130" s="17" t="e">
        <f>OB130*VLOOKUP('Données projet'!$B$27,Paramètres!$A$1:$I$89,3,0)*VLOOKUP('Données projet'!$B$27,Paramètres!$A$1:$I$89,5,0)</f>
        <v>#N/A</v>
      </c>
      <c r="OD130" s="13" t="e">
        <f t="shared" si="218"/>
        <v>#N/A</v>
      </c>
      <c r="OE130" s="14" t="e">
        <f t="shared" si="174"/>
        <v>#N/A</v>
      </c>
      <c r="OF130" s="59" t="e">
        <f t="shared" si="175"/>
        <v>#N/A</v>
      </c>
      <c r="OG130" s="20" t="e">
        <f ca="1">AVERAGE(OFFSET($OF$3,0,0,'Données projet'!$E$27+1,1))-AVERAGE(OFFSET($H$3,0,0,'Données projet'!$E$27+1,1))</f>
        <v>#N/A</v>
      </c>
      <c r="OH130" s="59" t="e">
        <f t="shared" si="219"/>
        <v>#N/A</v>
      </c>
      <c r="OI130" s="15">
        <f>IF(ISNA(VLOOKUP($A130,'Données projet'!$A$512:$I$532,3,0)),0,VLOOKUP($A130,'Données projet'!$A$512:$I$532,3,0))</f>
        <v>0</v>
      </c>
      <c r="OJ130" s="15">
        <f>IF(ISNA(VLOOKUP($A130,'Données projet'!$A$512:$I$532,4,0)),0,VLOOKUP($A130,'Données projet'!$A$512:$I$532,4,0))</f>
        <v>0</v>
      </c>
      <c r="OK130" s="16">
        <f>IF(ISNA(VLOOKUP($A130,'Données projet'!$A$512:$I$532,5,0)),0%,VLOOKUP($A130,'Données projet'!$A$512:$I$532,5,0)*VLOOKUP('Données projet'!$B$27,Paramètres!$A$1:$I$89,7,0))</f>
        <v>0</v>
      </c>
      <c r="OL130" s="16">
        <f>IF(ISNA(VLOOKUP($A130,'Données projet'!$A$512:$I$532,6,0)),0%,VLOOKUP($A130,'Données projet'!$A$512:$I$532,6,0)*VLOOKUP('Données projet'!$B$27,Paramètres!$A$1:$I$89,7,0))</f>
        <v>0</v>
      </c>
      <c r="OM130" s="16">
        <f>IF(ISNA(VLOOKUP($A130,'Données projet'!$A$512:$I$532,7,0)),0%,VLOOKUP($A130,'Données projet'!$A$512:$I$532,7,0))</f>
        <v>0</v>
      </c>
      <c r="ON130" s="21" t="e">
        <f>EXP(-LN(2)/35)*ON129+(1-EXP(-LN(2)/35))/(LN(2)/35)*OJ130*OK130*VLOOKUP('Données projet'!$B$27,Paramètres!$A$1:$I$89,3,0)*0.475*44/12</f>
        <v>#N/A</v>
      </c>
      <c r="OO130" s="21" t="e">
        <f>EXP(-LN(2)/25)*OO129+(1-EXP(-LN(2)/25))/(LN(2)/25)*Calculateur!OJ130*Calculateur!OL130*VLOOKUP('Données projet'!$B$27,Paramètres!$A$1:$I$89,3,0)*0.475*44/12</f>
        <v>#N/A</v>
      </c>
      <c r="OP130" s="21" t="e">
        <f>EXP(-LN(2)/2)*OP129+(1-EXP(-LN(2)/2))/(LN(2)/2)*OJ130*OM130*VLOOKUP('Données projet'!$B$27,Paramètres!$A$1:$I$89,3,0)*0.475*44/12</f>
        <v>#N/A</v>
      </c>
      <c r="OQ130" s="22" t="e">
        <f t="shared" si="176"/>
        <v>#N/A</v>
      </c>
      <c r="OR130" s="74">
        <f>('Scénario référence'!$F$8+'Scénario référence'!$F$9+'Scénario référence'!$B$17+'Scénario référence'!$B$9+'Scénario référence'!$B$10)*70+IF((45+25*(1-EXP(-0.0175*$A130)))&lt;70,'Scénario référence'!$B$16*(45+25*(1-EXP(-0.0175*$A130))),70*'Scénario référence'!$B$16)+IF((32+38*(1-EXP(-0.0175*$A130)))&lt;70,'Scénario référence'!$B$18*(32+38*(1-EXP(-0.0175*$A130))),70*'Scénario référence'!$B$18)</f>
        <v>70</v>
      </c>
      <c r="OS130" s="12">
        <f>IF($A130&gt;30,10,('Scénario référence'!$B$16+'Scénario référence'!$B$17+'Scénario référence'!$B$18+'Scénario référence'!$B$9+'Scénario référence'!$B$10)*$A130*10/30+('Scénario référence'!$F$8+'Scénario référence'!$F$9)*10)</f>
        <v>10</v>
      </c>
      <c r="OT130" s="12" t="e">
        <f>VLOOKUP($A130,'Données projet'!$A$538:$I$558,2,0)</f>
        <v>#N/A</v>
      </c>
      <c r="OU130" s="12" t="e">
        <f>VLOOKUP($A130,'Données projet'!$A$538:$I$558,9,0)</f>
        <v>#N/A</v>
      </c>
      <c r="OV130" s="12">
        <f t="array" ref="OV130">INDEX(OU:OU,MIN(IF(ISNUMBER(OU130:OU326),ROW(OU130:OU326),"")))</f>
        <v>0</v>
      </c>
      <c r="OW130" s="12">
        <f>IF('Données projet'!$A$538&gt;35,OW129+OV130-PE129,IF($A130&lt;'Données projet'!$A$538,$CQ$205^$A130,IF($A130='Données projet'!$A$538,'Données projet'!$B$538,OW129+OV130-PE129)))</f>
        <v>0</v>
      </c>
      <c r="OX130" s="17" t="e">
        <f>OW130*VLOOKUP('Données projet'!$B$28,Paramètres!$A$1:$I$89,3,0)*VLOOKUP('Données projet'!$B$28,Paramètres!$A$1:$I$89,5,0)</f>
        <v>#N/A</v>
      </c>
      <c r="OY130" s="13" t="e">
        <f t="shared" si="220"/>
        <v>#N/A</v>
      </c>
      <c r="OZ130" s="14" t="e">
        <f t="shared" si="177"/>
        <v>#N/A</v>
      </c>
      <c r="PA130" s="59" t="e">
        <f t="shared" si="178"/>
        <v>#N/A</v>
      </c>
      <c r="PB130" s="20" t="e">
        <f ca="1">AVERAGE(OFFSET($PA$3,0,0,'Données projet'!$E$28+1,1))-AVERAGE(OFFSET($H$3,0,0,'Données projet'!$E$28+1,1))</f>
        <v>#N/A</v>
      </c>
      <c r="PC130" s="59" t="e">
        <f t="shared" si="221"/>
        <v>#N/A</v>
      </c>
      <c r="PD130" s="15">
        <f>IF(ISNA(VLOOKUP($A130,'Données projet'!$A$538:$I$558,3,0)),0,VLOOKUP($A130,'Données projet'!$A$538:$I$558,3,0))</f>
        <v>0</v>
      </c>
      <c r="PE130" s="15">
        <f>IF(ISNA(VLOOKUP($A130,'Données projet'!$A$538:$I$558,4,0)),0,VLOOKUP($A130,'Données projet'!$A$538:$I$558,4,0))</f>
        <v>0</v>
      </c>
      <c r="PF130" s="16">
        <f>IF(ISNA(VLOOKUP($A130,'Données projet'!$A$538:$I$558,5,0)),0%,VLOOKUP($A130,'Données projet'!$A$538:$I$558,5,0)*VLOOKUP('Données projet'!$B$28,Paramètres!$A$1:$I$89,7,0))</f>
        <v>0</v>
      </c>
      <c r="PG130" s="16">
        <f>IF(ISNA(VLOOKUP($A130,'Données projet'!$A$538:$I$558,6,0)),0%,VLOOKUP($A130,'Données projet'!$A$538:$I$558,6,0)*VLOOKUP('Données projet'!$B$28,Paramètres!$A$1:$I$89,7,0))</f>
        <v>0</v>
      </c>
      <c r="PH130" s="16">
        <f>IF(ISNA(VLOOKUP($A130,'Données projet'!$A$538:$I$558,7,0)),0%,VLOOKUP($A130,'Données projet'!$A$538:$I$558,7,0))</f>
        <v>0</v>
      </c>
      <c r="PI130" s="21" t="e">
        <f>EXP(-LN(2)/35)*PI129+(1-EXP(-LN(2)/35))/(LN(2)/35)*PE130*PF130*VLOOKUP('Données projet'!$B$28,Paramètres!$A$1:$I$89,3,0)*0.475*44/12</f>
        <v>#N/A</v>
      </c>
      <c r="PJ130" s="21" t="e">
        <f>EXP(-LN(2)/25)*PJ129+(1-EXP(-LN(2)/25))/(LN(2)/25)*Calculateur!PE130*Calculateur!PG130*VLOOKUP('Données projet'!$B$28,Paramètres!$A$1:$I$89,3,0)*0.475*44/12</f>
        <v>#N/A</v>
      </c>
      <c r="PK130" s="21" t="e">
        <f>EXP(-LN(2)/2)*PK129+(1-EXP(-LN(2)/2))/(LN(2)/2)*PE130*PH130*VLOOKUP('Données projet'!$B$28,Paramètres!$A$1:$I$89,3,0)*0.475*44/12</f>
        <v>#N/A</v>
      </c>
      <c r="PL130" s="22" t="e">
        <f t="shared" si="179"/>
        <v>#N/A</v>
      </c>
    </row>
    <row r="131" spans="1:428" x14ac:dyDescent="0.35">
      <c r="A131" s="10">
        <f t="shared" si="180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181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121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projet'!$A$45:$I$65,2,0)</f>
        <v>#N/A</v>
      </c>
      <c r="L131" s="12" t="e">
        <f>VLOOKUP(A131,'Données projet'!$A$45:$I$65,9,0)</f>
        <v>#N/A</v>
      </c>
      <c r="M131" s="12">
        <f t="array" ref="M131">INDEX(L:L,MIN(IF(ISNUMBER(L131:L327),ROW(L131:L327),"")))</f>
        <v>0</v>
      </c>
      <c r="N131" s="13">
        <f>IF('Données projet'!$A$46&gt;35,N130+M131-V130,IF(A131&lt;'Données projet'!$A$46,$K$205^A131,IF(A131='Données projet'!$A$46,'Données projet'!$B$46,N130+M131-V130)))</f>
        <v>-1.1368683772161603E-13</v>
      </c>
      <c r="O131" s="13">
        <f>N131*VLOOKUP('Données projet'!$B$9,Paramètres!$A$1:$I$89,3,0)*VLOOKUP('Données projet'!$B$9,Paramètres!$A$1:$I$89,5,0)</f>
        <v>-6.3550942286383367E-14</v>
      </c>
      <c r="P131" s="13" t="e">
        <f t="shared" si="182"/>
        <v>#NUM!</v>
      </c>
      <c r="Q131" s="20" t="e">
        <f t="shared" ref="Q131:Q153" si="223">(O131+P131)*0.475*44/12</f>
        <v>#NUM!</v>
      </c>
      <c r="R131" s="59" t="e">
        <f t="shared" ref="R131:R194" si="224">Q131+(I131+J131)*44/12</f>
        <v>#NUM!</v>
      </c>
      <c r="S131" s="59">
        <f ca="1">AVERAGE(OFFSET($R$3,0,0,'Données projet'!$E$9+1,1))-AVERAGE(OFFSET($H$3,0,0,'Données projet'!$E$9+1,1))</f>
        <v>274.57619581652199</v>
      </c>
      <c r="T131" s="59">
        <f t="shared" si="183"/>
        <v>366.15117322598775</v>
      </c>
      <c r="U131" s="15">
        <f>IF(ISNA(VLOOKUP(A131,'Données projet'!$A$45:$I$65,3,0)),0,VLOOKUP(A131,'Données projet'!$A$45:$I$65,3,0))</f>
        <v>0</v>
      </c>
      <c r="V131" s="15">
        <f>IF(ISNA(VLOOKUP(A131,'Données projet'!$A$45:$I$65,4,0)),0,VLOOKUP(A131,'Données projet'!$A$45:$I$65,4,0))</f>
        <v>0</v>
      </c>
      <c r="W131" s="16">
        <f>IF(ISNA(VLOOKUP(A131,'Données projet'!$A$45:$I$65,5,0)),0%,VLOOKUP(A131,'Données projet'!$A$45:$I$65,5,0)*VLOOKUP('Données projet'!$B$9,Paramètres!$A$1:$I$89,7,0))</f>
        <v>0</v>
      </c>
      <c r="X131" s="16">
        <f>IF(ISNA(VLOOKUP(A131,'Données projet'!$A$45:$I$65,6,0)),0%,VLOOKUP(A131,'Données projet'!$A$45:$I$65,6,0)*VLOOKUP('Données projet'!$B$9,Paramètres!$A$1:$I$89,7,0))</f>
        <v>0</v>
      </c>
      <c r="Y131" s="16">
        <f>IF(ISNA(VLOOKUP(A131,'Données projet'!$A$45:$I$65,7,0)),0%,VLOOKUP(A131,'Données projet'!$A$45:$I$65,7,0))</f>
        <v>0</v>
      </c>
      <c r="Z131" s="21">
        <f>EXP(-LN(2)/35)*Z130+(1-EXP(-LN(2)/35))/(LN(2)/35)*V131*W131*VLOOKUP('Données projet'!$B$9,Paramètres!$A$1:$I$89,3,0)*0.475*44/12</f>
        <v>53.395754900041887</v>
      </c>
      <c r="AA131" s="21">
        <f>EXP(-LN(2)/25)*AA130+(1-EXP(-LN(2)/25))/(LN(2)/25)*Calculateur!V131*Calculateur!X131*VLOOKUP('Données projet'!$B$9,Paramètres!$A$1:$I$89,3,0)*0.475*44/12</f>
        <v>7.611544680657957</v>
      </c>
      <c r="AB131" s="21">
        <f>EXP(-LN(2)/2)*AB130+(1-EXP(-LN(2)/2))/(LN(2)/2)*V131*Y131*VLOOKUP('Données projet'!$B$9,Paramètres!$A$1:$I$89,3,0)*0.475*44/12</f>
        <v>3.515115490224429E-10</v>
      </c>
      <c r="AC131" s="22">
        <f t="shared" si="122"/>
        <v>61.007299581051356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projet'!$A$71:$I$91,2,0)</f>
        <v>#N/A</v>
      </c>
      <c r="AG131" s="12" t="e">
        <f>VLOOKUP(A131,'Données projet'!$A$71:$I$91,9,0)</f>
        <v>#N/A</v>
      </c>
      <c r="AH131" s="12">
        <f t="array" ref="AH131">INDEX(AG:AG,MIN(IF(ISNUMBER(AG131:AG327),ROW(AG131:AG327),"")))</f>
        <v>1.5064102564102591</v>
      </c>
      <c r="AI131" s="13">
        <f>IF('Données projet'!$A$72&gt;35,AI130+AH131-AQ130,IF(A131&lt;'Données projet'!$A$72,$AF$205^A131,IF(A131='Données projet'!$A$72,'Données projet'!$B$72,AI130+AH131-AQ130)))</f>
        <v>106.39102564102619</v>
      </c>
      <c r="AJ131" s="13">
        <f>AI131*VLOOKUP('Données projet'!$B$10,Paramètres!$A$1:$I$89,3,0)*VLOOKUP('Données projet'!$B$10,Paramètres!$A$1:$I$89,5,0)</f>
        <v>96.262600000000489</v>
      </c>
      <c r="AK131" s="13">
        <f t="shared" si="184"/>
        <v>26.069649320395936</v>
      </c>
      <c r="AL131" s="20">
        <f t="shared" si="123"/>
        <v>213.06200089969045</v>
      </c>
      <c r="AM131" s="59">
        <f t="shared" si="124"/>
        <v>506.39533423302373</v>
      </c>
      <c r="AN131" s="59">
        <f ca="1">AVERAGE(OFFSET($AM$3,0,0,'Données projet'!$E$10+1,1))-AVERAGE(OFFSET($H$3,0,0,'Données projet'!$E$10+1,1))</f>
        <v>270.87836509222456</v>
      </c>
      <c r="AO131" s="59">
        <f t="shared" si="185"/>
        <v>205.24998237949734</v>
      </c>
      <c r="AP131" s="15">
        <f>IF(ISNA(VLOOKUP(A131,'Données projet'!$A$71:$I$91,3,0)),0,VLOOKUP(A131,'Données projet'!$A$71:$I$91,3,0))</f>
        <v>0</v>
      </c>
      <c r="AQ131" s="15">
        <f>IF(ISNA(VLOOKUP(A131,'Données projet'!$A$71:$I$91,4,0)),0,VLOOKUP(A131,'Données projet'!$A$71:$I$91,4,0))</f>
        <v>0</v>
      </c>
      <c r="AR131" s="16">
        <f>IF(ISNA(VLOOKUP(A131,'Données projet'!$A$71:$I$91,5,0)),0%,VLOOKUP(A131,'Données projet'!$A$71:$I$91,5,0)*VLOOKUP('Données projet'!$B$10,Paramètres!$A$1:$I$89,7,0))</f>
        <v>0</v>
      </c>
      <c r="AS131" s="16">
        <f>IF(ISNA(VLOOKUP(A131,'Données projet'!$A$71:$I$91,6,0)),0%,VLOOKUP(A131,'Données projet'!$A$71:$I$91,6,0)*VLOOKUP('Données projet'!$B$10,Paramètres!$A$1:$I$89,7,0))</f>
        <v>0</v>
      </c>
      <c r="AT131" s="16">
        <f>IF(ISNA(VLOOKUP(A131,'Données projet'!$A$71:$I$91,7,0)),0%,VLOOKUP(A131,'Données projet'!$A$71:$I$91,7,0))</f>
        <v>0</v>
      </c>
      <c r="AU131" s="21">
        <f>EXP(-LN(2)/35)*AU130+(1-EXP(-LN(2)/35))/(LN(2)/35)*AQ131*AR131*VLOOKUP('Données projet'!$B$10,Paramètres!$A$1:$I$89,3,0)*0.475*44/12</f>
        <v>135.89224989107367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125"/>
        <v>135.89224989107367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projet'!$A$97:$I$117,2,0)</f>
        <v>#N/A</v>
      </c>
      <c r="BB131" s="12" t="e">
        <f>VLOOKUP(A131,'Données projet'!$A$97:$I$117,9,0)</f>
        <v>#N/A</v>
      </c>
      <c r="BC131" s="12">
        <f t="array" ref="BC131">INDEX(BB:BB,MIN(IF(ISNUMBER(BB131:BB327),ROW(BB131:BB327),"")))</f>
        <v>0</v>
      </c>
      <c r="BD131" s="12">
        <f>IF('Données projet'!$A$98&gt;35,BD130+BC131-BL130,IF(A131&lt;'Données projet'!$A$98,$BA$205^A131,IF(A131='Données projet'!$A$98,'Données projet'!$B$98,BD130+BC131-BL130)))</f>
        <v>-1.1368683772161603E-13</v>
      </c>
      <c r="BE131" s="13">
        <f>BD131*VLOOKUP('Données projet'!$B$11,Paramètres!$A$1:$I$89,3,0)*VLOOKUP('Données projet'!$B$11,Paramètres!$A$1:$I$89,5,0)</f>
        <v>-5.0249582272954292E-14</v>
      </c>
      <c r="BF131" s="13" t="e">
        <f t="shared" si="186"/>
        <v>#NUM!</v>
      </c>
      <c r="BG131" s="20" t="e">
        <f t="shared" si="126"/>
        <v>#NUM!</v>
      </c>
      <c r="BH131" s="59" t="e">
        <f t="shared" si="127"/>
        <v>#NUM!</v>
      </c>
      <c r="BI131" s="59">
        <f ca="1">AVERAGE(OFFSET($BH$3,0,0,'Données projet'!$E$11+1,1))-AVERAGE(OFFSET($H$3,0,0,'Données projet'!$E$11+1,1))</f>
        <v>211.31057120485542</v>
      </c>
      <c r="BJ131" s="59">
        <f t="shared" si="187"/>
        <v>283.33292006714777</v>
      </c>
      <c r="BK131" s="15">
        <f>IF(ISNA(VLOOKUP(A131,'Données projet'!$A$97:$I$117,3,0)),0,VLOOKUP(A131,'Données projet'!$A$97:$I$117,3,0))</f>
        <v>0</v>
      </c>
      <c r="BL131" s="15">
        <f>IF(ISNA(VLOOKUP(A131,'Données projet'!$A$97:$I$117,4,0)),0,VLOOKUP(A131,'Données projet'!$A$97:$I$117,4,0))</f>
        <v>0</v>
      </c>
      <c r="BM131" s="16">
        <f>IF(ISNA(VLOOKUP(A131,'Données projet'!$A$97:$I$117,5,0)),0%,VLOOKUP(A131,'Données projet'!$A$97:$I$117,5,0)*VLOOKUP('Données projet'!$B$11,Paramètres!$A$1:$I$89,7,0))</f>
        <v>0</v>
      </c>
      <c r="BN131" s="16">
        <f>IF(ISNA(VLOOKUP(A131,'Données projet'!$A$97:$I$117,6,0)),0%,VLOOKUP(A131,'Données projet'!$A$97:$I$117,6,0)*VLOOKUP('Données projet'!$B$11,Paramètres!$A$1:$I$89,7,0))</f>
        <v>0</v>
      </c>
      <c r="BO131" s="16">
        <f>IF(ISNA(VLOOKUP(A131,'Données projet'!$A$97:$I$117,7,0)),0%,VLOOKUP(A131,'Données projet'!$A$97:$I$117,7,0))</f>
        <v>0</v>
      </c>
      <c r="BP131" s="21">
        <f>EXP(-LN(2)/35)*BP130+(1-EXP(-LN(2)/35))/(LN(2)/35)*BL131*BM131*VLOOKUP('Données projet'!$B$11,Paramètres!$A$1:$I$89,3,0)*0.475*44/12</f>
        <v>42.219899223288948</v>
      </c>
      <c r="BQ131" s="21">
        <f>EXP(-LN(2)/25)*BQ130+(1-EXP(-LN(2)/25))/(LN(2)/25)*Calculateur!BL131*Calculateur!BN131*VLOOKUP('Données projet'!$B$11,Paramètres!$A$1:$I$89,3,0)*0.475*44/12</f>
        <v>6.018430677729544</v>
      </c>
      <c r="BR131" s="21">
        <f>EXP(-LN(2)/2)*BR130+(1-EXP(-LN(2)/2))/(LN(2)/2)*BL131*BO131*VLOOKUP('Données projet'!$B$11,Paramètres!$A$1:$I$89,3,0)*0.475*44/12</f>
        <v>2.7793936434332689E-10</v>
      </c>
      <c r="BS131" s="22">
        <f t="shared" si="128"/>
        <v>48.238329901296424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projet'!$A$123:$I$143,2,0)</f>
        <v>#N/A</v>
      </c>
      <c r="BW131" s="12" t="e">
        <f>VLOOKUP(A131,'Données projet'!$A$123:$I$143,9,0)</f>
        <v>#N/A</v>
      </c>
      <c r="BX131" s="12">
        <f t="array" ref="BX131">INDEX(BW:BW,MIN(IF(ISNUMBER(BW131:BW327),ROW(BW131:BW327),"")))</f>
        <v>0</v>
      </c>
      <c r="BY131" s="12">
        <f>IF('Données projet'!$A$124&gt;35,BY130+BX131-CG130,IF(A131&lt;'Données projet'!$A$124,$BV$205^A131,IF(A131='Données projet'!$A$124,'Données projet'!$B$124,BY130+BX131-CG130)))</f>
        <v>0</v>
      </c>
      <c r="BZ131" s="13">
        <f>BY131*VLOOKUP('Données projet'!$B$12,Paramètres!$A$1:$I$89,3,0)*VLOOKUP('Données projet'!$B$12,Paramètres!$A$1:$I$89,5,0)</f>
        <v>0</v>
      </c>
      <c r="CA131" s="13" t="e">
        <f t="shared" si="188"/>
        <v>#NUM!</v>
      </c>
      <c r="CB131" s="20" t="e">
        <f t="shared" si="129"/>
        <v>#NUM!</v>
      </c>
      <c r="CC131" s="59" t="e">
        <f t="shared" si="130"/>
        <v>#NUM!</v>
      </c>
      <c r="CD131" s="59">
        <f ca="1">AVERAGE(OFFSET($CC$3,0,0,'Données projet'!$E$12+1,1))-AVERAGE(OFFSET($H$3,0,0,'Données projet'!$E$12+1,1))</f>
        <v>322.93502595881938</v>
      </c>
      <c r="CE131" s="59">
        <f t="shared" si="189"/>
        <v>302.67072119588164</v>
      </c>
      <c r="CF131" s="15">
        <f>IF(ISNA(VLOOKUP(A131,'Données projet'!$A$123:$I$143,3,0)),0,VLOOKUP(A131,'Données projet'!$A$123:$I$143,3,0))</f>
        <v>0</v>
      </c>
      <c r="CG131" s="15">
        <f>IF(ISNA(VLOOKUP(A131,'Données projet'!$A$123:$I$143,4,0)),0,VLOOKUP(A131,'Données projet'!$A$123:$I$143,4,0))</f>
        <v>0</v>
      </c>
      <c r="CH131" s="16">
        <f>IF(ISNA(VLOOKUP(A131,'Données projet'!$A$123:$I$143,5,0)),0%,VLOOKUP(A131,'Données projet'!$A$123:$I$143,5,0)*VLOOKUP('Données projet'!$B$12,Paramètres!$A$1:$I$89,7,0))</f>
        <v>0</v>
      </c>
      <c r="CI131" s="16">
        <f>IF(ISNA(VLOOKUP(A131,'Données projet'!$A$123:$I$143,6,0)),0%,VLOOKUP(A131,'Données projet'!$A$123:$I$143,6,0)*VLOOKUP('Données projet'!$B$12,Paramètres!$A$1:$I$89,7,0))</f>
        <v>0</v>
      </c>
      <c r="CJ131" s="16">
        <f>IF(ISNA(VLOOKUP(A131,'Données projet'!$A$123:$I$143,7,0)),0%,VLOOKUP(A131,'Données projet'!$A$123:$I$143,7,0))</f>
        <v>0</v>
      </c>
      <c r="CK131" s="21">
        <f>EXP(-LN(2)/35)*CK130+(1-EXP(-LN(2)/35))/(LN(2)/35)*CG131*CH131*VLOOKUP('Données projet'!$B$12,Paramètres!$A$1:$I$89,3,0)*0.475*44/12</f>
        <v>67.266501234784997</v>
      </c>
      <c r="CL131" s="21">
        <f>EXP(-LN(2)/25)*CL130+(1-EXP(-LN(2)/25))/(LN(2)/25)*Calculateur!CG131*Calculateur!CI131*VLOOKUP('Données projet'!$B$12,Paramètres!$A$1:$I$89,3,0)*0.475*44/12</f>
        <v>19.262619553826188</v>
      </c>
      <c r="CM131" s="21">
        <f>EXP(-LN(2)/2)*CM130+(1-EXP(-LN(2)/2))/(LN(2)/2)*CG131*CJ131*VLOOKUP('Données projet'!$B$12,Paramètres!$A$1:$I$89,3,0)*0.475*44/12</f>
        <v>0</v>
      </c>
      <c r="CN131" s="22">
        <f t="shared" si="131"/>
        <v>86.529120788611181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projet'!$A$149:$I$169,2,0)</f>
        <v>#N/A</v>
      </c>
      <c r="CR131" s="12" t="e">
        <f>VLOOKUP(A131,'Données projet'!$A$149:$I$169,9,0)</f>
        <v>#N/A</v>
      </c>
      <c r="CS131" s="12">
        <f t="array" ref="CS131">INDEX(CR:CR,MIN(IF(ISNUMBER(CR131:CR327),ROW(CR131:CR327),"")))</f>
        <v>5.2446581196581219</v>
      </c>
      <c r="CT131" s="12">
        <f>IF('Données projet'!$A$150&gt;35,CT130+CS131-DB130,IF(A131&lt;'Données projet'!$A$150,$CQ$205^A131,IF(A131='Données projet'!$A$150,'Données projet'!$B$150,CT130+CS131-DB130)))</f>
        <v>245.86858974358927</v>
      </c>
      <c r="CU131" s="17">
        <f>CT131*VLOOKUP('Données projet'!$B$13,Paramètres!$A$1:$I$89,3,0)*VLOOKUP('Données projet'!$B$13,Paramètres!$A$1:$I$89,5,0)</f>
        <v>249.31074999999953</v>
      </c>
      <c r="CV131" s="13">
        <f t="shared" si="190"/>
        <v>60.438324631862308</v>
      </c>
      <c r="CW131" s="20">
        <f t="shared" si="132"/>
        <v>539.47963831715936</v>
      </c>
      <c r="CX131" s="59">
        <f t="shared" si="133"/>
        <v>832.81297165049273</v>
      </c>
      <c r="CY131" s="59">
        <f ca="1">AVERAGE(OFFSET($CX$3,0,0,'Données projet'!$E$13+1,1))-AVERAGE(OFFSET($H$3,0,0,'Données projet'!$E$13+1,1))</f>
        <v>250.31277422753283</v>
      </c>
      <c r="CZ131" s="59">
        <f t="shared" si="191"/>
        <v>159.20429420478047</v>
      </c>
      <c r="DA131" s="15">
        <f>IF(ISNA(VLOOKUP(A131,'Données projet'!$A$149:$I$169,3,0)),0,VLOOKUP(A131,'Données projet'!$A$149:$I$169,3,0))</f>
        <v>0</v>
      </c>
      <c r="DB131" s="15">
        <f>IF(ISNA(VLOOKUP(A131,'Données projet'!$A$149:$I$169,4,0)),0,VLOOKUP(A131,'Données projet'!$A$149:$I$169,4,0))</f>
        <v>0</v>
      </c>
      <c r="DC131" s="16">
        <f>IF(ISNA(VLOOKUP(A131,'Données projet'!$A$149:$I$169,5,0)),0%,VLOOKUP(A131,'Données projet'!$A$149:$I$169,5,0)*VLOOKUP('Données projet'!$B$13,Paramètres!$A$1:$I$89,7,0))</f>
        <v>0</v>
      </c>
      <c r="DD131" s="16">
        <f>IF(ISNA(VLOOKUP(A131,'Données projet'!$A$149:$I$169,6,0)),0%,VLOOKUP(A131,'Données projet'!$A$149:$I$169,6,0)*VLOOKUP('Données projet'!$B$13,Paramètres!$A$1:$I$89,7,0))</f>
        <v>0</v>
      </c>
      <c r="DE131" s="16">
        <f>IF(ISNA(VLOOKUP(A131,'Données projet'!$A$149:$I$169,7,0)),0%,VLOOKUP(A131,'Données projet'!$A$149:$I$169,7,0))</f>
        <v>0</v>
      </c>
      <c r="DF131" s="21">
        <f>EXP(-LN(2)/35)*DF130+(1-EXP(-LN(2)/35))/(LN(2)/35)*DB131*DC131*VLOOKUP('Données projet'!$B$13,Paramètres!$A$1:$I$89,3,0)*0.475*44/12</f>
        <v>45.039776209690871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134"/>
        <v>45.039776209690871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projet'!$A$175:$I$195,2,0)</f>
        <v>#N/A</v>
      </c>
      <c r="DM131" s="12" t="e">
        <f>VLOOKUP(A131,'Données projet'!$A$175:$I$195,9,0)</f>
        <v>#N/A</v>
      </c>
      <c r="DN131" s="12">
        <f t="array" ref="DN131">INDEX(DM:DM,MIN(IF(ISNUMBER(DM131:DM327),ROW(DM131:DM327),"")))</f>
        <v>0</v>
      </c>
      <c r="DO131" s="12">
        <f>IF('Données projet'!$A$176&gt;35,DO130+DN131-DW130,IF(A131&lt;'Données projet'!$A$176,$DL$205^A131,IF(A131='Données projet'!$A$176,'Données projet'!$B$176,DO130+DN131-DW130)))</f>
        <v>-2.8421709430404007E-13</v>
      </c>
      <c r="DP131" s="17">
        <f>DO131*VLOOKUP('Données projet'!$B$14,Paramètres!$A$1:$I$89,3,0)*VLOOKUP('Données projet'!$B$14,Paramètres!$A$1:$I$89,5,0)</f>
        <v>-2.0838797354372215E-13</v>
      </c>
      <c r="DQ131" s="13" t="e">
        <f t="shared" si="192"/>
        <v>#NUM!</v>
      </c>
      <c r="DR131" s="20" t="e">
        <f t="shared" si="135"/>
        <v>#NUM!</v>
      </c>
      <c r="DS131" s="59" t="e">
        <f t="shared" si="136"/>
        <v>#NUM!</v>
      </c>
      <c r="DT131" s="59">
        <f ca="1">AVERAGE(OFFSET($DS$3,0,0,'Données projet'!$E$14+1,1))-AVERAGE(OFFSET($H$3,0,0,'Données projet'!$E$14+1,1))</f>
        <v>296.91321813251051</v>
      </c>
      <c r="DU131" s="59">
        <f t="shared" si="193"/>
        <v>291.0718079639509</v>
      </c>
      <c r="DV131" s="15">
        <f>IF(ISNA(VLOOKUP(A131,'Données projet'!$A$175:$I$195,3,0)),0,VLOOKUP(A131,'Données projet'!$A$175:$I$195,3,0))</f>
        <v>0</v>
      </c>
      <c r="DW131" s="15">
        <f>IF(ISNA(VLOOKUP(A131,'Données projet'!$A$175:$I$195,4,0)),0,VLOOKUP(A131,'Données projet'!$A$175:$I$195,4,0))</f>
        <v>0</v>
      </c>
      <c r="DX131" s="16">
        <f>IF(ISNA(VLOOKUP(A131,'Données projet'!$A$175:$I$195,5,0)),0%,VLOOKUP(A131,'Données projet'!$A$175:$I$195,5,0)*VLOOKUP('Données projet'!$B$14,Paramètres!$A$1:$I$89,7,0))</f>
        <v>0</v>
      </c>
      <c r="DY131" s="16">
        <f>IF(ISNA(VLOOKUP(A131,'Données projet'!$A$175:$I$195,6,0)),0%,VLOOKUP(A131,'Données projet'!$A$175:$I$195,6,0)*VLOOKUP('Données projet'!$B$14,Paramètres!$A$1:$I$89,7,0))</f>
        <v>0</v>
      </c>
      <c r="DZ131" s="16">
        <f>IF(ISNA(VLOOKUP(A131,'Données projet'!$A$175:$I$195,7,0)),0%,VLOOKUP(A131,'Données projet'!$A$175:$I$195,7,0))</f>
        <v>0</v>
      </c>
      <c r="EA131" s="21">
        <f>EXP(-LN(2)/35)*EA130+(1-EXP(-LN(2)/35))/(LN(2)/35)*DW131*DX131*VLOOKUP('Données projet'!$B$14,Paramètres!$A$1:$I$89,3,0)*0.475*44/12</f>
        <v>67.043106295313763</v>
      </c>
      <c r="EB131" s="21">
        <f>EXP(-LN(2)/25)*EB130+(1-EXP(-LN(2)/25))/(LN(2)/25)*Calculateur!DW131*Calculateur!DY131*VLOOKUP('Données projet'!$B$14,Paramètres!$A$1:$I$89,3,0)*0.475*44/12</f>
        <v>1.4150495025720784</v>
      </c>
      <c r="EC131" s="21">
        <f>EXP(-LN(2)/2)*EC130+(1-EXP(-LN(2)/2))/(LN(2)/2)*DW131*DZ131*VLOOKUP('Données projet'!$B$14,Paramètres!$A$1:$I$89,3,0)*0.475*44/12</f>
        <v>0</v>
      </c>
      <c r="ED131" s="22">
        <f t="shared" si="137"/>
        <v>68.458155797885837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projet'!$A$201:$I$221,2,0)</f>
        <v>#N/A</v>
      </c>
      <c r="EH131" s="12" t="e">
        <f>VLOOKUP(A131,'Données projet'!$A$201:$I$221,9,0)</f>
        <v>#N/A</v>
      </c>
      <c r="EI131" s="12">
        <f t="array" ref="EI131">INDEX(EH:EH,MIN(IF(ISNUMBER(EH131:EH327),ROW(EH131:EH327),"")))</f>
        <v>0</v>
      </c>
      <c r="EJ131" s="12">
        <f>IF('Données projet'!$A$202&gt;35,EJ130+EI131-ER130,IF(A131&lt;'Données projet'!$A$202,$EG$205^A131,IF(A131='Données projet'!$A$202,'Données projet'!$B$202,EJ130+EI131-ER130)))</f>
        <v>5.1159076974727213E-13</v>
      </c>
      <c r="EK131" s="17">
        <f>EJ131*VLOOKUP('Données projet'!$B$15,Paramètres!$A$1:$I$89,3,0)*VLOOKUP('Données projet'!$B$15,Paramètres!$A$1:$I$89,5,0)</f>
        <v>2.3942448024172334E-13</v>
      </c>
      <c r="EL131" s="13">
        <f t="shared" si="194"/>
        <v>3.2492669905861755E-12</v>
      </c>
      <c r="EM131" s="20">
        <f t="shared" si="138"/>
        <v>6.0761376450252565E-12</v>
      </c>
      <c r="EN131" s="59">
        <f t="shared" si="139"/>
        <v>293.3333333333394</v>
      </c>
      <c r="EO131" s="59">
        <f ca="1">AVERAGE(OFFSET($EN$3,0,0,'Données projet'!$E$15+1,1))-AVERAGE(OFFSET($H$3,0,0,'Données projet'!$E$15+1,1))</f>
        <v>147.64256291235483</v>
      </c>
      <c r="EP131" s="59">
        <f t="shared" si="195"/>
        <v>70.859031694091868</v>
      </c>
      <c r="EQ131" s="15">
        <f>IF(ISNA(VLOOKUP(A131,'Données projet'!$A$201:$I$221,3,0)),0,VLOOKUP(A131,'Données projet'!$A$201:$I$221,3,0))</f>
        <v>0</v>
      </c>
      <c r="ER131" s="15">
        <f>IF(ISNA(VLOOKUP(A131,'Données projet'!$A$201:$I$221,4,0)),0,VLOOKUP(A131,'Données projet'!$A$201:$I$221,4,0))</f>
        <v>0</v>
      </c>
      <c r="ES131" s="16">
        <f>IF(ISNA(VLOOKUP(A131,'Données projet'!$A$201:$I$221,5,0)),0%,VLOOKUP(A131,'Données projet'!$A$201:$I$221,5,0)*VLOOKUP('Données projet'!$B$15,Paramètres!$A$1:$I$89,7,0))</f>
        <v>0</v>
      </c>
      <c r="ET131" s="16">
        <f>IF(ISNA(VLOOKUP(A131,'Données projet'!$A$201:$I$221,6,0)),0%,VLOOKUP(A131,'Données projet'!$A$201:$I$221,6,0)*VLOOKUP('Données projet'!$B$15,Paramètres!$A$1:$I$89,7,0))</f>
        <v>0</v>
      </c>
      <c r="EU131" s="16">
        <f>IF(ISNA(VLOOKUP(A131,'Données projet'!$A$201:$I$221,7,0)),0%,VLOOKUP(A131,'Données projet'!$A$201:$I$221,7,0))</f>
        <v>0</v>
      </c>
      <c r="EV131" s="21">
        <f>EXP(-LN(2)/35)*EV130+(1-EXP(-LN(2)/35))/(LN(2)/35)*ER131*ES131*VLOOKUP('Données projet'!$B$15,Paramètres!$A$1:$I$89,3,0)*0.475*44/12</f>
        <v>91.783069308004315</v>
      </c>
      <c r="EW131" s="21">
        <f>EXP(-LN(2)/25)*EW130+(1-EXP(-LN(2)/25))/(LN(2)/25)*Calculateur!ER131*Calculateur!ET131*VLOOKUP('Données projet'!$B$15,Paramètres!$A$1:$I$89,3,0)*0.475*44/12</f>
        <v>19.632386209909058</v>
      </c>
      <c r="EX131" s="21">
        <f>EXP(-LN(2)/2)*EX130+(1-EXP(-LN(2)/2))/(LN(2)/2)*ER131*EU131*VLOOKUP('Données projet'!$B$15,Paramètres!$A$1:$I$89,3,0)*0.475*44/12</f>
        <v>2.5340786420683652E-2</v>
      </c>
      <c r="EY131" s="22">
        <f t="shared" si="140"/>
        <v>111.44079630433406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projet'!$A$227:$I$247,2,0)</f>
        <v>#N/A</v>
      </c>
      <c r="FC131" s="12" t="e">
        <f>VLOOKUP(A131,'Données projet'!$A$227:$I$247,9,0)</f>
        <v>#N/A</v>
      </c>
      <c r="FD131" s="12">
        <f t="array" ref="FD131">INDEX(FC:FC,MIN(IF(ISNUMBER(FC131:FC327),ROW(FC131:FC327),"")))</f>
        <v>0</v>
      </c>
      <c r="FE131" s="12">
        <f>IF('Données projet'!$A$228&gt;35,FE130+FD131-FM130,IF(A131&lt;'Données projet'!$A$228,$FB$205^A131,IF(A131='Données projet'!$A$228,'Données projet'!$B$228,FE130+FD131-FM130)))</f>
        <v>8.5265128291212022E-14</v>
      </c>
      <c r="FF131" s="17">
        <f>FE131*VLOOKUP('Données projet'!$B$16,Paramètres!$A$1:$I$89,3,0)*VLOOKUP('Données projet'!$B$16,Paramètres!$A$1:$I$89,5,0)</f>
        <v>8.9119112089974823E-14</v>
      </c>
      <c r="FG131" s="13">
        <f t="shared" si="196"/>
        <v>1.3568952080113142E-12</v>
      </c>
      <c r="FH131" s="20">
        <f t="shared" si="141"/>
        <v>2.5184749408430782E-12</v>
      </c>
      <c r="FI131" s="59">
        <f t="shared" si="142"/>
        <v>293.33333333333582</v>
      </c>
      <c r="FJ131" s="59">
        <f ca="1">AVERAGE(OFFSET($FI$3,0,0,'Données projet'!$E$16+1,1))-AVERAGE(OFFSET($H$3,0,0,'Données projet'!$E$16+1,1))</f>
        <v>259.03906550253788</v>
      </c>
      <c r="FK131" s="59">
        <f t="shared" si="197"/>
        <v>235.54542903570831</v>
      </c>
      <c r="FL131" s="15">
        <f>IF(ISNA(VLOOKUP(A131,'Données projet'!$A$227:$I$247,3,0)),0,VLOOKUP(A131,'Données projet'!$A$227:$I$247,3,0))</f>
        <v>0</v>
      </c>
      <c r="FM131" s="15">
        <f>IF(ISNA(VLOOKUP(A131,'Données projet'!$A$227:$I$247,4,0)),0,VLOOKUP(A131,'Données projet'!$A$227:$I$247,4,0))</f>
        <v>0</v>
      </c>
      <c r="FN131" s="16">
        <f>IF(ISNA(VLOOKUP(A131,'Données projet'!$A$227:$I$247,5,0)),0%,VLOOKUP(A131,'Données projet'!$A$227:$I$247,5,0)*VLOOKUP('Données projet'!$B$16,Paramètres!$A$1:$I$89,7,0))</f>
        <v>0</v>
      </c>
      <c r="FO131" s="16">
        <f>IF(ISNA(VLOOKUP(A131,'Données projet'!$A$227:$I$247,6,0)),0%,VLOOKUP(A131,'Données projet'!$A$227:$I$247,6,0)*VLOOKUP('Données projet'!$B$16,Paramètres!$A$1:$I$89,7,0))</f>
        <v>0</v>
      </c>
      <c r="FP131" s="16">
        <f>IF(ISNA(VLOOKUP(A131,'Données projet'!$A$227:$I$247,7,0)),0%,VLOOKUP(A131,'Données projet'!$A$227:$I$247,7,0))</f>
        <v>0</v>
      </c>
      <c r="FQ131" s="21">
        <f>EXP(-LN(2)/35)*FQ130+(1-EXP(-LN(2)/35))/(LN(2)/35)*FM131*FN131*VLOOKUP('Données projet'!$B$16,Paramètres!$A$1:$I$89,3,0)*0.475*44/12</f>
        <v>40.510552413120259</v>
      </c>
      <c r="FR131" s="21">
        <f>EXP(-LN(2)/25)*FR130+(1-EXP(-LN(2)/25))/(LN(2)/25)*Calculateur!FM131*Calculateur!FO131*VLOOKUP('Données projet'!$B$16,Paramètres!$A$1:$I$89,3,0)*0.475*44/12</f>
        <v>27.007776167187757</v>
      </c>
      <c r="FS131" s="21">
        <f>EXP(-LN(2)/2)*FS130+(1-EXP(-LN(2)/2))/(LN(2)/2)*FM131*FP131*VLOOKUP('Données projet'!$B$16,Paramètres!$A$1:$I$89,3,0)*0.475*44/12</f>
        <v>0</v>
      </c>
      <c r="FT131" s="22">
        <f t="shared" si="143"/>
        <v>67.518328580308008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projet'!$A$253:$I$273,2,0)</f>
        <v>#N/A</v>
      </c>
      <c r="FX131" s="12" t="e">
        <f>VLOOKUP(A131,'Données projet'!$A$253:$I$273,9,0)</f>
        <v>#N/A</v>
      </c>
      <c r="FY131" s="12">
        <f t="array" ref="FY131">INDEX(FX:FX,MIN(IF(ISNUMBER(FX131:FX327),ROW(FX131:FX327),"")))</f>
        <v>0</v>
      </c>
      <c r="FZ131" s="12">
        <f>IF('Données projet'!$A$254&gt;35,FZ130+FY131-GH130,IF(A131&lt;'Données projet'!$A$254,$FW$205^A131,IF(A131='Données projet'!$A$254,'Données projet'!$B$254,FZ130+FY131-GH130)))</f>
        <v>-1.7053025658242404E-13</v>
      </c>
      <c r="GA131" s="17">
        <f>FZ131*VLOOKUP('Données projet'!$B$17,Paramètres!$A$1:$I$89,3,0)*VLOOKUP('Données projet'!$B$17,Paramètres!$A$1:$I$89,5,0)</f>
        <v>-1.4897523215040567E-13</v>
      </c>
      <c r="GB131" s="13" t="e">
        <f t="shared" si="198"/>
        <v>#NUM!</v>
      </c>
      <c r="GC131" s="20" t="e">
        <f t="shared" si="144"/>
        <v>#NUM!</v>
      </c>
      <c r="GD131" s="59" t="e">
        <f t="shared" si="145"/>
        <v>#NUM!</v>
      </c>
      <c r="GE131" s="59">
        <f ca="1">AVERAGE(OFFSET($GD$3,0,0,'Données projet'!$E$17+1,1))-AVERAGE(OFFSET($H$3,0,0,'Données projet'!$E$17+1,1))</f>
        <v>245.1983232777614</v>
      </c>
      <c r="GF131" s="59">
        <f t="shared" si="199"/>
        <v>242.34010522344573</v>
      </c>
      <c r="GG131" s="15">
        <f>IF(ISNA(VLOOKUP(A131,'Données projet'!$A$253:$I$273,3,0)),0,VLOOKUP(A131,'Données projet'!$A$253:$I$273,3,0))</f>
        <v>0</v>
      </c>
      <c r="GH131" s="15">
        <f>IF(ISNA(VLOOKUP(A131,'Données projet'!$A$253:$I$273,4,0)),0,VLOOKUP(A131,'Données projet'!$A$253:$I$273,4,0))</f>
        <v>0</v>
      </c>
      <c r="GI131" s="16">
        <f>IF(ISNA(VLOOKUP(A131,'Données projet'!$A$253:$I$273,5,0)),0%,VLOOKUP(A131,'Données projet'!$A$253:$I$273,5,0)*VLOOKUP('Données projet'!$B$17,Paramètres!$A$1:$I$89,7,0))</f>
        <v>0</v>
      </c>
      <c r="GJ131" s="16">
        <f>IF(ISNA(VLOOKUP(A131,'Données projet'!$A$253:$I$273,6,0)),0%,VLOOKUP(A131,'Données projet'!$A$253:$I$273,6,0)*VLOOKUP('Données projet'!$B$17,Paramètres!$A$1:$I$89,7,0))</f>
        <v>0</v>
      </c>
      <c r="GK131" s="16">
        <f>IF(ISNA(VLOOKUP(A131,'Données projet'!$A$253:$I$273,7,0)),0%,VLOOKUP(A131,'Données projet'!$A$253:$I$273,7,0))</f>
        <v>0</v>
      </c>
      <c r="GL131" s="21">
        <f>EXP(-LN(2)/35)*GL130+(1-EXP(-LN(2)/35))/(LN(2)/35)*GH131*GI131*VLOOKUP('Données projet'!$B$17,Paramètres!$A$1:$I$89,3,0)*0.475*44/12</f>
        <v>47.625712502459685</v>
      </c>
      <c r="GM131" s="21">
        <f>EXP(-LN(2)/25)*GM130+(1-EXP(-LN(2)/25))/(LN(2)/25)*Calculateur!GH131*Calculateur!GJ131*VLOOKUP('Données projet'!$B$17,Paramètres!$A$1:$I$89,3,0)*0.475*44/12</f>
        <v>5.7546991476732519</v>
      </c>
      <c r="GN131" s="21">
        <f>EXP(-LN(2)/2)*GN130+(1-EXP(-LN(2)/2))/(LN(2)/2)*GH131*GK131*VLOOKUP('Données projet'!$B$17,Paramètres!$A$1:$I$89,3,0)*0.475*44/12</f>
        <v>0</v>
      </c>
      <c r="GO131" s="21">
        <f t="shared" si="146"/>
        <v>53.380411650132935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projet'!$A$279:$I$299,2,0)</f>
        <v>#N/A</v>
      </c>
      <c r="GS131" s="12" t="e">
        <f>VLOOKUP(A131,'Données projet'!$A$279:$I$299,9,0)</f>
        <v>#N/A</v>
      </c>
      <c r="GT131" s="12">
        <f t="array" ref="GT131">INDEX(GS:GS,MIN(IF(ISNUMBER(GS131:GS327),ROW(GS131:GS327),"")))</f>
        <v>0</v>
      </c>
      <c r="GU131" s="12">
        <f>IF('Données projet'!$A$280&gt;35,GU130+GT131-HC130,IF(A131&lt;'Données projet'!$A$280,$GR$205^A131,IF(A131='Données projet'!$A$280,'Données projet'!$B$280,GU130+GT131-HC130)))</f>
        <v>-1.1368683772161603E-13</v>
      </c>
      <c r="GV131" s="17">
        <f>GU131*VLOOKUP('Données projet'!$B$18,Paramètres!$A$1:$I$89,3,0)*VLOOKUP('Données projet'!$B$18,Paramètres!$A$1:$I$89,5,0)</f>
        <v>-4.5815795601811263E-14</v>
      </c>
      <c r="GW131" s="13" t="e">
        <f t="shared" si="200"/>
        <v>#NUM!</v>
      </c>
      <c r="GX131" s="20" t="e">
        <f t="shared" si="147"/>
        <v>#NUM!</v>
      </c>
      <c r="GY131" s="59" t="e">
        <f t="shared" si="148"/>
        <v>#NUM!</v>
      </c>
      <c r="GZ131" s="59">
        <f ca="1">AVERAGE(OFFSET($GY$3,0,0,'Données projet'!$E$18+1,1))-AVERAGE(OFFSET($H$3,0,0,'Données projet'!$E$18+1,1))</f>
        <v>324.36162935850876</v>
      </c>
      <c r="HA131" s="59">
        <f t="shared" si="201"/>
        <v>265.23571072429735</v>
      </c>
      <c r="HB131" s="15">
        <f>IF(ISNA(VLOOKUP(A131,'Données projet'!$A$279:$I$299,3,0)),0,VLOOKUP(A131,'Données projet'!$A$279:$I$299,3,0))</f>
        <v>0</v>
      </c>
      <c r="HC131" s="15">
        <f>IF(ISNA(VLOOKUP(A131,'Données projet'!$A$279:$I$299,4,0)),0,VLOOKUP(A131,'Données projet'!$A$279:$I$299,4,0))</f>
        <v>0</v>
      </c>
      <c r="HD131" s="16">
        <f>IF(ISNA(VLOOKUP(A131,'Données projet'!$A$279:$I$299,5,0)),0%,VLOOKUP(A131,'Données projet'!$A$279:$I$299,5,0)*VLOOKUP('Données projet'!$B$18,Paramètres!$A$1:$I$89,7,0))</f>
        <v>0</v>
      </c>
      <c r="HE131" s="16">
        <f>IF(ISNA(VLOOKUP(A131,'Données projet'!$A$279:$I$299,6,0)),0%,VLOOKUP(A131,'Données projet'!$A$279:$I$299,6,0)*VLOOKUP('Données projet'!$B$18,Paramètres!$A$1:$I$89,7,0))</f>
        <v>0</v>
      </c>
      <c r="HF131" s="16">
        <f>IF(ISNA(VLOOKUP($A131,'Données projet'!$A$279:$I$299,7,0)),0%,VLOOKUP($A131,'Données projet'!$A$279:$I$299,7,0))</f>
        <v>0</v>
      </c>
      <c r="HG131" s="21">
        <f>EXP(-LN(2)/35)*HG130+(1-EXP(-LN(2)/35))/(LN(2)/35)*HC131*HD131*VLOOKUP('Données projet'!$B$18,Paramètres!$A$1:$I$89,3,0)*0.475*44/12</f>
        <v>91.263315411808122</v>
      </c>
      <c r="HH131" s="21">
        <f>EXP(-LN(2)/25)*HH130+(1-EXP(-LN(2)/25))/(LN(2)/25)*Calculateur!HC131*Calculateur!HE131*VLOOKUP('Données projet'!$B$18,Paramètres!$A$1:$I$89,3,0)*0.475*44/12</f>
        <v>6.4002547725443737</v>
      </c>
      <c r="HI131" s="21">
        <f>EXP(-LN(2)/2)*HI130+(1-EXP(-LN(2)/2))/(LN(2)/2)*HC131*HF131*VLOOKUP('Données projet'!$B$18,Paramètres!$A$1:$I$89,3,0)*0.475*44/12</f>
        <v>5.0945339854836033E-7</v>
      </c>
      <c r="HJ131" s="22">
        <f t="shared" si="149"/>
        <v>97.663570693805895</v>
      </c>
      <c r="HK131" s="74">
        <f>('Scénario référence'!$F$8+'Scénario référence'!$F$9+'Scénario référence'!$B$17+'Scénario référence'!$B$9+'Scénario référence'!$B$10)*70+IF((45+25*(1-EXP(-0.0175*$A131)))&lt;70,'Scénario référence'!$B$16*(45+25*(1-EXP(-0.0175*$A131))),70*'Scénario référence'!$B$16)+IF((32+38*(1-EXP(-0.0175*$A131)))&lt;70,'Scénario référence'!$B$18*(32+38*(1-EXP(-0.0175*$A131))),70*'Scénario référence'!$B$18)</f>
        <v>70</v>
      </c>
      <c r="HL131" s="12">
        <f>IF($A131&gt;30,10,('Scénario référence'!$B$16+'Scénario référence'!$B$17+'Scénario référence'!$B$18+'Scénario référence'!$B$9+'Scénario référence'!$B$10)*$A131*10/30+('Scénario référence'!$F$8+'Scénario référence'!$F$9)*10)</f>
        <v>10</v>
      </c>
      <c r="HM131" s="12" t="e">
        <f>VLOOKUP($A131,'Données projet'!$A$304:$I$324,2,0)</f>
        <v>#N/A</v>
      </c>
      <c r="HN131" s="12" t="e">
        <f>VLOOKUP($A131,'Données projet'!$A$304:$I$324,9,0)</f>
        <v>#N/A</v>
      </c>
      <c r="HO131" s="12">
        <f t="array" ref="HO131">INDEX(HN:HN,MIN(IF(ISNUMBER(HN131:HN327),ROW(HN131:HN327),"")))</f>
        <v>0</v>
      </c>
      <c r="HP131" s="12">
        <f>IF('Données projet'!$A$304&gt;35,HP130+HO131-HX130,IF($A131&lt;'Données projet'!$A$304,$CQ$205^$A131,IF($A131='Données projet'!$A$304,'Données projet'!$B$304,HP130+HO131-HX130)))</f>
        <v>0</v>
      </c>
      <c r="HQ131" s="17">
        <f>HP131*VLOOKUP('Données projet'!$B$19,Paramètres!$A$1:$I$89,3,0)*VLOOKUP('Données projet'!$B$19,Paramètres!$A$1:$I$89,5,0)</f>
        <v>0</v>
      </c>
      <c r="HR131" s="13" t="e">
        <f t="shared" si="202"/>
        <v>#NUM!</v>
      </c>
      <c r="HS131" s="14" t="e">
        <f t="shared" si="150"/>
        <v>#NUM!</v>
      </c>
      <c r="HT131" s="59" t="e">
        <f t="shared" si="151"/>
        <v>#NUM!</v>
      </c>
      <c r="HU131" s="59">
        <f ca="1">AVERAGE(OFFSET(HT$3,0,0,'Données projet'!$E$19+1,1))-AVERAGE(OFFSET($H$3,0,0,'Données projet'!$E$19+1,1))</f>
        <v>91.60721429656013</v>
      </c>
      <c r="HV131" s="59">
        <f t="shared" si="203"/>
        <v>258.94957804210856</v>
      </c>
      <c r="HW131" s="15">
        <f>IF(ISNA(VLOOKUP($A131,'Données projet'!$A$304:$I$324,3,0)),0,VLOOKUP($A131,'Données projet'!$A$304:$I$324,3,0))</f>
        <v>0</v>
      </c>
      <c r="HX131" s="15">
        <f>IF(ISNA(VLOOKUP($A131,'Données projet'!$A$304:$I$324,4,0)),0,VLOOKUP($A131,'Données projet'!$A$304:$I$324,4,0))</f>
        <v>0</v>
      </c>
      <c r="HY131" s="16">
        <f>IF(ISNA(VLOOKUP($A131,'Données projet'!$A$304:$I$324,5,0)),0%,VLOOKUP($A131,'Données projet'!$A$304:$I$324,5,0)*VLOOKUP('Données projet'!$B$19,Paramètres!$A$1:$I$89,7,0))</f>
        <v>0</v>
      </c>
      <c r="HZ131" s="16">
        <f>IF(ISNA(VLOOKUP($A131,'Données projet'!$A$304:$I$324,6,0)),0%,VLOOKUP($A131,'Données projet'!$A$304:$I$324,6,0)*VLOOKUP('Données projet'!$B$19,Paramètres!$A$1:$I$89,7,0))</f>
        <v>0</v>
      </c>
      <c r="IA131" s="16">
        <f>IF(ISNA(VLOOKUP($A131,'Données projet'!$A$304:$I$324,7,0)),0%,VLOOKUP($A131,'Données projet'!$A$304:$I$324,7,0))</f>
        <v>0</v>
      </c>
      <c r="IB131" s="21">
        <f>EXP(-LN(2)/35)*IB130+(1-EXP(-LN(2)/35))/(LN(2)/35)*HX131*HY131*VLOOKUP('Données projet'!$B$19,Paramètres!$A$1:$I$89,3,0)*0.475*44/12</f>
        <v>7.0835495939848911</v>
      </c>
      <c r="IC131" s="21">
        <f>EXP(-LN(2)/25)*IC130+(1-EXP(-LN(2)/25))/(LN(2)/25)*Calculateur!HX131*Calculateur!HZ131*VLOOKUP('Données projet'!$B$19,Paramètres!$A$1:$I$89,3,0)*0.475*44/12</f>
        <v>0.64264891189562967</v>
      </c>
      <c r="ID131" s="21">
        <f>EXP(-LN(2)/2)*ID130+(1-EXP(-LN(2)/2))/(LN(2)/2)*HX131*IA131*VLOOKUP('Données projet'!$B$19,Paramètres!$A$1:$I$89,3,0)*0.475*44/12</f>
        <v>1.0175901219326589E-15</v>
      </c>
      <c r="IE131" s="22">
        <f t="shared" si="152"/>
        <v>7.7261985058805216</v>
      </c>
      <c r="IF131" s="74">
        <f>('Scénario référence'!$F$8+'Scénario référence'!$F$9+'Scénario référence'!$B$17+'Scénario référence'!$B$9+'Scénario référence'!$B$10)*70+IF((45+25*(1-EXP(-0.0175*$A131)))&lt;70,'Scénario référence'!$B$16*(45+25*(1-EXP(-0.0175*$A131))),70*'Scénario référence'!$B$16)+IF((32+38*(1-EXP(-0.0175*$A131)))&lt;70,'Scénario référence'!$B$18*(32+38*(1-EXP(-0.0175*$A131))),70*'Scénario référence'!$B$18)</f>
        <v>70</v>
      </c>
      <c r="IG131" s="12">
        <f>IF($A131&gt;30,10,('Scénario référence'!$B$16+'Scénario référence'!$B$17+'Scénario référence'!$B$18+'Scénario référence'!$B$9+'Scénario référence'!$B$10)*$A131*10/30+('Scénario référence'!$F$8+'Scénario référence'!$F$9)*10)</f>
        <v>10</v>
      </c>
      <c r="IH131" s="12" t="e">
        <f>VLOOKUP($A131,'Données projet'!$A$330:$I$350,2,0)</f>
        <v>#N/A</v>
      </c>
      <c r="II131" s="12" t="e">
        <f>VLOOKUP($A131,'Données projet'!$A$330:$I$350,9,0)</f>
        <v>#N/A</v>
      </c>
      <c r="IJ131" s="12">
        <f t="array" ref="IJ131">INDEX(II:II,MIN(IF(ISNUMBER(II131:II327),ROW(II131:II327),"")))</f>
        <v>0</v>
      </c>
      <c r="IK131" s="12">
        <f>IF('Données projet'!$A$330&gt;35,IK130+IJ131-IS130,IF($A131&lt;'Données projet'!$A$330,$CQ$205^$A131,IF($A131='Données projet'!$A$330,'Données projet'!$B$330,IK130+IJ131-IS130)))</f>
        <v>0</v>
      </c>
      <c r="IL131" s="17">
        <f>IK131*VLOOKUP('Données projet'!$B$20,Paramètres!$A$1:$I$89,3,0)*VLOOKUP('Données projet'!$B$20,Paramètres!$A$1:$I$89,5,0)</f>
        <v>0</v>
      </c>
      <c r="IM131" s="13" t="e">
        <f t="shared" si="204"/>
        <v>#NUM!</v>
      </c>
      <c r="IN131" s="20" t="e">
        <f t="shared" si="153"/>
        <v>#NUM!</v>
      </c>
      <c r="IO131" s="59" t="e">
        <f t="shared" si="154"/>
        <v>#NUM!</v>
      </c>
      <c r="IP131" s="59">
        <f ca="1">AVERAGE(OFFSET(IO$3,0,0,'Données projet'!$E$20+1,1))-AVERAGE(OFFSET($H$3,0,0,'Données projet'!$E$20+1,1))</f>
        <v>91.60721429656013</v>
      </c>
      <c r="IQ131" s="59">
        <f t="shared" si="205"/>
        <v>258.94957804210856</v>
      </c>
      <c r="IR131" s="15">
        <f>IF(ISNA(VLOOKUP($A131,'Données projet'!$A$330:$I$350,3,0)),0,VLOOKUP($A131,'Données projet'!$A$330:$I$350,3,0))</f>
        <v>0</v>
      </c>
      <c r="IS131" s="15">
        <f>IF(ISNA(VLOOKUP($A131,'Données projet'!$A$330:$I$350,4,0)),0,VLOOKUP($A131,'Données projet'!$A$330:$I$350,4,0))</f>
        <v>0</v>
      </c>
      <c r="IT131" s="16">
        <f>IF(ISNA(VLOOKUP($A131,'Données projet'!$A$330:$I$350,5,0)),0%,VLOOKUP($A131,'Données projet'!$A$330:$I$350,5,0)*VLOOKUP('Données projet'!$B$20,Paramètres!$A$1:$I$89,7,0))</f>
        <v>0</v>
      </c>
      <c r="IU131" s="16">
        <f>IF(ISNA(VLOOKUP($A131,'Données projet'!$A$330:$I$350,6,0)),0%,VLOOKUP($A131,'Données projet'!$A$330:$I$350,6,0)*VLOOKUP('Données projet'!$B$20,Paramètres!$A$1:$I$89,7,0))</f>
        <v>0</v>
      </c>
      <c r="IV131" s="16">
        <f>IF(ISNA(VLOOKUP($A131,'Données projet'!$A$330:$I$350,7,0)),0%,VLOOKUP($A131,'Données projet'!$A$330:$I$350,7,0))</f>
        <v>0</v>
      </c>
      <c r="IW131" s="21">
        <f>EXP(-LN(2)/35)*IW130+(1-EXP(-LN(2)/35))/(LN(2)/35)*IS131*IT131*VLOOKUP('Données projet'!$B$20,Paramètres!$A$1:$I$89,3,0)*0.475*44/12</f>
        <v>7.0835495939848911</v>
      </c>
      <c r="IX131" s="21">
        <f>EXP(-LN(2)/25)*IX130+(1-EXP(-LN(2)/25))/(LN(2)/25)*Calculateur!IS131*Calculateur!IU131*VLOOKUP('Données projet'!$B$20,Paramètres!$A$1:$I$89,3,0)*0.475*44/12</f>
        <v>0.64264891189562967</v>
      </c>
      <c r="IY131" s="21">
        <f>EXP(-LN(2)/2)*IY130+(1-EXP(-LN(2)/2))/(LN(2)/2)*IS131*IV131*VLOOKUP('Données projet'!$B$20,Paramètres!$A$1:$I$89,3,0)*0.475*44/12</f>
        <v>1.0175901219326589E-15</v>
      </c>
      <c r="IZ131" s="22">
        <f t="shared" si="155"/>
        <v>7.7261985058805216</v>
      </c>
      <c r="JA131" s="74">
        <f>('Scénario référence'!$F$8+'Scénario référence'!$F$9+'Scénario référence'!$B$17+'Scénario référence'!$B$9+'Scénario référence'!$B$10)*70+IF((45+25*(1-EXP(-0.0175*$A131)))&lt;70,'Scénario référence'!$B$16*(45+25*(1-EXP(-0.0175*$A131))),70*'Scénario référence'!$B$16)+IF((32+38*(1-EXP(-0.0175*$A131)))&lt;70,'Scénario référence'!$B$18*(32+38*(1-EXP(-0.0175*$A131))),70*'Scénario référence'!$B$18)</f>
        <v>70</v>
      </c>
      <c r="JB131" s="12">
        <f>IF($A131&gt;30,10,('Scénario référence'!$B$16+'Scénario référence'!$B$17+'Scénario référence'!$B$18+'Scénario référence'!$B$9+'Scénario référence'!$B$10)*$A131*10/30+('Scénario référence'!$F$8+'Scénario référence'!$F$9)*10)</f>
        <v>10</v>
      </c>
      <c r="JC131" s="12" t="e">
        <f>VLOOKUP($A131,'Données projet'!$A$356:$I$376,2,0)</f>
        <v>#N/A</v>
      </c>
      <c r="JD131" s="12" t="e">
        <f>VLOOKUP($A131,'Données projet'!$A$356:$I$376,9,0)</f>
        <v>#N/A</v>
      </c>
      <c r="JE131" s="12">
        <f t="array" ref="JE131">INDEX(JD:JD,MIN(IF(ISNUMBER(JD131:JD327),ROW(JD131:JD327),"")))</f>
        <v>2.2000000000000002</v>
      </c>
      <c r="JF131" s="12">
        <f>IF('Données projet'!$A$356&gt;35,JF130+JE131-JN130,IF($A131&lt;'Données projet'!$A$356,$CQ$205^$A131,IF($A131='Données projet'!$A$356,'Données projet'!$B$356,JF130+JE131-JN130)))</f>
        <v>435.59999999999917</v>
      </c>
      <c r="JG131" s="17">
        <f>JF131*VLOOKUP('Données projet'!$B$21,Paramètres!$A$1:$I$89,3,0)*VLOOKUP('Données projet'!$B$21,Paramètres!$A$1:$I$89,5,0)</f>
        <v>353.35871999999932</v>
      </c>
      <c r="JH131" s="13">
        <f t="shared" si="206"/>
        <v>82.253721679570816</v>
      </c>
      <c r="JI131" s="20">
        <f t="shared" si="156"/>
        <v>758.69166925858462</v>
      </c>
      <c r="JJ131" s="59">
        <f t="shared" si="157"/>
        <v>1052.0250025919179</v>
      </c>
      <c r="JK131" s="59">
        <f ca="1">AVERAGE(OFFSET($JJ$3,0,0,'Données projet'!$E$22+1,1))-AVERAGE(OFFSET($H$3,0,0,'Données projet'!$E$22+1,1))</f>
        <v>353.35574633294613</v>
      </c>
      <c r="JL131" s="59">
        <f t="shared" si="207"/>
        <v>170.36796666474726</v>
      </c>
      <c r="JM131" s="15">
        <f>IF(ISNA(VLOOKUP($A131,'Données projet'!$A$356:$I$376,3,0)),0,VLOOKUP($A131,'Données projet'!$A$356:$I$376,3,0))</f>
        <v>0</v>
      </c>
      <c r="JN131" s="15">
        <f>IF(ISNA(VLOOKUP($A131,'Données projet'!$A$356:$I$376,4,0)),0,VLOOKUP($A131,'Données projet'!$A$356:$I$376,4,0))</f>
        <v>0</v>
      </c>
      <c r="JO131" s="16">
        <f>IF(ISNA(VLOOKUP($A131,'Données projet'!$A$356:$I$376,5,0)),0%,VLOOKUP($A131,'Données projet'!$A$356:$I$376,5,0)*VLOOKUP('Données projet'!$B$21,Paramètres!$A$1:$I$89,7,0))</f>
        <v>0</v>
      </c>
      <c r="JP131" s="16">
        <f>IF(ISNA(VLOOKUP($A131,'Données projet'!$A$356:$I$376,6,0)),0%,VLOOKUP($A131,'Données projet'!$A$356:$I$376,6,0)*VLOOKUP('Données projet'!$B$21,Paramètres!$A$1:$I$89,7,0))</f>
        <v>0</v>
      </c>
      <c r="JQ131" s="16">
        <f>IF(ISNA(VLOOKUP($A131,'Données projet'!$A$356:$I$376,7,0)),0%,VLOOKUP($A131,'Données projet'!$A$356:$I$376,7,0))</f>
        <v>0</v>
      </c>
      <c r="JR131" s="21">
        <f>EXP(-LN(2)/35)*JR130+(1-EXP(-LN(2)/35))/(LN(2)/35)*JN131*JO131*VLOOKUP('Données projet'!$B$21,Paramètres!$A$1:$I$89,3,0)*0.475*44/12</f>
        <v>3.5186223159366636</v>
      </c>
      <c r="JS131" s="21">
        <f>EXP(-LN(2)/25)*JS130+(1-EXP(-LN(2)/25))/(LN(2)/25)*Calculateur!JN131*Calculateur!JP131*VLOOKUP('Données projet'!$B$21,Paramètres!$A$1:$I$89,3,0)*0.475*44/12</f>
        <v>10.736094942778966</v>
      </c>
      <c r="JT131" s="21">
        <f>EXP(-LN(2)/2)*JT130+(1-EXP(-LN(2)/2))/(LN(2)/2)*JN131*JQ131*VLOOKUP('Données projet'!$B$21,Paramètres!$A$1:$I$89,3,0)*0.475*44/12</f>
        <v>6.8136495133929728E-3</v>
      </c>
      <c r="JU131" s="18">
        <f t="shared" si="158"/>
        <v>14.261530908229023</v>
      </c>
      <c r="JV131" s="74">
        <f>('Scénario référence'!$F$8+'Scénario référence'!$F$9+'Scénario référence'!$B$17+'Scénario référence'!$B$9+'Scénario référence'!$B$10)*70+IF((45+25*(1-EXP(-0.0175*$A131)))&lt;70,'Scénario référence'!$B$16*(45+25*(1-EXP(-0.0175*$A131))),70*'Scénario référence'!$B$16)+IF((32+38*(1-EXP(-0.0175*$A131)))&lt;70,'Scénario référence'!$B$18*(32+38*(1-EXP(-0.0175*$A131))),70*'Scénario référence'!$B$18)</f>
        <v>70</v>
      </c>
      <c r="JW131" s="12">
        <f>IF($A131&gt;30,10,('Scénario référence'!$B$16+'Scénario référence'!$B$17+'Scénario référence'!$B$18+'Scénario référence'!$B$9+'Scénario référence'!$B$10)*$A131*10/30+('Scénario référence'!$F$8+'Scénario référence'!$F$9)*10)</f>
        <v>10</v>
      </c>
      <c r="JX131" s="12" t="e">
        <f>VLOOKUP($A131,'Données projet'!$A$382:$I$402,2,0)</f>
        <v>#N/A</v>
      </c>
      <c r="JY131" s="12" t="e">
        <f>VLOOKUP($A131,'Données projet'!$A$382:$I$402,9,0)</f>
        <v>#N/A</v>
      </c>
      <c r="JZ131" s="12">
        <f t="array" ref="JZ131">INDEX(JY:JY,MIN(IF(ISNUMBER(JY131:JY327),ROW(JY131:JY327),"")))</f>
        <v>1.5064102564102591</v>
      </c>
      <c r="KA131" s="12">
        <f>IF('Données projet'!$A$382&gt;35,KA130+JZ131-KI130,IF($A131&lt;'Données projet'!$A$382,$CQ$205^$A131,IF($A131='Données projet'!$A$382,'Données projet'!$B$382,KA130+JZ131-KI130)))</f>
        <v>106.39102564102619</v>
      </c>
      <c r="KB131" s="17">
        <f>KA131*VLOOKUP('Données projet'!$B$22,Paramètres!$A$1:$I$89,3,0)*VLOOKUP('Données projet'!$B$22,Paramètres!$A$1:$I$89,5,0)</f>
        <v>71.367100000000363</v>
      </c>
      <c r="KC131" s="13">
        <f t="shared" si="208"/>
        <v>20.012573569657771</v>
      </c>
      <c r="KD131" s="20">
        <f t="shared" si="159"/>
        <v>159.15293146715459</v>
      </c>
      <c r="KE131" s="59">
        <f t="shared" si="160"/>
        <v>452.4862648004879</v>
      </c>
      <c r="KF131" s="59">
        <f ca="1">AVERAGE(OFFSET($KE$3,0,0,'Données projet'!$E$22+1,1))-AVERAGE(OFFSET($H$3,0,0,'Données projet'!$E$22+1,1))</f>
        <v>193.91714772848269</v>
      </c>
      <c r="KG131" s="59">
        <f t="shared" si="209"/>
        <v>159.20429420478047</v>
      </c>
      <c r="KH131" s="15">
        <f>IF(ISNA(VLOOKUP($A131,'Données projet'!$A$382:$I$402,3,0)),0,VLOOKUP($A131,'Données projet'!$A$382:$I$402,3,0))</f>
        <v>0</v>
      </c>
      <c r="KI131" s="15">
        <f>IF(ISNA(VLOOKUP($A131,'Données projet'!$A$382:$I$402,4,0)),0,VLOOKUP($A131,'Données projet'!$A$382:$I$402,4,0))</f>
        <v>0</v>
      </c>
      <c r="KJ131" s="16">
        <f>IF(ISNA(VLOOKUP($A131,'Données projet'!$A$382:$I$402,5,0)),0%,VLOOKUP($A131,'Données projet'!$A$382:$I$402,5,0)*VLOOKUP('Données projet'!$B$22,Paramètres!$A$1:$I$89,7,0))</f>
        <v>0</v>
      </c>
      <c r="KK131" s="16">
        <f>IF(ISNA(VLOOKUP($A131,'Données projet'!$A$382:$I$402,6,0)),0%,VLOOKUP($A131,'Données projet'!$A$382:$I$402,6,0)*VLOOKUP('Données projet'!$B$22,Paramètres!$A$1:$I$89,7,0))</f>
        <v>0</v>
      </c>
      <c r="KL131" s="16">
        <f>IF(ISNA(VLOOKUP($A131,'Données projet'!$A$382:$I$402,7,0)),0%,VLOOKUP($A131,'Données projet'!$A$382:$I$402,7,0))</f>
        <v>0</v>
      </c>
      <c r="KM131" s="21">
        <f>EXP(-LN(2)/35)*KM130+(1-EXP(-LN(2)/35))/(LN(2)/35)*KI131*KJ131*VLOOKUP('Données projet'!$B$22,Paramètres!$A$1:$I$89,3,0)*0.475*44/12</f>
        <v>124.1774007625328</v>
      </c>
      <c r="KN131" s="21">
        <f>EXP(-LN(2)/25)*KN130+(1-EXP(-LN(2)/25))/(LN(2)/25)*Calculateur!KI131*Calculateur!KK131*VLOOKUP('Données projet'!$B$22,Paramètres!$A$1:$I$89,3,0)*0.475*44/12</f>
        <v>0</v>
      </c>
      <c r="KO131" s="21">
        <f>EXP(-LN(2)/2)*KO130+(1-EXP(-LN(2)/2))/(LN(2)/2)*KI131*KL131*VLOOKUP('Données projet'!$B$22,Paramètres!$A$1:$I$89,3,0)*0.475*44/12</f>
        <v>0</v>
      </c>
      <c r="KP131" s="22">
        <f t="shared" si="161"/>
        <v>124.1774007625328</v>
      </c>
      <c r="KQ131" s="74">
        <f>('Scénario référence'!$F$8+'Scénario référence'!$F$9+'Scénario référence'!$B$17+'Scénario référence'!$B$9+'Scénario référence'!$B$10)*70+IF((45+25*(1-EXP(-0.0175*$A131)))&lt;70,'Scénario référence'!$B$16*(45+25*(1-EXP(-0.0175*$A131))),70*'Scénario référence'!$B$16)+IF((32+38*(1-EXP(-0.0175*$A131)))&lt;70,'Scénario référence'!$B$18*(32+38*(1-EXP(-0.0175*$A131))),70*'Scénario référence'!$B$18)</f>
        <v>70</v>
      </c>
      <c r="KR131" s="12">
        <f>IF($A131&gt;30,10,('Scénario référence'!$B$16+'Scénario référence'!$B$17+'Scénario référence'!$B$18+'Scénario référence'!$B$9+'Scénario référence'!$B$10)*$A131*10/30+('Scénario référence'!$F$8+'Scénario référence'!$F$9)*10)</f>
        <v>10</v>
      </c>
      <c r="KS131" s="12" t="e">
        <f>VLOOKUP($A131,'Données projet'!$A$408:$I$428,2,0)</f>
        <v>#N/A</v>
      </c>
      <c r="KT131" s="12" t="e">
        <f>VLOOKUP($A131,'Données projet'!$A$408:$I$428,9,0)</f>
        <v>#N/A</v>
      </c>
      <c r="KU131" s="12">
        <f t="array" ref="KU131">INDEX(KT:KT,MIN(IF(ISNUMBER(KT131:KT327),ROW(KT131:KT327),"")))</f>
        <v>0</v>
      </c>
      <c r="KV131" s="12">
        <f>IF('Données projet'!$A$408&gt;35,KV130+KU131-LD130,IF($A131&lt;'Données projet'!$A$408,$CQ$205^$A131,IF($A131='Données projet'!$A$408,'Données projet'!$B$408,KV130+KU131-LD130)))</f>
        <v>-1.1368683772161603E-13</v>
      </c>
      <c r="KW131" s="17">
        <f>KV131*VLOOKUP('Données projet'!$B$23,Paramètres!$A$1:$I$89,3,0)*VLOOKUP('Données projet'!$B$23,Paramètres!$A$1:$I$89,5,0)</f>
        <v>-9.9316821433603781E-14</v>
      </c>
      <c r="KX131" s="13" t="e">
        <f t="shared" si="210"/>
        <v>#NUM!</v>
      </c>
      <c r="KY131" s="14" t="e">
        <f t="shared" si="162"/>
        <v>#NUM!</v>
      </c>
      <c r="KZ131" s="59" t="e">
        <f t="shared" si="163"/>
        <v>#NUM!</v>
      </c>
      <c r="LA131" s="59">
        <f ca="1">AVERAGE(OFFSET($KZ$3,0,0,'Données projet'!$E$23+1,1))-AVERAGE(OFFSET($H$3,0,0,'Données projet'!$E$23+1,1))</f>
        <v>248.33596943633819</v>
      </c>
      <c r="LB131" s="59">
        <f t="shared" si="211"/>
        <v>242.34010522344573</v>
      </c>
      <c r="LC131" s="15">
        <f>IF(ISNA(VLOOKUP($A131,'Données projet'!$A$408:$I$428,3,0)),0,VLOOKUP($A131,'Données projet'!$A$408:$I$428,3,0))</f>
        <v>0</v>
      </c>
      <c r="LD131" s="15">
        <f>IF(ISNA(VLOOKUP($A131,'Données projet'!$A$408:$I$428,4,0)),0,VLOOKUP($A131,'Données projet'!$A$408:$I$428,4,0))</f>
        <v>0</v>
      </c>
      <c r="LE131" s="16">
        <f>IF(ISNA(VLOOKUP($A131,'Données projet'!$A$408:$I$428,5,0)),0%,VLOOKUP($A131,'Données projet'!$A$408:$I$428,5,0)*VLOOKUP('Données projet'!$B$23,Paramètres!$A$1:$I$89,7,0))</f>
        <v>0</v>
      </c>
      <c r="LF131" s="16">
        <f>IF(ISNA(VLOOKUP($A131,'Données projet'!$A$408:$I$428,6,0)),0%,VLOOKUP($A131,'Données projet'!$A$408:$I$428,6,0)*VLOOKUP('Données projet'!$B$23,Paramètres!$A$1:$I$89,7,0))</f>
        <v>0</v>
      </c>
      <c r="LG131" s="16">
        <f>IF(ISNA(VLOOKUP($A131,'Données projet'!$A$408:$I$428,7,0)),0%,VLOOKUP($A131,'Données projet'!$A$408:$I$428,7,0))</f>
        <v>0</v>
      </c>
      <c r="LH131" s="21">
        <f>EXP(-LN(2)/35)*LH130+(1-EXP(-LN(2)/35))/(LN(2)/35)*LD131*LE131*VLOOKUP('Données projet'!$B$23,Paramètres!$A$1:$I$89,3,0)*0.475*44/12</f>
        <v>47.625712502459685</v>
      </c>
      <c r="LI131" s="21">
        <f>EXP(-LN(2)/25)*LI130+(1-EXP(-LN(2)/25))/(LN(2)/25)*Calculateur!LD131*Calculateur!LF131*VLOOKUP('Données projet'!$B$23,Paramètres!$A$1:$I$89,3,0)*0.475*44/12</f>
        <v>5.7546991476732519</v>
      </c>
      <c r="LJ131" s="21">
        <f>EXP(-LN(2)/2)*LJ130+(1-EXP(-LN(2)/2))/(LN(2)/2)*LD131*LG131*VLOOKUP('Données projet'!$B$23,Paramètres!$A$1:$I$89,3,0)*0.475*44/12</f>
        <v>0</v>
      </c>
      <c r="LK131" s="22">
        <f t="shared" si="164"/>
        <v>53.380411650132935</v>
      </c>
      <c r="LL131" s="74">
        <f>('Scénario référence'!$F$8+'Scénario référence'!$F$9+'Scénario référence'!$B$17+'Scénario référence'!$B$9+'Scénario référence'!$B$10)*70+IF((45+25*(1-EXP(-0.0175*$A131)))&lt;70,'Scénario référence'!$B$16*(45+25*(1-EXP(-0.0175*$A131))),70*'Scénario référence'!$B$16)+IF((32+38*(1-EXP(-0.0175*$A131)))&lt;70,'Scénario référence'!$B$18*(32+38*(1-EXP(-0.0175*$A131))),70*'Scénario référence'!$B$18)</f>
        <v>70</v>
      </c>
      <c r="LM131" s="12">
        <f>IF($A131&gt;30,10,('Scénario référence'!$B$16+'Scénario référence'!$B$17+'Scénario référence'!$B$18+'Scénario référence'!$B$9+'Scénario référence'!$B$10)*$A131*10/30+('Scénario référence'!$F$8+'Scénario référence'!$F$9)*10)</f>
        <v>10</v>
      </c>
      <c r="LN131" s="12" t="e">
        <f>VLOOKUP($A131,'Données projet'!$A$434:$I$454,2,0)</f>
        <v>#N/A</v>
      </c>
      <c r="LO131" s="12" t="e">
        <f>VLOOKUP($A131,'Données projet'!$A$434:$I$454,9,0)</f>
        <v>#N/A</v>
      </c>
      <c r="LP131" s="12">
        <f t="array" ref="LP131">INDEX(LO:LO,MIN(IF(ISNUMBER(LO131:LO327),ROW(LO131:LO327),"")))</f>
        <v>5.2446581196581219</v>
      </c>
      <c r="LQ131" s="12">
        <f>IF('Données projet'!$A$434&gt;35,LQ130+LP131-LY130,IF($A131&lt;'Données projet'!$A$434,$CQ$205^$A131,IF($A131='Données projet'!$A$434,'Données projet'!$B$434,LQ130+LP131-LY130)))</f>
        <v>245.86858974358927</v>
      </c>
      <c r="LR131" s="17">
        <f>LQ131*VLOOKUP('Données projet'!$B$24,Paramètres!$A$1:$I$89,3,0)*VLOOKUP('Données projet'!$B$24,Paramètres!$A$1:$I$89,5,0)</f>
        <v>249.31074999999953</v>
      </c>
      <c r="LS131" s="13">
        <f t="shared" si="212"/>
        <v>60.438324631862308</v>
      </c>
      <c r="LT131" s="14">
        <f t="shared" si="165"/>
        <v>539.47963831715936</v>
      </c>
      <c r="LU131" s="59">
        <f t="shared" si="166"/>
        <v>832.81297165049273</v>
      </c>
      <c r="LV131" s="59">
        <f ca="1">AVERAGE(OFFSET($LU$3,0,0,'Données projet'!$E$24+1,1))-AVERAGE(OFFSET($H$3,0,0,'Données projet'!$E$24+1,1))</f>
        <v>260.52627655062872</v>
      </c>
      <c r="LW131" s="59">
        <f t="shared" si="213"/>
        <v>159.20429420478047</v>
      </c>
      <c r="LX131" s="15">
        <f>IF(ISNA(VLOOKUP($A131,'Données projet'!$A$434:$I$454,3,0)),0,VLOOKUP($A131,'Données projet'!$A$434:$I$454,3,0))</f>
        <v>0</v>
      </c>
      <c r="LY131" s="15">
        <f>IF(ISNA(VLOOKUP($A131,'Données projet'!$A$434:$I$454,4,0)),0,VLOOKUP($A131,'Données projet'!$A$434:$I$454,4,0))</f>
        <v>0</v>
      </c>
      <c r="LZ131" s="16">
        <f>IF(ISNA(VLOOKUP($A131,'Données projet'!$A$434:$I$454,5,0)),0%,VLOOKUP($A131,'Données projet'!$A$434:$I$454,5,0)*VLOOKUP('Données projet'!$B$24,Paramètres!$A$1:$I$89,7,0))</f>
        <v>0</v>
      </c>
      <c r="MA131" s="16">
        <f>IF(ISNA(VLOOKUP($A131,'Données projet'!$A$434:$I$454,6,0)),0%,VLOOKUP($A131,'Données projet'!$A$434:$I$454,6,0)*VLOOKUP('Données projet'!$B$24,Paramètres!$A$1:$I$89,7,0))</f>
        <v>0</v>
      </c>
      <c r="MB131" s="16">
        <f>IF(ISNA(VLOOKUP($A131,'Données projet'!$A$434:$I$454,7,0)),0%,VLOOKUP($A131,'Données projet'!$A$434:$I$454,7,0))</f>
        <v>0</v>
      </c>
      <c r="MC131" s="21">
        <f>EXP(-LN(2)/35)*MC130+(1-EXP(-LN(2)/35))/(LN(2)/35)*LY131*LZ131*VLOOKUP('Données projet'!$B$24,Paramètres!$A$1:$I$89,3,0)*0.475*44/12</f>
        <v>45.039776209690871</v>
      </c>
      <c r="MD131" s="21">
        <f>EXP(-LN(2)/25)*MD130+(1-EXP(-LN(2)/25))/(LN(2)/25)*Calculateur!LY131*Calculateur!MA131*VLOOKUP('Données projet'!$B$24,Paramètres!$A$1:$I$89,3,0)*0.475*44/12</f>
        <v>0</v>
      </c>
      <c r="ME131" s="21">
        <f>EXP(-LN(2)/2)*ME130+(1-EXP(-LN(2)/2))/(LN(2)/2)*LY131*MB131*VLOOKUP('Données projet'!$B$24,Paramètres!$A$1:$I$89,3,0)*0.475*44/12</f>
        <v>0</v>
      </c>
      <c r="MF131" s="22">
        <f t="shared" si="167"/>
        <v>45.039776209690871</v>
      </c>
      <c r="MG131" s="74">
        <f>('Scénario référence'!$F$8+'Scénario référence'!$F$9+'Scénario référence'!$B$17+'Scénario référence'!$B$9+'Scénario référence'!$B$10)*70+IF((45+25*(1-EXP(-0.0175*$A131)))&lt;70,'Scénario référence'!$B$16*(45+25*(1-EXP(-0.0175*$A131))),70*'Scénario référence'!$B$16)+IF((32+38*(1-EXP(-0.0175*$A131)))&lt;70,'Scénario référence'!$B$18*(32+38*(1-EXP(-0.0175*$A131))),70*'Scénario référence'!$B$18)</f>
        <v>70</v>
      </c>
      <c r="MH131" s="12">
        <f>IF($A131&gt;30,10,('Scénario référence'!$B$16+'Scénario référence'!$B$17+'Scénario référence'!$B$18+'Scénario référence'!$B$9+'Scénario référence'!$B$10)*$A131*10/30+('Scénario référence'!$F$8+'Scénario référence'!$F$9)*10)</f>
        <v>10</v>
      </c>
      <c r="MI131" s="12" t="e">
        <f>VLOOKUP($A131,'Données projet'!$A$460:$I$480,2,0)</f>
        <v>#N/A</v>
      </c>
      <c r="MJ131" s="12" t="e">
        <f>VLOOKUP($A131,'Données projet'!$A$460:$I$480,9,0)</f>
        <v>#N/A</v>
      </c>
      <c r="MK131" s="12">
        <f t="array" ref="MK131">INDEX(MJ:MJ,MIN(IF(ISNUMBER(MJ131:MJ327),ROW(MJ131:MJ327),"")))</f>
        <v>0</v>
      </c>
      <c r="ML131" s="12">
        <f>IF('Données projet'!$A$460&gt;35,ML130+MK131-MT130,IF($A131&lt;'Données projet'!$A$460,$CQ$205^$A131,IF($A131='Données projet'!$A$460,'Données projet'!$B$460,ML130+MK131-MT130)))</f>
        <v>0</v>
      </c>
      <c r="MM131" s="17" t="e">
        <f>ML131*VLOOKUP('Données projet'!$B$25,Paramètres!$A$1:$I$89,3,0)*VLOOKUP('Données projet'!$B$25,Paramètres!$A$1:$I$89,5,0)</f>
        <v>#N/A</v>
      </c>
      <c r="MN131" s="13" t="e">
        <f t="shared" si="214"/>
        <v>#N/A</v>
      </c>
      <c r="MO131" s="14" t="e">
        <f t="shared" si="168"/>
        <v>#N/A</v>
      </c>
      <c r="MP131" s="59" t="e">
        <f t="shared" si="169"/>
        <v>#N/A</v>
      </c>
      <c r="MQ131" s="20" t="e">
        <f ca="1">AVERAGE(OFFSET($MP$3,0,0,'Données projet'!$E$25+1,1))-AVERAGE(OFFSET($H$3,0,0,'Données projet'!$E$25+1,1))</f>
        <v>#N/A</v>
      </c>
      <c r="MR131" s="59" t="e">
        <f t="shared" si="215"/>
        <v>#N/A</v>
      </c>
      <c r="MS131" s="15">
        <f>IF(ISNA(VLOOKUP($A131,'Données projet'!$A$460:$I$480,3,0)),0,VLOOKUP($A131,'Données projet'!$A$460:$I$480,3,0))</f>
        <v>0</v>
      </c>
      <c r="MT131" s="15">
        <f>IF(ISNA(VLOOKUP($A131,'Données projet'!$A$460:$I$480,4,0)),0,VLOOKUP($A131,'Données projet'!$A$460:$I$480,4,0))</f>
        <v>0</v>
      </c>
      <c r="MU131" s="16">
        <f>IF(ISNA(VLOOKUP($A131,'Données projet'!$A$460:$I$480,5,0)),0%,VLOOKUP($A131,'Données projet'!$A$460:$I$480,5,0)*VLOOKUP('Données projet'!$B$25,Paramètres!$A$1:$I$89,7,0))</f>
        <v>0</v>
      </c>
      <c r="MV131" s="16">
        <f>IF(ISNA(VLOOKUP($A131,'Données projet'!$A$460:$I$480,6,0)),0%,VLOOKUP($A131,'Données projet'!$A$460:$I$480,6,0)*VLOOKUP('Données projet'!$B$25,Paramètres!$A$1:$I$89,7,0))</f>
        <v>0</v>
      </c>
      <c r="MW131" s="16">
        <f>IF(ISNA(VLOOKUP($A131,'Données projet'!$A$460:$I$480,7,0)),0%,VLOOKUP($A131,'Données projet'!$A$460:$I$480,7,0))</f>
        <v>0</v>
      </c>
      <c r="MX131" s="21" t="e">
        <f>EXP(-LN(2)/35)*MX130+(1-EXP(-LN(2)/35))/(LN(2)/35)*MT131*MU131*VLOOKUP('Données projet'!$B$25,Paramètres!$A$1:$I$89,3,0)*0.475*44/12</f>
        <v>#N/A</v>
      </c>
      <c r="MY131" s="21" t="e">
        <f>EXP(-LN(2)/25)*MY130+(1-EXP(-LN(2)/25))/(LN(2)/25)*Calculateur!MT131*Calculateur!MV131*VLOOKUP('Données projet'!$B$25,Paramètres!$A$1:$I$89,3,0)*0.475*44/12</f>
        <v>#N/A</v>
      </c>
      <c r="MZ131" s="21" t="e">
        <f>EXP(-LN(2)/2)*MZ130+(1-EXP(-LN(2)/2))/(LN(2)/2)*MT131*MW131*VLOOKUP('Données projet'!$B$25,Paramètres!$A$1:$I$89,3,0)*0.475*44/12</f>
        <v>#N/A</v>
      </c>
      <c r="NA131" s="22" t="e">
        <f t="shared" si="170"/>
        <v>#N/A</v>
      </c>
      <c r="NB131" s="74">
        <f>('Scénario référence'!$F$8+'Scénario référence'!$F$9+'Scénario référence'!$B$17+'Scénario référence'!$B$9+'Scénario référence'!$B$10)*70+IF((45+25*(1-EXP(-0.0175*$A131)))&lt;70,'Scénario référence'!$B$16*(45+25*(1-EXP(-0.0175*$A131))),70*'Scénario référence'!$B$16)+IF((32+38*(1-EXP(-0.0175*$A131)))&lt;70,'Scénario référence'!$B$18*(32+38*(1-EXP(-0.0175*$A131))),70*'Scénario référence'!$B$18)</f>
        <v>70</v>
      </c>
      <c r="NC131" s="12">
        <f>IF($A131&gt;30,10,('Scénario référence'!$B$16+'Scénario référence'!$B$17+'Scénario référence'!$B$18+'Scénario référence'!$B$9+'Scénario référence'!$B$10)*$A131*10/30+('Scénario référence'!$F$8+'Scénario référence'!$F$9)*10)</f>
        <v>10</v>
      </c>
      <c r="ND131" s="12" t="e">
        <f>VLOOKUP($A131,'Données projet'!$A$486:$I$506,2,0)</f>
        <v>#N/A</v>
      </c>
      <c r="NE131" s="12" t="e">
        <f>VLOOKUP($A131,'Données projet'!$A$486:$I$506,9,0)</f>
        <v>#N/A</v>
      </c>
      <c r="NF131" s="12">
        <f t="array" ref="NF131">INDEX(NE:NE,MIN(IF(ISNUMBER(NE131:NE327),ROW(NE131:NE327),"")))</f>
        <v>0</v>
      </c>
      <c r="NG131" s="12">
        <f>IF('Données projet'!$A$486&gt;35,NG130+NF131-NO130,IF($A131&lt;'Données projet'!$A$486,$CQ$205^$A131,IF($A131='Données projet'!$A$486,'Données projet'!$B$486,NG130+NF131-NO130)))</f>
        <v>0</v>
      </c>
      <c r="NH131" s="17" t="e">
        <f>NG131*VLOOKUP('Données projet'!$B$26,Paramètres!$A$1:$I$89,3,0)*VLOOKUP('Données projet'!$B$26,Paramètres!$A$1:$I$89,5,0)</f>
        <v>#N/A</v>
      </c>
      <c r="NI131" s="13" t="e">
        <f t="shared" si="216"/>
        <v>#N/A</v>
      </c>
      <c r="NJ131" s="14" t="e">
        <f t="shared" si="171"/>
        <v>#N/A</v>
      </c>
      <c r="NK131" s="59" t="e">
        <f t="shared" si="172"/>
        <v>#N/A</v>
      </c>
      <c r="NL131" s="20" t="e">
        <f ca="1">AVERAGE(OFFSET($NK$3,0,0,'Données projet'!$E$26+1,1))-AVERAGE(OFFSET($H$3,0,0,'Données projet'!$E$26+1,1))</f>
        <v>#N/A</v>
      </c>
      <c r="NM131" s="59" t="e">
        <f t="shared" si="217"/>
        <v>#N/A</v>
      </c>
      <c r="NN131" s="15">
        <f>IF(ISNA(VLOOKUP($A131,'Données projet'!$A$486:$I$506,3,0)),0,VLOOKUP($A131,'Données projet'!$A$486:$I$506,3,0))</f>
        <v>0</v>
      </c>
      <c r="NO131" s="15">
        <f>IF(ISNA(VLOOKUP($A131,'Données projet'!$A$486:$I$506,4,0)),0,VLOOKUP($A131,'Données projet'!$A$486:$I$506,4,0))</f>
        <v>0</v>
      </c>
      <c r="NP131" s="16">
        <f>IF(ISNA(VLOOKUP($A131,'Données projet'!$A$486:$I$506,5,0)),0%,VLOOKUP($A131,'Données projet'!$A$486:$I$506,5,0)*VLOOKUP('Données projet'!$B$26,Paramètres!$A$1:$I$89,7,0))</f>
        <v>0</v>
      </c>
      <c r="NQ131" s="16">
        <f>IF(ISNA(VLOOKUP($A131,'Données projet'!$A$486:$I$506,6,0)),0%,VLOOKUP($A131,'Données projet'!$A$486:$I$506,6,0)*VLOOKUP('Données projet'!$B$26,Paramètres!$A$1:$I$89,7,0))</f>
        <v>0</v>
      </c>
      <c r="NR131" s="16">
        <f>IF(ISNA(VLOOKUP($A131,'Données projet'!$A$486:$I$506,7,0)),0%,VLOOKUP($A131,'Données projet'!$A$486:$I$506,7,0))</f>
        <v>0</v>
      </c>
      <c r="NS131" s="21" t="e">
        <f>EXP(-LN(2)/35)*NS130+(1-EXP(-LN(2)/35))/(LN(2)/35)*NO131*NP131*VLOOKUP('Données projet'!$B$26,Paramètres!$A$1:$I$89,3,0)*0.475*44/12</f>
        <v>#N/A</v>
      </c>
      <c r="NT131" s="21" t="e">
        <f>EXP(-LN(2)/25)*NT130+(1-EXP(-LN(2)/25))/(LN(2)/25)*Calculateur!NO131*Calculateur!NQ131*VLOOKUP('Données projet'!$B$26,Paramètres!$A$1:$I$89,3,0)*0.475*44/12</f>
        <v>#N/A</v>
      </c>
      <c r="NU131" s="21" t="e">
        <f>EXP(-LN(2)/2)*NU130+(1-EXP(-LN(2)/2))/(LN(2)/2)*NO131*NR131*VLOOKUP('Données projet'!$B$26,Paramètres!$A$1:$I$89,3,0)*0.475*44/12</f>
        <v>#N/A</v>
      </c>
      <c r="NV131" s="22" t="e">
        <f t="shared" si="173"/>
        <v>#N/A</v>
      </c>
      <c r="NW131" s="74">
        <f>('Scénario référence'!$F$8+'Scénario référence'!$F$9+'Scénario référence'!$B$17+'Scénario référence'!$B$9+'Scénario référence'!$B$10)*70+IF((45+25*(1-EXP(-0.0175*$A131)))&lt;70,'Scénario référence'!$B$16*(45+25*(1-EXP(-0.0175*$A131))),70*'Scénario référence'!$B$16)+IF((32+38*(1-EXP(-0.0175*$A131)))&lt;70,'Scénario référence'!$B$18*(32+38*(1-EXP(-0.0175*$A131))),70*'Scénario référence'!$B$18)</f>
        <v>70</v>
      </c>
      <c r="NX131" s="12">
        <f>IF($A131&gt;30,10,('Scénario référence'!$B$16+'Scénario référence'!$B$17+'Scénario référence'!$B$18+'Scénario référence'!$B$9+'Scénario référence'!$B$10)*$A131*10/30+('Scénario référence'!$F$8+'Scénario référence'!$F$9)*10)</f>
        <v>10</v>
      </c>
      <c r="NY131" s="12" t="e">
        <f>VLOOKUP($A131,'Données projet'!$A$512:$I$532,2,0)</f>
        <v>#N/A</v>
      </c>
      <c r="NZ131" s="12" t="e">
        <f>VLOOKUP($A131,'Données projet'!$A$512:$I$532,9,0)</f>
        <v>#N/A</v>
      </c>
      <c r="OA131" s="12">
        <f t="array" ref="OA131">INDEX(NZ:NZ,MIN(IF(ISNUMBER(NZ131:NZ327),ROW(NZ131:NZ327),"")))</f>
        <v>0</v>
      </c>
      <c r="OB131" s="12">
        <f>IF('Données projet'!$A$512&gt;35,OB130+OA131-OJ130,IF($A131&lt;'Données projet'!$A$512,$CQ$205^$A131,IF($A131='Données projet'!$A$512,'Données projet'!$B$512,OB130+OA131-OJ130)))</f>
        <v>0</v>
      </c>
      <c r="OC131" s="17" t="e">
        <f>OB131*VLOOKUP('Données projet'!$B$27,Paramètres!$A$1:$I$89,3,0)*VLOOKUP('Données projet'!$B$27,Paramètres!$A$1:$I$89,5,0)</f>
        <v>#N/A</v>
      </c>
      <c r="OD131" s="13" t="e">
        <f t="shared" si="218"/>
        <v>#N/A</v>
      </c>
      <c r="OE131" s="14" t="e">
        <f t="shared" si="174"/>
        <v>#N/A</v>
      </c>
      <c r="OF131" s="59" t="e">
        <f t="shared" si="175"/>
        <v>#N/A</v>
      </c>
      <c r="OG131" s="20" t="e">
        <f ca="1">AVERAGE(OFFSET($OF$3,0,0,'Données projet'!$E$27+1,1))-AVERAGE(OFFSET($H$3,0,0,'Données projet'!$E$27+1,1))</f>
        <v>#N/A</v>
      </c>
      <c r="OH131" s="59" t="e">
        <f t="shared" si="219"/>
        <v>#N/A</v>
      </c>
      <c r="OI131" s="15">
        <f>IF(ISNA(VLOOKUP($A131,'Données projet'!$A$512:$I$532,3,0)),0,VLOOKUP($A131,'Données projet'!$A$512:$I$532,3,0))</f>
        <v>0</v>
      </c>
      <c r="OJ131" s="15">
        <f>IF(ISNA(VLOOKUP($A131,'Données projet'!$A$512:$I$532,4,0)),0,VLOOKUP($A131,'Données projet'!$A$512:$I$532,4,0))</f>
        <v>0</v>
      </c>
      <c r="OK131" s="16">
        <f>IF(ISNA(VLOOKUP($A131,'Données projet'!$A$512:$I$532,5,0)),0%,VLOOKUP($A131,'Données projet'!$A$512:$I$532,5,0)*VLOOKUP('Données projet'!$B$27,Paramètres!$A$1:$I$89,7,0))</f>
        <v>0</v>
      </c>
      <c r="OL131" s="16">
        <f>IF(ISNA(VLOOKUP($A131,'Données projet'!$A$512:$I$532,6,0)),0%,VLOOKUP($A131,'Données projet'!$A$512:$I$532,6,0)*VLOOKUP('Données projet'!$B$27,Paramètres!$A$1:$I$89,7,0))</f>
        <v>0</v>
      </c>
      <c r="OM131" s="16">
        <f>IF(ISNA(VLOOKUP($A131,'Données projet'!$A$512:$I$532,7,0)),0%,VLOOKUP($A131,'Données projet'!$A$512:$I$532,7,0))</f>
        <v>0</v>
      </c>
      <c r="ON131" s="21" t="e">
        <f>EXP(-LN(2)/35)*ON130+(1-EXP(-LN(2)/35))/(LN(2)/35)*OJ131*OK131*VLOOKUP('Données projet'!$B$27,Paramètres!$A$1:$I$89,3,0)*0.475*44/12</f>
        <v>#N/A</v>
      </c>
      <c r="OO131" s="21" t="e">
        <f>EXP(-LN(2)/25)*OO130+(1-EXP(-LN(2)/25))/(LN(2)/25)*Calculateur!OJ131*Calculateur!OL131*VLOOKUP('Données projet'!$B$27,Paramètres!$A$1:$I$89,3,0)*0.475*44/12</f>
        <v>#N/A</v>
      </c>
      <c r="OP131" s="21" t="e">
        <f>EXP(-LN(2)/2)*OP130+(1-EXP(-LN(2)/2))/(LN(2)/2)*OJ131*OM131*VLOOKUP('Données projet'!$B$27,Paramètres!$A$1:$I$89,3,0)*0.475*44/12</f>
        <v>#N/A</v>
      </c>
      <c r="OQ131" s="22" t="e">
        <f t="shared" si="176"/>
        <v>#N/A</v>
      </c>
      <c r="OR131" s="74">
        <f>('Scénario référence'!$F$8+'Scénario référence'!$F$9+'Scénario référence'!$B$17+'Scénario référence'!$B$9+'Scénario référence'!$B$10)*70+IF((45+25*(1-EXP(-0.0175*$A131)))&lt;70,'Scénario référence'!$B$16*(45+25*(1-EXP(-0.0175*$A131))),70*'Scénario référence'!$B$16)+IF((32+38*(1-EXP(-0.0175*$A131)))&lt;70,'Scénario référence'!$B$18*(32+38*(1-EXP(-0.0175*$A131))),70*'Scénario référence'!$B$18)</f>
        <v>70</v>
      </c>
      <c r="OS131" s="12">
        <f>IF($A131&gt;30,10,('Scénario référence'!$B$16+'Scénario référence'!$B$17+'Scénario référence'!$B$18+'Scénario référence'!$B$9+'Scénario référence'!$B$10)*$A131*10/30+('Scénario référence'!$F$8+'Scénario référence'!$F$9)*10)</f>
        <v>10</v>
      </c>
      <c r="OT131" s="12" t="e">
        <f>VLOOKUP($A131,'Données projet'!$A$538:$I$558,2,0)</f>
        <v>#N/A</v>
      </c>
      <c r="OU131" s="12" t="e">
        <f>VLOOKUP($A131,'Données projet'!$A$538:$I$558,9,0)</f>
        <v>#N/A</v>
      </c>
      <c r="OV131" s="12">
        <f t="array" ref="OV131">INDEX(OU:OU,MIN(IF(ISNUMBER(OU131:OU327),ROW(OU131:OU327),"")))</f>
        <v>0</v>
      </c>
      <c r="OW131" s="12">
        <f>IF('Données projet'!$A$538&gt;35,OW130+OV131-PE130,IF($A131&lt;'Données projet'!$A$538,$CQ$205^$A131,IF($A131='Données projet'!$A$538,'Données projet'!$B$538,OW130+OV131-PE130)))</f>
        <v>0</v>
      </c>
      <c r="OX131" s="17" t="e">
        <f>OW131*VLOOKUP('Données projet'!$B$28,Paramètres!$A$1:$I$89,3,0)*VLOOKUP('Données projet'!$B$28,Paramètres!$A$1:$I$89,5,0)</f>
        <v>#N/A</v>
      </c>
      <c r="OY131" s="13" t="e">
        <f t="shared" si="220"/>
        <v>#N/A</v>
      </c>
      <c r="OZ131" s="14" t="e">
        <f t="shared" si="177"/>
        <v>#N/A</v>
      </c>
      <c r="PA131" s="59" t="e">
        <f t="shared" si="178"/>
        <v>#N/A</v>
      </c>
      <c r="PB131" s="20" t="e">
        <f ca="1">AVERAGE(OFFSET($PA$3,0,0,'Données projet'!$E$28+1,1))-AVERAGE(OFFSET($H$3,0,0,'Données projet'!$E$28+1,1))</f>
        <v>#N/A</v>
      </c>
      <c r="PC131" s="59" t="e">
        <f t="shared" si="221"/>
        <v>#N/A</v>
      </c>
      <c r="PD131" s="15">
        <f>IF(ISNA(VLOOKUP($A131,'Données projet'!$A$538:$I$558,3,0)),0,VLOOKUP($A131,'Données projet'!$A$538:$I$558,3,0))</f>
        <v>0</v>
      </c>
      <c r="PE131" s="15">
        <f>IF(ISNA(VLOOKUP($A131,'Données projet'!$A$538:$I$558,4,0)),0,VLOOKUP($A131,'Données projet'!$A$538:$I$558,4,0))</f>
        <v>0</v>
      </c>
      <c r="PF131" s="16">
        <f>IF(ISNA(VLOOKUP($A131,'Données projet'!$A$538:$I$558,5,0)),0%,VLOOKUP($A131,'Données projet'!$A$538:$I$558,5,0)*VLOOKUP('Données projet'!$B$28,Paramètres!$A$1:$I$89,7,0))</f>
        <v>0</v>
      </c>
      <c r="PG131" s="16">
        <f>IF(ISNA(VLOOKUP($A131,'Données projet'!$A$538:$I$558,6,0)),0%,VLOOKUP($A131,'Données projet'!$A$538:$I$558,6,0)*VLOOKUP('Données projet'!$B$28,Paramètres!$A$1:$I$89,7,0))</f>
        <v>0</v>
      </c>
      <c r="PH131" s="16">
        <f>IF(ISNA(VLOOKUP($A131,'Données projet'!$A$538:$I$558,7,0)),0%,VLOOKUP($A131,'Données projet'!$A$538:$I$558,7,0))</f>
        <v>0</v>
      </c>
      <c r="PI131" s="21" t="e">
        <f>EXP(-LN(2)/35)*PI130+(1-EXP(-LN(2)/35))/(LN(2)/35)*PE131*PF131*VLOOKUP('Données projet'!$B$28,Paramètres!$A$1:$I$89,3,0)*0.475*44/12</f>
        <v>#N/A</v>
      </c>
      <c r="PJ131" s="21" t="e">
        <f>EXP(-LN(2)/25)*PJ130+(1-EXP(-LN(2)/25))/(LN(2)/25)*Calculateur!PE131*Calculateur!PG131*VLOOKUP('Données projet'!$B$28,Paramètres!$A$1:$I$89,3,0)*0.475*44/12</f>
        <v>#N/A</v>
      </c>
      <c r="PK131" s="21" t="e">
        <f>EXP(-LN(2)/2)*PK130+(1-EXP(-LN(2)/2))/(LN(2)/2)*PE131*PH131*VLOOKUP('Données projet'!$B$28,Paramètres!$A$1:$I$89,3,0)*0.475*44/12</f>
        <v>#N/A</v>
      </c>
      <c r="PL131" s="22" t="e">
        <f t="shared" si="179"/>
        <v>#N/A</v>
      </c>
    </row>
    <row r="132" spans="1:428" x14ac:dyDescent="0.35">
      <c r="A132" s="10">
        <f t="shared" si="180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181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225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projet'!$A$45:$I$65,2,0)</f>
        <v>#N/A</v>
      </c>
      <c r="L132" s="12" t="e">
        <f>VLOOKUP(A132,'Données projet'!$A$45:$I$65,9,0)</f>
        <v>#N/A</v>
      </c>
      <c r="M132" s="12">
        <f t="array" ref="M132">INDEX(L:L,MIN(IF(ISNUMBER(L132:L328),ROW(L132:L328),"")))</f>
        <v>0</v>
      </c>
      <c r="N132" s="13">
        <f>IF('Données projet'!$A$46&gt;35,N131+M132-V131,IF(A132&lt;'Données projet'!$A$46,$K$205^A132,IF(A132='Données projet'!$A$46,'Données projet'!$B$46,N131+M132-V131)))</f>
        <v>-1.1368683772161603E-13</v>
      </c>
      <c r="O132" s="13">
        <f>N132*VLOOKUP('Données projet'!$B$9,Paramètres!$A$1:$I$89,3,0)*VLOOKUP('Données projet'!$B$9,Paramètres!$A$1:$I$89,5,0)</f>
        <v>-6.3550942286383367E-14</v>
      </c>
      <c r="P132" s="13" t="e">
        <f t="shared" si="182"/>
        <v>#NUM!</v>
      </c>
      <c r="Q132" s="20" t="e">
        <f t="shared" si="223"/>
        <v>#NUM!</v>
      </c>
      <c r="R132" s="59" t="e">
        <f t="shared" si="224"/>
        <v>#NUM!</v>
      </c>
      <c r="S132" s="59">
        <f ca="1">AVERAGE(OFFSET($R$3,0,0,'Données projet'!$E$9+1,1))-AVERAGE(OFFSET($H$3,0,0,'Données projet'!$E$9+1,1))</f>
        <v>274.57619581652199</v>
      </c>
      <c r="T132" s="59">
        <f t="shared" si="183"/>
        <v>366.15117322598775</v>
      </c>
      <c r="U132" s="15">
        <f>IF(ISNA(VLOOKUP(A132,'Données projet'!$A$45:$I$65,3,0)),0,VLOOKUP(A132,'Données projet'!$A$45:$I$65,3,0))</f>
        <v>0</v>
      </c>
      <c r="V132" s="15">
        <f>IF(ISNA(VLOOKUP(A132,'Données projet'!$A$45:$I$65,4,0)),0,VLOOKUP(A132,'Données projet'!$A$45:$I$65,4,0))</f>
        <v>0</v>
      </c>
      <c r="W132" s="16">
        <f>IF(ISNA(VLOOKUP(A132,'Données projet'!$A$45:$I$65,5,0)),0%,VLOOKUP(A132,'Données projet'!$A$45:$I$65,5,0)*VLOOKUP('Données projet'!$B$9,Paramètres!$A$1:$I$89,7,0))</f>
        <v>0</v>
      </c>
      <c r="X132" s="16">
        <f>IF(ISNA(VLOOKUP(A132,'Données projet'!$A$45:$I$65,6,0)),0%,VLOOKUP(A132,'Données projet'!$A$45:$I$65,6,0)*VLOOKUP('Données projet'!$B$9,Paramètres!$A$1:$I$89,7,0))</f>
        <v>0</v>
      </c>
      <c r="Y132" s="16">
        <f>IF(ISNA(VLOOKUP(A132,'Données projet'!$A$45:$I$65,7,0)),0%,VLOOKUP(A132,'Données projet'!$A$45:$I$65,7,0))</f>
        <v>0</v>
      </c>
      <c r="Z132" s="21">
        <f>EXP(-LN(2)/35)*Z131+(1-EXP(-LN(2)/35))/(LN(2)/35)*V132*W132*VLOOKUP('Données projet'!$B$9,Paramètres!$A$1:$I$89,3,0)*0.475*44/12</f>
        <v>52.348696714646714</v>
      </c>
      <c r="AA132" s="21">
        <f>EXP(-LN(2)/25)*AA131+(1-EXP(-LN(2)/25))/(LN(2)/25)*Calculateur!V132*Calculateur!X132*VLOOKUP('Données projet'!$B$9,Paramètres!$A$1:$I$89,3,0)*0.475*44/12</f>
        <v>7.4034065910916267</v>
      </c>
      <c r="AB132" s="21">
        <f>EXP(-LN(2)/2)*AB131+(1-EXP(-LN(2)/2))/(LN(2)/2)*V132*Y132*VLOOKUP('Données projet'!$B$9,Paramètres!$A$1:$I$89,3,0)*0.475*44/12</f>
        <v>2.4855619997915691E-10</v>
      </c>
      <c r="AC132" s="22">
        <f t="shared" ref="AC132:AC153" si="226">SUM(Z132:AB132)</f>
        <v>59.752103305986893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projet'!$A$71:$I$91,2,0)</f>
        <v>#N/A</v>
      </c>
      <c r="AG132" s="12" t="e">
        <f>VLOOKUP(A132,'Données projet'!$A$71:$I$91,9,0)</f>
        <v>#N/A</v>
      </c>
      <c r="AH132" s="12">
        <f t="array" ref="AH132">INDEX(AG:AG,MIN(IF(ISNUMBER(AG132:AG328),ROW(AG132:AG328),"")))</f>
        <v>1.5064102564102591</v>
      </c>
      <c r="AI132" s="13">
        <f>IF('Données projet'!$A$72&gt;35,AI131+AH132-AQ131,IF(A132&lt;'Données projet'!$A$72,$AF$205^A132,IF(A132='Données projet'!$A$72,'Données projet'!$B$72,AI131+AH132-AQ131)))</f>
        <v>107.89743589743645</v>
      </c>
      <c r="AJ132" s="13">
        <f>AI132*VLOOKUP('Données projet'!$B$10,Paramètres!$A$1:$I$89,3,0)*VLOOKUP('Données projet'!$B$10,Paramètres!$A$1:$I$89,5,0)</f>
        <v>97.625600000000489</v>
      </c>
      <c r="AK132" s="13">
        <f t="shared" si="184"/>
        <v>26.395540798282454</v>
      </c>
      <c r="AL132" s="20">
        <f t="shared" ref="AL132:AL153" si="227">(AJ132+AK132)*0.475*44/12</f>
        <v>216.00348689034277</v>
      </c>
      <c r="AM132" s="59">
        <f t="shared" ref="AM132:AM195" si="228">AL132+(AD132+AE132)*44/12</f>
        <v>509.33682022367611</v>
      </c>
      <c r="AN132" s="59">
        <f ca="1">AVERAGE(OFFSET($AM$3,0,0,'Données projet'!$E$10+1,1))-AVERAGE(OFFSET($H$3,0,0,'Données projet'!$E$10+1,1))</f>
        <v>270.87836509222456</v>
      </c>
      <c r="AO132" s="59">
        <f t="shared" si="185"/>
        <v>205.24998237949734</v>
      </c>
      <c r="AP132" s="15">
        <f>IF(ISNA(VLOOKUP(A132,'Données projet'!$A$71:$I$91,3,0)),0,VLOOKUP(A132,'Données projet'!$A$71:$I$91,3,0))</f>
        <v>0</v>
      </c>
      <c r="AQ132" s="15">
        <f>IF(ISNA(VLOOKUP(A132,'Données projet'!$A$71:$I$91,4,0)),0,VLOOKUP(A132,'Données projet'!$A$71:$I$91,4,0))</f>
        <v>0</v>
      </c>
      <c r="AR132" s="16">
        <f>IF(ISNA(VLOOKUP(A132,'Données projet'!$A$71:$I$91,5,0)),0%,VLOOKUP(A132,'Données projet'!$A$71:$I$91,5,0)*VLOOKUP('Données projet'!$B$10,Paramètres!$A$1:$I$89,7,0))</f>
        <v>0</v>
      </c>
      <c r="AS132" s="16">
        <f>IF(ISNA(VLOOKUP(A132,'Données projet'!$A$71:$I$91,6,0)),0%,VLOOKUP(A132,'Données projet'!$A$71:$I$91,6,0)*VLOOKUP('Données projet'!$B$10,Paramètres!$A$1:$I$89,7,0))</f>
        <v>0</v>
      </c>
      <c r="AT132" s="16">
        <f>IF(ISNA(VLOOKUP(A132,'Données projet'!$A$71:$I$91,7,0)),0%,VLOOKUP(A132,'Données projet'!$A$71:$I$91,7,0))</f>
        <v>0</v>
      </c>
      <c r="AU132" s="21">
        <f>EXP(-LN(2)/35)*AU131+(1-EXP(-LN(2)/35))/(LN(2)/35)*AQ132*AR132*VLOOKUP('Données projet'!$B$10,Paramètres!$A$1:$I$89,3,0)*0.475*44/12</f>
        <v>133.22748575679782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229">SUM(AU132:AW132)</f>
        <v>133.22748575679782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projet'!$A$97:$I$117,2,0)</f>
        <v>#N/A</v>
      </c>
      <c r="BB132" s="12" t="e">
        <f>VLOOKUP(A132,'Données projet'!$A$97:$I$117,9,0)</f>
        <v>#N/A</v>
      </c>
      <c r="BC132" s="12">
        <f t="array" ref="BC132">INDEX(BB:BB,MIN(IF(ISNUMBER(BB132:BB328),ROW(BB132:BB328),"")))</f>
        <v>0</v>
      </c>
      <c r="BD132" s="12">
        <f>IF('Données projet'!$A$98&gt;35,BD131+BC132-BL131,IF(A132&lt;'Données projet'!$A$98,$BA$205^A132,IF(A132='Données projet'!$A$98,'Données projet'!$B$98,BD131+BC132-BL131)))</f>
        <v>-1.1368683772161603E-13</v>
      </c>
      <c r="BE132" s="13">
        <f>BD132*VLOOKUP('Données projet'!$B$11,Paramètres!$A$1:$I$89,3,0)*VLOOKUP('Données projet'!$B$11,Paramètres!$A$1:$I$89,5,0)</f>
        <v>-5.0249582272954292E-14</v>
      </c>
      <c r="BF132" s="13" t="e">
        <f t="shared" si="186"/>
        <v>#NUM!</v>
      </c>
      <c r="BG132" s="20" t="e">
        <f t="shared" ref="BG132:BG153" si="230">(BE132+BF132)*0.475*44/12</f>
        <v>#NUM!</v>
      </c>
      <c r="BH132" s="59" t="e">
        <f t="shared" ref="BH132:BH195" si="231">BG132+(AY132+AZ132)*44/12</f>
        <v>#NUM!</v>
      </c>
      <c r="BI132" s="59">
        <f ca="1">AVERAGE(OFFSET($BH$3,0,0,'Données projet'!$E$11+1,1))-AVERAGE(OFFSET($H$3,0,0,'Données projet'!$E$11+1,1))</f>
        <v>211.31057120485542</v>
      </c>
      <c r="BJ132" s="59">
        <f t="shared" si="187"/>
        <v>283.33292006714777</v>
      </c>
      <c r="BK132" s="15">
        <f>IF(ISNA(VLOOKUP(A132,'Données projet'!$A$97:$I$117,3,0)),0,VLOOKUP(A132,'Données projet'!$A$97:$I$117,3,0))</f>
        <v>0</v>
      </c>
      <c r="BL132" s="15">
        <f>IF(ISNA(VLOOKUP(A132,'Données projet'!$A$97:$I$117,4,0)),0,VLOOKUP(A132,'Données projet'!$A$97:$I$117,4,0))</f>
        <v>0</v>
      </c>
      <c r="BM132" s="16">
        <f>IF(ISNA(VLOOKUP(A132,'Données projet'!$A$97:$I$117,5,0)),0%,VLOOKUP(A132,'Données projet'!$A$97:$I$117,5,0)*VLOOKUP('Données projet'!$B$11,Paramètres!$A$1:$I$89,7,0))</f>
        <v>0</v>
      </c>
      <c r="BN132" s="16">
        <f>IF(ISNA(VLOOKUP(A132,'Données projet'!$A$97:$I$117,6,0)),0%,VLOOKUP(A132,'Données projet'!$A$97:$I$117,6,0)*VLOOKUP('Données projet'!$B$11,Paramètres!$A$1:$I$89,7,0))</f>
        <v>0</v>
      </c>
      <c r="BO132" s="16">
        <f>IF(ISNA(VLOOKUP(A132,'Données projet'!$A$97:$I$117,7,0)),0%,VLOOKUP(A132,'Données projet'!$A$97:$I$117,7,0))</f>
        <v>0</v>
      </c>
      <c r="BP132" s="21">
        <f>EXP(-LN(2)/35)*BP131+(1-EXP(-LN(2)/35))/(LN(2)/35)*BL132*BM132*VLOOKUP('Données projet'!$B$11,Paramètres!$A$1:$I$89,3,0)*0.475*44/12</f>
        <v>41.391992751116021</v>
      </c>
      <c r="BQ132" s="21">
        <f>EXP(-LN(2)/25)*BQ131+(1-EXP(-LN(2)/25))/(LN(2)/25)*Calculateur!BL132*Calculateur!BN132*VLOOKUP('Données projet'!$B$11,Paramètres!$A$1:$I$89,3,0)*0.475*44/12</f>
        <v>5.8538563743515155</v>
      </c>
      <c r="BR132" s="21">
        <f>EXP(-LN(2)/2)*BR131+(1-EXP(-LN(2)/2))/(LN(2)/2)*BL132*BO132*VLOOKUP('Données projet'!$B$11,Paramètres!$A$1:$I$89,3,0)*0.475*44/12</f>
        <v>1.9653280928584496E-10</v>
      </c>
      <c r="BS132" s="22">
        <f t="shared" ref="BS132:BS153" si="232">SUM(BP132:BR132)</f>
        <v>47.245849125664073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projet'!$A$123:$I$143,2,0)</f>
        <v>#N/A</v>
      </c>
      <c r="BW132" s="12" t="e">
        <f>VLOOKUP(A132,'Données projet'!$A$123:$I$143,9,0)</f>
        <v>#N/A</v>
      </c>
      <c r="BX132" s="12">
        <f t="array" ref="BX132">INDEX(BW:BW,MIN(IF(ISNUMBER(BW132:BW328),ROW(BW132:BW328),"")))</f>
        <v>0</v>
      </c>
      <c r="BY132" s="12">
        <f>IF('Données projet'!$A$124&gt;35,BY131+BX132-CG131,IF(A132&lt;'Données projet'!$A$124,$BV$205^A132,IF(A132='Données projet'!$A$124,'Données projet'!$B$124,BY131+BX132-CG131)))</f>
        <v>0</v>
      </c>
      <c r="BZ132" s="13">
        <f>BY132*VLOOKUP('Données projet'!$B$12,Paramètres!$A$1:$I$89,3,0)*VLOOKUP('Données projet'!$B$12,Paramètres!$A$1:$I$89,5,0)</f>
        <v>0</v>
      </c>
      <c r="CA132" s="13" t="e">
        <f t="shared" si="188"/>
        <v>#NUM!</v>
      </c>
      <c r="CB132" s="20" t="e">
        <f t="shared" ref="CB132:CB153" si="233">(BZ132+CA132)*0.475*44/12</f>
        <v>#NUM!</v>
      </c>
      <c r="CC132" s="59" t="e">
        <f t="shared" ref="CC132:CC195" si="234">CB132+(BT132+BU132)*44/12</f>
        <v>#NUM!</v>
      </c>
      <c r="CD132" s="59">
        <f ca="1">AVERAGE(OFFSET($CC$3,0,0,'Données projet'!$E$12+1,1))-AVERAGE(OFFSET($H$3,0,0,'Données projet'!$E$12+1,1))</f>
        <v>322.93502595881938</v>
      </c>
      <c r="CE132" s="59">
        <f t="shared" si="189"/>
        <v>302.67072119588164</v>
      </c>
      <c r="CF132" s="15">
        <f>IF(ISNA(VLOOKUP(A132,'Données projet'!$A$123:$I$143,3,0)),0,VLOOKUP(A132,'Données projet'!$A$123:$I$143,3,0))</f>
        <v>0</v>
      </c>
      <c r="CG132" s="15">
        <f>IF(ISNA(VLOOKUP(A132,'Données projet'!$A$123:$I$143,4,0)),0,VLOOKUP(A132,'Données projet'!$A$123:$I$143,4,0))</f>
        <v>0</v>
      </c>
      <c r="CH132" s="16">
        <f>IF(ISNA(VLOOKUP(A132,'Données projet'!$A$123:$I$143,5,0)),0%,VLOOKUP(A132,'Données projet'!$A$123:$I$143,5,0)*VLOOKUP('Données projet'!$B$12,Paramètres!$A$1:$I$89,7,0))</f>
        <v>0</v>
      </c>
      <c r="CI132" s="16">
        <f>IF(ISNA(VLOOKUP(A132,'Données projet'!$A$123:$I$143,6,0)),0%,VLOOKUP(A132,'Données projet'!$A$123:$I$143,6,0)*VLOOKUP('Données projet'!$B$12,Paramètres!$A$1:$I$89,7,0))</f>
        <v>0</v>
      </c>
      <c r="CJ132" s="16">
        <f>IF(ISNA(VLOOKUP(A132,'Données projet'!$A$123:$I$143,7,0)),0%,VLOOKUP(A132,'Données projet'!$A$123:$I$143,7,0))</f>
        <v>0</v>
      </c>
      <c r="CK132" s="21">
        <f>EXP(-LN(2)/35)*CK131+(1-EXP(-LN(2)/35))/(LN(2)/35)*CG132*CH132*VLOOKUP('Données projet'!$B$12,Paramètres!$A$1:$I$89,3,0)*0.475*44/12</f>
        <v>65.947446174085385</v>
      </c>
      <c r="CL132" s="21">
        <f>EXP(-LN(2)/25)*CL131+(1-EXP(-LN(2)/25))/(LN(2)/25)*Calculateur!CG132*Calculateur!CI132*VLOOKUP('Données projet'!$B$12,Paramètres!$A$1:$I$89,3,0)*0.475*44/12</f>
        <v>18.735882209149672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235">SUM(CK132:CM132)</f>
        <v>84.68332838323505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projet'!$A$149:$I$169,2,0)</f>
        <v>#N/A</v>
      </c>
      <c r="CR132" s="12" t="e">
        <f>VLOOKUP(A132,'Données projet'!$A$149:$I$169,9,0)</f>
        <v>#N/A</v>
      </c>
      <c r="CS132" s="12">
        <f t="array" ref="CS132">INDEX(CR:CR,MIN(IF(ISNUMBER(CR132:CR328),ROW(CR132:CR328),"")))</f>
        <v>5.2446581196581219</v>
      </c>
      <c r="CT132" s="12">
        <f>IF('Données projet'!$A$150&gt;35,CT131+CS132-DB131,IF(A132&lt;'Données projet'!$A$150,$CQ$205^A132,IF(A132='Données projet'!$A$150,'Données projet'!$B$150,CT131+CS132-DB131)))</f>
        <v>251.11324786324738</v>
      </c>
      <c r="CU132" s="17">
        <f>CT132*VLOOKUP('Données projet'!$B$13,Paramètres!$A$1:$I$89,3,0)*VLOOKUP('Données projet'!$B$13,Paramètres!$A$1:$I$89,5,0)</f>
        <v>254.62883333333286</v>
      </c>
      <c r="CV132" s="13">
        <f t="shared" si="190"/>
        <v>61.576075027678748</v>
      </c>
      <c r="CW132" s="20">
        <f t="shared" ref="CW132:CW153" si="236">(CU132+CV132)*0.475*44/12</f>
        <v>550.7235487287619</v>
      </c>
      <c r="CX132" s="59">
        <f t="shared" ref="CX132:CX195" si="237">CW132+(CO132+CP132)*44/12</f>
        <v>844.05688206209516</v>
      </c>
      <c r="CY132" s="59">
        <f ca="1">AVERAGE(OFFSET($CX$3,0,0,'Données projet'!$E$13+1,1))-AVERAGE(OFFSET($H$3,0,0,'Données projet'!$E$13+1,1))</f>
        <v>250.31277422753283</v>
      </c>
      <c r="CZ132" s="59">
        <f t="shared" si="191"/>
        <v>159.20429420478047</v>
      </c>
      <c r="DA132" s="15">
        <f>IF(ISNA(VLOOKUP(A132,'Données projet'!$A$149:$I$169,3,0)),0,VLOOKUP(A132,'Données projet'!$A$149:$I$169,3,0))</f>
        <v>0</v>
      </c>
      <c r="DB132" s="15">
        <f>IF(ISNA(VLOOKUP(A132,'Données projet'!$A$149:$I$169,4,0)),0,VLOOKUP(A132,'Données projet'!$A$149:$I$169,4,0))</f>
        <v>0</v>
      </c>
      <c r="DC132" s="16">
        <f>IF(ISNA(VLOOKUP(A132,'Données projet'!$A$149:$I$169,5,0)),0%,VLOOKUP(A132,'Données projet'!$A$149:$I$169,5,0)*VLOOKUP('Données projet'!$B$13,Paramètres!$A$1:$I$89,7,0))</f>
        <v>0</v>
      </c>
      <c r="DD132" s="16">
        <f>IF(ISNA(VLOOKUP(A132,'Données projet'!$A$149:$I$169,6,0)),0%,VLOOKUP(A132,'Données projet'!$A$149:$I$169,6,0)*VLOOKUP('Données projet'!$B$13,Paramètres!$A$1:$I$89,7,0))</f>
        <v>0</v>
      </c>
      <c r="DE132" s="16">
        <f>IF(ISNA(VLOOKUP(A132,'Données projet'!$A$149:$I$169,7,0)),0%,VLOOKUP(A132,'Données projet'!$A$149:$I$169,7,0))</f>
        <v>0</v>
      </c>
      <c r="DF132" s="21">
        <f>EXP(-LN(2)/35)*DF131+(1-EXP(-LN(2)/35))/(LN(2)/35)*DB132*DC132*VLOOKUP('Données projet'!$B$13,Paramètres!$A$1:$I$89,3,0)*0.475*44/12</f>
        <v>44.156573669769728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238">SUM(DF132:DH132)</f>
        <v>44.156573669769728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projet'!$A$175:$I$195,2,0)</f>
        <v>#N/A</v>
      </c>
      <c r="DM132" s="12" t="e">
        <f>VLOOKUP(A132,'Données projet'!$A$175:$I$195,9,0)</f>
        <v>#N/A</v>
      </c>
      <c r="DN132" s="12">
        <f t="array" ref="DN132">INDEX(DM:DM,MIN(IF(ISNUMBER(DM132:DM328),ROW(DM132:DM328),"")))</f>
        <v>0</v>
      </c>
      <c r="DO132" s="12">
        <f>IF('Données projet'!$A$176&gt;35,DO131+DN132-DW131,IF(A132&lt;'Données projet'!$A$176,$DL$205^A132,IF(A132='Données projet'!$A$176,'Données projet'!$B$176,DO131+DN132-DW131)))</f>
        <v>-2.8421709430404007E-13</v>
      </c>
      <c r="DP132" s="17">
        <f>DO132*VLOOKUP('Données projet'!$B$14,Paramètres!$A$1:$I$89,3,0)*VLOOKUP('Données projet'!$B$14,Paramètres!$A$1:$I$89,5,0)</f>
        <v>-2.0838797354372215E-13</v>
      </c>
      <c r="DQ132" s="13" t="e">
        <f t="shared" si="192"/>
        <v>#NUM!</v>
      </c>
      <c r="DR132" s="20" t="e">
        <f t="shared" ref="DR132:DR153" si="239">(DP132+DQ132)*0.475*44/12</f>
        <v>#NUM!</v>
      </c>
      <c r="DS132" s="59" t="e">
        <f t="shared" ref="DS132:DS195" si="240">DR132+(DJ132+DK132)*44/12</f>
        <v>#NUM!</v>
      </c>
      <c r="DT132" s="59">
        <f ca="1">AVERAGE(OFFSET($DS$3,0,0,'Données projet'!$E$14+1,1))-AVERAGE(OFFSET($H$3,0,0,'Données projet'!$E$14+1,1))</f>
        <v>296.91321813251051</v>
      </c>
      <c r="DU132" s="59">
        <f t="shared" si="193"/>
        <v>291.0718079639509</v>
      </c>
      <c r="DV132" s="15">
        <f>IF(ISNA(VLOOKUP(A132,'Données projet'!$A$175:$I$195,3,0)),0,VLOOKUP(A132,'Données projet'!$A$175:$I$195,3,0))</f>
        <v>0</v>
      </c>
      <c r="DW132" s="15">
        <f>IF(ISNA(VLOOKUP(A132,'Données projet'!$A$175:$I$195,4,0)),0,VLOOKUP(A132,'Données projet'!$A$175:$I$195,4,0))</f>
        <v>0</v>
      </c>
      <c r="DX132" s="16">
        <f>IF(ISNA(VLOOKUP(A132,'Données projet'!$A$175:$I$195,5,0)),0%,VLOOKUP(A132,'Données projet'!$A$175:$I$195,5,0)*VLOOKUP('Données projet'!$B$14,Paramètres!$A$1:$I$89,7,0))</f>
        <v>0</v>
      </c>
      <c r="DY132" s="16">
        <f>IF(ISNA(VLOOKUP(A132,'Données projet'!$A$175:$I$195,6,0)),0%,VLOOKUP(A132,'Données projet'!$A$175:$I$195,6,0)*VLOOKUP('Données projet'!$B$14,Paramètres!$A$1:$I$89,7,0))</f>
        <v>0</v>
      </c>
      <c r="DZ132" s="16">
        <f>IF(ISNA(VLOOKUP(A132,'Données projet'!$A$175:$I$195,7,0)),0%,VLOOKUP(A132,'Données projet'!$A$175:$I$195,7,0))</f>
        <v>0</v>
      </c>
      <c r="EA132" s="21">
        <f>EXP(-LN(2)/35)*EA131+(1-EXP(-LN(2)/35))/(LN(2)/35)*DW132*DX132*VLOOKUP('Données projet'!$B$14,Paramètres!$A$1:$I$89,3,0)*0.475*44/12</f>
        <v>65.728431873119732</v>
      </c>
      <c r="EB132" s="21">
        <f>EXP(-LN(2)/25)*EB131+(1-EXP(-LN(2)/25))/(LN(2)/25)*Calculateur!DW132*Calculateur!DY132*VLOOKUP('Données projet'!$B$14,Paramètres!$A$1:$I$89,3,0)*0.475*44/12</f>
        <v>1.3763548995100257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241">SUM(EA132:EC132)</f>
        <v>67.104786772629751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projet'!$A$201:$I$221,2,0)</f>
        <v>#N/A</v>
      </c>
      <c r="EH132" s="12" t="e">
        <f>VLOOKUP(A132,'Données projet'!$A$201:$I$221,9,0)</f>
        <v>#N/A</v>
      </c>
      <c r="EI132" s="12">
        <f t="array" ref="EI132">INDEX(EH:EH,MIN(IF(ISNUMBER(EH132:EH328),ROW(EH132:EH328),"")))</f>
        <v>0</v>
      </c>
      <c r="EJ132" s="12">
        <f>IF('Données projet'!$A$202&gt;35,EJ131+EI132-ER131,IF(A132&lt;'Données projet'!$A$202,$EG$205^A132,IF(A132='Données projet'!$A$202,'Données projet'!$B$202,EJ131+EI132-ER131)))</f>
        <v>5.1159076974727213E-13</v>
      </c>
      <c r="EK132" s="17">
        <f>EJ132*VLOOKUP('Données projet'!$B$15,Paramètres!$A$1:$I$89,3,0)*VLOOKUP('Données projet'!$B$15,Paramètres!$A$1:$I$89,5,0)</f>
        <v>2.3942448024172334E-13</v>
      </c>
      <c r="EL132" s="13">
        <f t="shared" si="194"/>
        <v>3.2492669905861755E-12</v>
      </c>
      <c r="EM132" s="20">
        <f t="shared" ref="EM132:EM153" si="242">(EK132+EL132)*0.475*44/12</f>
        <v>6.0761376450252565E-12</v>
      </c>
      <c r="EN132" s="59">
        <f t="shared" ref="EN132:EN195" si="243">EM132+(EE132+EF132)*44/12</f>
        <v>293.3333333333394</v>
      </c>
      <c r="EO132" s="59">
        <f ca="1">AVERAGE(OFFSET($EN$3,0,0,'Données projet'!$E$15+1,1))-AVERAGE(OFFSET($H$3,0,0,'Données projet'!$E$15+1,1))</f>
        <v>147.64256291235483</v>
      </c>
      <c r="EP132" s="59">
        <f t="shared" si="195"/>
        <v>70.859031694091868</v>
      </c>
      <c r="EQ132" s="15">
        <f>IF(ISNA(VLOOKUP(A132,'Données projet'!$A$201:$I$221,3,0)),0,VLOOKUP(A132,'Données projet'!$A$201:$I$221,3,0))</f>
        <v>0</v>
      </c>
      <c r="ER132" s="15">
        <f>IF(ISNA(VLOOKUP(A132,'Données projet'!$A$201:$I$221,4,0)),0,VLOOKUP(A132,'Données projet'!$A$201:$I$221,4,0))</f>
        <v>0</v>
      </c>
      <c r="ES132" s="16">
        <f>IF(ISNA(VLOOKUP(A132,'Données projet'!$A$201:$I$221,5,0)),0%,VLOOKUP(A132,'Données projet'!$A$201:$I$221,5,0)*VLOOKUP('Données projet'!$B$15,Paramètres!$A$1:$I$89,7,0))</f>
        <v>0</v>
      </c>
      <c r="ET132" s="16">
        <f>IF(ISNA(VLOOKUP(A132,'Données projet'!$A$201:$I$221,6,0)),0%,VLOOKUP(A132,'Données projet'!$A$201:$I$221,6,0)*VLOOKUP('Données projet'!$B$15,Paramètres!$A$1:$I$89,7,0))</f>
        <v>0</v>
      </c>
      <c r="EU132" s="16">
        <f>IF(ISNA(VLOOKUP(A132,'Données projet'!$A$201:$I$221,7,0)),0%,VLOOKUP(A132,'Données projet'!$A$201:$I$221,7,0))</f>
        <v>0</v>
      </c>
      <c r="EV132" s="21">
        <f>EXP(-LN(2)/35)*EV131+(1-EXP(-LN(2)/35))/(LN(2)/35)*ER132*ES132*VLOOKUP('Données projet'!$B$15,Paramètres!$A$1:$I$89,3,0)*0.475*44/12</f>
        <v>89.983259301018848</v>
      </c>
      <c r="EW132" s="21">
        <f>EXP(-LN(2)/25)*EW131+(1-EXP(-LN(2)/25))/(LN(2)/25)*Calculateur!ER132*Calculateur!ET132*VLOOKUP('Données projet'!$B$15,Paramètres!$A$1:$I$89,3,0)*0.475*44/12</f>
        <v>19.095537576576774</v>
      </c>
      <c r="EX132" s="21">
        <f>EXP(-LN(2)/2)*EX131+(1-EXP(-LN(2)/2))/(LN(2)/2)*ER132*EU132*VLOOKUP('Données projet'!$B$15,Paramètres!$A$1:$I$89,3,0)*0.475*44/12</f>
        <v>1.7918641918665389E-2</v>
      </c>
      <c r="EY132" s="22">
        <f t="shared" ref="EY132:EY153" si="244">SUM(EV132:EX132)</f>
        <v>109.09671551951429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projet'!$A$227:$I$247,2,0)</f>
        <v>#N/A</v>
      </c>
      <c r="FC132" s="12" t="e">
        <f>VLOOKUP(A132,'Données projet'!$A$227:$I$247,9,0)</f>
        <v>#N/A</v>
      </c>
      <c r="FD132" s="12">
        <f t="array" ref="FD132">INDEX(FC:FC,MIN(IF(ISNUMBER(FC132:FC328),ROW(FC132:FC328),"")))</f>
        <v>0</v>
      </c>
      <c r="FE132" s="12">
        <f>IF('Données projet'!$A$228&gt;35,FE131+FD132-FM131,IF(A132&lt;'Données projet'!$A$228,$FB$205^A132,IF(A132='Données projet'!$A$228,'Données projet'!$B$228,FE131+FD132-FM131)))</f>
        <v>8.5265128291212022E-14</v>
      </c>
      <c r="FF132" s="17">
        <f>FE132*VLOOKUP('Données projet'!$B$16,Paramètres!$A$1:$I$89,3,0)*VLOOKUP('Données projet'!$B$16,Paramètres!$A$1:$I$89,5,0)</f>
        <v>8.9119112089974823E-14</v>
      </c>
      <c r="FG132" s="13">
        <f t="shared" si="196"/>
        <v>1.3568952080113142E-12</v>
      </c>
      <c r="FH132" s="20">
        <f t="shared" ref="FH132:FH153" si="245">(FF132+FG132)*0.475*44/12</f>
        <v>2.5184749408430782E-12</v>
      </c>
      <c r="FI132" s="59">
        <f t="shared" ref="FI132:FI195" si="246">FH132+(EZ132+FA132)*44/12</f>
        <v>293.33333333333582</v>
      </c>
      <c r="FJ132" s="59">
        <f ca="1">AVERAGE(OFFSET($FI$3,0,0,'Données projet'!$E$16+1,1))-AVERAGE(OFFSET($H$3,0,0,'Données projet'!$E$16+1,1))</f>
        <v>259.03906550253788</v>
      </c>
      <c r="FK132" s="59">
        <f t="shared" si="197"/>
        <v>235.54542903570831</v>
      </c>
      <c r="FL132" s="15">
        <f>IF(ISNA(VLOOKUP(A132,'Données projet'!$A$227:$I$247,3,0)),0,VLOOKUP(A132,'Données projet'!$A$227:$I$247,3,0))</f>
        <v>0</v>
      </c>
      <c r="FM132" s="15">
        <f>IF(ISNA(VLOOKUP(A132,'Données projet'!$A$227:$I$247,4,0)),0,VLOOKUP(A132,'Données projet'!$A$227:$I$247,4,0))</f>
        <v>0</v>
      </c>
      <c r="FN132" s="16">
        <f>IF(ISNA(VLOOKUP(A132,'Données projet'!$A$227:$I$247,5,0)),0%,VLOOKUP(A132,'Données projet'!$A$227:$I$247,5,0)*VLOOKUP('Données projet'!$B$16,Paramètres!$A$1:$I$89,7,0))</f>
        <v>0</v>
      </c>
      <c r="FO132" s="16">
        <f>IF(ISNA(VLOOKUP(A132,'Données projet'!$A$227:$I$247,6,0)),0%,VLOOKUP(A132,'Données projet'!$A$227:$I$247,6,0)*VLOOKUP('Données projet'!$B$16,Paramètres!$A$1:$I$89,7,0))</f>
        <v>0</v>
      </c>
      <c r="FP132" s="16">
        <f>IF(ISNA(VLOOKUP(A132,'Données projet'!$A$227:$I$247,7,0)),0%,VLOOKUP(A132,'Données projet'!$A$227:$I$247,7,0))</f>
        <v>0</v>
      </c>
      <c r="FQ132" s="21">
        <f>EXP(-LN(2)/35)*FQ131+(1-EXP(-LN(2)/35))/(LN(2)/35)*FM132*FN132*VLOOKUP('Données projet'!$B$16,Paramètres!$A$1:$I$89,3,0)*0.475*44/12</f>
        <v>39.716165189296134</v>
      </c>
      <c r="FR132" s="21">
        <f>EXP(-LN(2)/25)*FR131+(1-EXP(-LN(2)/25))/(LN(2)/25)*Calculateur!FM132*Calculateur!FO132*VLOOKUP('Données projet'!$B$16,Paramètres!$A$1:$I$89,3,0)*0.475*44/12</f>
        <v>26.269247107618785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247">SUM(FQ132:FS132)</f>
        <v>65.985412296914916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projet'!$A$253:$I$273,2,0)</f>
        <v>#N/A</v>
      </c>
      <c r="FX132" s="12" t="e">
        <f>VLOOKUP(A132,'Données projet'!$A$253:$I$273,9,0)</f>
        <v>#N/A</v>
      </c>
      <c r="FY132" s="12">
        <f t="array" ref="FY132">INDEX(FX:FX,MIN(IF(ISNUMBER(FX132:FX328),ROW(FX132:FX328),"")))</f>
        <v>0</v>
      </c>
      <c r="FZ132" s="12">
        <f>IF('Données projet'!$A$254&gt;35,FZ131+FY132-GH131,IF(A132&lt;'Données projet'!$A$254,$FW$205^A132,IF(A132='Données projet'!$A$254,'Données projet'!$B$254,FZ131+FY132-GH131)))</f>
        <v>-1.7053025658242404E-13</v>
      </c>
      <c r="GA132" s="17">
        <f>FZ132*VLOOKUP('Données projet'!$B$17,Paramètres!$A$1:$I$89,3,0)*VLOOKUP('Données projet'!$B$17,Paramètres!$A$1:$I$89,5,0)</f>
        <v>-1.4897523215040567E-13</v>
      </c>
      <c r="GB132" s="13" t="e">
        <f t="shared" si="198"/>
        <v>#NUM!</v>
      </c>
      <c r="GC132" s="20" t="e">
        <f t="shared" ref="GC132:GC153" si="248">(GA132+GB132)*0.475*44/12</f>
        <v>#NUM!</v>
      </c>
      <c r="GD132" s="59" t="e">
        <f t="shared" ref="GD132:GD195" si="249">GC132+(FU132+FV132)*44/12</f>
        <v>#NUM!</v>
      </c>
      <c r="GE132" s="59">
        <f ca="1">AVERAGE(OFFSET($GD$3,0,0,'Données projet'!$E$17+1,1))-AVERAGE(OFFSET($H$3,0,0,'Données projet'!$E$17+1,1))</f>
        <v>245.1983232777614</v>
      </c>
      <c r="GF132" s="59">
        <f t="shared" si="199"/>
        <v>242.34010522344573</v>
      </c>
      <c r="GG132" s="15">
        <f>IF(ISNA(VLOOKUP(A132,'Données projet'!$A$253:$I$273,3,0)),0,VLOOKUP(A132,'Données projet'!$A$253:$I$273,3,0))</f>
        <v>0</v>
      </c>
      <c r="GH132" s="15">
        <f>IF(ISNA(VLOOKUP(A132,'Données projet'!$A$253:$I$273,4,0)),0,VLOOKUP(A132,'Données projet'!$A$253:$I$273,4,0))</f>
        <v>0</v>
      </c>
      <c r="GI132" s="16">
        <f>IF(ISNA(VLOOKUP(A132,'Données projet'!$A$253:$I$273,5,0)),0%,VLOOKUP(A132,'Données projet'!$A$253:$I$273,5,0)*VLOOKUP('Données projet'!$B$17,Paramètres!$A$1:$I$89,7,0))</f>
        <v>0</v>
      </c>
      <c r="GJ132" s="16">
        <f>IF(ISNA(VLOOKUP(A132,'Données projet'!$A$253:$I$273,6,0)),0%,VLOOKUP(A132,'Données projet'!$A$253:$I$273,6,0)*VLOOKUP('Données projet'!$B$17,Paramètres!$A$1:$I$89,7,0))</f>
        <v>0</v>
      </c>
      <c r="GK132" s="16">
        <f>IF(ISNA(VLOOKUP(A132,'Données projet'!$A$253:$I$273,7,0)),0%,VLOOKUP(A132,'Données projet'!$A$253:$I$273,7,0))</f>
        <v>0</v>
      </c>
      <c r="GL132" s="21">
        <f>EXP(-LN(2)/35)*GL131+(1-EXP(-LN(2)/35))/(LN(2)/35)*GH132*GI132*VLOOKUP('Données projet'!$B$17,Paramètres!$A$1:$I$89,3,0)*0.475*44/12</f>
        <v>46.691801329102745</v>
      </c>
      <c r="GM132" s="21">
        <f>EXP(-LN(2)/25)*GM131+(1-EXP(-LN(2)/25))/(LN(2)/25)*Calculateur!GH132*Calculateur!GJ132*VLOOKUP('Données projet'!$B$17,Paramètres!$A$1:$I$89,3,0)*0.475*44/12</f>
        <v>5.5973365968536513</v>
      </c>
      <c r="GN132" s="21">
        <f>EXP(-LN(2)/2)*GN131+(1-EXP(-LN(2)/2))/(LN(2)/2)*GH132*GK132*VLOOKUP('Données projet'!$B$17,Paramètres!$A$1:$I$89,3,0)*0.475*44/12</f>
        <v>0</v>
      </c>
      <c r="GO132" s="21">
        <f t="shared" ref="GO132:GO153" si="250">SUM(GL132:GN132)</f>
        <v>52.289137925956396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projet'!$A$279:$I$299,2,0)</f>
        <v>#N/A</v>
      </c>
      <c r="GS132" s="12" t="e">
        <f>VLOOKUP(A132,'Données projet'!$A$279:$I$299,9,0)</f>
        <v>#N/A</v>
      </c>
      <c r="GT132" s="12">
        <f t="array" ref="GT132">INDEX(GS:GS,MIN(IF(ISNUMBER(GS132:GS328),ROW(GS132:GS328),"")))</f>
        <v>0</v>
      </c>
      <c r="GU132" s="12">
        <f>IF('Données projet'!$A$280&gt;35,GU131+GT132-HC131,IF(A132&lt;'Données projet'!$A$280,$GR$205^A132,IF(A132='Données projet'!$A$280,'Données projet'!$B$280,GU131+GT132-HC131)))</f>
        <v>-1.1368683772161603E-13</v>
      </c>
      <c r="GV132" s="17">
        <f>GU132*VLOOKUP('Données projet'!$B$18,Paramètres!$A$1:$I$89,3,0)*VLOOKUP('Données projet'!$B$18,Paramètres!$A$1:$I$89,5,0)</f>
        <v>-4.5815795601811263E-14</v>
      </c>
      <c r="GW132" s="13" t="e">
        <f t="shared" si="200"/>
        <v>#NUM!</v>
      </c>
      <c r="GX132" s="20" t="e">
        <f t="shared" ref="GX132:GX153" si="251">(GV132+GW132)*0.475*44/12</f>
        <v>#NUM!</v>
      </c>
      <c r="GY132" s="59" t="e">
        <f t="shared" ref="GY132:GY195" si="252">GX132+(GP132+GQ132)*44/12</f>
        <v>#NUM!</v>
      </c>
      <c r="GZ132" s="59">
        <f ca="1">AVERAGE(OFFSET($GY$3,0,0,'Données projet'!$E$18+1,1))-AVERAGE(OFFSET($H$3,0,0,'Données projet'!$E$18+1,1))</f>
        <v>324.36162935850876</v>
      </c>
      <c r="HA132" s="59">
        <f t="shared" si="201"/>
        <v>265.23571072429735</v>
      </c>
      <c r="HB132" s="15">
        <f>IF(ISNA(VLOOKUP(A132,'Données projet'!$A$279:$I$299,3,0)),0,VLOOKUP(A132,'Données projet'!$A$279:$I$299,3,0))</f>
        <v>0</v>
      </c>
      <c r="HC132" s="15">
        <f>IF(ISNA(VLOOKUP(A132,'Données projet'!$A$279:$I$299,4,0)),0,VLOOKUP(A132,'Données projet'!$A$279:$I$299,4,0))</f>
        <v>0</v>
      </c>
      <c r="HD132" s="16">
        <f>IF(ISNA(VLOOKUP(A132,'Données projet'!$A$279:$I$299,5,0)),0%,VLOOKUP(A132,'Données projet'!$A$279:$I$299,5,0)*VLOOKUP('Données projet'!$B$18,Paramètres!$A$1:$I$89,7,0))</f>
        <v>0</v>
      </c>
      <c r="HE132" s="16">
        <f>IF(ISNA(VLOOKUP(A132,'Données projet'!$A$279:$I$299,6,0)),0%,VLOOKUP(A132,'Données projet'!$A$279:$I$299,6,0)*VLOOKUP('Données projet'!$B$18,Paramètres!$A$1:$I$89,7,0))</f>
        <v>0</v>
      </c>
      <c r="HF132" s="16">
        <f>IF(ISNA(VLOOKUP($A132,'Données projet'!$A$279:$I$299,7,0)),0%,VLOOKUP($A132,'Données projet'!$A$279:$I$299,7,0))</f>
        <v>0</v>
      </c>
      <c r="HG132" s="21">
        <f>EXP(-LN(2)/35)*HG131+(1-EXP(-LN(2)/35))/(LN(2)/35)*HC132*HD132*VLOOKUP('Données projet'!$B$18,Paramètres!$A$1:$I$89,3,0)*0.475*44/12</f>
        <v>89.473697461708497</v>
      </c>
      <c r="HH132" s="21">
        <f>EXP(-LN(2)/25)*HH131+(1-EXP(-LN(2)/25))/(LN(2)/25)*Calculateur!HC132*Calculateur!HE132*VLOOKUP('Données projet'!$B$18,Paramètres!$A$1:$I$89,3,0)*0.475*44/12</f>
        <v>6.2252394692143769</v>
      </c>
      <c r="HI132" s="21">
        <f>EXP(-LN(2)/2)*HI131+(1-EXP(-LN(2)/2))/(LN(2)/2)*HC132*HF132*VLOOKUP('Données projet'!$B$18,Paramètres!$A$1:$I$89,3,0)*0.475*44/12</f>
        <v>3.6023795281207842E-7</v>
      </c>
      <c r="HJ132" s="22">
        <f t="shared" ref="HJ132:HJ153" si="253">SUM(HG132:HI132)</f>
        <v>95.698937291160817</v>
      </c>
      <c r="HK132" s="74">
        <f>('Scénario référence'!$F$8+'Scénario référence'!$F$9+'Scénario référence'!$B$17+'Scénario référence'!$B$9+'Scénario référence'!$B$10)*70+IF((45+25*(1-EXP(-0.0175*$A132)))&lt;70,'Scénario référence'!$B$16*(45+25*(1-EXP(-0.0175*$A132))),70*'Scénario référence'!$B$16)+IF((32+38*(1-EXP(-0.0175*$A132)))&lt;70,'Scénario référence'!$B$18*(32+38*(1-EXP(-0.0175*$A132))),70*'Scénario référence'!$B$18)</f>
        <v>70</v>
      </c>
      <c r="HL132" s="12">
        <f>IF($A132&gt;30,10,('Scénario référence'!$B$16+'Scénario référence'!$B$17+'Scénario référence'!$B$18+'Scénario référence'!$B$9+'Scénario référence'!$B$10)*$A132*10/30+('Scénario référence'!$F$8+'Scénario référence'!$F$9)*10)</f>
        <v>10</v>
      </c>
      <c r="HM132" s="12" t="e">
        <f>VLOOKUP($A132,'Données projet'!$A$304:$I$324,2,0)</f>
        <v>#N/A</v>
      </c>
      <c r="HN132" s="12" t="e">
        <f>VLOOKUP($A132,'Données projet'!$A$304:$I$324,9,0)</f>
        <v>#N/A</v>
      </c>
      <c r="HO132" s="12">
        <f t="array" ref="HO132">INDEX(HN:HN,MIN(IF(ISNUMBER(HN132:HN328),ROW(HN132:HN328),"")))</f>
        <v>0</v>
      </c>
      <c r="HP132" s="12">
        <f>IF('Données projet'!$A$304&gt;35,HP131+HO132-HX131,IF($A132&lt;'Données projet'!$A$304,$CQ$205^$A132,IF($A132='Données projet'!$A$304,'Données projet'!$B$304,HP131+HO132-HX131)))</f>
        <v>0</v>
      </c>
      <c r="HQ132" s="17">
        <f>HP132*VLOOKUP('Données projet'!$B$19,Paramètres!$A$1:$I$89,3,0)*VLOOKUP('Données projet'!$B$19,Paramètres!$A$1:$I$89,5,0)</f>
        <v>0</v>
      </c>
      <c r="HR132" s="13" t="e">
        <f t="shared" si="202"/>
        <v>#NUM!</v>
      </c>
      <c r="HS132" s="14" t="e">
        <f t="shared" ref="HS132:HS195" si="254">(HQ132+HR132)*0.475*44/12</f>
        <v>#NUM!</v>
      </c>
      <c r="HT132" s="59" t="e">
        <f t="shared" ref="HT132:HT195" si="255">HS132+(HK132+HL132)*44/12</f>
        <v>#NUM!</v>
      </c>
      <c r="HU132" s="59">
        <f ca="1">AVERAGE(OFFSET(HT$3,0,0,'Données projet'!$E$19+1,1))-AVERAGE(OFFSET($H$3,0,0,'Données projet'!$E$19+1,1))</f>
        <v>91.60721429656013</v>
      </c>
      <c r="HV132" s="59">
        <f t="shared" si="203"/>
        <v>258.94957804210856</v>
      </c>
      <c r="HW132" s="15">
        <f>IF(ISNA(VLOOKUP($A132,'Données projet'!$A$304:$I$324,3,0)),0,VLOOKUP($A132,'Données projet'!$A$304:$I$324,3,0))</f>
        <v>0</v>
      </c>
      <c r="HX132" s="15">
        <f>IF(ISNA(VLOOKUP($A132,'Données projet'!$A$304:$I$324,4,0)),0,VLOOKUP($A132,'Données projet'!$A$304:$I$324,4,0))</f>
        <v>0</v>
      </c>
      <c r="HY132" s="16">
        <f>IF(ISNA(VLOOKUP($A132,'Données projet'!$A$304:$I$324,5,0)),0%,VLOOKUP($A132,'Données projet'!$A$304:$I$324,5,0)*VLOOKUP('Données projet'!$B$19,Paramètres!$A$1:$I$89,7,0))</f>
        <v>0</v>
      </c>
      <c r="HZ132" s="16">
        <f>IF(ISNA(VLOOKUP($A132,'Données projet'!$A$304:$I$324,6,0)),0%,VLOOKUP($A132,'Données projet'!$A$304:$I$324,6,0)*VLOOKUP('Données projet'!$B$19,Paramètres!$A$1:$I$89,7,0))</f>
        <v>0</v>
      </c>
      <c r="IA132" s="16">
        <f>IF(ISNA(VLOOKUP($A132,'Données projet'!$A$304:$I$324,7,0)),0%,VLOOKUP($A132,'Données projet'!$A$304:$I$324,7,0))</f>
        <v>0</v>
      </c>
      <c r="IB132" s="21">
        <f>EXP(-LN(2)/35)*IB131+(1-EXP(-LN(2)/35))/(LN(2)/35)*HX132*HY132*VLOOKUP('Données projet'!$B$19,Paramètres!$A$1:$I$89,3,0)*0.475*44/12</f>
        <v>6.9446455069854824</v>
      </c>
      <c r="IC132" s="21">
        <f>EXP(-LN(2)/25)*IC131+(1-EXP(-LN(2)/25))/(LN(2)/25)*Calculateur!HX132*Calculateur!HZ132*VLOOKUP('Données projet'!$B$19,Paramètres!$A$1:$I$89,3,0)*0.475*44/12</f>
        <v>0.62507564360440615</v>
      </c>
      <c r="ID132" s="21">
        <f>EXP(-LN(2)/2)*ID131+(1-EXP(-LN(2)/2))/(LN(2)/2)*HX132*IA132*VLOOKUP('Données projet'!$B$19,Paramètres!$A$1:$I$89,3,0)*0.475*44/12</f>
        <v>7.1954487568702889E-16</v>
      </c>
      <c r="IE132" s="22">
        <f t="shared" ref="IE132:IE195" si="256">SUM(IB132:ID132)</f>
        <v>7.5697211505898894</v>
      </c>
      <c r="IF132" s="74">
        <f>('Scénario référence'!$F$8+'Scénario référence'!$F$9+'Scénario référence'!$B$17+'Scénario référence'!$B$9+'Scénario référence'!$B$10)*70+IF((45+25*(1-EXP(-0.0175*$A132)))&lt;70,'Scénario référence'!$B$16*(45+25*(1-EXP(-0.0175*$A132))),70*'Scénario référence'!$B$16)+IF((32+38*(1-EXP(-0.0175*$A132)))&lt;70,'Scénario référence'!$B$18*(32+38*(1-EXP(-0.0175*$A132))),70*'Scénario référence'!$B$18)</f>
        <v>70</v>
      </c>
      <c r="IG132" s="12">
        <f>IF($A132&gt;30,10,('Scénario référence'!$B$16+'Scénario référence'!$B$17+'Scénario référence'!$B$18+'Scénario référence'!$B$9+'Scénario référence'!$B$10)*$A132*10/30+('Scénario référence'!$F$8+'Scénario référence'!$F$9)*10)</f>
        <v>10</v>
      </c>
      <c r="IH132" s="12" t="e">
        <f>VLOOKUP($A132,'Données projet'!$A$330:$I$350,2,0)</f>
        <v>#N/A</v>
      </c>
      <c r="II132" s="12" t="e">
        <f>VLOOKUP($A132,'Données projet'!$A$330:$I$350,9,0)</f>
        <v>#N/A</v>
      </c>
      <c r="IJ132" s="12">
        <f t="array" ref="IJ132">INDEX(II:II,MIN(IF(ISNUMBER(II132:II328),ROW(II132:II328),"")))</f>
        <v>0</v>
      </c>
      <c r="IK132" s="12">
        <f>IF('Données projet'!$A$330&gt;35,IK131+IJ132-IS131,IF($A132&lt;'Données projet'!$A$330,$CQ$205^$A132,IF($A132='Données projet'!$A$330,'Données projet'!$B$330,IK131+IJ132-IS131)))</f>
        <v>0</v>
      </c>
      <c r="IL132" s="17">
        <f>IK132*VLOOKUP('Données projet'!$B$20,Paramètres!$A$1:$I$89,3,0)*VLOOKUP('Données projet'!$B$20,Paramètres!$A$1:$I$89,5,0)</f>
        <v>0</v>
      </c>
      <c r="IM132" s="13" t="e">
        <f t="shared" si="204"/>
        <v>#NUM!</v>
      </c>
      <c r="IN132" s="20" t="e">
        <f t="shared" ref="IN132:IN195" si="257">(IL132+IM132)*0.475*44/12</f>
        <v>#NUM!</v>
      </c>
      <c r="IO132" s="59" t="e">
        <f t="shared" ref="IO132:IO195" si="258">IN132+(IF132+IG132)*44/12</f>
        <v>#NUM!</v>
      </c>
      <c r="IP132" s="59">
        <f ca="1">AVERAGE(OFFSET(IO$3,0,0,'Données projet'!$E$20+1,1))-AVERAGE(OFFSET($H$3,0,0,'Données projet'!$E$20+1,1))</f>
        <v>91.60721429656013</v>
      </c>
      <c r="IQ132" s="59">
        <f t="shared" si="205"/>
        <v>258.94957804210856</v>
      </c>
      <c r="IR132" s="15">
        <f>IF(ISNA(VLOOKUP($A132,'Données projet'!$A$330:$I$350,3,0)),0,VLOOKUP($A132,'Données projet'!$A$330:$I$350,3,0))</f>
        <v>0</v>
      </c>
      <c r="IS132" s="15">
        <f>IF(ISNA(VLOOKUP($A132,'Données projet'!$A$330:$I$350,4,0)),0,VLOOKUP($A132,'Données projet'!$A$330:$I$350,4,0))</f>
        <v>0</v>
      </c>
      <c r="IT132" s="16">
        <f>IF(ISNA(VLOOKUP($A132,'Données projet'!$A$330:$I$350,5,0)),0%,VLOOKUP($A132,'Données projet'!$A$330:$I$350,5,0)*VLOOKUP('Données projet'!$B$20,Paramètres!$A$1:$I$89,7,0))</f>
        <v>0</v>
      </c>
      <c r="IU132" s="16">
        <f>IF(ISNA(VLOOKUP($A132,'Données projet'!$A$330:$I$350,6,0)),0%,VLOOKUP($A132,'Données projet'!$A$330:$I$350,6,0)*VLOOKUP('Données projet'!$B$20,Paramètres!$A$1:$I$89,7,0))</f>
        <v>0</v>
      </c>
      <c r="IV132" s="16">
        <f>IF(ISNA(VLOOKUP($A132,'Données projet'!$A$330:$I$350,7,0)),0%,VLOOKUP($A132,'Données projet'!$A$330:$I$350,7,0))</f>
        <v>0</v>
      </c>
      <c r="IW132" s="21">
        <f>EXP(-LN(2)/35)*IW131+(1-EXP(-LN(2)/35))/(LN(2)/35)*IS132*IT132*VLOOKUP('Données projet'!$B$20,Paramètres!$A$1:$I$89,3,0)*0.475*44/12</f>
        <v>6.9446455069854824</v>
      </c>
      <c r="IX132" s="21">
        <f>EXP(-LN(2)/25)*IX131+(1-EXP(-LN(2)/25))/(LN(2)/25)*Calculateur!IS132*Calculateur!IU132*VLOOKUP('Données projet'!$B$20,Paramètres!$A$1:$I$89,3,0)*0.475*44/12</f>
        <v>0.62507564360440615</v>
      </c>
      <c r="IY132" s="21">
        <f>EXP(-LN(2)/2)*IY131+(1-EXP(-LN(2)/2))/(LN(2)/2)*IS132*IV132*VLOOKUP('Données projet'!$B$20,Paramètres!$A$1:$I$89,3,0)*0.475*44/12</f>
        <v>7.1954487568702889E-16</v>
      </c>
      <c r="IZ132" s="22">
        <f t="shared" ref="IZ132:IZ195" si="259">SUM(IW132:IY132)</f>
        <v>7.5697211505898894</v>
      </c>
      <c r="JA132" s="74">
        <f>('Scénario référence'!$F$8+'Scénario référence'!$F$9+'Scénario référence'!$B$17+'Scénario référence'!$B$9+'Scénario référence'!$B$10)*70+IF((45+25*(1-EXP(-0.0175*$A132)))&lt;70,'Scénario référence'!$B$16*(45+25*(1-EXP(-0.0175*$A132))),70*'Scénario référence'!$B$16)+IF((32+38*(1-EXP(-0.0175*$A132)))&lt;70,'Scénario référence'!$B$18*(32+38*(1-EXP(-0.0175*$A132))),70*'Scénario référence'!$B$18)</f>
        <v>70</v>
      </c>
      <c r="JB132" s="12">
        <f>IF($A132&gt;30,10,('Scénario référence'!$B$16+'Scénario référence'!$B$17+'Scénario référence'!$B$18+'Scénario référence'!$B$9+'Scénario référence'!$B$10)*$A132*10/30+('Scénario référence'!$F$8+'Scénario référence'!$F$9)*10)</f>
        <v>10</v>
      </c>
      <c r="JC132" s="12" t="e">
        <f>VLOOKUP($A132,'Données projet'!$A$356:$I$376,2,0)</f>
        <v>#N/A</v>
      </c>
      <c r="JD132" s="12" t="e">
        <f>VLOOKUP($A132,'Données projet'!$A$356:$I$376,9,0)</f>
        <v>#N/A</v>
      </c>
      <c r="JE132" s="12">
        <f t="array" ref="JE132">INDEX(JD:JD,MIN(IF(ISNUMBER(JD132:JD328),ROW(JD132:JD328),"")))</f>
        <v>2.2000000000000002</v>
      </c>
      <c r="JF132" s="12">
        <f>IF('Données projet'!$A$356&gt;35,JF131+JE132-JN131,IF($A132&lt;'Données projet'!$A$356,$CQ$205^$A132,IF($A132='Données projet'!$A$356,'Données projet'!$B$356,JF131+JE132-JN131)))</f>
        <v>437.79999999999916</v>
      </c>
      <c r="JG132" s="17">
        <f>JF132*VLOOKUP('Données projet'!$B$21,Paramètres!$A$1:$I$89,3,0)*VLOOKUP('Données projet'!$B$21,Paramètres!$A$1:$I$89,5,0)</f>
        <v>355.14335999999935</v>
      </c>
      <c r="JH132" s="13">
        <f t="shared" si="206"/>
        <v>82.620681604748953</v>
      </c>
      <c r="JI132" s="20">
        <f t="shared" ref="JI132:JI195" si="260">(JG132+JH132)*0.475*44/12</f>
        <v>762.43903912826988</v>
      </c>
      <c r="JJ132" s="59">
        <f t="shared" ref="JJ132:JJ195" si="261">JI132+(JA132+JB132)*44/12</f>
        <v>1055.7723724616033</v>
      </c>
      <c r="JK132" s="59">
        <f ca="1">AVERAGE(OFFSET($JJ$3,0,0,'Données projet'!$E$22+1,1))-AVERAGE(OFFSET($H$3,0,0,'Données projet'!$E$22+1,1))</f>
        <v>353.35574633294613</v>
      </c>
      <c r="JL132" s="59">
        <f t="shared" si="207"/>
        <v>170.36796666474726</v>
      </c>
      <c r="JM132" s="15">
        <f>IF(ISNA(VLOOKUP($A132,'Données projet'!$A$356:$I$376,3,0)),0,VLOOKUP($A132,'Données projet'!$A$356:$I$376,3,0))</f>
        <v>0</v>
      </c>
      <c r="JN132" s="15">
        <f>IF(ISNA(VLOOKUP($A132,'Données projet'!$A$356:$I$376,4,0)),0,VLOOKUP($A132,'Données projet'!$A$356:$I$376,4,0))</f>
        <v>0</v>
      </c>
      <c r="JO132" s="16">
        <f>IF(ISNA(VLOOKUP($A132,'Données projet'!$A$356:$I$376,5,0)),0%,VLOOKUP($A132,'Données projet'!$A$356:$I$376,5,0)*VLOOKUP('Données projet'!$B$21,Paramètres!$A$1:$I$89,7,0))</f>
        <v>0</v>
      </c>
      <c r="JP132" s="16">
        <f>IF(ISNA(VLOOKUP($A132,'Données projet'!$A$356:$I$376,6,0)),0%,VLOOKUP($A132,'Données projet'!$A$356:$I$376,6,0)*VLOOKUP('Données projet'!$B$21,Paramètres!$A$1:$I$89,7,0))</f>
        <v>0</v>
      </c>
      <c r="JQ132" s="16">
        <f>IF(ISNA(VLOOKUP($A132,'Données projet'!$A$356:$I$376,7,0)),0%,VLOOKUP($A132,'Données projet'!$A$356:$I$376,7,0))</f>
        <v>0</v>
      </c>
      <c r="JR132" s="21">
        <f>EXP(-LN(2)/35)*JR131+(1-EXP(-LN(2)/35))/(LN(2)/35)*JN132*JO132*VLOOKUP('Données projet'!$B$21,Paramètres!$A$1:$I$89,3,0)*0.475*44/12</f>
        <v>3.449624278468844</v>
      </c>
      <c r="JS132" s="21">
        <f>EXP(-LN(2)/25)*JS131+(1-EXP(-LN(2)/25))/(LN(2)/25)*Calculateur!JN132*Calculateur!JP132*VLOOKUP('Données projet'!$B$21,Paramètres!$A$1:$I$89,3,0)*0.475*44/12</f>
        <v>10.442515861981979</v>
      </c>
      <c r="JT132" s="21">
        <f>EXP(-LN(2)/2)*JT131+(1-EXP(-LN(2)/2))/(LN(2)/2)*JN132*JQ132*VLOOKUP('Données projet'!$B$21,Paramètres!$A$1:$I$89,3,0)*0.475*44/12</f>
        <v>4.8179777755485908E-3</v>
      </c>
      <c r="JU132" s="18">
        <f t="shared" ref="JU132:JU195" si="262">SUM(JR132:JT132)</f>
        <v>13.896958118226372</v>
      </c>
      <c r="JV132" s="74">
        <f>('Scénario référence'!$F$8+'Scénario référence'!$F$9+'Scénario référence'!$B$17+'Scénario référence'!$B$9+'Scénario référence'!$B$10)*70+IF((45+25*(1-EXP(-0.0175*$A132)))&lt;70,'Scénario référence'!$B$16*(45+25*(1-EXP(-0.0175*$A132))),70*'Scénario référence'!$B$16)+IF((32+38*(1-EXP(-0.0175*$A132)))&lt;70,'Scénario référence'!$B$18*(32+38*(1-EXP(-0.0175*$A132))),70*'Scénario référence'!$B$18)</f>
        <v>70</v>
      </c>
      <c r="JW132" s="12">
        <f>IF($A132&gt;30,10,('Scénario référence'!$B$16+'Scénario référence'!$B$17+'Scénario référence'!$B$18+'Scénario référence'!$B$9+'Scénario référence'!$B$10)*$A132*10/30+('Scénario référence'!$F$8+'Scénario référence'!$F$9)*10)</f>
        <v>10</v>
      </c>
      <c r="JX132" s="12" t="e">
        <f>VLOOKUP($A132,'Données projet'!$A$382:$I$402,2,0)</f>
        <v>#N/A</v>
      </c>
      <c r="JY132" s="12" t="e">
        <f>VLOOKUP($A132,'Données projet'!$A$382:$I$402,9,0)</f>
        <v>#N/A</v>
      </c>
      <c r="JZ132" s="12">
        <f t="array" ref="JZ132">INDEX(JY:JY,MIN(IF(ISNUMBER(JY132:JY328),ROW(JY132:JY328),"")))</f>
        <v>1.5064102564102591</v>
      </c>
      <c r="KA132" s="12">
        <f>IF('Données projet'!$A$382&gt;35,KA131+JZ132-KI131,IF($A132&lt;'Données projet'!$A$382,$CQ$205^$A132,IF($A132='Données projet'!$A$382,'Données projet'!$B$382,KA131+JZ132-KI131)))</f>
        <v>107.89743589743645</v>
      </c>
      <c r="KB132" s="17">
        <f>KA132*VLOOKUP('Données projet'!$B$22,Paramètres!$A$1:$I$89,3,0)*VLOOKUP('Données projet'!$B$22,Paramètres!$A$1:$I$89,5,0)</f>
        <v>72.377600000000371</v>
      </c>
      <c r="KC132" s="13">
        <f t="shared" si="208"/>
        <v>20.262746753683896</v>
      </c>
      <c r="KD132" s="20">
        <f t="shared" ref="KD132:KD195" si="263">(KB132+KC132)*0.475*44/12</f>
        <v>161.34860392933342</v>
      </c>
      <c r="KE132" s="59">
        <f t="shared" ref="KE132:KE195" si="264">KD132+(JV132+JW132)*44/12</f>
        <v>454.68193726266674</v>
      </c>
      <c r="KF132" s="59">
        <f ca="1">AVERAGE(OFFSET($KE$3,0,0,'Données projet'!$E$22+1,1))-AVERAGE(OFFSET($H$3,0,0,'Données projet'!$E$22+1,1))</f>
        <v>193.91714772848269</v>
      </c>
      <c r="KG132" s="59">
        <f t="shared" si="209"/>
        <v>159.20429420478047</v>
      </c>
      <c r="KH132" s="15">
        <f>IF(ISNA(VLOOKUP($A132,'Données projet'!$A$382:$I$402,3,0)),0,VLOOKUP($A132,'Données projet'!$A$382:$I$402,3,0))</f>
        <v>0</v>
      </c>
      <c r="KI132" s="15">
        <f>IF(ISNA(VLOOKUP($A132,'Données projet'!$A$382:$I$402,4,0)),0,VLOOKUP($A132,'Données projet'!$A$382:$I$402,4,0))</f>
        <v>0</v>
      </c>
      <c r="KJ132" s="16">
        <f>IF(ISNA(VLOOKUP($A132,'Données projet'!$A$382:$I$402,5,0)),0%,VLOOKUP($A132,'Données projet'!$A$382:$I$402,5,0)*VLOOKUP('Données projet'!$B$22,Paramètres!$A$1:$I$89,7,0))</f>
        <v>0</v>
      </c>
      <c r="KK132" s="16">
        <f>IF(ISNA(VLOOKUP($A132,'Données projet'!$A$382:$I$402,6,0)),0%,VLOOKUP($A132,'Données projet'!$A$382:$I$402,6,0)*VLOOKUP('Données projet'!$B$22,Paramètres!$A$1:$I$89,7,0))</f>
        <v>0</v>
      </c>
      <c r="KL132" s="16">
        <f>IF(ISNA(VLOOKUP($A132,'Données projet'!$A$382:$I$402,7,0)),0%,VLOOKUP($A132,'Données projet'!$A$382:$I$402,7,0))</f>
        <v>0</v>
      </c>
      <c r="KM132" s="21">
        <f>EXP(-LN(2)/35)*KM131+(1-EXP(-LN(2)/35))/(LN(2)/35)*KI132*KJ132*VLOOKUP('Données projet'!$B$22,Paramètres!$A$1:$I$89,3,0)*0.475*44/12</f>
        <v>121.74235767431522</v>
      </c>
      <c r="KN132" s="21">
        <f>EXP(-LN(2)/25)*KN131+(1-EXP(-LN(2)/25))/(LN(2)/25)*Calculateur!KI132*Calculateur!KK132*VLOOKUP('Données projet'!$B$22,Paramètres!$A$1:$I$89,3,0)*0.475*44/12</f>
        <v>0</v>
      </c>
      <c r="KO132" s="21">
        <f>EXP(-LN(2)/2)*KO131+(1-EXP(-LN(2)/2))/(LN(2)/2)*KI132*KL132*VLOOKUP('Données projet'!$B$22,Paramètres!$A$1:$I$89,3,0)*0.475*44/12</f>
        <v>0</v>
      </c>
      <c r="KP132" s="22">
        <f t="shared" ref="KP132:KP195" si="265">SUM(KM132:KO132)</f>
        <v>121.74235767431522</v>
      </c>
      <c r="KQ132" s="74">
        <f>('Scénario référence'!$F$8+'Scénario référence'!$F$9+'Scénario référence'!$B$17+'Scénario référence'!$B$9+'Scénario référence'!$B$10)*70+IF((45+25*(1-EXP(-0.0175*$A132)))&lt;70,'Scénario référence'!$B$16*(45+25*(1-EXP(-0.0175*$A132))),70*'Scénario référence'!$B$16)+IF((32+38*(1-EXP(-0.0175*$A132)))&lt;70,'Scénario référence'!$B$18*(32+38*(1-EXP(-0.0175*$A132))),70*'Scénario référence'!$B$18)</f>
        <v>70</v>
      </c>
      <c r="KR132" s="12">
        <f>IF($A132&gt;30,10,('Scénario référence'!$B$16+'Scénario référence'!$B$17+'Scénario référence'!$B$18+'Scénario référence'!$B$9+'Scénario référence'!$B$10)*$A132*10/30+('Scénario référence'!$F$8+'Scénario référence'!$F$9)*10)</f>
        <v>10</v>
      </c>
      <c r="KS132" s="12" t="e">
        <f>VLOOKUP($A132,'Données projet'!$A$408:$I$428,2,0)</f>
        <v>#N/A</v>
      </c>
      <c r="KT132" s="12" t="e">
        <f>VLOOKUP($A132,'Données projet'!$A$408:$I$428,9,0)</f>
        <v>#N/A</v>
      </c>
      <c r="KU132" s="12">
        <f t="array" ref="KU132">INDEX(KT:KT,MIN(IF(ISNUMBER(KT132:KT328),ROW(KT132:KT328),"")))</f>
        <v>0</v>
      </c>
      <c r="KV132" s="12">
        <f>IF('Données projet'!$A$408&gt;35,KV131+KU132-LD131,IF($A132&lt;'Données projet'!$A$408,$CQ$205^$A132,IF($A132='Données projet'!$A$408,'Données projet'!$B$408,KV131+KU132-LD131)))</f>
        <v>-1.1368683772161603E-13</v>
      </c>
      <c r="KW132" s="17">
        <f>KV132*VLOOKUP('Données projet'!$B$23,Paramètres!$A$1:$I$89,3,0)*VLOOKUP('Données projet'!$B$23,Paramètres!$A$1:$I$89,5,0)</f>
        <v>-9.9316821433603781E-14</v>
      </c>
      <c r="KX132" s="13" t="e">
        <f t="shared" si="210"/>
        <v>#NUM!</v>
      </c>
      <c r="KY132" s="14" t="e">
        <f t="shared" ref="KY132:KY195" si="266">(KW132+KX132)*0.475*44/12</f>
        <v>#NUM!</v>
      </c>
      <c r="KZ132" s="59" t="e">
        <f t="shared" ref="KZ132:KZ195" si="267">KY132+(KQ132+KR132)*44/12</f>
        <v>#NUM!</v>
      </c>
      <c r="LA132" s="59">
        <f ca="1">AVERAGE(OFFSET($KZ$3,0,0,'Données projet'!$E$23+1,1))-AVERAGE(OFFSET($H$3,0,0,'Données projet'!$E$23+1,1))</f>
        <v>248.33596943633819</v>
      </c>
      <c r="LB132" s="59">
        <f t="shared" si="211"/>
        <v>242.34010522344573</v>
      </c>
      <c r="LC132" s="15">
        <f>IF(ISNA(VLOOKUP($A132,'Données projet'!$A$408:$I$428,3,0)),0,VLOOKUP($A132,'Données projet'!$A$408:$I$428,3,0))</f>
        <v>0</v>
      </c>
      <c r="LD132" s="15">
        <f>IF(ISNA(VLOOKUP($A132,'Données projet'!$A$408:$I$428,4,0)),0,VLOOKUP($A132,'Données projet'!$A$408:$I$428,4,0))</f>
        <v>0</v>
      </c>
      <c r="LE132" s="16">
        <f>IF(ISNA(VLOOKUP($A132,'Données projet'!$A$408:$I$428,5,0)),0%,VLOOKUP($A132,'Données projet'!$A$408:$I$428,5,0)*VLOOKUP('Données projet'!$B$23,Paramètres!$A$1:$I$89,7,0))</f>
        <v>0</v>
      </c>
      <c r="LF132" s="16">
        <f>IF(ISNA(VLOOKUP($A132,'Données projet'!$A$408:$I$428,6,0)),0%,VLOOKUP($A132,'Données projet'!$A$408:$I$428,6,0)*VLOOKUP('Données projet'!$B$23,Paramètres!$A$1:$I$89,7,0))</f>
        <v>0</v>
      </c>
      <c r="LG132" s="16">
        <f>IF(ISNA(VLOOKUP($A132,'Données projet'!$A$408:$I$428,7,0)),0%,VLOOKUP($A132,'Données projet'!$A$408:$I$428,7,0))</f>
        <v>0</v>
      </c>
      <c r="LH132" s="21">
        <f>EXP(-LN(2)/35)*LH131+(1-EXP(-LN(2)/35))/(LN(2)/35)*LD132*LE132*VLOOKUP('Données projet'!$B$23,Paramètres!$A$1:$I$89,3,0)*0.475*44/12</f>
        <v>46.691801329102745</v>
      </c>
      <c r="LI132" s="21">
        <f>EXP(-LN(2)/25)*LI131+(1-EXP(-LN(2)/25))/(LN(2)/25)*Calculateur!LD132*Calculateur!LF132*VLOOKUP('Données projet'!$B$23,Paramètres!$A$1:$I$89,3,0)*0.475*44/12</f>
        <v>5.5973365968536513</v>
      </c>
      <c r="LJ132" s="21">
        <f>EXP(-LN(2)/2)*LJ131+(1-EXP(-LN(2)/2))/(LN(2)/2)*LD132*LG132*VLOOKUP('Données projet'!$B$23,Paramètres!$A$1:$I$89,3,0)*0.475*44/12</f>
        <v>0</v>
      </c>
      <c r="LK132" s="22">
        <f t="shared" ref="LK132:LK195" si="268">SUM(LH132:LJ132)</f>
        <v>52.289137925956396</v>
      </c>
      <c r="LL132" s="74">
        <f>('Scénario référence'!$F$8+'Scénario référence'!$F$9+'Scénario référence'!$B$17+'Scénario référence'!$B$9+'Scénario référence'!$B$10)*70+IF((45+25*(1-EXP(-0.0175*$A132)))&lt;70,'Scénario référence'!$B$16*(45+25*(1-EXP(-0.0175*$A132))),70*'Scénario référence'!$B$16)+IF((32+38*(1-EXP(-0.0175*$A132)))&lt;70,'Scénario référence'!$B$18*(32+38*(1-EXP(-0.0175*$A132))),70*'Scénario référence'!$B$18)</f>
        <v>70</v>
      </c>
      <c r="LM132" s="12">
        <f>IF($A132&gt;30,10,('Scénario référence'!$B$16+'Scénario référence'!$B$17+'Scénario référence'!$B$18+'Scénario référence'!$B$9+'Scénario référence'!$B$10)*$A132*10/30+('Scénario référence'!$F$8+'Scénario référence'!$F$9)*10)</f>
        <v>10</v>
      </c>
      <c r="LN132" s="12" t="e">
        <f>VLOOKUP($A132,'Données projet'!$A$434:$I$454,2,0)</f>
        <v>#N/A</v>
      </c>
      <c r="LO132" s="12" t="e">
        <f>VLOOKUP($A132,'Données projet'!$A$434:$I$454,9,0)</f>
        <v>#N/A</v>
      </c>
      <c r="LP132" s="12">
        <f t="array" ref="LP132">INDEX(LO:LO,MIN(IF(ISNUMBER(LO132:LO328),ROW(LO132:LO328),"")))</f>
        <v>5.2446581196581219</v>
      </c>
      <c r="LQ132" s="12">
        <f>IF('Données projet'!$A$434&gt;35,LQ131+LP132-LY131,IF($A132&lt;'Données projet'!$A$434,$CQ$205^$A132,IF($A132='Données projet'!$A$434,'Données projet'!$B$434,LQ131+LP132-LY131)))</f>
        <v>251.11324786324738</v>
      </c>
      <c r="LR132" s="17">
        <f>LQ132*VLOOKUP('Données projet'!$B$24,Paramètres!$A$1:$I$89,3,0)*VLOOKUP('Données projet'!$B$24,Paramètres!$A$1:$I$89,5,0)</f>
        <v>254.62883333333286</v>
      </c>
      <c r="LS132" s="13">
        <f t="shared" si="212"/>
        <v>61.576075027678748</v>
      </c>
      <c r="LT132" s="14">
        <f t="shared" ref="LT132:LT195" si="269">(LR132+LS132)*0.475*44/12</f>
        <v>550.7235487287619</v>
      </c>
      <c r="LU132" s="59">
        <f t="shared" ref="LU132:LU195" si="270">LT132+(LL132+LM132)*44/12</f>
        <v>844.05688206209516</v>
      </c>
      <c r="LV132" s="59">
        <f ca="1">AVERAGE(OFFSET($LU$3,0,0,'Données projet'!$E$24+1,1))-AVERAGE(OFFSET($H$3,0,0,'Données projet'!$E$24+1,1))</f>
        <v>260.52627655062872</v>
      </c>
      <c r="LW132" s="59">
        <f t="shared" si="213"/>
        <v>159.20429420478047</v>
      </c>
      <c r="LX132" s="15">
        <f>IF(ISNA(VLOOKUP($A132,'Données projet'!$A$434:$I$454,3,0)),0,VLOOKUP($A132,'Données projet'!$A$434:$I$454,3,0))</f>
        <v>0</v>
      </c>
      <c r="LY132" s="15">
        <f>IF(ISNA(VLOOKUP($A132,'Données projet'!$A$434:$I$454,4,0)),0,VLOOKUP($A132,'Données projet'!$A$434:$I$454,4,0))</f>
        <v>0</v>
      </c>
      <c r="LZ132" s="16">
        <f>IF(ISNA(VLOOKUP($A132,'Données projet'!$A$434:$I$454,5,0)),0%,VLOOKUP($A132,'Données projet'!$A$434:$I$454,5,0)*VLOOKUP('Données projet'!$B$24,Paramètres!$A$1:$I$89,7,0))</f>
        <v>0</v>
      </c>
      <c r="MA132" s="16">
        <f>IF(ISNA(VLOOKUP($A132,'Données projet'!$A$434:$I$454,6,0)),0%,VLOOKUP($A132,'Données projet'!$A$434:$I$454,6,0)*VLOOKUP('Données projet'!$B$24,Paramètres!$A$1:$I$89,7,0))</f>
        <v>0</v>
      </c>
      <c r="MB132" s="16">
        <f>IF(ISNA(VLOOKUP($A132,'Données projet'!$A$434:$I$454,7,0)),0%,VLOOKUP($A132,'Données projet'!$A$434:$I$454,7,0))</f>
        <v>0</v>
      </c>
      <c r="MC132" s="21">
        <f>EXP(-LN(2)/35)*MC131+(1-EXP(-LN(2)/35))/(LN(2)/35)*LY132*LZ132*VLOOKUP('Données projet'!$B$24,Paramètres!$A$1:$I$89,3,0)*0.475*44/12</f>
        <v>44.156573669769728</v>
      </c>
      <c r="MD132" s="21">
        <f>EXP(-LN(2)/25)*MD131+(1-EXP(-LN(2)/25))/(LN(2)/25)*Calculateur!LY132*Calculateur!MA132*VLOOKUP('Données projet'!$B$24,Paramètres!$A$1:$I$89,3,0)*0.475*44/12</f>
        <v>0</v>
      </c>
      <c r="ME132" s="21">
        <f>EXP(-LN(2)/2)*ME131+(1-EXP(-LN(2)/2))/(LN(2)/2)*LY132*MB132*VLOOKUP('Données projet'!$B$24,Paramètres!$A$1:$I$89,3,0)*0.475*44/12</f>
        <v>0</v>
      </c>
      <c r="MF132" s="22">
        <f t="shared" ref="MF132:MF195" si="271">SUM(MC132:ME132)</f>
        <v>44.156573669769728</v>
      </c>
      <c r="MG132" s="74">
        <f>('Scénario référence'!$F$8+'Scénario référence'!$F$9+'Scénario référence'!$B$17+'Scénario référence'!$B$9+'Scénario référence'!$B$10)*70+IF((45+25*(1-EXP(-0.0175*$A132)))&lt;70,'Scénario référence'!$B$16*(45+25*(1-EXP(-0.0175*$A132))),70*'Scénario référence'!$B$16)+IF((32+38*(1-EXP(-0.0175*$A132)))&lt;70,'Scénario référence'!$B$18*(32+38*(1-EXP(-0.0175*$A132))),70*'Scénario référence'!$B$18)</f>
        <v>70</v>
      </c>
      <c r="MH132" s="12">
        <f>IF($A132&gt;30,10,('Scénario référence'!$B$16+'Scénario référence'!$B$17+'Scénario référence'!$B$18+'Scénario référence'!$B$9+'Scénario référence'!$B$10)*$A132*10/30+('Scénario référence'!$F$8+'Scénario référence'!$F$9)*10)</f>
        <v>10</v>
      </c>
      <c r="MI132" s="12" t="e">
        <f>VLOOKUP($A132,'Données projet'!$A$460:$I$480,2,0)</f>
        <v>#N/A</v>
      </c>
      <c r="MJ132" s="12" t="e">
        <f>VLOOKUP($A132,'Données projet'!$A$460:$I$480,9,0)</f>
        <v>#N/A</v>
      </c>
      <c r="MK132" s="12">
        <f t="array" ref="MK132">INDEX(MJ:MJ,MIN(IF(ISNUMBER(MJ132:MJ328),ROW(MJ132:MJ328),"")))</f>
        <v>0</v>
      </c>
      <c r="ML132" s="12">
        <f>IF('Données projet'!$A$460&gt;35,ML131+MK132-MT131,IF($A132&lt;'Données projet'!$A$460,$CQ$205^$A132,IF($A132='Données projet'!$A$460,'Données projet'!$B$460,ML131+MK132-MT131)))</f>
        <v>0</v>
      </c>
      <c r="MM132" s="17" t="e">
        <f>ML132*VLOOKUP('Données projet'!$B$25,Paramètres!$A$1:$I$89,3,0)*VLOOKUP('Données projet'!$B$25,Paramètres!$A$1:$I$89,5,0)</f>
        <v>#N/A</v>
      </c>
      <c r="MN132" s="13" t="e">
        <f t="shared" si="214"/>
        <v>#N/A</v>
      </c>
      <c r="MO132" s="14" t="e">
        <f t="shared" ref="MO132:MO195" si="272">(MM132+MN132)*0.475*44/12</f>
        <v>#N/A</v>
      </c>
      <c r="MP132" s="59" t="e">
        <f t="shared" ref="MP132:MP195" si="273">MO132+(MG132+MH132)*44/12</f>
        <v>#N/A</v>
      </c>
      <c r="MQ132" s="20" t="e">
        <f ca="1">AVERAGE(OFFSET($MP$3,0,0,'Données projet'!$E$25+1,1))-AVERAGE(OFFSET($H$3,0,0,'Données projet'!$E$25+1,1))</f>
        <v>#N/A</v>
      </c>
      <c r="MR132" s="59" t="e">
        <f t="shared" si="215"/>
        <v>#N/A</v>
      </c>
      <c r="MS132" s="15">
        <f>IF(ISNA(VLOOKUP($A132,'Données projet'!$A$460:$I$480,3,0)),0,VLOOKUP($A132,'Données projet'!$A$460:$I$480,3,0))</f>
        <v>0</v>
      </c>
      <c r="MT132" s="15">
        <f>IF(ISNA(VLOOKUP($A132,'Données projet'!$A$460:$I$480,4,0)),0,VLOOKUP($A132,'Données projet'!$A$460:$I$480,4,0))</f>
        <v>0</v>
      </c>
      <c r="MU132" s="16">
        <f>IF(ISNA(VLOOKUP($A132,'Données projet'!$A$460:$I$480,5,0)),0%,VLOOKUP($A132,'Données projet'!$A$460:$I$480,5,0)*VLOOKUP('Données projet'!$B$25,Paramètres!$A$1:$I$89,7,0))</f>
        <v>0</v>
      </c>
      <c r="MV132" s="16">
        <f>IF(ISNA(VLOOKUP($A132,'Données projet'!$A$460:$I$480,6,0)),0%,VLOOKUP($A132,'Données projet'!$A$460:$I$480,6,0)*VLOOKUP('Données projet'!$B$25,Paramètres!$A$1:$I$89,7,0))</f>
        <v>0</v>
      </c>
      <c r="MW132" s="16">
        <f>IF(ISNA(VLOOKUP($A132,'Données projet'!$A$460:$I$480,7,0)),0%,VLOOKUP($A132,'Données projet'!$A$460:$I$480,7,0))</f>
        <v>0</v>
      </c>
      <c r="MX132" s="21" t="e">
        <f>EXP(-LN(2)/35)*MX131+(1-EXP(-LN(2)/35))/(LN(2)/35)*MT132*MU132*VLOOKUP('Données projet'!$B$25,Paramètres!$A$1:$I$89,3,0)*0.475*44/12</f>
        <v>#N/A</v>
      </c>
      <c r="MY132" s="21" t="e">
        <f>EXP(-LN(2)/25)*MY131+(1-EXP(-LN(2)/25))/(LN(2)/25)*Calculateur!MT132*Calculateur!MV132*VLOOKUP('Données projet'!$B$25,Paramètres!$A$1:$I$89,3,0)*0.475*44/12</f>
        <v>#N/A</v>
      </c>
      <c r="MZ132" s="21" t="e">
        <f>EXP(-LN(2)/2)*MZ131+(1-EXP(-LN(2)/2))/(LN(2)/2)*MT132*MW132*VLOOKUP('Données projet'!$B$25,Paramètres!$A$1:$I$89,3,0)*0.475*44/12</f>
        <v>#N/A</v>
      </c>
      <c r="NA132" s="22" t="e">
        <f t="shared" ref="NA132:NA195" si="274">SUM(MX132:MZ132)</f>
        <v>#N/A</v>
      </c>
      <c r="NB132" s="74">
        <f>('Scénario référence'!$F$8+'Scénario référence'!$F$9+'Scénario référence'!$B$17+'Scénario référence'!$B$9+'Scénario référence'!$B$10)*70+IF((45+25*(1-EXP(-0.0175*$A132)))&lt;70,'Scénario référence'!$B$16*(45+25*(1-EXP(-0.0175*$A132))),70*'Scénario référence'!$B$16)+IF((32+38*(1-EXP(-0.0175*$A132)))&lt;70,'Scénario référence'!$B$18*(32+38*(1-EXP(-0.0175*$A132))),70*'Scénario référence'!$B$18)</f>
        <v>70</v>
      </c>
      <c r="NC132" s="12">
        <f>IF($A132&gt;30,10,('Scénario référence'!$B$16+'Scénario référence'!$B$17+'Scénario référence'!$B$18+'Scénario référence'!$B$9+'Scénario référence'!$B$10)*$A132*10/30+('Scénario référence'!$F$8+'Scénario référence'!$F$9)*10)</f>
        <v>10</v>
      </c>
      <c r="ND132" s="12" t="e">
        <f>VLOOKUP($A132,'Données projet'!$A$486:$I$506,2,0)</f>
        <v>#N/A</v>
      </c>
      <c r="NE132" s="12" t="e">
        <f>VLOOKUP($A132,'Données projet'!$A$486:$I$506,9,0)</f>
        <v>#N/A</v>
      </c>
      <c r="NF132" s="12">
        <f t="array" ref="NF132">INDEX(NE:NE,MIN(IF(ISNUMBER(NE132:NE328),ROW(NE132:NE328),"")))</f>
        <v>0</v>
      </c>
      <c r="NG132" s="12">
        <f>IF('Données projet'!$A$486&gt;35,NG131+NF132-NO131,IF($A132&lt;'Données projet'!$A$486,$CQ$205^$A132,IF($A132='Données projet'!$A$486,'Données projet'!$B$486,NG131+NF132-NO131)))</f>
        <v>0</v>
      </c>
      <c r="NH132" s="17" t="e">
        <f>NG132*VLOOKUP('Données projet'!$B$26,Paramètres!$A$1:$I$89,3,0)*VLOOKUP('Données projet'!$B$26,Paramètres!$A$1:$I$89,5,0)</f>
        <v>#N/A</v>
      </c>
      <c r="NI132" s="13" t="e">
        <f t="shared" si="216"/>
        <v>#N/A</v>
      </c>
      <c r="NJ132" s="14" t="e">
        <f t="shared" ref="NJ132:NJ195" si="275">(NH132+NI132)*0.475*44/12</f>
        <v>#N/A</v>
      </c>
      <c r="NK132" s="59" t="e">
        <f t="shared" ref="NK132:NK195" si="276">NJ132+(NB132+NC132)*44/12</f>
        <v>#N/A</v>
      </c>
      <c r="NL132" s="20" t="e">
        <f ca="1">AVERAGE(OFFSET($NK$3,0,0,'Données projet'!$E$26+1,1))-AVERAGE(OFFSET($H$3,0,0,'Données projet'!$E$26+1,1))</f>
        <v>#N/A</v>
      </c>
      <c r="NM132" s="59" t="e">
        <f t="shared" si="217"/>
        <v>#N/A</v>
      </c>
      <c r="NN132" s="15">
        <f>IF(ISNA(VLOOKUP($A132,'Données projet'!$A$486:$I$506,3,0)),0,VLOOKUP($A132,'Données projet'!$A$486:$I$506,3,0))</f>
        <v>0</v>
      </c>
      <c r="NO132" s="15">
        <f>IF(ISNA(VLOOKUP($A132,'Données projet'!$A$486:$I$506,4,0)),0,VLOOKUP($A132,'Données projet'!$A$486:$I$506,4,0))</f>
        <v>0</v>
      </c>
      <c r="NP132" s="16">
        <f>IF(ISNA(VLOOKUP($A132,'Données projet'!$A$486:$I$506,5,0)),0%,VLOOKUP($A132,'Données projet'!$A$486:$I$506,5,0)*VLOOKUP('Données projet'!$B$26,Paramètres!$A$1:$I$89,7,0))</f>
        <v>0</v>
      </c>
      <c r="NQ132" s="16">
        <f>IF(ISNA(VLOOKUP($A132,'Données projet'!$A$486:$I$506,6,0)),0%,VLOOKUP($A132,'Données projet'!$A$486:$I$506,6,0)*VLOOKUP('Données projet'!$B$26,Paramètres!$A$1:$I$89,7,0))</f>
        <v>0</v>
      </c>
      <c r="NR132" s="16">
        <f>IF(ISNA(VLOOKUP($A132,'Données projet'!$A$486:$I$506,7,0)),0%,VLOOKUP($A132,'Données projet'!$A$486:$I$506,7,0))</f>
        <v>0</v>
      </c>
      <c r="NS132" s="21" t="e">
        <f>EXP(-LN(2)/35)*NS131+(1-EXP(-LN(2)/35))/(LN(2)/35)*NO132*NP132*VLOOKUP('Données projet'!$B$26,Paramètres!$A$1:$I$89,3,0)*0.475*44/12</f>
        <v>#N/A</v>
      </c>
      <c r="NT132" s="21" t="e">
        <f>EXP(-LN(2)/25)*NT131+(1-EXP(-LN(2)/25))/(LN(2)/25)*Calculateur!NO132*Calculateur!NQ132*VLOOKUP('Données projet'!$B$26,Paramètres!$A$1:$I$89,3,0)*0.475*44/12</f>
        <v>#N/A</v>
      </c>
      <c r="NU132" s="21" t="e">
        <f>EXP(-LN(2)/2)*NU131+(1-EXP(-LN(2)/2))/(LN(2)/2)*NO132*NR132*VLOOKUP('Données projet'!$B$26,Paramètres!$A$1:$I$89,3,0)*0.475*44/12</f>
        <v>#N/A</v>
      </c>
      <c r="NV132" s="22" t="e">
        <f t="shared" ref="NV132:NV195" si="277">SUM(NS132:NU132)</f>
        <v>#N/A</v>
      </c>
      <c r="NW132" s="74">
        <f>('Scénario référence'!$F$8+'Scénario référence'!$F$9+'Scénario référence'!$B$17+'Scénario référence'!$B$9+'Scénario référence'!$B$10)*70+IF((45+25*(1-EXP(-0.0175*$A132)))&lt;70,'Scénario référence'!$B$16*(45+25*(1-EXP(-0.0175*$A132))),70*'Scénario référence'!$B$16)+IF((32+38*(1-EXP(-0.0175*$A132)))&lt;70,'Scénario référence'!$B$18*(32+38*(1-EXP(-0.0175*$A132))),70*'Scénario référence'!$B$18)</f>
        <v>70</v>
      </c>
      <c r="NX132" s="12">
        <f>IF($A132&gt;30,10,('Scénario référence'!$B$16+'Scénario référence'!$B$17+'Scénario référence'!$B$18+'Scénario référence'!$B$9+'Scénario référence'!$B$10)*$A132*10/30+('Scénario référence'!$F$8+'Scénario référence'!$F$9)*10)</f>
        <v>10</v>
      </c>
      <c r="NY132" s="12" t="e">
        <f>VLOOKUP($A132,'Données projet'!$A$512:$I$532,2,0)</f>
        <v>#N/A</v>
      </c>
      <c r="NZ132" s="12" t="e">
        <f>VLOOKUP($A132,'Données projet'!$A$512:$I$532,9,0)</f>
        <v>#N/A</v>
      </c>
      <c r="OA132" s="12">
        <f t="array" ref="OA132">INDEX(NZ:NZ,MIN(IF(ISNUMBER(NZ132:NZ328),ROW(NZ132:NZ328),"")))</f>
        <v>0</v>
      </c>
      <c r="OB132" s="12">
        <f>IF('Données projet'!$A$512&gt;35,OB131+OA132-OJ131,IF($A132&lt;'Données projet'!$A$512,$CQ$205^$A132,IF($A132='Données projet'!$A$512,'Données projet'!$B$512,OB131+OA132-OJ131)))</f>
        <v>0</v>
      </c>
      <c r="OC132" s="17" t="e">
        <f>OB132*VLOOKUP('Données projet'!$B$27,Paramètres!$A$1:$I$89,3,0)*VLOOKUP('Données projet'!$B$27,Paramètres!$A$1:$I$89,5,0)</f>
        <v>#N/A</v>
      </c>
      <c r="OD132" s="13" t="e">
        <f t="shared" si="218"/>
        <v>#N/A</v>
      </c>
      <c r="OE132" s="14" t="e">
        <f t="shared" ref="OE132:OE195" si="278">(OC132+OD132)*0.475*44/12</f>
        <v>#N/A</v>
      </c>
      <c r="OF132" s="59" t="e">
        <f t="shared" ref="OF132:OF195" si="279">OE132+(NW132+NX132)*44/12</f>
        <v>#N/A</v>
      </c>
      <c r="OG132" s="20" t="e">
        <f ca="1">AVERAGE(OFFSET($OF$3,0,0,'Données projet'!$E$27+1,1))-AVERAGE(OFFSET($H$3,0,0,'Données projet'!$E$27+1,1))</f>
        <v>#N/A</v>
      </c>
      <c r="OH132" s="59" t="e">
        <f t="shared" si="219"/>
        <v>#N/A</v>
      </c>
      <c r="OI132" s="15">
        <f>IF(ISNA(VLOOKUP($A132,'Données projet'!$A$512:$I$532,3,0)),0,VLOOKUP($A132,'Données projet'!$A$512:$I$532,3,0))</f>
        <v>0</v>
      </c>
      <c r="OJ132" s="15">
        <f>IF(ISNA(VLOOKUP($A132,'Données projet'!$A$512:$I$532,4,0)),0,VLOOKUP($A132,'Données projet'!$A$512:$I$532,4,0))</f>
        <v>0</v>
      </c>
      <c r="OK132" s="16">
        <f>IF(ISNA(VLOOKUP($A132,'Données projet'!$A$512:$I$532,5,0)),0%,VLOOKUP($A132,'Données projet'!$A$512:$I$532,5,0)*VLOOKUP('Données projet'!$B$27,Paramètres!$A$1:$I$89,7,0))</f>
        <v>0</v>
      </c>
      <c r="OL132" s="16">
        <f>IF(ISNA(VLOOKUP($A132,'Données projet'!$A$512:$I$532,6,0)),0%,VLOOKUP($A132,'Données projet'!$A$512:$I$532,6,0)*VLOOKUP('Données projet'!$B$27,Paramètres!$A$1:$I$89,7,0))</f>
        <v>0</v>
      </c>
      <c r="OM132" s="16">
        <f>IF(ISNA(VLOOKUP($A132,'Données projet'!$A$512:$I$532,7,0)),0%,VLOOKUP($A132,'Données projet'!$A$512:$I$532,7,0))</f>
        <v>0</v>
      </c>
      <c r="ON132" s="21" t="e">
        <f>EXP(-LN(2)/35)*ON131+(1-EXP(-LN(2)/35))/(LN(2)/35)*OJ132*OK132*VLOOKUP('Données projet'!$B$27,Paramètres!$A$1:$I$89,3,0)*0.475*44/12</f>
        <v>#N/A</v>
      </c>
      <c r="OO132" s="21" t="e">
        <f>EXP(-LN(2)/25)*OO131+(1-EXP(-LN(2)/25))/(LN(2)/25)*Calculateur!OJ132*Calculateur!OL132*VLOOKUP('Données projet'!$B$27,Paramètres!$A$1:$I$89,3,0)*0.475*44/12</f>
        <v>#N/A</v>
      </c>
      <c r="OP132" s="21" t="e">
        <f>EXP(-LN(2)/2)*OP131+(1-EXP(-LN(2)/2))/(LN(2)/2)*OJ132*OM132*VLOOKUP('Données projet'!$B$27,Paramètres!$A$1:$I$89,3,0)*0.475*44/12</f>
        <v>#N/A</v>
      </c>
      <c r="OQ132" s="22" t="e">
        <f t="shared" ref="OQ132:OQ195" si="280">SUM(ON132:OP132)</f>
        <v>#N/A</v>
      </c>
      <c r="OR132" s="74">
        <f>('Scénario référence'!$F$8+'Scénario référence'!$F$9+'Scénario référence'!$B$17+'Scénario référence'!$B$9+'Scénario référence'!$B$10)*70+IF((45+25*(1-EXP(-0.0175*$A132)))&lt;70,'Scénario référence'!$B$16*(45+25*(1-EXP(-0.0175*$A132))),70*'Scénario référence'!$B$16)+IF((32+38*(1-EXP(-0.0175*$A132)))&lt;70,'Scénario référence'!$B$18*(32+38*(1-EXP(-0.0175*$A132))),70*'Scénario référence'!$B$18)</f>
        <v>70</v>
      </c>
      <c r="OS132" s="12">
        <f>IF($A132&gt;30,10,('Scénario référence'!$B$16+'Scénario référence'!$B$17+'Scénario référence'!$B$18+'Scénario référence'!$B$9+'Scénario référence'!$B$10)*$A132*10/30+('Scénario référence'!$F$8+'Scénario référence'!$F$9)*10)</f>
        <v>10</v>
      </c>
      <c r="OT132" s="12" t="e">
        <f>VLOOKUP($A132,'Données projet'!$A$538:$I$558,2,0)</f>
        <v>#N/A</v>
      </c>
      <c r="OU132" s="12" t="e">
        <f>VLOOKUP($A132,'Données projet'!$A$538:$I$558,9,0)</f>
        <v>#N/A</v>
      </c>
      <c r="OV132" s="12">
        <f t="array" ref="OV132">INDEX(OU:OU,MIN(IF(ISNUMBER(OU132:OU328),ROW(OU132:OU328),"")))</f>
        <v>0</v>
      </c>
      <c r="OW132" s="12">
        <f>IF('Données projet'!$A$538&gt;35,OW131+OV132-PE131,IF($A132&lt;'Données projet'!$A$538,$CQ$205^$A132,IF($A132='Données projet'!$A$538,'Données projet'!$B$538,OW131+OV132-PE131)))</f>
        <v>0</v>
      </c>
      <c r="OX132" s="17" t="e">
        <f>OW132*VLOOKUP('Données projet'!$B$28,Paramètres!$A$1:$I$89,3,0)*VLOOKUP('Données projet'!$B$28,Paramètres!$A$1:$I$89,5,0)</f>
        <v>#N/A</v>
      </c>
      <c r="OY132" s="13" t="e">
        <f t="shared" si="220"/>
        <v>#N/A</v>
      </c>
      <c r="OZ132" s="14" t="e">
        <f t="shared" ref="OZ132:OZ195" si="281">(OX132+OY132)*0.475*44/12</f>
        <v>#N/A</v>
      </c>
      <c r="PA132" s="59" t="e">
        <f t="shared" ref="PA132:PA195" si="282">OZ132+(OR132+OS132)*44/12</f>
        <v>#N/A</v>
      </c>
      <c r="PB132" s="20" t="e">
        <f ca="1">AVERAGE(OFFSET($PA$3,0,0,'Données projet'!$E$28+1,1))-AVERAGE(OFFSET($H$3,0,0,'Données projet'!$E$28+1,1))</f>
        <v>#N/A</v>
      </c>
      <c r="PC132" s="59" t="e">
        <f t="shared" si="221"/>
        <v>#N/A</v>
      </c>
      <c r="PD132" s="15">
        <f>IF(ISNA(VLOOKUP($A132,'Données projet'!$A$538:$I$558,3,0)),0,VLOOKUP($A132,'Données projet'!$A$538:$I$558,3,0))</f>
        <v>0</v>
      </c>
      <c r="PE132" s="15">
        <f>IF(ISNA(VLOOKUP($A132,'Données projet'!$A$538:$I$558,4,0)),0,VLOOKUP($A132,'Données projet'!$A$538:$I$558,4,0))</f>
        <v>0</v>
      </c>
      <c r="PF132" s="16">
        <f>IF(ISNA(VLOOKUP($A132,'Données projet'!$A$538:$I$558,5,0)),0%,VLOOKUP($A132,'Données projet'!$A$538:$I$558,5,0)*VLOOKUP('Données projet'!$B$28,Paramètres!$A$1:$I$89,7,0))</f>
        <v>0</v>
      </c>
      <c r="PG132" s="16">
        <f>IF(ISNA(VLOOKUP($A132,'Données projet'!$A$538:$I$558,6,0)),0%,VLOOKUP($A132,'Données projet'!$A$538:$I$558,6,0)*VLOOKUP('Données projet'!$B$28,Paramètres!$A$1:$I$89,7,0))</f>
        <v>0</v>
      </c>
      <c r="PH132" s="16">
        <f>IF(ISNA(VLOOKUP($A132,'Données projet'!$A$538:$I$558,7,0)),0%,VLOOKUP($A132,'Données projet'!$A$538:$I$558,7,0))</f>
        <v>0</v>
      </c>
      <c r="PI132" s="21" t="e">
        <f>EXP(-LN(2)/35)*PI131+(1-EXP(-LN(2)/35))/(LN(2)/35)*PE132*PF132*VLOOKUP('Données projet'!$B$28,Paramètres!$A$1:$I$89,3,0)*0.475*44/12</f>
        <v>#N/A</v>
      </c>
      <c r="PJ132" s="21" t="e">
        <f>EXP(-LN(2)/25)*PJ131+(1-EXP(-LN(2)/25))/(LN(2)/25)*Calculateur!PE132*Calculateur!PG132*VLOOKUP('Données projet'!$B$28,Paramètres!$A$1:$I$89,3,0)*0.475*44/12</f>
        <v>#N/A</v>
      </c>
      <c r="PK132" s="21" t="e">
        <f>EXP(-LN(2)/2)*PK131+(1-EXP(-LN(2)/2))/(LN(2)/2)*PE132*PH132*VLOOKUP('Données projet'!$B$28,Paramètres!$A$1:$I$89,3,0)*0.475*44/12</f>
        <v>#N/A</v>
      </c>
      <c r="PL132" s="22" t="e">
        <f t="shared" ref="PL132:PL195" si="283">SUM(PI132:PK132)</f>
        <v>#N/A</v>
      </c>
    </row>
    <row r="133" spans="1:428" x14ac:dyDescent="0.35">
      <c r="A133" s="10">
        <f t="shared" ref="A133:A152" si="284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285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225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projet'!$A$45:$I$65,2,0)</f>
        <v>#N/A</v>
      </c>
      <c r="L133" s="12" t="e">
        <f>VLOOKUP(A133,'Données projet'!$A$45:$I$65,9,0)</f>
        <v>#N/A</v>
      </c>
      <c r="M133" s="12">
        <f t="array" ref="M133">INDEX(L:L,MIN(IF(ISNUMBER(L133:L329),ROW(L133:L329),"")))</f>
        <v>0</v>
      </c>
      <c r="N133" s="13">
        <f>IF('Données projet'!$A$46&gt;35,N132+M133-V132,IF(A133&lt;'Données projet'!$A$46,$K$205^A133,IF(A133='Données projet'!$A$46,'Données projet'!$B$46,N132+M133-V132)))</f>
        <v>-1.1368683772161603E-13</v>
      </c>
      <c r="O133" s="13">
        <f>N133*VLOOKUP('Données projet'!$B$9,Paramètres!$A$1:$I$89,3,0)*VLOOKUP('Données projet'!$B$9,Paramètres!$A$1:$I$89,5,0)</f>
        <v>-6.3550942286383367E-14</v>
      </c>
      <c r="P133" s="13" t="e">
        <f t="shared" ref="P133:P196" si="286">EXP(-1.0587+0.8836*LN(O133)+0.284)</f>
        <v>#NUM!</v>
      </c>
      <c r="Q133" s="20" t="e">
        <f t="shared" si="223"/>
        <v>#NUM!</v>
      </c>
      <c r="R133" s="59" t="e">
        <f t="shared" si="224"/>
        <v>#NUM!</v>
      </c>
      <c r="S133" s="59">
        <f ca="1">AVERAGE(OFFSET($R$3,0,0,'Données projet'!$E$9+1,1))-AVERAGE(OFFSET($H$3,0,0,'Données projet'!$E$9+1,1))</f>
        <v>274.57619581652199</v>
      </c>
      <c r="T133" s="59">
        <f t="shared" ref="T133:T196" si="287">$T$3</f>
        <v>366.15117322598775</v>
      </c>
      <c r="U133" s="15">
        <f>IF(ISNA(VLOOKUP(A133,'Données projet'!$A$45:$I$65,3,0)),0,VLOOKUP(A133,'Données projet'!$A$45:$I$65,3,0))</f>
        <v>0</v>
      </c>
      <c r="V133" s="15">
        <f>IF(ISNA(VLOOKUP(A133,'Données projet'!$A$45:$I$65,4,0)),0,VLOOKUP(A133,'Données projet'!$A$45:$I$65,4,0))</f>
        <v>0</v>
      </c>
      <c r="W133" s="16">
        <f>IF(ISNA(VLOOKUP(A133,'Données projet'!$A$45:$I$65,5,0)),0%,VLOOKUP(A133,'Données projet'!$A$45:$I$65,5,0)*VLOOKUP('Données projet'!$B$9,Paramètres!$A$1:$I$89,7,0))</f>
        <v>0</v>
      </c>
      <c r="X133" s="16">
        <f>IF(ISNA(VLOOKUP(A133,'Données projet'!$A$45:$I$65,6,0)),0%,VLOOKUP(A133,'Données projet'!$A$45:$I$65,6,0)*VLOOKUP('Données projet'!$B$9,Paramètres!$A$1:$I$89,7,0))</f>
        <v>0</v>
      </c>
      <c r="Y133" s="16">
        <f>IF(ISNA(VLOOKUP(A133,'Données projet'!$A$45:$I$65,7,0)),0%,VLOOKUP(A133,'Données projet'!$A$45:$I$65,7,0))</f>
        <v>0</v>
      </c>
      <c r="Z133" s="21">
        <f>EXP(-LN(2)/35)*Z132+(1-EXP(-LN(2)/35))/(LN(2)/35)*V133*W133*VLOOKUP('Données projet'!$B$9,Paramètres!$A$1:$I$89,3,0)*0.475*44/12</f>
        <v>51.322170701624707</v>
      </c>
      <c r="AA133" s="21">
        <f>EXP(-LN(2)/25)*AA132+(1-EXP(-LN(2)/25))/(LN(2)/25)*Calculateur!V133*Calculateur!X133*VLOOKUP('Données projet'!$B$9,Paramètres!$A$1:$I$89,3,0)*0.475*44/12</f>
        <v>7.2009600485299945</v>
      </c>
      <c r="AB133" s="21">
        <f>EXP(-LN(2)/2)*AB132+(1-EXP(-LN(2)/2))/(LN(2)/2)*V133*Y133*VLOOKUP('Données projet'!$B$9,Paramètres!$A$1:$I$89,3,0)*0.475*44/12</f>
        <v>1.7575577451122145E-10</v>
      </c>
      <c r="AC133" s="22">
        <f t="shared" si="226"/>
        <v>58.523130750330452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projet'!$A$71:$I$91,2,0)</f>
        <v>#N/A</v>
      </c>
      <c r="AG133" s="12" t="e">
        <f>VLOOKUP(A133,'Données projet'!$A$71:$I$91,9,0)</f>
        <v>#N/A</v>
      </c>
      <c r="AH133" s="12">
        <f t="array" ref="AH133">INDEX(AG:AG,MIN(IF(ISNUMBER(AG133:AG329),ROW(AG133:AG329),"")))</f>
        <v>1.5064102564102591</v>
      </c>
      <c r="AI133" s="13">
        <f>IF('Données projet'!$A$72&gt;35,AI132+AH133-AQ132,IF(A133&lt;'Données projet'!$A$72,$AF$205^A133,IF(A133='Données projet'!$A$72,'Données projet'!$B$72,AI132+AH133-AQ132)))</f>
        <v>109.40384615384671</v>
      </c>
      <c r="AJ133" s="13">
        <f>AI133*VLOOKUP('Données projet'!$B$10,Paramètres!$A$1:$I$89,3,0)*VLOOKUP('Données projet'!$B$10,Paramètres!$A$1:$I$89,5,0)</f>
        <v>98.988600000000503</v>
      </c>
      <c r="AK133" s="13">
        <f t="shared" ref="AK133:AK153" si="288">EXP(-1.0587+0.8836*LN(AJ133)+0.284)</f>
        <v>26.720903075724102</v>
      </c>
      <c r="AL133" s="20">
        <f t="shared" si="227"/>
        <v>218.94405119022034</v>
      </c>
      <c r="AM133" s="59">
        <f t="shared" si="228"/>
        <v>512.27738452355368</v>
      </c>
      <c r="AN133" s="59">
        <f ca="1">AVERAGE(OFFSET($AM$3,0,0,'Données projet'!$E$10+1,1))-AVERAGE(OFFSET($H$3,0,0,'Données projet'!$E$10+1,1))</f>
        <v>270.87836509222456</v>
      </c>
      <c r="AO133" s="59">
        <f t="shared" ref="AO133:AO196" si="289">$AO$3</f>
        <v>205.24998237949734</v>
      </c>
      <c r="AP133" s="15">
        <f>IF(ISNA(VLOOKUP(A133,'Données projet'!$A$71:$I$91,3,0)),0,VLOOKUP(A133,'Données projet'!$A$71:$I$91,3,0))</f>
        <v>0</v>
      </c>
      <c r="AQ133" s="15">
        <f>IF(ISNA(VLOOKUP(A133,'Données projet'!$A$71:$I$91,4,0)),0,VLOOKUP(A133,'Données projet'!$A$71:$I$91,4,0))</f>
        <v>0</v>
      </c>
      <c r="AR133" s="16">
        <f>IF(ISNA(VLOOKUP(A133,'Données projet'!$A$71:$I$91,5,0)),0%,VLOOKUP(A133,'Données projet'!$A$71:$I$91,5,0)*VLOOKUP('Données projet'!$B$10,Paramètres!$A$1:$I$89,7,0))</f>
        <v>0</v>
      </c>
      <c r="AS133" s="16">
        <f>IF(ISNA(VLOOKUP(A133,'Données projet'!$A$71:$I$91,6,0)),0%,VLOOKUP(A133,'Données projet'!$A$71:$I$91,6,0)*VLOOKUP('Données projet'!$B$10,Paramètres!$A$1:$I$89,7,0))</f>
        <v>0</v>
      </c>
      <c r="AT133" s="16">
        <f>IF(ISNA(VLOOKUP(A133,'Données projet'!$A$71:$I$91,7,0)),0%,VLOOKUP(A133,'Données projet'!$A$71:$I$91,7,0))</f>
        <v>0</v>
      </c>
      <c r="AU133" s="21">
        <f>EXP(-LN(2)/35)*AU132+(1-EXP(-LN(2)/35))/(LN(2)/35)*AQ133*AR133*VLOOKUP('Données projet'!$B$10,Paramètres!$A$1:$I$89,3,0)*0.475*44/12</f>
        <v>130.61497602184949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229"/>
        <v>130.61497602184949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projet'!$A$97:$I$117,2,0)</f>
        <v>#N/A</v>
      </c>
      <c r="BB133" s="12" t="e">
        <f>VLOOKUP(A133,'Données projet'!$A$97:$I$117,9,0)</f>
        <v>#N/A</v>
      </c>
      <c r="BC133" s="12">
        <f t="array" ref="BC133">INDEX(BB:BB,MIN(IF(ISNUMBER(BB133:BB329),ROW(BB133:BB329),"")))</f>
        <v>0</v>
      </c>
      <c r="BD133" s="12">
        <f>IF('Données projet'!$A$98&gt;35,BD132+BC133-BL132,IF(A133&lt;'Données projet'!$A$98,$BA$205^A133,IF(A133='Données projet'!$A$98,'Données projet'!$B$98,BD132+BC133-BL132)))</f>
        <v>-1.1368683772161603E-13</v>
      </c>
      <c r="BE133" s="13">
        <f>BD133*VLOOKUP('Données projet'!$B$11,Paramètres!$A$1:$I$89,3,0)*VLOOKUP('Données projet'!$B$11,Paramètres!$A$1:$I$89,5,0)</f>
        <v>-5.0249582272954292E-14</v>
      </c>
      <c r="BF133" s="13" t="e">
        <f t="shared" ref="BF133:BF153" si="290">EXP(-1.0587+0.8836*LN(BE133)+0.284)</f>
        <v>#NUM!</v>
      </c>
      <c r="BG133" s="20" t="e">
        <f t="shared" si="230"/>
        <v>#NUM!</v>
      </c>
      <c r="BH133" s="59" t="e">
        <f t="shared" si="231"/>
        <v>#NUM!</v>
      </c>
      <c r="BI133" s="59">
        <f ca="1">AVERAGE(OFFSET($BH$3,0,0,'Données projet'!$E$11+1,1))-AVERAGE(OFFSET($H$3,0,0,'Données projet'!$E$11+1,1))</f>
        <v>211.31057120485542</v>
      </c>
      <c r="BJ133" s="59">
        <f t="shared" ref="BJ133:BJ196" si="291">$BJ$3</f>
        <v>283.33292006714777</v>
      </c>
      <c r="BK133" s="15">
        <f>IF(ISNA(VLOOKUP(A133,'Données projet'!$A$97:$I$117,3,0)),0,VLOOKUP(A133,'Données projet'!$A$97:$I$117,3,0))</f>
        <v>0</v>
      </c>
      <c r="BL133" s="15">
        <f>IF(ISNA(VLOOKUP(A133,'Données projet'!$A$97:$I$117,4,0)),0,VLOOKUP(A133,'Données projet'!$A$97:$I$117,4,0))</f>
        <v>0</v>
      </c>
      <c r="BM133" s="16">
        <f>IF(ISNA(VLOOKUP(A133,'Données projet'!$A$97:$I$117,5,0)),0%,VLOOKUP(A133,'Données projet'!$A$97:$I$117,5,0)*VLOOKUP('Données projet'!$B$11,Paramètres!$A$1:$I$89,7,0))</f>
        <v>0</v>
      </c>
      <c r="BN133" s="16">
        <f>IF(ISNA(VLOOKUP(A133,'Données projet'!$A$97:$I$117,6,0)),0%,VLOOKUP(A133,'Données projet'!$A$97:$I$117,6,0)*VLOOKUP('Données projet'!$B$11,Paramètres!$A$1:$I$89,7,0))</f>
        <v>0</v>
      </c>
      <c r="BO133" s="16">
        <f>IF(ISNA(VLOOKUP(A133,'Données projet'!$A$97:$I$117,7,0)),0%,VLOOKUP(A133,'Données projet'!$A$97:$I$117,7,0))</f>
        <v>0</v>
      </c>
      <c r="BP133" s="21">
        <f>EXP(-LN(2)/35)*BP132+(1-EXP(-LN(2)/35))/(LN(2)/35)*BL133*BM133*VLOOKUP('Données projet'!$B$11,Paramètres!$A$1:$I$89,3,0)*0.475*44/12</f>
        <v>40.580321019889318</v>
      </c>
      <c r="BQ133" s="21">
        <f>EXP(-LN(2)/25)*BQ132+(1-EXP(-LN(2)/25))/(LN(2)/25)*Calculateur!BL133*Calculateur!BN133*VLOOKUP('Données projet'!$B$11,Paramètres!$A$1:$I$89,3,0)*0.475*44/12</f>
        <v>5.6937823639539458</v>
      </c>
      <c r="BR133" s="21">
        <f>EXP(-LN(2)/2)*BR132+(1-EXP(-LN(2)/2))/(LN(2)/2)*BL133*BO133*VLOOKUP('Données projet'!$B$11,Paramètres!$A$1:$I$89,3,0)*0.475*44/12</f>
        <v>1.3896968217166345E-10</v>
      </c>
      <c r="BS133" s="22">
        <f t="shared" si="232"/>
        <v>46.274103383982229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projet'!$A$123:$I$143,2,0)</f>
        <v>#N/A</v>
      </c>
      <c r="BW133" s="12" t="e">
        <f>VLOOKUP(A133,'Données projet'!$A$123:$I$143,9,0)</f>
        <v>#N/A</v>
      </c>
      <c r="BX133" s="12">
        <f t="array" ref="BX133">INDEX(BW:BW,MIN(IF(ISNUMBER(BW133:BW329),ROW(BW133:BW329),"")))</f>
        <v>0</v>
      </c>
      <c r="BY133" s="12">
        <f>IF('Données projet'!$A$124&gt;35,BY132+BX133-CG132,IF(A133&lt;'Données projet'!$A$124,$BV$205^A133,IF(A133='Données projet'!$A$124,'Données projet'!$B$124,BY132+BX133-CG132)))</f>
        <v>0</v>
      </c>
      <c r="BZ133" s="13">
        <f>BY133*VLOOKUP('Données projet'!$B$12,Paramètres!$A$1:$I$89,3,0)*VLOOKUP('Données projet'!$B$12,Paramètres!$A$1:$I$89,5,0)</f>
        <v>0</v>
      </c>
      <c r="CA133" s="13" t="e">
        <f t="shared" ref="CA133:CA153" si="292">EXP(-1.0587+0.8836*LN(BZ133)+0.284)</f>
        <v>#NUM!</v>
      </c>
      <c r="CB133" s="20" t="e">
        <f t="shared" si="233"/>
        <v>#NUM!</v>
      </c>
      <c r="CC133" s="59" t="e">
        <f t="shared" si="234"/>
        <v>#NUM!</v>
      </c>
      <c r="CD133" s="59">
        <f ca="1">AVERAGE(OFFSET($CC$3,0,0,'Données projet'!$E$12+1,1))-AVERAGE(OFFSET($H$3,0,0,'Données projet'!$E$12+1,1))</f>
        <v>322.93502595881938</v>
      </c>
      <c r="CE133" s="59">
        <f t="shared" ref="CE133:CE196" si="293">$CE$3</f>
        <v>302.67072119588164</v>
      </c>
      <c r="CF133" s="15">
        <f>IF(ISNA(VLOOKUP(A133,'Données projet'!$A$123:$I$143,3,0)),0,VLOOKUP(A133,'Données projet'!$A$123:$I$143,3,0))</f>
        <v>0</v>
      </c>
      <c r="CG133" s="15">
        <f>IF(ISNA(VLOOKUP(A133,'Données projet'!$A$123:$I$143,4,0)),0,VLOOKUP(A133,'Données projet'!$A$123:$I$143,4,0))</f>
        <v>0</v>
      </c>
      <c r="CH133" s="16">
        <f>IF(ISNA(VLOOKUP(A133,'Données projet'!$A$123:$I$143,5,0)),0%,VLOOKUP(A133,'Données projet'!$A$123:$I$143,5,0)*VLOOKUP('Données projet'!$B$12,Paramètres!$A$1:$I$89,7,0))</f>
        <v>0</v>
      </c>
      <c r="CI133" s="16">
        <f>IF(ISNA(VLOOKUP(A133,'Données projet'!$A$123:$I$143,6,0)),0%,VLOOKUP(A133,'Données projet'!$A$123:$I$143,6,0)*VLOOKUP('Données projet'!$B$12,Paramètres!$A$1:$I$89,7,0))</f>
        <v>0</v>
      </c>
      <c r="CJ133" s="16">
        <f>IF(ISNA(VLOOKUP(A133,'Données projet'!$A$123:$I$143,7,0)),0%,VLOOKUP(A133,'Données projet'!$A$123:$I$143,7,0))</f>
        <v>0</v>
      </c>
      <c r="CK133" s="21">
        <f>EXP(-LN(2)/35)*CK132+(1-EXP(-LN(2)/35))/(LN(2)/35)*CG133*CH133*VLOOKUP('Données projet'!$B$12,Paramètres!$A$1:$I$89,3,0)*0.475*44/12</f>
        <v>64.654256978581955</v>
      </c>
      <c r="CL133" s="21">
        <f>EXP(-LN(2)/25)*CL132+(1-EXP(-LN(2)/25))/(LN(2)/25)*Calculateur!CG133*Calculateur!CI133*VLOOKUP('Données projet'!$B$12,Paramètres!$A$1:$I$89,3,0)*0.475*44/12</f>
        <v>18.223548524863251</v>
      </c>
      <c r="CM133" s="21">
        <f>EXP(-LN(2)/2)*CM132+(1-EXP(-LN(2)/2))/(LN(2)/2)*CG133*CJ133*VLOOKUP('Données projet'!$B$12,Paramètres!$A$1:$I$89,3,0)*0.475*44/12</f>
        <v>0</v>
      </c>
      <c r="CN133" s="22">
        <f t="shared" si="235"/>
        <v>82.877805503445202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projet'!$A$149:$I$169,2,0)</f>
        <v>#N/A</v>
      </c>
      <c r="CR133" s="12" t="e">
        <f>VLOOKUP(A133,'Données projet'!$A$149:$I$169,9,0)</f>
        <v>#N/A</v>
      </c>
      <c r="CS133" s="12">
        <f t="array" ref="CS133">INDEX(CR:CR,MIN(IF(ISNUMBER(CR133:CR329),ROW(CR133:CR329),"")))</f>
        <v>5.2446581196581219</v>
      </c>
      <c r="CT133" s="12">
        <f>IF('Données projet'!$A$150&gt;35,CT132+CS133-DB132,IF(A133&lt;'Données projet'!$A$150,$CQ$205^A133,IF(A133='Données projet'!$A$150,'Données projet'!$B$150,CT132+CS133-DB132)))</f>
        <v>256.35790598290549</v>
      </c>
      <c r="CU133" s="17">
        <f>CT133*VLOOKUP('Données projet'!$B$13,Paramètres!$A$1:$I$89,3,0)*VLOOKUP('Données projet'!$B$13,Paramètres!$A$1:$I$89,5,0)</f>
        <v>259.9469166666662</v>
      </c>
      <c r="CV133" s="13">
        <f t="shared" ref="CV133:CV153" si="294">EXP(-1.0587+0.8836*LN(CU133)+0.284)</f>
        <v>62.71106260017865</v>
      </c>
      <c r="CW133" s="20">
        <f t="shared" si="236"/>
        <v>561.96264722308808</v>
      </c>
      <c r="CX133" s="59">
        <f t="shared" si="237"/>
        <v>855.29598055642145</v>
      </c>
      <c r="CY133" s="59">
        <f ca="1">AVERAGE(OFFSET($CX$3,0,0,'Données projet'!$E$13+1,1))-AVERAGE(OFFSET($H$3,0,0,'Données projet'!$E$13+1,1))</f>
        <v>250.31277422753283</v>
      </c>
      <c r="CZ133" s="59">
        <f t="shared" ref="CZ133:CZ196" si="295">$CZ$3</f>
        <v>159.20429420478047</v>
      </c>
      <c r="DA133" s="15">
        <f>IF(ISNA(VLOOKUP(A133,'Données projet'!$A$149:$I$169,3,0)),0,VLOOKUP(A133,'Données projet'!$A$149:$I$169,3,0))</f>
        <v>0</v>
      </c>
      <c r="DB133" s="15">
        <f>IF(ISNA(VLOOKUP(A133,'Données projet'!$A$149:$I$169,4,0)),0,VLOOKUP(A133,'Données projet'!$A$149:$I$169,4,0))</f>
        <v>0</v>
      </c>
      <c r="DC133" s="16">
        <f>IF(ISNA(VLOOKUP(A133,'Données projet'!$A$149:$I$169,5,0)),0%,VLOOKUP(A133,'Données projet'!$A$149:$I$169,5,0)*VLOOKUP('Données projet'!$B$13,Paramètres!$A$1:$I$89,7,0))</f>
        <v>0</v>
      </c>
      <c r="DD133" s="16">
        <f>IF(ISNA(VLOOKUP(A133,'Données projet'!$A$149:$I$169,6,0)),0%,VLOOKUP(A133,'Données projet'!$A$149:$I$169,6,0)*VLOOKUP('Données projet'!$B$13,Paramètres!$A$1:$I$89,7,0))</f>
        <v>0</v>
      </c>
      <c r="DE133" s="16">
        <f>IF(ISNA(VLOOKUP(A133,'Données projet'!$A$149:$I$169,7,0)),0%,VLOOKUP(A133,'Données projet'!$A$149:$I$169,7,0))</f>
        <v>0</v>
      </c>
      <c r="DF133" s="21">
        <f>EXP(-LN(2)/35)*DF132+(1-EXP(-LN(2)/35))/(LN(2)/35)*DB133*DC133*VLOOKUP('Données projet'!$B$13,Paramètres!$A$1:$I$89,3,0)*0.475*44/12</f>
        <v>43.290690192956085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238"/>
        <v>43.290690192956085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projet'!$A$175:$I$195,2,0)</f>
        <v>#N/A</v>
      </c>
      <c r="DM133" s="12" t="e">
        <f>VLOOKUP(A133,'Données projet'!$A$175:$I$195,9,0)</f>
        <v>#N/A</v>
      </c>
      <c r="DN133" s="12">
        <f t="array" ref="DN133">INDEX(DM:DM,MIN(IF(ISNUMBER(DM133:DM329),ROW(DM133:DM329),"")))</f>
        <v>0</v>
      </c>
      <c r="DO133" s="12">
        <f>IF('Données projet'!$A$176&gt;35,DO132+DN133-DW132,IF(A133&lt;'Données projet'!$A$176,$DL$205^A133,IF(A133='Données projet'!$A$176,'Données projet'!$B$176,DO132+DN133-DW132)))</f>
        <v>-2.8421709430404007E-13</v>
      </c>
      <c r="DP133" s="17">
        <f>DO133*VLOOKUP('Données projet'!$B$14,Paramètres!$A$1:$I$89,3,0)*VLOOKUP('Données projet'!$B$14,Paramètres!$A$1:$I$89,5,0)</f>
        <v>-2.0838797354372215E-13</v>
      </c>
      <c r="DQ133" s="13" t="e">
        <f t="shared" ref="DQ133:DQ153" si="296">EXP(-1.0587+0.8836*LN(DP133)+0.284)</f>
        <v>#NUM!</v>
      </c>
      <c r="DR133" s="20" t="e">
        <f t="shared" si="239"/>
        <v>#NUM!</v>
      </c>
      <c r="DS133" s="59" t="e">
        <f t="shared" si="240"/>
        <v>#NUM!</v>
      </c>
      <c r="DT133" s="59">
        <f ca="1">AVERAGE(OFFSET($DS$3,0,0,'Données projet'!$E$14+1,1))-AVERAGE(OFFSET($H$3,0,0,'Données projet'!$E$14+1,1))</f>
        <v>296.91321813251051</v>
      </c>
      <c r="DU133" s="59">
        <f t="shared" ref="DU133:DU196" si="297">$DU$3</f>
        <v>291.0718079639509</v>
      </c>
      <c r="DV133" s="15">
        <f>IF(ISNA(VLOOKUP(A133,'Données projet'!$A$175:$I$195,3,0)),0,VLOOKUP(A133,'Données projet'!$A$175:$I$195,3,0))</f>
        <v>0</v>
      </c>
      <c r="DW133" s="15">
        <f>IF(ISNA(VLOOKUP(A133,'Données projet'!$A$175:$I$195,4,0)),0,VLOOKUP(A133,'Données projet'!$A$175:$I$195,4,0))</f>
        <v>0</v>
      </c>
      <c r="DX133" s="16">
        <f>IF(ISNA(VLOOKUP(A133,'Données projet'!$A$175:$I$195,5,0)),0%,VLOOKUP(A133,'Données projet'!$A$175:$I$195,5,0)*VLOOKUP('Données projet'!$B$14,Paramètres!$A$1:$I$89,7,0))</f>
        <v>0</v>
      </c>
      <c r="DY133" s="16">
        <f>IF(ISNA(VLOOKUP(A133,'Données projet'!$A$175:$I$195,6,0)),0%,VLOOKUP(A133,'Données projet'!$A$175:$I$195,6,0)*VLOOKUP('Données projet'!$B$14,Paramètres!$A$1:$I$89,7,0))</f>
        <v>0</v>
      </c>
      <c r="DZ133" s="16">
        <f>IF(ISNA(VLOOKUP(A133,'Données projet'!$A$175:$I$195,7,0)),0%,VLOOKUP(A133,'Données projet'!$A$175:$I$195,7,0))</f>
        <v>0</v>
      </c>
      <c r="EA133" s="21">
        <f>EXP(-LN(2)/35)*EA132+(1-EXP(-LN(2)/35))/(LN(2)/35)*DW133*DX133*VLOOKUP('Données projet'!$B$14,Paramètres!$A$1:$I$89,3,0)*0.475*44/12</f>
        <v>64.439537414472696</v>
      </c>
      <c r="EB133" s="21">
        <f>EXP(-LN(2)/25)*EB132+(1-EXP(-LN(2)/25))/(LN(2)/25)*Calculateur!DW133*Calculateur!DY133*VLOOKUP('Données projet'!$B$14,Paramètres!$A$1:$I$89,3,0)*0.475*44/12</f>
        <v>1.3387184024035654</v>
      </c>
      <c r="EC133" s="21">
        <f>EXP(-LN(2)/2)*EC132+(1-EXP(-LN(2)/2))/(LN(2)/2)*DW133*DZ133*VLOOKUP('Données projet'!$B$14,Paramètres!$A$1:$I$89,3,0)*0.475*44/12</f>
        <v>0</v>
      </c>
      <c r="ED133" s="22">
        <f t="shared" si="241"/>
        <v>65.778255816876268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projet'!$A$201:$I$221,2,0)</f>
        <v>#N/A</v>
      </c>
      <c r="EH133" s="12" t="e">
        <f>VLOOKUP(A133,'Données projet'!$A$201:$I$221,9,0)</f>
        <v>#N/A</v>
      </c>
      <c r="EI133" s="12">
        <f t="array" ref="EI133">INDEX(EH:EH,MIN(IF(ISNUMBER(EH133:EH329),ROW(EH133:EH329),"")))</f>
        <v>0</v>
      </c>
      <c r="EJ133" s="12">
        <f>IF('Données projet'!$A$202&gt;35,EJ132+EI133-ER132,IF(A133&lt;'Données projet'!$A$202,$EG$205^A133,IF(A133='Données projet'!$A$202,'Données projet'!$B$202,EJ132+EI133-ER132)))</f>
        <v>5.1159076974727213E-13</v>
      </c>
      <c r="EK133" s="17">
        <f>EJ133*VLOOKUP('Données projet'!$B$15,Paramètres!$A$1:$I$89,3,0)*VLOOKUP('Données projet'!$B$15,Paramètres!$A$1:$I$89,5,0)</f>
        <v>2.3942448024172334E-13</v>
      </c>
      <c r="EL133" s="13">
        <f t="shared" ref="EL133:EL153" si="298">EXP(-1.0587+0.8836*LN(EK133)+0.284)</f>
        <v>3.2492669905861755E-12</v>
      </c>
      <c r="EM133" s="20">
        <f t="shared" si="242"/>
        <v>6.0761376450252565E-12</v>
      </c>
      <c r="EN133" s="59">
        <f t="shared" si="243"/>
        <v>293.3333333333394</v>
      </c>
      <c r="EO133" s="59">
        <f ca="1">AVERAGE(OFFSET($EN$3,0,0,'Données projet'!$E$15+1,1))-AVERAGE(OFFSET($H$3,0,0,'Données projet'!$E$15+1,1))</f>
        <v>147.64256291235483</v>
      </c>
      <c r="EP133" s="59">
        <f t="shared" ref="EP133:EP196" si="299">$EP$3</f>
        <v>70.859031694091868</v>
      </c>
      <c r="EQ133" s="15">
        <f>IF(ISNA(VLOOKUP(A133,'Données projet'!$A$201:$I$221,3,0)),0,VLOOKUP(A133,'Données projet'!$A$201:$I$221,3,0))</f>
        <v>0</v>
      </c>
      <c r="ER133" s="15">
        <f>IF(ISNA(VLOOKUP(A133,'Données projet'!$A$201:$I$221,4,0)),0,VLOOKUP(A133,'Données projet'!$A$201:$I$221,4,0))</f>
        <v>0</v>
      </c>
      <c r="ES133" s="16">
        <f>IF(ISNA(VLOOKUP(A133,'Données projet'!$A$201:$I$221,5,0)),0%,VLOOKUP(A133,'Données projet'!$A$201:$I$221,5,0)*VLOOKUP('Données projet'!$B$15,Paramètres!$A$1:$I$89,7,0))</f>
        <v>0</v>
      </c>
      <c r="ET133" s="16">
        <f>IF(ISNA(VLOOKUP(A133,'Données projet'!$A$201:$I$221,6,0)),0%,VLOOKUP(A133,'Données projet'!$A$201:$I$221,6,0)*VLOOKUP('Données projet'!$B$15,Paramètres!$A$1:$I$89,7,0))</f>
        <v>0</v>
      </c>
      <c r="EU133" s="16">
        <f>IF(ISNA(VLOOKUP(A133,'Données projet'!$A$201:$I$221,7,0)),0%,VLOOKUP(A133,'Données projet'!$A$201:$I$221,7,0))</f>
        <v>0</v>
      </c>
      <c r="EV133" s="21">
        <f>EXP(-LN(2)/35)*EV132+(1-EXP(-LN(2)/35))/(LN(2)/35)*ER133*ES133*VLOOKUP('Données projet'!$B$15,Paramètres!$A$1:$I$89,3,0)*0.475*44/12</f>
        <v>88.218742470494661</v>
      </c>
      <c r="EW133" s="21">
        <f>EXP(-LN(2)/25)*EW132+(1-EXP(-LN(2)/25))/(LN(2)/25)*Calculateur!ER133*Calculateur!ET133*VLOOKUP('Données projet'!$B$15,Paramètres!$A$1:$I$89,3,0)*0.475*44/12</f>
        <v>18.573369097354604</v>
      </c>
      <c r="EX133" s="21">
        <f>EXP(-LN(2)/2)*EX132+(1-EXP(-LN(2)/2))/(LN(2)/2)*ER133*EU133*VLOOKUP('Données projet'!$B$15,Paramètres!$A$1:$I$89,3,0)*0.475*44/12</f>
        <v>1.2670393210341826E-2</v>
      </c>
      <c r="EY133" s="22">
        <f t="shared" si="244"/>
        <v>106.8047819610596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projet'!$A$227:$I$247,2,0)</f>
        <v>#N/A</v>
      </c>
      <c r="FC133" s="12" t="e">
        <f>VLOOKUP(A133,'Données projet'!$A$227:$I$247,9,0)</f>
        <v>#N/A</v>
      </c>
      <c r="FD133" s="12">
        <f t="array" ref="FD133">INDEX(FC:FC,MIN(IF(ISNUMBER(FC133:FC329),ROW(FC133:FC329),"")))</f>
        <v>0</v>
      </c>
      <c r="FE133" s="12">
        <f>IF('Données projet'!$A$228&gt;35,FE132+FD133-FM132,IF(A133&lt;'Données projet'!$A$228,$FB$205^A133,IF(A133='Données projet'!$A$228,'Données projet'!$B$228,FE132+FD133-FM132)))</f>
        <v>8.5265128291212022E-14</v>
      </c>
      <c r="FF133" s="17">
        <f>FE133*VLOOKUP('Données projet'!$B$16,Paramètres!$A$1:$I$89,3,0)*VLOOKUP('Données projet'!$B$16,Paramètres!$A$1:$I$89,5,0)</f>
        <v>8.9119112089974823E-14</v>
      </c>
      <c r="FG133" s="13">
        <f t="shared" ref="FG133:FG153" si="300">EXP(-1.0587+0.8836*LN(FF133)+0.284)</f>
        <v>1.3568952080113142E-12</v>
      </c>
      <c r="FH133" s="20">
        <f t="shared" si="245"/>
        <v>2.5184749408430782E-12</v>
      </c>
      <c r="FI133" s="59">
        <f t="shared" si="246"/>
        <v>293.33333333333582</v>
      </c>
      <c r="FJ133" s="59">
        <f ca="1">AVERAGE(OFFSET($FI$3,0,0,'Données projet'!$E$16+1,1))-AVERAGE(OFFSET($H$3,0,0,'Données projet'!$E$16+1,1))</f>
        <v>259.03906550253788</v>
      </c>
      <c r="FK133" s="59">
        <f t="shared" ref="FK133:FK196" si="301">$FK$3</f>
        <v>235.54542903570831</v>
      </c>
      <c r="FL133" s="15">
        <f>IF(ISNA(VLOOKUP(A133,'Données projet'!$A$227:$I$247,3,0)),0,VLOOKUP(A133,'Données projet'!$A$227:$I$247,3,0))</f>
        <v>0</v>
      </c>
      <c r="FM133" s="15">
        <f>IF(ISNA(VLOOKUP(A133,'Données projet'!$A$227:$I$247,4,0)),0,VLOOKUP(A133,'Données projet'!$A$227:$I$247,4,0))</f>
        <v>0</v>
      </c>
      <c r="FN133" s="16">
        <f>IF(ISNA(VLOOKUP(A133,'Données projet'!$A$227:$I$247,5,0)),0%,VLOOKUP(A133,'Données projet'!$A$227:$I$247,5,0)*VLOOKUP('Données projet'!$B$16,Paramètres!$A$1:$I$89,7,0))</f>
        <v>0</v>
      </c>
      <c r="FO133" s="16">
        <f>IF(ISNA(VLOOKUP(A133,'Données projet'!$A$227:$I$247,6,0)),0%,VLOOKUP(A133,'Données projet'!$A$227:$I$247,6,0)*VLOOKUP('Données projet'!$B$16,Paramètres!$A$1:$I$89,7,0))</f>
        <v>0</v>
      </c>
      <c r="FP133" s="16">
        <f>IF(ISNA(VLOOKUP(A133,'Données projet'!$A$227:$I$247,7,0)),0%,VLOOKUP(A133,'Données projet'!$A$227:$I$247,7,0))</f>
        <v>0</v>
      </c>
      <c r="FQ133" s="21">
        <f>EXP(-LN(2)/35)*FQ132+(1-EXP(-LN(2)/35))/(LN(2)/35)*FM133*FN133*VLOOKUP('Données projet'!$B$16,Paramètres!$A$1:$I$89,3,0)*0.475*44/12</f>
        <v>38.937355414402838</v>
      </c>
      <c r="FR133" s="21">
        <f>EXP(-LN(2)/25)*FR132+(1-EXP(-LN(2)/25))/(LN(2)/25)*Calculateur!FM133*Calculateur!FO133*VLOOKUP('Données projet'!$B$16,Paramètres!$A$1:$I$89,3,0)*0.475*44/12</f>
        <v>25.550913164021281</v>
      </c>
      <c r="FS133" s="21">
        <f>EXP(-LN(2)/2)*FS132+(1-EXP(-LN(2)/2))/(LN(2)/2)*FM133*FP133*VLOOKUP('Données projet'!$B$16,Paramètres!$A$1:$I$89,3,0)*0.475*44/12</f>
        <v>0</v>
      </c>
      <c r="FT133" s="22">
        <f t="shared" si="247"/>
        <v>64.488268578424112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projet'!$A$253:$I$273,2,0)</f>
        <v>#N/A</v>
      </c>
      <c r="FX133" s="12" t="e">
        <f>VLOOKUP(A133,'Données projet'!$A$253:$I$273,9,0)</f>
        <v>#N/A</v>
      </c>
      <c r="FY133" s="12">
        <f t="array" ref="FY133">INDEX(FX:FX,MIN(IF(ISNUMBER(FX133:FX329),ROW(FX133:FX329),"")))</f>
        <v>0</v>
      </c>
      <c r="FZ133" s="12">
        <f>IF('Données projet'!$A$254&gt;35,FZ132+FY133-GH132,IF(A133&lt;'Données projet'!$A$254,$FW$205^A133,IF(A133='Données projet'!$A$254,'Données projet'!$B$254,FZ132+FY133-GH132)))</f>
        <v>-1.7053025658242404E-13</v>
      </c>
      <c r="GA133" s="17">
        <f>FZ133*VLOOKUP('Données projet'!$B$17,Paramètres!$A$1:$I$89,3,0)*VLOOKUP('Données projet'!$B$17,Paramètres!$A$1:$I$89,5,0)</f>
        <v>-1.4897523215040567E-13</v>
      </c>
      <c r="GB133" s="13" t="e">
        <f t="shared" ref="GB133:GB153" si="302">EXP(-1.0587+0.8836*LN(GA133)+0.284)</f>
        <v>#NUM!</v>
      </c>
      <c r="GC133" s="20" t="e">
        <f t="shared" si="248"/>
        <v>#NUM!</v>
      </c>
      <c r="GD133" s="59" t="e">
        <f t="shared" si="249"/>
        <v>#NUM!</v>
      </c>
      <c r="GE133" s="59">
        <f ca="1">AVERAGE(OFFSET($GD$3,0,0,'Données projet'!$E$17+1,1))-AVERAGE(OFFSET($H$3,0,0,'Données projet'!$E$17+1,1))</f>
        <v>245.1983232777614</v>
      </c>
      <c r="GF133" s="59">
        <f t="shared" ref="GF133:GF196" si="303">$GF$3</f>
        <v>242.34010522344573</v>
      </c>
      <c r="GG133" s="15">
        <f>IF(ISNA(VLOOKUP(A133,'Données projet'!$A$253:$I$273,3,0)),0,VLOOKUP(A133,'Données projet'!$A$253:$I$273,3,0))</f>
        <v>0</v>
      </c>
      <c r="GH133" s="15">
        <f>IF(ISNA(VLOOKUP(A133,'Données projet'!$A$253:$I$273,4,0)),0,VLOOKUP(A133,'Données projet'!$A$253:$I$273,4,0))</f>
        <v>0</v>
      </c>
      <c r="GI133" s="16">
        <f>IF(ISNA(VLOOKUP(A133,'Données projet'!$A$253:$I$273,5,0)),0%,VLOOKUP(A133,'Données projet'!$A$253:$I$273,5,0)*VLOOKUP('Données projet'!$B$17,Paramètres!$A$1:$I$89,7,0))</f>
        <v>0</v>
      </c>
      <c r="GJ133" s="16">
        <f>IF(ISNA(VLOOKUP(A133,'Données projet'!$A$253:$I$273,6,0)),0%,VLOOKUP(A133,'Données projet'!$A$253:$I$273,6,0)*VLOOKUP('Données projet'!$B$17,Paramètres!$A$1:$I$89,7,0))</f>
        <v>0</v>
      </c>
      <c r="GK133" s="16">
        <f>IF(ISNA(VLOOKUP(A133,'Données projet'!$A$253:$I$273,7,0)),0%,VLOOKUP(A133,'Données projet'!$A$253:$I$273,7,0))</f>
        <v>0</v>
      </c>
      <c r="GL133" s="21">
        <f>EXP(-LN(2)/35)*GL132+(1-EXP(-LN(2)/35))/(LN(2)/35)*GH133*GI133*VLOOKUP('Données projet'!$B$17,Paramètres!$A$1:$I$89,3,0)*0.475*44/12</f>
        <v>45.776203584225762</v>
      </c>
      <c r="GM133" s="21">
        <f>EXP(-LN(2)/25)*GM132+(1-EXP(-LN(2)/25))/(LN(2)/25)*Calculateur!GH133*Calculateur!GJ133*VLOOKUP('Données projet'!$B$17,Paramètres!$A$1:$I$89,3,0)*0.475*44/12</f>
        <v>5.4442771332615498</v>
      </c>
      <c r="GN133" s="21">
        <f>EXP(-LN(2)/2)*GN132+(1-EXP(-LN(2)/2))/(LN(2)/2)*GH133*GK133*VLOOKUP('Données projet'!$B$17,Paramètres!$A$1:$I$89,3,0)*0.475*44/12</f>
        <v>0</v>
      </c>
      <c r="GO133" s="21">
        <f t="shared" si="250"/>
        <v>51.220480717487312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projet'!$A$279:$I$299,2,0)</f>
        <v>#N/A</v>
      </c>
      <c r="GS133" s="12" t="e">
        <f>VLOOKUP(A133,'Données projet'!$A$279:$I$299,9,0)</f>
        <v>#N/A</v>
      </c>
      <c r="GT133" s="12">
        <f t="array" ref="GT133">INDEX(GS:GS,MIN(IF(ISNUMBER(GS133:GS329),ROW(GS133:GS329),"")))</f>
        <v>0</v>
      </c>
      <c r="GU133" s="12">
        <f>IF('Données projet'!$A$280&gt;35,GU132+GT133-HC132,IF(A133&lt;'Données projet'!$A$280,$GR$205^A133,IF(A133='Données projet'!$A$280,'Données projet'!$B$280,GU132+GT133-HC132)))</f>
        <v>-1.1368683772161603E-13</v>
      </c>
      <c r="GV133" s="17">
        <f>GU133*VLOOKUP('Données projet'!$B$18,Paramètres!$A$1:$I$89,3,0)*VLOOKUP('Données projet'!$B$18,Paramètres!$A$1:$I$89,5,0)</f>
        <v>-4.5815795601811263E-14</v>
      </c>
      <c r="GW133" s="13" t="e">
        <f t="shared" ref="GW133:GW153" si="304">EXP(-1.0587+0.8836*LN(GV133)+0.284)</f>
        <v>#NUM!</v>
      </c>
      <c r="GX133" s="20" t="e">
        <f t="shared" si="251"/>
        <v>#NUM!</v>
      </c>
      <c r="GY133" s="59" t="e">
        <f t="shared" si="252"/>
        <v>#NUM!</v>
      </c>
      <c r="GZ133" s="59">
        <f ca="1">AVERAGE(OFFSET($GY$3,0,0,'Données projet'!$E$18+1,1))-AVERAGE(OFFSET($H$3,0,0,'Données projet'!$E$18+1,1))</f>
        <v>324.36162935850876</v>
      </c>
      <c r="HA133" s="59">
        <f t="shared" ref="HA133:HA196" si="305">$HA$3</f>
        <v>265.23571072429735</v>
      </c>
      <c r="HB133" s="15">
        <f>IF(ISNA(VLOOKUP(A133,'Données projet'!$A$279:$I$299,3,0)),0,VLOOKUP(A133,'Données projet'!$A$279:$I$299,3,0))</f>
        <v>0</v>
      </c>
      <c r="HC133" s="15">
        <f>IF(ISNA(VLOOKUP(A133,'Données projet'!$A$279:$I$299,4,0)),0,VLOOKUP(A133,'Données projet'!$A$279:$I$299,4,0))</f>
        <v>0</v>
      </c>
      <c r="HD133" s="16">
        <f>IF(ISNA(VLOOKUP(A133,'Données projet'!$A$279:$I$299,5,0)),0%,VLOOKUP(A133,'Données projet'!$A$279:$I$299,5,0)*VLOOKUP('Données projet'!$B$18,Paramètres!$A$1:$I$89,7,0))</f>
        <v>0</v>
      </c>
      <c r="HE133" s="16">
        <f>IF(ISNA(VLOOKUP(A133,'Données projet'!$A$279:$I$299,6,0)),0%,VLOOKUP(A133,'Données projet'!$A$279:$I$299,6,0)*VLOOKUP('Données projet'!$B$18,Paramètres!$A$1:$I$89,7,0))</f>
        <v>0</v>
      </c>
      <c r="HF133" s="16">
        <f>IF(ISNA(VLOOKUP($A133,'Données projet'!$A$279:$I$299,7,0)),0%,VLOOKUP($A133,'Données projet'!$A$279:$I$299,7,0))</f>
        <v>0</v>
      </c>
      <c r="HG133" s="21">
        <f>EXP(-LN(2)/35)*HG132+(1-EXP(-LN(2)/35))/(LN(2)/35)*HC133*HD133*VLOOKUP('Données projet'!$B$18,Paramètres!$A$1:$I$89,3,0)*0.475*44/12</f>
        <v>87.719172828051157</v>
      </c>
      <c r="HH133" s="21">
        <f>EXP(-LN(2)/25)*HH132+(1-EXP(-LN(2)/25))/(LN(2)/25)*Calculateur!HC133*Calculateur!HE133*VLOOKUP('Données projet'!$B$18,Paramètres!$A$1:$I$89,3,0)*0.475*44/12</f>
        <v>6.0550099685575942</v>
      </c>
      <c r="HI133" s="21">
        <f>EXP(-LN(2)/2)*HI132+(1-EXP(-LN(2)/2))/(LN(2)/2)*HC133*HF133*VLOOKUP('Données projet'!$B$18,Paramètres!$A$1:$I$89,3,0)*0.475*44/12</f>
        <v>2.5472669927418017E-7</v>
      </c>
      <c r="HJ133" s="22">
        <f t="shared" si="253"/>
        <v>93.774183051335456</v>
      </c>
      <c r="HK133" s="74">
        <f>('Scénario référence'!$F$8+'Scénario référence'!$F$9+'Scénario référence'!$B$17+'Scénario référence'!$B$9+'Scénario référence'!$B$10)*70+IF((45+25*(1-EXP(-0.0175*$A133)))&lt;70,'Scénario référence'!$B$16*(45+25*(1-EXP(-0.0175*$A133))),70*'Scénario référence'!$B$16)+IF((32+38*(1-EXP(-0.0175*$A133)))&lt;70,'Scénario référence'!$B$18*(32+38*(1-EXP(-0.0175*$A133))),70*'Scénario référence'!$B$18)</f>
        <v>70</v>
      </c>
      <c r="HL133" s="12">
        <f>IF($A133&gt;30,10,('Scénario référence'!$B$16+'Scénario référence'!$B$17+'Scénario référence'!$B$18+'Scénario référence'!$B$9+'Scénario référence'!$B$10)*$A133*10/30+('Scénario référence'!$F$8+'Scénario référence'!$F$9)*10)</f>
        <v>10</v>
      </c>
      <c r="HM133" s="12" t="e">
        <f>VLOOKUP($A133,'Données projet'!$A$304:$I$324,2,0)</f>
        <v>#N/A</v>
      </c>
      <c r="HN133" s="12" t="e">
        <f>VLOOKUP($A133,'Données projet'!$A$304:$I$324,9,0)</f>
        <v>#N/A</v>
      </c>
      <c r="HO133" s="12">
        <f t="array" ref="HO133">INDEX(HN:HN,MIN(IF(ISNUMBER(HN133:HN329),ROW(HN133:HN329),"")))</f>
        <v>0</v>
      </c>
      <c r="HP133" s="12">
        <f>IF('Données projet'!$A$304&gt;35,HP132+HO133-HX132,IF($A133&lt;'Données projet'!$A$304,$CQ$205^$A133,IF($A133='Données projet'!$A$304,'Données projet'!$B$304,HP132+HO133-HX132)))</f>
        <v>0</v>
      </c>
      <c r="HQ133" s="17">
        <f>HP133*VLOOKUP('Données projet'!$B$19,Paramètres!$A$1:$I$89,3,0)*VLOOKUP('Données projet'!$B$19,Paramètres!$A$1:$I$89,5,0)</f>
        <v>0</v>
      </c>
      <c r="HR133" s="13" t="e">
        <f t="shared" ref="HR133:HR196" si="306">EXP(-1.0587+0.8836*LN(HQ133)+0.284)</f>
        <v>#NUM!</v>
      </c>
      <c r="HS133" s="14" t="e">
        <f t="shared" si="254"/>
        <v>#NUM!</v>
      </c>
      <c r="HT133" s="59" t="e">
        <f t="shared" si="255"/>
        <v>#NUM!</v>
      </c>
      <c r="HU133" s="59">
        <f ca="1">AVERAGE(OFFSET(HT$3,0,0,'Données projet'!$E$19+1,1))-AVERAGE(OFFSET($H$3,0,0,'Données projet'!$E$19+1,1))</f>
        <v>91.60721429656013</v>
      </c>
      <c r="HV133" s="59">
        <f t="shared" ref="HV133:HV196" si="307">$HV$3</f>
        <v>258.94957804210856</v>
      </c>
      <c r="HW133" s="15">
        <f>IF(ISNA(VLOOKUP($A133,'Données projet'!$A$304:$I$324,3,0)),0,VLOOKUP($A133,'Données projet'!$A$304:$I$324,3,0))</f>
        <v>0</v>
      </c>
      <c r="HX133" s="15">
        <f>IF(ISNA(VLOOKUP($A133,'Données projet'!$A$304:$I$324,4,0)),0,VLOOKUP($A133,'Données projet'!$A$304:$I$324,4,0))</f>
        <v>0</v>
      </c>
      <c r="HY133" s="16">
        <f>IF(ISNA(VLOOKUP($A133,'Données projet'!$A$304:$I$324,5,0)),0%,VLOOKUP($A133,'Données projet'!$A$304:$I$324,5,0)*VLOOKUP('Données projet'!$B$19,Paramètres!$A$1:$I$89,7,0))</f>
        <v>0</v>
      </c>
      <c r="HZ133" s="16">
        <f>IF(ISNA(VLOOKUP($A133,'Données projet'!$A$304:$I$324,6,0)),0%,VLOOKUP($A133,'Données projet'!$A$304:$I$324,6,0)*VLOOKUP('Données projet'!$B$19,Paramètres!$A$1:$I$89,7,0))</f>
        <v>0</v>
      </c>
      <c r="IA133" s="16">
        <f>IF(ISNA(VLOOKUP($A133,'Données projet'!$A$304:$I$324,7,0)),0%,VLOOKUP($A133,'Données projet'!$A$304:$I$324,7,0))</f>
        <v>0</v>
      </c>
      <c r="IB133" s="21">
        <f>EXP(-LN(2)/35)*IB132+(1-EXP(-LN(2)/35))/(LN(2)/35)*HX133*HY133*VLOOKUP('Données projet'!$B$19,Paramètres!$A$1:$I$89,3,0)*0.475*44/12</f>
        <v>6.8084652444090041</v>
      </c>
      <c r="IC133" s="21">
        <f>EXP(-LN(2)/25)*IC132+(1-EXP(-LN(2)/25))/(LN(2)/25)*Calculateur!HX133*Calculateur!HZ133*VLOOKUP('Données projet'!$B$19,Paramètres!$A$1:$I$89,3,0)*0.475*44/12</f>
        <v>0.6079829172587442</v>
      </c>
      <c r="ID133" s="21">
        <f>EXP(-LN(2)/2)*ID132+(1-EXP(-LN(2)/2))/(LN(2)/2)*HX133*IA133*VLOOKUP('Données projet'!$B$19,Paramètres!$A$1:$I$89,3,0)*0.475*44/12</f>
        <v>5.0879506096632947E-16</v>
      </c>
      <c r="IE133" s="22">
        <f t="shared" si="256"/>
        <v>7.4164481616677493</v>
      </c>
      <c r="IF133" s="74">
        <f>('Scénario référence'!$F$8+'Scénario référence'!$F$9+'Scénario référence'!$B$17+'Scénario référence'!$B$9+'Scénario référence'!$B$10)*70+IF((45+25*(1-EXP(-0.0175*$A133)))&lt;70,'Scénario référence'!$B$16*(45+25*(1-EXP(-0.0175*$A133))),70*'Scénario référence'!$B$16)+IF((32+38*(1-EXP(-0.0175*$A133)))&lt;70,'Scénario référence'!$B$18*(32+38*(1-EXP(-0.0175*$A133))),70*'Scénario référence'!$B$18)</f>
        <v>70</v>
      </c>
      <c r="IG133" s="12">
        <f>IF($A133&gt;30,10,('Scénario référence'!$B$16+'Scénario référence'!$B$17+'Scénario référence'!$B$18+'Scénario référence'!$B$9+'Scénario référence'!$B$10)*$A133*10/30+('Scénario référence'!$F$8+'Scénario référence'!$F$9)*10)</f>
        <v>10</v>
      </c>
      <c r="IH133" s="12" t="e">
        <f>VLOOKUP($A133,'Données projet'!$A$330:$I$350,2,0)</f>
        <v>#N/A</v>
      </c>
      <c r="II133" s="12" t="e">
        <f>VLOOKUP($A133,'Données projet'!$A$330:$I$350,9,0)</f>
        <v>#N/A</v>
      </c>
      <c r="IJ133" s="12">
        <f t="array" ref="IJ133">INDEX(II:II,MIN(IF(ISNUMBER(II133:II329),ROW(II133:II329),"")))</f>
        <v>0</v>
      </c>
      <c r="IK133" s="12">
        <f>IF('Données projet'!$A$330&gt;35,IK132+IJ133-IS132,IF($A133&lt;'Données projet'!$A$330,$CQ$205^$A133,IF($A133='Données projet'!$A$330,'Données projet'!$B$330,IK132+IJ133-IS132)))</f>
        <v>0</v>
      </c>
      <c r="IL133" s="17">
        <f>IK133*VLOOKUP('Données projet'!$B$20,Paramètres!$A$1:$I$89,3,0)*VLOOKUP('Données projet'!$B$20,Paramètres!$A$1:$I$89,5,0)</f>
        <v>0</v>
      </c>
      <c r="IM133" s="13" t="e">
        <f t="shared" ref="IM133:IM196" si="308">EXP(-1.0587+0.8836*LN(IL133)+0.284)</f>
        <v>#NUM!</v>
      </c>
      <c r="IN133" s="20" t="e">
        <f t="shared" si="257"/>
        <v>#NUM!</v>
      </c>
      <c r="IO133" s="59" t="e">
        <f t="shared" si="258"/>
        <v>#NUM!</v>
      </c>
      <c r="IP133" s="59">
        <f ca="1">AVERAGE(OFFSET(IO$3,0,0,'Données projet'!$E$20+1,1))-AVERAGE(OFFSET($H$3,0,0,'Données projet'!$E$20+1,1))</f>
        <v>91.60721429656013</v>
      </c>
      <c r="IQ133" s="59">
        <f t="shared" ref="IQ133:IQ196" si="309">HV$3</f>
        <v>258.94957804210856</v>
      </c>
      <c r="IR133" s="15">
        <f>IF(ISNA(VLOOKUP($A133,'Données projet'!$A$330:$I$350,3,0)),0,VLOOKUP($A133,'Données projet'!$A$330:$I$350,3,0))</f>
        <v>0</v>
      </c>
      <c r="IS133" s="15">
        <f>IF(ISNA(VLOOKUP($A133,'Données projet'!$A$330:$I$350,4,0)),0,VLOOKUP($A133,'Données projet'!$A$330:$I$350,4,0))</f>
        <v>0</v>
      </c>
      <c r="IT133" s="16">
        <f>IF(ISNA(VLOOKUP($A133,'Données projet'!$A$330:$I$350,5,0)),0%,VLOOKUP($A133,'Données projet'!$A$330:$I$350,5,0)*VLOOKUP('Données projet'!$B$20,Paramètres!$A$1:$I$89,7,0))</f>
        <v>0</v>
      </c>
      <c r="IU133" s="16">
        <f>IF(ISNA(VLOOKUP($A133,'Données projet'!$A$330:$I$350,6,0)),0%,VLOOKUP($A133,'Données projet'!$A$330:$I$350,6,0)*VLOOKUP('Données projet'!$B$20,Paramètres!$A$1:$I$89,7,0))</f>
        <v>0</v>
      </c>
      <c r="IV133" s="16">
        <f>IF(ISNA(VLOOKUP($A133,'Données projet'!$A$330:$I$350,7,0)),0%,VLOOKUP($A133,'Données projet'!$A$330:$I$350,7,0))</f>
        <v>0</v>
      </c>
      <c r="IW133" s="21">
        <f>EXP(-LN(2)/35)*IW132+(1-EXP(-LN(2)/35))/(LN(2)/35)*IS133*IT133*VLOOKUP('Données projet'!$B$20,Paramètres!$A$1:$I$89,3,0)*0.475*44/12</f>
        <v>6.8084652444090041</v>
      </c>
      <c r="IX133" s="21">
        <f>EXP(-LN(2)/25)*IX132+(1-EXP(-LN(2)/25))/(LN(2)/25)*Calculateur!IS133*Calculateur!IU133*VLOOKUP('Données projet'!$B$20,Paramètres!$A$1:$I$89,3,0)*0.475*44/12</f>
        <v>0.6079829172587442</v>
      </c>
      <c r="IY133" s="21">
        <f>EXP(-LN(2)/2)*IY132+(1-EXP(-LN(2)/2))/(LN(2)/2)*IS133*IV133*VLOOKUP('Données projet'!$B$20,Paramètres!$A$1:$I$89,3,0)*0.475*44/12</f>
        <v>5.0879506096632947E-16</v>
      </c>
      <c r="IZ133" s="22">
        <f t="shared" si="259"/>
        <v>7.4164481616677493</v>
      </c>
      <c r="JA133" s="74">
        <f>('Scénario référence'!$F$8+'Scénario référence'!$F$9+'Scénario référence'!$B$17+'Scénario référence'!$B$9+'Scénario référence'!$B$10)*70+IF((45+25*(1-EXP(-0.0175*$A133)))&lt;70,'Scénario référence'!$B$16*(45+25*(1-EXP(-0.0175*$A133))),70*'Scénario référence'!$B$16)+IF((32+38*(1-EXP(-0.0175*$A133)))&lt;70,'Scénario référence'!$B$18*(32+38*(1-EXP(-0.0175*$A133))),70*'Scénario référence'!$B$18)</f>
        <v>70</v>
      </c>
      <c r="JB133" s="12">
        <f>IF($A133&gt;30,10,('Scénario référence'!$B$16+'Scénario référence'!$B$17+'Scénario référence'!$B$18+'Scénario référence'!$B$9+'Scénario référence'!$B$10)*$A133*10/30+('Scénario référence'!$F$8+'Scénario référence'!$F$9)*10)</f>
        <v>10</v>
      </c>
      <c r="JC133" s="12">
        <f>VLOOKUP($A133,'Données projet'!$A$356:$I$376,2,0)</f>
        <v>440</v>
      </c>
      <c r="JD133" s="12">
        <f>VLOOKUP($A133,'Données projet'!$A$356:$I$376,9,0)</f>
        <v>2.2000000000000002</v>
      </c>
      <c r="JE133" s="12">
        <f t="array" ref="JE133">INDEX(JD:JD,MIN(IF(ISNUMBER(JD133:JD329),ROW(JD133:JD329),"")))</f>
        <v>2.2000000000000002</v>
      </c>
      <c r="JF133" s="12">
        <f>IF('Données projet'!$A$356&gt;35,JF132+JE133-JN132,IF($A133&lt;'Données projet'!$A$356,$CQ$205^$A133,IF($A133='Données projet'!$A$356,'Données projet'!$B$356,JF132+JE133-JN132)))</f>
        <v>439.99999999999915</v>
      </c>
      <c r="JG133" s="17">
        <f>JF133*VLOOKUP('Données projet'!$B$21,Paramètres!$A$1:$I$89,3,0)*VLOOKUP('Données projet'!$B$21,Paramètres!$A$1:$I$89,5,0)</f>
        <v>356.92799999999932</v>
      </c>
      <c r="JH133" s="13">
        <f t="shared" ref="JH133:JH196" si="310">EXP(-1.0587+0.8836*LN(JG133)+0.284)</f>
        <v>82.98742694783877</v>
      </c>
      <c r="JI133" s="20">
        <f t="shared" si="260"/>
        <v>766.18603526748473</v>
      </c>
      <c r="JJ133" s="59">
        <f t="shared" si="261"/>
        <v>1059.5193686008181</v>
      </c>
      <c r="JK133" s="59">
        <f ca="1">AVERAGE(OFFSET($JJ$3,0,0,'Données projet'!$E$22+1,1))-AVERAGE(OFFSET($H$3,0,0,'Données projet'!$E$22+1,1))</f>
        <v>353.35574633294613</v>
      </c>
      <c r="JL133" s="59">
        <f t="shared" ref="JL133:JL196" si="311">JL$3</f>
        <v>170.36796666474726</v>
      </c>
      <c r="JM133" s="15">
        <f>IF(ISNA(VLOOKUP($A133,'Données projet'!$A$356:$I$376,3,0)),0,VLOOKUP($A133,'Données projet'!$A$356:$I$376,3,0))</f>
        <v>16</v>
      </c>
      <c r="JN133" s="15">
        <f>IF(ISNA(VLOOKUP($A133,'Données projet'!$A$356:$I$376,4,0)),0,VLOOKUP($A133,'Données projet'!$A$356:$I$376,4,0))</f>
        <v>20</v>
      </c>
      <c r="JO133" s="16">
        <f>IF(ISNA(VLOOKUP($A133,'Données projet'!$A$356:$I$376,5,0)),0%,VLOOKUP($A133,'Données projet'!$A$356:$I$376,5,0)*VLOOKUP('Données projet'!$B$21,Paramètres!$A$1:$I$89,7,0))</f>
        <v>0.17200000000000001</v>
      </c>
      <c r="JP133" s="16">
        <f>IF(ISNA(VLOOKUP($A133,'Données projet'!$A$356:$I$376,6,0)),0%,VLOOKUP($A133,'Données projet'!$A$356:$I$376,6,0)*VLOOKUP('Données projet'!$B$21,Paramètres!$A$1:$I$89,7,0))</f>
        <v>0.17200000000000001</v>
      </c>
      <c r="JQ133" s="16">
        <f>IF(ISNA(VLOOKUP($A133,'Données projet'!$A$356:$I$376,7,0)),0%,VLOOKUP($A133,'Données projet'!$A$356:$I$376,7,0))</f>
        <v>0.1</v>
      </c>
      <c r="JR133" s="21">
        <f>EXP(-LN(2)/35)*JR132+(1-EXP(-LN(2)/35))/(LN(2)/35)*JN133*JO133*VLOOKUP('Données projet'!$B$21,Paramètres!$A$1:$I$89,3,0)*0.475*44/12</f>
        <v>6.4668252976884455</v>
      </c>
      <c r="JS133" s="21">
        <f>EXP(-LN(2)/25)*JS132+(1-EXP(-LN(2)/25))/(LN(2)/25)*Calculateur!JN133*Calculateur!JP133*VLOOKUP('Données projet'!$B$21,Paramètres!$A$1:$I$89,3,0)*0.475*44/12</f>
        <v>13.229664549538816</v>
      </c>
      <c r="JT133" s="21">
        <f>EXP(-LN(2)/2)*JT132+(1-EXP(-LN(2)/2))/(LN(2)/2)*JN133*JQ133*VLOOKUP('Données projet'!$B$21,Paramètres!$A$1:$I$89,3,0)*0.475*44/12</f>
        <v>1.5341848910124787</v>
      </c>
      <c r="JU133" s="18">
        <f t="shared" si="262"/>
        <v>21.230674738239742</v>
      </c>
      <c r="JV133" s="74">
        <f>('Scénario référence'!$F$8+'Scénario référence'!$F$9+'Scénario référence'!$B$17+'Scénario référence'!$B$9+'Scénario référence'!$B$10)*70+IF((45+25*(1-EXP(-0.0175*$A133)))&lt;70,'Scénario référence'!$B$16*(45+25*(1-EXP(-0.0175*$A133))),70*'Scénario référence'!$B$16)+IF((32+38*(1-EXP(-0.0175*$A133)))&lt;70,'Scénario référence'!$B$18*(32+38*(1-EXP(-0.0175*$A133))),70*'Scénario référence'!$B$18)</f>
        <v>70</v>
      </c>
      <c r="JW133" s="12">
        <f>IF($A133&gt;30,10,('Scénario référence'!$B$16+'Scénario référence'!$B$17+'Scénario référence'!$B$18+'Scénario référence'!$B$9+'Scénario référence'!$B$10)*$A133*10/30+('Scénario référence'!$F$8+'Scénario référence'!$F$9)*10)</f>
        <v>10</v>
      </c>
      <c r="JX133" s="12" t="e">
        <f>VLOOKUP($A133,'Données projet'!$A$382:$I$402,2,0)</f>
        <v>#N/A</v>
      </c>
      <c r="JY133" s="12" t="e">
        <f>VLOOKUP($A133,'Données projet'!$A$382:$I$402,9,0)</f>
        <v>#N/A</v>
      </c>
      <c r="JZ133" s="12">
        <f t="array" ref="JZ133">INDEX(JY:JY,MIN(IF(ISNUMBER(JY133:JY329),ROW(JY133:JY329),"")))</f>
        <v>1.5064102564102591</v>
      </c>
      <c r="KA133" s="12">
        <f>IF('Données projet'!$A$382&gt;35,KA132+JZ133-KI132,IF($A133&lt;'Données projet'!$A$382,$CQ$205^$A133,IF($A133='Données projet'!$A$382,'Données projet'!$B$382,KA132+JZ133-KI132)))</f>
        <v>109.40384615384671</v>
      </c>
      <c r="KB133" s="17">
        <f>KA133*VLOOKUP('Données projet'!$B$22,Paramètres!$A$1:$I$89,3,0)*VLOOKUP('Données projet'!$B$22,Paramètres!$A$1:$I$89,5,0)</f>
        <v>73.388100000000378</v>
      </c>
      <c r="KC133" s="13">
        <f t="shared" ref="KC133:KC196" si="312">EXP(-1.0587+0.8836*LN(KB133)+0.284)</f>
        <v>20.512513692781095</v>
      </c>
      <c r="KD133" s="20">
        <f t="shared" si="263"/>
        <v>163.54356884826106</v>
      </c>
      <c r="KE133" s="59">
        <f t="shared" si="264"/>
        <v>456.87690218159435</v>
      </c>
      <c r="KF133" s="59">
        <f ca="1">AVERAGE(OFFSET($KE$3,0,0,'Données projet'!$E$22+1,1))-AVERAGE(OFFSET($H$3,0,0,'Données projet'!$E$22+1,1))</f>
        <v>193.91714772848269</v>
      </c>
      <c r="KG133" s="59">
        <f t="shared" ref="KG133:KG196" si="313">$CZ$3</f>
        <v>159.20429420478047</v>
      </c>
      <c r="KH133" s="15">
        <f>IF(ISNA(VLOOKUP($A133,'Données projet'!$A$382:$I$402,3,0)),0,VLOOKUP($A133,'Données projet'!$A$382:$I$402,3,0))</f>
        <v>0</v>
      </c>
      <c r="KI133" s="15">
        <f>IF(ISNA(VLOOKUP($A133,'Données projet'!$A$382:$I$402,4,0)),0,VLOOKUP($A133,'Données projet'!$A$382:$I$402,4,0))</f>
        <v>0</v>
      </c>
      <c r="KJ133" s="16">
        <f>IF(ISNA(VLOOKUP($A133,'Données projet'!$A$382:$I$402,5,0)),0%,VLOOKUP($A133,'Données projet'!$A$382:$I$402,5,0)*VLOOKUP('Données projet'!$B$22,Paramètres!$A$1:$I$89,7,0))</f>
        <v>0</v>
      </c>
      <c r="KK133" s="16">
        <f>IF(ISNA(VLOOKUP($A133,'Données projet'!$A$382:$I$402,6,0)),0%,VLOOKUP($A133,'Données projet'!$A$382:$I$402,6,0)*VLOOKUP('Données projet'!$B$22,Paramètres!$A$1:$I$89,7,0))</f>
        <v>0</v>
      </c>
      <c r="KL133" s="16">
        <f>IF(ISNA(VLOOKUP($A133,'Données projet'!$A$382:$I$402,7,0)),0%,VLOOKUP($A133,'Données projet'!$A$382:$I$402,7,0))</f>
        <v>0</v>
      </c>
      <c r="KM133" s="21">
        <f>EXP(-LN(2)/35)*KM132+(1-EXP(-LN(2)/35))/(LN(2)/35)*KI133*KJ133*VLOOKUP('Données projet'!$B$22,Paramètres!$A$1:$I$89,3,0)*0.475*44/12</f>
        <v>119.35506429582796</v>
      </c>
      <c r="KN133" s="21">
        <f>EXP(-LN(2)/25)*KN132+(1-EXP(-LN(2)/25))/(LN(2)/25)*Calculateur!KI133*Calculateur!KK133*VLOOKUP('Données projet'!$B$22,Paramètres!$A$1:$I$89,3,0)*0.475*44/12</f>
        <v>0</v>
      </c>
      <c r="KO133" s="21">
        <f>EXP(-LN(2)/2)*KO132+(1-EXP(-LN(2)/2))/(LN(2)/2)*KI133*KL133*VLOOKUP('Données projet'!$B$22,Paramètres!$A$1:$I$89,3,0)*0.475*44/12</f>
        <v>0</v>
      </c>
      <c r="KP133" s="22">
        <f t="shared" si="265"/>
        <v>119.35506429582796</v>
      </c>
      <c r="KQ133" s="74">
        <f>('Scénario référence'!$F$8+'Scénario référence'!$F$9+'Scénario référence'!$B$17+'Scénario référence'!$B$9+'Scénario référence'!$B$10)*70+IF((45+25*(1-EXP(-0.0175*$A133)))&lt;70,'Scénario référence'!$B$16*(45+25*(1-EXP(-0.0175*$A133))),70*'Scénario référence'!$B$16)+IF((32+38*(1-EXP(-0.0175*$A133)))&lt;70,'Scénario référence'!$B$18*(32+38*(1-EXP(-0.0175*$A133))),70*'Scénario référence'!$B$18)</f>
        <v>70</v>
      </c>
      <c r="KR133" s="12">
        <f>IF($A133&gt;30,10,('Scénario référence'!$B$16+'Scénario référence'!$B$17+'Scénario référence'!$B$18+'Scénario référence'!$B$9+'Scénario référence'!$B$10)*$A133*10/30+('Scénario référence'!$F$8+'Scénario référence'!$F$9)*10)</f>
        <v>10</v>
      </c>
      <c r="KS133" s="12" t="e">
        <f>VLOOKUP($A133,'Données projet'!$A$408:$I$428,2,0)</f>
        <v>#N/A</v>
      </c>
      <c r="KT133" s="12" t="e">
        <f>VLOOKUP($A133,'Données projet'!$A$408:$I$428,9,0)</f>
        <v>#N/A</v>
      </c>
      <c r="KU133" s="12">
        <f t="array" ref="KU133">INDEX(KT:KT,MIN(IF(ISNUMBER(KT133:KT329),ROW(KT133:KT329),"")))</f>
        <v>0</v>
      </c>
      <c r="KV133" s="12">
        <f>IF('Données projet'!$A$408&gt;35,KV132+KU133-LD132,IF($A133&lt;'Données projet'!$A$408,$CQ$205^$A133,IF($A133='Données projet'!$A$408,'Données projet'!$B$408,KV132+KU133-LD132)))</f>
        <v>-1.1368683772161603E-13</v>
      </c>
      <c r="KW133" s="17">
        <f>KV133*VLOOKUP('Données projet'!$B$23,Paramètres!$A$1:$I$89,3,0)*VLOOKUP('Données projet'!$B$23,Paramètres!$A$1:$I$89,5,0)</f>
        <v>-9.9316821433603781E-14</v>
      </c>
      <c r="KX133" s="13" t="e">
        <f t="shared" ref="KX133:KX196" si="314">EXP(-1.0587+0.8836*LN(KW133)+0.284)</f>
        <v>#NUM!</v>
      </c>
      <c r="KY133" s="14" t="e">
        <f t="shared" si="266"/>
        <v>#NUM!</v>
      </c>
      <c r="KZ133" s="59" t="e">
        <f t="shared" si="267"/>
        <v>#NUM!</v>
      </c>
      <c r="LA133" s="59">
        <f ca="1">AVERAGE(OFFSET($KZ$3,0,0,'Données projet'!$E$23+1,1))-AVERAGE(OFFSET($H$3,0,0,'Données projet'!$E$23+1,1))</f>
        <v>248.33596943633819</v>
      </c>
      <c r="LB133" s="59">
        <f t="shared" ref="LB133:LB196" si="315">LB$3</f>
        <v>242.34010522344573</v>
      </c>
      <c r="LC133" s="15">
        <f>IF(ISNA(VLOOKUP($A133,'Données projet'!$A$408:$I$428,3,0)),0,VLOOKUP($A133,'Données projet'!$A$408:$I$428,3,0))</f>
        <v>0</v>
      </c>
      <c r="LD133" s="15">
        <f>IF(ISNA(VLOOKUP($A133,'Données projet'!$A$408:$I$428,4,0)),0,VLOOKUP($A133,'Données projet'!$A$408:$I$428,4,0))</f>
        <v>0</v>
      </c>
      <c r="LE133" s="16">
        <f>IF(ISNA(VLOOKUP($A133,'Données projet'!$A$408:$I$428,5,0)),0%,VLOOKUP($A133,'Données projet'!$A$408:$I$428,5,0)*VLOOKUP('Données projet'!$B$23,Paramètres!$A$1:$I$89,7,0))</f>
        <v>0</v>
      </c>
      <c r="LF133" s="16">
        <f>IF(ISNA(VLOOKUP($A133,'Données projet'!$A$408:$I$428,6,0)),0%,VLOOKUP($A133,'Données projet'!$A$408:$I$428,6,0)*VLOOKUP('Données projet'!$B$23,Paramètres!$A$1:$I$89,7,0))</f>
        <v>0</v>
      </c>
      <c r="LG133" s="16">
        <f>IF(ISNA(VLOOKUP($A133,'Données projet'!$A$408:$I$428,7,0)),0%,VLOOKUP($A133,'Données projet'!$A$408:$I$428,7,0))</f>
        <v>0</v>
      </c>
      <c r="LH133" s="21">
        <f>EXP(-LN(2)/35)*LH132+(1-EXP(-LN(2)/35))/(LN(2)/35)*LD133*LE133*VLOOKUP('Données projet'!$B$23,Paramètres!$A$1:$I$89,3,0)*0.475*44/12</f>
        <v>45.776203584225762</v>
      </c>
      <c r="LI133" s="21">
        <f>EXP(-LN(2)/25)*LI132+(1-EXP(-LN(2)/25))/(LN(2)/25)*Calculateur!LD133*Calculateur!LF133*VLOOKUP('Données projet'!$B$23,Paramètres!$A$1:$I$89,3,0)*0.475*44/12</f>
        <v>5.4442771332615498</v>
      </c>
      <c r="LJ133" s="21">
        <f>EXP(-LN(2)/2)*LJ132+(1-EXP(-LN(2)/2))/(LN(2)/2)*LD133*LG133*VLOOKUP('Données projet'!$B$23,Paramètres!$A$1:$I$89,3,0)*0.475*44/12</f>
        <v>0</v>
      </c>
      <c r="LK133" s="22">
        <f t="shared" si="268"/>
        <v>51.220480717487312</v>
      </c>
      <c r="LL133" s="74">
        <f>('Scénario référence'!$F$8+'Scénario référence'!$F$9+'Scénario référence'!$B$17+'Scénario référence'!$B$9+'Scénario référence'!$B$10)*70+IF((45+25*(1-EXP(-0.0175*$A133)))&lt;70,'Scénario référence'!$B$16*(45+25*(1-EXP(-0.0175*$A133))),70*'Scénario référence'!$B$16)+IF((32+38*(1-EXP(-0.0175*$A133)))&lt;70,'Scénario référence'!$B$18*(32+38*(1-EXP(-0.0175*$A133))),70*'Scénario référence'!$B$18)</f>
        <v>70</v>
      </c>
      <c r="LM133" s="12">
        <f>IF($A133&gt;30,10,('Scénario référence'!$B$16+'Scénario référence'!$B$17+'Scénario référence'!$B$18+'Scénario référence'!$B$9+'Scénario référence'!$B$10)*$A133*10/30+('Scénario référence'!$F$8+'Scénario référence'!$F$9)*10)</f>
        <v>10</v>
      </c>
      <c r="LN133" s="12" t="e">
        <f>VLOOKUP($A133,'Données projet'!$A$434:$I$454,2,0)</f>
        <v>#N/A</v>
      </c>
      <c r="LO133" s="12" t="e">
        <f>VLOOKUP($A133,'Données projet'!$A$434:$I$454,9,0)</f>
        <v>#N/A</v>
      </c>
      <c r="LP133" s="12">
        <f t="array" ref="LP133">INDEX(LO:LO,MIN(IF(ISNUMBER(LO133:LO329),ROW(LO133:LO329),"")))</f>
        <v>5.2446581196581219</v>
      </c>
      <c r="LQ133" s="12">
        <f>IF('Données projet'!$A$434&gt;35,LQ132+LP133-LY132,IF($A133&lt;'Données projet'!$A$434,$CQ$205^$A133,IF($A133='Données projet'!$A$434,'Données projet'!$B$434,LQ132+LP133-LY132)))</f>
        <v>256.35790598290549</v>
      </c>
      <c r="LR133" s="17">
        <f>LQ133*VLOOKUP('Données projet'!$B$24,Paramètres!$A$1:$I$89,3,0)*VLOOKUP('Données projet'!$B$24,Paramètres!$A$1:$I$89,5,0)</f>
        <v>259.9469166666662</v>
      </c>
      <c r="LS133" s="13">
        <f t="shared" ref="LS133:LS196" si="316">EXP(-1.0587+0.8836*LN(LR133)+0.284)</f>
        <v>62.71106260017865</v>
      </c>
      <c r="LT133" s="14">
        <f t="shared" si="269"/>
        <v>561.96264722308808</v>
      </c>
      <c r="LU133" s="59">
        <f t="shared" si="270"/>
        <v>855.29598055642145</v>
      </c>
      <c r="LV133" s="59">
        <f ca="1">AVERAGE(OFFSET($LU$3,0,0,'Données projet'!$E$24+1,1))-AVERAGE(OFFSET($H$3,0,0,'Données projet'!$E$24+1,1))</f>
        <v>260.52627655062872</v>
      </c>
      <c r="LW133" s="59">
        <f t="shared" ref="LW133:LW196" si="317">LW$3</f>
        <v>159.20429420478047</v>
      </c>
      <c r="LX133" s="15">
        <f>IF(ISNA(VLOOKUP($A133,'Données projet'!$A$434:$I$454,3,0)),0,VLOOKUP($A133,'Données projet'!$A$434:$I$454,3,0))</f>
        <v>0</v>
      </c>
      <c r="LY133" s="15">
        <f>IF(ISNA(VLOOKUP($A133,'Données projet'!$A$434:$I$454,4,0)),0,VLOOKUP($A133,'Données projet'!$A$434:$I$454,4,0))</f>
        <v>0</v>
      </c>
      <c r="LZ133" s="16">
        <f>IF(ISNA(VLOOKUP($A133,'Données projet'!$A$434:$I$454,5,0)),0%,VLOOKUP($A133,'Données projet'!$A$434:$I$454,5,0)*VLOOKUP('Données projet'!$B$24,Paramètres!$A$1:$I$89,7,0))</f>
        <v>0</v>
      </c>
      <c r="MA133" s="16">
        <f>IF(ISNA(VLOOKUP($A133,'Données projet'!$A$434:$I$454,6,0)),0%,VLOOKUP($A133,'Données projet'!$A$434:$I$454,6,0)*VLOOKUP('Données projet'!$B$24,Paramètres!$A$1:$I$89,7,0))</f>
        <v>0</v>
      </c>
      <c r="MB133" s="16">
        <f>IF(ISNA(VLOOKUP($A133,'Données projet'!$A$434:$I$454,7,0)),0%,VLOOKUP($A133,'Données projet'!$A$434:$I$454,7,0))</f>
        <v>0</v>
      </c>
      <c r="MC133" s="21">
        <f>EXP(-LN(2)/35)*MC132+(1-EXP(-LN(2)/35))/(LN(2)/35)*LY133*LZ133*VLOOKUP('Données projet'!$B$24,Paramètres!$A$1:$I$89,3,0)*0.475*44/12</f>
        <v>43.290690192956085</v>
      </c>
      <c r="MD133" s="21">
        <f>EXP(-LN(2)/25)*MD132+(1-EXP(-LN(2)/25))/(LN(2)/25)*Calculateur!LY133*Calculateur!MA133*VLOOKUP('Données projet'!$B$24,Paramètres!$A$1:$I$89,3,0)*0.475*44/12</f>
        <v>0</v>
      </c>
      <c r="ME133" s="21">
        <f>EXP(-LN(2)/2)*ME132+(1-EXP(-LN(2)/2))/(LN(2)/2)*LY133*MB133*VLOOKUP('Données projet'!$B$24,Paramètres!$A$1:$I$89,3,0)*0.475*44/12</f>
        <v>0</v>
      </c>
      <c r="MF133" s="22">
        <f t="shared" si="271"/>
        <v>43.290690192956085</v>
      </c>
      <c r="MG133" s="74">
        <f>('Scénario référence'!$F$8+'Scénario référence'!$F$9+'Scénario référence'!$B$17+'Scénario référence'!$B$9+'Scénario référence'!$B$10)*70+IF((45+25*(1-EXP(-0.0175*$A133)))&lt;70,'Scénario référence'!$B$16*(45+25*(1-EXP(-0.0175*$A133))),70*'Scénario référence'!$B$16)+IF((32+38*(1-EXP(-0.0175*$A133)))&lt;70,'Scénario référence'!$B$18*(32+38*(1-EXP(-0.0175*$A133))),70*'Scénario référence'!$B$18)</f>
        <v>70</v>
      </c>
      <c r="MH133" s="12">
        <f>IF($A133&gt;30,10,('Scénario référence'!$B$16+'Scénario référence'!$B$17+'Scénario référence'!$B$18+'Scénario référence'!$B$9+'Scénario référence'!$B$10)*$A133*10/30+('Scénario référence'!$F$8+'Scénario référence'!$F$9)*10)</f>
        <v>10</v>
      </c>
      <c r="MI133" s="12" t="e">
        <f>VLOOKUP($A133,'Données projet'!$A$460:$I$480,2,0)</f>
        <v>#N/A</v>
      </c>
      <c r="MJ133" s="12" t="e">
        <f>VLOOKUP($A133,'Données projet'!$A$460:$I$480,9,0)</f>
        <v>#N/A</v>
      </c>
      <c r="MK133" s="12">
        <f t="array" ref="MK133">INDEX(MJ:MJ,MIN(IF(ISNUMBER(MJ133:MJ329),ROW(MJ133:MJ329),"")))</f>
        <v>0</v>
      </c>
      <c r="ML133" s="12">
        <f>IF('Données projet'!$A$460&gt;35,ML132+MK133-MT132,IF($A133&lt;'Données projet'!$A$460,$CQ$205^$A133,IF($A133='Données projet'!$A$460,'Données projet'!$B$460,ML132+MK133-MT132)))</f>
        <v>0</v>
      </c>
      <c r="MM133" s="17" t="e">
        <f>ML133*VLOOKUP('Données projet'!$B$25,Paramètres!$A$1:$I$89,3,0)*VLOOKUP('Données projet'!$B$25,Paramètres!$A$1:$I$89,5,0)</f>
        <v>#N/A</v>
      </c>
      <c r="MN133" s="13" t="e">
        <f t="shared" ref="MN133:MN196" si="318">EXP(-1.0587+0.8836*LN(MM133)+0.284)</f>
        <v>#N/A</v>
      </c>
      <c r="MO133" s="14" t="e">
        <f t="shared" si="272"/>
        <v>#N/A</v>
      </c>
      <c r="MP133" s="59" t="e">
        <f t="shared" si="273"/>
        <v>#N/A</v>
      </c>
      <c r="MQ133" s="20" t="e">
        <f ca="1">AVERAGE(OFFSET($MP$3,0,0,'Données projet'!$E$25+1,1))-AVERAGE(OFFSET($H$3,0,0,'Données projet'!$E$25+1,1))</f>
        <v>#N/A</v>
      </c>
      <c r="MR133" s="59" t="e">
        <f t="shared" ref="MR133:MR196" si="319">MR$3</f>
        <v>#N/A</v>
      </c>
      <c r="MS133" s="15">
        <f>IF(ISNA(VLOOKUP($A133,'Données projet'!$A$460:$I$480,3,0)),0,VLOOKUP($A133,'Données projet'!$A$460:$I$480,3,0))</f>
        <v>0</v>
      </c>
      <c r="MT133" s="15">
        <f>IF(ISNA(VLOOKUP($A133,'Données projet'!$A$460:$I$480,4,0)),0,VLOOKUP($A133,'Données projet'!$A$460:$I$480,4,0))</f>
        <v>0</v>
      </c>
      <c r="MU133" s="16">
        <f>IF(ISNA(VLOOKUP($A133,'Données projet'!$A$460:$I$480,5,0)),0%,VLOOKUP($A133,'Données projet'!$A$460:$I$480,5,0)*VLOOKUP('Données projet'!$B$25,Paramètres!$A$1:$I$89,7,0))</f>
        <v>0</v>
      </c>
      <c r="MV133" s="16">
        <f>IF(ISNA(VLOOKUP($A133,'Données projet'!$A$460:$I$480,6,0)),0%,VLOOKUP($A133,'Données projet'!$A$460:$I$480,6,0)*VLOOKUP('Données projet'!$B$25,Paramètres!$A$1:$I$89,7,0))</f>
        <v>0</v>
      </c>
      <c r="MW133" s="16">
        <f>IF(ISNA(VLOOKUP($A133,'Données projet'!$A$460:$I$480,7,0)),0%,VLOOKUP($A133,'Données projet'!$A$460:$I$480,7,0))</f>
        <v>0</v>
      </c>
      <c r="MX133" s="21" t="e">
        <f>EXP(-LN(2)/35)*MX132+(1-EXP(-LN(2)/35))/(LN(2)/35)*MT133*MU133*VLOOKUP('Données projet'!$B$25,Paramètres!$A$1:$I$89,3,0)*0.475*44/12</f>
        <v>#N/A</v>
      </c>
      <c r="MY133" s="21" t="e">
        <f>EXP(-LN(2)/25)*MY132+(1-EXP(-LN(2)/25))/(LN(2)/25)*Calculateur!MT133*Calculateur!MV133*VLOOKUP('Données projet'!$B$25,Paramètres!$A$1:$I$89,3,0)*0.475*44/12</f>
        <v>#N/A</v>
      </c>
      <c r="MZ133" s="21" t="e">
        <f>EXP(-LN(2)/2)*MZ132+(1-EXP(-LN(2)/2))/(LN(2)/2)*MT133*MW133*VLOOKUP('Données projet'!$B$25,Paramètres!$A$1:$I$89,3,0)*0.475*44/12</f>
        <v>#N/A</v>
      </c>
      <c r="NA133" s="22" t="e">
        <f t="shared" si="274"/>
        <v>#N/A</v>
      </c>
      <c r="NB133" s="74">
        <f>('Scénario référence'!$F$8+'Scénario référence'!$F$9+'Scénario référence'!$B$17+'Scénario référence'!$B$9+'Scénario référence'!$B$10)*70+IF((45+25*(1-EXP(-0.0175*$A133)))&lt;70,'Scénario référence'!$B$16*(45+25*(1-EXP(-0.0175*$A133))),70*'Scénario référence'!$B$16)+IF((32+38*(1-EXP(-0.0175*$A133)))&lt;70,'Scénario référence'!$B$18*(32+38*(1-EXP(-0.0175*$A133))),70*'Scénario référence'!$B$18)</f>
        <v>70</v>
      </c>
      <c r="NC133" s="12">
        <f>IF($A133&gt;30,10,('Scénario référence'!$B$16+'Scénario référence'!$B$17+'Scénario référence'!$B$18+'Scénario référence'!$B$9+'Scénario référence'!$B$10)*$A133*10/30+('Scénario référence'!$F$8+'Scénario référence'!$F$9)*10)</f>
        <v>10</v>
      </c>
      <c r="ND133" s="12" t="e">
        <f>VLOOKUP($A133,'Données projet'!$A$486:$I$506,2,0)</f>
        <v>#N/A</v>
      </c>
      <c r="NE133" s="12" t="e">
        <f>VLOOKUP($A133,'Données projet'!$A$486:$I$506,9,0)</f>
        <v>#N/A</v>
      </c>
      <c r="NF133" s="12">
        <f t="array" ref="NF133">INDEX(NE:NE,MIN(IF(ISNUMBER(NE133:NE329),ROW(NE133:NE329),"")))</f>
        <v>0</v>
      </c>
      <c r="NG133" s="12">
        <f>IF('Données projet'!$A$486&gt;35,NG132+NF133-NO132,IF($A133&lt;'Données projet'!$A$486,$CQ$205^$A133,IF($A133='Données projet'!$A$486,'Données projet'!$B$486,NG132+NF133-NO132)))</f>
        <v>0</v>
      </c>
      <c r="NH133" s="17" t="e">
        <f>NG133*VLOOKUP('Données projet'!$B$26,Paramètres!$A$1:$I$89,3,0)*VLOOKUP('Données projet'!$B$26,Paramètres!$A$1:$I$89,5,0)</f>
        <v>#N/A</v>
      </c>
      <c r="NI133" s="13" t="e">
        <f t="shared" ref="NI133:NI196" si="320">EXP(-1.0587+0.8836*LN(NH133)+0.284)</f>
        <v>#N/A</v>
      </c>
      <c r="NJ133" s="14" t="e">
        <f t="shared" si="275"/>
        <v>#N/A</v>
      </c>
      <c r="NK133" s="59" t="e">
        <f t="shared" si="276"/>
        <v>#N/A</v>
      </c>
      <c r="NL133" s="20" t="e">
        <f ca="1">AVERAGE(OFFSET($NK$3,0,0,'Données projet'!$E$26+1,1))-AVERAGE(OFFSET($H$3,0,0,'Données projet'!$E$26+1,1))</f>
        <v>#N/A</v>
      </c>
      <c r="NM133" s="59" t="e">
        <f t="shared" ref="NM133:NM196" si="321">NM$3</f>
        <v>#N/A</v>
      </c>
      <c r="NN133" s="15">
        <f>IF(ISNA(VLOOKUP($A133,'Données projet'!$A$486:$I$506,3,0)),0,VLOOKUP($A133,'Données projet'!$A$486:$I$506,3,0))</f>
        <v>0</v>
      </c>
      <c r="NO133" s="15">
        <f>IF(ISNA(VLOOKUP($A133,'Données projet'!$A$486:$I$506,4,0)),0,VLOOKUP($A133,'Données projet'!$A$486:$I$506,4,0))</f>
        <v>0</v>
      </c>
      <c r="NP133" s="16">
        <f>IF(ISNA(VLOOKUP($A133,'Données projet'!$A$486:$I$506,5,0)),0%,VLOOKUP($A133,'Données projet'!$A$486:$I$506,5,0)*VLOOKUP('Données projet'!$B$26,Paramètres!$A$1:$I$89,7,0))</f>
        <v>0</v>
      </c>
      <c r="NQ133" s="16">
        <f>IF(ISNA(VLOOKUP($A133,'Données projet'!$A$486:$I$506,6,0)),0%,VLOOKUP($A133,'Données projet'!$A$486:$I$506,6,0)*VLOOKUP('Données projet'!$B$26,Paramètres!$A$1:$I$89,7,0))</f>
        <v>0</v>
      </c>
      <c r="NR133" s="16">
        <f>IF(ISNA(VLOOKUP($A133,'Données projet'!$A$486:$I$506,7,0)),0%,VLOOKUP($A133,'Données projet'!$A$486:$I$506,7,0))</f>
        <v>0</v>
      </c>
      <c r="NS133" s="21" t="e">
        <f>EXP(-LN(2)/35)*NS132+(1-EXP(-LN(2)/35))/(LN(2)/35)*NO133*NP133*VLOOKUP('Données projet'!$B$26,Paramètres!$A$1:$I$89,3,0)*0.475*44/12</f>
        <v>#N/A</v>
      </c>
      <c r="NT133" s="21" t="e">
        <f>EXP(-LN(2)/25)*NT132+(1-EXP(-LN(2)/25))/(LN(2)/25)*Calculateur!NO133*Calculateur!NQ133*VLOOKUP('Données projet'!$B$26,Paramètres!$A$1:$I$89,3,0)*0.475*44/12</f>
        <v>#N/A</v>
      </c>
      <c r="NU133" s="21" t="e">
        <f>EXP(-LN(2)/2)*NU132+(1-EXP(-LN(2)/2))/(LN(2)/2)*NO133*NR133*VLOOKUP('Données projet'!$B$26,Paramètres!$A$1:$I$89,3,0)*0.475*44/12</f>
        <v>#N/A</v>
      </c>
      <c r="NV133" s="22" t="e">
        <f t="shared" si="277"/>
        <v>#N/A</v>
      </c>
      <c r="NW133" s="74">
        <f>('Scénario référence'!$F$8+'Scénario référence'!$F$9+'Scénario référence'!$B$17+'Scénario référence'!$B$9+'Scénario référence'!$B$10)*70+IF((45+25*(1-EXP(-0.0175*$A133)))&lt;70,'Scénario référence'!$B$16*(45+25*(1-EXP(-0.0175*$A133))),70*'Scénario référence'!$B$16)+IF((32+38*(1-EXP(-0.0175*$A133)))&lt;70,'Scénario référence'!$B$18*(32+38*(1-EXP(-0.0175*$A133))),70*'Scénario référence'!$B$18)</f>
        <v>70</v>
      </c>
      <c r="NX133" s="12">
        <f>IF($A133&gt;30,10,('Scénario référence'!$B$16+'Scénario référence'!$B$17+'Scénario référence'!$B$18+'Scénario référence'!$B$9+'Scénario référence'!$B$10)*$A133*10/30+('Scénario référence'!$F$8+'Scénario référence'!$F$9)*10)</f>
        <v>10</v>
      </c>
      <c r="NY133" s="12" t="e">
        <f>VLOOKUP($A133,'Données projet'!$A$512:$I$532,2,0)</f>
        <v>#N/A</v>
      </c>
      <c r="NZ133" s="12" t="e">
        <f>VLOOKUP($A133,'Données projet'!$A$512:$I$532,9,0)</f>
        <v>#N/A</v>
      </c>
      <c r="OA133" s="12">
        <f t="array" ref="OA133">INDEX(NZ:NZ,MIN(IF(ISNUMBER(NZ133:NZ329),ROW(NZ133:NZ329),"")))</f>
        <v>0</v>
      </c>
      <c r="OB133" s="12">
        <f>IF('Données projet'!$A$512&gt;35,OB132+OA133-OJ132,IF($A133&lt;'Données projet'!$A$512,$CQ$205^$A133,IF($A133='Données projet'!$A$512,'Données projet'!$B$512,OB132+OA133-OJ132)))</f>
        <v>0</v>
      </c>
      <c r="OC133" s="17" t="e">
        <f>OB133*VLOOKUP('Données projet'!$B$27,Paramètres!$A$1:$I$89,3,0)*VLOOKUP('Données projet'!$B$27,Paramètres!$A$1:$I$89,5,0)</f>
        <v>#N/A</v>
      </c>
      <c r="OD133" s="13" t="e">
        <f t="shared" ref="OD133:OD196" si="322">EXP(-1.0587+0.8836*LN(OC133)+0.284)</f>
        <v>#N/A</v>
      </c>
      <c r="OE133" s="14" t="e">
        <f t="shared" si="278"/>
        <v>#N/A</v>
      </c>
      <c r="OF133" s="59" t="e">
        <f t="shared" si="279"/>
        <v>#N/A</v>
      </c>
      <c r="OG133" s="20" t="e">
        <f ca="1">AVERAGE(OFFSET($OF$3,0,0,'Données projet'!$E$27+1,1))-AVERAGE(OFFSET($H$3,0,0,'Données projet'!$E$27+1,1))</f>
        <v>#N/A</v>
      </c>
      <c r="OH133" s="59" t="e">
        <f t="shared" ref="OH133:OH196" si="323">OH$3</f>
        <v>#N/A</v>
      </c>
      <c r="OI133" s="15">
        <f>IF(ISNA(VLOOKUP($A133,'Données projet'!$A$512:$I$532,3,0)),0,VLOOKUP($A133,'Données projet'!$A$512:$I$532,3,0))</f>
        <v>0</v>
      </c>
      <c r="OJ133" s="15">
        <f>IF(ISNA(VLOOKUP($A133,'Données projet'!$A$512:$I$532,4,0)),0,VLOOKUP($A133,'Données projet'!$A$512:$I$532,4,0))</f>
        <v>0</v>
      </c>
      <c r="OK133" s="16">
        <f>IF(ISNA(VLOOKUP($A133,'Données projet'!$A$512:$I$532,5,0)),0%,VLOOKUP($A133,'Données projet'!$A$512:$I$532,5,0)*VLOOKUP('Données projet'!$B$27,Paramètres!$A$1:$I$89,7,0))</f>
        <v>0</v>
      </c>
      <c r="OL133" s="16">
        <f>IF(ISNA(VLOOKUP($A133,'Données projet'!$A$512:$I$532,6,0)),0%,VLOOKUP($A133,'Données projet'!$A$512:$I$532,6,0)*VLOOKUP('Données projet'!$B$27,Paramètres!$A$1:$I$89,7,0))</f>
        <v>0</v>
      </c>
      <c r="OM133" s="16">
        <f>IF(ISNA(VLOOKUP($A133,'Données projet'!$A$512:$I$532,7,0)),0%,VLOOKUP($A133,'Données projet'!$A$512:$I$532,7,0))</f>
        <v>0</v>
      </c>
      <c r="ON133" s="21" t="e">
        <f>EXP(-LN(2)/35)*ON132+(1-EXP(-LN(2)/35))/(LN(2)/35)*OJ133*OK133*VLOOKUP('Données projet'!$B$27,Paramètres!$A$1:$I$89,3,0)*0.475*44/12</f>
        <v>#N/A</v>
      </c>
      <c r="OO133" s="21" t="e">
        <f>EXP(-LN(2)/25)*OO132+(1-EXP(-LN(2)/25))/(LN(2)/25)*Calculateur!OJ133*Calculateur!OL133*VLOOKUP('Données projet'!$B$27,Paramètres!$A$1:$I$89,3,0)*0.475*44/12</f>
        <v>#N/A</v>
      </c>
      <c r="OP133" s="21" t="e">
        <f>EXP(-LN(2)/2)*OP132+(1-EXP(-LN(2)/2))/(LN(2)/2)*OJ133*OM133*VLOOKUP('Données projet'!$B$27,Paramètres!$A$1:$I$89,3,0)*0.475*44/12</f>
        <v>#N/A</v>
      </c>
      <c r="OQ133" s="22" t="e">
        <f t="shared" si="280"/>
        <v>#N/A</v>
      </c>
      <c r="OR133" s="74">
        <f>('Scénario référence'!$F$8+'Scénario référence'!$F$9+'Scénario référence'!$B$17+'Scénario référence'!$B$9+'Scénario référence'!$B$10)*70+IF((45+25*(1-EXP(-0.0175*$A133)))&lt;70,'Scénario référence'!$B$16*(45+25*(1-EXP(-0.0175*$A133))),70*'Scénario référence'!$B$16)+IF((32+38*(1-EXP(-0.0175*$A133)))&lt;70,'Scénario référence'!$B$18*(32+38*(1-EXP(-0.0175*$A133))),70*'Scénario référence'!$B$18)</f>
        <v>70</v>
      </c>
      <c r="OS133" s="12">
        <f>IF($A133&gt;30,10,('Scénario référence'!$B$16+'Scénario référence'!$B$17+'Scénario référence'!$B$18+'Scénario référence'!$B$9+'Scénario référence'!$B$10)*$A133*10/30+('Scénario référence'!$F$8+'Scénario référence'!$F$9)*10)</f>
        <v>10</v>
      </c>
      <c r="OT133" s="12" t="e">
        <f>VLOOKUP($A133,'Données projet'!$A$538:$I$558,2,0)</f>
        <v>#N/A</v>
      </c>
      <c r="OU133" s="12" t="e">
        <f>VLOOKUP($A133,'Données projet'!$A$538:$I$558,9,0)</f>
        <v>#N/A</v>
      </c>
      <c r="OV133" s="12">
        <f t="array" ref="OV133">INDEX(OU:OU,MIN(IF(ISNUMBER(OU133:OU329),ROW(OU133:OU329),"")))</f>
        <v>0</v>
      </c>
      <c r="OW133" s="12">
        <f>IF('Données projet'!$A$538&gt;35,OW132+OV133-PE132,IF($A133&lt;'Données projet'!$A$538,$CQ$205^$A133,IF($A133='Données projet'!$A$538,'Données projet'!$B$538,OW132+OV133-PE132)))</f>
        <v>0</v>
      </c>
      <c r="OX133" s="17" t="e">
        <f>OW133*VLOOKUP('Données projet'!$B$28,Paramètres!$A$1:$I$89,3,0)*VLOOKUP('Données projet'!$B$28,Paramètres!$A$1:$I$89,5,0)</f>
        <v>#N/A</v>
      </c>
      <c r="OY133" s="13" t="e">
        <f t="shared" ref="OY133:OY196" si="324">EXP(-1.0587+0.8836*LN(OX133)+0.284)</f>
        <v>#N/A</v>
      </c>
      <c r="OZ133" s="14" t="e">
        <f t="shared" si="281"/>
        <v>#N/A</v>
      </c>
      <c r="PA133" s="59" t="e">
        <f t="shared" si="282"/>
        <v>#N/A</v>
      </c>
      <c r="PB133" s="20" t="e">
        <f ca="1">AVERAGE(OFFSET($PA$3,0,0,'Données projet'!$E$28+1,1))-AVERAGE(OFFSET($H$3,0,0,'Données projet'!$E$28+1,1))</f>
        <v>#N/A</v>
      </c>
      <c r="PC133" s="59" t="e">
        <f t="shared" ref="PC133:PC196" si="325">PC$3</f>
        <v>#N/A</v>
      </c>
      <c r="PD133" s="15">
        <f>IF(ISNA(VLOOKUP($A133,'Données projet'!$A$538:$I$558,3,0)),0,VLOOKUP($A133,'Données projet'!$A$538:$I$558,3,0))</f>
        <v>0</v>
      </c>
      <c r="PE133" s="15">
        <f>IF(ISNA(VLOOKUP($A133,'Données projet'!$A$538:$I$558,4,0)),0,VLOOKUP($A133,'Données projet'!$A$538:$I$558,4,0))</f>
        <v>0</v>
      </c>
      <c r="PF133" s="16">
        <f>IF(ISNA(VLOOKUP($A133,'Données projet'!$A$538:$I$558,5,0)),0%,VLOOKUP($A133,'Données projet'!$A$538:$I$558,5,0)*VLOOKUP('Données projet'!$B$28,Paramètres!$A$1:$I$89,7,0))</f>
        <v>0</v>
      </c>
      <c r="PG133" s="16">
        <f>IF(ISNA(VLOOKUP($A133,'Données projet'!$A$538:$I$558,6,0)),0%,VLOOKUP($A133,'Données projet'!$A$538:$I$558,6,0)*VLOOKUP('Données projet'!$B$28,Paramètres!$A$1:$I$89,7,0))</f>
        <v>0</v>
      </c>
      <c r="PH133" s="16">
        <f>IF(ISNA(VLOOKUP($A133,'Données projet'!$A$538:$I$558,7,0)),0%,VLOOKUP($A133,'Données projet'!$A$538:$I$558,7,0))</f>
        <v>0</v>
      </c>
      <c r="PI133" s="21" t="e">
        <f>EXP(-LN(2)/35)*PI132+(1-EXP(-LN(2)/35))/(LN(2)/35)*PE133*PF133*VLOOKUP('Données projet'!$B$28,Paramètres!$A$1:$I$89,3,0)*0.475*44/12</f>
        <v>#N/A</v>
      </c>
      <c r="PJ133" s="21" t="e">
        <f>EXP(-LN(2)/25)*PJ132+(1-EXP(-LN(2)/25))/(LN(2)/25)*Calculateur!PE133*Calculateur!PG133*VLOOKUP('Données projet'!$B$28,Paramètres!$A$1:$I$89,3,0)*0.475*44/12</f>
        <v>#N/A</v>
      </c>
      <c r="PK133" s="21" t="e">
        <f>EXP(-LN(2)/2)*PK132+(1-EXP(-LN(2)/2))/(LN(2)/2)*PE133*PH133*VLOOKUP('Données projet'!$B$28,Paramètres!$A$1:$I$89,3,0)*0.475*44/12</f>
        <v>#N/A</v>
      </c>
      <c r="PL133" s="22" t="e">
        <f t="shared" si="283"/>
        <v>#N/A</v>
      </c>
    </row>
    <row r="134" spans="1:428" x14ac:dyDescent="0.35">
      <c r="A134" s="10">
        <f t="shared" si="284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285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225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projet'!$A$45:$I$65,2,0)</f>
        <v>#N/A</v>
      </c>
      <c r="L134" s="12" t="e">
        <f>VLOOKUP(A134,'Données projet'!$A$45:$I$65,9,0)</f>
        <v>#N/A</v>
      </c>
      <c r="M134" s="12">
        <f t="array" ref="M134">INDEX(L:L,MIN(IF(ISNUMBER(L134:L330),ROW(L134:L330),"")))</f>
        <v>0</v>
      </c>
      <c r="N134" s="13">
        <f>IF('Données projet'!$A$46&gt;35,N133+M134-V133,IF(A134&lt;'Données projet'!$A$46,$K$205^A134,IF(A134='Données projet'!$A$46,'Données projet'!$B$46,N133+M134-V133)))</f>
        <v>-1.1368683772161603E-13</v>
      </c>
      <c r="O134" s="13">
        <f>N134*VLOOKUP('Données projet'!$B$9,Paramètres!$A$1:$I$89,3,0)*VLOOKUP('Données projet'!$B$9,Paramètres!$A$1:$I$89,5,0)</f>
        <v>-6.3550942286383367E-14</v>
      </c>
      <c r="P134" s="13" t="e">
        <f t="shared" si="286"/>
        <v>#NUM!</v>
      </c>
      <c r="Q134" s="20" t="e">
        <f t="shared" si="223"/>
        <v>#NUM!</v>
      </c>
      <c r="R134" s="59" t="e">
        <f t="shared" si="224"/>
        <v>#NUM!</v>
      </c>
      <c r="S134" s="59">
        <f ca="1">AVERAGE(OFFSET($R$3,0,0,'Données projet'!$E$9+1,1))-AVERAGE(OFFSET($H$3,0,0,'Données projet'!$E$9+1,1))</f>
        <v>274.57619581652199</v>
      </c>
      <c r="T134" s="59">
        <f t="shared" si="287"/>
        <v>366.15117322598775</v>
      </c>
      <c r="U134" s="15">
        <f>IF(ISNA(VLOOKUP(A134,'Données projet'!$A$45:$I$65,3,0)),0,VLOOKUP(A134,'Données projet'!$A$45:$I$65,3,0))</f>
        <v>0</v>
      </c>
      <c r="V134" s="15">
        <f>IF(ISNA(VLOOKUP(A134,'Données projet'!$A$45:$I$65,4,0)),0,VLOOKUP(A134,'Données projet'!$A$45:$I$65,4,0))</f>
        <v>0</v>
      </c>
      <c r="W134" s="16">
        <f>IF(ISNA(VLOOKUP(A134,'Données projet'!$A$45:$I$65,5,0)),0%,VLOOKUP(A134,'Données projet'!$A$45:$I$65,5,0)*VLOOKUP('Données projet'!$B$9,Paramètres!$A$1:$I$89,7,0))</f>
        <v>0</v>
      </c>
      <c r="X134" s="16">
        <f>IF(ISNA(VLOOKUP(A134,'Données projet'!$A$45:$I$65,6,0)),0%,VLOOKUP(A134,'Données projet'!$A$45:$I$65,6,0)*VLOOKUP('Données projet'!$B$9,Paramètres!$A$1:$I$89,7,0))</f>
        <v>0</v>
      </c>
      <c r="Y134" s="16">
        <f>IF(ISNA(VLOOKUP(A134,'Données projet'!$A$45:$I$65,7,0)),0%,VLOOKUP(A134,'Données projet'!$A$45:$I$65,7,0))</f>
        <v>0</v>
      </c>
      <c r="Z134" s="21">
        <f>EXP(-LN(2)/35)*Z133+(1-EXP(-LN(2)/35))/(LN(2)/35)*V134*W134*VLOOKUP('Données projet'!$B$9,Paramètres!$A$1:$I$89,3,0)*0.475*44/12</f>
        <v>50.315774237599015</v>
      </c>
      <c r="AA134" s="21">
        <f>EXP(-LN(2)/25)*AA133+(1-EXP(-LN(2)/25))/(LN(2)/25)*Calculateur!V134*Calculateur!X134*VLOOKUP('Données projet'!$B$9,Paramètres!$A$1:$I$89,3,0)*0.475*44/12</f>
        <v>7.0040494173209105</v>
      </c>
      <c r="AB134" s="21">
        <f>EXP(-LN(2)/2)*AB133+(1-EXP(-LN(2)/2))/(LN(2)/2)*V134*Y134*VLOOKUP('Données projet'!$B$9,Paramètres!$A$1:$I$89,3,0)*0.475*44/12</f>
        <v>1.2427809998957845E-10</v>
      </c>
      <c r="AC134" s="22">
        <f t="shared" si="226"/>
        <v>57.31982365504421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>
        <f>VLOOKUP(A134,'Données projet'!$A$71:$I$91,2,0)</f>
        <v>110.91025641025641</v>
      </c>
      <c r="AG134" s="12">
        <f>VLOOKUP(A134,'Données projet'!$A$71:$I$91,9,0)</f>
        <v>1.5064102564102591</v>
      </c>
      <c r="AH134" s="12">
        <f t="array" ref="AH134">INDEX(AG:AG,MIN(IF(ISNUMBER(AG134:AG330),ROW(AG134:AG330),"")))</f>
        <v>1.5064102564102591</v>
      </c>
      <c r="AI134" s="13">
        <f>IF('Données projet'!$A$72&gt;35,AI133+AH134-AQ133,IF(A134&lt;'Données projet'!$A$72,$AF$205^A134,IF(A134='Données projet'!$A$72,'Données projet'!$B$72,AI133+AH134-AQ133)))</f>
        <v>110.91025641025698</v>
      </c>
      <c r="AJ134" s="13">
        <f>AI134*VLOOKUP('Données projet'!$B$10,Paramètres!$A$1:$I$89,3,0)*VLOOKUP('Données projet'!$B$10,Paramètres!$A$1:$I$89,5,0)</f>
        <v>100.3516000000005</v>
      </c>
      <c r="AK134" s="13">
        <f t="shared" si="288"/>
        <v>27.045744281593826</v>
      </c>
      <c r="AL134" s="20">
        <f t="shared" si="227"/>
        <v>221.88370795711012</v>
      </c>
      <c r="AM134" s="59">
        <f t="shared" si="228"/>
        <v>515.21704129044338</v>
      </c>
      <c r="AN134" s="59">
        <f ca="1">AVERAGE(OFFSET($AM$3,0,0,'Données projet'!$E$10+1,1))-AVERAGE(OFFSET($H$3,0,0,'Données projet'!$E$10+1,1))</f>
        <v>270.87836509222456</v>
      </c>
      <c r="AO134" s="59">
        <f t="shared" si="289"/>
        <v>205.24998237949734</v>
      </c>
      <c r="AP134" s="15">
        <f>IF(ISNA(VLOOKUP(A134,'Données projet'!$A$71:$I$91,3,0)),0,VLOOKUP(A134,'Données projet'!$A$71:$I$91,3,0))</f>
        <v>14</v>
      </c>
      <c r="AQ134" s="15">
        <f>IF(ISNA(VLOOKUP(A134,'Données projet'!$A$71:$I$91,4,0)),0,VLOOKUP(A134,'Données projet'!$A$71:$I$91,4,0))</f>
        <v>110.91025641025641</v>
      </c>
      <c r="AR134" s="16">
        <f>IF(ISNA(VLOOKUP(A134,'Données projet'!$A$71:$I$91,5,0)),0%,VLOOKUP(A134,'Données projet'!$A$71:$I$91,5,0)*VLOOKUP('Données projet'!$B$10,Paramètres!$A$1:$I$89,7,0))</f>
        <v>0.38700000000000001</v>
      </c>
      <c r="AS134" s="16">
        <f>IF(ISNA(VLOOKUP(A134,'Données projet'!$A$71:$I$91,6,0)),0%,VLOOKUP(A134,'Données projet'!$A$71:$I$91,6,0)*VLOOKUP('Données projet'!$B$10,Paramètres!$A$1:$I$89,7,0))</f>
        <v>0</v>
      </c>
      <c r="AT134" s="16">
        <f>IF(ISNA(VLOOKUP(A134,'Données projet'!$A$71:$I$91,7,0)),0%,VLOOKUP(A134,'Données projet'!$A$71:$I$91,7,0))</f>
        <v>0</v>
      </c>
      <c r="AU134" s="21">
        <f>EXP(-LN(2)/35)*AU133+(1-EXP(-LN(2)/35))/(LN(2)/35)*AQ134*AR134*VLOOKUP('Données projet'!$B$10,Paramètres!$A$1:$I$89,3,0)*0.475*44/12</f>
        <v>170.98582016742182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229"/>
        <v>170.98582016742182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projet'!$A$97:$I$117,2,0)</f>
        <v>#N/A</v>
      </c>
      <c r="BB134" s="12" t="e">
        <f>VLOOKUP(A134,'Données projet'!$A$97:$I$117,9,0)</f>
        <v>#N/A</v>
      </c>
      <c r="BC134" s="12">
        <f t="array" ref="BC134">INDEX(BB:BB,MIN(IF(ISNUMBER(BB134:BB330),ROW(BB134:BB330),"")))</f>
        <v>0</v>
      </c>
      <c r="BD134" s="12">
        <f>IF('Données projet'!$A$98&gt;35,BD133+BC134-BL133,IF(A134&lt;'Données projet'!$A$98,$BA$205^A134,IF(A134='Données projet'!$A$98,'Données projet'!$B$98,BD133+BC134-BL133)))</f>
        <v>-1.1368683772161603E-13</v>
      </c>
      <c r="BE134" s="13">
        <f>BD134*VLOOKUP('Données projet'!$B$11,Paramètres!$A$1:$I$89,3,0)*VLOOKUP('Données projet'!$B$11,Paramètres!$A$1:$I$89,5,0)</f>
        <v>-5.0249582272954292E-14</v>
      </c>
      <c r="BF134" s="13" t="e">
        <f t="shared" si="290"/>
        <v>#NUM!</v>
      </c>
      <c r="BG134" s="20" t="e">
        <f t="shared" si="230"/>
        <v>#NUM!</v>
      </c>
      <c r="BH134" s="59" t="e">
        <f t="shared" si="231"/>
        <v>#NUM!</v>
      </c>
      <c r="BI134" s="59">
        <f ca="1">AVERAGE(OFFSET($BH$3,0,0,'Données projet'!$E$11+1,1))-AVERAGE(OFFSET($H$3,0,0,'Données projet'!$E$11+1,1))</f>
        <v>211.31057120485542</v>
      </c>
      <c r="BJ134" s="59">
        <f t="shared" si="291"/>
        <v>283.33292006714777</v>
      </c>
      <c r="BK134" s="15">
        <f>IF(ISNA(VLOOKUP(A134,'Données projet'!$A$97:$I$117,3,0)),0,VLOOKUP(A134,'Données projet'!$A$97:$I$117,3,0))</f>
        <v>0</v>
      </c>
      <c r="BL134" s="15">
        <f>IF(ISNA(VLOOKUP(A134,'Données projet'!$A$97:$I$117,4,0)),0,VLOOKUP(A134,'Données projet'!$A$97:$I$117,4,0))</f>
        <v>0</v>
      </c>
      <c r="BM134" s="16">
        <f>IF(ISNA(VLOOKUP(A134,'Données projet'!$A$97:$I$117,5,0)),0%,VLOOKUP(A134,'Données projet'!$A$97:$I$117,5,0)*VLOOKUP('Données projet'!$B$11,Paramètres!$A$1:$I$89,7,0))</f>
        <v>0</v>
      </c>
      <c r="BN134" s="16">
        <f>IF(ISNA(VLOOKUP(A134,'Données projet'!$A$97:$I$117,6,0)),0%,VLOOKUP(A134,'Données projet'!$A$97:$I$117,6,0)*VLOOKUP('Données projet'!$B$11,Paramètres!$A$1:$I$89,7,0))</f>
        <v>0</v>
      </c>
      <c r="BO134" s="16">
        <f>IF(ISNA(VLOOKUP(A134,'Données projet'!$A$97:$I$117,7,0)),0%,VLOOKUP(A134,'Données projet'!$A$97:$I$117,7,0))</f>
        <v>0</v>
      </c>
      <c r="BP134" s="21">
        <f>EXP(-LN(2)/35)*BP133+(1-EXP(-LN(2)/35))/(LN(2)/35)*BL134*BM134*VLOOKUP('Données projet'!$B$11,Paramètres!$A$1:$I$89,3,0)*0.475*44/12</f>
        <v>39.784565676241101</v>
      </c>
      <c r="BQ134" s="21">
        <f>EXP(-LN(2)/25)*BQ133+(1-EXP(-LN(2)/25))/(LN(2)/25)*Calculateur!BL134*Calculateur!BN134*VLOOKUP('Données projet'!$B$11,Paramètres!$A$1:$I$89,3,0)*0.475*44/12</f>
        <v>5.5380855857886235</v>
      </c>
      <c r="BR134" s="21">
        <f>EXP(-LN(2)/2)*BR133+(1-EXP(-LN(2)/2))/(LN(2)/2)*BL134*BO134*VLOOKUP('Données projet'!$B$11,Paramètres!$A$1:$I$89,3,0)*0.475*44/12</f>
        <v>9.8266404642922479E-11</v>
      </c>
      <c r="BS134" s="22">
        <f t="shared" si="232"/>
        <v>45.322651262127991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projet'!$A$123:$I$143,2,0)</f>
        <v>#N/A</v>
      </c>
      <c r="BW134" s="12" t="e">
        <f>VLOOKUP(A134,'Données projet'!$A$123:$I$143,9,0)</f>
        <v>#N/A</v>
      </c>
      <c r="BX134" s="12">
        <f t="array" ref="BX134">INDEX(BW:BW,MIN(IF(ISNUMBER(BW134:BW330),ROW(BW134:BW330),"")))</f>
        <v>0</v>
      </c>
      <c r="BY134" s="12">
        <f>IF('Données projet'!$A$124&gt;35,BY133+BX134-CG133,IF(A134&lt;'Données projet'!$A$124,$BV$205^A134,IF(A134='Données projet'!$A$124,'Données projet'!$B$124,BY133+BX134-CG133)))</f>
        <v>0</v>
      </c>
      <c r="BZ134" s="13">
        <f>BY134*VLOOKUP('Données projet'!$B$12,Paramètres!$A$1:$I$89,3,0)*VLOOKUP('Données projet'!$B$12,Paramètres!$A$1:$I$89,5,0)</f>
        <v>0</v>
      </c>
      <c r="CA134" s="13" t="e">
        <f t="shared" si="292"/>
        <v>#NUM!</v>
      </c>
      <c r="CB134" s="20" t="e">
        <f t="shared" si="233"/>
        <v>#NUM!</v>
      </c>
      <c r="CC134" s="59" t="e">
        <f t="shared" si="234"/>
        <v>#NUM!</v>
      </c>
      <c r="CD134" s="59">
        <f ca="1">AVERAGE(OFFSET($CC$3,0,0,'Données projet'!$E$12+1,1))-AVERAGE(OFFSET($H$3,0,0,'Données projet'!$E$12+1,1))</f>
        <v>322.93502595881938</v>
      </c>
      <c r="CE134" s="59">
        <f t="shared" si="293"/>
        <v>302.67072119588164</v>
      </c>
      <c r="CF134" s="15">
        <f>IF(ISNA(VLOOKUP(A134,'Données projet'!$A$123:$I$143,3,0)),0,VLOOKUP(A134,'Données projet'!$A$123:$I$143,3,0))</f>
        <v>0</v>
      </c>
      <c r="CG134" s="15">
        <f>IF(ISNA(VLOOKUP(A134,'Données projet'!$A$123:$I$143,4,0)),0,VLOOKUP(A134,'Données projet'!$A$123:$I$143,4,0))</f>
        <v>0</v>
      </c>
      <c r="CH134" s="16">
        <f>IF(ISNA(VLOOKUP(A134,'Données projet'!$A$123:$I$143,5,0)),0%,VLOOKUP(A134,'Données projet'!$A$123:$I$143,5,0)*VLOOKUP('Données projet'!$B$12,Paramètres!$A$1:$I$89,7,0))</f>
        <v>0</v>
      </c>
      <c r="CI134" s="16">
        <f>IF(ISNA(VLOOKUP(A134,'Données projet'!$A$123:$I$143,6,0)),0%,VLOOKUP(A134,'Données projet'!$A$123:$I$143,6,0)*VLOOKUP('Données projet'!$B$12,Paramètres!$A$1:$I$89,7,0))</f>
        <v>0</v>
      </c>
      <c r="CJ134" s="16">
        <f>IF(ISNA(VLOOKUP(A134,'Données projet'!$A$123:$I$143,7,0)),0%,VLOOKUP(A134,'Données projet'!$A$123:$I$143,7,0))</f>
        <v>0</v>
      </c>
      <c r="CK134" s="21">
        <f>EXP(-LN(2)/35)*CK133+(1-EXP(-LN(2)/35))/(LN(2)/35)*CG134*CH134*VLOOKUP('Données projet'!$B$12,Paramètres!$A$1:$I$89,3,0)*0.475*44/12</f>
        <v>63.386426434434817</v>
      </c>
      <c r="CL134" s="21">
        <f>EXP(-LN(2)/25)*CL133+(1-EXP(-LN(2)/25))/(LN(2)/25)*Calculateur!CG134*Calculateur!CI134*VLOOKUP('Données projet'!$B$12,Paramètres!$A$1:$I$89,3,0)*0.475*44/12</f>
        <v>17.725224632116099</v>
      </c>
      <c r="CM134" s="21">
        <f>EXP(-LN(2)/2)*CM133+(1-EXP(-LN(2)/2))/(LN(2)/2)*CG134*CJ134*VLOOKUP('Données projet'!$B$12,Paramètres!$A$1:$I$89,3,0)*0.475*44/12</f>
        <v>0</v>
      </c>
      <c r="CN134" s="22">
        <f t="shared" si="235"/>
        <v>81.11165106655092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projet'!$A$149:$I$169,2,0)</f>
        <v>#N/A</v>
      </c>
      <c r="CR134" s="12" t="e">
        <f>VLOOKUP(A134,'Données projet'!$A$149:$I$169,9,0)</f>
        <v>#N/A</v>
      </c>
      <c r="CS134" s="12">
        <f t="array" ref="CS134">INDEX(CR:CR,MIN(IF(ISNUMBER(CR134:CR330),ROW(CR134:CR330),"")))</f>
        <v>5.2446581196581219</v>
      </c>
      <c r="CT134" s="12">
        <f>IF('Données projet'!$A$150&gt;35,CT133+CS134-DB133,IF(A134&lt;'Données projet'!$A$150,$CQ$205^A134,IF(A134='Données projet'!$A$150,'Données projet'!$B$150,CT133+CS134-DB133)))</f>
        <v>261.60256410256363</v>
      </c>
      <c r="CU134" s="17">
        <f>CT134*VLOOKUP('Données projet'!$B$13,Paramètres!$A$1:$I$89,3,0)*VLOOKUP('Données projet'!$B$13,Paramètres!$A$1:$I$89,5,0)</f>
        <v>265.26499999999953</v>
      </c>
      <c r="CV134" s="13">
        <f t="shared" si="294"/>
        <v>63.843350385205326</v>
      </c>
      <c r="CW134" s="20">
        <f t="shared" si="236"/>
        <v>573.19704358756508</v>
      </c>
      <c r="CX134" s="59">
        <f t="shared" si="237"/>
        <v>866.53037692089833</v>
      </c>
      <c r="CY134" s="59">
        <f ca="1">AVERAGE(OFFSET($CX$3,0,0,'Données projet'!$E$13+1,1))-AVERAGE(OFFSET($H$3,0,0,'Données projet'!$E$13+1,1))</f>
        <v>250.31277422753283</v>
      </c>
      <c r="CZ134" s="59">
        <f t="shared" si="295"/>
        <v>159.20429420478047</v>
      </c>
      <c r="DA134" s="15">
        <f>IF(ISNA(VLOOKUP(A134,'Données projet'!$A$149:$I$169,3,0)),0,VLOOKUP(A134,'Données projet'!$A$149:$I$169,3,0))</f>
        <v>0</v>
      </c>
      <c r="DB134" s="15">
        <f>IF(ISNA(VLOOKUP(A134,'Données projet'!$A$149:$I$169,4,0)),0,VLOOKUP(A134,'Données projet'!$A$149:$I$169,4,0))</f>
        <v>0</v>
      </c>
      <c r="DC134" s="16">
        <f>IF(ISNA(VLOOKUP(A134,'Données projet'!$A$149:$I$169,5,0)),0%,VLOOKUP(A134,'Données projet'!$A$149:$I$169,5,0)*VLOOKUP('Données projet'!$B$13,Paramètres!$A$1:$I$89,7,0))</f>
        <v>0</v>
      </c>
      <c r="DD134" s="16">
        <f>IF(ISNA(VLOOKUP(A134,'Données projet'!$A$149:$I$169,6,0)),0%,VLOOKUP(A134,'Données projet'!$A$149:$I$169,6,0)*VLOOKUP('Données projet'!$B$13,Paramètres!$A$1:$I$89,7,0))</f>
        <v>0</v>
      </c>
      <c r="DE134" s="16">
        <f>IF(ISNA(VLOOKUP(A134,'Données projet'!$A$149:$I$169,7,0)),0%,VLOOKUP(A134,'Données projet'!$A$149:$I$169,7,0))</f>
        <v>0</v>
      </c>
      <c r="DF134" s="21">
        <f>EXP(-LN(2)/35)*DF133+(1-EXP(-LN(2)/35))/(LN(2)/35)*DB134*DC134*VLOOKUP('Données projet'!$B$13,Paramètres!$A$1:$I$89,3,0)*0.475*44/12</f>
        <v>42.441786162985984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238"/>
        <v>42.441786162985984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projet'!$A$175:$I$195,2,0)</f>
        <v>#N/A</v>
      </c>
      <c r="DM134" s="12" t="e">
        <f>VLOOKUP(A134,'Données projet'!$A$175:$I$195,9,0)</f>
        <v>#N/A</v>
      </c>
      <c r="DN134" s="12">
        <f t="array" ref="DN134">INDEX(DM:DM,MIN(IF(ISNUMBER(DM134:DM330),ROW(DM134:DM330),"")))</f>
        <v>0</v>
      </c>
      <c r="DO134" s="12">
        <f>IF('Données projet'!$A$176&gt;35,DO133+DN134-DW133,IF(A134&lt;'Données projet'!$A$176,$DL$205^A134,IF(A134='Données projet'!$A$176,'Données projet'!$B$176,DO133+DN134-DW133)))</f>
        <v>-2.8421709430404007E-13</v>
      </c>
      <c r="DP134" s="17">
        <f>DO134*VLOOKUP('Données projet'!$B$14,Paramètres!$A$1:$I$89,3,0)*VLOOKUP('Données projet'!$B$14,Paramètres!$A$1:$I$89,5,0)</f>
        <v>-2.0838797354372215E-13</v>
      </c>
      <c r="DQ134" s="13" t="e">
        <f t="shared" si="296"/>
        <v>#NUM!</v>
      </c>
      <c r="DR134" s="20" t="e">
        <f t="shared" si="239"/>
        <v>#NUM!</v>
      </c>
      <c r="DS134" s="59" t="e">
        <f t="shared" si="240"/>
        <v>#NUM!</v>
      </c>
      <c r="DT134" s="59">
        <f ca="1">AVERAGE(OFFSET($DS$3,0,0,'Données projet'!$E$14+1,1))-AVERAGE(OFFSET($H$3,0,0,'Données projet'!$E$14+1,1))</f>
        <v>296.91321813251051</v>
      </c>
      <c r="DU134" s="59">
        <f t="shared" si="297"/>
        <v>291.0718079639509</v>
      </c>
      <c r="DV134" s="15">
        <f>IF(ISNA(VLOOKUP(A134,'Données projet'!$A$175:$I$195,3,0)),0,VLOOKUP(A134,'Données projet'!$A$175:$I$195,3,0))</f>
        <v>0</v>
      </c>
      <c r="DW134" s="15">
        <f>IF(ISNA(VLOOKUP(A134,'Données projet'!$A$175:$I$195,4,0)),0,VLOOKUP(A134,'Données projet'!$A$175:$I$195,4,0))</f>
        <v>0</v>
      </c>
      <c r="DX134" s="16">
        <f>IF(ISNA(VLOOKUP(A134,'Données projet'!$A$175:$I$195,5,0)),0%,VLOOKUP(A134,'Données projet'!$A$175:$I$195,5,0)*VLOOKUP('Données projet'!$B$14,Paramètres!$A$1:$I$89,7,0))</f>
        <v>0</v>
      </c>
      <c r="DY134" s="16">
        <f>IF(ISNA(VLOOKUP(A134,'Données projet'!$A$175:$I$195,6,0)),0%,VLOOKUP(A134,'Données projet'!$A$175:$I$195,6,0)*VLOOKUP('Données projet'!$B$14,Paramètres!$A$1:$I$89,7,0))</f>
        <v>0</v>
      </c>
      <c r="DZ134" s="16">
        <f>IF(ISNA(VLOOKUP(A134,'Données projet'!$A$175:$I$195,7,0)),0%,VLOOKUP(A134,'Données projet'!$A$175:$I$195,7,0))</f>
        <v>0</v>
      </c>
      <c r="EA134" s="21">
        <f>EXP(-LN(2)/35)*EA133+(1-EXP(-LN(2)/35))/(LN(2)/35)*DW134*DX134*VLOOKUP('Données projet'!$B$14,Paramètres!$A$1:$I$89,3,0)*0.475*44/12</f>
        <v>63.17591739001174</v>
      </c>
      <c r="EB134" s="21">
        <f>EXP(-LN(2)/25)*EB133+(1-EXP(-LN(2)/25))/(LN(2)/25)*Calculateur!DW134*Calculateur!DY134*VLOOKUP('Données projet'!$B$14,Paramètres!$A$1:$I$89,3,0)*0.475*44/12</f>
        <v>1.3021110772896989</v>
      </c>
      <c r="EC134" s="21">
        <f>EXP(-LN(2)/2)*EC133+(1-EXP(-LN(2)/2))/(LN(2)/2)*DW134*DZ134*VLOOKUP('Données projet'!$B$14,Paramètres!$A$1:$I$89,3,0)*0.475*44/12</f>
        <v>0</v>
      </c>
      <c r="ED134" s="22">
        <f t="shared" si="241"/>
        <v>64.478028467301442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projet'!$A$201:$I$221,2,0)</f>
        <v>#N/A</v>
      </c>
      <c r="EH134" s="12" t="e">
        <f>VLOOKUP(A134,'Données projet'!$A$201:$I$221,9,0)</f>
        <v>#N/A</v>
      </c>
      <c r="EI134" s="12">
        <f t="array" ref="EI134">INDEX(EH:EH,MIN(IF(ISNUMBER(EH134:EH330),ROW(EH134:EH330),"")))</f>
        <v>0</v>
      </c>
      <c r="EJ134" s="12">
        <f>IF('Données projet'!$A$202&gt;35,EJ133+EI134-ER133,IF(A134&lt;'Données projet'!$A$202,$EG$205^A134,IF(A134='Données projet'!$A$202,'Données projet'!$B$202,EJ133+EI134-ER133)))</f>
        <v>5.1159076974727213E-13</v>
      </c>
      <c r="EK134" s="17">
        <f>EJ134*VLOOKUP('Données projet'!$B$15,Paramètres!$A$1:$I$89,3,0)*VLOOKUP('Données projet'!$B$15,Paramètres!$A$1:$I$89,5,0)</f>
        <v>2.3942448024172334E-13</v>
      </c>
      <c r="EL134" s="13">
        <f t="shared" si="298"/>
        <v>3.2492669905861755E-12</v>
      </c>
      <c r="EM134" s="20">
        <f t="shared" si="242"/>
        <v>6.0761376450252565E-12</v>
      </c>
      <c r="EN134" s="59">
        <f t="shared" si="243"/>
        <v>293.3333333333394</v>
      </c>
      <c r="EO134" s="59">
        <f ca="1">AVERAGE(OFFSET($EN$3,0,0,'Données projet'!$E$15+1,1))-AVERAGE(OFFSET($H$3,0,0,'Données projet'!$E$15+1,1))</f>
        <v>147.64256291235483</v>
      </c>
      <c r="EP134" s="59">
        <f t="shared" si="299"/>
        <v>70.859031694091868</v>
      </c>
      <c r="EQ134" s="15">
        <f>IF(ISNA(VLOOKUP(A134,'Données projet'!$A$201:$I$221,3,0)),0,VLOOKUP(A134,'Données projet'!$A$201:$I$221,3,0))</f>
        <v>0</v>
      </c>
      <c r="ER134" s="15">
        <f>IF(ISNA(VLOOKUP(A134,'Données projet'!$A$201:$I$221,4,0)),0,VLOOKUP(A134,'Données projet'!$A$201:$I$221,4,0))</f>
        <v>0</v>
      </c>
      <c r="ES134" s="16">
        <f>IF(ISNA(VLOOKUP(A134,'Données projet'!$A$201:$I$221,5,0)),0%,VLOOKUP(A134,'Données projet'!$A$201:$I$221,5,0)*VLOOKUP('Données projet'!$B$15,Paramètres!$A$1:$I$89,7,0))</f>
        <v>0</v>
      </c>
      <c r="ET134" s="16">
        <f>IF(ISNA(VLOOKUP(A134,'Données projet'!$A$201:$I$221,6,0)),0%,VLOOKUP(A134,'Données projet'!$A$201:$I$221,6,0)*VLOOKUP('Données projet'!$B$15,Paramètres!$A$1:$I$89,7,0))</f>
        <v>0</v>
      </c>
      <c r="EU134" s="16">
        <f>IF(ISNA(VLOOKUP(A134,'Données projet'!$A$201:$I$221,7,0)),0%,VLOOKUP(A134,'Données projet'!$A$201:$I$221,7,0))</f>
        <v>0</v>
      </c>
      <c r="EV134" s="21">
        <f>EXP(-LN(2)/35)*EV133+(1-EXP(-LN(2)/35))/(LN(2)/35)*ER134*ES134*VLOOKUP('Données projet'!$B$15,Paramètres!$A$1:$I$89,3,0)*0.475*44/12</f>
        <v>86.488826738768054</v>
      </c>
      <c r="EW134" s="21">
        <f>EXP(-LN(2)/25)*EW133+(1-EXP(-LN(2)/25))/(LN(2)/25)*Calculateur!ER134*Calculateur!ET134*VLOOKUP('Données projet'!$B$15,Paramètres!$A$1:$I$89,3,0)*0.475*44/12</f>
        <v>18.06547934265641</v>
      </c>
      <c r="EX134" s="21">
        <f>EXP(-LN(2)/2)*EX133+(1-EXP(-LN(2)/2))/(LN(2)/2)*ER134*EU134*VLOOKUP('Données projet'!$B$15,Paramètres!$A$1:$I$89,3,0)*0.475*44/12</f>
        <v>8.9593209593326947E-3</v>
      </c>
      <c r="EY134" s="22">
        <f t="shared" si="244"/>
        <v>104.56326540238381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projet'!$A$227:$I$247,2,0)</f>
        <v>#N/A</v>
      </c>
      <c r="FC134" s="12" t="e">
        <f>VLOOKUP(A134,'Données projet'!$A$227:$I$247,9,0)</f>
        <v>#N/A</v>
      </c>
      <c r="FD134" s="12">
        <f t="array" ref="FD134">INDEX(FC:FC,MIN(IF(ISNUMBER(FC134:FC330),ROW(FC134:FC330),"")))</f>
        <v>0</v>
      </c>
      <c r="FE134" s="12">
        <f>IF('Données projet'!$A$228&gt;35,FE133+FD134-FM133,IF(A134&lt;'Données projet'!$A$228,$FB$205^A134,IF(A134='Données projet'!$A$228,'Données projet'!$B$228,FE133+FD134-FM133)))</f>
        <v>8.5265128291212022E-14</v>
      </c>
      <c r="FF134" s="17">
        <f>FE134*VLOOKUP('Données projet'!$B$16,Paramètres!$A$1:$I$89,3,0)*VLOOKUP('Données projet'!$B$16,Paramètres!$A$1:$I$89,5,0)</f>
        <v>8.9119112089974823E-14</v>
      </c>
      <c r="FG134" s="13">
        <f t="shared" si="300"/>
        <v>1.3568952080113142E-12</v>
      </c>
      <c r="FH134" s="20">
        <f t="shared" si="245"/>
        <v>2.5184749408430782E-12</v>
      </c>
      <c r="FI134" s="59">
        <f t="shared" si="246"/>
        <v>293.33333333333582</v>
      </c>
      <c r="FJ134" s="59">
        <f ca="1">AVERAGE(OFFSET($FI$3,0,0,'Données projet'!$E$16+1,1))-AVERAGE(OFFSET($H$3,0,0,'Données projet'!$E$16+1,1))</f>
        <v>259.03906550253788</v>
      </c>
      <c r="FK134" s="59">
        <f t="shared" si="301"/>
        <v>235.54542903570831</v>
      </c>
      <c r="FL134" s="15">
        <f>IF(ISNA(VLOOKUP(A134,'Données projet'!$A$227:$I$247,3,0)),0,VLOOKUP(A134,'Données projet'!$A$227:$I$247,3,0))</f>
        <v>0</v>
      </c>
      <c r="FM134" s="15">
        <f>IF(ISNA(VLOOKUP(A134,'Données projet'!$A$227:$I$247,4,0)),0,VLOOKUP(A134,'Données projet'!$A$227:$I$247,4,0))</f>
        <v>0</v>
      </c>
      <c r="FN134" s="16">
        <f>IF(ISNA(VLOOKUP(A134,'Données projet'!$A$227:$I$247,5,0)),0%,VLOOKUP(A134,'Données projet'!$A$227:$I$247,5,0)*VLOOKUP('Données projet'!$B$16,Paramètres!$A$1:$I$89,7,0))</f>
        <v>0</v>
      </c>
      <c r="FO134" s="16">
        <f>IF(ISNA(VLOOKUP(A134,'Données projet'!$A$227:$I$247,6,0)),0%,VLOOKUP(A134,'Données projet'!$A$227:$I$247,6,0)*VLOOKUP('Données projet'!$B$16,Paramètres!$A$1:$I$89,7,0))</f>
        <v>0</v>
      </c>
      <c r="FP134" s="16">
        <f>IF(ISNA(VLOOKUP(A134,'Données projet'!$A$227:$I$247,7,0)),0%,VLOOKUP(A134,'Données projet'!$A$227:$I$247,7,0))</f>
        <v>0</v>
      </c>
      <c r="FQ134" s="21">
        <f>EXP(-LN(2)/35)*FQ133+(1-EXP(-LN(2)/35))/(LN(2)/35)*FM134*FN134*VLOOKUP('Données projet'!$B$16,Paramètres!$A$1:$I$89,3,0)*0.475*44/12</f>
        <v>38.173817624168137</v>
      </c>
      <c r="FR134" s="21">
        <f>EXP(-LN(2)/25)*FR133+(1-EXP(-LN(2)/25))/(LN(2)/25)*Calculateur!FM134*Calculateur!FO134*VLOOKUP('Données projet'!$B$16,Paramètres!$A$1:$I$89,3,0)*0.475*44/12</f>
        <v>24.852222099886994</v>
      </c>
      <c r="FS134" s="21">
        <f>EXP(-LN(2)/2)*FS133+(1-EXP(-LN(2)/2))/(LN(2)/2)*FM134*FP134*VLOOKUP('Données projet'!$B$16,Paramètres!$A$1:$I$89,3,0)*0.475*44/12</f>
        <v>0</v>
      </c>
      <c r="FT134" s="22">
        <f t="shared" si="247"/>
        <v>63.026039724055131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projet'!$A$253:$I$273,2,0)</f>
        <v>#N/A</v>
      </c>
      <c r="FX134" s="12" t="e">
        <f>VLOOKUP(A134,'Données projet'!$A$253:$I$273,9,0)</f>
        <v>#N/A</v>
      </c>
      <c r="FY134" s="12">
        <f t="array" ref="FY134">INDEX(FX:FX,MIN(IF(ISNUMBER(FX134:FX330),ROW(FX134:FX330),"")))</f>
        <v>0</v>
      </c>
      <c r="FZ134" s="12">
        <f>IF('Données projet'!$A$254&gt;35,FZ133+FY134-GH133,IF(A134&lt;'Données projet'!$A$254,$FW$205^A134,IF(A134='Données projet'!$A$254,'Données projet'!$B$254,FZ133+FY134-GH133)))</f>
        <v>-1.7053025658242404E-13</v>
      </c>
      <c r="GA134" s="17">
        <f>FZ134*VLOOKUP('Données projet'!$B$17,Paramètres!$A$1:$I$89,3,0)*VLOOKUP('Données projet'!$B$17,Paramètres!$A$1:$I$89,5,0)</f>
        <v>-1.4897523215040567E-13</v>
      </c>
      <c r="GB134" s="13" t="e">
        <f t="shared" si="302"/>
        <v>#NUM!</v>
      </c>
      <c r="GC134" s="20" t="e">
        <f t="shared" si="248"/>
        <v>#NUM!</v>
      </c>
      <c r="GD134" s="59" t="e">
        <f t="shared" si="249"/>
        <v>#NUM!</v>
      </c>
      <c r="GE134" s="59">
        <f ca="1">AVERAGE(OFFSET($GD$3,0,0,'Données projet'!$E$17+1,1))-AVERAGE(OFFSET($H$3,0,0,'Données projet'!$E$17+1,1))</f>
        <v>245.1983232777614</v>
      </c>
      <c r="GF134" s="59">
        <f t="shared" si="303"/>
        <v>242.34010522344573</v>
      </c>
      <c r="GG134" s="15">
        <f>IF(ISNA(VLOOKUP(A134,'Données projet'!$A$253:$I$273,3,0)),0,VLOOKUP(A134,'Données projet'!$A$253:$I$273,3,0))</f>
        <v>0</v>
      </c>
      <c r="GH134" s="15">
        <f>IF(ISNA(VLOOKUP(A134,'Données projet'!$A$253:$I$273,4,0)),0,VLOOKUP(A134,'Données projet'!$A$253:$I$273,4,0))</f>
        <v>0</v>
      </c>
      <c r="GI134" s="16">
        <f>IF(ISNA(VLOOKUP(A134,'Données projet'!$A$253:$I$273,5,0)),0%,VLOOKUP(A134,'Données projet'!$A$253:$I$273,5,0)*VLOOKUP('Données projet'!$B$17,Paramètres!$A$1:$I$89,7,0))</f>
        <v>0</v>
      </c>
      <c r="GJ134" s="16">
        <f>IF(ISNA(VLOOKUP(A134,'Données projet'!$A$253:$I$273,6,0)),0%,VLOOKUP(A134,'Données projet'!$A$253:$I$273,6,0)*VLOOKUP('Données projet'!$B$17,Paramètres!$A$1:$I$89,7,0))</f>
        <v>0</v>
      </c>
      <c r="GK134" s="16">
        <f>IF(ISNA(VLOOKUP(A134,'Données projet'!$A$253:$I$273,7,0)),0%,VLOOKUP(A134,'Données projet'!$A$253:$I$273,7,0))</f>
        <v>0</v>
      </c>
      <c r="GL134" s="21">
        <f>EXP(-LN(2)/35)*GL133+(1-EXP(-LN(2)/35))/(LN(2)/35)*GH134*GI134*VLOOKUP('Données projet'!$B$17,Paramètres!$A$1:$I$89,3,0)*0.475*44/12</f>
        <v>44.878560152666338</v>
      </c>
      <c r="GM134" s="21">
        <f>EXP(-LN(2)/25)*GM133+(1-EXP(-LN(2)/25))/(LN(2)/25)*Calculateur!GH134*Calculateur!GJ134*VLOOKUP('Données projet'!$B$17,Paramètres!$A$1:$I$89,3,0)*0.475*44/12</f>
        <v>5.2954030887504215</v>
      </c>
      <c r="GN134" s="21">
        <f>EXP(-LN(2)/2)*GN133+(1-EXP(-LN(2)/2))/(LN(2)/2)*GH134*GK134*VLOOKUP('Données projet'!$B$17,Paramètres!$A$1:$I$89,3,0)*0.475*44/12</f>
        <v>0</v>
      </c>
      <c r="GO134" s="21">
        <f t="shared" si="250"/>
        <v>50.173963241416757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projet'!$A$279:$I$299,2,0)</f>
        <v>#N/A</v>
      </c>
      <c r="GS134" s="12" t="e">
        <f>VLOOKUP(A134,'Données projet'!$A$279:$I$299,9,0)</f>
        <v>#N/A</v>
      </c>
      <c r="GT134" s="12">
        <f t="array" ref="GT134">INDEX(GS:GS,MIN(IF(ISNUMBER(GS134:GS330),ROW(GS134:GS330),"")))</f>
        <v>0</v>
      </c>
      <c r="GU134" s="12">
        <f>IF('Données projet'!$A$280&gt;35,GU133+GT134-HC133,IF(A134&lt;'Données projet'!$A$280,$GR$205^A134,IF(A134='Données projet'!$A$280,'Données projet'!$B$280,GU133+GT134-HC133)))</f>
        <v>-1.1368683772161603E-13</v>
      </c>
      <c r="GV134" s="17">
        <f>GU134*VLOOKUP('Données projet'!$B$18,Paramètres!$A$1:$I$89,3,0)*VLOOKUP('Données projet'!$B$18,Paramètres!$A$1:$I$89,5,0)</f>
        <v>-4.5815795601811263E-14</v>
      </c>
      <c r="GW134" s="13" t="e">
        <f t="shared" si="304"/>
        <v>#NUM!</v>
      </c>
      <c r="GX134" s="20" t="e">
        <f t="shared" si="251"/>
        <v>#NUM!</v>
      </c>
      <c r="GY134" s="59" t="e">
        <f t="shared" si="252"/>
        <v>#NUM!</v>
      </c>
      <c r="GZ134" s="59">
        <f ca="1">AVERAGE(OFFSET($GY$3,0,0,'Données projet'!$E$18+1,1))-AVERAGE(OFFSET($H$3,0,0,'Données projet'!$E$18+1,1))</f>
        <v>324.36162935850876</v>
      </c>
      <c r="HA134" s="59">
        <f t="shared" si="305"/>
        <v>265.23571072429735</v>
      </c>
      <c r="HB134" s="15">
        <f>IF(ISNA(VLOOKUP(A134,'Données projet'!$A$279:$I$299,3,0)),0,VLOOKUP(A134,'Données projet'!$A$279:$I$299,3,0))</f>
        <v>0</v>
      </c>
      <c r="HC134" s="15">
        <f>IF(ISNA(VLOOKUP(A134,'Données projet'!$A$279:$I$299,4,0)),0,VLOOKUP(A134,'Données projet'!$A$279:$I$299,4,0))</f>
        <v>0</v>
      </c>
      <c r="HD134" s="16">
        <f>IF(ISNA(VLOOKUP(A134,'Données projet'!$A$279:$I$299,5,0)),0%,VLOOKUP(A134,'Données projet'!$A$279:$I$299,5,0)*VLOOKUP('Données projet'!$B$18,Paramètres!$A$1:$I$89,7,0))</f>
        <v>0</v>
      </c>
      <c r="HE134" s="16">
        <f>IF(ISNA(VLOOKUP(A134,'Données projet'!$A$279:$I$299,6,0)),0%,VLOOKUP(A134,'Données projet'!$A$279:$I$299,6,0)*VLOOKUP('Données projet'!$B$18,Paramètres!$A$1:$I$89,7,0))</f>
        <v>0</v>
      </c>
      <c r="HF134" s="16">
        <f>IF(ISNA(VLOOKUP($A134,'Données projet'!$A$279:$I$299,7,0)),0%,VLOOKUP($A134,'Données projet'!$A$279:$I$299,7,0))</f>
        <v>0</v>
      </c>
      <c r="HG134" s="21">
        <f>EXP(-LN(2)/35)*HG133+(1-EXP(-LN(2)/35))/(LN(2)/35)*HC134*HD134*VLOOKUP('Données projet'!$B$18,Paramètres!$A$1:$I$89,3,0)*0.475*44/12</f>
        <v>85.999053352305481</v>
      </c>
      <c r="HH134" s="21">
        <f>EXP(-LN(2)/25)*HH133+(1-EXP(-LN(2)/25))/(LN(2)/25)*Calculateur!HC134*Calculateur!HE134*VLOOKUP('Données projet'!$B$18,Paramètres!$A$1:$I$89,3,0)*0.475*44/12</f>
        <v>5.8894354025482514</v>
      </c>
      <c r="HI134" s="21">
        <f>EXP(-LN(2)/2)*HI133+(1-EXP(-LN(2)/2))/(LN(2)/2)*HC134*HF134*VLOOKUP('Données projet'!$B$18,Paramètres!$A$1:$I$89,3,0)*0.475*44/12</f>
        <v>1.8011897640603921E-7</v>
      </c>
      <c r="HJ134" s="22">
        <f t="shared" si="253"/>
        <v>91.888488934972713</v>
      </c>
      <c r="HK134" s="74">
        <f>('Scénario référence'!$F$8+'Scénario référence'!$F$9+'Scénario référence'!$B$17+'Scénario référence'!$B$9+'Scénario référence'!$B$10)*70+IF((45+25*(1-EXP(-0.0175*$A134)))&lt;70,'Scénario référence'!$B$16*(45+25*(1-EXP(-0.0175*$A134))),70*'Scénario référence'!$B$16)+IF((32+38*(1-EXP(-0.0175*$A134)))&lt;70,'Scénario référence'!$B$18*(32+38*(1-EXP(-0.0175*$A134))),70*'Scénario référence'!$B$18)</f>
        <v>70</v>
      </c>
      <c r="HL134" s="12">
        <f>IF($A134&gt;30,10,('Scénario référence'!$B$16+'Scénario référence'!$B$17+'Scénario référence'!$B$18+'Scénario référence'!$B$9+'Scénario référence'!$B$10)*$A134*10/30+('Scénario référence'!$F$8+'Scénario référence'!$F$9)*10)</f>
        <v>10</v>
      </c>
      <c r="HM134" s="12" t="e">
        <f>VLOOKUP($A134,'Données projet'!$A$304:$I$324,2,0)</f>
        <v>#N/A</v>
      </c>
      <c r="HN134" s="12" t="e">
        <f>VLOOKUP($A134,'Données projet'!$A$304:$I$324,9,0)</f>
        <v>#N/A</v>
      </c>
      <c r="HO134" s="12">
        <f t="array" ref="HO134">INDEX(HN:HN,MIN(IF(ISNUMBER(HN134:HN330),ROW(HN134:HN330),"")))</f>
        <v>0</v>
      </c>
      <c r="HP134" s="12">
        <f>IF('Données projet'!$A$304&gt;35,HP133+HO134-HX133,IF($A134&lt;'Données projet'!$A$304,$CQ$205^$A134,IF($A134='Données projet'!$A$304,'Données projet'!$B$304,HP133+HO134-HX133)))</f>
        <v>0</v>
      </c>
      <c r="HQ134" s="17">
        <f>HP134*VLOOKUP('Données projet'!$B$19,Paramètres!$A$1:$I$89,3,0)*VLOOKUP('Données projet'!$B$19,Paramètres!$A$1:$I$89,5,0)</f>
        <v>0</v>
      </c>
      <c r="HR134" s="13" t="e">
        <f t="shared" si="306"/>
        <v>#NUM!</v>
      </c>
      <c r="HS134" s="14" t="e">
        <f t="shared" si="254"/>
        <v>#NUM!</v>
      </c>
      <c r="HT134" s="59" t="e">
        <f t="shared" si="255"/>
        <v>#NUM!</v>
      </c>
      <c r="HU134" s="59">
        <f ca="1">AVERAGE(OFFSET(HT$3,0,0,'Données projet'!$E$19+1,1))-AVERAGE(OFFSET($H$3,0,0,'Données projet'!$E$19+1,1))</f>
        <v>91.60721429656013</v>
      </c>
      <c r="HV134" s="59">
        <f t="shared" si="307"/>
        <v>258.94957804210856</v>
      </c>
      <c r="HW134" s="15">
        <f>IF(ISNA(VLOOKUP($A134,'Données projet'!$A$304:$I$324,3,0)),0,VLOOKUP($A134,'Données projet'!$A$304:$I$324,3,0))</f>
        <v>0</v>
      </c>
      <c r="HX134" s="15">
        <f>IF(ISNA(VLOOKUP($A134,'Données projet'!$A$304:$I$324,4,0)),0,VLOOKUP($A134,'Données projet'!$A$304:$I$324,4,0))</f>
        <v>0</v>
      </c>
      <c r="HY134" s="16">
        <f>IF(ISNA(VLOOKUP($A134,'Données projet'!$A$304:$I$324,5,0)),0%,VLOOKUP($A134,'Données projet'!$A$304:$I$324,5,0)*VLOOKUP('Données projet'!$B$19,Paramètres!$A$1:$I$89,7,0))</f>
        <v>0</v>
      </c>
      <c r="HZ134" s="16">
        <f>IF(ISNA(VLOOKUP($A134,'Données projet'!$A$304:$I$324,6,0)),0%,VLOOKUP($A134,'Données projet'!$A$304:$I$324,6,0)*VLOOKUP('Données projet'!$B$19,Paramètres!$A$1:$I$89,7,0))</f>
        <v>0</v>
      </c>
      <c r="IA134" s="16">
        <f>IF(ISNA(VLOOKUP($A134,'Données projet'!$A$304:$I$324,7,0)),0%,VLOOKUP($A134,'Données projet'!$A$304:$I$324,7,0))</f>
        <v>0</v>
      </c>
      <c r="IB134" s="21">
        <f>EXP(-LN(2)/35)*IB133+(1-EXP(-LN(2)/35))/(LN(2)/35)*HX134*HY134*VLOOKUP('Données projet'!$B$19,Paramètres!$A$1:$I$89,3,0)*0.475*44/12</f>
        <v>6.674955393719892</v>
      </c>
      <c r="IC134" s="21">
        <f>EXP(-LN(2)/25)*IC133+(1-EXP(-LN(2)/25))/(LN(2)/25)*Calculateur!HX134*Calculateur!HZ134*VLOOKUP('Données projet'!$B$19,Paramètres!$A$1:$I$89,3,0)*0.475*44/12</f>
        <v>0.59135759241387176</v>
      </c>
      <c r="ID134" s="21">
        <f>EXP(-LN(2)/2)*ID133+(1-EXP(-LN(2)/2))/(LN(2)/2)*HX134*IA134*VLOOKUP('Données projet'!$B$19,Paramètres!$A$1:$I$89,3,0)*0.475*44/12</f>
        <v>3.5977243784351444E-16</v>
      </c>
      <c r="IE134" s="22">
        <f t="shared" si="256"/>
        <v>7.2663129861337641</v>
      </c>
      <c r="IF134" s="74">
        <f>('Scénario référence'!$F$8+'Scénario référence'!$F$9+'Scénario référence'!$B$17+'Scénario référence'!$B$9+'Scénario référence'!$B$10)*70+IF((45+25*(1-EXP(-0.0175*$A134)))&lt;70,'Scénario référence'!$B$16*(45+25*(1-EXP(-0.0175*$A134))),70*'Scénario référence'!$B$16)+IF((32+38*(1-EXP(-0.0175*$A134)))&lt;70,'Scénario référence'!$B$18*(32+38*(1-EXP(-0.0175*$A134))),70*'Scénario référence'!$B$18)</f>
        <v>70</v>
      </c>
      <c r="IG134" s="12">
        <f>IF($A134&gt;30,10,('Scénario référence'!$B$16+'Scénario référence'!$B$17+'Scénario référence'!$B$18+'Scénario référence'!$B$9+'Scénario référence'!$B$10)*$A134*10/30+('Scénario référence'!$F$8+'Scénario référence'!$F$9)*10)</f>
        <v>10</v>
      </c>
      <c r="IH134" s="12" t="e">
        <f>VLOOKUP($A134,'Données projet'!$A$330:$I$350,2,0)</f>
        <v>#N/A</v>
      </c>
      <c r="II134" s="12" t="e">
        <f>VLOOKUP($A134,'Données projet'!$A$330:$I$350,9,0)</f>
        <v>#N/A</v>
      </c>
      <c r="IJ134" s="12">
        <f t="array" ref="IJ134">INDEX(II:II,MIN(IF(ISNUMBER(II134:II330),ROW(II134:II330),"")))</f>
        <v>0</v>
      </c>
      <c r="IK134" s="12">
        <f>IF('Données projet'!$A$330&gt;35,IK133+IJ134-IS133,IF($A134&lt;'Données projet'!$A$330,$CQ$205^$A134,IF($A134='Données projet'!$A$330,'Données projet'!$B$330,IK133+IJ134-IS133)))</f>
        <v>0</v>
      </c>
      <c r="IL134" s="17">
        <f>IK134*VLOOKUP('Données projet'!$B$20,Paramètres!$A$1:$I$89,3,0)*VLOOKUP('Données projet'!$B$20,Paramètres!$A$1:$I$89,5,0)</f>
        <v>0</v>
      </c>
      <c r="IM134" s="13" t="e">
        <f t="shared" si="308"/>
        <v>#NUM!</v>
      </c>
      <c r="IN134" s="20" t="e">
        <f t="shared" si="257"/>
        <v>#NUM!</v>
      </c>
      <c r="IO134" s="59" t="e">
        <f t="shared" si="258"/>
        <v>#NUM!</v>
      </c>
      <c r="IP134" s="59">
        <f ca="1">AVERAGE(OFFSET(IO$3,0,0,'Données projet'!$E$20+1,1))-AVERAGE(OFFSET($H$3,0,0,'Données projet'!$E$20+1,1))</f>
        <v>91.60721429656013</v>
      </c>
      <c r="IQ134" s="59">
        <f t="shared" si="309"/>
        <v>258.94957804210856</v>
      </c>
      <c r="IR134" s="15">
        <f>IF(ISNA(VLOOKUP($A134,'Données projet'!$A$330:$I$350,3,0)),0,VLOOKUP($A134,'Données projet'!$A$330:$I$350,3,0))</f>
        <v>0</v>
      </c>
      <c r="IS134" s="15">
        <f>IF(ISNA(VLOOKUP($A134,'Données projet'!$A$330:$I$350,4,0)),0,VLOOKUP($A134,'Données projet'!$A$330:$I$350,4,0))</f>
        <v>0</v>
      </c>
      <c r="IT134" s="16">
        <f>IF(ISNA(VLOOKUP($A134,'Données projet'!$A$330:$I$350,5,0)),0%,VLOOKUP($A134,'Données projet'!$A$330:$I$350,5,0)*VLOOKUP('Données projet'!$B$20,Paramètres!$A$1:$I$89,7,0))</f>
        <v>0</v>
      </c>
      <c r="IU134" s="16">
        <f>IF(ISNA(VLOOKUP($A134,'Données projet'!$A$330:$I$350,6,0)),0%,VLOOKUP($A134,'Données projet'!$A$330:$I$350,6,0)*VLOOKUP('Données projet'!$B$20,Paramètres!$A$1:$I$89,7,0))</f>
        <v>0</v>
      </c>
      <c r="IV134" s="16">
        <f>IF(ISNA(VLOOKUP($A134,'Données projet'!$A$330:$I$350,7,0)),0%,VLOOKUP($A134,'Données projet'!$A$330:$I$350,7,0))</f>
        <v>0</v>
      </c>
      <c r="IW134" s="21">
        <f>EXP(-LN(2)/35)*IW133+(1-EXP(-LN(2)/35))/(LN(2)/35)*IS134*IT134*VLOOKUP('Données projet'!$B$20,Paramètres!$A$1:$I$89,3,0)*0.475*44/12</f>
        <v>6.674955393719892</v>
      </c>
      <c r="IX134" s="21">
        <f>EXP(-LN(2)/25)*IX133+(1-EXP(-LN(2)/25))/(LN(2)/25)*Calculateur!IS134*Calculateur!IU134*VLOOKUP('Données projet'!$B$20,Paramètres!$A$1:$I$89,3,0)*0.475*44/12</f>
        <v>0.59135759241387176</v>
      </c>
      <c r="IY134" s="21">
        <f>EXP(-LN(2)/2)*IY133+(1-EXP(-LN(2)/2))/(LN(2)/2)*IS134*IV134*VLOOKUP('Données projet'!$B$20,Paramètres!$A$1:$I$89,3,0)*0.475*44/12</f>
        <v>3.5977243784351444E-16</v>
      </c>
      <c r="IZ134" s="22">
        <f t="shared" si="259"/>
        <v>7.2663129861337641</v>
      </c>
      <c r="JA134" s="74">
        <f>('Scénario référence'!$F$8+'Scénario référence'!$F$9+'Scénario référence'!$B$17+'Scénario référence'!$B$9+'Scénario référence'!$B$10)*70+IF((45+25*(1-EXP(-0.0175*$A134)))&lt;70,'Scénario référence'!$B$16*(45+25*(1-EXP(-0.0175*$A134))),70*'Scénario référence'!$B$16)+IF((32+38*(1-EXP(-0.0175*$A134)))&lt;70,'Scénario référence'!$B$18*(32+38*(1-EXP(-0.0175*$A134))),70*'Scénario référence'!$B$18)</f>
        <v>70</v>
      </c>
      <c r="JB134" s="12">
        <f>IF($A134&gt;30,10,('Scénario référence'!$B$16+'Scénario référence'!$B$17+'Scénario référence'!$B$18+'Scénario référence'!$B$9+'Scénario référence'!$B$10)*$A134*10/30+('Scénario référence'!$F$8+'Scénario référence'!$F$9)*10)</f>
        <v>10</v>
      </c>
      <c r="JC134" s="12" t="e">
        <f>VLOOKUP($A134,'Données projet'!$A$356:$I$376,2,0)</f>
        <v>#N/A</v>
      </c>
      <c r="JD134" s="12" t="e">
        <f>VLOOKUP($A134,'Données projet'!$A$356:$I$376,9,0)</f>
        <v>#N/A</v>
      </c>
      <c r="JE134" s="12">
        <f t="array" ref="JE134">INDEX(JD:JD,MIN(IF(ISNUMBER(JD134:JD330),ROW(JD134:JD330),"")))</f>
        <v>1.4</v>
      </c>
      <c r="JF134" s="12">
        <f>IF('Données projet'!$A$356&gt;35,JF133+JE134-JN133,IF($A134&lt;'Données projet'!$A$356,$CQ$205^$A134,IF($A134='Données projet'!$A$356,'Données projet'!$B$356,JF133+JE134-JN133)))</f>
        <v>421.39999999999912</v>
      </c>
      <c r="JG134" s="17">
        <f>JF134*VLOOKUP('Données projet'!$B$21,Paramètres!$A$1:$I$89,3,0)*VLOOKUP('Données projet'!$B$21,Paramètres!$A$1:$I$89,5,0)</f>
        <v>341.8396799999993</v>
      </c>
      <c r="JH134" s="13">
        <f t="shared" si="310"/>
        <v>79.879916503802491</v>
      </c>
      <c r="JI134" s="20">
        <f t="shared" si="260"/>
        <v>734.49496391078799</v>
      </c>
      <c r="JJ134" s="59">
        <f t="shared" si="261"/>
        <v>1027.8282972441214</v>
      </c>
      <c r="JK134" s="59">
        <f ca="1">AVERAGE(OFFSET($JJ$3,0,0,'Données projet'!$E$22+1,1))-AVERAGE(OFFSET($H$3,0,0,'Données projet'!$E$22+1,1))</f>
        <v>353.35574633294613</v>
      </c>
      <c r="JL134" s="59">
        <f t="shared" si="311"/>
        <v>170.36796666474726</v>
      </c>
      <c r="JM134" s="15">
        <f>IF(ISNA(VLOOKUP($A134,'Données projet'!$A$356:$I$376,3,0)),0,VLOOKUP($A134,'Données projet'!$A$356:$I$376,3,0))</f>
        <v>0</v>
      </c>
      <c r="JN134" s="15">
        <f>IF(ISNA(VLOOKUP($A134,'Données projet'!$A$356:$I$376,4,0)),0,VLOOKUP($A134,'Données projet'!$A$356:$I$376,4,0))</f>
        <v>0</v>
      </c>
      <c r="JO134" s="16">
        <f>IF(ISNA(VLOOKUP($A134,'Données projet'!$A$356:$I$376,5,0)),0%,VLOOKUP($A134,'Données projet'!$A$356:$I$376,5,0)*VLOOKUP('Données projet'!$B$21,Paramètres!$A$1:$I$89,7,0))</f>
        <v>0</v>
      </c>
      <c r="JP134" s="16">
        <f>IF(ISNA(VLOOKUP($A134,'Données projet'!$A$356:$I$376,6,0)),0%,VLOOKUP($A134,'Données projet'!$A$356:$I$376,6,0)*VLOOKUP('Données projet'!$B$21,Paramètres!$A$1:$I$89,7,0))</f>
        <v>0</v>
      </c>
      <c r="JQ134" s="16">
        <f>IF(ISNA(VLOOKUP($A134,'Données projet'!$A$356:$I$376,7,0)),0%,VLOOKUP($A134,'Données projet'!$A$356:$I$376,7,0))</f>
        <v>0</v>
      </c>
      <c r="JR134" s="21">
        <f>EXP(-LN(2)/35)*JR133+(1-EXP(-LN(2)/35))/(LN(2)/35)*JN134*JO134*VLOOKUP('Données projet'!$B$21,Paramètres!$A$1:$I$89,3,0)*0.475*44/12</f>
        <v>6.3400147979747317</v>
      </c>
      <c r="JS134" s="21">
        <f>EXP(-LN(2)/25)*JS133+(1-EXP(-LN(2)/25))/(LN(2)/25)*Calculateur!JN134*Calculateur!JP134*VLOOKUP('Données projet'!$B$21,Paramètres!$A$1:$I$89,3,0)*0.475*44/12</f>
        <v>12.867898676713855</v>
      </c>
      <c r="JT134" s="21">
        <f>EXP(-LN(2)/2)*JT133+(1-EXP(-LN(2)/2))/(LN(2)/2)*JN134*JQ134*VLOOKUP('Données projet'!$B$21,Paramètres!$A$1:$I$89,3,0)*0.475*44/12</f>
        <v>1.0848325400288681</v>
      </c>
      <c r="JU134" s="18">
        <f t="shared" si="262"/>
        <v>20.292746014717455</v>
      </c>
      <c r="JV134" s="74">
        <f>('Scénario référence'!$F$8+'Scénario référence'!$F$9+'Scénario référence'!$B$17+'Scénario référence'!$B$9+'Scénario référence'!$B$10)*70+IF((45+25*(1-EXP(-0.0175*$A134)))&lt;70,'Scénario référence'!$B$16*(45+25*(1-EXP(-0.0175*$A134))),70*'Scénario référence'!$B$16)+IF((32+38*(1-EXP(-0.0175*$A134)))&lt;70,'Scénario référence'!$B$18*(32+38*(1-EXP(-0.0175*$A134))),70*'Scénario référence'!$B$18)</f>
        <v>70</v>
      </c>
      <c r="JW134" s="12">
        <f>IF($A134&gt;30,10,('Scénario référence'!$B$16+'Scénario référence'!$B$17+'Scénario référence'!$B$18+'Scénario référence'!$B$9+'Scénario référence'!$B$10)*$A134*10/30+('Scénario référence'!$F$8+'Scénario référence'!$F$9)*10)</f>
        <v>10</v>
      </c>
      <c r="JX134" s="12">
        <f>VLOOKUP($A134,'Données projet'!$A$382:$I$402,2,0)</f>
        <v>110.91025641025641</v>
      </c>
      <c r="JY134" s="12">
        <f>VLOOKUP($A134,'Données projet'!$A$382:$I$402,9,0)</f>
        <v>1.5064102564102591</v>
      </c>
      <c r="JZ134" s="12">
        <f t="array" ref="JZ134">INDEX(JY:JY,MIN(IF(ISNUMBER(JY134:JY330),ROW(JY134:JY330),"")))</f>
        <v>1.5064102564102591</v>
      </c>
      <c r="KA134" s="12">
        <f>IF('Données projet'!$A$382&gt;35,KA133+JZ134-KI133,IF($A134&lt;'Données projet'!$A$382,$CQ$205^$A134,IF($A134='Données projet'!$A$382,'Données projet'!$B$382,KA133+JZ134-KI133)))</f>
        <v>110.91025641025698</v>
      </c>
      <c r="KB134" s="17">
        <f>KA134*VLOOKUP('Données projet'!$B$22,Paramètres!$A$1:$I$89,3,0)*VLOOKUP('Données projet'!$B$22,Paramètres!$A$1:$I$89,5,0)</f>
        <v>74.398600000000386</v>
      </c>
      <c r="KC134" s="13">
        <f t="shared" si="312"/>
        <v>20.761880627143281</v>
      </c>
      <c r="KD134" s="20">
        <f t="shared" si="263"/>
        <v>165.73783709227521</v>
      </c>
      <c r="KE134" s="59">
        <f t="shared" si="264"/>
        <v>459.07117042560856</v>
      </c>
      <c r="KF134" s="59">
        <f ca="1">AVERAGE(OFFSET($KE$3,0,0,'Données projet'!$E$22+1,1))-AVERAGE(OFFSET($H$3,0,0,'Données projet'!$E$22+1,1))</f>
        <v>193.91714772848269</v>
      </c>
      <c r="KG134" s="59">
        <f t="shared" si="313"/>
        <v>159.20429420478047</v>
      </c>
      <c r="KH134" s="15">
        <f>IF(ISNA(VLOOKUP($A134,'Données projet'!$A$382:$I$402,3,0)),0,VLOOKUP($A134,'Données projet'!$A$382:$I$402,3,0))</f>
        <v>14</v>
      </c>
      <c r="KI134" s="15">
        <f>IF(ISNA(VLOOKUP($A134,'Données projet'!$A$382:$I$402,4,0)),0,VLOOKUP($A134,'Données projet'!$A$382:$I$402,4,0))</f>
        <v>110.91025641025641</v>
      </c>
      <c r="KJ134" s="16">
        <f>IF(ISNA(VLOOKUP($A134,'Données projet'!$A$382:$I$402,5,0)),0%,VLOOKUP($A134,'Données projet'!$A$382:$I$402,5,0)*VLOOKUP('Données projet'!$B$22,Paramètres!$A$1:$I$89,7,0))</f>
        <v>0.47700000000000004</v>
      </c>
      <c r="KK134" s="16">
        <f>IF(ISNA(VLOOKUP($A134,'Données projet'!$A$382:$I$402,6,0)),0%,VLOOKUP($A134,'Données projet'!$A$382:$I$402,6,0)*VLOOKUP('Données projet'!$B$22,Paramètres!$A$1:$I$89,7,0))</f>
        <v>0</v>
      </c>
      <c r="KL134" s="16">
        <f>IF(ISNA(VLOOKUP($A134,'Données projet'!$A$382:$I$402,7,0)),0%,VLOOKUP($A134,'Données projet'!$A$382:$I$402,7,0))</f>
        <v>0</v>
      </c>
      <c r="KM134" s="21">
        <f>EXP(-LN(2)/35)*KM133+(1-EXP(-LN(2)/35))/(LN(2)/35)*KI134*KJ134*VLOOKUP('Données projet'!$B$22,Paramètres!$A$1:$I$89,3,0)*0.475*44/12</f>
        <v>156.24566325643718</v>
      </c>
      <c r="KN134" s="21">
        <f>EXP(-LN(2)/25)*KN133+(1-EXP(-LN(2)/25))/(LN(2)/25)*Calculateur!KI134*Calculateur!KK134*VLOOKUP('Données projet'!$B$22,Paramètres!$A$1:$I$89,3,0)*0.475*44/12</f>
        <v>0</v>
      </c>
      <c r="KO134" s="21">
        <f>EXP(-LN(2)/2)*KO133+(1-EXP(-LN(2)/2))/(LN(2)/2)*KI134*KL134*VLOOKUP('Données projet'!$B$22,Paramètres!$A$1:$I$89,3,0)*0.475*44/12</f>
        <v>0</v>
      </c>
      <c r="KP134" s="22">
        <f t="shared" si="265"/>
        <v>156.24566325643718</v>
      </c>
      <c r="KQ134" s="74">
        <f>('Scénario référence'!$F$8+'Scénario référence'!$F$9+'Scénario référence'!$B$17+'Scénario référence'!$B$9+'Scénario référence'!$B$10)*70+IF((45+25*(1-EXP(-0.0175*$A134)))&lt;70,'Scénario référence'!$B$16*(45+25*(1-EXP(-0.0175*$A134))),70*'Scénario référence'!$B$16)+IF((32+38*(1-EXP(-0.0175*$A134)))&lt;70,'Scénario référence'!$B$18*(32+38*(1-EXP(-0.0175*$A134))),70*'Scénario référence'!$B$18)</f>
        <v>70</v>
      </c>
      <c r="KR134" s="12">
        <f>IF($A134&gt;30,10,('Scénario référence'!$B$16+'Scénario référence'!$B$17+'Scénario référence'!$B$18+'Scénario référence'!$B$9+'Scénario référence'!$B$10)*$A134*10/30+('Scénario référence'!$F$8+'Scénario référence'!$F$9)*10)</f>
        <v>10</v>
      </c>
      <c r="KS134" s="12" t="e">
        <f>VLOOKUP($A134,'Données projet'!$A$408:$I$428,2,0)</f>
        <v>#N/A</v>
      </c>
      <c r="KT134" s="12" t="e">
        <f>VLOOKUP($A134,'Données projet'!$A$408:$I$428,9,0)</f>
        <v>#N/A</v>
      </c>
      <c r="KU134" s="12">
        <f t="array" ref="KU134">INDEX(KT:KT,MIN(IF(ISNUMBER(KT134:KT330),ROW(KT134:KT330),"")))</f>
        <v>0</v>
      </c>
      <c r="KV134" s="12">
        <f>IF('Données projet'!$A$408&gt;35,KV133+KU134-LD133,IF($A134&lt;'Données projet'!$A$408,$CQ$205^$A134,IF($A134='Données projet'!$A$408,'Données projet'!$B$408,KV133+KU134-LD133)))</f>
        <v>-1.1368683772161603E-13</v>
      </c>
      <c r="KW134" s="17">
        <f>KV134*VLOOKUP('Données projet'!$B$23,Paramètres!$A$1:$I$89,3,0)*VLOOKUP('Données projet'!$B$23,Paramètres!$A$1:$I$89,5,0)</f>
        <v>-9.9316821433603781E-14</v>
      </c>
      <c r="KX134" s="13" t="e">
        <f t="shared" si="314"/>
        <v>#NUM!</v>
      </c>
      <c r="KY134" s="14" t="e">
        <f t="shared" si="266"/>
        <v>#NUM!</v>
      </c>
      <c r="KZ134" s="59" t="e">
        <f t="shared" si="267"/>
        <v>#NUM!</v>
      </c>
      <c r="LA134" s="59">
        <f ca="1">AVERAGE(OFFSET($KZ$3,0,0,'Données projet'!$E$23+1,1))-AVERAGE(OFFSET($H$3,0,0,'Données projet'!$E$23+1,1))</f>
        <v>248.33596943633819</v>
      </c>
      <c r="LB134" s="59">
        <f t="shared" si="315"/>
        <v>242.34010522344573</v>
      </c>
      <c r="LC134" s="15">
        <f>IF(ISNA(VLOOKUP($A134,'Données projet'!$A$408:$I$428,3,0)),0,VLOOKUP($A134,'Données projet'!$A$408:$I$428,3,0))</f>
        <v>0</v>
      </c>
      <c r="LD134" s="15">
        <f>IF(ISNA(VLOOKUP($A134,'Données projet'!$A$408:$I$428,4,0)),0,VLOOKUP($A134,'Données projet'!$A$408:$I$428,4,0))</f>
        <v>0</v>
      </c>
      <c r="LE134" s="16">
        <f>IF(ISNA(VLOOKUP($A134,'Données projet'!$A$408:$I$428,5,0)),0%,VLOOKUP($A134,'Données projet'!$A$408:$I$428,5,0)*VLOOKUP('Données projet'!$B$23,Paramètres!$A$1:$I$89,7,0))</f>
        <v>0</v>
      </c>
      <c r="LF134" s="16">
        <f>IF(ISNA(VLOOKUP($A134,'Données projet'!$A$408:$I$428,6,0)),0%,VLOOKUP($A134,'Données projet'!$A$408:$I$428,6,0)*VLOOKUP('Données projet'!$B$23,Paramètres!$A$1:$I$89,7,0))</f>
        <v>0</v>
      </c>
      <c r="LG134" s="16">
        <f>IF(ISNA(VLOOKUP($A134,'Données projet'!$A$408:$I$428,7,0)),0%,VLOOKUP($A134,'Données projet'!$A$408:$I$428,7,0))</f>
        <v>0</v>
      </c>
      <c r="LH134" s="21">
        <f>EXP(-LN(2)/35)*LH133+(1-EXP(-LN(2)/35))/(LN(2)/35)*LD134*LE134*VLOOKUP('Données projet'!$B$23,Paramètres!$A$1:$I$89,3,0)*0.475*44/12</f>
        <v>44.878560152666338</v>
      </c>
      <c r="LI134" s="21">
        <f>EXP(-LN(2)/25)*LI133+(1-EXP(-LN(2)/25))/(LN(2)/25)*Calculateur!LD134*Calculateur!LF134*VLOOKUP('Données projet'!$B$23,Paramètres!$A$1:$I$89,3,0)*0.475*44/12</f>
        <v>5.2954030887504215</v>
      </c>
      <c r="LJ134" s="21">
        <f>EXP(-LN(2)/2)*LJ133+(1-EXP(-LN(2)/2))/(LN(2)/2)*LD134*LG134*VLOOKUP('Données projet'!$B$23,Paramètres!$A$1:$I$89,3,0)*0.475*44/12</f>
        <v>0</v>
      </c>
      <c r="LK134" s="22">
        <f t="shared" si="268"/>
        <v>50.173963241416757</v>
      </c>
      <c r="LL134" s="74">
        <f>('Scénario référence'!$F$8+'Scénario référence'!$F$9+'Scénario référence'!$B$17+'Scénario référence'!$B$9+'Scénario référence'!$B$10)*70+IF((45+25*(1-EXP(-0.0175*$A134)))&lt;70,'Scénario référence'!$B$16*(45+25*(1-EXP(-0.0175*$A134))),70*'Scénario référence'!$B$16)+IF((32+38*(1-EXP(-0.0175*$A134)))&lt;70,'Scénario référence'!$B$18*(32+38*(1-EXP(-0.0175*$A134))),70*'Scénario référence'!$B$18)</f>
        <v>70</v>
      </c>
      <c r="LM134" s="12">
        <f>IF($A134&gt;30,10,('Scénario référence'!$B$16+'Scénario référence'!$B$17+'Scénario référence'!$B$18+'Scénario référence'!$B$9+'Scénario référence'!$B$10)*$A134*10/30+('Scénario référence'!$F$8+'Scénario référence'!$F$9)*10)</f>
        <v>10</v>
      </c>
      <c r="LN134" s="12" t="e">
        <f>VLOOKUP($A134,'Données projet'!$A$434:$I$454,2,0)</f>
        <v>#N/A</v>
      </c>
      <c r="LO134" s="12" t="e">
        <f>VLOOKUP($A134,'Données projet'!$A$434:$I$454,9,0)</f>
        <v>#N/A</v>
      </c>
      <c r="LP134" s="12">
        <f t="array" ref="LP134">INDEX(LO:LO,MIN(IF(ISNUMBER(LO134:LO330),ROW(LO134:LO330),"")))</f>
        <v>5.2446581196581219</v>
      </c>
      <c r="LQ134" s="12">
        <f>IF('Données projet'!$A$434&gt;35,LQ133+LP134-LY133,IF($A134&lt;'Données projet'!$A$434,$CQ$205^$A134,IF($A134='Données projet'!$A$434,'Données projet'!$B$434,LQ133+LP134-LY133)))</f>
        <v>261.60256410256363</v>
      </c>
      <c r="LR134" s="17">
        <f>LQ134*VLOOKUP('Données projet'!$B$24,Paramètres!$A$1:$I$89,3,0)*VLOOKUP('Données projet'!$B$24,Paramètres!$A$1:$I$89,5,0)</f>
        <v>265.26499999999953</v>
      </c>
      <c r="LS134" s="13">
        <f t="shared" si="316"/>
        <v>63.843350385205326</v>
      </c>
      <c r="LT134" s="14">
        <f t="shared" si="269"/>
        <v>573.19704358756508</v>
      </c>
      <c r="LU134" s="59">
        <f t="shared" si="270"/>
        <v>866.53037692089833</v>
      </c>
      <c r="LV134" s="59">
        <f ca="1">AVERAGE(OFFSET($LU$3,0,0,'Données projet'!$E$24+1,1))-AVERAGE(OFFSET($H$3,0,0,'Données projet'!$E$24+1,1))</f>
        <v>260.52627655062872</v>
      </c>
      <c r="LW134" s="59">
        <f t="shared" si="317"/>
        <v>159.20429420478047</v>
      </c>
      <c r="LX134" s="15">
        <f>IF(ISNA(VLOOKUP($A134,'Données projet'!$A$434:$I$454,3,0)),0,VLOOKUP($A134,'Données projet'!$A$434:$I$454,3,0))</f>
        <v>0</v>
      </c>
      <c r="LY134" s="15">
        <f>IF(ISNA(VLOOKUP($A134,'Données projet'!$A$434:$I$454,4,0)),0,VLOOKUP($A134,'Données projet'!$A$434:$I$454,4,0))</f>
        <v>0</v>
      </c>
      <c r="LZ134" s="16">
        <f>IF(ISNA(VLOOKUP($A134,'Données projet'!$A$434:$I$454,5,0)),0%,VLOOKUP($A134,'Données projet'!$A$434:$I$454,5,0)*VLOOKUP('Données projet'!$B$24,Paramètres!$A$1:$I$89,7,0))</f>
        <v>0</v>
      </c>
      <c r="MA134" s="16">
        <f>IF(ISNA(VLOOKUP($A134,'Données projet'!$A$434:$I$454,6,0)),0%,VLOOKUP($A134,'Données projet'!$A$434:$I$454,6,0)*VLOOKUP('Données projet'!$B$24,Paramètres!$A$1:$I$89,7,0))</f>
        <v>0</v>
      </c>
      <c r="MB134" s="16">
        <f>IF(ISNA(VLOOKUP($A134,'Données projet'!$A$434:$I$454,7,0)),0%,VLOOKUP($A134,'Données projet'!$A$434:$I$454,7,0))</f>
        <v>0</v>
      </c>
      <c r="MC134" s="21">
        <f>EXP(-LN(2)/35)*MC133+(1-EXP(-LN(2)/35))/(LN(2)/35)*LY134*LZ134*VLOOKUP('Données projet'!$B$24,Paramètres!$A$1:$I$89,3,0)*0.475*44/12</f>
        <v>42.441786162985984</v>
      </c>
      <c r="MD134" s="21">
        <f>EXP(-LN(2)/25)*MD133+(1-EXP(-LN(2)/25))/(LN(2)/25)*Calculateur!LY134*Calculateur!MA134*VLOOKUP('Données projet'!$B$24,Paramètres!$A$1:$I$89,3,0)*0.475*44/12</f>
        <v>0</v>
      </c>
      <c r="ME134" s="21">
        <f>EXP(-LN(2)/2)*ME133+(1-EXP(-LN(2)/2))/(LN(2)/2)*LY134*MB134*VLOOKUP('Données projet'!$B$24,Paramètres!$A$1:$I$89,3,0)*0.475*44/12</f>
        <v>0</v>
      </c>
      <c r="MF134" s="22">
        <f t="shared" si="271"/>
        <v>42.441786162985984</v>
      </c>
      <c r="MG134" s="74">
        <f>('Scénario référence'!$F$8+'Scénario référence'!$F$9+'Scénario référence'!$B$17+'Scénario référence'!$B$9+'Scénario référence'!$B$10)*70+IF((45+25*(1-EXP(-0.0175*$A134)))&lt;70,'Scénario référence'!$B$16*(45+25*(1-EXP(-0.0175*$A134))),70*'Scénario référence'!$B$16)+IF((32+38*(1-EXP(-0.0175*$A134)))&lt;70,'Scénario référence'!$B$18*(32+38*(1-EXP(-0.0175*$A134))),70*'Scénario référence'!$B$18)</f>
        <v>70</v>
      </c>
      <c r="MH134" s="12">
        <f>IF($A134&gt;30,10,('Scénario référence'!$B$16+'Scénario référence'!$B$17+'Scénario référence'!$B$18+'Scénario référence'!$B$9+'Scénario référence'!$B$10)*$A134*10/30+('Scénario référence'!$F$8+'Scénario référence'!$F$9)*10)</f>
        <v>10</v>
      </c>
      <c r="MI134" s="12" t="e">
        <f>VLOOKUP($A134,'Données projet'!$A$460:$I$480,2,0)</f>
        <v>#N/A</v>
      </c>
      <c r="MJ134" s="12" t="e">
        <f>VLOOKUP($A134,'Données projet'!$A$460:$I$480,9,0)</f>
        <v>#N/A</v>
      </c>
      <c r="MK134" s="12">
        <f t="array" ref="MK134">INDEX(MJ:MJ,MIN(IF(ISNUMBER(MJ134:MJ330),ROW(MJ134:MJ330),"")))</f>
        <v>0</v>
      </c>
      <c r="ML134" s="12">
        <f>IF('Données projet'!$A$460&gt;35,ML133+MK134-MT133,IF($A134&lt;'Données projet'!$A$460,$CQ$205^$A134,IF($A134='Données projet'!$A$460,'Données projet'!$B$460,ML133+MK134-MT133)))</f>
        <v>0</v>
      </c>
      <c r="MM134" s="17" t="e">
        <f>ML134*VLOOKUP('Données projet'!$B$25,Paramètres!$A$1:$I$89,3,0)*VLOOKUP('Données projet'!$B$25,Paramètres!$A$1:$I$89,5,0)</f>
        <v>#N/A</v>
      </c>
      <c r="MN134" s="13" t="e">
        <f t="shared" si="318"/>
        <v>#N/A</v>
      </c>
      <c r="MO134" s="14" t="e">
        <f t="shared" si="272"/>
        <v>#N/A</v>
      </c>
      <c r="MP134" s="59" t="e">
        <f t="shared" si="273"/>
        <v>#N/A</v>
      </c>
      <c r="MQ134" s="20" t="e">
        <f ca="1">AVERAGE(OFFSET($MP$3,0,0,'Données projet'!$E$25+1,1))-AVERAGE(OFFSET($H$3,0,0,'Données projet'!$E$25+1,1))</f>
        <v>#N/A</v>
      </c>
      <c r="MR134" s="59" t="e">
        <f t="shared" si="319"/>
        <v>#N/A</v>
      </c>
      <c r="MS134" s="15">
        <f>IF(ISNA(VLOOKUP($A134,'Données projet'!$A$460:$I$480,3,0)),0,VLOOKUP($A134,'Données projet'!$A$460:$I$480,3,0))</f>
        <v>0</v>
      </c>
      <c r="MT134" s="15">
        <f>IF(ISNA(VLOOKUP($A134,'Données projet'!$A$460:$I$480,4,0)),0,VLOOKUP($A134,'Données projet'!$A$460:$I$480,4,0))</f>
        <v>0</v>
      </c>
      <c r="MU134" s="16">
        <f>IF(ISNA(VLOOKUP($A134,'Données projet'!$A$460:$I$480,5,0)),0%,VLOOKUP($A134,'Données projet'!$A$460:$I$480,5,0)*VLOOKUP('Données projet'!$B$25,Paramètres!$A$1:$I$89,7,0))</f>
        <v>0</v>
      </c>
      <c r="MV134" s="16">
        <f>IF(ISNA(VLOOKUP($A134,'Données projet'!$A$460:$I$480,6,0)),0%,VLOOKUP($A134,'Données projet'!$A$460:$I$480,6,0)*VLOOKUP('Données projet'!$B$25,Paramètres!$A$1:$I$89,7,0))</f>
        <v>0</v>
      </c>
      <c r="MW134" s="16">
        <f>IF(ISNA(VLOOKUP($A134,'Données projet'!$A$460:$I$480,7,0)),0%,VLOOKUP($A134,'Données projet'!$A$460:$I$480,7,0))</f>
        <v>0</v>
      </c>
      <c r="MX134" s="21" t="e">
        <f>EXP(-LN(2)/35)*MX133+(1-EXP(-LN(2)/35))/(LN(2)/35)*MT134*MU134*VLOOKUP('Données projet'!$B$25,Paramètres!$A$1:$I$89,3,0)*0.475*44/12</f>
        <v>#N/A</v>
      </c>
      <c r="MY134" s="21" t="e">
        <f>EXP(-LN(2)/25)*MY133+(1-EXP(-LN(2)/25))/(LN(2)/25)*Calculateur!MT134*Calculateur!MV134*VLOOKUP('Données projet'!$B$25,Paramètres!$A$1:$I$89,3,0)*0.475*44/12</f>
        <v>#N/A</v>
      </c>
      <c r="MZ134" s="21" t="e">
        <f>EXP(-LN(2)/2)*MZ133+(1-EXP(-LN(2)/2))/(LN(2)/2)*MT134*MW134*VLOOKUP('Données projet'!$B$25,Paramètres!$A$1:$I$89,3,0)*0.475*44/12</f>
        <v>#N/A</v>
      </c>
      <c r="NA134" s="22" t="e">
        <f t="shared" si="274"/>
        <v>#N/A</v>
      </c>
      <c r="NB134" s="74">
        <f>('Scénario référence'!$F$8+'Scénario référence'!$F$9+'Scénario référence'!$B$17+'Scénario référence'!$B$9+'Scénario référence'!$B$10)*70+IF((45+25*(1-EXP(-0.0175*$A134)))&lt;70,'Scénario référence'!$B$16*(45+25*(1-EXP(-0.0175*$A134))),70*'Scénario référence'!$B$16)+IF((32+38*(1-EXP(-0.0175*$A134)))&lt;70,'Scénario référence'!$B$18*(32+38*(1-EXP(-0.0175*$A134))),70*'Scénario référence'!$B$18)</f>
        <v>70</v>
      </c>
      <c r="NC134" s="12">
        <f>IF($A134&gt;30,10,('Scénario référence'!$B$16+'Scénario référence'!$B$17+'Scénario référence'!$B$18+'Scénario référence'!$B$9+'Scénario référence'!$B$10)*$A134*10/30+('Scénario référence'!$F$8+'Scénario référence'!$F$9)*10)</f>
        <v>10</v>
      </c>
      <c r="ND134" s="12" t="e">
        <f>VLOOKUP($A134,'Données projet'!$A$486:$I$506,2,0)</f>
        <v>#N/A</v>
      </c>
      <c r="NE134" s="12" t="e">
        <f>VLOOKUP($A134,'Données projet'!$A$486:$I$506,9,0)</f>
        <v>#N/A</v>
      </c>
      <c r="NF134" s="12">
        <f t="array" ref="NF134">INDEX(NE:NE,MIN(IF(ISNUMBER(NE134:NE330),ROW(NE134:NE330),"")))</f>
        <v>0</v>
      </c>
      <c r="NG134" s="12">
        <f>IF('Données projet'!$A$486&gt;35,NG133+NF134-NO133,IF($A134&lt;'Données projet'!$A$486,$CQ$205^$A134,IF($A134='Données projet'!$A$486,'Données projet'!$B$486,NG133+NF134-NO133)))</f>
        <v>0</v>
      </c>
      <c r="NH134" s="17" t="e">
        <f>NG134*VLOOKUP('Données projet'!$B$26,Paramètres!$A$1:$I$89,3,0)*VLOOKUP('Données projet'!$B$26,Paramètres!$A$1:$I$89,5,0)</f>
        <v>#N/A</v>
      </c>
      <c r="NI134" s="13" t="e">
        <f t="shared" si="320"/>
        <v>#N/A</v>
      </c>
      <c r="NJ134" s="14" t="e">
        <f t="shared" si="275"/>
        <v>#N/A</v>
      </c>
      <c r="NK134" s="59" t="e">
        <f t="shared" si="276"/>
        <v>#N/A</v>
      </c>
      <c r="NL134" s="20" t="e">
        <f ca="1">AVERAGE(OFFSET($NK$3,0,0,'Données projet'!$E$26+1,1))-AVERAGE(OFFSET($H$3,0,0,'Données projet'!$E$26+1,1))</f>
        <v>#N/A</v>
      </c>
      <c r="NM134" s="59" t="e">
        <f t="shared" si="321"/>
        <v>#N/A</v>
      </c>
      <c r="NN134" s="15">
        <f>IF(ISNA(VLOOKUP($A134,'Données projet'!$A$486:$I$506,3,0)),0,VLOOKUP($A134,'Données projet'!$A$486:$I$506,3,0))</f>
        <v>0</v>
      </c>
      <c r="NO134" s="15">
        <f>IF(ISNA(VLOOKUP($A134,'Données projet'!$A$486:$I$506,4,0)),0,VLOOKUP($A134,'Données projet'!$A$486:$I$506,4,0))</f>
        <v>0</v>
      </c>
      <c r="NP134" s="16">
        <f>IF(ISNA(VLOOKUP($A134,'Données projet'!$A$486:$I$506,5,0)),0%,VLOOKUP($A134,'Données projet'!$A$486:$I$506,5,0)*VLOOKUP('Données projet'!$B$26,Paramètres!$A$1:$I$89,7,0))</f>
        <v>0</v>
      </c>
      <c r="NQ134" s="16">
        <f>IF(ISNA(VLOOKUP($A134,'Données projet'!$A$486:$I$506,6,0)),0%,VLOOKUP($A134,'Données projet'!$A$486:$I$506,6,0)*VLOOKUP('Données projet'!$B$26,Paramètres!$A$1:$I$89,7,0))</f>
        <v>0</v>
      </c>
      <c r="NR134" s="16">
        <f>IF(ISNA(VLOOKUP($A134,'Données projet'!$A$486:$I$506,7,0)),0%,VLOOKUP($A134,'Données projet'!$A$486:$I$506,7,0))</f>
        <v>0</v>
      </c>
      <c r="NS134" s="21" t="e">
        <f>EXP(-LN(2)/35)*NS133+(1-EXP(-LN(2)/35))/(LN(2)/35)*NO134*NP134*VLOOKUP('Données projet'!$B$26,Paramètres!$A$1:$I$89,3,0)*0.475*44/12</f>
        <v>#N/A</v>
      </c>
      <c r="NT134" s="21" t="e">
        <f>EXP(-LN(2)/25)*NT133+(1-EXP(-LN(2)/25))/(LN(2)/25)*Calculateur!NO134*Calculateur!NQ134*VLOOKUP('Données projet'!$B$26,Paramètres!$A$1:$I$89,3,0)*0.475*44/12</f>
        <v>#N/A</v>
      </c>
      <c r="NU134" s="21" t="e">
        <f>EXP(-LN(2)/2)*NU133+(1-EXP(-LN(2)/2))/(LN(2)/2)*NO134*NR134*VLOOKUP('Données projet'!$B$26,Paramètres!$A$1:$I$89,3,0)*0.475*44/12</f>
        <v>#N/A</v>
      </c>
      <c r="NV134" s="22" t="e">
        <f t="shared" si="277"/>
        <v>#N/A</v>
      </c>
      <c r="NW134" s="74">
        <f>('Scénario référence'!$F$8+'Scénario référence'!$F$9+'Scénario référence'!$B$17+'Scénario référence'!$B$9+'Scénario référence'!$B$10)*70+IF((45+25*(1-EXP(-0.0175*$A134)))&lt;70,'Scénario référence'!$B$16*(45+25*(1-EXP(-0.0175*$A134))),70*'Scénario référence'!$B$16)+IF((32+38*(1-EXP(-0.0175*$A134)))&lt;70,'Scénario référence'!$B$18*(32+38*(1-EXP(-0.0175*$A134))),70*'Scénario référence'!$B$18)</f>
        <v>70</v>
      </c>
      <c r="NX134" s="12">
        <f>IF($A134&gt;30,10,('Scénario référence'!$B$16+'Scénario référence'!$B$17+'Scénario référence'!$B$18+'Scénario référence'!$B$9+'Scénario référence'!$B$10)*$A134*10/30+('Scénario référence'!$F$8+'Scénario référence'!$F$9)*10)</f>
        <v>10</v>
      </c>
      <c r="NY134" s="12" t="e">
        <f>VLOOKUP($A134,'Données projet'!$A$512:$I$532,2,0)</f>
        <v>#N/A</v>
      </c>
      <c r="NZ134" s="12" t="e">
        <f>VLOOKUP($A134,'Données projet'!$A$512:$I$532,9,0)</f>
        <v>#N/A</v>
      </c>
      <c r="OA134" s="12">
        <f t="array" ref="OA134">INDEX(NZ:NZ,MIN(IF(ISNUMBER(NZ134:NZ330),ROW(NZ134:NZ330),"")))</f>
        <v>0</v>
      </c>
      <c r="OB134" s="12">
        <f>IF('Données projet'!$A$512&gt;35,OB133+OA134-OJ133,IF($A134&lt;'Données projet'!$A$512,$CQ$205^$A134,IF($A134='Données projet'!$A$512,'Données projet'!$B$512,OB133+OA134-OJ133)))</f>
        <v>0</v>
      </c>
      <c r="OC134" s="17" t="e">
        <f>OB134*VLOOKUP('Données projet'!$B$27,Paramètres!$A$1:$I$89,3,0)*VLOOKUP('Données projet'!$B$27,Paramètres!$A$1:$I$89,5,0)</f>
        <v>#N/A</v>
      </c>
      <c r="OD134" s="13" t="e">
        <f t="shared" si="322"/>
        <v>#N/A</v>
      </c>
      <c r="OE134" s="14" t="e">
        <f t="shared" si="278"/>
        <v>#N/A</v>
      </c>
      <c r="OF134" s="59" t="e">
        <f t="shared" si="279"/>
        <v>#N/A</v>
      </c>
      <c r="OG134" s="20" t="e">
        <f ca="1">AVERAGE(OFFSET($OF$3,0,0,'Données projet'!$E$27+1,1))-AVERAGE(OFFSET($H$3,0,0,'Données projet'!$E$27+1,1))</f>
        <v>#N/A</v>
      </c>
      <c r="OH134" s="59" t="e">
        <f t="shared" si="323"/>
        <v>#N/A</v>
      </c>
      <c r="OI134" s="15">
        <f>IF(ISNA(VLOOKUP($A134,'Données projet'!$A$512:$I$532,3,0)),0,VLOOKUP($A134,'Données projet'!$A$512:$I$532,3,0))</f>
        <v>0</v>
      </c>
      <c r="OJ134" s="15">
        <f>IF(ISNA(VLOOKUP($A134,'Données projet'!$A$512:$I$532,4,0)),0,VLOOKUP($A134,'Données projet'!$A$512:$I$532,4,0))</f>
        <v>0</v>
      </c>
      <c r="OK134" s="16">
        <f>IF(ISNA(VLOOKUP($A134,'Données projet'!$A$512:$I$532,5,0)),0%,VLOOKUP($A134,'Données projet'!$A$512:$I$532,5,0)*VLOOKUP('Données projet'!$B$27,Paramètres!$A$1:$I$89,7,0))</f>
        <v>0</v>
      </c>
      <c r="OL134" s="16">
        <f>IF(ISNA(VLOOKUP($A134,'Données projet'!$A$512:$I$532,6,0)),0%,VLOOKUP($A134,'Données projet'!$A$512:$I$532,6,0)*VLOOKUP('Données projet'!$B$27,Paramètres!$A$1:$I$89,7,0))</f>
        <v>0</v>
      </c>
      <c r="OM134" s="16">
        <f>IF(ISNA(VLOOKUP($A134,'Données projet'!$A$512:$I$532,7,0)),0%,VLOOKUP($A134,'Données projet'!$A$512:$I$532,7,0))</f>
        <v>0</v>
      </c>
      <c r="ON134" s="21" t="e">
        <f>EXP(-LN(2)/35)*ON133+(1-EXP(-LN(2)/35))/(LN(2)/35)*OJ134*OK134*VLOOKUP('Données projet'!$B$27,Paramètres!$A$1:$I$89,3,0)*0.475*44/12</f>
        <v>#N/A</v>
      </c>
      <c r="OO134" s="21" t="e">
        <f>EXP(-LN(2)/25)*OO133+(1-EXP(-LN(2)/25))/(LN(2)/25)*Calculateur!OJ134*Calculateur!OL134*VLOOKUP('Données projet'!$B$27,Paramètres!$A$1:$I$89,3,0)*0.475*44/12</f>
        <v>#N/A</v>
      </c>
      <c r="OP134" s="21" t="e">
        <f>EXP(-LN(2)/2)*OP133+(1-EXP(-LN(2)/2))/(LN(2)/2)*OJ134*OM134*VLOOKUP('Données projet'!$B$27,Paramètres!$A$1:$I$89,3,0)*0.475*44/12</f>
        <v>#N/A</v>
      </c>
      <c r="OQ134" s="22" t="e">
        <f t="shared" si="280"/>
        <v>#N/A</v>
      </c>
      <c r="OR134" s="74">
        <f>('Scénario référence'!$F$8+'Scénario référence'!$F$9+'Scénario référence'!$B$17+'Scénario référence'!$B$9+'Scénario référence'!$B$10)*70+IF((45+25*(1-EXP(-0.0175*$A134)))&lt;70,'Scénario référence'!$B$16*(45+25*(1-EXP(-0.0175*$A134))),70*'Scénario référence'!$B$16)+IF((32+38*(1-EXP(-0.0175*$A134)))&lt;70,'Scénario référence'!$B$18*(32+38*(1-EXP(-0.0175*$A134))),70*'Scénario référence'!$B$18)</f>
        <v>70</v>
      </c>
      <c r="OS134" s="12">
        <f>IF($A134&gt;30,10,('Scénario référence'!$B$16+'Scénario référence'!$B$17+'Scénario référence'!$B$18+'Scénario référence'!$B$9+'Scénario référence'!$B$10)*$A134*10/30+('Scénario référence'!$F$8+'Scénario référence'!$F$9)*10)</f>
        <v>10</v>
      </c>
      <c r="OT134" s="12" t="e">
        <f>VLOOKUP($A134,'Données projet'!$A$538:$I$558,2,0)</f>
        <v>#N/A</v>
      </c>
      <c r="OU134" s="12" t="e">
        <f>VLOOKUP($A134,'Données projet'!$A$538:$I$558,9,0)</f>
        <v>#N/A</v>
      </c>
      <c r="OV134" s="12">
        <f t="array" ref="OV134">INDEX(OU:OU,MIN(IF(ISNUMBER(OU134:OU330),ROW(OU134:OU330),"")))</f>
        <v>0</v>
      </c>
      <c r="OW134" s="12">
        <f>IF('Données projet'!$A$538&gt;35,OW133+OV134-PE133,IF($A134&lt;'Données projet'!$A$538,$CQ$205^$A134,IF($A134='Données projet'!$A$538,'Données projet'!$B$538,OW133+OV134-PE133)))</f>
        <v>0</v>
      </c>
      <c r="OX134" s="17" t="e">
        <f>OW134*VLOOKUP('Données projet'!$B$28,Paramètres!$A$1:$I$89,3,0)*VLOOKUP('Données projet'!$B$28,Paramètres!$A$1:$I$89,5,0)</f>
        <v>#N/A</v>
      </c>
      <c r="OY134" s="13" t="e">
        <f t="shared" si="324"/>
        <v>#N/A</v>
      </c>
      <c r="OZ134" s="14" t="e">
        <f t="shared" si="281"/>
        <v>#N/A</v>
      </c>
      <c r="PA134" s="59" t="e">
        <f t="shared" si="282"/>
        <v>#N/A</v>
      </c>
      <c r="PB134" s="20" t="e">
        <f ca="1">AVERAGE(OFFSET($PA$3,0,0,'Données projet'!$E$28+1,1))-AVERAGE(OFFSET($H$3,0,0,'Données projet'!$E$28+1,1))</f>
        <v>#N/A</v>
      </c>
      <c r="PC134" s="59" t="e">
        <f t="shared" si="325"/>
        <v>#N/A</v>
      </c>
      <c r="PD134" s="15">
        <f>IF(ISNA(VLOOKUP($A134,'Données projet'!$A$538:$I$558,3,0)),0,VLOOKUP($A134,'Données projet'!$A$538:$I$558,3,0))</f>
        <v>0</v>
      </c>
      <c r="PE134" s="15">
        <f>IF(ISNA(VLOOKUP($A134,'Données projet'!$A$538:$I$558,4,0)),0,VLOOKUP($A134,'Données projet'!$A$538:$I$558,4,0))</f>
        <v>0</v>
      </c>
      <c r="PF134" s="16">
        <f>IF(ISNA(VLOOKUP($A134,'Données projet'!$A$538:$I$558,5,0)),0%,VLOOKUP($A134,'Données projet'!$A$538:$I$558,5,0)*VLOOKUP('Données projet'!$B$28,Paramètres!$A$1:$I$89,7,0))</f>
        <v>0</v>
      </c>
      <c r="PG134" s="16">
        <f>IF(ISNA(VLOOKUP($A134,'Données projet'!$A$538:$I$558,6,0)),0%,VLOOKUP($A134,'Données projet'!$A$538:$I$558,6,0)*VLOOKUP('Données projet'!$B$28,Paramètres!$A$1:$I$89,7,0))</f>
        <v>0</v>
      </c>
      <c r="PH134" s="16">
        <f>IF(ISNA(VLOOKUP($A134,'Données projet'!$A$538:$I$558,7,0)),0%,VLOOKUP($A134,'Données projet'!$A$538:$I$558,7,0))</f>
        <v>0</v>
      </c>
      <c r="PI134" s="21" t="e">
        <f>EXP(-LN(2)/35)*PI133+(1-EXP(-LN(2)/35))/(LN(2)/35)*PE134*PF134*VLOOKUP('Données projet'!$B$28,Paramètres!$A$1:$I$89,3,0)*0.475*44/12</f>
        <v>#N/A</v>
      </c>
      <c r="PJ134" s="21" t="e">
        <f>EXP(-LN(2)/25)*PJ133+(1-EXP(-LN(2)/25))/(LN(2)/25)*Calculateur!PE134*Calculateur!PG134*VLOOKUP('Données projet'!$B$28,Paramètres!$A$1:$I$89,3,0)*0.475*44/12</f>
        <v>#N/A</v>
      </c>
      <c r="PK134" s="21" t="e">
        <f>EXP(-LN(2)/2)*PK133+(1-EXP(-LN(2)/2))/(LN(2)/2)*PE134*PH134*VLOOKUP('Données projet'!$B$28,Paramètres!$A$1:$I$89,3,0)*0.475*44/12</f>
        <v>#N/A</v>
      </c>
      <c r="PL134" s="22" t="e">
        <f t="shared" si="283"/>
        <v>#N/A</v>
      </c>
    </row>
    <row r="135" spans="1:428" x14ac:dyDescent="0.35">
      <c r="A135" s="10">
        <f t="shared" si="284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285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225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projet'!$A$45:$I$65,2,0)</f>
        <v>#N/A</v>
      </c>
      <c r="L135" s="12" t="e">
        <f>VLOOKUP(A135,'Données projet'!$A$45:$I$65,9,0)</f>
        <v>#N/A</v>
      </c>
      <c r="M135" s="12">
        <f t="array" ref="M135">INDEX(L:L,MIN(IF(ISNUMBER(L135:L331),ROW(L135:L331),"")))</f>
        <v>0</v>
      </c>
      <c r="N135" s="13">
        <f>IF('Données projet'!$A$46&gt;35,N134+M135-V134,IF(A135&lt;'Données projet'!$A$46,$K$205^A135,IF(A135='Données projet'!$A$46,'Données projet'!$B$46,N134+M135-V134)))</f>
        <v>-1.1368683772161603E-13</v>
      </c>
      <c r="O135" s="13">
        <f>N135*VLOOKUP('Données projet'!$B$9,Paramètres!$A$1:$I$89,3,0)*VLOOKUP('Données projet'!$B$9,Paramètres!$A$1:$I$89,5,0)</f>
        <v>-6.3550942286383367E-14</v>
      </c>
      <c r="P135" s="13" t="e">
        <f t="shared" si="286"/>
        <v>#NUM!</v>
      </c>
      <c r="Q135" s="20" t="e">
        <f t="shared" si="223"/>
        <v>#NUM!</v>
      </c>
      <c r="R135" s="59" t="e">
        <f t="shared" si="224"/>
        <v>#NUM!</v>
      </c>
      <c r="S135" s="59">
        <f ca="1">AVERAGE(OFFSET($R$3,0,0,'Données projet'!$E$9+1,1))-AVERAGE(OFFSET($H$3,0,0,'Données projet'!$E$9+1,1))</f>
        <v>274.57619581652199</v>
      </c>
      <c r="T135" s="59">
        <f t="shared" si="287"/>
        <v>366.15117322598775</v>
      </c>
      <c r="U135" s="15">
        <f>IF(ISNA(VLOOKUP(A135,'Données projet'!$A$45:$I$65,3,0)),0,VLOOKUP(A135,'Données projet'!$A$45:$I$65,3,0))</f>
        <v>0</v>
      </c>
      <c r="V135" s="15">
        <f>IF(ISNA(VLOOKUP(A135,'Données projet'!$A$45:$I$65,4,0)),0,VLOOKUP(A135,'Données projet'!$A$45:$I$65,4,0))</f>
        <v>0</v>
      </c>
      <c r="W135" s="16">
        <f>IF(ISNA(VLOOKUP(A135,'Données projet'!$A$45:$I$65,5,0)),0%,VLOOKUP(A135,'Données projet'!$A$45:$I$65,5,0)*VLOOKUP('Données projet'!$B$9,Paramètres!$A$1:$I$89,7,0))</f>
        <v>0</v>
      </c>
      <c r="X135" s="16">
        <f>IF(ISNA(VLOOKUP(A135,'Données projet'!$A$45:$I$65,6,0)),0%,VLOOKUP(A135,'Données projet'!$A$45:$I$65,6,0)*VLOOKUP('Données projet'!$B$9,Paramètres!$A$1:$I$89,7,0))</f>
        <v>0</v>
      </c>
      <c r="Y135" s="16">
        <f>IF(ISNA(VLOOKUP(A135,'Données projet'!$A$45:$I$65,7,0)),0%,VLOOKUP(A135,'Données projet'!$A$45:$I$65,7,0))</f>
        <v>0</v>
      </c>
      <c r="Z135" s="21">
        <f>EXP(-LN(2)/35)*Z134+(1-EXP(-LN(2)/35))/(LN(2)/35)*V135*W135*VLOOKUP('Données projet'!$B$9,Paramètres!$A$1:$I$89,3,0)*0.475*44/12</f>
        <v>49.329112594391638</v>
      </c>
      <c r="AA135" s="21">
        <f>EXP(-LN(2)/25)*AA134+(1-EXP(-LN(2)/25))/(LN(2)/25)*Calculateur!V135*Calculateur!X135*VLOOKUP('Données projet'!$B$9,Paramètres!$A$1:$I$89,3,0)*0.475*44/12</f>
        <v>6.8125233176773197</v>
      </c>
      <c r="AB135" s="21">
        <f>EXP(-LN(2)/2)*AB134+(1-EXP(-LN(2)/2))/(LN(2)/2)*V135*Y135*VLOOKUP('Données projet'!$B$9,Paramètres!$A$1:$I$89,3,0)*0.475*44/12</f>
        <v>8.7877887255610725E-11</v>
      </c>
      <c r="AC135" s="22">
        <f t="shared" si="226"/>
        <v>56.141635912156836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projet'!$A$71:$I$91,2,0)</f>
        <v>#N/A</v>
      </c>
      <c r="AG135" s="12" t="e">
        <f>VLOOKUP(A135,'Données projet'!$A$71:$I$91,9,0)</f>
        <v>#N/A</v>
      </c>
      <c r="AH135" s="12">
        <f t="array" ref="AH135">INDEX(AG:AG,MIN(IF(ISNUMBER(AG135:AG331),ROW(AG135:AG331),"")))</f>
        <v>0</v>
      </c>
      <c r="AI135" s="13">
        <f>IF('Données projet'!$A$72&gt;35,AI134+AH135-AQ134,IF(A135&lt;'Données projet'!$A$72,$AF$205^A135,IF(A135='Données projet'!$A$72,'Données projet'!$B$72,AI134+AH135-AQ134)))</f>
        <v>5.6843418860808015E-13</v>
      </c>
      <c r="AJ135" s="13">
        <f>AI135*VLOOKUP('Données projet'!$B$10,Paramètres!$A$1:$I$89,3,0)*VLOOKUP('Données projet'!$B$10,Paramètres!$A$1:$I$89,5,0)</f>
        <v>5.1431925385259092E-13</v>
      </c>
      <c r="AK135" s="13">
        <f t="shared" si="288"/>
        <v>6.3855359115685756E-12</v>
      </c>
      <c r="AL135" s="20">
        <f t="shared" si="227"/>
        <v>1.2017247746441865E-11</v>
      </c>
      <c r="AM135" s="59">
        <f t="shared" si="228"/>
        <v>293.33333333334531</v>
      </c>
      <c r="AN135" s="59">
        <f ca="1">AVERAGE(OFFSET($AM$3,0,0,'Données projet'!$E$10+1,1))-AVERAGE(OFFSET($H$3,0,0,'Données projet'!$E$10+1,1))</f>
        <v>270.87836509222456</v>
      </c>
      <c r="AO135" s="59">
        <f t="shared" si="289"/>
        <v>205.24998237949734</v>
      </c>
      <c r="AP135" s="15">
        <f>IF(ISNA(VLOOKUP(A135,'Données projet'!$A$71:$I$91,3,0)),0,VLOOKUP(A135,'Données projet'!$A$71:$I$91,3,0))</f>
        <v>0</v>
      </c>
      <c r="AQ135" s="15">
        <f>IF(ISNA(VLOOKUP(A135,'Données projet'!$A$71:$I$91,4,0)),0,VLOOKUP(A135,'Données projet'!$A$71:$I$91,4,0))</f>
        <v>0</v>
      </c>
      <c r="AR135" s="16">
        <f>IF(ISNA(VLOOKUP(A135,'Données projet'!$A$71:$I$91,5,0)),0%,VLOOKUP(A135,'Données projet'!$A$71:$I$91,5,0)*VLOOKUP('Données projet'!$B$10,Paramètres!$A$1:$I$89,7,0))</f>
        <v>0</v>
      </c>
      <c r="AS135" s="16">
        <f>IF(ISNA(VLOOKUP(A135,'Données projet'!$A$71:$I$91,6,0)),0%,VLOOKUP(A135,'Données projet'!$A$71:$I$91,6,0)*VLOOKUP('Données projet'!$B$10,Paramètres!$A$1:$I$89,7,0))</f>
        <v>0</v>
      </c>
      <c r="AT135" s="16">
        <f>IF(ISNA(VLOOKUP(A135,'Données projet'!$A$71:$I$91,7,0)),0%,VLOOKUP(A135,'Données projet'!$A$71:$I$91,7,0))</f>
        <v>0</v>
      </c>
      <c r="AU135" s="21">
        <f>EXP(-LN(2)/35)*AU134+(1-EXP(-LN(2)/35))/(LN(2)/35)*AQ135*AR135*VLOOKUP('Données projet'!$B$10,Paramètres!$A$1:$I$89,3,0)*0.475*44/12</f>
        <v>167.63289252499109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229"/>
        <v>167.63289252499109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projet'!$A$97:$I$117,2,0)</f>
        <v>#N/A</v>
      </c>
      <c r="BB135" s="12" t="e">
        <f>VLOOKUP(A135,'Données projet'!$A$97:$I$117,9,0)</f>
        <v>#N/A</v>
      </c>
      <c r="BC135" s="12">
        <f t="array" ref="BC135">INDEX(BB:BB,MIN(IF(ISNUMBER(BB135:BB331),ROW(BB135:BB331),"")))</f>
        <v>0</v>
      </c>
      <c r="BD135" s="12">
        <f>IF('Données projet'!$A$98&gt;35,BD134+BC135-BL134,IF(A135&lt;'Données projet'!$A$98,$BA$205^A135,IF(A135='Données projet'!$A$98,'Données projet'!$B$98,BD134+BC135-BL134)))</f>
        <v>-1.1368683772161603E-13</v>
      </c>
      <c r="BE135" s="13">
        <f>BD135*VLOOKUP('Données projet'!$B$11,Paramètres!$A$1:$I$89,3,0)*VLOOKUP('Données projet'!$B$11,Paramètres!$A$1:$I$89,5,0)</f>
        <v>-5.0249582272954292E-14</v>
      </c>
      <c r="BF135" s="13" t="e">
        <f t="shared" si="290"/>
        <v>#NUM!</v>
      </c>
      <c r="BG135" s="20" t="e">
        <f t="shared" si="230"/>
        <v>#NUM!</v>
      </c>
      <c r="BH135" s="59" t="e">
        <f t="shared" si="231"/>
        <v>#NUM!</v>
      </c>
      <c r="BI135" s="59">
        <f ca="1">AVERAGE(OFFSET($BH$3,0,0,'Données projet'!$E$11+1,1))-AVERAGE(OFFSET($H$3,0,0,'Données projet'!$E$11+1,1))</f>
        <v>211.31057120485542</v>
      </c>
      <c r="BJ135" s="59">
        <f t="shared" si="291"/>
        <v>283.33292006714777</v>
      </c>
      <c r="BK135" s="15">
        <f>IF(ISNA(VLOOKUP(A135,'Données projet'!$A$97:$I$117,3,0)),0,VLOOKUP(A135,'Données projet'!$A$97:$I$117,3,0))</f>
        <v>0</v>
      </c>
      <c r="BL135" s="15">
        <f>IF(ISNA(VLOOKUP(A135,'Données projet'!$A$97:$I$117,4,0)),0,VLOOKUP(A135,'Données projet'!$A$97:$I$117,4,0))</f>
        <v>0</v>
      </c>
      <c r="BM135" s="16">
        <f>IF(ISNA(VLOOKUP(A135,'Données projet'!$A$97:$I$117,5,0)),0%,VLOOKUP(A135,'Données projet'!$A$97:$I$117,5,0)*VLOOKUP('Données projet'!$B$11,Paramètres!$A$1:$I$89,7,0))</f>
        <v>0</v>
      </c>
      <c r="BN135" s="16">
        <f>IF(ISNA(VLOOKUP(A135,'Données projet'!$A$97:$I$117,6,0)),0%,VLOOKUP(A135,'Données projet'!$A$97:$I$117,6,0)*VLOOKUP('Données projet'!$B$11,Paramètres!$A$1:$I$89,7,0))</f>
        <v>0</v>
      </c>
      <c r="BO135" s="16">
        <f>IF(ISNA(VLOOKUP(A135,'Données projet'!$A$97:$I$117,7,0)),0%,VLOOKUP(A135,'Données projet'!$A$97:$I$117,7,0))</f>
        <v>0</v>
      </c>
      <c r="BP135" s="21">
        <f>EXP(-LN(2)/35)*BP134+(1-EXP(-LN(2)/35))/(LN(2)/35)*BL135*BM135*VLOOKUP('Données projet'!$B$11,Paramètres!$A$1:$I$89,3,0)*0.475*44/12</f>
        <v>39.004414609518989</v>
      </c>
      <c r="BQ135" s="21">
        <f>EXP(-LN(2)/25)*BQ134+(1-EXP(-LN(2)/25))/(LN(2)/25)*Calculateur!BL135*Calculateur!BN135*VLOOKUP('Données projet'!$B$11,Paramètres!$A$1:$I$89,3,0)*0.475*44/12</f>
        <v>5.3866463442099706</v>
      </c>
      <c r="BR135" s="21">
        <f>EXP(-LN(2)/2)*BR134+(1-EXP(-LN(2)/2))/(LN(2)/2)*BL135*BO135*VLOOKUP('Données projet'!$B$11,Paramètres!$A$1:$I$89,3,0)*0.475*44/12</f>
        <v>6.9484841085831723E-11</v>
      </c>
      <c r="BS135" s="22">
        <f t="shared" si="232"/>
        <v>44.391060953798444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projet'!$A$123:$I$143,2,0)</f>
        <v>#N/A</v>
      </c>
      <c r="BW135" s="12" t="e">
        <f>VLOOKUP(A135,'Données projet'!$A$123:$I$143,9,0)</f>
        <v>#N/A</v>
      </c>
      <c r="BX135" s="12">
        <f t="array" ref="BX135">INDEX(BW:BW,MIN(IF(ISNUMBER(BW135:BW331),ROW(BW135:BW331),"")))</f>
        <v>0</v>
      </c>
      <c r="BY135" s="12">
        <f>IF('Données projet'!$A$124&gt;35,BY134+BX135-CG134,IF(A135&lt;'Données projet'!$A$124,$BV$205^A135,IF(A135='Données projet'!$A$124,'Données projet'!$B$124,BY134+BX135-CG134)))</f>
        <v>0</v>
      </c>
      <c r="BZ135" s="13">
        <f>BY135*VLOOKUP('Données projet'!$B$12,Paramètres!$A$1:$I$89,3,0)*VLOOKUP('Données projet'!$B$12,Paramètres!$A$1:$I$89,5,0)</f>
        <v>0</v>
      </c>
      <c r="CA135" s="13" t="e">
        <f t="shared" si="292"/>
        <v>#NUM!</v>
      </c>
      <c r="CB135" s="20" t="e">
        <f t="shared" si="233"/>
        <v>#NUM!</v>
      </c>
      <c r="CC135" s="59" t="e">
        <f t="shared" si="234"/>
        <v>#NUM!</v>
      </c>
      <c r="CD135" s="59">
        <f ca="1">AVERAGE(OFFSET($CC$3,0,0,'Données projet'!$E$12+1,1))-AVERAGE(OFFSET($H$3,0,0,'Données projet'!$E$12+1,1))</f>
        <v>322.93502595881938</v>
      </c>
      <c r="CE135" s="59">
        <f t="shared" si="293"/>
        <v>302.67072119588164</v>
      </c>
      <c r="CF135" s="15">
        <f>IF(ISNA(VLOOKUP(A135,'Données projet'!$A$123:$I$143,3,0)),0,VLOOKUP(A135,'Données projet'!$A$123:$I$143,3,0))</f>
        <v>0</v>
      </c>
      <c r="CG135" s="15">
        <f>IF(ISNA(VLOOKUP(A135,'Données projet'!$A$123:$I$143,4,0)),0,VLOOKUP(A135,'Données projet'!$A$123:$I$143,4,0))</f>
        <v>0</v>
      </c>
      <c r="CH135" s="16">
        <f>IF(ISNA(VLOOKUP(A135,'Données projet'!$A$123:$I$143,5,0)),0%,VLOOKUP(A135,'Données projet'!$A$123:$I$143,5,0)*VLOOKUP('Données projet'!$B$12,Paramètres!$A$1:$I$89,7,0))</f>
        <v>0</v>
      </c>
      <c r="CI135" s="16">
        <f>IF(ISNA(VLOOKUP(A135,'Données projet'!$A$123:$I$143,6,0)),0%,VLOOKUP(A135,'Données projet'!$A$123:$I$143,6,0)*VLOOKUP('Données projet'!$B$12,Paramètres!$A$1:$I$89,7,0))</f>
        <v>0</v>
      </c>
      <c r="CJ135" s="16">
        <f>IF(ISNA(VLOOKUP(A135,'Données projet'!$A$123:$I$143,7,0)),0%,VLOOKUP(A135,'Données projet'!$A$123:$I$143,7,0))</f>
        <v>0</v>
      </c>
      <c r="CK135" s="21">
        <f>EXP(-LN(2)/35)*CK134+(1-EXP(-LN(2)/35))/(LN(2)/35)*CG135*CH135*VLOOKUP('Données projet'!$B$12,Paramètres!$A$1:$I$89,3,0)*0.475*44/12</f>
        <v>62.143457273958127</v>
      </c>
      <c r="CL135" s="21">
        <f>EXP(-LN(2)/25)*CL134+(1-EXP(-LN(2)/25))/(LN(2)/25)*Calculateur!CG135*Calculateur!CI135*VLOOKUP('Données projet'!$B$12,Paramètres!$A$1:$I$89,3,0)*0.475*44/12</f>
        <v>17.240527432421832</v>
      </c>
      <c r="CM135" s="21">
        <f>EXP(-LN(2)/2)*CM134+(1-EXP(-LN(2)/2))/(LN(2)/2)*CG135*CJ135*VLOOKUP('Données projet'!$B$12,Paramètres!$A$1:$I$89,3,0)*0.475*44/12</f>
        <v>0</v>
      </c>
      <c r="CN135" s="22">
        <f t="shared" si="235"/>
        <v>79.383984706379962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projet'!$A$149:$I$169,2,0)</f>
        <v>#N/A</v>
      </c>
      <c r="CR135" s="12" t="e">
        <f>VLOOKUP(A135,'Données projet'!$A$149:$I$169,9,0)</f>
        <v>#N/A</v>
      </c>
      <c r="CS135" s="12">
        <f t="array" ref="CS135">INDEX(CR:CR,MIN(IF(ISNUMBER(CR135:CR331),ROW(CR135:CR331),"")))</f>
        <v>5.2446581196581219</v>
      </c>
      <c r="CT135" s="12">
        <f>IF('Données projet'!$A$150&gt;35,CT134+CS135-DB134,IF(A135&lt;'Données projet'!$A$150,$CQ$205^A135,IF(A135='Données projet'!$A$150,'Données projet'!$B$150,CT134+CS135-DB134)))</f>
        <v>266.84722222222177</v>
      </c>
      <c r="CU135" s="17">
        <f>CT135*VLOOKUP('Données projet'!$B$13,Paramètres!$A$1:$I$89,3,0)*VLOOKUP('Données projet'!$B$13,Paramètres!$A$1:$I$89,5,0)</f>
        <v>270.58308333333292</v>
      </c>
      <c r="CV135" s="13">
        <f t="shared" si="294"/>
        <v>64.972998746573325</v>
      </c>
      <c r="CW135" s="20">
        <f t="shared" si="236"/>
        <v>584.42684295583661</v>
      </c>
      <c r="CX135" s="59">
        <f t="shared" si="237"/>
        <v>877.76017628916998</v>
      </c>
      <c r="CY135" s="59">
        <f ca="1">AVERAGE(OFFSET($CX$3,0,0,'Données projet'!$E$13+1,1))-AVERAGE(OFFSET($H$3,0,0,'Données projet'!$E$13+1,1))</f>
        <v>250.31277422753283</v>
      </c>
      <c r="CZ135" s="59">
        <f t="shared" si="295"/>
        <v>159.20429420478047</v>
      </c>
      <c r="DA135" s="15">
        <f>IF(ISNA(VLOOKUP(A135,'Données projet'!$A$149:$I$169,3,0)),0,VLOOKUP(A135,'Données projet'!$A$149:$I$169,3,0))</f>
        <v>0</v>
      </c>
      <c r="DB135" s="15">
        <f>IF(ISNA(VLOOKUP(A135,'Données projet'!$A$149:$I$169,4,0)),0,VLOOKUP(A135,'Données projet'!$A$149:$I$169,4,0))</f>
        <v>0</v>
      </c>
      <c r="DC135" s="16">
        <f>IF(ISNA(VLOOKUP(A135,'Données projet'!$A$149:$I$169,5,0)),0%,VLOOKUP(A135,'Données projet'!$A$149:$I$169,5,0)*VLOOKUP('Données projet'!$B$13,Paramètres!$A$1:$I$89,7,0))</f>
        <v>0</v>
      </c>
      <c r="DD135" s="16">
        <f>IF(ISNA(VLOOKUP(A135,'Données projet'!$A$149:$I$169,6,0)),0%,VLOOKUP(A135,'Données projet'!$A$149:$I$169,6,0)*VLOOKUP('Données projet'!$B$13,Paramètres!$A$1:$I$89,7,0))</f>
        <v>0</v>
      </c>
      <c r="DE135" s="16">
        <f>IF(ISNA(VLOOKUP(A135,'Données projet'!$A$149:$I$169,7,0)),0%,VLOOKUP(A135,'Données projet'!$A$149:$I$169,7,0))</f>
        <v>0</v>
      </c>
      <c r="DF135" s="21">
        <f>EXP(-LN(2)/35)*DF134+(1-EXP(-LN(2)/35))/(LN(2)/35)*DB135*DC135*VLOOKUP('Données projet'!$B$13,Paramètres!$A$1:$I$89,3,0)*0.475*44/12</f>
        <v>41.609528623263266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238"/>
        <v>41.609528623263266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projet'!$A$175:$I$195,2,0)</f>
        <v>#N/A</v>
      </c>
      <c r="DM135" s="12" t="e">
        <f>VLOOKUP(A135,'Données projet'!$A$175:$I$195,9,0)</f>
        <v>#N/A</v>
      </c>
      <c r="DN135" s="12">
        <f t="array" ref="DN135">INDEX(DM:DM,MIN(IF(ISNUMBER(DM135:DM331),ROW(DM135:DM331),"")))</f>
        <v>0</v>
      </c>
      <c r="DO135" s="12">
        <f>IF('Données projet'!$A$176&gt;35,DO134+DN135-DW134,IF(A135&lt;'Données projet'!$A$176,$DL$205^A135,IF(A135='Données projet'!$A$176,'Données projet'!$B$176,DO134+DN135-DW134)))</f>
        <v>-2.8421709430404007E-13</v>
      </c>
      <c r="DP135" s="17">
        <f>DO135*VLOOKUP('Données projet'!$B$14,Paramètres!$A$1:$I$89,3,0)*VLOOKUP('Données projet'!$B$14,Paramètres!$A$1:$I$89,5,0)</f>
        <v>-2.0838797354372215E-13</v>
      </c>
      <c r="DQ135" s="13" t="e">
        <f t="shared" si="296"/>
        <v>#NUM!</v>
      </c>
      <c r="DR135" s="20" t="e">
        <f t="shared" si="239"/>
        <v>#NUM!</v>
      </c>
      <c r="DS135" s="59" t="e">
        <f t="shared" si="240"/>
        <v>#NUM!</v>
      </c>
      <c r="DT135" s="59">
        <f ca="1">AVERAGE(OFFSET($DS$3,0,0,'Données projet'!$E$14+1,1))-AVERAGE(OFFSET($H$3,0,0,'Données projet'!$E$14+1,1))</f>
        <v>296.91321813251051</v>
      </c>
      <c r="DU135" s="59">
        <f t="shared" si="297"/>
        <v>291.0718079639509</v>
      </c>
      <c r="DV135" s="15">
        <f>IF(ISNA(VLOOKUP(A135,'Données projet'!$A$175:$I$195,3,0)),0,VLOOKUP(A135,'Données projet'!$A$175:$I$195,3,0))</f>
        <v>0</v>
      </c>
      <c r="DW135" s="15">
        <f>IF(ISNA(VLOOKUP(A135,'Données projet'!$A$175:$I$195,4,0)),0,VLOOKUP(A135,'Données projet'!$A$175:$I$195,4,0))</f>
        <v>0</v>
      </c>
      <c r="DX135" s="16">
        <f>IF(ISNA(VLOOKUP(A135,'Données projet'!$A$175:$I$195,5,0)),0%,VLOOKUP(A135,'Données projet'!$A$175:$I$195,5,0)*VLOOKUP('Données projet'!$B$14,Paramètres!$A$1:$I$89,7,0))</f>
        <v>0</v>
      </c>
      <c r="DY135" s="16">
        <f>IF(ISNA(VLOOKUP(A135,'Données projet'!$A$175:$I$195,6,0)),0%,VLOOKUP(A135,'Données projet'!$A$175:$I$195,6,0)*VLOOKUP('Données projet'!$B$14,Paramètres!$A$1:$I$89,7,0))</f>
        <v>0</v>
      </c>
      <c r="DZ135" s="16">
        <f>IF(ISNA(VLOOKUP(A135,'Données projet'!$A$175:$I$195,7,0)),0%,VLOOKUP(A135,'Données projet'!$A$175:$I$195,7,0))</f>
        <v>0</v>
      </c>
      <c r="EA135" s="21">
        <f>EXP(-LN(2)/35)*EA134+(1-EXP(-LN(2)/35))/(LN(2)/35)*DW135*DX135*VLOOKUP('Données projet'!$B$14,Paramètres!$A$1:$I$89,3,0)*0.475*44/12</f>
        <v>61.937076183498348</v>
      </c>
      <c r="EB135" s="21">
        <f>EXP(-LN(2)/25)*EB134+(1-EXP(-LN(2)/25))/(LN(2)/25)*Calculateur!DW135*Calculateur!DY135*VLOOKUP('Données projet'!$B$14,Paramètres!$A$1:$I$89,3,0)*0.475*44/12</f>
        <v>1.2665047814061665</v>
      </c>
      <c r="EC135" s="21">
        <f>EXP(-LN(2)/2)*EC134+(1-EXP(-LN(2)/2))/(LN(2)/2)*DW135*DZ135*VLOOKUP('Données projet'!$B$14,Paramètres!$A$1:$I$89,3,0)*0.475*44/12</f>
        <v>0</v>
      </c>
      <c r="ED135" s="22">
        <f t="shared" si="241"/>
        <v>63.203580964904518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projet'!$A$201:$I$221,2,0)</f>
        <v>#N/A</v>
      </c>
      <c r="EH135" s="12" t="e">
        <f>VLOOKUP(A135,'Données projet'!$A$201:$I$221,9,0)</f>
        <v>#N/A</v>
      </c>
      <c r="EI135" s="12">
        <f t="array" ref="EI135">INDEX(EH:EH,MIN(IF(ISNUMBER(EH135:EH331),ROW(EH135:EH331),"")))</f>
        <v>0</v>
      </c>
      <c r="EJ135" s="12">
        <f>IF('Données projet'!$A$202&gt;35,EJ134+EI135-ER134,IF(A135&lt;'Données projet'!$A$202,$EG$205^A135,IF(A135='Données projet'!$A$202,'Données projet'!$B$202,EJ134+EI135-ER134)))</f>
        <v>5.1159076974727213E-13</v>
      </c>
      <c r="EK135" s="17">
        <f>EJ135*VLOOKUP('Données projet'!$B$15,Paramètres!$A$1:$I$89,3,0)*VLOOKUP('Données projet'!$B$15,Paramètres!$A$1:$I$89,5,0)</f>
        <v>2.3942448024172334E-13</v>
      </c>
      <c r="EL135" s="13">
        <f t="shared" si="298"/>
        <v>3.2492669905861755E-12</v>
      </c>
      <c r="EM135" s="20">
        <f t="shared" si="242"/>
        <v>6.0761376450252565E-12</v>
      </c>
      <c r="EN135" s="59">
        <f t="shared" si="243"/>
        <v>293.3333333333394</v>
      </c>
      <c r="EO135" s="59">
        <f ca="1">AVERAGE(OFFSET($EN$3,0,0,'Données projet'!$E$15+1,1))-AVERAGE(OFFSET($H$3,0,0,'Données projet'!$E$15+1,1))</f>
        <v>147.64256291235483</v>
      </c>
      <c r="EP135" s="59">
        <f t="shared" si="299"/>
        <v>70.859031694091868</v>
      </c>
      <c r="EQ135" s="15">
        <f>IF(ISNA(VLOOKUP(A135,'Données projet'!$A$201:$I$221,3,0)),0,VLOOKUP(A135,'Données projet'!$A$201:$I$221,3,0))</f>
        <v>0</v>
      </c>
      <c r="ER135" s="15">
        <f>IF(ISNA(VLOOKUP(A135,'Données projet'!$A$201:$I$221,4,0)),0,VLOOKUP(A135,'Données projet'!$A$201:$I$221,4,0))</f>
        <v>0</v>
      </c>
      <c r="ES135" s="16">
        <f>IF(ISNA(VLOOKUP(A135,'Données projet'!$A$201:$I$221,5,0)),0%,VLOOKUP(A135,'Données projet'!$A$201:$I$221,5,0)*VLOOKUP('Données projet'!$B$15,Paramètres!$A$1:$I$89,7,0))</f>
        <v>0</v>
      </c>
      <c r="ET135" s="16">
        <f>IF(ISNA(VLOOKUP(A135,'Données projet'!$A$201:$I$221,6,0)),0%,VLOOKUP(A135,'Données projet'!$A$201:$I$221,6,0)*VLOOKUP('Données projet'!$B$15,Paramètres!$A$1:$I$89,7,0))</f>
        <v>0</v>
      </c>
      <c r="EU135" s="16">
        <f>IF(ISNA(VLOOKUP(A135,'Données projet'!$A$201:$I$221,7,0)),0%,VLOOKUP(A135,'Données projet'!$A$201:$I$221,7,0))</f>
        <v>0</v>
      </c>
      <c r="EV135" s="21">
        <f>EXP(-LN(2)/35)*EV134+(1-EXP(-LN(2)/35))/(LN(2)/35)*ER135*ES135*VLOOKUP('Données projet'!$B$15,Paramètres!$A$1:$I$89,3,0)*0.475*44/12</f>
        <v>84.792833599396204</v>
      </c>
      <c r="EW135" s="21">
        <f>EXP(-LN(2)/25)*EW134+(1-EXP(-LN(2)/25))/(LN(2)/25)*Calculateur!ER135*Calculateur!ET135*VLOOKUP('Données projet'!$B$15,Paramètres!$A$1:$I$89,3,0)*0.475*44/12</f>
        <v>17.5714778600092</v>
      </c>
      <c r="EX135" s="21">
        <f>EXP(-LN(2)/2)*EX134+(1-EXP(-LN(2)/2))/(LN(2)/2)*ER135*EU135*VLOOKUP('Données projet'!$B$15,Paramètres!$A$1:$I$89,3,0)*0.475*44/12</f>
        <v>6.3351966051709129E-3</v>
      </c>
      <c r="EY135" s="22">
        <f t="shared" si="244"/>
        <v>102.37064665601056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projet'!$A$227:$I$247,2,0)</f>
        <v>#N/A</v>
      </c>
      <c r="FC135" s="12" t="e">
        <f>VLOOKUP(A135,'Données projet'!$A$227:$I$247,9,0)</f>
        <v>#N/A</v>
      </c>
      <c r="FD135" s="12">
        <f t="array" ref="FD135">INDEX(FC:FC,MIN(IF(ISNUMBER(FC135:FC331),ROW(FC135:FC331),"")))</f>
        <v>0</v>
      </c>
      <c r="FE135" s="12">
        <f>IF('Données projet'!$A$228&gt;35,FE134+FD135-FM134,IF(A135&lt;'Données projet'!$A$228,$FB$205^A135,IF(A135='Données projet'!$A$228,'Données projet'!$B$228,FE134+FD135-FM134)))</f>
        <v>8.5265128291212022E-14</v>
      </c>
      <c r="FF135" s="17">
        <f>FE135*VLOOKUP('Données projet'!$B$16,Paramètres!$A$1:$I$89,3,0)*VLOOKUP('Données projet'!$B$16,Paramètres!$A$1:$I$89,5,0)</f>
        <v>8.9119112089974823E-14</v>
      </c>
      <c r="FG135" s="13">
        <f t="shared" si="300"/>
        <v>1.3568952080113142E-12</v>
      </c>
      <c r="FH135" s="20">
        <f t="shared" si="245"/>
        <v>2.5184749408430782E-12</v>
      </c>
      <c r="FI135" s="59">
        <f t="shared" si="246"/>
        <v>293.33333333333582</v>
      </c>
      <c r="FJ135" s="59">
        <f ca="1">AVERAGE(OFFSET($FI$3,0,0,'Données projet'!$E$16+1,1))-AVERAGE(OFFSET($H$3,0,0,'Données projet'!$E$16+1,1))</f>
        <v>259.03906550253788</v>
      </c>
      <c r="FK135" s="59">
        <f t="shared" si="301"/>
        <v>235.54542903570831</v>
      </c>
      <c r="FL135" s="15">
        <f>IF(ISNA(VLOOKUP(A135,'Données projet'!$A$227:$I$247,3,0)),0,VLOOKUP(A135,'Données projet'!$A$227:$I$247,3,0))</f>
        <v>0</v>
      </c>
      <c r="FM135" s="15">
        <f>IF(ISNA(VLOOKUP(A135,'Données projet'!$A$227:$I$247,4,0)),0,VLOOKUP(A135,'Données projet'!$A$227:$I$247,4,0))</f>
        <v>0</v>
      </c>
      <c r="FN135" s="16">
        <f>IF(ISNA(VLOOKUP(A135,'Données projet'!$A$227:$I$247,5,0)),0%,VLOOKUP(A135,'Données projet'!$A$227:$I$247,5,0)*VLOOKUP('Données projet'!$B$16,Paramètres!$A$1:$I$89,7,0))</f>
        <v>0</v>
      </c>
      <c r="FO135" s="16">
        <f>IF(ISNA(VLOOKUP(A135,'Données projet'!$A$227:$I$247,6,0)),0%,VLOOKUP(A135,'Données projet'!$A$227:$I$247,6,0)*VLOOKUP('Données projet'!$B$16,Paramètres!$A$1:$I$89,7,0))</f>
        <v>0</v>
      </c>
      <c r="FP135" s="16">
        <f>IF(ISNA(VLOOKUP(A135,'Données projet'!$A$227:$I$247,7,0)),0%,VLOOKUP(A135,'Données projet'!$A$227:$I$247,7,0))</f>
        <v>0</v>
      </c>
      <c r="FQ135" s="21">
        <f>EXP(-LN(2)/35)*FQ134+(1-EXP(-LN(2)/35))/(LN(2)/35)*FM135*FN135*VLOOKUP('Données projet'!$B$16,Paramètres!$A$1:$I$89,3,0)*0.475*44/12</f>
        <v>37.425252344287877</v>
      </c>
      <c r="FR135" s="21">
        <f>EXP(-LN(2)/25)*FR134+(1-EXP(-LN(2)/25))/(LN(2)/25)*Calculateur!FM135*Calculateur!FO135*VLOOKUP('Données projet'!$B$16,Paramètres!$A$1:$I$89,3,0)*0.475*44/12</f>
        <v>24.172636779644023</v>
      </c>
      <c r="FS135" s="21">
        <f>EXP(-LN(2)/2)*FS134+(1-EXP(-LN(2)/2))/(LN(2)/2)*FM135*FP135*VLOOKUP('Données projet'!$B$16,Paramètres!$A$1:$I$89,3,0)*0.475*44/12</f>
        <v>0</v>
      </c>
      <c r="FT135" s="22">
        <f t="shared" si="247"/>
        <v>61.5978891239319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projet'!$A$253:$I$273,2,0)</f>
        <v>#N/A</v>
      </c>
      <c r="FX135" s="12" t="e">
        <f>VLOOKUP(A135,'Données projet'!$A$253:$I$273,9,0)</f>
        <v>#N/A</v>
      </c>
      <c r="FY135" s="12">
        <f t="array" ref="FY135">INDEX(FX:FX,MIN(IF(ISNUMBER(FX135:FX331),ROW(FX135:FX331),"")))</f>
        <v>0</v>
      </c>
      <c r="FZ135" s="12">
        <f>IF('Données projet'!$A$254&gt;35,FZ134+FY135-GH134,IF(A135&lt;'Données projet'!$A$254,$FW$205^A135,IF(A135='Données projet'!$A$254,'Données projet'!$B$254,FZ134+FY135-GH134)))</f>
        <v>-1.7053025658242404E-13</v>
      </c>
      <c r="GA135" s="17">
        <f>FZ135*VLOOKUP('Données projet'!$B$17,Paramètres!$A$1:$I$89,3,0)*VLOOKUP('Données projet'!$B$17,Paramètres!$A$1:$I$89,5,0)</f>
        <v>-1.4897523215040567E-13</v>
      </c>
      <c r="GB135" s="13" t="e">
        <f t="shared" si="302"/>
        <v>#NUM!</v>
      </c>
      <c r="GC135" s="20" t="e">
        <f t="shared" si="248"/>
        <v>#NUM!</v>
      </c>
      <c r="GD135" s="59" t="e">
        <f t="shared" si="249"/>
        <v>#NUM!</v>
      </c>
      <c r="GE135" s="59">
        <f ca="1">AVERAGE(OFFSET($GD$3,0,0,'Données projet'!$E$17+1,1))-AVERAGE(OFFSET($H$3,0,0,'Données projet'!$E$17+1,1))</f>
        <v>245.1983232777614</v>
      </c>
      <c r="GF135" s="59">
        <f t="shared" si="303"/>
        <v>242.34010522344573</v>
      </c>
      <c r="GG135" s="15">
        <f>IF(ISNA(VLOOKUP(A135,'Données projet'!$A$253:$I$273,3,0)),0,VLOOKUP(A135,'Données projet'!$A$253:$I$273,3,0))</f>
        <v>0</v>
      </c>
      <c r="GH135" s="15">
        <f>IF(ISNA(VLOOKUP(A135,'Données projet'!$A$253:$I$273,4,0)),0,VLOOKUP(A135,'Données projet'!$A$253:$I$273,4,0))</f>
        <v>0</v>
      </c>
      <c r="GI135" s="16">
        <f>IF(ISNA(VLOOKUP(A135,'Données projet'!$A$253:$I$273,5,0)),0%,VLOOKUP(A135,'Données projet'!$A$253:$I$273,5,0)*VLOOKUP('Données projet'!$B$17,Paramètres!$A$1:$I$89,7,0))</f>
        <v>0</v>
      </c>
      <c r="GJ135" s="16">
        <f>IF(ISNA(VLOOKUP(A135,'Données projet'!$A$253:$I$273,6,0)),0%,VLOOKUP(A135,'Données projet'!$A$253:$I$273,6,0)*VLOOKUP('Données projet'!$B$17,Paramètres!$A$1:$I$89,7,0))</f>
        <v>0</v>
      </c>
      <c r="GK135" s="16">
        <f>IF(ISNA(VLOOKUP(A135,'Données projet'!$A$253:$I$273,7,0)),0%,VLOOKUP(A135,'Données projet'!$A$253:$I$273,7,0))</f>
        <v>0</v>
      </c>
      <c r="GL135" s="21">
        <f>EXP(-LN(2)/35)*GL134+(1-EXP(-LN(2)/35))/(LN(2)/35)*GH135*GI135*VLOOKUP('Données projet'!$B$17,Paramètres!$A$1:$I$89,3,0)*0.475*44/12</f>
        <v>43.998518961291367</v>
      </c>
      <c r="GM135" s="21">
        <f>EXP(-LN(2)/25)*GM134+(1-EXP(-LN(2)/25))/(LN(2)/25)*Calculateur!GH135*Calculateur!GJ135*VLOOKUP('Données projet'!$B$17,Paramètres!$A$1:$I$89,3,0)*0.475*44/12</f>
        <v>5.1506000128153957</v>
      </c>
      <c r="GN135" s="21">
        <f>EXP(-LN(2)/2)*GN134+(1-EXP(-LN(2)/2))/(LN(2)/2)*GH135*GK135*VLOOKUP('Données projet'!$B$17,Paramètres!$A$1:$I$89,3,0)*0.475*44/12</f>
        <v>0</v>
      </c>
      <c r="GO135" s="21">
        <f t="shared" si="250"/>
        <v>49.149118974106763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projet'!$A$279:$I$299,2,0)</f>
        <v>#N/A</v>
      </c>
      <c r="GS135" s="12" t="e">
        <f>VLOOKUP(A135,'Données projet'!$A$279:$I$299,9,0)</f>
        <v>#N/A</v>
      </c>
      <c r="GT135" s="12">
        <f t="array" ref="GT135">INDEX(GS:GS,MIN(IF(ISNUMBER(GS135:GS331),ROW(GS135:GS331),"")))</f>
        <v>0</v>
      </c>
      <c r="GU135" s="12">
        <f>IF('Données projet'!$A$280&gt;35,GU134+GT135-HC134,IF(A135&lt;'Données projet'!$A$280,$GR$205^A135,IF(A135='Données projet'!$A$280,'Données projet'!$B$280,GU134+GT135-HC134)))</f>
        <v>-1.1368683772161603E-13</v>
      </c>
      <c r="GV135" s="17">
        <f>GU135*VLOOKUP('Données projet'!$B$18,Paramètres!$A$1:$I$89,3,0)*VLOOKUP('Données projet'!$B$18,Paramètres!$A$1:$I$89,5,0)</f>
        <v>-4.5815795601811263E-14</v>
      </c>
      <c r="GW135" s="13" t="e">
        <f t="shared" si="304"/>
        <v>#NUM!</v>
      </c>
      <c r="GX135" s="20" t="e">
        <f t="shared" si="251"/>
        <v>#NUM!</v>
      </c>
      <c r="GY135" s="59" t="e">
        <f t="shared" si="252"/>
        <v>#NUM!</v>
      </c>
      <c r="GZ135" s="59">
        <f ca="1">AVERAGE(OFFSET($GY$3,0,0,'Données projet'!$E$18+1,1))-AVERAGE(OFFSET($H$3,0,0,'Données projet'!$E$18+1,1))</f>
        <v>324.36162935850876</v>
      </c>
      <c r="HA135" s="59">
        <f t="shared" si="305"/>
        <v>265.23571072429735</v>
      </c>
      <c r="HB135" s="15">
        <f>IF(ISNA(VLOOKUP(A135,'Données projet'!$A$279:$I$299,3,0)),0,VLOOKUP(A135,'Données projet'!$A$279:$I$299,3,0))</f>
        <v>0</v>
      </c>
      <c r="HC135" s="15">
        <f>IF(ISNA(VLOOKUP(A135,'Données projet'!$A$279:$I$299,4,0)),0,VLOOKUP(A135,'Données projet'!$A$279:$I$299,4,0))</f>
        <v>0</v>
      </c>
      <c r="HD135" s="16">
        <f>IF(ISNA(VLOOKUP(A135,'Données projet'!$A$279:$I$299,5,0)),0%,VLOOKUP(A135,'Données projet'!$A$279:$I$299,5,0)*VLOOKUP('Données projet'!$B$18,Paramètres!$A$1:$I$89,7,0))</f>
        <v>0</v>
      </c>
      <c r="HE135" s="16">
        <f>IF(ISNA(VLOOKUP(A135,'Données projet'!$A$279:$I$299,6,0)),0%,VLOOKUP(A135,'Données projet'!$A$279:$I$299,6,0)*VLOOKUP('Données projet'!$B$18,Paramètres!$A$1:$I$89,7,0))</f>
        <v>0</v>
      </c>
      <c r="HF135" s="16">
        <f>IF(ISNA(VLOOKUP($A135,'Données projet'!$A$279:$I$299,7,0)),0%,VLOOKUP($A135,'Données projet'!$A$279:$I$299,7,0))</f>
        <v>0</v>
      </c>
      <c r="HG135" s="21">
        <f>EXP(-LN(2)/35)*HG134+(1-EXP(-LN(2)/35))/(LN(2)/35)*HC135*HD135*VLOOKUP('Données projet'!$B$18,Paramètres!$A$1:$I$89,3,0)*0.475*44/12</f>
        <v>84.312664370309889</v>
      </c>
      <c r="HH135" s="21">
        <f>EXP(-LN(2)/25)*HH134+(1-EXP(-LN(2)/25))/(LN(2)/25)*Calculateur!HC135*Calculateur!HE135*VLOOKUP('Données projet'!$B$18,Paramètres!$A$1:$I$89,3,0)*0.475*44/12</f>
        <v>5.7283884817536217</v>
      </c>
      <c r="HI135" s="21">
        <f>EXP(-LN(2)/2)*HI134+(1-EXP(-LN(2)/2))/(LN(2)/2)*HC135*HF135*VLOOKUP('Données projet'!$B$18,Paramètres!$A$1:$I$89,3,0)*0.475*44/12</f>
        <v>1.2736334963709008E-7</v>
      </c>
      <c r="HJ135" s="22">
        <f t="shared" si="253"/>
        <v>90.041052979426865</v>
      </c>
      <c r="HK135" s="74">
        <f>('Scénario référence'!$F$8+'Scénario référence'!$F$9+'Scénario référence'!$B$17+'Scénario référence'!$B$9+'Scénario référence'!$B$10)*70+IF((45+25*(1-EXP(-0.0175*$A135)))&lt;70,'Scénario référence'!$B$16*(45+25*(1-EXP(-0.0175*$A135))),70*'Scénario référence'!$B$16)+IF((32+38*(1-EXP(-0.0175*$A135)))&lt;70,'Scénario référence'!$B$18*(32+38*(1-EXP(-0.0175*$A135))),70*'Scénario référence'!$B$18)</f>
        <v>70</v>
      </c>
      <c r="HL135" s="12">
        <f>IF($A135&gt;30,10,('Scénario référence'!$B$16+'Scénario référence'!$B$17+'Scénario référence'!$B$18+'Scénario référence'!$B$9+'Scénario référence'!$B$10)*$A135*10/30+('Scénario référence'!$F$8+'Scénario référence'!$F$9)*10)</f>
        <v>10</v>
      </c>
      <c r="HM135" s="12" t="e">
        <f>VLOOKUP($A135,'Données projet'!$A$304:$I$324,2,0)</f>
        <v>#N/A</v>
      </c>
      <c r="HN135" s="12" t="e">
        <f>VLOOKUP($A135,'Données projet'!$A$304:$I$324,9,0)</f>
        <v>#N/A</v>
      </c>
      <c r="HO135" s="12">
        <f t="array" ref="HO135">INDEX(HN:HN,MIN(IF(ISNUMBER(HN135:HN331),ROW(HN135:HN331),"")))</f>
        <v>0</v>
      </c>
      <c r="HP135" s="12">
        <f>IF('Données projet'!$A$304&gt;35,HP134+HO135-HX134,IF($A135&lt;'Données projet'!$A$304,$CQ$205^$A135,IF($A135='Données projet'!$A$304,'Données projet'!$B$304,HP134+HO135-HX134)))</f>
        <v>0</v>
      </c>
      <c r="HQ135" s="17">
        <f>HP135*VLOOKUP('Données projet'!$B$19,Paramètres!$A$1:$I$89,3,0)*VLOOKUP('Données projet'!$B$19,Paramètres!$A$1:$I$89,5,0)</f>
        <v>0</v>
      </c>
      <c r="HR135" s="13" t="e">
        <f t="shared" si="306"/>
        <v>#NUM!</v>
      </c>
      <c r="HS135" s="14" t="e">
        <f t="shared" si="254"/>
        <v>#NUM!</v>
      </c>
      <c r="HT135" s="59" t="e">
        <f t="shared" si="255"/>
        <v>#NUM!</v>
      </c>
      <c r="HU135" s="59">
        <f ca="1">AVERAGE(OFFSET(HT$3,0,0,'Données projet'!$E$19+1,1))-AVERAGE(OFFSET($H$3,0,0,'Données projet'!$E$19+1,1))</f>
        <v>91.60721429656013</v>
      </c>
      <c r="HV135" s="59">
        <f t="shared" si="307"/>
        <v>258.94957804210856</v>
      </c>
      <c r="HW135" s="15">
        <f>IF(ISNA(VLOOKUP($A135,'Données projet'!$A$304:$I$324,3,0)),0,VLOOKUP($A135,'Données projet'!$A$304:$I$324,3,0))</f>
        <v>0</v>
      </c>
      <c r="HX135" s="15">
        <f>IF(ISNA(VLOOKUP($A135,'Données projet'!$A$304:$I$324,4,0)),0,VLOOKUP($A135,'Données projet'!$A$304:$I$324,4,0))</f>
        <v>0</v>
      </c>
      <c r="HY135" s="16">
        <f>IF(ISNA(VLOOKUP($A135,'Données projet'!$A$304:$I$324,5,0)),0%,VLOOKUP($A135,'Données projet'!$A$304:$I$324,5,0)*VLOOKUP('Données projet'!$B$19,Paramètres!$A$1:$I$89,7,0))</f>
        <v>0</v>
      </c>
      <c r="HZ135" s="16">
        <f>IF(ISNA(VLOOKUP($A135,'Données projet'!$A$304:$I$324,6,0)),0%,VLOOKUP($A135,'Données projet'!$A$304:$I$324,6,0)*VLOOKUP('Données projet'!$B$19,Paramètres!$A$1:$I$89,7,0))</f>
        <v>0</v>
      </c>
      <c r="IA135" s="16">
        <f>IF(ISNA(VLOOKUP($A135,'Données projet'!$A$304:$I$324,7,0)),0%,VLOOKUP($A135,'Données projet'!$A$304:$I$324,7,0))</f>
        <v>0</v>
      </c>
      <c r="IB135" s="21">
        <f>EXP(-LN(2)/35)*IB134+(1-EXP(-LN(2)/35))/(LN(2)/35)*HX135*HY135*VLOOKUP('Données projet'!$B$19,Paramètres!$A$1:$I$89,3,0)*0.475*44/12</f>
        <v>6.5440635897698254</v>
      </c>
      <c r="IC135" s="21">
        <f>EXP(-LN(2)/25)*IC134+(1-EXP(-LN(2)/25))/(LN(2)/25)*Calculateur!HX135*Calculateur!HZ135*VLOOKUP('Données projet'!$B$19,Paramètres!$A$1:$I$89,3,0)*0.475*44/12</f>
        <v>0.57518688795117023</v>
      </c>
      <c r="ID135" s="21">
        <f>EXP(-LN(2)/2)*ID134+(1-EXP(-LN(2)/2))/(LN(2)/2)*HX135*IA135*VLOOKUP('Données projet'!$B$19,Paramètres!$A$1:$I$89,3,0)*0.475*44/12</f>
        <v>2.5439753048316474E-16</v>
      </c>
      <c r="IE135" s="22">
        <f t="shared" si="256"/>
        <v>7.1192504777209953</v>
      </c>
      <c r="IF135" s="74">
        <f>('Scénario référence'!$F$8+'Scénario référence'!$F$9+'Scénario référence'!$B$17+'Scénario référence'!$B$9+'Scénario référence'!$B$10)*70+IF((45+25*(1-EXP(-0.0175*$A135)))&lt;70,'Scénario référence'!$B$16*(45+25*(1-EXP(-0.0175*$A135))),70*'Scénario référence'!$B$16)+IF((32+38*(1-EXP(-0.0175*$A135)))&lt;70,'Scénario référence'!$B$18*(32+38*(1-EXP(-0.0175*$A135))),70*'Scénario référence'!$B$18)</f>
        <v>70</v>
      </c>
      <c r="IG135" s="12">
        <f>IF($A135&gt;30,10,('Scénario référence'!$B$16+'Scénario référence'!$B$17+'Scénario référence'!$B$18+'Scénario référence'!$B$9+'Scénario référence'!$B$10)*$A135*10/30+('Scénario référence'!$F$8+'Scénario référence'!$F$9)*10)</f>
        <v>10</v>
      </c>
      <c r="IH135" s="12" t="e">
        <f>VLOOKUP($A135,'Données projet'!$A$330:$I$350,2,0)</f>
        <v>#N/A</v>
      </c>
      <c r="II135" s="12" t="e">
        <f>VLOOKUP($A135,'Données projet'!$A$330:$I$350,9,0)</f>
        <v>#N/A</v>
      </c>
      <c r="IJ135" s="12">
        <f t="array" ref="IJ135">INDEX(II:II,MIN(IF(ISNUMBER(II135:II331),ROW(II135:II331),"")))</f>
        <v>0</v>
      </c>
      <c r="IK135" s="12">
        <f>IF('Données projet'!$A$330&gt;35,IK134+IJ135-IS134,IF($A135&lt;'Données projet'!$A$330,$CQ$205^$A135,IF($A135='Données projet'!$A$330,'Données projet'!$B$330,IK134+IJ135-IS134)))</f>
        <v>0</v>
      </c>
      <c r="IL135" s="17">
        <f>IK135*VLOOKUP('Données projet'!$B$20,Paramètres!$A$1:$I$89,3,0)*VLOOKUP('Données projet'!$B$20,Paramètres!$A$1:$I$89,5,0)</f>
        <v>0</v>
      </c>
      <c r="IM135" s="13" t="e">
        <f t="shared" si="308"/>
        <v>#NUM!</v>
      </c>
      <c r="IN135" s="20" t="e">
        <f t="shared" si="257"/>
        <v>#NUM!</v>
      </c>
      <c r="IO135" s="59" t="e">
        <f t="shared" si="258"/>
        <v>#NUM!</v>
      </c>
      <c r="IP135" s="59">
        <f ca="1">AVERAGE(OFFSET(IO$3,0,0,'Données projet'!$E$20+1,1))-AVERAGE(OFFSET($H$3,0,0,'Données projet'!$E$20+1,1))</f>
        <v>91.60721429656013</v>
      </c>
      <c r="IQ135" s="59">
        <f t="shared" si="309"/>
        <v>258.94957804210856</v>
      </c>
      <c r="IR135" s="15">
        <f>IF(ISNA(VLOOKUP($A135,'Données projet'!$A$330:$I$350,3,0)),0,VLOOKUP($A135,'Données projet'!$A$330:$I$350,3,0))</f>
        <v>0</v>
      </c>
      <c r="IS135" s="15">
        <f>IF(ISNA(VLOOKUP($A135,'Données projet'!$A$330:$I$350,4,0)),0,VLOOKUP($A135,'Données projet'!$A$330:$I$350,4,0))</f>
        <v>0</v>
      </c>
      <c r="IT135" s="16">
        <f>IF(ISNA(VLOOKUP($A135,'Données projet'!$A$330:$I$350,5,0)),0%,VLOOKUP($A135,'Données projet'!$A$330:$I$350,5,0)*VLOOKUP('Données projet'!$B$20,Paramètres!$A$1:$I$89,7,0))</f>
        <v>0</v>
      </c>
      <c r="IU135" s="16">
        <f>IF(ISNA(VLOOKUP($A135,'Données projet'!$A$330:$I$350,6,0)),0%,VLOOKUP($A135,'Données projet'!$A$330:$I$350,6,0)*VLOOKUP('Données projet'!$B$20,Paramètres!$A$1:$I$89,7,0))</f>
        <v>0</v>
      </c>
      <c r="IV135" s="16">
        <f>IF(ISNA(VLOOKUP($A135,'Données projet'!$A$330:$I$350,7,0)),0%,VLOOKUP($A135,'Données projet'!$A$330:$I$350,7,0))</f>
        <v>0</v>
      </c>
      <c r="IW135" s="21">
        <f>EXP(-LN(2)/35)*IW134+(1-EXP(-LN(2)/35))/(LN(2)/35)*IS135*IT135*VLOOKUP('Données projet'!$B$20,Paramètres!$A$1:$I$89,3,0)*0.475*44/12</f>
        <v>6.5440635897698254</v>
      </c>
      <c r="IX135" s="21">
        <f>EXP(-LN(2)/25)*IX134+(1-EXP(-LN(2)/25))/(LN(2)/25)*Calculateur!IS135*Calculateur!IU135*VLOOKUP('Données projet'!$B$20,Paramètres!$A$1:$I$89,3,0)*0.475*44/12</f>
        <v>0.57518688795117023</v>
      </c>
      <c r="IY135" s="21">
        <f>EXP(-LN(2)/2)*IY134+(1-EXP(-LN(2)/2))/(LN(2)/2)*IS135*IV135*VLOOKUP('Données projet'!$B$20,Paramètres!$A$1:$I$89,3,0)*0.475*44/12</f>
        <v>2.5439753048316474E-16</v>
      </c>
      <c r="IZ135" s="22">
        <f t="shared" si="259"/>
        <v>7.1192504777209953</v>
      </c>
      <c r="JA135" s="74">
        <f>('Scénario référence'!$F$8+'Scénario référence'!$F$9+'Scénario référence'!$B$17+'Scénario référence'!$B$9+'Scénario référence'!$B$10)*70+IF((45+25*(1-EXP(-0.0175*$A135)))&lt;70,'Scénario référence'!$B$16*(45+25*(1-EXP(-0.0175*$A135))),70*'Scénario référence'!$B$16)+IF((32+38*(1-EXP(-0.0175*$A135)))&lt;70,'Scénario référence'!$B$18*(32+38*(1-EXP(-0.0175*$A135))),70*'Scénario référence'!$B$18)</f>
        <v>70</v>
      </c>
      <c r="JB135" s="12">
        <f>IF($A135&gt;30,10,('Scénario référence'!$B$16+'Scénario référence'!$B$17+'Scénario référence'!$B$18+'Scénario référence'!$B$9+'Scénario référence'!$B$10)*$A135*10/30+('Scénario référence'!$F$8+'Scénario référence'!$F$9)*10)</f>
        <v>10</v>
      </c>
      <c r="JC135" s="12" t="e">
        <f>VLOOKUP($A135,'Données projet'!$A$356:$I$376,2,0)</f>
        <v>#N/A</v>
      </c>
      <c r="JD135" s="12" t="e">
        <f>VLOOKUP($A135,'Données projet'!$A$356:$I$376,9,0)</f>
        <v>#N/A</v>
      </c>
      <c r="JE135" s="12">
        <f t="array" ref="JE135">INDEX(JD:JD,MIN(IF(ISNUMBER(JD135:JD331),ROW(JD135:JD331),"")))</f>
        <v>1.4</v>
      </c>
      <c r="JF135" s="12">
        <f>IF('Données projet'!$A$356&gt;35,JF134+JE135-JN134,IF($A135&lt;'Données projet'!$A$356,$CQ$205^$A135,IF($A135='Données projet'!$A$356,'Données projet'!$B$356,JF134+JE135-JN134)))</f>
        <v>422.7999999999991</v>
      </c>
      <c r="JG135" s="17">
        <f>JF135*VLOOKUP('Données projet'!$B$21,Paramètres!$A$1:$I$89,3,0)*VLOOKUP('Données projet'!$B$21,Paramètres!$A$1:$I$89,5,0)</f>
        <v>342.97535999999928</v>
      </c>
      <c r="JH135" s="13">
        <f t="shared" si="310"/>
        <v>80.114362562505491</v>
      </c>
      <c r="JI135" s="20">
        <f t="shared" si="260"/>
        <v>736.88126679636252</v>
      </c>
      <c r="JJ135" s="59">
        <f t="shared" si="261"/>
        <v>1030.2146001296958</v>
      </c>
      <c r="JK135" s="59">
        <f ca="1">AVERAGE(OFFSET($JJ$3,0,0,'Données projet'!$E$22+1,1))-AVERAGE(OFFSET($H$3,0,0,'Données projet'!$E$22+1,1))</f>
        <v>353.35574633294613</v>
      </c>
      <c r="JL135" s="59">
        <f t="shared" si="311"/>
        <v>170.36796666474726</v>
      </c>
      <c r="JM135" s="15">
        <f>IF(ISNA(VLOOKUP($A135,'Données projet'!$A$356:$I$376,3,0)),0,VLOOKUP($A135,'Données projet'!$A$356:$I$376,3,0))</f>
        <v>0</v>
      </c>
      <c r="JN135" s="15">
        <f>IF(ISNA(VLOOKUP($A135,'Données projet'!$A$356:$I$376,4,0)),0,VLOOKUP($A135,'Données projet'!$A$356:$I$376,4,0))</f>
        <v>0</v>
      </c>
      <c r="JO135" s="16">
        <f>IF(ISNA(VLOOKUP($A135,'Données projet'!$A$356:$I$376,5,0)),0%,VLOOKUP($A135,'Données projet'!$A$356:$I$376,5,0)*VLOOKUP('Données projet'!$B$21,Paramètres!$A$1:$I$89,7,0))</f>
        <v>0</v>
      </c>
      <c r="JP135" s="16">
        <f>IF(ISNA(VLOOKUP($A135,'Données projet'!$A$356:$I$376,6,0)),0%,VLOOKUP($A135,'Données projet'!$A$356:$I$376,6,0)*VLOOKUP('Données projet'!$B$21,Paramètres!$A$1:$I$89,7,0))</f>
        <v>0</v>
      </c>
      <c r="JQ135" s="16">
        <f>IF(ISNA(VLOOKUP($A135,'Données projet'!$A$356:$I$376,7,0)),0%,VLOOKUP($A135,'Données projet'!$A$356:$I$376,7,0))</f>
        <v>0</v>
      </c>
      <c r="JR135" s="21">
        <f>EXP(-LN(2)/35)*JR134+(1-EXP(-LN(2)/35))/(LN(2)/35)*JN135*JO135*VLOOKUP('Données projet'!$B$21,Paramètres!$A$1:$I$89,3,0)*0.475*44/12</f>
        <v>6.2156909748136364</v>
      </c>
      <c r="JS135" s="21">
        <f>EXP(-LN(2)/25)*JS134+(1-EXP(-LN(2)/25))/(LN(2)/25)*Calculateur!JN135*Calculateur!JP135*VLOOKUP('Données projet'!$B$21,Paramètres!$A$1:$I$89,3,0)*0.475*44/12</f>
        <v>12.516025310705734</v>
      </c>
      <c r="JT135" s="21">
        <f>EXP(-LN(2)/2)*JT134+(1-EXP(-LN(2)/2))/(LN(2)/2)*JN135*JQ135*VLOOKUP('Données projet'!$B$21,Paramètres!$A$1:$I$89,3,0)*0.475*44/12</f>
        <v>0.76709244550623945</v>
      </c>
      <c r="JU135" s="18">
        <f t="shared" si="262"/>
        <v>19.498808731025608</v>
      </c>
      <c r="JV135" s="74">
        <f>('Scénario référence'!$F$8+'Scénario référence'!$F$9+'Scénario référence'!$B$17+'Scénario référence'!$B$9+'Scénario référence'!$B$10)*70+IF((45+25*(1-EXP(-0.0175*$A135)))&lt;70,'Scénario référence'!$B$16*(45+25*(1-EXP(-0.0175*$A135))),70*'Scénario référence'!$B$16)+IF((32+38*(1-EXP(-0.0175*$A135)))&lt;70,'Scénario référence'!$B$18*(32+38*(1-EXP(-0.0175*$A135))),70*'Scénario référence'!$B$18)</f>
        <v>70</v>
      </c>
      <c r="JW135" s="12">
        <f>IF($A135&gt;30,10,('Scénario référence'!$B$16+'Scénario référence'!$B$17+'Scénario référence'!$B$18+'Scénario référence'!$B$9+'Scénario référence'!$B$10)*$A135*10/30+('Scénario référence'!$F$8+'Scénario référence'!$F$9)*10)</f>
        <v>10</v>
      </c>
      <c r="JX135" s="12" t="e">
        <f>VLOOKUP($A135,'Données projet'!$A$382:$I$402,2,0)</f>
        <v>#N/A</v>
      </c>
      <c r="JY135" s="12" t="e">
        <f>VLOOKUP($A135,'Données projet'!$A$382:$I$402,9,0)</f>
        <v>#N/A</v>
      </c>
      <c r="JZ135" s="12">
        <f t="array" ref="JZ135">INDEX(JY:JY,MIN(IF(ISNUMBER(JY135:JY331),ROW(JY135:JY331),"")))</f>
        <v>0</v>
      </c>
      <c r="KA135" s="12">
        <f>IF('Données projet'!$A$382&gt;35,KA134+JZ135-KI134,IF($A135&lt;'Données projet'!$A$382,$CQ$205^$A135,IF($A135='Données projet'!$A$382,'Données projet'!$B$382,KA134+JZ135-KI134)))</f>
        <v>5.6843418860808015E-13</v>
      </c>
      <c r="KB135" s="17">
        <f>KA135*VLOOKUP('Données projet'!$B$22,Paramètres!$A$1:$I$89,3,0)*VLOOKUP('Données projet'!$B$22,Paramètres!$A$1:$I$89,5,0)</f>
        <v>3.8130565371830017E-13</v>
      </c>
      <c r="KC135" s="13">
        <f t="shared" si="312"/>
        <v>4.9019074112354236E-12</v>
      </c>
      <c r="KD135" s="20">
        <f t="shared" si="263"/>
        <v>9.2015960881277352E-12</v>
      </c>
      <c r="KE135" s="59">
        <f t="shared" si="264"/>
        <v>293.33333333334252</v>
      </c>
      <c r="KF135" s="59">
        <f ca="1">AVERAGE(OFFSET($KE$3,0,0,'Données projet'!$E$22+1,1))-AVERAGE(OFFSET($H$3,0,0,'Données projet'!$E$22+1,1))</f>
        <v>193.91714772848269</v>
      </c>
      <c r="KG135" s="59">
        <f t="shared" si="313"/>
        <v>159.20429420478047</v>
      </c>
      <c r="KH135" s="15">
        <f>IF(ISNA(VLOOKUP($A135,'Données projet'!$A$382:$I$402,3,0)),0,VLOOKUP($A135,'Données projet'!$A$382:$I$402,3,0))</f>
        <v>0</v>
      </c>
      <c r="KI135" s="15">
        <f>IF(ISNA(VLOOKUP($A135,'Données projet'!$A$382:$I$402,4,0)),0,VLOOKUP($A135,'Données projet'!$A$382:$I$402,4,0))</f>
        <v>0</v>
      </c>
      <c r="KJ135" s="16">
        <f>IF(ISNA(VLOOKUP($A135,'Données projet'!$A$382:$I$402,5,0)),0%,VLOOKUP($A135,'Données projet'!$A$382:$I$402,5,0)*VLOOKUP('Données projet'!$B$22,Paramètres!$A$1:$I$89,7,0))</f>
        <v>0</v>
      </c>
      <c r="KK135" s="16">
        <f>IF(ISNA(VLOOKUP($A135,'Données projet'!$A$382:$I$402,6,0)),0%,VLOOKUP($A135,'Données projet'!$A$382:$I$402,6,0)*VLOOKUP('Données projet'!$B$22,Paramètres!$A$1:$I$89,7,0))</f>
        <v>0</v>
      </c>
      <c r="KL135" s="16">
        <f>IF(ISNA(VLOOKUP($A135,'Données projet'!$A$382:$I$402,7,0)),0%,VLOOKUP($A135,'Données projet'!$A$382:$I$402,7,0))</f>
        <v>0</v>
      </c>
      <c r="KM135" s="21">
        <f>EXP(-LN(2)/35)*KM134+(1-EXP(-LN(2)/35))/(LN(2)/35)*KI135*KJ135*VLOOKUP('Données projet'!$B$22,Paramètres!$A$1:$I$89,3,0)*0.475*44/12</f>
        <v>153.18178110042291</v>
      </c>
      <c r="KN135" s="21">
        <f>EXP(-LN(2)/25)*KN134+(1-EXP(-LN(2)/25))/(LN(2)/25)*Calculateur!KI135*Calculateur!KK135*VLOOKUP('Données projet'!$B$22,Paramètres!$A$1:$I$89,3,0)*0.475*44/12</f>
        <v>0</v>
      </c>
      <c r="KO135" s="21">
        <f>EXP(-LN(2)/2)*KO134+(1-EXP(-LN(2)/2))/(LN(2)/2)*KI135*KL135*VLOOKUP('Données projet'!$B$22,Paramètres!$A$1:$I$89,3,0)*0.475*44/12</f>
        <v>0</v>
      </c>
      <c r="KP135" s="22">
        <f t="shared" si="265"/>
        <v>153.18178110042291</v>
      </c>
      <c r="KQ135" s="74">
        <f>('Scénario référence'!$F$8+'Scénario référence'!$F$9+'Scénario référence'!$B$17+'Scénario référence'!$B$9+'Scénario référence'!$B$10)*70+IF((45+25*(1-EXP(-0.0175*$A135)))&lt;70,'Scénario référence'!$B$16*(45+25*(1-EXP(-0.0175*$A135))),70*'Scénario référence'!$B$16)+IF((32+38*(1-EXP(-0.0175*$A135)))&lt;70,'Scénario référence'!$B$18*(32+38*(1-EXP(-0.0175*$A135))),70*'Scénario référence'!$B$18)</f>
        <v>70</v>
      </c>
      <c r="KR135" s="12">
        <f>IF($A135&gt;30,10,('Scénario référence'!$B$16+'Scénario référence'!$B$17+'Scénario référence'!$B$18+'Scénario référence'!$B$9+'Scénario référence'!$B$10)*$A135*10/30+('Scénario référence'!$F$8+'Scénario référence'!$F$9)*10)</f>
        <v>10</v>
      </c>
      <c r="KS135" s="12" t="e">
        <f>VLOOKUP($A135,'Données projet'!$A$408:$I$428,2,0)</f>
        <v>#N/A</v>
      </c>
      <c r="KT135" s="12" t="e">
        <f>VLOOKUP($A135,'Données projet'!$A$408:$I$428,9,0)</f>
        <v>#N/A</v>
      </c>
      <c r="KU135" s="12">
        <f t="array" ref="KU135">INDEX(KT:KT,MIN(IF(ISNUMBER(KT135:KT331),ROW(KT135:KT331),"")))</f>
        <v>0</v>
      </c>
      <c r="KV135" s="12">
        <f>IF('Données projet'!$A$408&gt;35,KV134+KU135-LD134,IF($A135&lt;'Données projet'!$A$408,$CQ$205^$A135,IF($A135='Données projet'!$A$408,'Données projet'!$B$408,KV134+KU135-LD134)))</f>
        <v>-1.1368683772161603E-13</v>
      </c>
      <c r="KW135" s="17">
        <f>KV135*VLOOKUP('Données projet'!$B$23,Paramètres!$A$1:$I$89,3,0)*VLOOKUP('Données projet'!$B$23,Paramètres!$A$1:$I$89,5,0)</f>
        <v>-9.9316821433603781E-14</v>
      </c>
      <c r="KX135" s="13" t="e">
        <f t="shared" si="314"/>
        <v>#NUM!</v>
      </c>
      <c r="KY135" s="14" t="e">
        <f t="shared" si="266"/>
        <v>#NUM!</v>
      </c>
      <c r="KZ135" s="59" t="e">
        <f t="shared" si="267"/>
        <v>#NUM!</v>
      </c>
      <c r="LA135" s="59">
        <f ca="1">AVERAGE(OFFSET($KZ$3,0,0,'Données projet'!$E$23+1,1))-AVERAGE(OFFSET($H$3,0,0,'Données projet'!$E$23+1,1))</f>
        <v>248.33596943633819</v>
      </c>
      <c r="LB135" s="59">
        <f t="shared" si="315"/>
        <v>242.34010522344573</v>
      </c>
      <c r="LC135" s="15">
        <f>IF(ISNA(VLOOKUP($A135,'Données projet'!$A$408:$I$428,3,0)),0,VLOOKUP($A135,'Données projet'!$A$408:$I$428,3,0))</f>
        <v>0</v>
      </c>
      <c r="LD135" s="15">
        <f>IF(ISNA(VLOOKUP($A135,'Données projet'!$A$408:$I$428,4,0)),0,VLOOKUP($A135,'Données projet'!$A$408:$I$428,4,0))</f>
        <v>0</v>
      </c>
      <c r="LE135" s="16">
        <f>IF(ISNA(VLOOKUP($A135,'Données projet'!$A$408:$I$428,5,0)),0%,VLOOKUP($A135,'Données projet'!$A$408:$I$428,5,0)*VLOOKUP('Données projet'!$B$23,Paramètres!$A$1:$I$89,7,0))</f>
        <v>0</v>
      </c>
      <c r="LF135" s="16">
        <f>IF(ISNA(VLOOKUP($A135,'Données projet'!$A$408:$I$428,6,0)),0%,VLOOKUP($A135,'Données projet'!$A$408:$I$428,6,0)*VLOOKUP('Données projet'!$B$23,Paramètres!$A$1:$I$89,7,0))</f>
        <v>0</v>
      </c>
      <c r="LG135" s="16">
        <f>IF(ISNA(VLOOKUP($A135,'Données projet'!$A$408:$I$428,7,0)),0%,VLOOKUP($A135,'Données projet'!$A$408:$I$428,7,0))</f>
        <v>0</v>
      </c>
      <c r="LH135" s="21">
        <f>EXP(-LN(2)/35)*LH134+(1-EXP(-LN(2)/35))/(LN(2)/35)*LD135*LE135*VLOOKUP('Données projet'!$B$23,Paramètres!$A$1:$I$89,3,0)*0.475*44/12</f>
        <v>43.998518961291367</v>
      </c>
      <c r="LI135" s="21">
        <f>EXP(-LN(2)/25)*LI134+(1-EXP(-LN(2)/25))/(LN(2)/25)*Calculateur!LD135*Calculateur!LF135*VLOOKUP('Données projet'!$B$23,Paramètres!$A$1:$I$89,3,0)*0.475*44/12</f>
        <v>5.1506000128153957</v>
      </c>
      <c r="LJ135" s="21">
        <f>EXP(-LN(2)/2)*LJ134+(1-EXP(-LN(2)/2))/(LN(2)/2)*LD135*LG135*VLOOKUP('Données projet'!$B$23,Paramètres!$A$1:$I$89,3,0)*0.475*44/12</f>
        <v>0</v>
      </c>
      <c r="LK135" s="22">
        <f t="shared" si="268"/>
        <v>49.149118974106763</v>
      </c>
      <c r="LL135" s="74">
        <f>('Scénario référence'!$F$8+'Scénario référence'!$F$9+'Scénario référence'!$B$17+'Scénario référence'!$B$9+'Scénario référence'!$B$10)*70+IF((45+25*(1-EXP(-0.0175*$A135)))&lt;70,'Scénario référence'!$B$16*(45+25*(1-EXP(-0.0175*$A135))),70*'Scénario référence'!$B$16)+IF((32+38*(1-EXP(-0.0175*$A135)))&lt;70,'Scénario référence'!$B$18*(32+38*(1-EXP(-0.0175*$A135))),70*'Scénario référence'!$B$18)</f>
        <v>70</v>
      </c>
      <c r="LM135" s="12">
        <f>IF($A135&gt;30,10,('Scénario référence'!$B$16+'Scénario référence'!$B$17+'Scénario référence'!$B$18+'Scénario référence'!$B$9+'Scénario référence'!$B$10)*$A135*10/30+('Scénario référence'!$F$8+'Scénario référence'!$F$9)*10)</f>
        <v>10</v>
      </c>
      <c r="LN135" s="12" t="e">
        <f>VLOOKUP($A135,'Données projet'!$A$434:$I$454,2,0)</f>
        <v>#N/A</v>
      </c>
      <c r="LO135" s="12" t="e">
        <f>VLOOKUP($A135,'Données projet'!$A$434:$I$454,9,0)</f>
        <v>#N/A</v>
      </c>
      <c r="LP135" s="12">
        <f t="array" ref="LP135">INDEX(LO:LO,MIN(IF(ISNUMBER(LO135:LO331),ROW(LO135:LO331),"")))</f>
        <v>5.2446581196581219</v>
      </c>
      <c r="LQ135" s="12">
        <f>IF('Données projet'!$A$434&gt;35,LQ134+LP135-LY134,IF($A135&lt;'Données projet'!$A$434,$CQ$205^$A135,IF($A135='Données projet'!$A$434,'Données projet'!$B$434,LQ134+LP135-LY134)))</f>
        <v>266.84722222222177</v>
      </c>
      <c r="LR135" s="17">
        <f>LQ135*VLOOKUP('Données projet'!$B$24,Paramètres!$A$1:$I$89,3,0)*VLOOKUP('Données projet'!$B$24,Paramètres!$A$1:$I$89,5,0)</f>
        <v>270.58308333333292</v>
      </c>
      <c r="LS135" s="13">
        <f t="shared" si="316"/>
        <v>64.972998746573325</v>
      </c>
      <c r="LT135" s="14">
        <f t="shared" si="269"/>
        <v>584.42684295583661</v>
      </c>
      <c r="LU135" s="59">
        <f t="shared" si="270"/>
        <v>877.76017628916998</v>
      </c>
      <c r="LV135" s="59">
        <f ca="1">AVERAGE(OFFSET($LU$3,0,0,'Données projet'!$E$24+1,1))-AVERAGE(OFFSET($H$3,0,0,'Données projet'!$E$24+1,1))</f>
        <v>260.52627655062872</v>
      </c>
      <c r="LW135" s="59">
        <f t="shared" si="317"/>
        <v>159.20429420478047</v>
      </c>
      <c r="LX135" s="15">
        <f>IF(ISNA(VLOOKUP($A135,'Données projet'!$A$434:$I$454,3,0)),0,VLOOKUP($A135,'Données projet'!$A$434:$I$454,3,0))</f>
        <v>0</v>
      </c>
      <c r="LY135" s="15">
        <f>IF(ISNA(VLOOKUP($A135,'Données projet'!$A$434:$I$454,4,0)),0,VLOOKUP($A135,'Données projet'!$A$434:$I$454,4,0))</f>
        <v>0</v>
      </c>
      <c r="LZ135" s="16">
        <f>IF(ISNA(VLOOKUP($A135,'Données projet'!$A$434:$I$454,5,0)),0%,VLOOKUP($A135,'Données projet'!$A$434:$I$454,5,0)*VLOOKUP('Données projet'!$B$24,Paramètres!$A$1:$I$89,7,0))</f>
        <v>0</v>
      </c>
      <c r="MA135" s="16">
        <f>IF(ISNA(VLOOKUP($A135,'Données projet'!$A$434:$I$454,6,0)),0%,VLOOKUP($A135,'Données projet'!$A$434:$I$454,6,0)*VLOOKUP('Données projet'!$B$24,Paramètres!$A$1:$I$89,7,0))</f>
        <v>0</v>
      </c>
      <c r="MB135" s="16">
        <f>IF(ISNA(VLOOKUP($A135,'Données projet'!$A$434:$I$454,7,0)),0%,VLOOKUP($A135,'Données projet'!$A$434:$I$454,7,0))</f>
        <v>0</v>
      </c>
      <c r="MC135" s="21">
        <f>EXP(-LN(2)/35)*MC134+(1-EXP(-LN(2)/35))/(LN(2)/35)*LY135*LZ135*VLOOKUP('Données projet'!$B$24,Paramètres!$A$1:$I$89,3,0)*0.475*44/12</f>
        <v>41.609528623263266</v>
      </c>
      <c r="MD135" s="21">
        <f>EXP(-LN(2)/25)*MD134+(1-EXP(-LN(2)/25))/(LN(2)/25)*Calculateur!LY135*Calculateur!MA135*VLOOKUP('Données projet'!$B$24,Paramètres!$A$1:$I$89,3,0)*0.475*44/12</f>
        <v>0</v>
      </c>
      <c r="ME135" s="21">
        <f>EXP(-LN(2)/2)*ME134+(1-EXP(-LN(2)/2))/(LN(2)/2)*LY135*MB135*VLOOKUP('Données projet'!$B$24,Paramètres!$A$1:$I$89,3,0)*0.475*44/12</f>
        <v>0</v>
      </c>
      <c r="MF135" s="22">
        <f t="shared" si="271"/>
        <v>41.609528623263266</v>
      </c>
      <c r="MG135" s="74">
        <f>('Scénario référence'!$F$8+'Scénario référence'!$F$9+'Scénario référence'!$B$17+'Scénario référence'!$B$9+'Scénario référence'!$B$10)*70+IF((45+25*(1-EXP(-0.0175*$A135)))&lt;70,'Scénario référence'!$B$16*(45+25*(1-EXP(-0.0175*$A135))),70*'Scénario référence'!$B$16)+IF((32+38*(1-EXP(-0.0175*$A135)))&lt;70,'Scénario référence'!$B$18*(32+38*(1-EXP(-0.0175*$A135))),70*'Scénario référence'!$B$18)</f>
        <v>70</v>
      </c>
      <c r="MH135" s="12">
        <f>IF($A135&gt;30,10,('Scénario référence'!$B$16+'Scénario référence'!$B$17+'Scénario référence'!$B$18+'Scénario référence'!$B$9+'Scénario référence'!$B$10)*$A135*10/30+('Scénario référence'!$F$8+'Scénario référence'!$F$9)*10)</f>
        <v>10</v>
      </c>
      <c r="MI135" s="12" t="e">
        <f>VLOOKUP($A135,'Données projet'!$A$460:$I$480,2,0)</f>
        <v>#N/A</v>
      </c>
      <c r="MJ135" s="12" t="e">
        <f>VLOOKUP($A135,'Données projet'!$A$460:$I$480,9,0)</f>
        <v>#N/A</v>
      </c>
      <c r="MK135" s="12">
        <f t="array" ref="MK135">INDEX(MJ:MJ,MIN(IF(ISNUMBER(MJ135:MJ331),ROW(MJ135:MJ331),"")))</f>
        <v>0</v>
      </c>
      <c r="ML135" s="12">
        <f>IF('Données projet'!$A$460&gt;35,ML134+MK135-MT134,IF($A135&lt;'Données projet'!$A$460,$CQ$205^$A135,IF($A135='Données projet'!$A$460,'Données projet'!$B$460,ML134+MK135-MT134)))</f>
        <v>0</v>
      </c>
      <c r="MM135" s="17" t="e">
        <f>ML135*VLOOKUP('Données projet'!$B$25,Paramètres!$A$1:$I$89,3,0)*VLOOKUP('Données projet'!$B$25,Paramètres!$A$1:$I$89,5,0)</f>
        <v>#N/A</v>
      </c>
      <c r="MN135" s="13" t="e">
        <f t="shared" si="318"/>
        <v>#N/A</v>
      </c>
      <c r="MO135" s="14" t="e">
        <f t="shared" si="272"/>
        <v>#N/A</v>
      </c>
      <c r="MP135" s="59" t="e">
        <f t="shared" si="273"/>
        <v>#N/A</v>
      </c>
      <c r="MQ135" s="20" t="e">
        <f ca="1">AVERAGE(OFFSET($MP$3,0,0,'Données projet'!$E$25+1,1))-AVERAGE(OFFSET($H$3,0,0,'Données projet'!$E$25+1,1))</f>
        <v>#N/A</v>
      </c>
      <c r="MR135" s="59" t="e">
        <f t="shared" si="319"/>
        <v>#N/A</v>
      </c>
      <c r="MS135" s="15">
        <f>IF(ISNA(VLOOKUP($A135,'Données projet'!$A$460:$I$480,3,0)),0,VLOOKUP($A135,'Données projet'!$A$460:$I$480,3,0))</f>
        <v>0</v>
      </c>
      <c r="MT135" s="15">
        <f>IF(ISNA(VLOOKUP($A135,'Données projet'!$A$460:$I$480,4,0)),0,VLOOKUP($A135,'Données projet'!$A$460:$I$480,4,0))</f>
        <v>0</v>
      </c>
      <c r="MU135" s="16">
        <f>IF(ISNA(VLOOKUP($A135,'Données projet'!$A$460:$I$480,5,0)),0%,VLOOKUP($A135,'Données projet'!$A$460:$I$480,5,0)*VLOOKUP('Données projet'!$B$25,Paramètres!$A$1:$I$89,7,0))</f>
        <v>0</v>
      </c>
      <c r="MV135" s="16">
        <f>IF(ISNA(VLOOKUP($A135,'Données projet'!$A$460:$I$480,6,0)),0%,VLOOKUP($A135,'Données projet'!$A$460:$I$480,6,0)*VLOOKUP('Données projet'!$B$25,Paramètres!$A$1:$I$89,7,0))</f>
        <v>0</v>
      </c>
      <c r="MW135" s="16">
        <f>IF(ISNA(VLOOKUP($A135,'Données projet'!$A$460:$I$480,7,0)),0%,VLOOKUP($A135,'Données projet'!$A$460:$I$480,7,0))</f>
        <v>0</v>
      </c>
      <c r="MX135" s="21" t="e">
        <f>EXP(-LN(2)/35)*MX134+(1-EXP(-LN(2)/35))/(LN(2)/35)*MT135*MU135*VLOOKUP('Données projet'!$B$25,Paramètres!$A$1:$I$89,3,0)*0.475*44/12</f>
        <v>#N/A</v>
      </c>
      <c r="MY135" s="21" t="e">
        <f>EXP(-LN(2)/25)*MY134+(1-EXP(-LN(2)/25))/(LN(2)/25)*Calculateur!MT135*Calculateur!MV135*VLOOKUP('Données projet'!$B$25,Paramètres!$A$1:$I$89,3,0)*0.475*44/12</f>
        <v>#N/A</v>
      </c>
      <c r="MZ135" s="21" t="e">
        <f>EXP(-LN(2)/2)*MZ134+(1-EXP(-LN(2)/2))/(LN(2)/2)*MT135*MW135*VLOOKUP('Données projet'!$B$25,Paramètres!$A$1:$I$89,3,0)*0.475*44/12</f>
        <v>#N/A</v>
      </c>
      <c r="NA135" s="22" t="e">
        <f t="shared" si="274"/>
        <v>#N/A</v>
      </c>
      <c r="NB135" s="74">
        <f>('Scénario référence'!$F$8+'Scénario référence'!$F$9+'Scénario référence'!$B$17+'Scénario référence'!$B$9+'Scénario référence'!$B$10)*70+IF((45+25*(1-EXP(-0.0175*$A135)))&lt;70,'Scénario référence'!$B$16*(45+25*(1-EXP(-0.0175*$A135))),70*'Scénario référence'!$B$16)+IF((32+38*(1-EXP(-0.0175*$A135)))&lt;70,'Scénario référence'!$B$18*(32+38*(1-EXP(-0.0175*$A135))),70*'Scénario référence'!$B$18)</f>
        <v>70</v>
      </c>
      <c r="NC135" s="12">
        <f>IF($A135&gt;30,10,('Scénario référence'!$B$16+'Scénario référence'!$B$17+'Scénario référence'!$B$18+'Scénario référence'!$B$9+'Scénario référence'!$B$10)*$A135*10/30+('Scénario référence'!$F$8+'Scénario référence'!$F$9)*10)</f>
        <v>10</v>
      </c>
      <c r="ND135" s="12" t="e">
        <f>VLOOKUP($A135,'Données projet'!$A$486:$I$506,2,0)</f>
        <v>#N/A</v>
      </c>
      <c r="NE135" s="12" t="e">
        <f>VLOOKUP($A135,'Données projet'!$A$486:$I$506,9,0)</f>
        <v>#N/A</v>
      </c>
      <c r="NF135" s="12">
        <f t="array" ref="NF135">INDEX(NE:NE,MIN(IF(ISNUMBER(NE135:NE331),ROW(NE135:NE331),"")))</f>
        <v>0</v>
      </c>
      <c r="NG135" s="12">
        <f>IF('Données projet'!$A$486&gt;35,NG134+NF135-NO134,IF($A135&lt;'Données projet'!$A$486,$CQ$205^$A135,IF($A135='Données projet'!$A$486,'Données projet'!$B$486,NG134+NF135-NO134)))</f>
        <v>0</v>
      </c>
      <c r="NH135" s="17" t="e">
        <f>NG135*VLOOKUP('Données projet'!$B$26,Paramètres!$A$1:$I$89,3,0)*VLOOKUP('Données projet'!$B$26,Paramètres!$A$1:$I$89,5,0)</f>
        <v>#N/A</v>
      </c>
      <c r="NI135" s="13" t="e">
        <f t="shared" si="320"/>
        <v>#N/A</v>
      </c>
      <c r="NJ135" s="14" t="e">
        <f t="shared" si="275"/>
        <v>#N/A</v>
      </c>
      <c r="NK135" s="59" t="e">
        <f t="shared" si="276"/>
        <v>#N/A</v>
      </c>
      <c r="NL135" s="20" t="e">
        <f ca="1">AVERAGE(OFFSET($NK$3,0,0,'Données projet'!$E$26+1,1))-AVERAGE(OFFSET($H$3,0,0,'Données projet'!$E$26+1,1))</f>
        <v>#N/A</v>
      </c>
      <c r="NM135" s="59" t="e">
        <f t="shared" si="321"/>
        <v>#N/A</v>
      </c>
      <c r="NN135" s="15">
        <f>IF(ISNA(VLOOKUP($A135,'Données projet'!$A$486:$I$506,3,0)),0,VLOOKUP($A135,'Données projet'!$A$486:$I$506,3,0))</f>
        <v>0</v>
      </c>
      <c r="NO135" s="15">
        <f>IF(ISNA(VLOOKUP($A135,'Données projet'!$A$486:$I$506,4,0)),0,VLOOKUP($A135,'Données projet'!$A$486:$I$506,4,0))</f>
        <v>0</v>
      </c>
      <c r="NP135" s="16">
        <f>IF(ISNA(VLOOKUP($A135,'Données projet'!$A$486:$I$506,5,0)),0%,VLOOKUP($A135,'Données projet'!$A$486:$I$506,5,0)*VLOOKUP('Données projet'!$B$26,Paramètres!$A$1:$I$89,7,0))</f>
        <v>0</v>
      </c>
      <c r="NQ135" s="16">
        <f>IF(ISNA(VLOOKUP($A135,'Données projet'!$A$486:$I$506,6,0)),0%,VLOOKUP($A135,'Données projet'!$A$486:$I$506,6,0)*VLOOKUP('Données projet'!$B$26,Paramètres!$A$1:$I$89,7,0))</f>
        <v>0</v>
      </c>
      <c r="NR135" s="16">
        <f>IF(ISNA(VLOOKUP($A135,'Données projet'!$A$486:$I$506,7,0)),0%,VLOOKUP($A135,'Données projet'!$A$486:$I$506,7,0))</f>
        <v>0</v>
      </c>
      <c r="NS135" s="21" t="e">
        <f>EXP(-LN(2)/35)*NS134+(1-EXP(-LN(2)/35))/(LN(2)/35)*NO135*NP135*VLOOKUP('Données projet'!$B$26,Paramètres!$A$1:$I$89,3,0)*0.475*44/12</f>
        <v>#N/A</v>
      </c>
      <c r="NT135" s="21" t="e">
        <f>EXP(-LN(2)/25)*NT134+(1-EXP(-LN(2)/25))/(LN(2)/25)*Calculateur!NO135*Calculateur!NQ135*VLOOKUP('Données projet'!$B$26,Paramètres!$A$1:$I$89,3,0)*0.475*44/12</f>
        <v>#N/A</v>
      </c>
      <c r="NU135" s="21" t="e">
        <f>EXP(-LN(2)/2)*NU134+(1-EXP(-LN(2)/2))/(LN(2)/2)*NO135*NR135*VLOOKUP('Données projet'!$B$26,Paramètres!$A$1:$I$89,3,0)*0.475*44/12</f>
        <v>#N/A</v>
      </c>
      <c r="NV135" s="22" t="e">
        <f t="shared" si="277"/>
        <v>#N/A</v>
      </c>
      <c r="NW135" s="74">
        <f>('Scénario référence'!$F$8+'Scénario référence'!$F$9+'Scénario référence'!$B$17+'Scénario référence'!$B$9+'Scénario référence'!$B$10)*70+IF((45+25*(1-EXP(-0.0175*$A135)))&lt;70,'Scénario référence'!$B$16*(45+25*(1-EXP(-0.0175*$A135))),70*'Scénario référence'!$B$16)+IF((32+38*(1-EXP(-0.0175*$A135)))&lt;70,'Scénario référence'!$B$18*(32+38*(1-EXP(-0.0175*$A135))),70*'Scénario référence'!$B$18)</f>
        <v>70</v>
      </c>
      <c r="NX135" s="12">
        <f>IF($A135&gt;30,10,('Scénario référence'!$B$16+'Scénario référence'!$B$17+'Scénario référence'!$B$18+'Scénario référence'!$B$9+'Scénario référence'!$B$10)*$A135*10/30+('Scénario référence'!$F$8+'Scénario référence'!$F$9)*10)</f>
        <v>10</v>
      </c>
      <c r="NY135" s="12" t="e">
        <f>VLOOKUP($A135,'Données projet'!$A$512:$I$532,2,0)</f>
        <v>#N/A</v>
      </c>
      <c r="NZ135" s="12" t="e">
        <f>VLOOKUP($A135,'Données projet'!$A$512:$I$532,9,0)</f>
        <v>#N/A</v>
      </c>
      <c r="OA135" s="12">
        <f t="array" ref="OA135">INDEX(NZ:NZ,MIN(IF(ISNUMBER(NZ135:NZ331),ROW(NZ135:NZ331),"")))</f>
        <v>0</v>
      </c>
      <c r="OB135" s="12">
        <f>IF('Données projet'!$A$512&gt;35,OB134+OA135-OJ134,IF($A135&lt;'Données projet'!$A$512,$CQ$205^$A135,IF($A135='Données projet'!$A$512,'Données projet'!$B$512,OB134+OA135-OJ134)))</f>
        <v>0</v>
      </c>
      <c r="OC135" s="17" t="e">
        <f>OB135*VLOOKUP('Données projet'!$B$27,Paramètres!$A$1:$I$89,3,0)*VLOOKUP('Données projet'!$B$27,Paramètres!$A$1:$I$89,5,0)</f>
        <v>#N/A</v>
      </c>
      <c r="OD135" s="13" t="e">
        <f t="shared" si="322"/>
        <v>#N/A</v>
      </c>
      <c r="OE135" s="14" t="e">
        <f t="shared" si="278"/>
        <v>#N/A</v>
      </c>
      <c r="OF135" s="59" t="e">
        <f t="shared" si="279"/>
        <v>#N/A</v>
      </c>
      <c r="OG135" s="20" t="e">
        <f ca="1">AVERAGE(OFFSET($OF$3,0,0,'Données projet'!$E$27+1,1))-AVERAGE(OFFSET($H$3,0,0,'Données projet'!$E$27+1,1))</f>
        <v>#N/A</v>
      </c>
      <c r="OH135" s="59" t="e">
        <f t="shared" si="323"/>
        <v>#N/A</v>
      </c>
      <c r="OI135" s="15">
        <f>IF(ISNA(VLOOKUP($A135,'Données projet'!$A$512:$I$532,3,0)),0,VLOOKUP($A135,'Données projet'!$A$512:$I$532,3,0))</f>
        <v>0</v>
      </c>
      <c r="OJ135" s="15">
        <f>IF(ISNA(VLOOKUP($A135,'Données projet'!$A$512:$I$532,4,0)),0,VLOOKUP($A135,'Données projet'!$A$512:$I$532,4,0))</f>
        <v>0</v>
      </c>
      <c r="OK135" s="16">
        <f>IF(ISNA(VLOOKUP($A135,'Données projet'!$A$512:$I$532,5,0)),0%,VLOOKUP($A135,'Données projet'!$A$512:$I$532,5,0)*VLOOKUP('Données projet'!$B$27,Paramètres!$A$1:$I$89,7,0))</f>
        <v>0</v>
      </c>
      <c r="OL135" s="16">
        <f>IF(ISNA(VLOOKUP($A135,'Données projet'!$A$512:$I$532,6,0)),0%,VLOOKUP($A135,'Données projet'!$A$512:$I$532,6,0)*VLOOKUP('Données projet'!$B$27,Paramètres!$A$1:$I$89,7,0))</f>
        <v>0</v>
      </c>
      <c r="OM135" s="16">
        <f>IF(ISNA(VLOOKUP($A135,'Données projet'!$A$512:$I$532,7,0)),0%,VLOOKUP($A135,'Données projet'!$A$512:$I$532,7,0))</f>
        <v>0</v>
      </c>
      <c r="ON135" s="21" t="e">
        <f>EXP(-LN(2)/35)*ON134+(1-EXP(-LN(2)/35))/(LN(2)/35)*OJ135*OK135*VLOOKUP('Données projet'!$B$27,Paramètres!$A$1:$I$89,3,0)*0.475*44/12</f>
        <v>#N/A</v>
      </c>
      <c r="OO135" s="21" t="e">
        <f>EXP(-LN(2)/25)*OO134+(1-EXP(-LN(2)/25))/(LN(2)/25)*Calculateur!OJ135*Calculateur!OL135*VLOOKUP('Données projet'!$B$27,Paramètres!$A$1:$I$89,3,0)*0.475*44/12</f>
        <v>#N/A</v>
      </c>
      <c r="OP135" s="21" t="e">
        <f>EXP(-LN(2)/2)*OP134+(1-EXP(-LN(2)/2))/(LN(2)/2)*OJ135*OM135*VLOOKUP('Données projet'!$B$27,Paramètres!$A$1:$I$89,3,0)*0.475*44/12</f>
        <v>#N/A</v>
      </c>
      <c r="OQ135" s="22" t="e">
        <f t="shared" si="280"/>
        <v>#N/A</v>
      </c>
      <c r="OR135" s="74">
        <f>('Scénario référence'!$F$8+'Scénario référence'!$F$9+'Scénario référence'!$B$17+'Scénario référence'!$B$9+'Scénario référence'!$B$10)*70+IF((45+25*(1-EXP(-0.0175*$A135)))&lt;70,'Scénario référence'!$B$16*(45+25*(1-EXP(-0.0175*$A135))),70*'Scénario référence'!$B$16)+IF((32+38*(1-EXP(-0.0175*$A135)))&lt;70,'Scénario référence'!$B$18*(32+38*(1-EXP(-0.0175*$A135))),70*'Scénario référence'!$B$18)</f>
        <v>70</v>
      </c>
      <c r="OS135" s="12">
        <f>IF($A135&gt;30,10,('Scénario référence'!$B$16+'Scénario référence'!$B$17+'Scénario référence'!$B$18+'Scénario référence'!$B$9+'Scénario référence'!$B$10)*$A135*10/30+('Scénario référence'!$F$8+'Scénario référence'!$F$9)*10)</f>
        <v>10</v>
      </c>
      <c r="OT135" s="12" t="e">
        <f>VLOOKUP($A135,'Données projet'!$A$538:$I$558,2,0)</f>
        <v>#N/A</v>
      </c>
      <c r="OU135" s="12" t="e">
        <f>VLOOKUP($A135,'Données projet'!$A$538:$I$558,9,0)</f>
        <v>#N/A</v>
      </c>
      <c r="OV135" s="12">
        <f t="array" ref="OV135">INDEX(OU:OU,MIN(IF(ISNUMBER(OU135:OU331),ROW(OU135:OU331),"")))</f>
        <v>0</v>
      </c>
      <c r="OW135" s="12">
        <f>IF('Données projet'!$A$538&gt;35,OW134+OV135-PE134,IF($A135&lt;'Données projet'!$A$538,$CQ$205^$A135,IF($A135='Données projet'!$A$538,'Données projet'!$B$538,OW134+OV135-PE134)))</f>
        <v>0</v>
      </c>
      <c r="OX135" s="17" t="e">
        <f>OW135*VLOOKUP('Données projet'!$B$28,Paramètres!$A$1:$I$89,3,0)*VLOOKUP('Données projet'!$B$28,Paramètres!$A$1:$I$89,5,0)</f>
        <v>#N/A</v>
      </c>
      <c r="OY135" s="13" t="e">
        <f t="shared" si="324"/>
        <v>#N/A</v>
      </c>
      <c r="OZ135" s="14" t="e">
        <f t="shared" si="281"/>
        <v>#N/A</v>
      </c>
      <c r="PA135" s="59" t="e">
        <f t="shared" si="282"/>
        <v>#N/A</v>
      </c>
      <c r="PB135" s="20" t="e">
        <f ca="1">AVERAGE(OFFSET($PA$3,0,0,'Données projet'!$E$28+1,1))-AVERAGE(OFFSET($H$3,0,0,'Données projet'!$E$28+1,1))</f>
        <v>#N/A</v>
      </c>
      <c r="PC135" s="59" t="e">
        <f t="shared" si="325"/>
        <v>#N/A</v>
      </c>
      <c r="PD135" s="15">
        <f>IF(ISNA(VLOOKUP($A135,'Données projet'!$A$538:$I$558,3,0)),0,VLOOKUP($A135,'Données projet'!$A$538:$I$558,3,0))</f>
        <v>0</v>
      </c>
      <c r="PE135" s="15">
        <f>IF(ISNA(VLOOKUP($A135,'Données projet'!$A$538:$I$558,4,0)),0,VLOOKUP($A135,'Données projet'!$A$538:$I$558,4,0))</f>
        <v>0</v>
      </c>
      <c r="PF135" s="16">
        <f>IF(ISNA(VLOOKUP($A135,'Données projet'!$A$538:$I$558,5,0)),0%,VLOOKUP($A135,'Données projet'!$A$538:$I$558,5,0)*VLOOKUP('Données projet'!$B$28,Paramètres!$A$1:$I$89,7,0))</f>
        <v>0</v>
      </c>
      <c r="PG135" s="16">
        <f>IF(ISNA(VLOOKUP($A135,'Données projet'!$A$538:$I$558,6,0)),0%,VLOOKUP($A135,'Données projet'!$A$538:$I$558,6,0)*VLOOKUP('Données projet'!$B$28,Paramètres!$A$1:$I$89,7,0))</f>
        <v>0</v>
      </c>
      <c r="PH135" s="16">
        <f>IF(ISNA(VLOOKUP($A135,'Données projet'!$A$538:$I$558,7,0)),0%,VLOOKUP($A135,'Données projet'!$A$538:$I$558,7,0))</f>
        <v>0</v>
      </c>
      <c r="PI135" s="21" t="e">
        <f>EXP(-LN(2)/35)*PI134+(1-EXP(-LN(2)/35))/(LN(2)/35)*PE135*PF135*VLOOKUP('Données projet'!$B$28,Paramètres!$A$1:$I$89,3,0)*0.475*44/12</f>
        <v>#N/A</v>
      </c>
      <c r="PJ135" s="21" t="e">
        <f>EXP(-LN(2)/25)*PJ134+(1-EXP(-LN(2)/25))/(LN(2)/25)*Calculateur!PE135*Calculateur!PG135*VLOOKUP('Données projet'!$B$28,Paramètres!$A$1:$I$89,3,0)*0.475*44/12</f>
        <v>#N/A</v>
      </c>
      <c r="PK135" s="21" t="e">
        <f>EXP(-LN(2)/2)*PK134+(1-EXP(-LN(2)/2))/(LN(2)/2)*PE135*PH135*VLOOKUP('Données projet'!$B$28,Paramètres!$A$1:$I$89,3,0)*0.475*44/12</f>
        <v>#N/A</v>
      </c>
      <c r="PL135" s="22" t="e">
        <f t="shared" si="283"/>
        <v>#N/A</v>
      </c>
    </row>
    <row r="136" spans="1:428" x14ac:dyDescent="0.35">
      <c r="A136" s="10">
        <f t="shared" si="284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285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225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projet'!$A$45:$I$65,2,0)</f>
        <v>#N/A</v>
      </c>
      <c r="L136" s="12" t="e">
        <f>VLOOKUP(A136,'Données projet'!$A$45:$I$65,9,0)</f>
        <v>#N/A</v>
      </c>
      <c r="M136" s="12">
        <f t="array" ref="M136">INDEX(L:L,MIN(IF(ISNUMBER(L136:L332),ROW(L136:L332),"")))</f>
        <v>0</v>
      </c>
      <c r="N136" s="13">
        <f>IF('Données projet'!$A$46&gt;35,N135+M136-V135,IF(A136&lt;'Données projet'!$A$46,$K$205^A136,IF(A136='Données projet'!$A$46,'Données projet'!$B$46,N135+M136-V135)))</f>
        <v>-1.1368683772161603E-13</v>
      </c>
      <c r="O136" s="13">
        <f>N136*VLOOKUP('Données projet'!$B$9,Paramètres!$A$1:$I$89,3,0)*VLOOKUP('Données projet'!$B$9,Paramètres!$A$1:$I$89,5,0)</f>
        <v>-6.3550942286383367E-14</v>
      </c>
      <c r="P136" s="13" t="e">
        <f t="shared" si="286"/>
        <v>#NUM!</v>
      </c>
      <c r="Q136" s="20" t="e">
        <f t="shared" si="223"/>
        <v>#NUM!</v>
      </c>
      <c r="R136" s="59" t="e">
        <f t="shared" si="224"/>
        <v>#NUM!</v>
      </c>
      <c r="S136" s="59">
        <f ca="1">AVERAGE(OFFSET($R$3,0,0,'Données projet'!$E$9+1,1))-AVERAGE(OFFSET($H$3,0,0,'Données projet'!$E$9+1,1))</f>
        <v>274.57619581652199</v>
      </c>
      <c r="T136" s="59">
        <f t="shared" si="287"/>
        <v>366.15117322598775</v>
      </c>
      <c r="U136" s="15">
        <f>IF(ISNA(VLOOKUP(A136,'Données projet'!$A$45:$I$65,3,0)),0,VLOOKUP(A136,'Données projet'!$A$45:$I$65,3,0))</f>
        <v>0</v>
      </c>
      <c r="V136" s="15">
        <f>IF(ISNA(VLOOKUP(A136,'Données projet'!$A$45:$I$65,4,0)),0,VLOOKUP(A136,'Données projet'!$A$45:$I$65,4,0))</f>
        <v>0</v>
      </c>
      <c r="W136" s="16">
        <f>IF(ISNA(VLOOKUP(A136,'Données projet'!$A$45:$I$65,5,0)),0%,VLOOKUP(A136,'Données projet'!$A$45:$I$65,5,0)*VLOOKUP('Données projet'!$B$9,Paramètres!$A$1:$I$89,7,0))</f>
        <v>0</v>
      </c>
      <c r="X136" s="16">
        <f>IF(ISNA(VLOOKUP(A136,'Données projet'!$A$45:$I$65,6,0)),0%,VLOOKUP(A136,'Données projet'!$A$45:$I$65,6,0)*VLOOKUP('Données projet'!$B$9,Paramètres!$A$1:$I$89,7,0))</f>
        <v>0</v>
      </c>
      <c r="Y136" s="16">
        <f>IF(ISNA(VLOOKUP(A136,'Données projet'!$A$45:$I$65,7,0)),0%,VLOOKUP(A136,'Données projet'!$A$45:$I$65,7,0))</f>
        <v>0</v>
      </c>
      <c r="Z136" s="21">
        <f>EXP(-LN(2)/35)*Z135+(1-EXP(-LN(2)/35))/(LN(2)/35)*V136*W136*VLOOKUP('Données projet'!$B$9,Paramètres!$A$1:$I$89,3,0)*0.475*44/12</f>
        <v>48.36179878420338</v>
      </c>
      <c r="AA136" s="21">
        <f>EXP(-LN(2)/25)*AA135+(1-EXP(-LN(2)/25))/(LN(2)/25)*Calculateur!V136*Calculateur!X136*VLOOKUP('Données projet'!$B$9,Paramètres!$A$1:$I$89,3,0)*0.475*44/12</f>
        <v>6.626234509300402</v>
      </c>
      <c r="AB136" s="21">
        <f>EXP(-LN(2)/2)*AB135+(1-EXP(-LN(2)/2))/(LN(2)/2)*V136*Y136*VLOOKUP('Données projet'!$B$9,Paramètres!$A$1:$I$89,3,0)*0.475*44/12</f>
        <v>6.2139049994789226E-11</v>
      </c>
      <c r="AC136" s="22">
        <f t="shared" si="226"/>
        <v>54.98803329356592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projet'!$A$71:$I$91,2,0)</f>
        <v>#N/A</v>
      </c>
      <c r="AG136" s="12" t="e">
        <f>VLOOKUP(A136,'Données projet'!$A$71:$I$91,9,0)</f>
        <v>#N/A</v>
      </c>
      <c r="AH136" s="12">
        <f t="array" ref="AH136">INDEX(AG:AG,MIN(IF(ISNUMBER(AG136:AG332),ROW(AG136:AG332),"")))</f>
        <v>0</v>
      </c>
      <c r="AI136" s="13">
        <f>IF('Données projet'!$A$72&gt;35,AI135+AH136-AQ135,IF(A136&lt;'Données projet'!$A$72,$AF$205^A136,IF(A136='Données projet'!$A$72,'Données projet'!$B$72,AI135+AH136-AQ135)))</f>
        <v>5.6843418860808015E-13</v>
      </c>
      <c r="AJ136" s="13">
        <f>AI136*VLOOKUP('Données projet'!$B$10,Paramètres!$A$1:$I$89,3,0)*VLOOKUP('Données projet'!$B$10,Paramètres!$A$1:$I$89,5,0)</f>
        <v>5.1431925385259092E-13</v>
      </c>
      <c r="AK136" s="13">
        <f t="shared" si="288"/>
        <v>6.3855359115685756E-12</v>
      </c>
      <c r="AL136" s="20">
        <f t="shared" si="227"/>
        <v>1.2017247746441865E-11</v>
      </c>
      <c r="AM136" s="59">
        <f t="shared" si="228"/>
        <v>293.33333333334531</v>
      </c>
      <c r="AN136" s="59">
        <f ca="1">AVERAGE(OFFSET($AM$3,0,0,'Données projet'!$E$10+1,1))-AVERAGE(OFFSET($H$3,0,0,'Données projet'!$E$10+1,1))</f>
        <v>270.87836509222456</v>
      </c>
      <c r="AO136" s="59">
        <f t="shared" si="289"/>
        <v>205.24998237949734</v>
      </c>
      <c r="AP136" s="15">
        <f>IF(ISNA(VLOOKUP(A136,'Données projet'!$A$71:$I$91,3,0)),0,VLOOKUP(A136,'Données projet'!$A$71:$I$91,3,0))</f>
        <v>0</v>
      </c>
      <c r="AQ136" s="15">
        <f>IF(ISNA(VLOOKUP(A136,'Données projet'!$A$71:$I$91,4,0)),0,VLOOKUP(A136,'Données projet'!$A$71:$I$91,4,0))</f>
        <v>0</v>
      </c>
      <c r="AR136" s="16">
        <f>IF(ISNA(VLOOKUP(A136,'Données projet'!$A$71:$I$91,5,0)),0%,VLOOKUP(A136,'Données projet'!$A$71:$I$91,5,0)*VLOOKUP('Données projet'!$B$10,Paramètres!$A$1:$I$89,7,0))</f>
        <v>0</v>
      </c>
      <c r="AS136" s="16">
        <f>IF(ISNA(VLOOKUP(A136,'Données projet'!$A$71:$I$91,6,0)),0%,VLOOKUP(A136,'Données projet'!$A$71:$I$91,6,0)*VLOOKUP('Données projet'!$B$10,Paramètres!$A$1:$I$89,7,0))</f>
        <v>0</v>
      </c>
      <c r="AT136" s="16">
        <f>IF(ISNA(VLOOKUP(A136,'Données projet'!$A$71:$I$91,7,0)),0%,VLOOKUP(A136,'Données projet'!$A$71:$I$91,7,0))</f>
        <v>0</v>
      </c>
      <c r="AU136" s="21">
        <f>EXP(-LN(2)/35)*AU135+(1-EXP(-LN(2)/35))/(LN(2)/35)*AQ136*AR136*VLOOKUP('Données projet'!$B$10,Paramètres!$A$1:$I$89,3,0)*0.475*44/12</f>
        <v>164.34571374854451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229"/>
        <v>164.34571374854451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projet'!$A$97:$I$117,2,0)</f>
        <v>#N/A</v>
      </c>
      <c r="BB136" s="12" t="e">
        <f>VLOOKUP(A136,'Données projet'!$A$97:$I$117,9,0)</f>
        <v>#N/A</v>
      </c>
      <c r="BC136" s="12">
        <f t="array" ref="BC136">INDEX(BB:BB,MIN(IF(ISNUMBER(BB136:BB332),ROW(BB136:BB332),"")))</f>
        <v>0</v>
      </c>
      <c r="BD136" s="12">
        <f>IF('Données projet'!$A$98&gt;35,BD135+BC136-BL135,IF(A136&lt;'Données projet'!$A$98,$BA$205^A136,IF(A136='Données projet'!$A$98,'Données projet'!$B$98,BD135+BC136-BL135)))</f>
        <v>-1.1368683772161603E-13</v>
      </c>
      <c r="BE136" s="13">
        <f>BD136*VLOOKUP('Données projet'!$B$11,Paramètres!$A$1:$I$89,3,0)*VLOOKUP('Données projet'!$B$11,Paramètres!$A$1:$I$89,5,0)</f>
        <v>-5.0249582272954292E-14</v>
      </c>
      <c r="BF136" s="13" t="e">
        <f t="shared" si="290"/>
        <v>#NUM!</v>
      </c>
      <c r="BG136" s="20" t="e">
        <f t="shared" si="230"/>
        <v>#NUM!</v>
      </c>
      <c r="BH136" s="59" t="e">
        <f t="shared" si="231"/>
        <v>#NUM!</v>
      </c>
      <c r="BI136" s="59">
        <f ca="1">AVERAGE(OFFSET($BH$3,0,0,'Données projet'!$E$11+1,1))-AVERAGE(OFFSET($H$3,0,0,'Données projet'!$E$11+1,1))</f>
        <v>211.31057120485542</v>
      </c>
      <c r="BJ136" s="59">
        <f t="shared" si="291"/>
        <v>283.33292006714777</v>
      </c>
      <c r="BK136" s="15">
        <f>IF(ISNA(VLOOKUP(A136,'Données projet'!$A$97:$I$117,3,0)),0,VLOOKUP(A136,'Données projet'!$A$97:$I$117,3,0))</f>
        <v>0</v>
      </c>
      <c r="BL136" s="15">
        <f>IF(ISNA(VLOOKUP(A136,'Données projet'!$A$97:$I$117,4,0)),0,VLOOKUP(A136,'Données projet'!$A$97:$I$117,4,0))</f>
        <v>0</v>
      </c>
      <c r="BM136" s="16">
        <f>IF(ISNA(VLOOKUP(A136,'Données projet'!$A$97:$I$117,5,0)),0%,VLOOKUP(A136,'Données projet'!$A$97:$I$117,5,0)*VLOOKUP('Données projet'!$B$11,Paramètres!$A$1:$I$89,7,0))</f>
        <v>0</v>
      </c>
      <c r="BN136" s="16">
        <f>IF(ISNA(VLOOKUP(A136,'Données projet'!$A$97:$I$117,6,0)),0%,VLOOKUP(A136,'Données projet'!$A$97:$I$117,6,0)*VLOOKUP('Données projet'!$B$11,Paramètres!$A$1:$I$89,7,0))</f>
        <v>0</v>
      </c>
      <c r="BO136" s="16">
        <f>IF(ISNA(VLOOKUP(A136,'Données projet'!$A$97:$I$117,7,0)),0%,VLOOKUP(A136,'Données projet'!$A$97:$I$117,7,0))</f>
        <v>0</v>
      </c>
      <c r="BP136" s="21">
        <f>EXP(-LN(2)/35)*BP135+(1-EXP(-LN(2)/35))/(LN(2)/35)*BL136*BM136*VLOOKUP('Données projet'!$B$11,Paramètres!$A$1:$I$89,3,0)*0.475*44/12</f>
        <v>38.239561829370132</v>
      </c>
      <c r="BQ136" s="21">
        <f>EXP(-LN(2)/25)*BQ135+(1-EXP(-LN(2)/25))/(LN(2)/25)*Calculateur!BL136*Calculateur!BN136*VLOOKUP('Données projet'!$B$11,Paramètres!$A$1:$I$89,3,0)*0.475*44/12</f>
        <v>5.2393482166561292</v>
      </c>
      <c r="BR136" s="21">
        <f>EXP(-LN(2)/2)*BR135+(1-EXP(-LN(2)/2))/(LN(2)/2)*BL136*BO136*VLOOKUP('Données projet'!$B$11,Paramètres!$A$1:$I$89,3,0)*0.475*44/12</f>
        <v>4.9133202321461239E-11</v>
      </c>
      <c r="BS136" s="22">
        <f t="shared" si="232"/>
        <v>43.478910046075391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projet'!$A$123:$I$143,2,0)</f>
        <v>#N/A</v>
      </c>
      <c r="BW136" s="12" t="e">
        <f>VLOOKUP(A136,'Données projet'!$A$123:$I$143,9,0)</f>
        <v>#N/A</v>
      </c>
      <c r="BX136" s="12">
        <f t="array" ref="BX136">INDEX(BW:BW,MIN(IF(ISNUMBER(BW136:BW332),ROW(BW136:BW332),"")))</f>
        <v>0</v>
      </c>
      <c r="BY136" s="12">
        <f>IF('Données projet'!$A$124&gt;35,BY135+BX136-CG135,IF(A136&lt;'Données projet'!$A$124,$BV$205^A136,IF(A136='Données projet'!$A$124,'Données projet'!$B$124,BY135+BX136-CG135)))</f>
        <v>0</v>
      </c>
      <c r="BZ136" s="13">
        <f>BY136*VLOOKUP('Données projet'!$B$12,Paramètres!$A$1:$I$89,3,0)*VLOOKUP('Données projet'!$B$12,Paramètres!$A$1:$I$89,5,0)</f>
        <v>0</v>
      </c>
      <c r="CA136" s="13" t="e">
        <f t="shared" si="292"/>
        <v>#NUM!</v>
      </c>
      <c r="CB136" s="20" t="e">
        <f t="shared" si="233"/>
        <v>#NUM!</v>
      </c>
      <c r="CC136" s="59" t="e">
        <f t="shared" si="234"/>
        <v>#NUM!</v>
      </c>
      <c r="CD136" s="59">
        <f ca="1">AVERAGE(OFFSET($CC$3,0,0,'Données projet'!$E$12+1,1))-AVERAGE(OFFSET($H$3,0,0,'Données projet'!$E$12+1,1))</f>
        <v>322.93502595881938</v>
      </c>
      <c r="CE136" s="59">
        <f t="shared" si="293"/>
        <v>302.67072119588164</v>
      </c>
      <c r="CF136" s="15">
        <f>IF(ISNA(VLOOKUP(A136,'Données projet'!$A$123:$I$143,3,0)),0,VLOOKUP(A136,'Données projet'!$A$123:$I$143,3,0))</f>
        <v>0</v>
      </c>
      <c r="CG136" s="15">
        <f>IF(ISNA(VLOOKUP(A136,'Données projet'!$A$123:$I$143,4,0)),0,VLOOKUP(A136,'Données projet'!$A$123:$I$143,4,0))</f>
        <v>0</v>
      </c>
      <c r="CH136" s="16">
        <f>IF(ISNA(VLOOKUP(A136,'Données projet'!$A$123:$I$143,5,0)),0%,VLOOKUP(A136,'Données projet'!$A$123:$I$143,5,0)*VLOOKUP('Données projet'!$B$12,Paramètres!$A$1:$I$89,7,0))</f>
        <v>0</v>
      </c>
      <c r="CI136" s="16">
        <f>IF(ISNA(VLOOKUP(A136,'Données projet'!$A$123:$I$143,6,0)),0%,VLOOKUP(A136,'Données projet'!$A$123:$I$143,6,0)*VLOOKUP('Données projet'!$B$12,Paramètres!$A$1:$I$89,7,0))</f>
        <v>0</v>
      </c>
      <c r="CJ136" s="16">
        <f>IF(ISNA(VLOOKUP(A136,'Données projet'!$A$123:$I$143,7,0)),0%,VLOOKUP(A136,'Données projet'!$A$123:$I$143,7,0))</f>
        <v>0</v>
      </c>
      <c r="CK136" s="21">
        <f>EXP(-LN(2)/35)*CK135+(1-EXP(-LN(2)/35))/(LN(2)/35)*CG136*CH136*VLOOKUP('Données projet'!$B$12,Paramètres!$A$1:$I$89,3,0)*0.475*44/12</f>
        <v>60.924861980582058</v>
      </c>
      <c r="CL136" s="21">
        <f>EXP(-LN(2)/25)*CL135+(1-EXP(-LN(2)/25))/(LN(2)/25)*Calculateur!CG136*Calculateur!CI136*VLOOKUP('Données projet'!$B$12,Paramètres!$A$1:$I$89,3,0)*0.475*44/12</f>
        <v>16.769084303142321</v>
      </c>
      <c r="CM136" s="21">
        <f>EXP(-LN(2)/2)*CM135+(1-EXP(-LN(2)/2))/(LN(2)/2)*CG136*CJ136*VLOOKUP('Données projet'!$B$12,Paramètres!$A$1:$I$89,3,0)*0.475*44/12</f>
        <v>0</v>
      </c>
      <c r="CN136" s="22">
        <f t="shared" si="235"/>
        <v>77.693946283724387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projet'!$A$149:$I$169,2,0)</f>
        <v>#N/A</v>
      </c>
      <c r="CR136" s="12" t="e">
        <f>VLOOKUP(A136,'Données projet'!$A$149:$I$169,9,0)</f>
        <v>#N/A</v>
      </c>
      <c r="CS136" s="12">
        <f t="array" ref="CS136">INDEX(CR:CR,MIN(IF(ISNUMBER(CR136:CR332),ROW(CR136:CR332),"")))</f>
        <v>5.2446581196581219</v>
      </c>
      <c r="CT136" s="12">
        <f>IF('Données projet'!$A$150&gt;35,CT135+CS136-DB135,IF(A136&lt;'Données projet'!$A$150,$CQ$205^A136,IF(A136='Données projet'!$A$150,'Données projet'!$B$150,CT135+CS136-DB135)))</f>
        <v>272.09188034187991</v>
      </c>
      <c r="CU136" s="17">
        <f>CT136*VLOOKUP('Données projet'!$B$13,Paramètres!$A$1:$I$89,3,0)*VLOOKUP('Données projet'!$B$13,Paramètres!$A$1:$I$89,5,0)</f>
        <v>275.90116666666626</v>
      </c>
      <c r="CV136" s="13">
        <f t="shared" si="294"/>
        <v>66.100065539585671</v>
      </c>
      <c r="CW136" s="20">
        <f t="shared" si="236"/>
        <v>595.65214609255543</v>
      </c>
      <c r="CX136" s="59">
        <f t="shared" si="237"/>
        <v>888.9854794258888</v>
      </c>
      <c r="CY136" s="59">
        <f ca="1">AVERAGE(OFFSET($CX$3,0,0,'Données projet'!$E$13+1,1))-AVERAGE(OFFSET($H$3,0,0,'Données projet'!$E$13+1,1))</f>
        <v>250.31277422753283</v>
      </c>
      <c r="CZ136" s="59">
        <f t="shared" si="295"/>
        <v>159.20429420478047</v>
      </c>
      <c r="DA136" s="15">
        <f>IF(ISNA(VLOOKUP(A136,'Données projet'!$A$149:$I$169,3,0)),0,VLOOKUP(A136,'Données projet'!$A$149:$I$169,3,0))</f>
        <v>0</v>
      </c>
      <c r="DB136" s="15">
        <f>IF(ISNA(VLOOKUP(A136,'Données projet'!$A$149:$I$169,4,0)),0,VLOOKUP(A136,'Données projet'!$A$149:$I$169,4,0))</f>
        <v>0</v>
      </c>
      <c r="DC136" s="16">
        <f>IF(ISNA(VLOOKUP(A136,'Données projet'!$A$149:$I$169,5,0)),0%,VLOOKUP(A136,'Données projet'!$A$149:$I$169,5,0)*VLOOKUP('Données projet'!$B$13,Paramètres!$A$1:$I$89,7,0))</f>
        <v>0</v>
      </c>
      <c r="DD136" s="16">
        <f>IF(ISNA(VLOOKUP(A136,'Données projet'!$A$149:$I$169,6,0)),0%,VLOOKUP(A136,'Données projet'!$A$149:$I$169,6,0)*VLOOKUP('Données projet'!$B$13,Paramètres!$A$1:$I$89,7,0))</f>
        <v>0</v>
      </c>
      <c r="DE136" s="16">
        <f>IF(ISNA(VLOOKUP(A136,'Données projet'!$A$149:$I$169,7,0)),0%,VLOOKUP(A136,'Données projet'!$A$149:$I$169,7,0))</f>
        <v>0</v>
      </c>
      <c r="DF136" s="21">
        <f>EXP(-LN(2)/35)*DF135+(1-EXP(-LN(2)/35))/(LN(2)/35)*DB136*DC136*VLOOKUP('Données projet'!$B$13,Paramètres!$A$1:$I$89,3,0)*0.475*44/12</f>
        <v>40.793591146267538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238"/>
        <v>40.793591146267538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projet'!$A$175:$I$195,2,0)</f>
        <v>#N/A</v>
      </c>
      <c r="DM136" s="12" t="e">
        <f>VLOOKUP(A136,'Données projet'!$A$175:$I$195,9,0)</f>
        <v>#N/A</v>
      </c>
      <c r="DN136" s="12">
        <f t="array" ref="DN136">INDEX(DM:DM,MIN(IF(ISNUMBER(DM136:DM332),ROW(DM136:DM332),"")))</f>
        <v>0</v>
      </c>
      <c r="DO136" s="12">
        <f>IF('Données projet'!$A$176&gt;35,DO135+DN136-DW135,IF(A136&lt;'Données projet'!$A$176,$DL$205^A136,IF(A136='Données projet'!$A$176,'Données projet'!$B$176,DO135+DN136-DW135)))</f>
        <v>-2.8421709430404007E-13</v>
      </c>
      <c r="DP136" s="17">
        <f>DO136*VLOOKUP('Données projet'!$B$14,Paramètres!$A$1:$I$89,3,0)*VLOOKUP('Données projet'!$B$14,Paramètres!$A$1:$I$89,5,0)</f>
        <v>-2.0838797354372215E-13</v>
      </c>
      <c r="DQ136" s="13" t="e">
        <f t="shared" si="296"/>
        <v>#NUM!</v>
      </c>
      <c r="DR136" s="20" t="e">
        <f t="shared" si="239"/>
        <v>#NUM!</v>
      </c>
      <c r="DS136" s="59" t="e">
        <f t="shared" si="240"/>
        <v>#NUM!</v>
      </c>
      <c r="DT136" s="59">
        <f ca="1">AVERAGE(OFFSET($DS$3,0,0,'Données projet'!$E$14+1,1))-AVERAGE(OFFSET($H$3,0,0,'Données projet'!$E$14+1,1))</f>
        <v>296.91321813251051</v>
      </c>
      <c r="DU136" s="59">
        <f t="shared" si="297"/>
        <v>291.0718079639509</v>
      </c>
      <c r="DV136" s="15">
        <f>IF(ISNA(VLOOKUP(A136,'Données projet'!$A$175:$I$195,3,0)),0,VLOOKUP(A136,'Données projet'!$A$175:$I$195,3,0))</f>
        <v>0</v>
      </c>
      <c r="DW136" s="15">
        <f>IF(ISNA(VLOOKUP(A136,'Données projet'!$A$175:$I$195,4,0)),0,VLOOKUP(A136,'Données projet'!$A$175:$I$195,4,0))</f>
        <v>0</v>
      </c>
      <c r="DX136" s="16">
        <f>IF(ISNA(VLOOKUP(A136,'Données projet'!$A$175:$I$195,5,0)),0%,VLOOKUP(A136,'Données projet'!$A$175:$I$195,5,0)*VLOOKUP('Données projet'!$B$14,Paramètres!$A$1:$I$89,7,0))</f>
        <v>0</v>
      </c>
      <c r="DY136" s="16">
        <f>IF(ISNA(VLOOKUP(A136,'Données projet'!$A$175:$I$195,6,0)),0%,VLOOKUP(A136,'Données projet'!$A$175:$I$195,6,0)*VLOOKUP('Données projet'!$B$14,Paramètres!$A$1:$I$89,7,0))</f>
        <v>0</v>
      </c>
      <c r="DZ136" s="16">
        <f>IF(ISNA(VLOOKUP(A136,'Données projet'!$A$175:$I$195,7,0)),0%,VLOOKUP(A136,'Données projet'!$A$175:$I$195,7,0))</f>
        <v>0</v>
      </c>
      <c r="EA136" s="21">
        <f>EXP(-LN(2)/35)*EA135+(1-EXP(-LN(2)/35))/(LN(2)/35)*DW136*DX136*VLOOKUP('Données projet'!$B$14,Paramètres!$A$1:$I$89,3,0)*0.475*44/12</f>
        <v>60.722527897426161</v>
      </c>
      <c r="EB136" s="21">
        <f>EXP(-LN(2)/25)*EB135+(1-EXP(-LN(2)/25))/(LN(2)/25)*Calculateur!DW136*Calculateur!DY136*VLOOKUP('Données projet'!$B$14,Paramètres!$A$1:$I$89,3,0)*0.475*44/12</f>
        <v>1.231872141556023</v>
      </c>
      <c r="EC136" s="21">
        <f>EXP(-LN(2)/2)*EC135+(1-EXP(-LN(2)/2))/(LN(2)/2)*DW136*DZ136*VLOOKUP('Données projet'!$B$14,Paramètres!$A$1:$I$89,3,0)*0.475*44/12</f>
        <v>0</v>
      </c>
      <c r="ED136" s="22">
        <f t="shared" si="241"/>
        <v>61.954400038982186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projet'!$A$201:$I$221,2,0)</f>
        <v>#N/A</v>
      </c>
      <c r="EH136" s="12" t="e">
        <f>VLOOKUP(A136,'Données projet'!$A$201:$I$221,9,0)</f>
        <v>#N/A</v>
      </c>
      <c r="EI136" s="12">
        <f t="array" ref="EI136">INDEX(EH:EH,MIN(IF(ISNUMBER(EH136:EH332),ROW(EH136:EH332),"")))</f>
        <v>0</v>
      </c>
      <c r="EJ136" s="12">
        <f>IF('Données projet'!$A$202&gt;35,EJ135+EI136-ER135,IF(A136&lt;'Données projet'!$A$202,$EG$205^A136,IF(A136='Données projet'!$A$202,'Données projet'!$B$202,EJ135+EI136-ER135)))</f>
        <v>5.1159076974727213E-13</v>
      </c>
      <c r="EK136" s="17">
        <f>EJ136*VLOOKUP('Données projet'!$B$15,Paramètres!$A$1:$I$89,3,0)*VLOOKUP('Données projet'!$B$15,Paramètres!$A$1:$I$89,5,0)</f>
        <v>2.3942448024172334E-13</v>
      </c>
      <c r="EL136" s="13">
        <f t="shared" si="298"/>
        <v>3.2492669905861755E-12</v>
      </c>
      <c r="EM136" s="20">
        <f t="shared" si="242"/>
        <v>6.0761376450252565E-12</v>
      </c>
      <c r="EN136" s="59">
        <f t="shared" si="243"/>
        <v>293.3333333333394</v>
      </c>
      <c r="EO136" s="59">
        <f ca="1">AVERAGE(OFFSET($EN$3,0,0,'Données projet'!$E$15+1,1))-AVERAGE(OFFSET($H$3,0,0,'Données projet'!$E$15+1,1))</f>
        <v>147.64256291235483</v>
      </c>
      <c r="EP136" s="59">
        <f t="shared" si="299"/>
        <v>70.859031694091868</v>
      </c>
      <c r="EQ136" s="15">
        <f>IF(ISNA(VLOOKUP(A136,'Données projet'!$A$201:$I$221,3,0)),0,VLOOKUP(A136,'Données projet'!$A$201:$I$221,3,0))</f>
        <v>0</v>
      </c>
      <c r="ER136" s="15">
        <f>IF(ISNA(VLOOKUP(A136,'Données projet'!$A$201:$I$221,4,0)),0,VLOOKUP(A136,'Données projet'!$A$201:$I$221,4,0))</f>
        <v>0</v>
      </c>
      <c r="ES136" s="16">
        <f>IF(ISNA(VLOOKUP(A136,'Données projet'!$A$201:$I$221,5,0)),0%,VLOOKUP(A136,'Données projet'!$A$201:$I$221,5,0)*VLOOKUP('Données projet'!$B$15,Paramètres!$A$1:$I$89,7,0))</f>
        <v>0</v>
      </c>
      <c r="ET136" s="16">
        <f>IF(ISNA(VLOOKUP(A136,'Données projet'!$A$201:$I$221,6,0)),0%,VLOOKUP(A136,'Données projet'!$A$201:$I$221,6,0)*VLOOKUP('Données projet'!$B$15,Paramètres!$A$1:$I$89,7,0))</f>
        <v>0</v>
      </c>
      <c r="EU136" s="16">
        <f>IF(ISNA(VLOOKUP(A136,'Données projet'!$A$201:$I$221,7,0)),0%,VLOOKUP(A136,'Données projet'!$A$201:$I$221,7,0))</f>
        <v>0</v>
      </c>
      <c r="EV136" s="21">
        <f>EXP(-LN(2)/35)*EV135+(1-EXP(-LN(2)/35))/(LN(2)/35)*ER136*ES136*VLOOKUP('Données projet'!$B$15,Paramètres!$A$1:$I$89,3,0)*0.475*44/12</f>
        <v>83.130097851033753</v>
      </c>
      <c r="EW136" s="21">
        <f>EXP(-LN(2)/25)*EW135+(1-EXP(-LN(2)/25))/(LN(2)/25)*Calculateur!ER136*Calculateur!ET136*VLOOKUP('Données projet'!$B$15,Paramètres!$A$1:$I$89,3,0)*0.475*44/12</f>
        <v>17.090984873883386</v>
      </c>
      <c r="EX136" s="21">
        <f>EXP(-LN(2)/2)*EX135+(1-EXP(-LN(2)/2))/(LN(2)/2)*ER136*EU136*VLOOKUP('Données projet'!$B$15,Paramètres!$A$1:$I$89,3,0)*0.475*44/12</f>
        <v>4.4796604796663473E-3</v>
      </c>
      <c r="EY136" s="22">
        <f t="shared" si="244"/>
        <v>100.2255623853968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projet'!$A$227:$I$247,2,0)</f>
        <v>#N/A</v>
      </c>
      <c r="FC136" s="12" t="e">
        <f>VLOOKUP(A136,'Données projet'!$A$227:$I$247,9,0)</f>
        <v>#N/A</v>
      </c>
      <c r="FD136" s="12">
        <f t="array" ref="FD136">INDEX(FC:FC,MIN(IF(ISNUMBER(FC136:FC332),ROW(FC136:FC332),"")))</f>
        <v>0</v>
      </c>
      <c r="FE136" s="12">
        <f>IF('Données projet'!$A$228&gt;35,FE135+FD136-FM135,IF(A136&lt;'Données projet'!$A$228,$FB$205^A136,IF(A136='Données projet'!$A$228,'Données projet'!$B$228,FE135+FD136-FM135)))</f>
        <v>8.5265128291212022E-14</v>
      </c>
      <c r="FF136" s="17">
        <f>FE136*VLOOKUP('Données projet'!$B$16,Paramètres!$A$1:$I$89,3,0)*VLOOKUP('Données projet'!$B$16,Paramètres!$A$1:$I$89,5,0)</f>
        <v>8.9119112089974823E-14</v>
      </c>
      <c r="FG136" s="13">
        <f t="shared" si="300"/>
        <v>1.3568952080113142E-12</v>
      </c>
      <c r="FH136" s="20">
        <f t="shared" si="245"/>
        <v>2.5184749408430782E-12</v>
      </c>
      <c r="FI136" s="59">
        <f t="shared" si="246"/>
        <v>293.33333333333582</v>
      </c>
      <c r="FJ136" s="59">
        <f ca="1">AVERAGE(OFFSET($FI$3,0,0,'Données projet'!$E$16+1,1))-AVERAGE(OFFSET($H$3,0,0,'Données projet'!$E$16+1,1))</f>
        <v>259.03906550253788</v>
      </c>
      <c r="FK136" s="59">
        <f t="shared" si="301"/>
        <v>235.54542903570831</v>
      </c>
      <c r="FL136" s="15">
        <f>IF(ISNA(VLOOKUP(A136,'Données projet'!$A$227:$I$247,3,0)),0,VLOOKUP(A136,'Données projet'!$A$227:$I$247,3,0))</f>
        <v>0</v>
      </c>
      <c r="FM136" s="15">
        <f>IF(ISNA(VLOOKUP(A136,'Données projet'!$A$227:$I$247,4,0)),0,VLOOKUP(A136,'Données projet'!$A$227:$I$247,4,0))</f>
        <v>0</v>
      </c>
      <c r="FN136" s="16">
        <f>IF(ISNA(VLOOKUP(A136,'Données projet'!$A$227:$I$247,5,0)),0%,VLOOKUP(A136,'Données projet'!$A$227:$I$247,5,0)*VLOOKUP('Données projet'!$B$16,Paramètres!$A$1:$I$89,7,0))</f>
        <v>0</v>
      </c>
      <c r="FO136" s="16">
        <f>IF(ISNA(VLOOKUP(A136,'Données projet'!$A$227:$I$247,6,0)),0%,VLOOKUP(A136,'Données projet'!$A$227:$I$247,6,0)*VLOOKUP('Données projet'!$B$16,Paramètres!$A$1:$I$89,7,0))</f>
        <v>0</v>
      </c>
      <c r="FP136" s="16">
        <f>IF(ISNA(VLOOKUP(A136,'Données projet'!$A$227:$I$247,7,0)),0%,VLOOKUP(A136,'Données projet'!$A$227:$I$247,7,0))</f>
        <v>0</v>
      </c>
      <c r="FQ136" s="21">
        <f>EXP(-LN(2)/35)*FQ135+(1-EXP(-LN(2)/35))/(LN(2)/35)*FM136*FN136*VLOOKUP('Données projet'!$B$16,Paramètres!$A$1:$I$89,3,0)*0.475*44/12</f>
        <v>36.691365972966331</v>
      </c>
      <c r="FR136" s="21">
        <f>EXP(-LN(2)/25)*FR135+(1-EXP(-LN(2)/25))/(LN(2)/25)*Calculateur!FM136*Calculateur!FO136*VLOOKUP('Données projet'!$B$16,Paramètres!$A$1:$I$89,3,0)*0.475*44/12</f>
        <v>23.511634755720937</v>
      </c>
      <c r="FS136" s="21">
        <f>EXP(-LN(2)/2)*FS135+(1-EXP(-LN(2)/2))/(LN(2)/2)*FM136*FP136*VLOOKUP('Données projet'!$B$16,Paramètres!$A$1:$I$89,3,0)*0.475*44/12</f>
        <v>0</v>
      </c>
      <c r="FT136" s="22">
        <f t="shared" si="247"/>
        <v>60.203000728687272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projet'!$A$253:$I$273,2,0)</f>
        <v>#N/A</v>
      </c>
      <c r="FX136" s="12" t="e">
        <f>VLOOKUP(A136,'Données projet'!$A$253:$I$273,9,0)</f>
        <v>#N/A</v>
      </c>
      <c r="FY136" s="12">
        <f t="array" ref="FY136">INDEX(FX:FX,MIN(IF(ISNUMBER(FX136:FX332),ROW(FX136:FX332),"")))</f>
        <v>0</v>
      </c>
      <c r="FZ136" s="12">
        <f>IF('Données projet'!$A$254&gt;35,FZ135+FY136-GH135,IF(A136&lt;'Données projet'!$A$254,$FW$205^A136,IF(A136='Données projet'!$A$254,'Données projet'!$B$254,FZ135+FY136-GH135)))</f>
        <v>-1.7053025658242404E-13</v>
      </c>
      <c r="GA136" s="17">
        <f>FZ136*VLOOKUP('Données projet'!$B$17,Paramètres!$A$1:$I$89,3,0)*VLOOKUP('Données projet'!$B$17,Paramètres!$A$1:$I$89,5,0)</f>
        <v>-1.4897523215040567E-13</v>
      </c>
      <c r="GB136" s="13" t="e">
        <f t="shared" si="302"/>
        <v>#NUM!</v>
      </c>
      <c r="GC136" s="20" t="e">
        <f t="shared" si="248"/>
        <v>#NUM!</v>
      </c>
      <c r="GD136" s="59" t="e">
        <f t="shared" si="249"/>
        <v>#NUM!</v>
      </c>
      <c r="GE136" s="59">
        <f ca="1">AVERAGE(OFFSET($GD$3,0,0,'Données projet'!$E$17+1,1))-AVERAGE(OFFSET($H$3,0,0,'Données projet'!$E$17+1,1))</f>
        <v>245.1983232777614</v>
      </c>
      <c r="GF136" s="59">
        <f t="shared" si="303"/>
        <v>242.34010522344573</v>
      </c>
      <c r="GG136" s="15">
        <f>IF(ISNA(VLOOKUP(A136,'Données projet'!$A$253:$I$273,3,0)),0,VLOOKUP(A136,'Données projet'!$A$253:$I$273,3,0))</f>
        <v>0</v>
      </c>
      <c r="GH136" s="15">
        <f>IF(ISNA(VLOOKUP(A136,'Données projet'!$A$253:$I$273,4,0)),0,VLOOKUP(A136,'Données projet'!$A$253:$I$273,4,0))</f>
        <v>0</v>
      </c>
      <c r="GI136" s="16">
        <f>IF(ISNA(VLOOKUP(A136,'Données projet'!$A$253:$I$273,5,0)),0%,VLOOKUP(A136,'Données projet'!$A$253:$I$273,5,0)*VLOOKUP('Données projet'!$B$17,Paramètres!$A$1:$I$89,7,0))</f>
        <v>0</v>
      </c>
      <c r="GJ136" s="16">
        <f>IF(ISNA(VLOOKUP(A136,'Données projet'!$A$253:$I$273,6,0)),0%,VLOOKUP(A136,'Données projet'!$A$253:$I$273,6,0)*VLOOKUP('Données projet'!$B$17,Paramètres!$A$1:$I$89,7,0))</f>
        <v>0</v>
      </c>
      <c r="GK136" s="16">
        <f>IF(ISNA(VLOOKUP(A136,'Données projet'!$A$253:$I$273,7,0)),0%,VLOOKUP(A136,'Données projet'!$A$253:$I$273,7,0))</f>
        <v>0</v>
      </c>
      <c r="GL136" s="21">
        <f>EXP(-LN(2)/35)*GL135+(1-EXP(-LN(2)/35))/(LN(2)/35)*GH136*GI136*VLOOKUP('Données projet'!$B$17,Paramètres!$A$1:$I$89,3,0)*0.475*44/12</f>
        <v>43.135734840907134</v>
      </c>
      <c r="GM136" s="21">
        <f>EXP(-LN(2)/25)*GM135+(1-EXP(-LN(2)/25))/(LN(2)/25)*Calculateur!GH136*Calculateur!GJ136*VLOOKUP('Données projet'!$B$17,Paramètres!$A$1:$I$89,3,0)*0.475*44/12</f>
        <v>5.0097565846066763</v>
      </c>
      <c r="GN136" s="21">
        <f>EXP(-LN(2)/2)*GN135+(1-EXP(-LN(2)/2))/(LN(2)/2)*GH136*GK136*VLOOKUP('Données projet'!$B$17,Paramètres!$A$1:$I$89,3,0)*0.475*44/12</f>
        <v>0</v>
      </c>
      <c r="GO136" s="21">
        <f t="shared" si="250"/>
        <v>48.145491425513811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projet'!$A$279:$I$299,2,0)</f>
        <v>#N/A</v>
      </c>
      <c r="GS136" s="12" t="e">
        <f>VLOOKUP(A136,'Données projet'!$A$279:$I$299,9,0)</f>
        <v>#N/A</v>
      </c>
      <c r="GT136" s="12">
        <f t="array" ref="GT136">INDEX(GS:GS,MIN(IF(ISNUMBER(GS136:GS332),ROW(GS136:GS332),"")))</f>
        <v>0</v>
      </c>
      <c r="GU136" s="12">
        <f>IF('Données projet'!$A$280&gt;35,GU135+GT136-HC135,IF(A136&lt;'Données projet'!$A$280,$GR$205^A136,IF(A136='Données projet'!$A$280,'Données projet'!$B$280,GU135+GT136-HC135)))</f>
        <v>-1.1368683772161603E-13</v>
      </c>
      <c r="GV136" s="17">
        <f>GU136*VLOOKUP('Données projet'!$B$18,Paramètres!$A$1:$I$89,3,0)*VLOOKUP('Données projet'!$B$18,Paramètres!$A$1:$I$89,5,0)</f>
        <v>-4.5815795601811263E-14</v>
      </c>
      <c r="GW136" s="13" t="e">
        <f t="shared" si="304"/>
        <v>#NUM!</v>
      </c>
      <c r="GX136" s="20" t="e">
        <f t="shared" si="251"/>
        <v>#NUM!</v>
      </c>
      <c r="GY136" s="59" t="e">
        <f t="shared" si="252"/>
        <v>#NUM!</v>
      </c>
      <c r="GZ136" s="59">
        <f ca="1">AVERAGE(OFFSET($GY$3,0,0,'Données projet'!$E$18+1,1))-AVERAGE(OFFSET($H$3,0,0,'Données projet'!$E$18+1,1))</f>
        <v>324.36162935850876</v>
      </c>
      <c r="HA136" s="59">
        <f t="shared" si="305"/>
        <v>265.23571072429735</v>
      </c>
      <c r="HB136" s="15">
        <f>IF(ISNA(VLOOKUP(A136,'Données projet'!$A$279:$I$299,3,0)),0,VLOOKUP(A136,'Données projet'!$A$279:$I$299,3,0))</f>
        <v>0</v>
      </c>
      <c r="HC136" s="15">
        <f>IF(ISNA(VLOOKUP(A136,'Données projet'!$A$279:$I$299,4,0)),0,VLOOKUP(A136,'Données projet'!$A$279:$I$299,4,0))</f>
        <v>0</v>
      </c>
      <c r="HD136" s="16">
        <f>IF(ISNA(VLOOKUP(A136,'Données projet'!$A$279:$I$299,5,0)),0%,VLOOKUP(A136,'Données projet'!$A$279:$I$299,5,0)*VLOOKUP('Données projet'!$B$18,Paramètres!$A$1:$I$89,7,0))</f>
        <v>0</v>
      </c>
      <c r="HE136" s="16">
        <f>IF(ISNA(VLOOKUP(A136,'Données projet'!$A$279:$I$299,6,0)),0%,VLOOKUP(A136,'Données projet'!$A$279:$I$299,6,0)*VLOOKUP('Données projet'!$B$18,Paramètres!$A$1:$I$89,7,0))</f>
        <v>0</v>
      </c>
      <c r="HF136" s="16">
        <f>IF(ISNA(VLOOKUP($A136,'Données projet'!$A$279:$I$299,7,0)),0%,VLOOKUP($A136,'Données projet'!$A$279:$I$299,7,0))</f>
        <v>0</v>
      </c>
      <c r="HG136" s="21">
        <f>EXP(-LN(2)/35)*HG135+(1-EXP(-LN(2)/35))/(LN(2)/35)*HC136*HD136*VLOOKUP('Données projet'!$B$18,Paramètres!$A$1:$I$89,3,0)*0.475*44/12</f>
        <v>82.659344447655513</v>
      </c>
      <c r="HH136" s="21">
        <f>EXP(-LN(2)/25)*HH135+(1-EXP(-LN(2)/25))/(LN(2)/25)*Calculateur!HC136*Calculateur!HE136*VLOOKUP('Données projet'!$B$18,Paramètres!$A$1:$I$89,3,0)*0.475*44/12</f>
        <v>5.5717453974772111</v>
      </c>
      <c r="HI136" s="21">
        <f>EXP(-LN(2)/2)*HI135+(1-EXP(-LN(2)/2))/(LN(2)/2)*HC136*HF136*VLOOKUP('Données projet'!$B$18,Paramètres!$A$1:$I$89,3,0)*0.475*44/12</f>
        <v>9.0059488203019606E-8</v>
      </c>
      <c r="HJ136" s="22">
        <f t="shared" si="253"/>
        <v>88.231089935192216</v>
      </c>
      <c r="HK136" s="74">
        <f>('Scénario référence'!$F$8+'Scénario référence'!$F$9+'Scénario référence'!$B$17+'Scénario référence'!$B$9+'Scénario référence'!$B$10)*70+IF((45+25*(1-EXP(-0.0175*$A136)))&lt;70,'Scénario référence'!$B$16*(45+25*(1-EXP(-0.0175*$A136))),70*'Scénario référence'!$B$16)+IF((32+38*(1-EXP(-0.0175*$A136)))&lt;70,'Scénario référence'!$B$18*(32+38*(1-EXP(-0.0175*$A136))),70*'Scénario référence'!$B$18)</f>
        <v>70</v>
      </c>
      <c r="HL136" s="12">
        <f>IF($A136&gt;30,10,('Scénario référence'!$B$16+'Scénario référence'!$B$17+'Scénario référence'!$B$18+'Scénario référence'!$B$9+'Scénario référence'!$B$10)*$A136*10/30+('Scénario référence'!$F$8+'Scénario référence'!$F$9)*10)</f>
        <v>10</v>
      </c>
      <c r="HM136" s="12" t="e">
        <f>VLOOKUP($A136,'Données projet'!$A$304:$I$324,2,0)</f>
        <v>#N/A</v>
      </c>
      <c r="HN136" s="12" t="e">
        <f>VLOOKUP($A136,'Données projet'!$A$304:$I$324,9,0)</f>
        <v>#N/A</v>
      </c>
      <c r="HO136" s="12">
        <f t="array" ref="HO136">INDEX(HN:HN,MIN(IF(ISNUMBER(HN136:HN332),ROW(HN136:HN332),"")))</f>
        <v>0</v>
      </c>
      <c r="HP136" s="12">
        <f>IF('Données projet'!$A$304&gt;35,HP135+HO136-HX135,IF($A136&lt;'Données projet'!$A$304,$CQ$205^$A136,IF($A136='Données projet'!$A$304,'Données projet'!$B$304,HP135+HO136-HX135)))</f>
        <v>0</v>
      </c>
      <c r="HQ136" s="17">
        <f>HP136*VLOOKUP('Données projet'!$B$19,Paramètres!$A$1:$I$89,3,0)*VLOOKUP('Données projet'!$B$19,Paramètres!$A$1:$I$89,5,0)</f>
        <v>0</v>
      </c>
      <c r="HR136" s="13" t="e">
        <f t="shared" si="306"/>
        <v>#NUM!</v>
      </c>
      <c r="HS136" s="14" t="e">
        <f t="shared" si="254"/>
        <v>#NUM!</v>
      </c>
      <c r="HT136" s="59" t="e">
        <f t="shared" si="255"/>
        <v>#NUM!</v>
      </c>
      <c r="HU136" s="59">
        <f ca="1">AVERAGE(OFFSET(HT$3,0,0,'Données projet'!$E$19+1,1))-AVERAGE(OFFSET($H$3,0,0,'Données projet'!$E$19+1,1))</f>
        <v>91.60721429656013</v>
      </c>
      <c r="HV136" s="59">
        <f t="shared" si="307"/>
        <v>258.94957804210856</v>
      </c>
      <c r="HW136" s="15">
        <f>IF(ISNA(VLOOKUP($A136,'Données projet'!$A$304:$I$324,3,0)),0,VLOOKUP($A136,'Données projet'!$A$304:$I$324,3,0))</f>
        <v>0</v>
      </c>
      <c r="HX136" s="15">
        <f>IF(ISNA(VLOOKUP($A136,'Données projet'!$A$304:$I$324,4,0)),0,VLOOKUP($A136,'Données projet'!$A$304:$I$324,4,0))</f>
        <v>0</v>
      </c>
      <c r="HY136" s="16">
        <f>IF(ISNA(VLOOKUP($A136,'Données projet'!$A$304:$I$324,5,0)),0%,VLOOKUP($A136,'Données projet'!$A$304:$I$324,5,0)*VLOOKUP('Données projet'!$B$19,Paramètres!$A$1:$I$89,7,0))</f>
        <v>0</v>
      </c>
      <c r="HZ136" s="16">
        <f>IF(ISNA(VLOOKUP($A136,'Données projet'!$A$304:$I$324,6,0)),0%,VLOOKUP($A136,'Données projet'!$A$304:$I$324,6,0)*VLOOKUP('Données projet'!$B$19,Paramètres!$A$1:$I$89,7,0))</f>
        <v>0</v>
      </c>
      <c r="IA136" s="16">
        <f>IF(ISNA(VLOOKUP($A136,'Données projet'!$A$304:$I$324,7,0)),0%,VLOOKUP($A136,'Données projet'!$A$304:$I$324,7,0))</f>
        <v>0</v>
      </c>
      <c r="IB136" s="21">
        <f>EXP(-LN(2)/35)*IB135+(1-EXP(-LN(2)/35))/(LN(2)/35)*HX136*HY136*VLOOKUP('Données projet'!$B$19,Paramètres!$A$1:$I$89,3,0)*0.475*44/12</f>
        <v>6.4157384942591023</v>
      </c>
      <c r="IC136" s="21">
        <f>EXP(-LN(2)/25)*IC135+(1-EXP(-LN(2)/25))/(LN(2)/25)*Calculateur!HX136*Calculateur!HZ136*VLOOKUP('Données projet'!$B$19,Paramètres!$A$1:$I$89,3,0)*0.475*44/12</f>
        <v>0.55945837225238171</v>
      </c>
      <c r="ID136" s="21">
        <f>EXP(-LN(2)/2)*ID135+(1-EXP(-LN(2)/2))/(LN(2)/2)*HX136*IA136*VLOOKUP('Données projet'!$B$19,Paramètres!$A$1:$I$89,3,0)*0.475*44/12</f>
        <v>1.7988621892175722E-16</v>
      </c>
      <c r="IE136" s="22">
        <f t="shared" si="256"/>
        <v>6.9751968665114843</v>
      </c>
      <c r="IF136" s="74">
        <f>('Scénario référence'!$F$8+'Scénario référence'!$F$9+'Scénario référence'!$B$17+'Scénario référence'!$B$9+'Scénario référence'!$B$10)*70+IF((45+25*(1-EXP(-0.0175*$A136)))&lt;70,'Scénario référence'!$B$16*(45+25*(1-EXP(-0.0175*$A136))),70*'Scénario référence'!$B$16)+IF((32+38*(1-EXP(-0.0175*$A136)))&lt;70,'Scénario référence'!$B$18*(32+38*(1-EXP(-0.0175*$A136))),70*'Scénario référence'!$B$18)</f>
        <v>70</v>
      </c>
      <c r="IG136" s="12">
        <f>IF($A136&gt;30,10,('Scénario référence'!$B$16+'Scénario référence'!$B$17+'Scénario référence'!$B$18+'Scénario référence'!$B$9+'Scénario référence'!$B$10)*$A136*10/30+('Scénario référence'!$F$8+'Scénario référence'!$F$9)*10)</f>
        <v>10</v>
      </c>
      <c r="IH136" s="12" t="e">
        <f>VLOOKUP($A136,'Données projet'!$A$330:$I$350,2,0)</f>
        <v>#N/A</v>
      </c>
      <c r="II136" s="12" t="e">
        <f>VLOOKUP($A136,'Données projet'!$A$330:$I$350,9,0)</f>
        <v>#N/A</v>
      </c>
      <c r="IJ136" s="12">
        <f t="array" ref="IJ136">INDEX(II:II,MIN(IF(ISNUMBER(II136:II332),ROW(II136:II332),"")))</f>
        <v>0</v>
      </c>
      <c r="IK136" s="12">
        <f>IF('Données projet'!$A$330&gt;35,IK135+IJ136-IS135,IF($A136&lt;'Données projet'!$A$330,$CQ$205^$A136,IF($A136='Données projet'!$A$330,'Données projet'!$B$330,IK135+IJ136-IS135)))</f>
        <v>0</v>
      </c>
      <c r="IL136" s="17">
        <f>IK136*VLOOKUP('Données projet'!$B$20,Paramètres!$A$1:$I$89,3,0)*VLOOKUP('Données projet'!$B$20,Paramètres!$A$1:$I$89,5,0)</f>
        <v>0</v>
      </c>
      <c r="IM136" s="13" t="e">
        <f t="shared" si="308"/>
        <v>#NUM!</v>
      </c>
      <c r="IN136" s="20" t="e">
        <f t="shared" si="257"/>
        <v>#NUM!</v>
      </c>
      <c r="IO136" s="59" t="e">
        <f t="shared" si="258"/>
        <v>#NUM!</v>
      </c>
      <c r="IP136" s="59">
        <f ca="1">AVERAGE(OFFSET(IO$3,0,0,'Données projet'!$E$20+1,1))-AVERAGE(OFFSET($H$3,0,0,'Données projet'!$E$20+1,1))</f>
        <v>91.60721429656013</v>
      </c>
      <c r="IQ136" s="59">
        <f t="shared" si="309"/>
        <v>258.94957804210856</v>
      </c>
      <c r="IR136" s="15">
        <f>IF(ISNA(VLOOKUP($A136,'Données projet'!$A$330:$I$350,3,0)),0,VLOOKUP($A136,'Données projet'!$A$330:$I$350,3,0))</f>
        <v>0</v>
      </c>
      <c r="IS136" s="15">
        <f>IF(ISNA(VLOOKUP($A136,'Données projet'!$A$330:$I$350,4,0)),0,VLOOKUP($A136,'Données projet'!$A$330:$I$350,4,0))</f>
        <v>0</v>
      </c>
      <c r="IT136" s="16">
        <f>IF(ISNA(VLOOKUP($A136,'Données projet'!$A$330:$I$350,5,0)),0%,VLOOKUP($A136,'Données projet'!$A$330:$I$350,5,0)*VLOOKUP('Données projet'!$B$20,Paramètres!$A$1:$I$89,7,0))</f>
        <v>0</v>
      </c>
      <c r="IU136" s="16">
        <f>IF(ISNA(VLOOKUP($A136,'Données projet'!$A$330:$I$350,6,0)),0%,VLOOKUP($A136,'Données projet'!$A$330:$I$350,6,0)*VLOOKUP('Données projet'!$B$20,Paramètres!$A$1:$I$89,7,0))</f>
        <v>0</v>
      </c>
      <c r="IV136" s="16">
        <f>IF(ISNA(VLOOKUP($A136,'Données projet'!$A$330:$I$350,7,0)),0%,VLOOKUP($A136,'Données projet'!$A$330:$I$350,7,0))</f>
        <v>0</v>
      </c>
      <c r="IW136" s="21">
        <f>EXP(-LN(2)/35)*IW135+(1-EXP(-LN(2)/35))/(LN(2)/35)*IS136*IT136*VLOOKUP('Données projet'!$B$20,Paramètres!$A$1:$I$89,3,0)*0.475*44/12</f>
        <v>6.4157384942591023</v>
      </c>
      <c r="IX136" s="21">
        <f>EXP(-LN(2)/25)*IX135+(1-EXP(-LN(2)/25))/(LN(2)/25)*Calculateur!IS136*Calculateur!IU136*VLOOKUP('Données projet'!$B$20,Paramètres!$A$1:$I$89,3,0)*0.475*44/12</f>
        <v>0.55945837225238171</v>
      </c>
      <c r="IY136" s="21">
        <f>EXP(-LN(2)/2)*IY135+(1-EXP(-LN(2)/2))/(LN(2)/2)*IS136*IV136*VLOOKUP('Données projet'!$B$20,Paramètres!$A$1:$I$89,3,0)*0.475*44/12</f>
        <v>1.7988621892175722E-16</v>
      </c>
      <c r="IZ136" s="22">
        <f t="shared" si="259"/>
        <v>6.9751968665114843</v>
      </c>
      <c r="JA136" s="74">
        <f>('Scénario référence'!$F$8+'Scénario référence'!$F$9+'Scénario référence'!$B$17+'Scénario référence'!$B$9+'Scénario référence'!$B$10)*70+IF((45+25*(1-EXP(-0.0175*$A136)))&lt;70,'Scénario référence'!$B$16*(45+25*(1-EXP(-0.0175*$A136))),70*'Scénario référence'!$B$16)+IF((32+38*(1-EXP(-0.0175*$A136)))&lt;70,'Scénario référence'!$B$18*(32+38*(1-EXP(-0.0175*$A136))),70*'Scénario référence'!$B$18)</f>
        <v>70</v>
      </c>
      <c r="JB136" s="12">
        <f>IF($A136&gt;30,10,('Scénario référence'!$B$16+'Scénario référence'!$B$17+'Scénario référence'!$B$18+'Scénario référence'!$B$9+'Scénario référence'!$B$10)*$A136*10/30+('Scénario référence'!$F$8+'Scénario référence'!$F$9)*10)</f>
        <v>10</v>
      </c>
      <c r="JC136" s="12" t="e">
        <f>VLOOKUP($A136,'Données projet'!$A$356:$I$376,2,0)</f>
        <v>#N/A</v>
      </c>
      <c r="JD136" s="12" t="e">
        <f>VLOOKUP($A136,'Données projet'!$A$356:$I$376,9,0)</f>
        <v>#N/A</v>
      </c>
      <c r="JE136" s="12">
        <f t="array" ref="JE136">INDEX(JD:JD,MIN(IF(ISNUMBER(JD136:JD332),ROW(JD136:JD332),"")))</f>
        <v>1.4</v>
      </c>
      <c r="JF136" s="12">
        <f>IF('Données projet'!$A$356&gt;35,JF135+JE136-JN135,IF($A136&lt;'Données projet'!$A$356,$CQ$205^$A136,IF($A136='Données projet'!$A$356,'Données projet'!$B$356,JF135+JE136-JN135)))</f>
        <v>424.19999999999908</v>
      </c>
      <c r="JG136" s="17">
        <f>JF136*VLOOKUP('Données projet'!$B$21,Paramètres!$A$1:$I$89,3,0)*VLOOKUP('Données projet'!$B$21,Paramètres!$A$1:$I$89,5,0)</f>
        <v>344.11103999999926</v>
      </c>
      <c r="JH136" s="13">
        <f t="shared" si="310"/>
        <v>80.34871827579272</v>
      </c>
      <c r="JI136" s="20">
        <f t="shared" si="260"/>
        <v>739.26741233033761</v>
      </c>
      <c r="JJ136" s="59">
        <f t="shared" si="261"/>
        <v>1032.600745663671</v>
      </c>
      <c r="JK136" s="59">
        <f ca="1">AVERAGE(OFFSET($JJ$3,0,0,'Données projet'!$E$22+1,1))-AVERAGE(OFFSET($H$3,0,0,'Données projet'!$E$22+1,1))</f>
        <v>353.35574633294613</v>
      </c>
      <c r="JL136" s="59">
        <f t="shared" si="311"/>
        <v>170.36796666474726</v>
      </c>
      <c r="JM136" s="15">
        <f>IF(ISNA(VLOOKUP($A136,'Données projet'!$A$356:$I$376,3,0)),0,VLOOKUP($A136,'Données projet'!$A$356:$I$376,3,0))</f>
        <v>0</v>
      </c>
      <c r="JN136" s="15">
        <f>IF(ISNA(VLOOKUP($A136,'Données projet'!$A$356:$I$376,4,0)),0,VLOOKUP($A136,'Données projet'!$A$356:$I$376,4,0))</f>
        <v>0</v>
      </c>
      <c r="JO136" s="16">
        <f>IF(ISNA(VLOOKUP($A136,'Données projet'!$A$356:$I$376,5,0)),0%,VLOOKUP($A136,'Données projet'!$A$356:$I$376,5,0)*VLOOKUP('Données projet'!$B$21,Paramètres!$A$1:$I$89,7,0))</f>
        <v>0</v>
      </c>
      <c r="JP136" s="16">
        <f>IF(ISNA(VLOOKUP($A136,'Données projet'!$A$356:$I$376,6,0)),0%,VLOOKUP($A136,'Données projet'!$A$356:$I$376,6,0)*VLOOKUP('Données projet'!$B$21,Paramètres!$A$1:$I$89,7,0))</f>
        <v>0</v>
      </c>
      <c r="JQ136" s="16">
        <f>IF(ISNA(VLOOKUP($A136,'Données projet'!$A$356:$I$376,7,0)),0%,VLOOKUP($A136,'Données projet'!$A$356:$I$376,7,0))</f>
        <v>0</v>
      </c>
      <c r="JR136" s="21">
        <f>EXP(-LN(2)/35)*JR135+(1-EXP(-LN(2)/35))/(LN(2)/35)*JN136*JO136*VLOOKUP('Données projet'!$B$21,Paramètres!$A$1:$I$89,3,0)*0.475*44/12</f>
        <v>6.0938050659946859</v>
      </c>
      <c r="JS136" s="21">
        <f>EXP(-LN(2)/25)*JS135+(1-EXP(-LN(2)/25))/(LN(2)/25)*Calculateur!JN136*Calculateur!JP136*VLOOKUP('Données projet'!$B$21,Paramètres!$A$1:$I$89,3,0)*0.475*44/12</f>
        <v>12.17377394039532</v>
      </c>
      <c r="JT136" s="21">
        <f>EXP(-LN(2)/2)*JT135+(1-EXP(-LN(2)/2))/(LN(2)/2)*JN136*JQ136*VLOOKUP('Données projet'!$B$21,Paramètres!$A$1:$I$89,3,0)*0.475*44/12</f>
        <v>0.54241627001443415</v>
      </c>
      <c r="JU136" s="18">
        <f t="shared" si="262"/>
        <v>18.80999527640444</v>
      </c>
      <c r="JV136" s="74">
        <f>('Scénario référence'!$F$8+'Scénario référence'!$F$9+'Scénario référence'!$B$17+'Scénario référence'!$B$9+'Scénario référence'!$B$10)*70+IF((45+25*(1-EXP(-0.0175*$A136)))&lt;70,'Scénario référence'!$B$16*(45+25*(1-EXP(-0.0175*$A136))),70*'Scénario référence'!$B$16)+IF((32+38*(1-EXP(-0.0175*$A136)))&lt;70,'Scénario référence'!$B$18*(32+38*(1-EXP(-0.0175*$A136))),70*'Scénario référence'!$B$18)</f>
        <v>70</v>
      </c>
      <c r="JW136" s="12">
        <f>IF($A136&gt;30,10,('Scénario référence'!$B$16+'Scénario référence'!$B$17+'Scénario référence'!$B$18+'Scénario référence'!$B$9+'Scénario référence'!$B$10)*$A136*10/30+('Scénario référence'!$F$8+'Scénario référence'!$F$9)*10)</f>
        <v>10</v>
      </c>
      <c r="JX136" s="12" t="e">
        <f>VLOOKUP($A136,'Données projet'!$A$382:$I$402,2,0)</f>
        <v>#N/A</v>
      </c>
      <c r="JY136" s="12" t="e">
        <f>VLOOKUP($A136,'Données projet'!$A$382:$I$402,9,0)</f>
        <v>#N/A</v>
      </c>
      <c r="JZ136" s="12">
        <f t="array" ref="JZ136">INDEX(JY:JY,MIN(IF(ISNUMBER(JY136:JY332),ROW(JY136:JY332),"")))</f>
        <v>0</v>
      </c>
      <c r="KA136" s="12">
        <f>IF('Données projet'!$A$382&gt;35,KA135+JZ136-KI135,IF($A136&lt;'Données projet'!$A$382,$CQ$205^$A136,IF($A136='Données projet'!$A$382,'Données projet'!$B$382,KA135+JZ136-KI135)))</f>
        <v>5.6843418860808015E-13</v>
      </c>
      <c r="KB136" s="17">
        <f>KA136*VLOOKUP('Données projet'!$B$22,Paramètres!$A$1:$I$89,3,0)*VLOOKUP('Données projet'!$B$22,Paramètres!$A$1:$I$89,5,0)</f>
        <v>3.8130565371830017E-13</v>
      </c>
      <c r="KC136" s="13">
        <f t="shared" si="312"/>
        <v>4.9019074112354236E-12</v>
      </c>
      <c r="KD136" s="20">
        <f t="shared" si="263"/>
        <v>9.2015960881277352E-12</v>
      </c>
      <c r="KE136" s="59">
        <f t="shared" si="264"/>
        <v>293.33333333334252</v>
      </c>
      <c r="KF136" s="59">
        <f ca="1">AVERAGE(OFFSET($KE$3,0,0,'Données projet'!$E$22+1,1))-AVERAGE(OFFSET($H$3,0,0,'Données projet'!$E$22+1,1))</f>
        <v>193.91714772848269</v>
      </c>
      <c r="KG136" s="59">
        <f t="shared" si="313"/>
        <v>159.20429420478047</v>
      </c>
      <c r="KH136" s="15">
        <f>IF(ISNA(VLOOKUP($A136,'Données projet'!$A$382:$I$402,3,0)),0,VLOOKUP($A136,'Données projet'!$A$382:$I$402,3,0))</f>
        <v>0</v>
      </c>
      <c r="KI136" s="15">
        <f>IF(ISNA(VLOOKUP($A136,'Données projet'!$A$382:$I$402,4,0)),0,VLOOKUP($A136,'Données projet'!$A$382:$I$402,4,0))</f>
        <v>0</v>
      </c>
      <c r="KJ136" s="16">
        <f>IF(ISNA(VLOOKUP($A136,'Données projet'!$A$382:$I$402,5,0)),0%,VLOOKUP($A136,'Données projet'!$A$382:$I$402,5,0)*VLOOKUP('Données projet'!$B$22,Paramètres!$A$1:$I$89,7,0))</f>
        <v>0</v>
      </c>
      <c r="KK136" s="16">
        <f>IF(ISNA(VLOOKUP($A136,'Données projet'!$A$382:$I$402,6,0)),0%,VLOOKUP($A136,'Données projet'!$A$382:$I$402,6,0)*VLOOKUP('Données projet'!$B$22,Paramètres!$A$1:$I$89,7,0))</f>
        <v>0</v>
      </c>
      <c r="KL136" s="16">
        <f>IF(ISNA(VLOOKUP($A136,'Données projet'!$A$382:$I$402,7,0)),0%,VLOOKUP($A136,'Données projet'!$A$382:$I$402,7,0))</f>
        <v>0</v>
      </c>
      <c r="KM136" s="21">
        <f>EXP(-LN(2)/35)*KM135+(1-EXP(-LN(2)/35))/(LN(2)/35)*KI136*KJ136*VLOOKUP('Données projet'!$B$22,Paramètres!$A$1:$I$89,3,0)*0.475*44/12</f>
        <v>150.17797980470448</v>
      </c>
      <c r="KN136" s="21">
        <f>EXP(-LN(2)/25)*KN135+(1-EXP(-LN(2)/25))/(LN(2)/25)*Calculateur!KI136*Calculateur!KK136*VLOOKUP('Données projet'!$B$22,Paramètres!$A$1:$I$89,3,0)*0.475*44/12</f>
        <v>0</v>
      </c>
      <c r="KO136" s="21">
        <f>EXP(-LN(2)/2)*KO135+(1-EXP(-LN(2)/2))/(LN(2)/2)*KI136*KL136*VLOOKUP('Données projet'!$B$22,Paramètres!$A$1:$I$89,3,0)*0.475*44/12</f>
        <v>0</v>
      </c>
      <c r="KP136" s="22">
        <f t="shared" si="265"/>
        <v>150.17797980470448</v>
      </c>
      <c r="KQ136" s="74">
        <f>('Scénario référence'!$F$8+'Scénario référence'!$F$9+'Scénario référence'!$B$17+'Scénario référence'!$B$9+'Scénario référence'!$B$10)*70+IF((45+25*(1-EXP(-0.0175*$A136)))&lt;70,'Scénario référence'!$B$16*(45+25*(1-EXP(-0.0175*$A136))),70*'Scénario référence'!$B$16)+IF((32+38*(1-EXP(-0.0175*$A136)))&lt;70,'Scénario référence'!$B$18*(32+38*(1-EXP(-0.0175*$A136))),70*'Scénario référence'!$B$18)</f>
        <v>70</v>
      </c>
      <c r="KR136" s="12">
        <f>IF($A136&gt;30,10,('Scénario référence'!$B$16+'Scénario référence'!$B$17+'Scénario référence'!$B$18+'Scénario référence'!$B$9+'Scénario référence'!$B$10)*$A136*10/30+('Scénario référence'!$F$8+'Scénario référence'!$F$9)*10)</f>
        <v>10</v>
      </c>
      <c r="KS136" s="12" t="e">
        <f>VLOOKUP($A136,'Données projet'!$A$408:$I$428,2,0)</f>
        <v>#N/A</v>
      </c>
      <c r="KT136" s="12" t="e">
        <f>VLOOKUP($A136,'Données projet'!$A$408:$I$428,9,0)</f>
        <v>#N/A</v>
      </c>
      <c r="KU136" s="12">
        <f t="array" ref="KU136">INDEX(KT:KT,MIN(IF(ISNUMBER(KT136:KT332),ROW(KT136:KT332),"")))</f>
        <v>0</v>
      </c>
      <c r="KV136" s="12">
        <f>IF('Données projet'!$A$408&gt;35,KV135+KU136-LD135,IF($A136&lt;'Données projet'!$A$408,$CQ$205^$A136,IF($A136='Données projet'!$A$408,'Données projet'!$B$408,KV135+KU136-LD135)))</f>
        <v>-1.1368683772161603E-13</v>
      </c>
      <c r="KW136" s="17">
        <f>KV136*VLOOKUP('Données projet'!$B$23,Paramètres!$A$1:$I$89,3,0)*VLOOKUP('Données projet'!$B$23,Paramètres!$A$1:$I$89,5,0)</f>
        <v>-9.9316821433603781E-14</v>
      </c>
      <c r="KX136" s="13" t="e">
        <f t="shared" si="314"/>
        <v>#NUM!</v>
      </c>
      <c r="KY136" s="14" t="e">
        <f t="shared" si="266"/>
        <v>#NUM!</v>
      </c>
      <c r="KZ136" s="59" t="e">
        <f t="shared" si="267"/>
        <v>#NUM!</v>
      </c>
      <c r="LA136" s="59">
        <f ca="1">AVERAGE(OFFSET($KZ$3,0,0,'Données projet'!$E$23+1,1))-AVERAGE(OFFSET($H$3,0,0,'Données projet'!$E$23+1,1))</f>
        <v>248.33596943633819</v>
      </c>
      <c r="LB136" s="59">
        <f t="shared" si="315"/>
        <v>242.34010522344573</v>
      </c>
      <c r="LC136" s="15">
        <f>IF(ISNA(VLOOKUP($A136,'Données projet'!$A$408:$I$428,3,0)),0,VLOOKUP($A136,'Données projet'!$A$408:$I$428,3,0))</f>
        <v>0</v>
      </c>
      <c r="LD136" s="15">
        <f>IF(ISNA(VLOOKUP($A136,'Données projet'!$A$408:$I$428,4,0)),0,VLOOKUP($A136,'Données projet'!$A$408:$I$428,4,0))</f>
        <v>0</v>
      </c>
      <c r="LE136" s="16">
        <f>IF(ISNA(VLOOKUP($A136,'Données projet'!$A$408:$I$428,5,0)),0%,VLOOKUP($A136,'Données projet'!$A$408:$I$428,5,0)*VLOOKUP('Données projet'!$B$23,Paramètres!$A$1:$I$89,7,0))</f>
        <v>0</v>
      </c>
      <c r="LF136" s="16">
        <f>IF(ISNA(VLOOKUP($A136,'Données projet'!$A$408:$I$428,6,0)),0%,VLOOKUP($A136,'Données projet'!$A$408:$I$428,6,0)*VLOOKUP('Données projet'!$B$23,Paramètres!$A$1:$I$89,7,0))</f>
        <v>0</v>
      </c>
      <c r="LG136" s="16">
        <f>IF(ISNA(VLOOKUP($A136,'Données projet'!$A$408:$I$428,7,0)),0%,VLOOKUP($A136,'Données projet'!$A$408:$I$428,7,0))</f>
        <v>0</v>
      </c>
      <c r="LH136" s="21">
        <f>EXP(-LN(2)/35)*LH135+(1-EXP(-LN(2)/35))/(LN(2)/35)*LD136*LE136*VLOOKUP('Données projet'!$B$23,Paramètres!$A$1:$I$89,3,0)*0.475*44/12</f>
        <v>43.135734840907134</v>
      </c>
      <c r="LI136" s="21">
        <f>EXP(-LN(2)/25)*LI135+(1-EXP(-LN(2)/25))/(LN(2)/25)*Calculateur!LD136*Calculateur!LF136*VLOOKUP('Données projet'!$B$23,Paramètres!$A$1:$I$89,3,0)*0.475*44/12</f>
        <v>5.0097565846066763</v>
      </c>
      <c r="LJ136" s="21">
        <f>EXP(-LN(2)/2)*LJ135+(1-EXP(-LN(2)/2))/(LN(2)/2)*LD136*LG136*VLOOKUP('Données projet'!$B$23,Paramètres!$A$1:$I$89,3,0)*0.475*44/12</f>
        <v>0</v>
      </c>
      <c r="LK136" s="22">
        <f t="shared" si="268"/>
        <v>48.145491425513811</v>
      </c>
      <c r="LL136" s="74">
        <f>('Scénario référence'!$F$8+'Scénario référence'!$F$9+'Scénario référence'!$B$17+'Scénario référence'!$B$9+'Scénario référence'!$B$10)*70+IF((45+25*(1-EXP(-0.0175*$A136)))&lt;70,'Scénario référence'!$B$16*(45+25*(1-EXP(-0.0175*$A136))),70*'Scénario référence'!$B$16)+IF((32+38*(1-EXP(-0.0175*$A136)))&lt;70,'Scénario référence'!$B$18*(32+38*(1-EXP(-0.0175*$A136))),70*'Scénario référence'!$B$18)</f>
        <v>70</v>
      </c>
      <c r="LM136" s="12">
        <f>IF($A136&gt;30,10,('Scénario référence'!$B$16+'Scénario référence'!$B$17+'Scénario référence'!$B$18+'Scénario référence'!$B$9+'Scénario référence'!$B$10)*$A136*10/30+('Scénario référence'!$F$8+'Scénario référence'!$F$9)*10)</f>
        <v>10</v>
      </c>
      <c r="LN136" s="12" t="e">
        <f>VLOOKUP($A136,'Données projet'!$A$434:$I$454,2,0)</f>
        <v>#N/A</v>
      </c>
      <c r="LO136" s="12" t="e">
        <f>VLOOKUP($A136,'Données projet'!$A$434:$I$454,9,0)</f>
        <v>#N/A</v>
      </c>
      <c r="LP136" s="12">
        <f t="array" ref="LP136">INDEX(LO:LO,MIN(IF(ISNUMBER(LO136:LO332),ROW(LO136:LO332),"")))</f>
        <v>5.2446581196581219</v>
      </c>
      <c r="LQ136" s="12">
        <f>IF('Données projet'!$A$434&gt;35,LQ135+LP136-LY135,IF($A136&lt;'Données projet'!$A$434,$CQ$205^$A136,IF($A136='Données projet'!$A$434,'Données projet'!$B$434,LQ135+LP136-LY135)))</f>
        <v>272.09188034187991</v>
      </c>
      <c r="LR136" s="17">
        <f>LQ136*VLOOKUP('Données projet'!$B$24,Paramètres!$A$1:$I$89,3,0)*VLOOKUP('Données projet'!$B$24,Paramètres!$A$1:$I$89,5,0)</f>
        <v>275.90116666666626</v>
      </c>
      <c r="LS136" s="13">
        <f t="shared" si="316"/>
        <v>66.100065539585671</v>
      </c>
      <c r="LT136" s="14">
        <f t="shared" si="269"/>
        <v>595.65214609255543</v>
      </c>
      <c r="LU136" s="59">
        <f t="shared" si="270"/>
        <v>888.9854794258888</v>
      </c>
      <c r="LV136" s="59">
        <f ca="1">AVERAGE(OFFSET($LU$3,0,0,'Données projet'!$E$24+1,1))-AVERAGE(OFFSET($H$3,0,0,'Données projet'!$E$24+1,1))</f>
        <v>260.52627655062872</v>
      </c>
      <c r="LW136" s="59">
        <f t="shared" si="317"/>
        <v>159.20429420478047</v>
      </c>
      <c r="LX136" s="15">
        <f>IF(ISNA(VLOOKUP($A136,'Données projet'!$A$434:$I$454,3,0)),0,VLOOKUP($A136,'Données projet'!$A$434:$I$454,3,0))</f>
        <v>0</v>
      </c>
      <c r="LY136" s="15">
        <f>IF(ISNA(VLOOKUP($A136,'Données projet'!$A$434:$I$454,4,0)),0,VLOOKUP($A136,'Données projet'!$A$434:$I$454,4,0))</f>
        <v>0</v>
      </c>
      <c r="LZ136" s="16">
        <f>IF(ISNA(VLOOKUP($A136,'Données projet'!$A$434:$I$454,5,0)),0%,VLOOKUP($A136,'Données projet'!$A$434:$I$454,5,0)*VLOOKUP('Données projet'!$B$24,Paramètres!$A$1:$I$89,7,0))</f>
        <v>0</v>
      </c>
      <c r="MA136" s="16">
        <f>IF(ISNA(VLOOKUP($A136,'Données projet'!$A$434:$I$454,6,0)),0%,VLOOKUP($A136,'Données projet'!$A$434:$I$454,6,0)*VLOOKUP('Données projet'!$B$24,Paramètres!$A$1:$I$89,7,0))</f>
        <v>0</v>
      </c>
      <c r="MB136" s="16">
        <f>IF(ISNA(VLOOKUP($A136,'Données projet'!$A$434:$I$454,7,0)),0%,VLOOKUP($A136,'Données projet'!$A$434:$I$454,7,0))</f>
        <v>0</v>
      </c>
      <c r="MC136" s="21">
        <f>EXP(-LN(2)/35)*MC135+(1-EXP(-LN(2)/35))/(LN(2)/35)*LY136*LZ136*VLOOKUP('Données projet'!$B$24,Paramètres!$A$1:$I$89,3,0)*0.475*44/12</f>
        <v>40.793591146267538</v>
      </c>
      <c r="MD136" s="21">
        <f>EXP(-LN(2)/25)*MD135+(1-EXP(-LN(2)/25))/(LN(2)/25)*Calculateur!LY136*Calculateur!MA136*VLOOKUP('Données projet'!$B$24,Paramètres!$A$1:$I$89,3,0)*0.475*44/12</f>
        <v>0</v>
      </c>
      <c r="ME136" s="21">
        <f>EXP(-LN(2)/2)*ME135+(1-EXP(-LN(2)/2))/(LN(2)/2)*LY136*MB136*VLOOKUP('Données projet'!$B$24,Paramètres!$A$1:$I$89,3,0)*0.475*44/12</f>
        <v>0</v>
      </c>
      <c r="MF136" s="22">
        <f t="shared" si="271"/>
        <v>40.793591146267538</v>
      </c>
      <c r="MG136" s="74">
        <f>('Scénario référence'!$F$8+'Scénario référence'!$F$9+'Scénario référence'!$B$17+'Scénario référence'!$B$9+'Scénario référence'!$B$10)*70+IF((45+25*(1-EXP(-0.0175*$A136)))&lt;70,'Scénario référence'!$B$16*(45+25*(1-EXP(-0.0175*$A136))),70*'Scénario référence'!$B$16)+IF((32+38*(1-EXP(-0.0175*$A136)))&lt;70,'Scénario référence'!$B$18*(32+38*(1-EXP(-0.0175*$A136))),70*'Scénario référence'!$B$18)</f>
        <v>70</v>
      </c>
      <c r="MH136" s="12">
        <f>IF($A136&gt;30,10,('Scénario référence'!$B$16+'Scénario référence'!$B$17+'Scénario référence'!$B$18+'Scénario référence'!$B$9+'Scénario référence'!$B$10)*$A136*10/30+('Scénario référence'!$F$8+'Scénario référence'!$F$9)*10)</f>
        <v>10</v>
      </c>
      <c r="MI136" s="12" t="e">
        <f>VLOOKUP($A136,'Données projet'!$A$460:$I$480,2,0)</f>
        <v>#N/A</v>
      </c>
      <c r="MJ136" s="12" t="e">
        <f>VLOOKUP($A136,'Données projet'!$A$460:$I$480,9,0)</f>
        <v>#N/A</v>
      </c>
      <c r="MK136" s="12">
        <f t="array" ref="MK136">INDEX(MJ:MJ,MIN(IF(ISNUMBER(MJ136:MJ332),ROW(MJ136:MJ332),"")))</f>
        <v>0</v>
      </c>
      <c r="ML136" s="12">
        <f>IF('Données projet'!$A$460&gt;35,ML135+MK136-MT135,IF($A136&lt;'Données projet'!$A$460,$CQ$205^$A136,IF($A136='Données projet'!$A$460,'Données projet'!$B$460,ML135+MK136-MT135)))</f>
        <v>0</v>
      </c>
      <c r="MM136" s="17" t="e">
        <f>ML136*VLOOKUP('Données projet'!$B$25,Paramètres!$A$1:$I$89,3,0)*VLOOKUP('Données projet'!$B$25,Paramètres!$A$1:$I$89,5,0)</f>
        <v>#N/A</v>
      </c>
      <c r="MN136" s="13" t="e">
        <f t="shared" si="318"/>
        <v>#N/A</v>
      </c>
      <c r="MO136" s="14" t="e">
        <f t="shared" si="272"/>
        <v>#N/A</v>
      </c>
      <c r="MP136" s="59" t="e">
        <f t="shared" si="273"/>
        <v>#N/A</v>
      </c>
      <c r="MQ136" s="20" t="e">
        <f ca="1">AVERAGE(OFFSET($MP$3,0,0,'Données projet'!$E$25+1,1))-AVERAGE(OFFSET($H$3,0,0,'Données projet'!$E$25+1,1))</f>
        <v>#N/A</v>
      </c>
      <c r="MR136" s="59" t="e">
        <f t="shared" si="319"/>
        <v>#N/A</v>
      </c>
      <c r="MS136" s="15">
        <f>IF(ISNA(VLOOKUP($A136,'Données projet'!$A$460:$I$480,3,0)),0,VLOOKUP($A136,'Données projet'!$A$460:$I$480,3,0))</f>
        <v>0</v>
      </c>
      <c r="MT136" s="15">
        <f>IF(ISNA(VLOOKUP($A136,'Données projet'!$A$460:$I$480,4,0)),0,VLOOKUP($A136,'Données projet'!$A$460:$I$480,4,0))</f>
        <v>0</v>
      </c>
      <c r="MU136" s="16">
        <f>IF(ISNA(VLOOKUP($A136,'Données projet'!$A$460:$I$480,5,0)),0%,VLOOKUP($A136,'Données projet'!$A$460:$I$480,5,0)*VLOOKUP('Données projet'!$B$25,Paramètres!$A$1:$I$89,7,0))</f>
        <v>0</v>
      </c>
      <c r="MV136" s="16">
        <f>IF(ISNA(VLOOKUP($A136,'Données projet'!$A$460:$I$480,6,0)),0%,VLOOKUP($A136,'Données projet'!$A$460:$I$480,6,0)*VLOOKUP('Données projet'!$B$25,Paramètres!$A$1:$I$89,7,0))</f>
        <v>0</v>
      </c>
      <c r="MW136" s="16">
        <f>IF(ISNA(VLOOKUP($A136,'Données projet'!$A$460:$I$480,7,0)),0%,VLOOKUP($A136,'Données projet'!$A$460:$I$480,7,0))</f>
        <v>0</v>
      </c>
      <c r="MX136" s="21" t="e">
        <f>EXP(-LN(2)/35)*MX135+(1-EXP(-LN(2)/35))/(LN(2)/35)*MT136*MU136*VLOOKUP('Données projet'!$B$25,Paramètres!$A$1:$I$89,3,0)*0.475*44/12</f>
        <v>#N/A</v>
      </c>
      <c r="MY136" s="21" t="e">
        <f>EXP(-LN(2)/25)*MY135+(1-EXP(-LN(2)/25))/(LN(2)/25)*Calculateur!MT136*Calculateur!MV136*VLOOKUP('Données projet'!$B$25,Paramètres!$A$1:$I$89,3,0)*0.475*44/12</f>
        <v>#N/A</v>
      </c>
      <c r="MZ136" s="21" t="e">
        <f>EXP(-LN(2)/2)*MZ135+(1-EXP(-LN(2)/2))/(LN(2)/2)*MT136*MW136*VLOOKUP('Données projet'!$B$25,Paramètres!$A$1:$I$89,3,0)*0.475*44/12</f>
        <v>#N/A</v>
      </c>
      <c r="NA136" s="22" t="e">
        <f t="shared" si="274"/>
        <v>#N/A</v>
      </c>
      <c r="NB136" s="74">
        <f>('Scénario référence'!$F$8+'Scénario référence'!$F$9+'Scénario référence'!$B$17+'Scénario référence'!$B$9+'Scénario référence'!$B$10)*70+IF((45+25*(1-EXP(-0.0175*$A136)))&lt;70,'Scénario référence'!$B$16*(45+25*(1-EXP(-0.0175*$A136))),70*'Scénario référence'!$B$16)+IF((32+38*(1-EXP(-0.0175*$A136)))&lt;70,'Scénario référence'!$B$18*(32+38*(1-EXP(-0.0175*$A136))),70*'Scénario référence'!$B$18)</f>
        <v>70</v>
      </c>
      <c r="NC136" s="12">
        <f>IF($A136&gt;30,10,('Scénario référence'!$B$16+'Scénario référence'!$B$17+'Scénario référence'!$B$18+'Scénario référence'!$B$9+'Scénario référence'!$B$10)*$A136*10/30+('Scénario référence'!$F$8+'Scénario référence'!$F$9)*10)</f>
        <v>10</v>
      </c>
      <c r="ND136" s="12" t="e">
        <f>VLOOKUP($A136,'Données projet'!$A$486:$I$506,2,0)</f>
        <v>#N/A</v>
      </c>
      <c r="NE136" s="12" t="e">
        <f>VLOOKUP($A136,'Données projet'!$A$486:$I$506,9,0)</f>
        <v>#N/A</v>
      </c>
      <c r="NF136" s="12">
        <f t="array" ref="NF136">INDEX(NE:NE,MIN(IF(ISNUMBER(NE136:NE332),ROW(NE136:NE332),"")))</f>
        <v>0</v>
      </c>
      <c r="NG136" s="12">
        <f>IF('Données projet'!$A$486&gt;35,NG135+NF136-NO135,IF($A136&lt;'Données projet'!$A$486,$CQ$205^$A136,IF($A136='Données projet'!$A$486,'Données projet'!$B$486,NG135+NF136-NO135)))</f>
        <v>0</v>
      </c>
      <c r="NH136" s="17" t="e">
        <f>NG136*VLOOKUP('Données projet'!$B$26,Paramètres!$A$1:$I$89,3,0)*VLOOKUP('Données projet'!$B$26,Paramètres!$A$1:$I$89,5,0)</f>
        <v>#N/A</v>
      </c>
      <c r="NI136" s="13" t="e">
        <f t="shared" si="320"/>
        <v>#N/A</v>
      </c>
      <c r="NJ136" s="14" t="e">
        <f t="shared" si="275"/>
        <v>#N/A</v>
      </c>
      <c r="NK136" s="59" t="e">
        <f t="shared" si="276"/>
        <v>#N/A</v>
      </c>
      <c r="NL136" s="20" t="e">
        <f ca="1">AVERAGE(OFFSET($NK$3,0,0,'Données projet'!$E$26+1,1))-AVERAGE(OFFSET($H$3,0,0,'Données projet'!$E$26+1,1))</f>
        <v>#N/A</v>
      </c>
      <c r="NM136" s="59" t="e">
        <f t="shared" si="321"/>
        <v>#N/A</v>
      </c>
      <c r="NN136" s="15">
        <f>IF(ISNA(VLOOKUP($A136,'Données projet'!$A$486:$I$506,3,0)),0,VLOOKUP($A136,'Données projet'!$A$486:$I$506,3,0))</f>
        <v>0</v>
      </c>
      <c r="NO136" s="15">
        <f>IF(ISNA(VLOOKUP($A136,'Données projet'!$A$486:$I$506,4,0)),0,VLOOKUP($A136,'Données projet'!$A$486:$I$506,4,0))</f>
        <v>0</v>
      </c>
      <c r="NP136" s="16">
        <f>IF(ISNA(VLOOKUP($A136,'Données projet'!$A$486:$I$506,5,0)),0%,VLOOKUP($A136,'Données projet'!$A$486:$I$506,5,0)*VLOOKUP('Données projet'!$B$26,Paramètres!$A$1:$I$89,7,0))</f>
        <v>0</v>
      </c>
      <c r="NQ136" s="16">
        <f>IF(ISNA(VLOOKUP($A136,'Données projet'!$A$486:$I$506,6,0)),0%,VLOOKUP($A136,'Données projet'!$A$486:$I$506,6,0)*VLOOKUP('Données projet'!$B$26,Paramètres!$A$1:$I$89,7,0))</f>
        <v>0</v>
      </c>
      <c r="NR136" s="16">
        <f>IF(ISNA(VLOOKUP($A136,'Données projet'!$A$486:$I$506,7,0)),0%,VLOOKUP($A136,'Données projet'!$A$486:$I$506,7,0))</f>
        <v>0</v>
      </c>
      <c r="NS136" s="21" t="e">
        <f>EXP(-LN(2)/35)*NS135+(1-EXP(-LN(2)/35))/(LN(2)/35)*NO136*NP136*VLOOKUP('Données projet'!$B$26,Paramètres!$A$1:$I$89,3,0)*0.475*44/12</f>
        <v>#N/A</v>
      </c>
      <c r="NT136" s="21" t="e">
        <f>EXP(-LN(2)/25)*NT135+(1-EXP(-LN(2)/25))/(LN(2)/25)*Calculateur!NO136*Calculateur!NQ136*VLOOKUP('Données projet'!$B$26,Paramètres!$A$1:$I$89,3,0)*0.475*44/12</f>
        <v>#N/A</v>
      </c>
      <c r="NU136" s="21" t="e">
        <f>EXP(-LN(2)/2)*NU135+(1-EXP(-LN(2)/2))/(LN(2)/2)*NO136*NR136*VLOOKUP('Données projet'!$B$26,Paramètres!$A$1:$I$89,3,0)*0.475*44/12</f>
        <v>#N/A</v>
      </c>
      <c r="NV136" s="22" t="e">
        <f t="shared" si="277"/>
        <v>#N/A</v>
      </c>
      <c r="NW136" s="74">
        <f>('Scénario référence'!$F$8+'Scénario référence'!$F$9+'Scénario référence'!$B$17+'Scénario référence'!$B$9+'Scénario référence'!$B$10)*70+IF((45+25*(1-EXP(-0.0175*$A136)))&lt;70,'Scénario référence'!$B$16*(45+25*(1-EXP(-0.0175*$A136))),70*'Scénario référence'!$B$16)+IF((32+38*(1-EXP(-0.0175*$A136)))&lt;70,'Scénario référence'!$B$18*(32+38*(1-EXP(-0.0175*$A136))),70*'Scénario référence'!$B$18)</f>
        <v>70</v>
      </c>
      <c r="NX136" s="12">
        <f>IF($A136&gt;30,10,('Scénario référence'!$B$16+'Scénario référence'!$B$17+'Scénario référence'!$B$18+'Scénario référence'!$B$9+'Scénario référence'!$B$10)*$A136*10/30+('Scénario référence'!$F$8+'Scénario référence'!$F$9)*10)</f>
        <v>10</v>
      </c>
      <c r="NY136" s="12" t="e">
        <f>VLOOKUP($A136,'Données projet'!$A$512:$I$532,2,0)</f>
        <v>#N/A</v>
      </c>
      <c r="NZ136" s="12" t="e">
        <f>VLOOKUP($A136,'Données projet'!$A$512:$I$532,9,0)</f>
        <v>#N/A</v>
      </c>
      <c r="OA136" s="12">
        <f t="array" ref="OA136">INDEX(NZ:NZ,MIN(IF(ISNUMBER(NZ136:NZ332),ROW(NZ136:NZ332),"")))</f>
        <v>0</v>
      </c>
      <c r="OB136" s="12">
        <f>IF('Données projet'!$A$512&gt;35,OB135+OA136-OJ135,IF($A136&lt;'Données projet'!$A$512,$CQ$205^$A136,IF($A136='Données projet'!$A$512,'Données projet'!$B$512,OB135+OA136-OJ135)))</f>
        <v>0</v>
      </c>
      <c r="OC136" s="17" t="e">
        <f>OB136*VLOOKUP('Données projet'!$B$27,Paramètres!$A$1:$I$89,3,0)*VLOOKUP('Données projet'!$B$27,Paramètres!$A$1:$I$89,5,0)</f>
        <v>#N/A</v>
      </c>
      <c r="OD136" s="13" t="e">
        <f t="shared" si="322"/>
        <v>#N/A</v>
      </c>
      <c r="OE136" s="14" t="e">
        <f t="shared" si="278"/>
        <v>#N/A</v>
      </c>
      <c r="OF136" s="59" t="e">
        <f t="shared" si="279"/>
        <v>#N/A</v>
      </c>
      <c r="OG136" s="20" t="e">
        <f ca="1">AVERAGE(OFFSET($OF$3,0,0,'Données projet'!$E$27+1,1))-AVERAGE(OFFSET($H$3,0,0,'Données projet'!$E$27+1,1))</f>
        <v>#N/A</v>
      </c>
      <c r="OH136" s="59" t="e">
        <f t="shared" si="323"/>
        <v>#N/A</v>
      </c>
      <c r="OI136" s="15">
        <f>IF(ISNA(VLOOKUP($A136,'Données projet'!$A$512:$I$532,3,0)),0,VLOOKUP($A136,'Données projet'!$A$512:$I$532,3,0))</f>
        <v>0</v>
      </c>
      <c r="OJ136" s="15">
        <f>IF(ISNA(VLOOKUP($A136,'Données projet'!$A$512:$I$532,4,0)),0,VLOOKUP($A136,'Données projet'!$A$512:$I$532,4,0))</f>
        <v>0</v>
      </c>
      <c r="OK136" s="16">
        <f>IF(ISNA(VLOOKUP($A136,'Données projet'!$A$512:$I$532,5,0)),0%,VLOOKUP($A136,'Données projet'!$A$512:$I$532,5,0)*VLOOKUP('Données projet'!$B$27,Paramètres!$A$1:$I$89,7,0))</f>
        <v>0</v>
      </c>
      <c r="OL136" s="16">
        <f>IF(ISNA(VLOOKUP($A136,'Données projet'!$A$512:$I$532,6,0)),0%,VLOOKUP($A136,'Données projet'!$A$512:$I$532,6,0)*VLOOKUP('Données projet'!$B$27,Paramètres!$A$1:$I$89,7,0))</f>
        <v>0</v>
      </c>
      <c r="OM136" s="16">
        <f>IF(ISNA(VLOOKUP($A136,'Données projet'!$A$512:$I$532,7,0)),0%,VLOOKUP($A136,'Données projet'!$A$512:$I$532,7,0))</f>
        <v>0</v>
      </c>
      <c r="ON136" s="21" t="e">
        <f>EXP(-LN(2)/35)*ON135+(1-EXP(-LN(2)/35))/(LN(2)/35)*OJ136*OK136*VLOOKUP('Données projet'!$B$27,Paramètres!$A$1:$I$89,3,0)*0.475*44/12</f>
        <v>#N/A</v>
      </c>
      <c r="OO136" s="21" t="e">
        <f>EXP(-LN(2)/25)*OO135+(1-EXP(-LN(2)/25))/(LN(2)/25)*Calculateur!OJ136*Calculateur!OL136*VLOOKUP('Données projet'!$B$27,Paramètres!$A$1:$I$89,3,0)*0.475*44/12</f>
        <v>#N/A</v>
      </c>
      <c r="OP136" s="21" t="e">
        <f>EXP(-LN(2)/2)*OP135+(1-EXP(-LN(2)/2))/(LN(2)/2)*OJ136*OM136*VLOOKUP('Données projet'!$B$27,Paramètres!$A$1:$I$89,3,0)*0.475*44/12</f>
        <v>#N/A</v>
      </c>
      <c r="OQ136" s="22" t="e">
        <f t="shared" si="280"/>
        <v>#N/A</v>
      </c>
      <c r="OR136" s="74">
        <f>('Scénario référence'!$F$8+'Scénario référence'!$F$9+'Scénario référence'!$B$17+'Scénario référence'!$B$9+'Scénario référence'!$B$10)*70+IF((45+25*(1-EXP(-0.0175*$A136)))&lt;70,'Scénario référence'!$B$16*(45+25*(1-EXP(-0.0175*$A136))),70*'Scénario référence'!$B$16)+IF((32+38*(1-EXP(-0.0175*$A136)))&lt;70,'Scénario référence'!$B$18*(32+38*(1-EXP(-0.0175*$A136))),70*'Scénario référence'!$B$18)</f>
        <v>70</v>
      </c>
      <c r="OS136" s="12">
        <f>IF($A136&gt;30,10,('Scénario référence'!$B$16+'Scénario référence'!$B$17+'Scénario référence'!$B$18+'Scénario référence'!$B$9+'Scénario référence'!$B$10)*$A136*10/30+('Scénario référence'!$F$8+'Scénario référence'!$F$9)*10)</f>
        <v>10</v>
      </c>
      <c r="OT136" s="12" t="e">
        <f>VLOOKUP($A136,'Données projet'!$A$538:$I$558,2,0)</f>
        <v>#N/A</v>
      </c>
      <c r="OU136" s="12" t="e">
        <f>VLOOKUP($A136,'Données projet'!$A$538:$I$558,9,0)</f>
        <v>#N/A</v>
      </c>
      <c r="OV136" s="12">
        <f t="array" ref="OV136">INDEX(OU:OU,MIN(IF(ISNUMBER(OU136:OU332),ROW(OU136:OU332),"")))</f>
        <v>0</v>
      </c>
      <c r="OW136" s="12">
        <f>IF('Données projet'!$A$538&gt;35,OW135+OV136-PE135,IF($A136&lt;'Données projet'!$A$538,$CQ$205^$A136,IF($A136='Données projet'!$A$538,'Données projet'!$B$538,OW135+OV136-PE135)))</f>
        <v>0</v>
      </c>
      <c r="OX136" s="17" t="e">
        <f>OW136*VLOOKUP('Données projet'!$B$28,Paramètres!$A$1:$I$89,3,0)*VLOOKUP('Données projet'!$B$28,Paramètres!$A$1:$I$89,5,0)</f>
        <v>#N/A</v>
      </c>
      <c r="OY136" s="13" t="e">
        <f t="shared" si="324"/>
        <v>#N/A</v>
      </c>
      <c r="OZ136" s="14" t="e">
        <f t="shared" si="281"/>
        <v>#N/A</v>
      </c>
      <c r="PA136" s="59" t="e">
        <f t="shared" si="282"/>
        <v>#N/A</v>
      </c>
      <c r="PB136" s="20" t="e">
        <f ca="1">AVERAGE(OFFSET($PA$3,0,0,'Données projet'!$E$28+1,1))-AVERAGE(OFFSET($H$3,0,0,'Données projet'!$E$28+1,1))</f>
        <v>#N/A</v>
      </c>
      <c r="PC136" s="59" t="e">
        <f t="shared" si="325"/>
        <v>#N/A</v>
      </c>
      <c r="PD136" s="15">
        <f>IF(ISNA(VLOOKUP($A136,'Données projet'!$A$538:$I$558,3,0)),0,VLOOKUP($A136,'Données projet'!$A$538:$I$558,3,0))</f>
        <v>0</v>
      </c>
      <c r="PE136" s="15">
        <f>IF(ISNA(VLOOKUP($A136,'Données projet'!$A$538:$I$558,4,0)),0,VLOOKUP($A136,'Données projet'!$A$538:$I$558,4,0))</f>
        <v>0</v>
      </c>
      <c r="PF136" s="16">
        <f>IF(ISNA(VLOOKUP($A136,'Données projet'!$A$538:$I$558,5,0)),0%,VLOOKUP($A136,'Données projet'!$A$538:$I$558,5,0)*VLOOKUP('Données projet'!$B$28,Paramètres!$A$1:$I$89,7,0))</f>
        <v>0</v>
      </c>
      <c r="PG136" s="16">
        <f>IF(ISNA(VLOOKUP($A136,'Données projet'!$A$538:$I$558,6,0)),0%,VLOOKUP($A136,'Données projet'!$A$538:$I$558,6,0)*VLOOKUP('Données projet'!$B$28,Paramètres!$A$1:$I$89,7,0))</f>
        <v>0</v>
      </c>
      <c r="PH136" s="16">
        <f>IF(ISNA(VLOOKUP($A136,'Données projet'!$A$538:$I$558,7,0)),0%,VLOOKUP($A136,'Données projet'!$A$538:$I$558,7,0))</f>
        <v>0</v>
      </c>
      <c r="PI136" s="21" t="e">
        <f>EXP(-LN(2)/35)*PI135+(1-EXP(-LN(2)/35))/(LN(2)/35)*PE136*PF136*VLOOKUP('Données projet'!$B$28,Paramètres!$A$1:$I$89,3,0)*0.475*44/12</f>
        <v>#N/A</v>
      </c>
      <c r="PJ136" s="21" t="e">
        <f>EXP(-LN(2)/25)*PJ135+(1-EXP(-LN(2)/25))/(LN(2)/25)*Calculateur!PE136*Calculateur!PG136*VLOOKUP('Données projet'!$B$28,Paramètres!$A$1:$I$89,3,0)*0.475*44/12</f>
        <v>#N/A</v>
      </c>
      <c r="PK136" s="21" t="e">
        <f>EXP(-LN(2)/2)*PK135+(1-EXP(-LN(2)/2))/(LN(2)/2)*PE136*PH136*VLOOKUP('Données projet'!$B$28,Paramètres!$A$1:$I$89,3,0)*0.475*44/12</f>
        <v>#N/A</v>
      </c>
      <c r="PL136" s="22" t="e">
        <f t="shared" si="283"/>
        <v>#N/A</v>
      </c>
    </row>
    <row r="137" spans="1:428" x14ac:dyDescent="0.35">
      <c r="A137" s="10">
        <f t="shared" si="284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285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225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projet'!$A$45:$I$65,2,0)</f>
        <v>#N/A</v>
      </c>
      <c r="L137" s="12" t="e">
        <f>VLOOKUP(A137,'Données projet'!$A$45:$I$65,9,0)</f>
        <v>#N/A</v>
      </c>
      <c r="M137" s="12">
        <f t="array" ref="M137">INDEX(L:L,MIN(IF(ISNUMBER(L137:L333),ROW(L137:L333),"")))</f>
        <v>0</v>
      </c>
      <c r="N137" s="13">
        <f>IF('Données projet'!$A$46&gt;35,N136+M137-V136,IF(A137&lt;'Données projet'!$A$46,$K$205^A137,IF(A137='Données projet'!$A$46,'Données projet'!$B$46,N136+M137-V136)))</f>
        <v>-1.1368683772161603E-13</v>
      </c>
      <c r="O137" s="13">
        <f>N137*VLOOKUP('Données projet'!$B$9,Paramètres!$A$1:$I$89,3,0)*VLOOKUP('Données projet'!$B$9,Paramètres!$A$1:$I$89,5,0)</f>
        <v>-6.3550942286383367E-14</v>
      </c>
      <c r="P137" s="13" t="e">
        <f t="shared" si="286"/>
        <v>#NUM!</v>
      </c>
      <c r="Q137" s="20" t="e">
        <f t="shared" si="223"/>
        <v>#NUM!</v>
      </c>
      <c r="R137" s="59" t="e">
        <f t="shared" si="224"/>
        <v>#NUM!</v>
      </c>
      <c r="S137" s="59">
        <f ca="1">AVERAGE(OFFSET($R$3,0,0,'Données projet'!$E$9+1,1))-AVERAGE(OFFSET($H$3,0,0,'Données projet'!$E$9+1,1))</f>
        <v>274.57619581652199</v>
      </c>
      <c r="T137" s="59">
        <f t="shared" si="287"/>
        <v>366.15117322598775</v>
      </c>
      <c r="U137" s="15">
        <f>IF(ISNA(VLOOKUP(A137,'Données projet'!$A$45:$I$65,3,0)),0,VLOOKUP(A137,'Données projet'!$A$45:$I$65,3,0))</f>
        <v>0</v>
      </c>
      <c r="V137" s="15">
        <f>IF(ISNA(VLOOKUP(A137,'Données projet'!$A$45:$I$65,4,0)),0,VLOOKUP(A137,'Données projet'!$A$45:$I$65,4,0))</f>
        <v>0</v>
      </c>
      <c r="W137" s="16">
        <f>IF(ISNA(VLOOKUP(A137,'Données projet'!$A$45:$I$65,5,0)),0%,VLOOKUP(A137,'Données projet'!$A$45:$I$65,5,0)*VLOOKUP('Données projet'!$B$9,Paramètres!$A$1:$I$89,7,0))</f>
        <v>0</v>
      </c>
      <c r="X137" s="16">
        <f>IF(ISNA(VLOOKUP(A137,'Données projet'!$A$45:$I$65,6,0)),0%,VLOOKUP(A137,'Données projet'!$A$45:$I$65,6,0)*VLOOKUP('Données projet'!$B$9,Paramètres!$A$1:$I$89,7,0))</f>
        <v>0</v>
      </c>
      <c r="Y137" s="16">
        <f>IF(ISNA(VLOOKUP(A137,'Données projet'!$A$45:$I$65,7,0)),0%,VLOOKUP(A137,'Données projet'!$A$45:$I$65,7,0))</f>
        <v>0</v>
      </c>
      <c r="Z137" s="21">
        <f>EXP(-LN(2)/35)*Z136+(1-EXP(-LN(2)/35))/(LN(2)/35)*V137*W137*VLOOKUP('Données projet'!$B$9,Paramètres!$A$1:$I$89,3,0)*0.475*44/12</f>
        <v>47.413453407829749</v>
      </c>
      <c r="AA137" s="21">
        <f>EXP(-LN(2)/25)*AA136+(1-EXP(-LN(2)/25))/(LN(2)/25)*Calculateur!V137*Calculateur!X137*VLOOKUP('Données projet'!$B$9,Paramètres!$A$1:$I$89,3,0)*0.475*44/12</f>
        <v>6.4450397781850546</v>
      </c>
      <c r="AB137" s="21">
        <f>EXP(-LN(2)/2)*AB136+(1-EXP(-LN(2)/2))/(LN(2)/2)*V137*Y137*VLOOKUP('Données projet'!$B$9,Paramètres!$A$1:$I$89,3,0)*0.475*44/12</f>
        <v>4.3938943627805363E-11</v>
      </c>
      <c r="AC137" s="22">
        <f t="shared" si="226"/>
        <v>53.858493186058745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projet'!$A$71:$I$91,2,0)</f>
        <v>#N/A</v>
      </c>
      <c r="AG137" s="12" t="e">
        <f>VLOOKUP(A137,'Données projet'!$A$71:$I$91,9,0)</f>
        <v>#N/A</v>
      </c>
      <c r="AH137" s="12">
        <f t="array" ref="AH137">INDEX(AG:AG,MIN(IF(ISNUMBER(AG137:AG333),ROW(AG137:AG333),"")))</f>
        <v>0</v>
      </c>
      <c r="AI137" s="13">
        <f>IF('Données projet'!$A$72&gt;35,AI136+AH137-AQ136,IF(A137&lt;'Données projet'!$A$72,$AF$205^A137,IF(A137='Données projet'!$A$72,'Données projet'!$B$72,AI136+AH137-AQ136)))</f>
        <v>5.6843418860808015E-13</v>
      </c>
      <c r="AJ137" s="13">
        <f>AI137*VLOOKUP('Données projet'!$B$10,Paramètres!$A$1:$I$89,3,0)*VLOOKUP('Données projet'!$B$10,Paramètres!$A$1:$I$89,5,0)</f>
        <v>5.1431925385259092E-13</v>
      </c>
      <c r="AK137" s="13">
        <f t="shared" si="288"/>
        <v>6.3855359115685756E-12</v>
      </c>
      <c r="AL137" s="20">
        <f t="shared" si="227"/>
        <v>1.2017247746441865E-11</v>
      </c>
      <c r="AM137" s="59">
        <f t="shared" si="228"/>
        <v>293.33333333334531</v>
      </c>
      <c r="AN137" s="59">
        <f ca="1">AVERAGE(OFFSET($AM$3,0,0,'Données projet'!$E$10+1,1))-AVERAGE(OFFSET($H$3,0,0,'Données projet'!$E$10+1,1))</f>
        <v>270.87836509222456</v>
      </c>
      <c r="AO137" s="59">
        <f t="shared" si="289"/>
        <v>205.24998237949734</v>
      </c>
      <c r="AP137" s="15">
        <f>IF(ISNA(VLOOKUP(A137,'Données projet'!$A$71:$I$91,3,0)),0,VLOOKUP(A137,'Données projet'!$A$71:$I$91,3,0))</f>
        <v>0</v>
      </c>
      <c r="AQ137" s="15">
        <f>IF(ISNA(VLOOKUP(A137,'Données projet'!$A$71:$I$91,4,0)),0,VLOOKUP(A137,'Données projet'!$A$71:$I$91,4,0))</f>
        <v>0</v>
      </c>
      <c r="AR137" s="16">
        <f>IF(ISNA(VLOOKUP(A137,'Données projet'!$A$71:$I$91,5,0)),0%,VLOOKUP(A137,'Données projet'!$A$71:$I$91,5,0)*VLOOKUP('Données projet'!$B$10,Paramètres!$A$1:$I$89,7,0))</f>
        <v>0</v>
      </c>
      <c r="AS137" s="16">
        <f>IF(ISNA(VLOOKUP(A137,'Données projet'!$A$71:$I$91,6,0)),0%,VLOOKUP(A137,'Données projet'!$A$71:$I$91,6,0)*VLOOKUP('Données projet'!$B$10,Paramètres!$A$1:$I$89,7,0))</f>
        <v>0</v>
      </c>
      <c r="AT137" s="16">
        <f>IF(ISNA(VLOOKUP(A137,'Données projet'!$A$71:$I$91,7,0)),0%,VLOOKUP(A137,'Données projet'!$A$71:$I$91,7,0))</f>
        <v>0</v>
      </c>
      <c r="AU137" s="21">
        <f>EXP(-LN(2)/35)*AU136+(1-EXP(-LN(2)/35))/(LN(2)/35)*AQ137*AR137*VLOOKUP('Données projet'!$B$10,Paramètres!$A$1:$I$89,3,0)*0.475*44/12</f>
        <v>161.12299454292295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229"/>
        <v>161.12299454292295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projet'!$A$97:$I$117,2,0)</f>
        <v>#N/A</v>
      </c>
      <c r="BB137" s="12" t="e">
        <f>VLOOKUP(A137,'Données projet'!$A$97:$I$117,9,0)</f>
        <v>#N/A</v>
      </c>
      <c r="BC137" s="12">
        <f t="array" ref="BC137">INDEX(BB:BB,MIN(IF(ISNUMBER(BB137:BB333),ROW(BB137:BB333),"")))</f>
        <v>0</v>
      </c>
      <c r="BD137" s="12">
        <f>IF('Données projet'!$A$98&gt;35,BD136+BC137-BL136,IF(A137&lt;'Données projet'!$A$98,$BA$205^A137,IF(A137='Données projet'!$A$98,'Données projet'!$B$98,BD136+BC137-BL136)))</f>
        <v>-1.1368683772161603E-13</v>
      </c>
      <c r="BE137" s="13">
        <f>BD137*VLOOKUP('Données projet'!$B$11,Paramètres!$A$1:$I$89,3,0)*VLOOKUP('Données projet'!$B$11,Paramètres!$A$1:$I$89,5,0)</f>
        <v>-5.0249582272954292E-14</v>
      </c>
      <c r="BF137" s="13" t="e">
        <f t="shared" si="290"/>
        <v>#NUM!</v>
      </c>
      <c r="BG137" s="20" t="e">
        <f t="shared" si="230"/>
        <v>#NUM!</v>
      </c>
      <c r="BH137" s="59" t="e">
        <f t="shared" si="231"/>
        <v>#NUM!</v>
      </c>
      <c r="BI137" s="59">
        <f ca="1">AVERAGE(OFFSET($BH$3,0,0,'Données projet'!$E$11+1,1))-AVERAGE(OFFSET($H$3,0,0,'Données projet'!$E$11+1,1))</f>
        <v>211.31057120485542</v>
      </c>
      <c r="BJ137" s="59">
        <f t="shared" si="291"/>
        <v>283.33292006714777</v>
      </c>
      <c r="BK137" s="15">
        <f>IF(ISNA(VLOOKUP(A137,'Données projet'!$A$97:$I$117,3,0)),0,VLOOKUP(A137,'Données projet'!$A$97:$I$117,3,0))</f>
        <v>0</v>
      </c>
      <c r="BL137" s="15">
        <f>IF(ISNA(VLOOKUP(A137,'Données projet'!$A$97:$I$117,4,0)),0,VLOOKUP(A137,'Données projet'!$A$97:$I$117,4,0))</f>
        <v>0</v>
      </c>
      <c r="BM137" s="16">
        <f>IF(ISNA(VLOOKUP(A137,'Données projet'!$A$97:$I$117,5,0)),0%,VLOOKUP(A137,'Données projet'!$A$97:$I$117,5,0)*VLOOKUP('Données projet'!$B$11,Paramètres!$A$1:$I$89,7,0))</f>
        <v>0</v>
      </c>
      <c r="BN137" s="16">
        <f>IF(ISNA(VLOOKUP(A137,'Données projet'!$A$97:$I$117,6,0)),0%,VLOOKUP(A137,'Données projet'!$A$97:$I$117,6,0)*VLOOKUP('Données projet'!$B$11,Paramètres!$A$1:$I$89,7,0))</f>
        <v>0</v>
      </c>
      <c r="BO137" s="16">
        <f>IF(ISNA(VLOOKUP(A137,'Données projet'!$A$97:$I$117,7,0)),0%,VLOOKUP(A137,'Données projet'!$A$97:$I$117,7,0))</f>
        <v>0</v>
      </c>
      <c r="BP137" s="21">
        <f>EXP(-LN(2)/35)*BP136+(1-EXP(-LN(2)/35))/(LN(2)/35)*BL137*BM137*VLOOKUP('Données projet'!$B$11,Paramètres!$A$1:$I$89,3,0)*0.475*44/12</f>
        <v>37.489707345725861</v>
      </c>
      <c r="BQ137" s="21">
        <f>EXP(-LN(2)/25)*BQ136+(1-EXP(-LN(2)/25))/(LN(2)/25)*Calculateur!BL137*Calculateur!BN137*VLOOKUP('Données projet'!$B$11,Paramètres!$A$1:$I$89,3,0)*0.475*44/12</f>
        <v>5.0960779641463194</v>
      </c>
      <c r="BR137" s="21">
        <f>EXP(-LN(2)/2)*BR136+(1-EXP(-LN(2)/2))/(LN(2)/2)*BL137*BO137*VLOOKUP('Données projet'!$B$11,Paramètres!$A$1:$I$89,3,0)*0.475*44/12</f>
        <v>3.4742420542915861E-11</v>
      </c>
      <c r="BS137" s="22">
        <f t="shared" si="232"/>
        <v>42.585785309906925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projet'!$A$123:$I$143,2,0)</f>
        <v>#N/A</v>
      </c>
      <c r="BW137" s="12" t="e">
        <f>VLOOKUP(A137,'Données projet'!$A$123:$I$143,9,0)</f>
        <v>#N/A</v>
      </c>
      <c r="BX137" s="12">
        <f t="array" ref="BX137">INDEX(BW:BW,MIN(IF(ISNUMBER(BW137:BW333),ROW(BW137:BW333),"")))</f>
        <v>0</v>
      </c>
      <c r="BY137" s="12">
        <f>IF('Données projet'!$A$124&gt;35,BY136+BX137-CG136,IF(A137&lt;'Données projet'!$A$124,$BV$205^A137,IF(A137='Données projet'!$A$124,'Données projet'!$B$124,BY136+BX137-CG136)))</f>
        <v>0</v>
      </c>
      <c r="BZ137" s="13">
        <f>BY137*VLOOKUP('Données projet'!$B$12,Paramètres!$A$1:$I$89,3,0)*VLOOKUP('Données projet'!$B$12,Paramètres!$A$1:$I$89,5,0)</f>
        <v>0</v>
      </c>
      <c r="CA137" s="13" t="e">
        <f t="shared" si="292"/>
        <v>#NUM!</v>
      </c>
      <c r="CB137" s="20" t="e">
        <f t="shared" si="233"/>
        <v>#NUM!</v>
      </c>
      <c r="CC137" s="59" t="e">
        <f t="shared" si="234"/>
        <v>#NUM!</v>
      </c>
      <c r="CD137" s="59">
        <f ca="1">AVERAGE(OFFSET($CC$3,0,0,'Données projet'!$E$12+1,1))-AVERAGE(OFFSET($H$3,0,0,'Données projet'!$E$12+1,1))</f>
        <v>322.93502595881938</v>
      </c>
      <c r="CE137" s="59">
        <f t="shared" si="293"/>
        <v>302.67072119588164</v>
      </c>
      <c r="CF137" s="15">
        <f>IF(ISNA(VLOOKUP(A137,'Données projet'!$A$123:$I$143,3,0)),0,VLOOKUP(A137,'Données projet'!$A$123:$I$143,3,0))</f>
        <v>0</v>
      </c>
      <c r="CG137" s="15">
        <f>IF(ISNA(VLOOKUP(A137,'Données projet'!$A$123:$I$143,4,0)),0,VLOOKUP(A137,'Données projet'!$A$123:$I$143,4,0))</f>
        <v>0</v>
      </c>
      <c r="CH137" s="16">
        <f>IF(ISNA(VLOOKUP(A137,'Données projet'!$A$123:$I$143,5,0)),0%,VLOOKUP(A137,'Données projet'!$A$123:$I$143,5,0)*VLOOKUP('Données projet'!$B$12,Paramètres!$A$1:$I$89,7,0))</f>
        <v>0</v>
      </c>
      <c r="CI137" s="16">
        <f>IF(ISNA(VLOOKUP(A137,'Données projet'!$A$123:$I$143,6,0)),0%,VLOOKUP(A137,'Données projet'!$A$123:$I$143,6,0)*VLOOKUP('Données projet'!$B$12,Paramètres!$A$1:$I$89,7,0))</f>
        <v>0</v>
      </c>
      <c r="CJ137" s="16">
        <f>IF(ISNA(VLOOKUP(A137,'Données projet'!$A$123:$I$143,7,0)),0%,VLOOKUP(A137,'Données projet'!$A$123:$I$143,7,0))</f>
        <v>0</v>
      </c>
      <c r="CK137" s="21">
        <f>EXP(-LN(2)/35)*CK136+(1-EXP(-LN(2)/35))/(LN(2)/35)*CG137*CH137*VLOOKUP('Données projet'!$B$12,Paramètres!$A$1:$I$89,3,0)*0.475*44/12</f>
        <v>59.730162597639357</v>
      </c>
      <c r="CL137" s="21">
        <f>EXP(-LN(2)/25)*CL136+(1-EXP(-LN(2)/25))/(LN(2)/25)*Calculateur!CG137*Calculateur!CI137*VLOOKUP('Données projet'!$B$12,Paramètres!$A$1:$I$89,3,0)*0.475*44/12</f>
        <v>16.310532811025077</v>
      </c>
      <c r="CM137" s="21">
        <f>EXP(-LN(2)/2)*CM136+(1-EXP(-LN(2)/2))/(LN(2)/2)*CG137*CJ137*VLOOKUP('Données projet'!$B$12,Paramètres!$A$1:$I$89,3,0)*0.475*44/12</f>
        <v>0</v>
      </c>
      <c r="CN137" s="22">
        <f t="shared" si="235"/>
        <v>76.040695408664433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projet'!$A$149:$I$169,2,0)</f>
        <v>#N/A</v>
      </c>
      <c r="CR137" s="12" t="e">
        <f>VLOOKUP(A137,'Données projet'!$A$149:$I$169,9,0)</f>
        <v>#N/A</v>
      </c>
      <c r="CS137" s="12">
        <f t="array" ref="CS137">INDEX(CR:CR,MIN(IF(ISNUMBER(CR137:CR333),ROW(CR137:CR333),"")))</f>
        <v>5.2446581196581219</v>
      </c>
      <c r="CT137" s="12">
        <f>IF('Données projet'!$A$150&gt;35,CT136+CS137-DB136,IF(A137&lt;'Données projet'!$A$150,$CQ$205^A137,IF(A137='Données projet'!$A$150,'Données projet'!$B$150,CT136+CS137-DB136)))</f>
        <v>277.33653846153805</v>
      </c>
      <c r="CU137" s="17">
        <f>CT137*VLOOKUP('Données projet'!$B$13,Paramètres!$A$1:$I$89,3,0)*VLOOKUP('Données projet'!$B$13,Paramètres!$A$1:$I$89,5,0)</f>
        <v>281.21924999999965</v>
      </c>
      <c r="CV137" s="13">
        <f t="shared" si="294"/>
        <v>67.224606261587638</v>
      </c>
      <c r="CW137" s="20">
        <f t="shared" si="236"/>
        <v>606.87304965559781</v>
      </c>
      <c r="CX137" s="59">
        <f t="shared" si="237"/>
        <v>900.20638298893118</v>
      </c>
      <c r="CY137" s="59">
        <f ca="1">AVERAGE(OFFSET($CX$3,0,0,'Données projet'!$E$13+1,1))-AVERAGE(OFFSET($H$3,0,0,'Données projet'!$E$13+1,1))</f>
        <v>250.31277422753283</v>
      </c>
      <c r="CZ137" s="59">
        <f t="shared" si="295"/>
        <v>159.20429420478047</v>
      </c>
      <c r="DA137" s="15">
        <f>IF(ISNA(VLOOKUP(A137,'Données projet'!$A$149:$I$169,3,0)),0,VLOOKUP(A137,'Données projet'!$A$149:$I$169,3,0))</f>
        <v>0</v>
      </c>
      <c r="DB137" s="15">
        <f>IF(ISNA(VLOOKUP(A137,'Données projet'!$A$149:$I$169,4,0)),0,VLOOKUP(A137,'Données projet'!$A$149:$I$169,4,0))</f>
        <v>0</v>
      </c>
      <c r="DC137" s="16">
        <f>IF(ISNA(VLOOKUP(A137,'Données projet'!$A$149:$I$169,5,0)),0%,VLOOKUP(A137,'Données projet'!$A$149:$I$169,5,0)*VLOOKUP('Données projet'!$B$13,Paramètres!$A$1:$I$89,7,0))</f>
        <v>0</v>
      </c>
      <c r="DD137" s="16">
        <f>IF(ISNA(VLOOKUP(A137,'Données projet'!$A$149:$I$169,6,0)),0%,VLOOKUP(A137,'Données projet'!$A$149:$I$169,6,0)*VLOOKUP('Données projet'!$B$13,Paramètres!$A$1:$I$89,7,0))</f>
        <v>0</v>
      </c>
      <c r="DE137" s="16">
        <f>IF(ISNA(VLOOKUP(A137,'Données projet'!$A$149:$I$169,7,0)),0%,VLOOKUP(A137,'Données projet'!$A$149:$I$169,7,0))</f>
        <v>0</v>
      </c>
      <c r="DF137" s="21">
        <f>EXP(-LN(2)/35)*DF136+(1-EXP(-LN(2)/35))/(LN(2)/35)*DB137*DC137*VLOOKUP('Données projet'!$B$13,Paramètres!$A$1:$I$89,3,0)*0.475*44/12</f>
        <v>39.993653705522973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238"/>
        <v>39.993653705522973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projet'!$A$175:$I$195,2,0)</f>
        <v>#N/A</v>
      </c>
      <c r="DM137" s="12" t="e">
        <f>VLOOKUP(A137,'Données projet'!$A$175:$I$195,9,0)</f>
        <v>#N/A</v>
      </c>
      <c r="DN137" s="12">
        <f t="array" ref="DN137">INDEX(DM:DM,MIN(IF(ISNUMBER(DM137:DM333),ROW(DM137:DM333),"")))</f>
        <v>0</v>
      </c>
      <c r="DO137" s="12">
        <f>IF('Données projet'!$A$176&gt;35,DO136+DN137-DW136,IF(A137&lt;'Données projet'!$A$176,$DL$205^A137,IF(A137='Données projet'!$A$176,'Données projet'!$B$176,DO136+DN137-DW136)))</f>
        <v>-2.8421709430404007E-13</v>
      </c>
      <c r="DP137" s="17">
        <f>DO137*VLOOKUP('Données projet'!$B$14,Paramètres!$A$1:$I$89,3,0)*VLOOKUP('Données projet'!$B$14,Paramètres!$A$1:$I$89,5,0)</f>
        <v>-2.0838797354372215E-13</v>
      </c>
      <c r="DQ137" s="13" t="e">
        <f t="shared" si="296"/>
        <v>#NUM!</v>
      </c>
      <c r="DR137" s="20" t="e">
        <f t="shared" si="239"/>
        <v>#NUM!</v>
      </c>
      <c r="DS137" s="59" t="e">
        <f t="shared" si="240"/>
        <v>#NUM!</v>
      </c>
      <c r="DT137" s="59">
        <f ca="1">AVERAGE(OFFSET($DS$3,0,0,'Données projet'!$E$14+1,1))-AVERAGE(OFFSET($H$3,0,0,'Données projet'!$E$14+1,1))</f>
        <v>296.91321813251051</v>
      </c>
      <c r="DU137" s="59">
        <f t="shared" si="297"/>
        <v>291.0718079639509</v>
      </c>
      <c r="DV137" s="15">
        <f>IF(ISNA(VLOOKUP(A137,'Données projet'!$A$175:$I$195,3,0)),0,VLOOKUP(A137,'Données projet'!$A$175:$I$195,3,0))</f>
        <v>0</v>
      </c>
      <c r="DW137" s="15">
        <f>IF(ISNA(VLOOKUP(A137,'Données projet'!$A$175:$I$195,4,0)),0,VLOOKUP(A137,'Données projet'!$A$175:$I$195,4,0))</f>
        <v>0</v>
      </c>
      <c r="DX137" s="16">
        <f>IF(ISNA(VLOOKUP(A137,'Données projet'!$A$175:$I$195,5,0)),0%,VLOOKUP(A137,'Données projet'!$A$175:$I$195,5,0)*VLOOKUP('Données projet'!$B$14,Paramètres!$A$1:$I$89,7,0))</f>
        <v>0</v>
      </c>
      <c r="DY137" s="16">
        <f>IF(ISNA(VLOOKUP(A137,'Données projet'!$A$175:$I$195,6,0)),0%,VLOOKUP(A137,'Données projet'!$A$175:$I$195,6,0)*VLOOKUP('Données projet'!$B$14,Paramètres!$A$1:$I$89,7,0))</f>
        <v>0</v>
      </c>
      <c r="DZ137" s="16">
        <f>IF(ISNA(VLOOKUP(A137,'Données projet'!$A$175:$I$195,7,0)),0%,VLOOKUP(A137,'Données projet'!$A$175:$I$195,7,0))</f>
        <v>0</v>
      </c>
      <c r="EA137" s="21">
        <f>EXP(-LN(2)/35)*EA136+(1-EXP(-LN(2)/35))/(LN(2)/35)*DW137*DX137*VLOOKUP('Données projet'!$B$14,Paramètres!$A$1:$I$89,3,0)*0.475*44/12</f>
        <v>59.531796162442546</v>
      </c>
      <c r="EB137" s="21">
        <f>EXP(-LN(2)/25)*EB136+(1-EXP(-LN(2)/25))/(LN(2)/25)*Calculateur!DW137*Calculateur!DY137*VLOOKUP('Données projet'!$B$14,Paramètres!$A$1:$I$89,3,0)*0.475*44/12</f>
        <v>1.198186533063833</v>
      </c>
      <c r="EC137" s="21">
        <f>EXP(-LN(2)/2)*EC136+(1-EXP(-LN(2)/2))/(LN(2)/2)*DW137*DZ137*VLOOKUP('Données projet'!$B$14,Paramètres!$A$1:$I$89,3,0)*0.475*44/12</f>
        <v>0</v>
      </c>
      <c r="ED137" s="22">
        <f t="shared" si="241"/>
        <v>60.729982695506379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projet'!$A$201:$I$221,2,0)</f>
        <v>#N/A</v>
      </c>
      <c r="EH137" s="12" t="e">
        <f>VLOOKUP(A137,'Données projet'!$A$201:$I$221,9,0)</f>
        <v>#N/A</v>
      </c>
      <c r="EI137" s="12">
        <f t="array" ref="EI137">INDEX(EH:EH,MIN(IF(ISNUMBER(EH137:EH333),ROW(EH137:EH333),"")))</f>
        <v>0</v>
      </c>
      <c r="EJ137" s="12">
        <f>IF('Données projet'!$A$202&gt;35,EJ136+EI137-ER136,IF(A137&lt;'Données projet'!$A$202,$EG$205^A137,IF(A137='Données projet'!$A$202,'Données projet'!$B$202,EJ136+EI137-ER136)))</f>
        <v>5.1159076974727213E-13</v>
      </c>
      <c r="EK137" s="17">
        <f>EJ137*VLOOKUP('Données projet'!$B$15,Paramètres!$A$1:$I$89,3,0)*VLOOKUP('Données projet'!$B$15,Paramètres!$A$1:$I$89,5,0)</f>
        <v>2.3942448024172334E-13</v>
      </c>
      <c r="EL137" s="13">
        <f t="shared" si="298"/>
        <v>3.2492669905861755E-12</v>
      </c>
      <c r="EM137" s="20">
        <f t="shared" si="242"/>
        <v>6.0761376450252565E-12</v>
      </c>
      <c r="EN137" s="59">
        <f t="shared" si="243"/>
        <v>293.3333333333394</v>
      </c>
      <c r="EO137" s="59">
        <f ca="1">AVERAGE(OFFSET($EN$3,0,0,'Données projet'!$E$15+1,1))-AVERAGE(OFFSET($H$3,0,0,'Données projet'!$E$15+1,1))</f>
        <v>147.64256291235483</v>
      </c>
      <c r="EP137" s="59">
        <f t="shared" si="299"/>
        <v>70.859031694091868</v>
      </c>
      <c r="EQ137" s="15">
        <f>IF(ISNA(VLOOKUP(A137,'Données projet'!$A$201:$I$221,3,0)),0,VLOOKUP(A137,'Données projet'!$A$201:$I$221,3,0))</f>
        <v>0</v>
      </c>
      <c r="ER137" s="15">
        <f>IF(ISNA(VLOOKUP(A137,'Données projet'!$A$201:$I$221,4,0)),0,VLOOKUP(A137,'Données projet'!$A$201:$I$221,4,0))</f>
        <v>0</v>
      </c>
      <c r="ES137" s="16">
        <f>IF(ISNA(VLOOKUP(A137,'Données projet'!$A$201:$I$221,5,0)),0%,VLOOKUP(A137,'Données projet'!$A$201:$I$221,5,0)*VLOOKUP('Données projet'!$B$15,Paramètres!$A$1:$I$89,7,0))</f>
        <v>0</v>
      </c>
      <c r="ET137" s="16">
        <f>IF(ISNA(VLOOKUP(A137,'Données projet'!$A$201:$I$221,6,0)),0%,VLOOKUP(A137,'Données projet'!$A$201:$I$221,6,0)*VLOOKUP('Données projet'!$B$15,Paramètres!$A$1:$I$89,7,0))</f>
        <v>0</v>
      </c>
      <c r="EU137" s="16">
        <f>IF(ISNA(VLOOKUP(A137,'Données projet'!$A$201:$I$221,7,0)),0%,VLOOKUP(A137,'Données projet'!$A$201:$I$221,7,0))</f>
        <v>0</v>
      </c>
      <c r="EV137" s="21">
        <f>EXP(-LN(2)/35)*EV136+(1-EXP(-LN(2)/35))/(LN(2)/35)*ER137*ES137*VLOOKUP('Données projet'!$B$15,Paramètres!$A$1:$I$89,3,0)*0.475*44/12</f>
        <v>81.49996733652803</v>
      </c>
      <c r="EW137" s="21">
        <f>EXP(-LN(2)/25)*EW136+(1-EXP(-LN(2)/25))/(LN(2)/25)*Calculateur!ER137*Calculateur!ET137*VLOOKUP('Données projet'!$B$15,Paramètres!$A$1:$I$89,3,0)*0.475*44/12</f>
        <v>16.623630993731211</v>
      </c>
      <c r="EX137" s="21">
        <f>EXP(-LN(2)/2)*EX136+(1-EXP(-LN(2)/2))/(LN(2)/2)*ER137*EU137*VLOOKUP('Données projet'!$B$15,Paramètres!$A$1:$I$89,3,0)*0.475*44/12</f>
        <v>3.1675983025854565E-3</v>
      </c>
      <c r="EY137" s="22">
        <f t="shared" si="244"/>
        <v>98.126765928561824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projet'!$A$227:$I$247,2,0)</f>
        <v>#N/A</v>
      </c>
      <c r="FC137" s="12" t="e">
        <f>VLOOKUP(A137,'Données projet'!$A$227:$I$247,9,0)</f>
        <v>#N/A</v>
      </c>
      <c r="FD137" s="12">
        <f t="array" ref="FD137">INDEX(FC:FC,MIN(IF(ISNUMBER(FC137:FC333),ROW(FC137:FC333),"")))</f>
        <v>0</v>
      </c>
      <c r="FE137" s="12">
        <f>IF('Données projet'!$A$228&gt;35,FE136+FD137-FM136,IF(A137&lt;'Données projet'!$A$228,$FB$205^A137,IF(A137='Données projet'!$A$228,'Données projet'!$B$228,FE136+FD137-FM136)))</f>
        <v>8.5265128291212022E-14</v>
      </c>
      <c r="FF137" s="17">
        <f>FE137*VLOOKUP('Données projet'!$B$16,Paramètres!$A$1:$I$89,3,0)*VLOOKUP('Données projet'!$B$16,Paramètres!$A$1:$I$89,5,0)</f>
        <v>8.9119112089974823E-14</v>
      </c>
      <c r="FG137" s="13">
        <f t="shared" si="300"/>
        <v>1.3568952080113142E-12</v>
      </c>
      <c r="FH137" s="20">
        <f t="shared" si="245"/>
        <v>2.5184749408430782E-12</v>
      </c>
      <c r="FI137" s="59">
        <f t="shared" si="246"/>
        <v>293.33333333333582</v>
      </c>
      <c r="FJ137" s="59">
        <f ca="1">AVERAGE(OFFSET($FI$3,0,0,'Données projet'!$E$16+1,1))-AVERAGE(OFFSET($H$3,0,0,'Données projet'!$E$16+1,1))</f>
        <v>259.03906550253788</v>
      </c>
      <c r="FK137" s="59">
        <f t="shared" si="301"/>
        <v>235.54542903570831</v>
      </c>
      <c r="FL137" s="15">
        <f>IF(ISNA(VLOOKUP(A137,'Données projet'!$A$227:$I$247,3,0)),0,VLOOKUP(A137,'Données projet'!$A$227:$I$247,3,0))</f>
        <v>0</v>
      </c>
      <c r="FM137" s="15">
        <f>IF(ISNA(VLOOKUP(A137,'Données projet'!$A$227:$I$247,4,0)),0,VLOOKUP(A137,'Données projet'!$A$227:$I$247,4,0))</f>
        <v>0</v>
      </c>
      <c r="FN137" s="16">
        <f>IF(ISNA(VLOOKUP(A137,'Données projet'!$A$227:$I$247,5,0)),0%,VLOOKUP(A137,'Données projet'!$A$227:$I$247,5,0)*VLOOKUP('Données projet'!$B$16,Paramètres!$A$1:$I$89,7,0))</f>
        <v>0</v>
      </c>
      <c r="FO137" s="16">
        <f>IF(ISNA(VLOOKUP(A137,'Données projet'!$A$227:$I$247,6,0)),0%,VLOOKUP(A137,'Données projet'!$A$227:$I$247,6,0)*VLOOKUP('Données projet'!$B$16,Paramètres!$A$1:$I$89,7,0))</f>
        <v>0</v>
      </c>
      <c r="FP137" s="16">
        <f>IF(ISNA(VLOOKUP(A137,'Données projet'!$A$227:$I$247,7,0)),0%,VLOOKUP(A137,'Données projet'!$A$227:$I$247,7,0))</f>
        <v>0</v>
      </c>
      <c r="FQ137" s="21">
        <f>EXP(-LN(2)/35)*FQ136+(1-EXP(-LN(2)/35))/(LN(2)/35)*FM137*FN137*VLOOKUP('Données projet'!$B$16,Paramètres!$A$1:$I$89,3,0)*0.475*44/12</f>
        <v>35.971870665759909</v>
      </c>
      <c r="FR137" s="21">
        <f>EXP(-LN(2)/25)*FR136+(1-EXP(-LN(2)/25))/(LN(2)/25)*Calculateur!FM137*Calculateur!FO137*VLOOKUP('Données projet'!$B$16,Paramètres!$A$1:$I$89,3,0)*0.475*44/12</f>
        <v>22.868707866902614</v>
      </c>
      <c r="FS137" s="21">
        <f>EXP(-LN(2)/2)*FS136+(1-EXP(-LN(2)/2))/(LN(2)/2)*FM137*FP137*VLOOKUP('Données projet'!$B$16,Paramètres!$A$1:$I$89,3,0)*0.475*44/12</f>
        <v>0</v>
      </c>
      <c r="FT137" s="22">
        <f t="shared" si="247"/>
        <v>58.840578532662519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projet'!$A$253:$I$273,2,0)</f>
        <v>#N/A</v>
      </c>
      <c r="FX137" s="12" t="e">
        <f>VLOOKUP(A137,'Données projet'!$A$253:$I$273,9,0)</f>
        <v>#N/A</v>
      </c>
      <c r="FY137" s="12">
        <f t="array" ref="FY137">INDEX(FX:FX,MIN(IF(ISNUMBER(FX137:FX333),ROW(FX137:FX333),"")))</f>
        <v>0</v>
      </c>
      <c r="FZ137" s="12">
        <f>IF('Données projet'!$A$254&gt;35,FZ136+FY137-GH136,IF(A137&lt;'Données projet'!$A$254,$FW$205^A137,IF(A137='Données projet'!$A$254,'Données projet'!$B$254,FZ136+FY137-GH136)))</f>
        <v>-1.7053025658242404E-13</v>
      </c>
      <c r="GA137" s="17">
        <f>FZ137*VLOOKUP('Données projet'!$B$17,Paramètres!$A$1:$I$89,3,0)*VLOOKUP('Données projet'!$B$17,Paramètres!$A$1:$I$89,5,0)</f>
        <v>-1.4897523215040567E-13</v>
      </c>
      <c r="GB137" s="13" t="e">
        <f t="shared" si="302"/>
        <v>#NUM!</v>
      </c>
      <c r="GC137" s="20" t="e">
        <f t="shared" si="248"/>
        <v>#NUM!</v>
      </c>
      <c r="GD137" s="59" t="e">
        <f t="shared" si="249"/>
        <v>#NUM!</v>
      </c>
      <c r="GE137" s="59">
        <f ca="1">AVERAGE(OFFSET($GD$3,0,0,'Données projet'!$E$17+1,1))-AVERAGE(OFFSET($H$3,0,0,'Données projet'!$E$17+1,1))</f>
        <v>245.1983232777614</v>
      </c>
      <c r="GF137" s="59">
        <f t="shared" si="303"/>
        <v>242.34010522344573</v>
      </c>
      <c r="GG137" s="15">
        <f>IF(ISNA(VLOOKUP(A137,'Données projet'!$A$253:$I$273,3,0)),0,VLOOKUP(A137,'Données projet'!$A$253:$I$273,3,0))</f>
        <v>0</v>
      </c>
      <c r="GH137" s="15">
        <f>IF(ISNA(VLOOKUP(A137,'Données projet'!$A$253:$I$273,4,0)),0,VLOOKUP(A137,'Données projet'!$A$253:$I$273,4,0))</f>
        <v>0</v>
      </c>
      <c r="GI137" s="16">
        <f>IF(ISNA(VLOOKUP(A137,'Données projet'!$A$253:$I$273,5,0)),0%,VLOOKUP(A137,'Données projet'!$A$253:$I$273,5,0)*VLOOKUP('Données projet'!$B$17,Paramètres!$A$1:$I$89,7,0))</f>
        <v>0</v>
      </c>
      <c r="GJ137" s="16">
        <f>IF(ISNA(VLOOKUP(A137,'Données projet'!$A$253:$I$273,6,0)),0%,VLOOKUP(A137,'Données projet'!$A$253:$I$273,6,0)*VLOOKUP('Données projet'!$B$17,Paramètres!$A$1:$I$89,7,0))</f>
        <v>0</v>
      </c>
      <c r="GK137" s="16">
        <f>IF(ISNA(VLOOKUP(A137,'Données projet'!$A$253:$I$273,7,0)),0%,VLOOKUP(A137,'Données projet'!$A$253:$I$273,7,0))</f>
        <v>0</v>
      </c>
      <c r="GL137" s="21">
        <f>EXP(-LN(2)/35)*GL136+(1-EXP(-LN(2)/35))/(LN(2)/35)*GH137*GI137*VLOOKUP('Données projet'!$B$17,Paramètres!$A$1:$I$89,3,0)*0.475*44/12</f>
        <v>42.289869390877278</v>
      </c>
      <c r="GM137" s="21">
        <f>EXP(-LN(2)/25)*GM136+(1-EXP(-LN(2)/25))/(LN(2)/25)*Calculateur!GH137*Calculateur!GJ137*VLOOKUP('Données projet'!$B$17,Paramètres!$A$1:$I$89,3,0)*0.475*44/12</f>
        <v>4.8727645273489575</v>
      </c>
      <c r="GN137" s="21">
        <f>EXP(-LN(2)/2)*GN136+(1-EXP(-LN(2)/2))/(LN(2)/2)*GH137*GK137*VLOOKUP('Données projet'!$B$17,Paramètres!$A$1:$I$89,3,0)*0.475*44/12</f>
        <v>0</v>
      </c>
      <c r="GO137" s="21">
        <f t="shared" si="250"/>
        <v>47.162633918226234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projet'!$A$279:$I$299,2,0)</f>
        <v>#N/A</v>
      </c>
      <c r="GS137" s="12" t="e">
        <f>VLOOKUP(A137,'Données projet'!$A$279:$I$299,9,0)</f>
        <v>#N/A</v>
      </c>
      <c r="GT137" s="12">
        <f t="array" ref="GT137">INDEX(GS:GS,MIN(IF(ISNUMBER(GS137:GS333),ROW(GS137:GS333),"")))</f>
        <v>0</v>
      </c>
      <c r="GU137" s="12">
        <f>IF('Données projet'!$A$280&gt;35,GU136+GT137-HC136,IF(A137&lt;'Données projet'!$A$280,$GR$205^A137,IF(A137='Données projet'!$A$280,'Données projet'!$B$280,GU136+GT137-HC136)))</f>
        <v>-1.1368683772161603E-13</v>
      </c>
      <c r="GV137" s="17">
        <f>GU137*VLOOKUP('Données projet'!$B$18,Paramètres!$A$1:$I$89,3,0)*VLOOKUP('Données projet'!$B$18,Paramètres!$A$1:$I$89,5,0)</f>
        <v>-4.5815795601811263E-14</v>
      </c>
      <c r="GW137" s="13" t="e">
        <f t="shared" si="304"/>
        <v>#NUM!</v>
      </c>
      <c r="GX137" s="20" t="e">
        <f t="shared" si="251"/>
        <v>#NUM!</v>
      </c>
      <c r="GY137" s="59" t="e">
        <f t="shared" si="252"/>
        <v>#NUM!</v>
      </c>
      <c r="GZ137" s="59">
        <f ca="1">AVERAGE(OFFSET($GY$3,0,0,'Données projet'!$E$18+1,1))-AVERAGE(OFFSET($H$3,0,0,'Données projet'!$E$18+1,1))</f>
        <v>324.36162935850876</v>
      </c>
      <c r="HA137" s="59">
        <f t="shared" si="305"/>
        <v>265.23571072429735</v>
      </c>
      <c r="HB137" s="15">
        <f>IF(ISNA(VLOOKUP(A137,'Données projet'!$A$279:$I$299,3,0)),0,VLOOKUP(A137,'Données projet'!$A$279:$I$299,3,0))</f>
        <v>0</v>
      </c>
      <c r="HC137" s="15">
        <f>IF(ISNA(VLOOKUP(A137,'Données projet'!$A$279:$I$299,4,0)),0,VLOOKUP(A137,'Données projet'!$A$279:$I$299,4,0))</f>
        <v>0</v>
      </c>
      <c r="HD137" s="16">
        <f>IF(ISNA(VLOOKUP(A137,'Données projet'!$A$279:$I$299,5,0)),0%,VLOOKUP(A137,'Données projet'!$A$279:$I$299,5,0)*VLOOKUP('Données projet'!$B$18,Paramètres!$A$1:$I$89,7,0))</f>
        <v>0</v>
      </c>
      <c r="HE137" s="16">
        <f>IF(ISNA(VLOOKUP(A137,'Données projet'!$A$279:$I$299,6,0)),0%,VLOOKUP(A137,'Données projet'!$A$279:$I$299,6,0)*VLOOKUP('Données projet'!$B$18,Paramètres!$A$1:$I$89,7,0))</f>
        <v>0</v>
      </c>
      <c r="HF137" s="16">
        <f>IF(ISNA(VLOOKUP($A137,'Données projet'!$A$279:$I$299,7,0)),0%,VLOOKUP($A137,'Données projet'!$A$279:$I$299,7,0))</f>
        <v>0</v>
      </c>
      <c r="HG137" s="21">
        <f>EXP(-LN(2)/35)*HG136+(1-EXP(-LN(2)/35))/(LN(2)/35)*HC137*HD137*VLOOKUP('Données projet'!$B$18,Paramètres!$A$1:$I$89,3,0)*0.475*44/12</f>
        <v>81.038445120258814</v>
      </c>
      <c r="HH137" s="21">
        <f>EXP(-LN(2)/25)*HH136+(1-EXP(-LN(2)/25))/(LN(2)/25)*Calculateur!HC137*Calculateur!HE137*VLOOKUP('Données projet'!$B$18,Paramètres!$A$1:$I$89,3,0)*0.475*44/12</f>
        <v>5.4193857265778407</v>
      </c>
      <c r="HI137" s="21">
        <f>EXP(-LN(2)/2)*HI136+(1-EXP(-LN(2)/2))/(LN(2)/2)*HC137*HF137*VLOOKUP('Données projet'!$B$18,Paramètres!$A$1:$I$89,3,0)*0.475*44/12</f>
        <v>6.3681674818545042E-8</v>
      </c>
      <c r="HJ137" s="22">
        <f t="shared" si="253"/>
        <v>86.457830910518325</v>
      </c>
      <c r="HK137" s="74">
        <f>('Scénario référence'!$F$8+'Scénario référence'!$F$9+'Scénario référence'!$B$17+'Scénario référence'!$B$9+'Scénario référence'!$B$10)*70+IF((45+25*(1-EXP(-0.0175*$A137)))&lt;70,'Scénario référence'!$B$16*(45+25*(1-EXP(-0.0175*$A137))),70*'Scénario référence'!$B$16)+IF((32+38*(1-EXP(-0.0175*$A137)))&lt;70,'Scénario référence'!$B$18*(32+38*(1-EXP(-0.0175*$A137))),70*'Scénario référence'!$B$18)</f>
        <v>70</v>
      </c>
      <c r="HL137" s="12">
        <f>IF($A137&gt;30,10,('Scénario référence'!$B$16+'Scénario référence'!$B$17+'Scénario référence'!$B$18+'Scénario référence'!$B$9+'Scénario référence'!$B$10)*$A137*10/30+('Scénario référence'!$F$8+'Scénario référence'!$F$9)*10)</f>
        <v>10</v>
      </c>
      <c r="HM137" s="12" t="e">
        <f>VLOOKUP($A137,'Données projet'!$A$304:$I$324,2,0)</f>
        <v>#N/A</v>
      </c>
      <c r="HN137" s="12" t="e">
        <f>VLOOKUP($A137,'Données projet'!$A$304:$I$324,9,0)</f>
        <v>#N/A</v>
      </c>
      <c r="HO137" s="12">
        <f t="array" ref="HO137">INDEX(HN:HN,MIN(IF(ISNUMBER(HN137:HN333),ROW(HN137:HN333),"")))</f>
        <v>0</v>
      </c>
      <c r="HP137" s="12">
        <f>IF('Données projet'!$A$304&gt;35,HP136+HO137-HX136,IF($A137&lt;'Données projet'!$A$304,$CQ$205^$A137,IF($A137='Données projet'!$A$304,'Données projet'!$B$304,HP136+HO137-HX136)))</f>
        <v>0</v>
      </c>
      <c r="HQ137" s="17">
        <f>HP137*VLOOKUP('Données projet'!$B$19,Paramètres!$A$1:$I$89,3,0)*VLOOKUP('Données projet'!$B$19,Paramètres!$A$1:$I$89,5,0)</f>
        <v>0</v>
      </c>
      <c r="HR137" s="13" t="e">
        <f t="shared" si="306"/>
        <v>#NUM!</v>
      </c>
      <c r="HS137" s="14" t="e">
        <f t="shared" si="254"/>
        <v>#NUM!</v>
      </c>
      <c r="HT137" s="59" t="e">
        <f t="shared" si="255"/>
        <v>#NUM!</v>
      </c>
      <c r="HU137" s="59">
        <f ca="1">AVERAGE(OFFSET(HT$3,0,0,'Données projet'!$E$19+1,1))-AVERAGE(OFFSET($H$3,0,0,'Données projet'!$E$19+1,1))</f>
        <v>91.60721429656013</v>
      </c>
      <c r="HV137" s="59">
        <f t="shared" si="307"/>
        <v>258.94957804210856</v>
      </c>
      <c r="HW137" s="15">
        <f>IF(ISNA(VLOOKUP($A137,'Données projet'!$A$304:$I$324,3,0)),0,VLOOKUP($A137,'Données projet'!$A$304:$I$324,3,0))</f>
        <v>0</v>
      </c>
      <c r="HX137" s="15">
        <f>IF(ISNA(VLOOKUP($A137,'Données projet'!$A$304:$I$324,4,0)),0,VLOOKUP($A137,'Données projet'!$A$304:$I$324,4,0))</f>
        <v>0</v>
      </c>
      <c r="HY137" s="16">
        <f>IF(ISNA(VLOOKUP($A137,'Données projet'!$A$304:$I$324,5,0)),0%,VLOOKUP($A137,'Données projet'!$A$304:$I$324,5,0)*VLOOKUP('Données projet'!$B$19,Paramètres!$A$1:$I$89,7,0))</f>
        <v>0</v>
      </c>
      <c r="HZ137" s="16">
        <f>IF(ISNA(VLOOKUP($A137,'Données projet'!$A$304:$I$324,6,0)),0%,VLOOKUP($A137,'Données projet'!$A$304:$I$324,6,0)*VLOOKUP('Données projet'!$B$19,Paramètres!$A$1:$I$89,7,0))</f>
        <v>0</v>
      </c>
      <c r="IA137" s="16">
        <f>IF(ISNA(VLOOKUP($A137,'Données projet'!$A$304:$I$324,7,0)),0%,VLOOKUP($A137,'Données projet'!$A$304:$I$324,7,0))</f>
        <v>0</v>
      </c>
      <c r="IB137" s="21">
        <f>EXP(-LN(2)/35)*IB136+(1-EXP(-LN(2)/35))/(LN(2)/35)*HX137*HY137*VLOOKUP('Données projet'!$B$19,Paramètres!$A$1:$I$89,3,0)*0.475*44/12</f>
        <v>6.2899297756007648</v>
      </c>
      <c r="IC137" s="21">
        <f>EXP(-LN(2)/25)*IC136+(1-EXP(-LN(2)/25))/(LN(2)/25)*Calculateur!HX137*Calculateur!HZ137*VLOOKUP('Données projet'!$B$19,Paramètres!$A$1:$I$89,3,0)*0.475*44/12</f>
        <v>0.54415995364250325</v>
      </c>
      <c r="ID137" s="21">
        <f>EXP(-LN(2)/2)*ID136+(1-EXP(-LN(2)/2))/(LN(2)/2)*HX137*IA137*VLOOKUP('Données projet'!$B$19,Paramètres!$A$1:$I$89,3,0)*0.475*44/12</f>
        <v>1.2719876524158237E-16</v>
      </c>
      <c r="IE137" s="22">
        <f t="shared" si="256"/>
        <v>6.8340897292432681</v>
      </c>
      <c r="IF137" s="74">
        <f>('Scénario référence'!$F$8+'Scénario référence'!$F$9+'Scénario référence'!$B$17+'Scénario référence'!$B$9+'Scénario référence'!$B$10)*70+IF((45+25*(1-EXP(-0.0175*$A137)))&lt;70,'Scénario référence'!$B$16*(45+25*(1-EXP(-0.0175*$A137))),70*'Scénario référence'!$B$16)+IF((32+38*(1-EXP(-0.0175*$A137)))&lt;70,'Scénario référence'!$B$18*(32+38*(1-EXP(-0.0175*$A137))),70*'Scénario référence'!$B$18)</f>
        <v>70</v>
      </c>
      <c r="IG137" s="12">
        <f>IF($A137&gt;30,10,('Scénario référence'!$B$16+'Scénario référence'!$B$17+'Scénario référence'!$B$18+'Scénario référence'!$B$9+'Scénario référence'!$B$10)*$A137*10/30+('Scénario référence'!$F$8+'Scénario référence'!$F$9)*10)</f>
        <v>10</v>
      </c>
      <c r="IH137" s="12" t="e">
        <f>VLOOKUP($A137,'Données projet'!$A$330:$I$350,2,0)</f>
        <v>#N/A</v>
      </c>
      <c r="II137" s="12" t="e">
        <f>VLOOKUP($A137,'Données projet'!$A$330:$I$350,9,0)</f>
        <v>#N/A</v>
      </c>
      <c r="IJ137" s="12">
        <f t="array" ref="IJ137">INDEX(II:II,MIN(IF(ISNUMBER(II137:II333),ROW(II137:II333),"")))</f>
        <v>0</v>
      </c>
      <c r="IK137" s="12">
        <f>IF('Données projet'!$A$330&gt;35,IK136+IJ137-IS136,IF($A137&lt;'Données projet'!$A$330,$CQ$205^$A137,IF($A137='Données projet'!$A$330,'Données projet'!$B$330,IK136+IJ137-IS136)))</f>
        <v>0</v>
      </c>
      <c r="IL137" s="17">
        <f>IK137*VLOOKUP('Données projet'!$B$20,Paramètres!$A$1:$I$89,3,0)*VLOOKUP('Données projet'!$B$20,Paramètres!$A$1:$I$89,5,0)</f>
        <v>0</v>
      </c>
      <c r="IM137" s="13" t="e">
        <f t="shared" si="308"/>
        <v>#NUM!</v>
      </c>
      <c r="IN137" s="20" t="e">
        <f t="shared" si="257"/>
        <v>#NUM!</v>
      </c>
      <c r="IO137" s="59" t="e">
        <f t="shared" si="258"/>
        <v>#NUM!</v>
      </c>
      <c r="IP137" s="59">
        <f ca="1">AVERAGE(OFFSET(IO$3,0,0,'Données projet'!$E$20+1,1))-AVERAGE(OFFSET($H$3,0,0,'Données projet'!$E$20+1,1))</f>
        <v>91.60721429656013</v>
      </c>
      <c r="IQ137" s="59">
        <f t="shared" si="309"/>
        <v>258.94957804210856</v>
      </c>
      <c r="IR137" s="15">
        <f>IF(ISNA(VLOOKUP($A137,'Données projet'!$A$330:$I$350,3,0)),0,VLOOKUP($A137,'Données projet'!$A$330:$I$350,3,0))</f>
        <v>0</v>
      </c>
      <c r="IS137" s="15">
        <f>IF(ISNA(VLOOKUP($A137,'Données projet'!$A$330:$I$350,4,0)),0,VLOOKUP($A137,'Données projet'!$A$330:$I$350,4,0))</f>
        <v>0</v>
      </c>
      <c r="IT137" s="16">
        <f>IF(ISNA(VLOOKUP($A137,'Données projet'!$A$330:$I$350,5,0)),0%,VLOOKUP($A137,'Données projet'!$A$330:$I$350,5,0)*VLOOKUP('Données projet'!$B$20,Paramètres!$A$1:$I$89,7,0))</f>
        <v>0</v>
      </c>
      <c r="IU137" s="16">
        <f>IF(ISNA(VLOOKUP($A137,'Données projet'!$A$330:$I$350,6,0)),0%,VLOOKUP($A137,'Données projet'!$A$330:$I$350,6,0)*VLOOKUP('Données projet'!$B$20,Paramètres!$A$1:$I$89,7,0))</f>
        <v>0</v>
      </c>
      <c r="IV137" s="16">
        <f>IF(ISNA(VLOOKUP($A137,'Données projet'!$A$330:$I$350,7,0)),0%,VLOOKUP($A137,'Données projet'!$A$330:$I$350,7,0))</f>
        <v>0</v>
      </c>
      <c r="IW137" s="21">
        <f>EXP(-LN(2)/35)*IW136+(1-EXP(-LN(2)/35))/(LN(2)/35)*IS137*IT137*VLOOKUP('Données projet'!$B$20,Paramètres!$A$1:$I$89,3,0)*0.475*44/12</f>
        <v>6.2899297756007648</v>
      </c>
      <c r="IX137" s="21">
        <f>EXP(-LN(2)/25)*IX136+(1-EXP(-LN(2)/25))/(LN(2)/25)*Calculateur!IS137*Calculateur!IU137*VLOOKUP('Données projet'!$B$20,Paramètres!$A$1:$I$89,3,0)*0.475*44/12</f>
        <v>0.54415995364250325</v>
      </c>
      <c r="IY137" s="21">
        <f>EXP(-LN(2)/2)*IY136+(1-EXP(-LN(2)/2))/(LN(2)/2)*IS137*IV137*VLOOKUP('Données projet'!$B$20,Paramètres!$A$1:$I$89,3,0)*0.475*44/12</f>
        <v>1.2719876524158237E-16</v>
      </c>
      <c r="IZ137" s="22">
        <f t="shared" si="259"/>
        <v>6.8340897292432681</v>
      </c>
      <c r="JA137" s="74">
        <f>('Scénario référence'!$F$8+'Scénario référence'!$F$9+'Scénario référence'!$B$17+'Scénario référence'!$B$9+'Scénario référence'!$B$10)*70+IF((45+25*(1-EXP(-0.0175*$A137)))&lt;70,'Scénario référence'!$B$16*(45+25*(1-EXP(-0.0175*$A137))),70*'Scénario référence'!$B$16)+IF((32+38*(1-EXP(-0.0175*$A137)))&lt;70,'Scénario référence'!$B$18*(32+38*(1-EXP(-0.0175*$A137))),70*'Scénario référence'!$B$18)</f>
        <v>70</v>
      </c>
      <c r="JB137" s="12">
        <f>IF($A137&gt;30,10,('Scénario référence'!$B$16+'Scénario référence'!$B$17+'Scénario référence'!$B$18+'Scénario référence'!$B$9+'Scénario référence'!$B$10)*$A137*10/30+('Scénario référence'!$F$8+'Scénario référence'!$F$9)*10)</f>
        <v>10</v>
      </c>
      <c r="JC137" s="12" t="e">
        <f>VLOOKUP($A137,'Données projet'!$A$356:$I$376,2,0)</f>
        <v>#N/A</v>
      </c>
      <c r="JD137" s="12" t="e">
        <f>VLOOKUP($A137,'Données projet'!$A$356:$I$376,9,0)</f>
        <v>#N/A</v>
      </c>
      <c r="JE137" s="12">
        <f t="array" ref="JE137">INDEX(JD:JD,MIN(IF(ISNUMBER(JD137:JD333),ROW(JD137:JD333),"")))</f>
        <v>1.4</v>
      </c>
      <c r="JF137" s="12">
        <f>IF('Données projet'!$A$356&gt;35,JF136+JE137-JN136,IF($A137&lt;'Données projet'!$A$356,$CQ$205^$A137,IF($A137='Données projet'!$A$356,'Données projet'!$B$356,JF136+JE137-JN136)))</f>
        <v>425.59999999999906</v>
      </c>
      <c r="JG137" s="17">
        <f>JF137*VLOOKUP('Données projet'!$B$21,Paramètres!$A$1:$I$89,3,0)*VLOOKUP('Données projet'!$B$21,Paramètres!$A$1:$I$89,5,0)</f>
        <v>345.2467199999993</v>
      </c>
      <c r="JH137" s="13">
        <f t="shared" si="310"/>
        <v>80.582983976478175</v>
      </c>
      <c r="JI137" s="20">
        <f t="shared" si="260"/>
        <v>741.65340109236479</v>
      </c>
      <c r="JJ137" s="59">
        <f t="shared" si="261"/>
        <v>1034.9867344256982</v>
      </c>
      <c r="JK137" s="59">
        <f ca="1">AVERAGE(OFFSET($JJ$3,0,0,'Données projet'!$E$22+1,1))-AVERAGE(OFFSET($H$3,0,0,'Données projet'!$E$22+1,1))</f>
        <v>353.35574633294613</v>
      </c>
      <c r="JL137" s="59">
        <f t="shared" si="311"/>
        <v>170.36796666474726</v>
      </c>
      <c r="JM137" s="15">
        <f>IF(ISNA(VLOOKUP($A137,'Données projet'!$A$356:$I$376,3,0)),0,VLOOKUP($A137,'Données projet'!$A$356:$I$376,3,0))</f>
        <v>0</v>
      </c>
      <c r="JN137" s="15">
        <f>IF(ISNA(VLOOKUP($A137,'Données projet'!$A$356:$I$376,4,0)),0,VLOOKUP($A137,'Données projet'!$A$356:$I$376,4,0))</f>
        <v>0</v>
      </c>
      <c r="JO137" s="16">
        <f>IF(ISNA(VLOOKUP($A137,'Données projet'!$A$356:$I$376,5,0)),0%,VLOOKUP($A137,'Données projet'!$A$356:$I$376,5,0)*VLOOKUP('Données projet'!$B$21,Paramètres!$A$1:$I$89,7,0))</f>
        <v>0</v>
      </c>
      <c r="JP137" s="16">
        <f>IF(ISNA(VLOOKUP($A137,'Données projet'!$A$356:$I$376,6,0)),0%,VLOOKUP($A137,'Données projet'!$A$356:$I$376,6,0)*VLOOKUP('Données projet'!$B$21,Paramètres!$A$1:$I$89,7,0))</f>
        <v>0</v>
      </c>
      <c r="JQ137" s="16">
        <f>IF(ISNA(VLOOKUP($A137,'Données projet'!$A$356:$I$376,7,0)),0%,VLOOKUP($A137,'Données projet'!$A$356:$I$376,7,0))</f>
        <v>0</v>
      </c>
      <c r="JR137" s="21">
        <f>EXP(-LN(2)/35)*JR136+(1-EXP(-LN(2)/35))/(LN(2)/35)*JN137*JO137*VLOOKUP('Données projet'!$B$21,Paramètres!$A$1:$I$89,3,0)*0.475*44/12</f>
        <v>5.9743092655046111</v>
      </c>
      <c r="JS137" s="21">
        <f>EXP(-LN(2)/25)*JS136+(1-EXP(-LN(2)/25))/(LN(2)/25)*Calculateur!JN137*Calculateur!JP137*VLOOKUP('Données projet'!$B$21,Paramètres!$A$1:$I$89,3,0)*0.475*44/12</f>
        <v>11.840881451804261</v>
      </c>
      <c r="JT137" s="21">
        <f>EXP(-LN(2)/2)*JT136+(1-EXP(-LN(2)/2))/(LN(2)/2)*JN137*JQ137*VLOOKUP('Données projet'!$B$21,Paramètres!$A$1:$I$89,3,0)*0.475*44/12</f>
        <v>0.38354622275311978</v>
      </c>
      <c r="JU137" s="18">
        <f t="shared" si="262"/>
        <v>18.198736940061991</v>
      </c>
      <c r="JV137" s="74">
        <f>('Scénario référence'!$F$8+'Scénario référence'!$F$9+'Scénario référence'!$B$17+'Scénario référence'!$B$9+'Scénario référence'!$B$10)*70+IF((45+25*(1-EXP(-0.0175*$A137)))&lt;70,'Scénario référence'!$B$16*(45+25*(1-EXP(-0.0175*$A137))),70*'Scénario référence'!$B$16)+IF((32+38*(1-EXP(-0.0175*$A137)))&lt;70,'Scénario référence'!$B$18*(32+38*(1-EXP(-0.0175*$A137))),70*'Scénario référence'!$B$18)</f>
        <v>70</v>
      </c>
      <c r="JW137" s="12">
        <f>IF($A137&gt;30,10,('Scénario référence'!$B$16+'Scénario référence'!$B$17+'Scénario référence'!$B$18+'Scénario référence'!$B$9+'Scénario référence'!$B$10)*$A137*10/30+('Scénario référence'!$F$8+'Scénario référence'!$F$9)*10)</f>
        <v>10</v>
      </c>
      <c r="JX137" s="12" t="e">
        <f>VLOOKUP($A137,'Données projet'!$A$382:$I$402,2,0)</f>
        <v>#N/A</v>
      </c>
      <c r="JY137" s="12" t="e">
        <f>VLOOKUP($A137,'Données projet'!$A$382:$I$402,9,0)</f>
        <v>#N/A</v>
      </c>
      <c r="JZ137" s="12">
        <f t="array" ref="JZ137">INDEX(JY:JY,MIN(IF(ISNUMBER(JY137:JY333),ROW(JY137:JY333),"")))</f>
        <v>0</v>
      </c>
      <c r="KA137" s="12">
        <f>IF('Données projet'!$A$382&gt;35,KA136+JZ137-KI136,IF($A137&lt;'Données projet'!$A$382,$CQ$205^$A137,IF($A137='Données projet'!$A$382,'Données projet'!$B$382,KA136+JZ137-KI136)))</f>
        <v>5.6843418860808015E-13</v>
      </c>
      <c r="KB137" s="17">
        <f>KA137*VLOOKUP('Données projet'!$B$22,Paramètres!$A$1:$I$89,3,0)*VLOOKUP('Données projet'!$B$22,Paramètres!$A$1:$I$89,5,0)</f>
        <v>3.8130565371830017E-13</v>
      </c>
      <c r="KC137" s="13">
        <f t="shared" si="312"/>
        <v>4.9019074112354236E-12</v>
      </c>
      <c r="KD137" s="20">
        <f t="shared" si="263"/>
        <v>9.2015960881277352E-12</v>
      </c>
      <c r="KE137" s="59">
        <f t="shared" si="264"/>
        <v>293.33333333334252</v>
      </c>
      <c r="KF137" s="59">
        <f ca="1">AVERAGE(OFFSET($KE$3,0,0,'Données projet'!$E$22+1,1))-AVERAGE(OFFSET($H$3,0,0,'Données projet'!$E$22+1,1))</f>
        <v>193.91714772848269</v>
      </c>
      <c r="KG137" s="59">
        <f t="shared" si="313"/>
        <v>159.20429420478047</v>
      </c>
      <c r="KH137" s="15">
        <f>IF(ISNA(VLOOKUP($A137,'Données projet'!$A$382:$I$402,3,0)),0,VLOOKUP($A137,'Données projet'!$A$382:$I$402,3,0))</f>
        <v>0</v>
      </c>
      <c r="KI137" s="15">
        <f>IF(ISNA(VLOOKUP($A137,'Données projet'!$A$382:$I$402,4,0)),0,VLOOKUP($A137,'Données projet'!$A$382:$I$402,4,0))</f>
        <v>0</v>
      </c>
      <c r="KJ137" s="16">
        <f>IF(ISNA(VLOOKUP($A137,'Données projet'!$A$382:$I$402,5,0)),0%,VLOOKUP($A137,'Données projet'!$A$382:$I$402,5,0)*VLOOKUP('Données projet'!$B$22,Paramètres!$A$1:$I$89,7,0))</f>
        <v>0</v>
      </c>
      <c r="KK137" s="16">
        <f>IF(ISNA(VLOOKUP($A137,'Données projet'!$A$382:$I$402,6,0)),0%,VLOOKUP($A137,'Données projet'!$A$382:$I$402,6,0)*VLOOKUP('Données projet'!$B$22,Paramètres!$A$1:$I$89,7,0))</f>
        <v>0</v>
      </c>
      <c r="KL137" s="16">
        <f>IF(ISNA(VLOOKUP($A137,'Données projet'!$A$382:$I$402,7,0)),0%,VLOOKUP($A137,'Données projet'!$A$382:$I$402,7,0))</f>
        <v>0</v>
      </c>
      <c r="KM137" s="21">
        <f>EXP(-LN(2)/35)*KM136+(1-EXP(-LN(2)/35))/(LN(2)/35)*KI137*KJ137*VLOOKUP('Données projet'!$B$22,Paramètres!$A$1:$I$89,3,0)*0.475*44/12</f>
        <v>147.23308122025719</v>
      </c>
      <c r="KN137" s="21">
        <f>EXP(-LN(2)/25)*KN136+(1-EXP(-LN(2)/25))/(LN(2)/25)*Calculateur!KI137*Calculateur!KK137*VLOOKUP('Données projet'!$B$22,Paramètres!$A$1:$I$89,3,0)*0.475*44/12</f>
        <v>0</v>
      </c>
      <c r="KO137" s="21">
        <f>EXP(-LN(2)/2)*KO136+(1-EXP(-LN(2)/2))/(LN(2)/2)*KI137*KL137*VLOOKUP('Données projet'!$B$22,Paramètres!$A$1:$I$89,3,0)*0.475*44/12</f>
        <v>0</v>
      </c>
      <c r="KP137" s="22">
        <f t="shared" si="265"/>
        <v>147.23308122025719</v>
      </c>
      <c r="KQ137" s="74">
        <f>('Scénario référence'!$F$8+'Scénario référence'!$F$9+'Scénario référence'!$B$17+'Scénario référence'!$B$9+'Scénario référence'!$B$10)*70+IF((45+25*(1-EXP(-0.0175*$A137)))&lt;70,'Scénario référence'!$B$16*(45+25*(1-EXP(-0.0175*$A137))),70*'Scénario référence'!$B$16)+IF((32+38*(1-EXP(-0.0175*$A137)))&lt;70,'Scénario référence'!$B$18*(32+38*(1-EXP(-0.0175*$A137))),70*'Scénario référence'!$B$18)</f>
        <v>70</v>
      </c>
      <c r="KR137" s="12">
        <f>IF($A137&gt;30,10,('Scénario référence'!$B$16+'Scénario référence'!$B$17+'Scénario référence'!$B$18+'Scénario référence'!$B$9+'Scénario référence'!$B$10)*$A137*10/30+('Scénario référence'!$F$8+'Scénario référence'!$F$9)*10)</f>
        <v>10</v>
      </c>
      <c r="KS137" s="12" t="e">
        <f>VLOOKUP($A137,'Données projet'!$A$408:$I$428,2,0)</f>
        <v>#N/A</v>
      </c>
      <c r="KT137" s="12" t="e">
        <f>VLOOKUP($A137,'Données projet'!$A$408:$I$428,9,0)</f>
        <v>#N/A</v>
      </c>
      <c r="KU137" s="12">
        <f t="array" ref="KU137">INDEX(KT:KT,MIN(IF(ISNUMBER(KT137:KT333),ROW(KT137:KT333),"")))</f>
        <v>0</v>
      </c>
      <c r="KV137" s="12">
        <f>IF('Données projet'!$A$408&gt;35,KV136+KU137-LD136,IF($A137&lt;'Données projet'!$A$408,$CQ$205^$A137,IF($A137='Données projet'!$A$408,'Données projet'!$B$408,KV136+KU137-LD136)))</f>
        <v>-1.1368683772161603E-13</v>
      </c>
      <c r="KW137" s="17">
        <f>KV137*VLOOKUP('Données projet'!$B$23,Paramètres!$A$1:$I$89,3,0)*VLOOKUP('Données projet'!$B$23,Paramètres!$A$1:$I$89,5,0)</f>
        <v>-9.9316821433603781E-14</v>
      </c>
      <c r="KX137" s="13" t="e">
        <f t="shared" si="314"/>
        <v>#NUM!</v>
      </c>
      <c r="KY137" s="14" t="e">
        <f t="shared" si="266"/>
        <v>#NUM!</v>
      </c>
      <c r="KZ137" s="59" t="e">
        <f t="shared" si="267"/>
        <v>#NUM!</v>
      </c>
      <c r="LA137" s="59">
        <f ca="1">AVERAGE(OFFSET($KZ$3,0,0,'Données projet'!$E$23+1,1))-AVERAGE(OFFSET($H$3,0,0,'Données projet'!$E$23+1,1))</f>
        <v>248.33596943633819</v>
      </c>
      <c r="LB137" s="59">
        <f t="shared" si="315"/>
        <v>242.34010522344573</v>
      </c>
      <c r="LC137" s="15">
        <f>IF(ISNA(VLOOKUP($A137,'Données projet'!$A$408:$I$428,3,0)),0,VLOOKUP($A137,'Données projet'!$A$408:$I$428,3,0))</f>
        <v>0</v>
      </c>
      <c r="LD137" s="15">
        <f>IF(ISNA(VLOOKUP($A137,'Données projet'!$A$408:$I$428,4,0)),0,VLOOKUP($A137,'Données projet'!$A$408:$I$428,4,0))</f>
        <v>0</v>
      </c>
      <c r="LE137" s="16">
        <f>IF(ISNA(VLOOKUP($A137,'Données projet'!$A$408:$I$428,5,0)),0%,VLOOKUP($A137,'Données projet'!$A$408:$I$428,5,0)*VLOOKUP('Données projet'!$B$23,Paramètres!$A$1:$I$89,7,0))</f>
        <v>0</v>
      </c>
      <c r="LF137" s="16">
        <f>IF(ISNA(VLOOKUP($A137,'Données projet'!$A$408:$I$428,6,0)),0%,VLOOKUP($A137,'Données projet'!$A$408:$I$428,6,0)*VLOOKUP('Données projet'!$B$23,Paramètres!$A$1:$I$89,7,0))</f>
        <v>0</v>
      </c>
      <c r="LG137" s="16">
        <f>IF(ISNA(VLOOKUP($A137,'Données projet'!$A$408:$I$428,7,0)),0%,VLOOKUP($A137,'Données projet'!$A$408:$I$428,7,0))</f>
        <v>0</v>
      </c>
      <c r="LH137" s="21">
        <f>EXP(-LN(2)/35)*LH136+(1-EXP(-LN(2)/35))/(LN(2)/35)*LD137*LE137*VLOOKUP('Données projet'!$B$23,Paramètres!$A$1:$I$89,3,0)*0.475*44/12</f>
        <v>42.289869390877278</v>
      </c>
      <c r="LI137" s="21">
        <f>EXP(-LN(2)/25)*LI136+(1-EXP(-LN(2)/25))/(LN(2)/25)*Calculateur!LD137*Calculateur!LF137*VLOOKUP('Données projet'!$B$23,Paramètres!$A$1:$I$89,3,0)*0.475*44/12</f>
        <v>4.8727645273489575</v>
      </c>
      <c r="LJ137" s="21">
        <f>EXP(-LN(2)/2)*LJ136+(1-EXP(-LN(2)/2))/(LN(2)/2)*LD137*LG137*VLOOKUP('Données projet'!$B$23,Paramètres!$A$1:$I$89,3,0)*0.475*44/12</f>
        <v>0</v>
      </c>
      <c r="LK137" s="22">
        <f t="shared" si="268"/>
        <v>47.162633918226234</v>
      </c>
      <c r="LL137" s="74">
        <f>('Scénario référence'!$F$8+'Scénario référence'!$F$9+'Scénario référence'!$B$17+'Scénario référence'!$B$9+'Scénario référence'!$B$10)*70+IF((45+25*(1-EXP(-0.0175*$A137)))&lt;70,'Scénario référence'!$B$16*(45+25*(1-EXP(-0.0175*$A137))),70*'Scénario référence'!$B$16)+IF((32+38*(1-EXP(-0.0175*$A137)))&lt;70,'Scénario référence'!$B$18*(32+38*(1-EXP(-0.0175*$A137))),70*'Scénario référence'!$B$18)</f>
        <v>70</v>
      </c>
      <c r="LM137" s="12">
        <f>IF($A137&gt;30,10,('Scénario référence'!$B$16+'Scénario référence'!$B$17+'Scénario référence'!$B$18+'Scénario référence'!$B$9+'Scénario référence'!$B$10)*$A137*10/30+('Scénario référence'!$F$8+'Scénario référence'!$F$9)*10)</f>
        <v>10</v>
      </c>
      <c r="LN137" s="12" t="e">
        <f>VLOOKUP($A137,'Données projet'!$A$434:$I$454,2,0)</f>
        <v>#N/A</v>
      </c>
      <c r="LO137" s="12" t="e">
        <f>VLOOKUP($A137,'Données projet'!$A$434:$I$454,9,0)</f>
        <v>#N/A</v>
      </c>
      <c r="LP137" s="12">
        <f t="array" ref="LP137">INDEX(LO:LO,MIN(IF(ISNUMBER(LO137:LO333),ROW(LO137:LO333),"")))</f>
        <v>5.2446581196581219</v>
      </c>
      <c r="LQ137" s="12">
        <f>IF('Données projet'!$A$434&gt;35,LQ136+LP137-LY136,IF($A137&lt;'Données projet'!$A$434,$CQ$205^$A137,IF($A137='Données projet'!$A$434,'Données projet'!$B$434,LQ136+LP137-LY136)))</f>
        <v>277.33653846153805</v>
      </c>
      <c r="LR137" s="17">
        <f>LQ137*VLOOKUP('Données projet'!$B$24,Paramètres!$A$1:$I$89,3,0)*VLOOKUP('Données projet'!$B$24,Paramètres!$A$1:$I$89,5,0)</f>
        <v>281.21924999999965</v>
      </c>
      <c r="LS137" s="13">
        <f t="shared" si="316"/>
        <v>67.224606261587638</v>
      </c>
      <c r="LT137" s="14">
        <f t="shared" si="269"/>
        <v>606.87304965559781</v>
      </c>
      <c r="LU137" s="59">
        <f t="shared" si="270"/>
        <v>900.20638298893118</v>
      </c>
      <c r="LV137" s="59">
        <f ca="1">AVERAGE(OFFSET($LU$3,0,0,'Données projet'!$E$24+1,1))-AVERAGE(OFFSET($H$3,0,0,'Données projet'!$E$24+1,1))</f>
        <v>260.52627655062872</v>
      </c>
      <c r="LW137" s="59">
        <f t="shared" si="317"/>
        <v>159.20429420478047</v>
      </c>
      <c r="LX137" s="15">
        <f>IF(ISNA(VLOOKUP($A137,'Données projet'!$A$434:$I$454,3,0)),0,VLOOKUP($A137,'Données projet'!$A$434:$I$454,3,0))</f>
        <v>0</v>
      </c>
      <c r="LY137" s="15">
        <f>IF(ISNA(VLOOKUP($A137,'Données projet'!$A$434:$I$454,4,0)),0,VLOOKUP($A137,'Données projet'!$A$434:$I$454,4,0))</f>
        <v>0</v>
      </c>
      <c r="LZ137" s="16">
        <f>IF(ISNA(VLOOKUP($A137,'Données projet'!$A$434:$I$454,5,0)),0%,VLOOKUP($A137,'Données projet'!$A$434:$I$454,5,0)*VLOOKUP('Données projet'!$B$24,Paramètres!$A$1:$I$89,7,0))</f>
        <v>0</v>
      </c>
      <c r="MA137" s="16">
        <f>IF(ISNA(VLOOKUP($A137,'Données projet'!$A$434:$I$454,6,0)),0%,VLOOKUP($A137,'Données projet'!$A$434:$I$454,6,0)*VLOOKUP('Données projet'!$B$24,Paramètres!$A$1:$I$89,7,0))</f>
        <v>0</v>
      </c>
      <c r="MB137" s="16">
        <f>IF(ISNA(VLOOKUP($A137,'Données projet'!$A$434:$I$454,7,0)),0%,VLOOKUP($A137,'Données projet'!$A$434:$I$454,7,0))</f>
        <v>0</v>
      </c>
      <c r="MC137" s="21">
        <f>EXP(-LN(2)/35)*MC136+(1-EXP(-LN(2)/35))/(LN(2)/35)*LY137*LZ137*VLOOKUP('Données projet'!$B$24,Paramètres!$A$1:$I$89,3,0)*0.475*44/12</f>
        <v>39.993653705522973</v>
      </c>
      <c r="MD137" s="21">
        <f>EXP(-LN(2)/25)*MD136+(1-EXP(-LN(2)/25))/(LN(2)/25)*Calculateur!LY137*Calculateur!MA137*VLOOKUP('Données projet'!$B$24,Paramètres!$A$1:$I$89,3,0)*0.475*44/12</f>
        <v>0</v>
      </c>
      <c r="ME137" s="21">
        <f>EXP(-LN(2)/2)*ME136+(1-EXP(-LN(2)/2))/(LN(2)/2)*LY137*MB137*VLOOKUP('Données projet'!$B$24,Paramètres!$A$1:$I$89,3,0)*0.475*44/12</f>
        <v>0</v>
      </c>
      <c r="MF137" s="22">
        <f t="shared" si="271"/>
        <v>39.993653705522973</v>
      </c>
      <c r="MG137" s="74">
        <f>('Scénario référence'!$F$8+'Scénario référence'!$F$9+'Scénario référence'!$B$17+'Scénario référence'!$B$9+'Scénario référence'!$B$10)*70+IF((45+25*(1-EXP(-0.0175*$A137)))&lt;70,'Scénario référence'!$B$16*(45+25*(1-EXP(-0.0175*$A137))),70*'Scénario référence'!$B$16)+IF((32+38*(1-EXP(-0.0175*$A137)))&lt;70,'Scénario référence'!$B$18*(32+38*(1-EXP(-0.0175*$A137))),70*'Scénario référence'!$B$18)</f>
        <v>70</v>
      </c>
      <c r="MH137" s="12">
        <f>IF($A137&gt;30,10,('Scénario référence'!$B$16+'Scénario référence'!$B$17+'Scénario référence'!$B$18+'Scénario référence'!$B$9+'Scénario référence'!$B$10)*$A137*10/30+('Scénario référence'!$F$8+'Scénario référence'!$F$9)*10)</f>
        <v>10</v>
      </c>
      <c r="MI137" s="12" t="e">
        <f>VLOOKUP($A137,'Données projet'!$A$460:$I$480,2,0)</f>
        <v>#N/A</v>
      </c>
      <c r="MJ137" s="12" t="e">
        <f>VLOOKUP($A137,'Données projet'!$A$460:$I$480,9,0)</f>
        <v>#N/A</v>
      </c>
      <c r="MK137" s="12">
        <f t="array" ref="MK137">INDEX(MJ:MJ,MIN(IF(ISNUMBER(MJ137:MJ333),ROW(MJ137:MJ333),"")))</f>
        <v>0</v>
      </c>
      <c r="ML137" s="12">
        <f>IF('Données projet'!$A$460&gt;35,ML136+MK137-MT136,IF($A137&lt;'Données projet'!$A$460,$CQ$205^$A137,IF($A137='Données projet'!$A$460,'Données projet'!$B$460,ML136+MK137-MT136)))</f>
        <v>0</v>
      </c>
      <c r="MM137" s="17" t="e">
        <f>ML137*VLOOKUP('Données projet'!$B$25,Paramètres!$A$1:$I$89,3,0)*VLOOKUP('Données projet'!$B$25,Paramètres!$A$1:$I$89,5,0)</f>
        <v>#N/A</v>
      </c>
      <c r="MN137" s="13" t="e">
        <f t="shared" si="318"/>
        <v>#N/A</v>
      </c>
      <c r="MO137" s="14" t="e">
        <f t="shared" si="272"/>
        <v>#N/A</v>
      </c>
      <c r="MP137" s="59" t="e">
        <f t="shared" si="273"/>
        <v>#N/A</v>
      </c>
      <c r="MQ137" s="20" t="e">
        <f ca="1">AVERAGE(OFFSET($MP$3,0,0,'Données projet'!$E$25+1,1))-AVERAGE(OFFSET($H$3,0,0,'Données projet'!$E$25+1,1))</f>
        <v>#N/A</v>
      </c>
      <c r="MR137" s="59" t="e">
        <f t="shared" si="319"/>
        <v>#N/A</v>
      </c>
      <c r="MS137" s="15">
        <f>IF(ISNA(VLOOKUP($A137,'Données projet'!$A$460:$I$480,3,0)),0,VLOOKUP($A137,'Données projet'!$A$460:$I$480,3,0))</f>
        <v>0</v>
      </c>
      <c r="MT137" s="15">
        <f>IF(ISNA(VLOOKUP($A137,'Données projet'!$A$460:$I$480,4,0)),0,VLOOKUP($A137,'Données projet'!$A$460:$I$480,4,0))</f>
        <v>0</v>
      </c>
      <c r="MU137" s="16">
        <f>IF(ISNA(VLOOKUP($A137,'Données projet'!$A$460:$I$480,5,0)),0%,VLOOKUP($A137,'Données projet'!$A$460:$I$480,5,0)*VLOOKUP('Données projet'!$B$25,Paramètres!$A$1:$I$89,7,0))</f>
        <v>0</v>
      </c>
      <c r="MV137" s="16">
        <f>IF(ISNA(VLOOKUP($A137,'Données projet'!$A$460:$I$480,6,0)),0%,VLOOKUP($A137,'Données projet'!$A$460:$I$480,6,0)*VLOOKUP('Données projet'!$B$25,Paramètres!$A$1:$I$89,7,0))</f>
        <v>0</v>
      </c>
      <c r="MW137" s="16">
        <f>IF(ISNA(VLOOKUP($A137,'Données projet'!$A$460:$I$480,7,0)),0%,VLOOKUP($A137,'Données projet'!$A$460:$I$480,7,0))</f>
        <v>0</v>
      </c>
      <c r="MX137" s="21" t="e">
        <f>EXP(-LN(2)/35)*MX136+(1-EXP(-LN(2)/35))/(LN(2)/35)*MT137*MU137*VLOOKUP('Données projet'!$B$25,Paramètres!$A$1:$I$89,3,0)*0.475*44/12</f>
        <v>#N/A</v>
      </c>
      <c r="MY137" s="21" t="e">
        <f>EXP(-LN(2)/25)*MY136+(1-EXP(-LN(2)/25))/(LN(2)/25)*Calculateur!MT137*Calculateur!MV137*VLOOKUP('Données projet'!$B$25,Paramètres!$A$1:$I$89,3,0)*0.475*44/12</f>
        <v>#N/A</v>
      </c>
      <c r="MZ137" s="21" t="e">
        <f>EXP(-LN(2)/2)*MZ136+(1-EXP(-LN(2)/2))/(LN(2)/2)*MT137*MW137*VLOOKUP('Données projet'!$B$25,Paramètres!$A$1:$I$89,3,0)*0.475*44/12</f>
        <v>#N/A</v>
      </c>
      <c r="NA137" s="22" t="e">
        <f t="shared" si="274"/>
        <v>#N/A</v>
      </c>
      <c r="NB137" s="74">
        <f>('Scénario référence'!$F$8+'Scénario référence'!$F$9+'Scénario référence'!$B$17+'Scénario référence'!$B$9+'Scénario référence'!$B$10)*70+IF((45+25*(1-EXP(-0.0175*$A137)))&lt;70,'Scénario référence'!$B$16*(45+25*(1-EXP(-0.0175*$A137))),70*'Scénario référence'!$B$16)+IF((32+38*(1-EXP(-0.0175*$A137)))&lt;70,'Scénario référence'!$B$18*(32+38*(1-EXP(-0.0175*$A137))),70*'Scénario référence'!$B$18)</f>
        <v>70</v>
      </c>
      <c r="NC137" s="12">
        <f>IF($A137&gt;30,10,('Scénario référence'!$B$16+'Scénario référence'!$B$17+'Scénario référence'!$B$18+'Scénario référence'!$B$9+'Scénario référence'!$B$10)*$A137*10/30+('Scénario référence'!$F$8+'Scénario référence'!$F$9)*10)</f>
        <v>10</v>
      </c>
      <c r="ND137" s="12" t="e">
        <f>VLOOKUP($A137,'Données projet'!$A$486:$I$506,2,0)</f>
        <v>#N/A</v>
      </c>
      <c r="NE137" s="12" t="e">
        <f>VLOOKUP($A137,'Données projet'!$A$486:$I$506,9,0)</f>
        <v>#N/A</v>
      </c>
      <c r="NF137" s="12">
        <f t="array" ref="NF137">INDEX(NE:NE,MIN(IF(ISNUMBER(NE137:NE333),ROW(NE137:NE333),"")))</f>
        <v>0</v>
      </c>
      <c r="NG137" s="12">
        <f>IF('Données projet'!$A$486&gt;35,NG136+NF137-NO136,IF($A137&lt;'Données projet'!$A$486,$CQ$205^$A137,IF($A137='Données projet'!$A$486,'Données projet'!$B$486,NG136+NF137-NO136)))</f>
        <v>0</v>
      </c>
      <c r="NH137" s="17" t="e">
        <f>NG137*VLOOKUP('Données projet'!$B$26,Paramètres!$A$1:$I$89,3,0)*VLOOKUP('Données projet'!$B$26,Paramètres!$A$1:$I$89,5,0)</f>
        <v>#N/A</v>
      </c>
      <c r="NI137" s="13" t="e">
        <f t="shared" si="320"/>
        <v>#N/A</v>
      </c>
      <c r="NJ137" s="14" t="e">
        <f t="shared" si="275"/>
        <v>#N/A</v>
      </c>
      <c r="NK137" s="59" t="e">
        <f t="shared" si="276"/>
        <v>#N/A</v>
      </c>
      <c r="NL137" s="20" t="e">
        <f ca="1">AVERAGE(OFFSET($NK$3,0,0,'Données projet'!$E$26+1,1))-AVERAGE(OFFSET($H$3,0,0,'Données projet'!$E$26+1,1))</f>
        <v>#N/A</v>
      </c>
      <c r="NM137" s="59" t="e">
        <f t="shared" si="321"/>
        <v>#N/A</v>
      </c>
      <c r="NN137" s="15">
        <f>IF(ISNA(VLOOKUP($A137,'Données projet'!$A$486:$I$506,3,0)),0,VLOOKUP($A137,'Données projet'!$A$486:$I$506,3,0))</f>
        <v>0</v>
      </c>
      <c r="NO137" s="15">
        <f>IF(ISNA(VLOOKUP($A137,'Données projet'!$A$486:$I$506,4,0)),0,VLOOKUP($A137,'Données projet'!$A$486:$I$506,4,0))</f>
        <v>0</v>
      </c>
      <c r="NP137" s="16">
        <f>IF(ISNA(VLOOKUP($A137,'Données projet'!$A$486:$I$506,5,0)),0%,VLOOKUP($A137,'Données projet'!$A$486:$I$506,5,0)*VLOOKUP('Données projet'!$B$26,Paramètres!$A$1:$I$89,7,0))</f>
        <v>0</v>
      </c>
      <c r="NQ137" s="16">
        <f>IF(ISNA(VLOOKUP($A137,'Données projet'!$A$486:$I$506,6,0)),0%,VLOOKUP($A137,'Données projet'!$A$486:$I$506,6,0)*VLOOKUP('Données projet'!$B$26,Paramètres!$A$1:$I$89,7,0))</f>
        <v>0</v>
      </c>
      <c r="NR137" s="16">
        <f>IF(ISNA(VLOOKUP($A137,'Données projet'!$A$486:$I$506,7,0)),0%,VLOOKUP($A137,'Données projet'!$A$486:$I$506,7,0))</f>
        <v>0</v>
      </c>
      <c r="NS137" s="21" t="e">
        <f>EXP(-LN(2)/35)*NS136+(1-EXP(-LN(2)/35))/(LN(2)/35)*NO137*NP137*VLOOKUP('Données projet'!$B$26,Paramètres!$A$1:$I$89,3,0)*0.475*44/12</f>
        <v>#N/A</v>
      </c>
      <c r="NT137" s="21" t="e">
        <f>EXP(-LN(2)/25)*NT136+(1-EXP(-LN(2)/25))/(LN(2)/25)*Calculateur!NO137*Calculateur!NQ137*VLOOKUP('Données projet'!$B$26,Paramètres!$A$1:$I$89,3,0)*0.475*44/12</f>
        <v>#N/A</v>
      </c>
      <c r="NU137" s="21" t="e">
        <f>EXP(-LN(2)/2)*NU136+(1-EXP(-LN(2)/2))/(LN(2)/2)*NO137*NR137*VLOOKUP('Données projet'!$B$26,Paramètres!$A$1:$I$89,3,0)*0.475*44/12</f>
        <v>#N/A</v>
      </c>
      <c r="NV137" s="22" t="e">
        <f t="shared" si="277"/>
        <v>#N/A</v>
      </c>
      <c r="NW137" s="74">
        <f>('Scénario référence'!$F$8+'Scénario référence'!$F$9+'Scénario référence'!$B$17+'Scénario référence'!$B$9+'Scénario référence'!$B$10)*70+IF((45+25*(1-EXP(-0.0175*$A137)))&lt;70,'Scénario référence'!$B$16*(45+25*(1-EXP(-0.0175*$A137))),70*'Scénario référence'!$B$16)+IF((32+38*(1-EXP(-0.0175*$A137)))&lt;70,'Scénario référence'!$B$18*(32+38*(1-EXP(-0.0175*$A137))),70*'Scénario référence'!$B$18)</f>
        <v>70</v>
      </c>
      <c r="NX137" s="12">
        <f>IF($A137&gt;30,10,('Scénario référence'!$B$16+'Scénario référence'!$B$17+'Scénario référence'!$B$18+'Scénario référence'!$B$9+'Scénario référence'!$B$10)*$A137*10/30+('Scénario référence'!$F$8+'Scénario référence'!$F$9)*10)</f>
        <v>10</v>
      </c>
      <c r="NY137" s="12" t="e">
        <f>VLOOKUP($A137,'Données projet'!$A$512:$I$532,2,0)</f>
        <v>#N/A</v>
      </c>
      <c r="NZ137" s="12" t="e">
        <f>VLOOKUP($A137,'Données projet'!$A$512:$I$532,9,0)</f>
        <v>#N/A</v>
      </c>
      <c r="OA137" s="12">
        <f t="array" ref="OA137">INDEX(NZ:NZ,MIN(IF(ISNUMBER(NZ137:NZ333),ROW(NZ137:NZ333),"")))</f>
        <v>0</v>
      </c>
      <c r="OB137" s="12">
        <f>IF('Données projet'!$A$512&gt;35,OB136+OA137-OJ136,IF($A137&lt;'Données projet'!$A$512,$CQ$205^$A137,IF($A137='Données projet'!$A$512,'Données projet'!$B$512,OB136+OA137-OJ136)))</f>
        <v>0</v>
      </c>
      <c r="OC137" s="17" t="e">
        <f>OB137*VLOOKUP('Données projet'!$B$27,Paramètres!$A$1:$I$89,3,0)*VLOOKUP('Données projet'!$B$27,Paramètres!$A$1:$I$89,5,0)</f>
        <v>#N/A</v>
      </c>
      <c r="OD137" s="13" t="e">
        <f t="shared" si="322"/>
        <v>#N/A</v>
      </c>
      <c r="OE137" s="14" t="e">
        <f t="shared" si="278"/>
        <v>#N/A</v>
      </c>
      <c r="OF137" s="59" t="e">
        <f t="shared" si="279"/>
        <v>#N/A</v>
      </c>
      <c r="OG137" s="20" t="e">
        <f ca="1">AVERAGE(OFFSET($OF$3,0,0,'Données projet'!$E$27+1,1))-AVERAGE(OFFSET($H$3,0,0,'Données projet'!$E$27+1,1))</f>
        <v>#N/A</v>
      </c>
      <c r="OH137" s="59" t="e">
        <f t="shared" si="323"/>
        <v>#N/A</v>
      </c>
      <c r="OI137" s="15">
        <f>IF(ISNA(VLOOKUP($A137,'Données projet'!$A$512:$I$532,3,0)),0,VLOOKUP($A137,'Données projet'!$A$512:$I$532,3,0))</f>
        <v>0</v>
      </c>
      <c r="OJ137" s="15">
        <f>IF(ISNA(VLOOKUP($A137,'Données projet'!$A$512:$I$532,4,0)),0,VLOOKUP($A137,'Données projet'!$A$512:$I$532,4,0))</f>
        <v>0</v>
      </c>
      <c r="OK137" s="16">
        <f>IF(ISNA(VLOOKUP($A137,'Données projet'!$A$512:$I$532,5,0)),0%,VLOOKUP($A137,'Données projet'!$A$512:$I$532,5,0)*VLOOKUP('Données projet'!$B$27,Paramètres!$A$1:$I$89,7,0))</f>
        <v>0</v>
      </c>
      <c r="OL137" s="16">
        <f>IF(ISNA(VLOOKUP($A137,'Données projet'!$A$512:$I$532,6,0)),0%,VLOOKUP($A137,'Données projet'!$A$512:$I$532,6,0)*VLOOKUP('Données projet'!$B$27,Paramètres!$A$1:$I$89,7,0))</f>
        <v>0</v>
      </c>
      <c r="OM137" s="16">
        <f>IF(ISNA(VLOOKUP($A137,'Données projet'!$A$512:$I$532,7,0)),0%,VLOOKUP($A137,'Données projet'!$A$512:$I$532,7,0))</f>
        <v>0</v>
      </c>
      <c r="ON137" s="21" t="e">
        <f>EXP(-LN(2)/35)*ON136+(1-EXP(-LN(2)/35))/(LN(2)/35)*OJ137*OK137*VLOOKUP('Données projet'!$B$27,Paramètres!$A$1:$I$89,3,0)*0.475*44/12</f>
        <v>#N/A</v>
      </c>
      <c r="OO137" s="21" t="e">
        <f>EXP(-LN(2)/25)*OO136+(1-EXP(-LN(2)/25))/(LN(2)/25)*Calculateur!OJ137*Calculateur!OL137*VLOOKUP('Données projet'!$B$27,Paramètres!$A$1:$I$89,3,0)*0.475*44/12</f>
        <v>#N/A</v>
      </c>
      <c r="OP137" s="21" t="e">
        <f>EXP(-LN(2)/2)*OP136+(1-EXP(-LN(2)/2))/(LN(2)/2)*OJ137*OM137*VLOOKUP('Données projet'!$B$27,Paramètres!$A$1:$I$89,3,0)*0.475*44/12</f>
        <v>#N/A</v>
      </c>
      <c r="OQ137" s="22" t="e">
        <f t="shared" si="280"/>
        <v>#N/A</v>
      </c>
      <c r="OR137" s="74">
        <f>('Scénario référence'!$F$8+'Scénario référence'!$F$9+'Scénario référence'!$B$17+'Scénario référence'!$B$9+'Scénario référence'!$B$10)*70+IF((45+25*(1-EXP(-0.0175*$A137)))&lt;70,'Scénario référence'!$B$16*(45+25*(1-EXP(-0.0175*$A137))),70*'Scénario référence'!$B$16)+IF((32+38*(1-EXP(-0.0175*$A137)))&lt;70,'Scénario référence'!$B$18*(32+38*(1-EXP(-0.0175*$A137))),70*'Scénario référence'!$B$18)</f>
        <v>70</v>
      </c>
      <c r="OS137" s="12">
        <f>IF($A137&gt;30,10,('Scénario référence'!$B$16+'Scénario référence'!$B$17+'Scénario référence'!$B$18+'Scénario référence'!$B$9+'Scénario référence'!$B$10)*$A137*10/30+('Scénario référence'!$F$8+'Scénario référence'!$F$9)*10)</f>
        <v>10</v>
      </c>
      <c r="OT137" s="12" t="e">
        <f>VLOOKUP($A137,'Données projet'!$A$538:$I$558,2,0)</f>
        <v>#N/A</v>
      </c>
      <c r="OU137" s="12" t="e">
        <f>VLOOKUP($A137,'Données projet'!$A$538:$I$558,9,0)</f>
        <v>#N/A</v>
      </c>
      <c r="OV137" s="12">
        <f t="array" ref="OV137">INDEX(OU:OU,MIN(IF(ISNUMBER(OU137:OU333),ROW(OU137:OU333),"")))</f>
        <v>0</v>
      </c>
      <c r="OW137" s="12">
        <f>IF('Données projet'!$A$538&gt;35,OW136+OV137-PE136,IF($A137&lt;'Données projet'!$A$538,$CQ$205^$A137,IF($A137='Données projet'!$A$538,'Données projet'!$B$538,OW136+OV137-PE136)))</f>
        <v>0</v>
      </c>
      <c r="OX137" s="17" t="e">
        <f>OW137*VLOOKUP('Données projet'!$B$28,Paramètres!$A$1:$I$89,3,0)*VLOOKUP('Données projet'!$B$28,Paramètres!$A$1:$I$89,5,0)</f>
        <v>#N/A</v>
      </c>
      <c r="OY137" s="13" t="e">
        <f t="shared" si="324"/>
        <v>#N/A</v>
      </c>
      <c r="OZ137" s="14" t="e">
        <f t="shared" si="281"/>
        <v>#N/A</v>
      </c>
      <c r="PA137" s="59" t="e">
        <f t="shared" si="282"/>
        <v>#N/A</v>
      </c>
      <c r="PB137" s="20" t="e">
        <f ca="1">AVERAGE(OFFSET($PA$3,0,0,'Données projet'!$E$28+1,1))-AVERAGE(OFFSET($H$3,0,0,'Données projet'!$E$28+1,1))</f>
        <v>#N/A</v>
      </c>
      <c r="PC137" s="59" t="e">
        <f t="shared" si="325"/>
        <v>#N/A</v>
      </c>
      <c r="PD137" s="15">
        <f>IF(ISNA(VLOOKUP($A137,'Données projet'!$A$538:$I$558,3,0)),0,VLOOKUP($A137,'Données projet'!$A$538:$I$558,3,0))</f>
        <v>0</v>
      </c>
      <c r="PE137" s="15">
        <f>IF(ISNA(VLOOKUP($A137,'Données projet'!$A$538:$I$558,4,0)),0,VLOOKUP($A137,'Données projet'!$A$538:$I$558,4,0))</f>
        <v>0</v>
      </c>
      <c r="PF137" s="16">
        <f>IF(ISNA(VLOOKUP($A137,'Données projet'!$A$538:$I$558,5,0)),0%,VLOOKUP($A137,'Données projet'!$A$538:$I$558,5,0)*VLOOKUP('Données projet'!$B$28,Paramètres!$A$1:$I$89,7,0))</f>
        <v>0</v>
      </c>
      <c r="PG137" s="16">
        <f>IF(ISNA(VLOOKUP($A137,'Données projet'!$A$538:$I$558,6,0)),0%,VLOOKUP($A137,'Données projet'!$A$538:$I$558,6,0)*VLOOKUP('Données projet'!$B$28,Paramètres!$A$1:$I$89,7,0))</f>
        <v>0</v>
      </c>
      <c r="PH137" s="16">
        <f>IF(ISNA(VLOOKUP($A137,'Données projet'!$A$538:$I$558,7,0)),0%,VLOOKUP($A137,'Données projet'!$A$538:$I$558,7,0))</f>
        <v>0</v>
      </c>
      <c r="PI137" s="21" t="e">
        <f>EXP(-LN(2)/35)*PI136+(1-EXP(-LN(2)/35))/(LN(2)/35)*PE137*PF137*VLOOKUP('Données projet'!$B$28,Paramètres!$A$1:$I$89,3,0)*0.475*44/12</f>
        <v>#N/A</v>
      </c>
      <c r="PJ137" s="21" t="e">
        <f>EXP(-LN(2)/25)*PJ136+(1-EXP(-LN(2)/25))/(LN(2)/25)*Calculateur!PE137*Calculateur!PG137*VLOOKUP('Données projet'!$B$28,Paramètres!$A$1:$I$89,3,0)*0.475*44/12</f>
        <v>#N/A</v>
      </c>
      <c r="PK137" s="21" t="e">
        <f>EXP(-LN(2)/2)*PK136+(1-EXP(-LN(2)/2))/(LN(2)/2)*PE137*PH137*VLOOKUP('Données projet'!$B$28,Paramètres!$A$1:$I$89,3,0)*0.475*44/12</f>
        <v>#N/A</v>
      </c>
      <c r="PL137" s="22" t="e">
        <f t="shared" si="283"/>
        <v>#N/A</v>
      </c>
    </row>
    <row r="138" spans="1:428" x14ac:dyDescent="0.35">
      <c r="A138" s="10">
        <f t="shared" si="284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285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225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projet'!$A$45:$I$65,2,0)</f>
        <v>#N/A</v>
      </c>
      <c r="L138" s="12" t="e">
        <f>VLOOKUP(A138,'Données projet'!$A$45:$I$65,9,0)</f>
        <v>#N/A</v>
      </c>
      <c r="M138" s="12">
        <f t="array" ref="M138">INDEX(L:L,MIN(IF(ISNUMBER(L138:L334),ROW(L138:L334),"")))</f>
        <v>0</v>
      </c>
      <c r="N138" s="13">
        <f>IF('Données projet'!$A$46&gt;35,N137+M138-V137,IF(A138&lt;'Données projet'!$A$46,$K$205^A138,IF(A138='Données projet'!$A$46,'Données projet'!$B$46,N137+M138-V137)))</f>
        <v>-1.1368683772161603E-13</v>
      </c>
      <c r="O138" s="13">
        <f>N138*VLOOKUP('Données projet'!$B$9,Paramètres!$A$1:$I$89,3,0)*VLOOKUP('Données projet'!$B$9,Paramètres!$A$1:$I$89,5,0)</f>
        <v>-6.3550942286383367E-14</v>
      </c>
      <c r="P138" s="13" t="e">
        <f t="shared" si="286"/>
        <v>#NUM!</v>
      </c>
      <c r="Q138" s="20" t="e">
        <f t="shared" si="223"/>
        <v>#NUM!</v>
      </c>
      <c r="R138" s="59" t="e">
        <f t="shared" si="224"/>
        <v>#NUM!</v>
      </c>
      <c r="S138" s="59">
        <f ca="1">AVERAGE(OFFSET($R$3,0,0,'Données projet'!$E$9+1,1))-AVERAGE(OFFSET($H$3,0,0,'Données projet'!$E$9+1,1))</f>
        <v>274.57619581652199</v>
      </c>
      <c r="T138" s="59">
        <f t="shared" si="287"/>
        <v>366.15117322598775</v>
      </c>
      <c r="U138" s="15">
        <f>IF(ISNA(VLOOKUP(A138,'Données projet'!$A$45:$I$65,3,0)),0,VLOOKUP(A138,'Données projet'!$A$45:$I$65,3,0))</f>
        <v>0</v>
      </c>
      <c r="V138" s="15">
        <f>IF(ISNA(VLOOKUP(A138,'Données projet'!$A$45:$I$65,4,0)),0,VLOOKUP(A138,'Données projet'!$A$45:$I$65,4,0))</f>
        <v>0</v>
      </c>
      <c r="W138" s="16">
        <f>IF(ISNA(VLOOKUP(A138,'Données projet'!$A$45:$I$65,5,0)),0%,VLOOKUP(A138,'Données projet'!$A$45:$I$65,5,0)*VLOOKUP('Données projet'!$B$9,Paramètres!$A$1:$I$89,7,0))</f>
        <v>0</v>
      </c>
      <c r="X138" s="16">
        <f>IF(ISNA(VLOOKUP(A138,'Données projet'!$A$45:$I$65,6,0)),0%,VLOOKUP(A138,'Données projet'!$A$45:$I$65,6,0)*VLOOKUP('Données projet'!$B$9,Paramètres!$A$1:$I$89,7,0))</f>
        <v>0</v>
      </c>
      <c r="Y138" s="16">
        <f>IF(ISNA(VLOOKUP(A138,'Données projet'!$A$45:$I$65,7,0)),0%,VLOOKUP(A138,'Données projet'!$A$45:$I$65,7,0))</f>
        <v>0</v>
      </c>
      <c r="Z138" s="21">
        <f>EXP(-LN(2)/35)*Z137+(1-EXP(-LN(2)/35))/(LN(2)/35)*V138*W138*VLOOKUP('Données projet'!$B$9,Paramètres!$A$1:$I$89,3,0)*0.475*44/12</f>
        <v>46.48370450585324</v>
      </c>
      <c r="AA138" s="21">
        <f>EXP(-LN(2)/25)*AA137+(1-EXP(-LN(2)/25))/(LN(2)/25)*Calculateur!V138*Calculateur!X138*VLOOKUP('Données projet'!$B$9,Paramètres!$A$1:$I$89,3,0)*0.475*44/12</f>
        <v>6.2687998265206728</v>
      </c>
      <c r="AB138" s="21">
        <f>EXP(-LN(2)/2)*AB137+(1-EXP(-LN(2)/2))/(LN(2)/2)*V138*Y138*VLOOKUP('Données projet'!$B$9,Paramètres!$A$1:$I$89,3,0)*0.475*44/12</f>
        <v>3.1069524997394613E-11</v>
      </c>
      <c r="AC138" s="22">
        <f t="shared" si="226"/>
        <v>52.752504332404982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projet'!$A$71:$I$91,2,0)</f>
        <v>#N/A</v>
      </c>
      <c r="AG138" s="12" t="e">
        <f>VLOOKUP(A138,'Données projet'!$A$71:$I$91,9,0)</f>
        <v>#N/A</v>
      </c>
      <c r="AH138" s="12">
        <f t="array" ref="AH138">INDEX(AG:AG,MIN(IF(ISNUMBER(AG138:AG334),ROW(AG138:AG334),"")))</f>
        <v>0</v>
      </c>
      <c r="AI138" s="13">
        <f>IF('Données projet'!$A$72&gt;35,AI137+AH138-AQ137,IF(A138&lt;'Données projet'!$A$72,$AF$205^A138,IF(A138='Données projet'!$A$72,'Données projet'!$B$72,AI137+AH138-AQ137)))</f>
        <v>5.6843418860808015E-13</v>
      </c>
      <c r="AJ138" s="13">
        <f>AI138*VLOOKUP('Données projet'!$B$10,Paramètres!$A$1:$I$89,3,0)*VLOOKUP('Données projet'!$B$10,Paramètres!$A$1:$I$89,5,0)</f>
        <v>5.1431925385259092E-13</v>
      </c>
      <c r="AK138" s="13">
        <f t="shared" si="288"/>
        <v>6.3855359115685756E-12</v>
      </c>
      <c r="AL138" s="20">
        <f t="shared" si="227"/>
        <v>1.2017247746441865E-11</v>
      </c>
      <c r="AM138" s="59">
        <f t="shared" si="228"/>
        <v>293.33333333334531</v>
      </c>
      <c r="AN138" s="59">
        <f ca="1">AVERAGE(OFFSET($AM$3,0,0,'Données projet'!$E$10+1,1))-AVERAGE(OFFSET($H$3,0,0,'Données projet'!$E$10+1,1))</f>
        <v>270.87836509222456</v>
      </c>
      <c r="AO138" s="59">
        <f t="shared" si="289"/>
        <v>205.24998237949734</v>
      </c>
      <c r="AP138" s="15">
        <f>IF(ISNA(VLOOKUP(A138,'Données projet'!$A$71:$I$91,3,0)),0,VLOOKUP(A138,'Données projet'!$A$71:$I$91,3,0))</f>
        <v>0</v>
      </c>
      <c r="AQ138" s="15">
        <f>IF(ISNA(VLOOKUP(A138,'Données projet'!$A$71:$I$91,4,0)),0,VLOOKUP(A138,'Données projet'!$A$71:$I$91,4,0))</f>
        <v>0</v>
      </c>
      <c r="AR138" s="16">
        <f>IF(ISNA(VLOOKUP(A138,'Données projet'!$A$71:$I$91,5,0)),0%,VLOOKUP(A138,'Données projet'!$A$71:$I$91,5,0)*VLOOKUP('Données projet'!$B$10,Paramètres!$A$1:$I$89,7,0))</f>
        <v>0</v>
      </c>
      <c r="AS138" s="16">
        <f>IF(ISNA(VLOOKUP(A138,'Données projet'!$A$71:$I$91,6,0)),0%,VLOOKUP(A138,'Données projet'!$A$71:$I$91,6,0)*VLOOKUP('Données projet'!$B$10,Paramètres!$A$1:$I$89,7,0))</f>
        <v>0</v>
      </c>
      <c r="AT138" s="16">
        <f>IF(ISNA(VLOOKUP(A138,'Données projet'!$A$71:$I$91,7,0)),0%,VLOOKUP(A138,'Données projet'!$A$71:$I$91,7,0))</f>
        <v>0</v>
      </c>
      <c r="AU138" s="21">
        <f>EXP(-LN(2)/35)*AU137+(1-EXP(-LN(2)/35))/(LN(2)/35)*AQ138*AR138*VLOOKUP('Données projet'!$B$10,Paramètres!$A$1:$I$89,3,0)*0.475*44/12</f>
        <v>157.96347089525904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229"/>
        <v>157.96347089525904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projet'!$A$97:$I$117,2,0)</f>
        <v>#N/A</v>
      </c>
      <c r="BB138" s="12" t="e">
        <f>VLOOKUP(A138,'Données projet'!$A$97:$I$117,9,0)</f>
        <v>#N/A</v>
      </c>
      <c r="BC138" s="12">
        <f t="array" ref="BC138">INDEX(BB:BB,MIN(IF(ISNUMBER(BB138:BB334),ROW(BB138:BB334),"")))</f>
        <v>0</v>
      </c>
      <c r="BD138" s="12">
        <f>IF('Données projet'!$A$98&gt;35,BD137+BC138-BL137,IF(A138&lt;'Données projet'!$A$98,$BA$205^A138,IF(A138='Données projet'!$A$98,'Données projet'!$B$98,BD137+BC138-BL137)))</f>
        <v>-1.1368683772161603E-13</v>
      </c>
      <c r="BE138" s="13">
        <f>BD138*VLOOKUP('Données projet'!$B$11,Paramètres!$A$1:$I$89,3,0)*VLOOKUP('Données projet'!$B$11,Paramètres!$A$1:$I$89,5,0)</f>
        <v>-5.0249582272954292E-14</v>
      </c>
      <c r="BF138" s="13" t="e">
        <f t="shared" si="290"/>
        <v>#NUM!</v>
      </c>
      <c r="BG138" s="20" t="e">
        <f t="shared" si="230"/>
        <v>#NUM!</v>
      </c>
      <c r="BH138" s="59" t="e">
        <f t="shared" si="231"/>
        <v>#NUM!</v>
      </c>
      <c r="BI138" s="59">
        <f ca="1">AVERAGE(OFFSET($BH$3,0,0,'Données projet'!$E$11+1,1))-AVERAGE(OFFSET($H$3,0,0,'Données projet'!$E$11+1,1))</f>
        <v>211.31057120485542</v>
      </c>
      <c r="BJ138" s="59">
        <f t="shared" si="291"/>
        <v>283.33292006714777</v>
      </c>
      <c r="BK138" s="15">
        <f>IF(ISNA(VLOOKUP(A138,'Données projet'!$A$97:$I$117,3,0)),0,VLOOKUP(A138,'Données projet'!$A$97:$I$117,3,0))</f>
        <v>0</v>
      </c>
      <c r="BL138" s="15">
        <f>IF(ISNA(VLOOKUP(A138,'Données projet'!$A$97:$I$117,4,0)),0,VLOOKUP(A138,'Données projet'!$A$97:$I$117,4,0))</f>
        <v>0</v>
      </c>
      <c r="BM138" s="16">
        <f>IF(ISNA(VLOOKUP(A138,'Données projet'!$A$97:$I$117,5,0)),0%,VLOOKUP(A138,'Données projet'!$A$97:$I$117,5,0)*VLOOKUP('Données projet'!$B$11,Paramètres!$A$1:$I$89,7,0))</f>
        <v>0</v>
      </c>
      <c r="BN138" s="16">
        <f>IF(ISNA(VLOOKUP(A138,'Données projet'!$A$97:$I$117,6,0)),0%,VLOOKUP(A138,'Données projet'!$A$97:$I$117,6,0)*VLOOKUP('Données projet'!$B$11,Paramètres!$A$1:$I$89,7,0))</f>
        <v>0</v>
      </c>
      <c r="BO138" s="16">
        <f>IF(ISNA(VLOOKUP(A138,'Données projet'!$A$97:$I$117,7,0)),0%,VLOOKUP(A138,'Données projet'!$A$97:$I$117,7,0))</f>
        <v>0</v>
      </c>
      <c r="BP138" s="21">
        <f>EXP(-LN(2)/35)*BP137+(1-EXP(-LN(2)/35))/(LN(2)/35)*BL138*BM138*VLOOKUP('Données projet'!$B$11,Paramètres!$A$1:$I$89,3,0)*0.475*44/12</f>
        <v>36.754557051139784</v>
      </c>
      <c r="BQ138" s="21">
        <f>EXP(-LN(2)/25)*BQ137+(1-EXP(-LN(2)/25))/(LN(2)/25)*Calculateur!BL138*Calculateur!BN138*VLOOKUP('Données projet'!$B$11,Paramètres!$A$1:$I$89,3,0)*0.475*44/12</f>
        <v>4.9567254442256452</v>
      </c>
      <c r="BR138" s="21">
        <f>EXP(-LN(2)/2)*BR137+(1-EXP(-LN(2)/2))/(LN(2)/2)*BL138*BO138*VLOOKUP('Données projet'!$B$11,Paramètres!$A$1:$I$89,3,0)*0.475*44/12</f>
        <v>2.456660116073062E-11</v>
      </c>
      <c r="BS138" s="22">
        <f t="shared" si="232"/>
        <v>41.711282495389995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projet'!$A$123:$I$143,2,0)</f>
        <v>#N/A</v>
      </c>
      <c r="BW138" s="12" t="e">
        <f>VLOOKUP(A138,'Données projet'!$A$123:$I$143,9,0)</f>
        <v>#N/A</v>
      </c>
      <c r="BX138" s="12">
        <f t="array" ref="BX138">INDEX(BW:BW,MIN(IF(ISNUMBER(BW138:BW334),ROW(BW138:BW334),"")))</f>
        <v>0</v>
      </c>
      <c r="BY138" s="12">
        <f>IF('Données projet'!$A$124&gt;35,BY137+BX138-CG137,IF(A138&lt;'Données projet'!$A$124,$BV$205^A138,IF(A138='Données projet'!$A$124,'Données projet'!$B$124,BY137+BX138-CG137)))</f>
        <v>0</v>
      </c>
      <c r="BZ138" s="13">
        <f>BY138*VLOOKUP('Données projet'!$B$12,Paramètres!$A$1:$I$89,3,0)*VLOOKUP('Données projet'!$B$12,Paramètres!$A$1:$I$89,5,0)</f>
        <v>0</v>
      </c>
      <c r="CA138" s="13" t="e">
        <f t="shared" si="292"/>
        <v>#NUM!</v>
      </c>
      <c r="CB138" s="20" t="e">
        <f t="shared" si="233"/>
        <v>#NUM!</v>
      </c>
      <c r="CC138" s="59" t="e">
        <f t="shared" si="234"/>
        <v>#NUM!</v>
      </c>
      <c r="CD138" s="59">
        <f ca="1">AVERAGE(OFFSET($CC$3,0,0,'Données projet'!$E$12+1,1))-AVERAGE(OFFSET($H$3,0,0,'Données projet'!$E$12+1,1))</f>
        <v>322.93502595881938</v>
      </c>
      <c r="CE138" s="59">
        <f t="shared" si="293"/>
        <v>302.67072119588164</v>
      </c>
      <c r="CF138" s="15">
        <f>IF(ISNA(VLOOKUP(A138,'Données projet'!$A$123:$I$143,3,0)),0,VLOOKUP(A138,'Données projet'!$A$123:$I$143,3,0))</f>
        <v>0</v>
      </c>
      <c r="CG138" s="15">
        <f>IF(ISNA(VLOOKUP(A138,'Données projet'!$A$123:$I$143,4,0)),0,VLOOKUP(A138,'Données projet'!$A$123:$I$143,4,0))</f>
        <v>0</v>
      </c>
      <c r="CH138" s="16">
        <f>IF(ISNA(VLOOKUP(A138,'Données projet'!$A$123:$I$143,5,0)),0%,VLOOKUP(A138,'Données projet'!$A$123:$I$143,5,0)*VLOOKUP('Données projet'!$B$12,Paramètres!$A$1:$I$89,7,0))</f>
        <v>0</v>
      </c>
      <c r="CI138" s="16">
        <f>IF(ISNA(VLOOKUP(A138,'Données projet'!$A$123:$I$143,6,0)),0%,VLOOKUP(A138,'Données projet'!$A$123:$I$143,6,0)*VLOOKUP('Données projet'!$B$12,Paramètres!$A$1:$I$89,7,0))</f>
        <v>0</v>
      </c>
      <c r="CJ138" s="16">
        <f>IF(ISNA(VLOOKUP(A138,'Données projet'!$A$123:$I$143,7,0)),0%,VLOOKUP(A138,'Données projet'!$A$123:$I$143,7,0))</f>
        <v>0</v>
      </c>
      <c r="CK138" s="21">
        <f>EXP(-LN(2)/35)*CK137+(1-EXP(-LN(2)/35))/(LN(2)/35)*CG138*CH138*VLOOKUP('Données projet'!$B$12,Paramètres!$A$1:$I$89,3,0)*0.475*44/12</f>
        <v>58.558890540901494</v>
      </c>
      <c r="CL138" s="21">
        <f>EXP(-LN(2)/25)*CL137+(1-EXP(-LN(2)/25))/(LN(2)/25)*Calculateur!CG138*Calculateur!CI138*VLOOKUP('Données projet'!$B$12,Paramètres!$A$1:$I$89,3,0)*0.475*44/12</f>
        <v>15.864520433573954</v>
      </c>
      <c r="CM138" s="21">
        <f>EXP(-LN(2)/2)*CM137+(1-EXP(-LN(2)/2))/(LN(2)/2)*CG138*CJ138*VLOOKUP('Données projet'!$B$12,Paramètres!$A$1:$I$89,3,0)*0.475*44/12</f>
        <v>0</v>
      </c>
      <c r="CN138" s="22">
        <f t="shared" si="235"/>
        <v>74.423410974475445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projet'!$A$149:$I$169,2,0)</f>
        <v>#N/A</v>
      </c>
      <c r="CR138" s="12" t="e">
        <f>VLOOKUP(A138,'Données projet'!$A$149:$I$169,9,0)</f>
        <v>#N/A</v>
      </c>
      <c r="CS138" s="12">
        <f t="array" ref="CS138">INDEX(CR:CR,MIN(IF(ISNUMBER(CR138:CR334),ROW(CR138:CR334),"")))</f>
        <v>5.2446581196581219</v>
      </c>
      <c r="CT138" s="12">
        <f>IF('Données projet'!$A$150&gt;35,CT137+CS138-DB137,IF(A138&lt;'Données projet'!$A$150,$CQ$205^A138,IF(A138='Données projet'!$A$150,'Données projet'!$B$150,CT137+CS138-DB137)))</f>
        <v>282.5811965811962</v>
      </c>
      <c r="CU138" s="17">
        <f>CT138*VLOOKUP('Données projet'!$B$13,Paramètres!$A$1:$I$89,3,0)*VLOOKUP('Données projet'!$B$13,Paramètres!$A$1:$I$89,5,0)</f>
        <v>286.53733333333292</v>
      </c>
      <c r="CV138" s="13">
        <f t="shared" si="294"/>
        <v>68.346674190809836</v>
      </c>
      <c r="CW138" s="20">
        <f t="shared" si="236"/>
        <v>618.08964643788192</v>
      </c>
      <c r="CX138" s="59">
        <f t="shared" si="237"/>
        <v>911.4229797712153</v>
      </c>
      <c r="CY138" s="59">
        <f ca="1">AVERAGE(OFFSET($CX$3,0,0,'Données projet'!$E$13+1,1))-AVERAGE(OFFSET($H$3,0,0,'Données projet'!$E$13+1,1))</f>
        <v>250.31277422753283</v>
      </c>
      <c r="CZ138" s="59">
        <f t="shared" si="295"/>
        <v>159.20429420478047</v>
      </c>
      <c r="DA138" s="15">
        <f>IF(ISNA(VLOOKUP(A138,'Données projet'!$A$149:$I$169,3,0)),0,VLOOKUP(A138,'Données projet'!$A$149:$I$169,3,0))</f>
        <v>0</v>
      </c>
      <c r="DB138" s="15">
        <f>IF(ISNA(VLOOKUP(A138,'Données projet'!$A$149:$I$169,4,0)),0,VLOOKUP(A138,'Données projet'!$A$149:$I$169,4,0))</f>
        <v>0</v>
      </c>
      <c r="DC138" s="16">
        <f>IF(ISNA(VLOOKUP(A138,'Données projet'!$A$149:$I$169,5,0)),0%,VLOOKUP(A138,'Données projet'!$A$149:$I$169,5,0)*VLOOKUP('Données projet'!$B$13,Paramètres!$A$1:$I$89,7,0))</f>
        <v>0</v>
      </c>
      <c r="DD138" s="16">
        <f>IF(ISNA(VLOOKUP(A138,'Données projet'!$A$149:$I$169,6,0)),0%,VLOOKUP(A138,'Données projet'!$A$149:$I$169,6,0)*VLOOKUP('Données projet'!$B$13,Paramètres!$A$1:$I$89,7,0))</f>
        <v>0</v>
      </c>
      <c r="DE138" s="16">
        <f>IF(ISNA(VLOOKUP(A138,'Données projet'!$A$149:$I$169,7,0)),0%,VLOOKUP(A138,'Données projet'!$A$149:$I$169,7,0))</f>
        <v>0</v>
      </c>
      <c r="DF138" s="21">
        <f>EXP(-LN(2)/35)*DF137+(1-EXP(-LN(2)/35))/(LN(2)/35)*DB138*DC138*VLOOKUP('Données projet'!$B$13,Paramètres!$A$1:$I$89,3,0)*0.475*44/12</f>
        <v>39.209402550077748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238"/>
        <v>39.209402550077748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projet'!$A$175:$I$195,2,0)</f>
        <v>#N/A</v>
      </c>
      <c r="DM138" s="12" t="e">
        <f>VLOOKUP(A138,'Données projet'!$A$175:$I$195,9,0)</f>
        <v>#N/A</v>
      </c>
      <c r="DN138" s="12">
        <f t="array" ref="DN138">INDEX(DM:DM,MIN(IF(ISNUMBER(DM138:DM334),ROW(DM138:DM334),"")))</f>
        <v>0</v>
      </c>
      <c r="DO138" s="12">
        <f>IF('Données projet'!$A$176&gt;35,DO137+DN138-DW137,IF(A138&lt;'Données projet'!$A$176,$DL$205^A138,IF(A138='Données projet'!$A$176,'Données projet'!$B$176,DO137+DN138-DW137)))</f>
        <v>-2.8421709430404007E-13</v>
      </c>
      <c r="DP138" s="17">
        <f>DO138*VLOOKUP('Données projet'!$B$14,Paramètres!$A$1:$I$89,3,0)*VLOOKUP('Données projet'!$B$14,Paramètres!$A$1:$I$89,5,0)</f>
        <v>-2.0838797354372215E-13</v>
      </c>
      <c r="DQ138" s="13" t="e">
        <f t="shared" si="296"/>
        <v>#NUM!</v>
      </c>
      <c r="DR138" s="20" t="e">
        <f t="shared" si="239"/>
        <v>#NUM!</v>
      </c>
      <c r="DS138" s="59" t="e">
        <f t="shared" si="240"/>
        <v>#NUM!</v>
      </c>
      <c r="DT138" s="59">
        <f ca="1">AVERAGE(OFFSET($DS$3,0,0,'Données projet'!$E$14+1,1))-AVERAGE(OFFSET($H$3,0,0,'Données projet'!$E$14+1,1))</f>
        <v>296.91321813251051</v>
      </c>
      <c r="DU138" s="59">
        <f t="shared" si="297"/>
        <v>291.0718079639509</v>
      </c>
      <c r="DV138" s="15">
        <f>IF(ISNA(VLOOKUP(A138,'Données projet'!$A$175:$I$195,3,0)),0,VLOOKUP(A138,'Données projet'!$A$175:$I$195,3,0))</f>
        <v>0</v>
      </c>
      <c r="DW138" s="15">
        <f>IF(ISNA(VLOOKUP(A138,'Données projet'!$A$175:$I$195,4,0)),0,VLOOKUP(A138,'Données projet'!$A$175:$I$195,4,0))</f>
        <v>0</v>
      </c>
      <c r="DX138" s="16">
        <f>IF(ISNA(VLOOKUP(A138,'Données projet'!$A$175:$I$195,5,0)),0%,VLOOKUP(A138,'Données projet'!$A$175:$I$195,5,0)*VLOOKUP('Données projet'!$B$14,Paramètres!$A$1:$I$89,7,0))</f>
        <v>0</v>
      </c>
      <c r="DY138" s="16">
        <f>IF(ISNA(VLOOKUP(A138,'Données projet'!$A$175:$I$195,6,0)),0%,VLOOKUP(A138,'Données projet'!$A$175:$I$195,6,0)*VLOOKUP('Données projet'!$B$14,Paramètres!$A$1:$I$89,7,0))</f>
        <v>0</v>
      </c>
      <c r="DZ138" s="16">
        <f>IF(ISNA(VLOOKUP(A138,'Données projet'!$A$175:$I$195,7,0)),0%,VLOOKUP(A138,'Données projet'!$A$175:$I$195,7,0))</f>
        <v>0</v>
      </c>
      <c r="EA138" s="21">
        <f>EXP(-LN(2)/35)*EA137+(1-EXP(-LN(2)/35))/(LN(2)/35)*DW138*DX138*VLOOKUP('Données projet'!$B$14,Paramètres!$A$1:$I$89,3,0)*0.475*44/12</f>
        <v>58.364413950507313</v>
      </c>
      <c r="EB138" s="21">
        <f>EXP(-LN(2)/25)*EB137+(1-EXP(-LN(2)/25))/(LN(2)/25)*Calculateur!DW138*Calculateur!DY138*VLOOKUP('Données projet'!$B$14,Paramètres!$A$1:$I$89,3,0)*0.475*44/12</f>
        <v>1.1654220593073112</v>
      </c>
      <c r="EC138" s="21">
        <f>EXP(-LN(2)/2)*EC137+(1-EXP(-LN(2)/2))/(LN(2)/2)*DW138*DZ138*VLOOKUP('Données projet'!$B$14,Paramètres!$A$1:$I$89,3,0)*0.475*44/12</f>
        <v>0</v>
      </c>
      <c r="ED138" s="22">
        <f t="shared" si="241"/>
        <v>59.529836009814623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projet'!$A$201:$I$221,2,0)</f>
        <v>#N/A</v>
      </c>
      <c r="EH138" s="12" t="e">
        <f>VLOOKUP(A138,'Données projet'!$A$201:$I$221,9,0)</f>
        <v>#N/A</v>
      </c>
      <c r="EI138" s="12">
        <f t="array" ref="EI138">INDEX(EH:EH,MIN(IF(ISNUMBER(EH138:EH334),ROW(EH138:EH334),"")))</f>
        <v>0</v>
      </c>
      <c r="EJ138" s="12">
        <f>IF('Données projet'!$A$202&gt;35,EJ137+EI138-ER137,IF(A138&lt;'Données projet'!$A$202,$EG$205^A138,IF(A138='Données projet'!$A$202,'Données projet'!$B$202,EJ137+EI138-ER137)))</f>
        <v>5.1159076974727213E-13</v>
      </c>
      <c r="EK138" s="17">
        <f>EJ138*VLOOKUP('Données projet'!$B$15,Paramètres!$A$1:$I$89,3,0)*VLOOKUP('Données projet'!$B$15,Paramètres!$A$1:$I$89,5,0)</f>
        <v>2.3942448024172334E-13</v>
      </c>
      <c r="EL138" s="13">
        <f t="shared" si="298"/>
        <v>3.2492669905861755E-12</v>
      </c>
      <c r="EM138" s="20">
        <f t="shared" si="242"/>
        <v>6.0761376450252565E-12</v>
      </c>
      <c r="EN138" s="59">
        <f t="shared" si="243"/>
        <v>293.3333333333394</v>
      </c>
      <c r="EO138" s="59">
        <f ca="1">AVERAGE(OFFSET($EN$3,0,0,'Données projet'!$E$15+1,1))-AVERAGE(OFFSET($H$3,0,0,'Données projet'!$E$15+1,1))</f>
        <v>147.64256291235483</v>
      </c>
      <c r="EP138" s="59">
        <f t="shared" si="299"/>
        <v>70.859031694091868</v>
      </c>
      <c r="EQ138" s="15">
        <f>IF(ISNA(VLOOKUP(A138,'Données projet'!$A$201:$I$221,3,0)),0,VLOOKUP(A138,'Données projet'!$A$201:$I$221,3,0))</f>
        <v>0</v>
      </c>
      <c r="ER138" s="15">
        <f>IF(ISNA(VLOOKUP(A138,'Données projet'!$A$201:$I$221,4,0)),0,VLOOKUP(A138,'Données projet'!$A$201:$I$221,4,0))</f>
        <v>0</v>
      </c>
      <c r="ES138" s="16">
        <f>IF(ISNA(VLOOKUP(A138,'Données projet'!$A$201:$I$221,5,0)),0%,VLOOKUP(A138,'Données projet'!$A$201:$I$221,5,0)*VLOOKUP('Données projet'!$B$15,Paramètres!$A$1:$I$89,7,0))</f>
        <v>0</v>
      </c>
      <c r="ET138" s="16">
        <f>IF(ISNA(VLOOKUP(A138,'Données projet'!$A$201:$I$221,6,0)),0%,VLOOKUP(A138,'Données projet'!$A$201:$I$221,6,0)*VLOOKUP('Données projet'!$B$15,Paramètres!$A$1:$I$89,7,0))</f>
        <v>0</v>
      </c>
      <c r="EU138" s="16">
        <f>IF(ISNA(VLOOKUP(A138,'Données projet'!$A$201:$I$221,7,0)),0%,VLOOKUP(A138,'Données projet'!$A$201:$I$221,7,0))</f>
        <v>0</v>
      </c>
      <c r="EV138" s="21">
        <f>EXP(-LN(2)/35)*EV137+(1-EXP(-LN(2)/35))/(LN(2)/35)*ER138*ES138*VLOOKUP('Données projet'!$B$15,Paramètres!$A$1:$I$89,3,0)*0.475*44/12</f>
        <v>79.901802687130328</v>
      </c>
      <c r="EW138" s="21">
        <f>EXP(-LN(2)/25)*EW137+(1-EXP(-LN(2)/25))/(LN(2)/25)*Calculateur!ER138*Calculateur!ET138*VLOOKUP('Données projet'!$B$15,Paramètres!$A$1:$I$89,3,0)*0.475*44/12</f>
        <v>16.169056930008871</v>
      </c>
      <c r="EX138" s="21">
        <f>EXP(-LN(2)/2)*EX137+(1-EXP(-LN(2)/2))/(LN(2)/2)*ER138*EU138*VLOOKUP('Données projet'!$B$15,Paramètres!$A$1:$I$89,3,0)*0.475*44/12</f>
        <v>2.2398302398331737E-3</v>
      </c>
      <c r="EY138" s="22">
        <f t="shared" si="244"/>
        <v>96.073099447379036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projet'!$A$227:$I$247,2,0)</f>
        <v>#N/A</v>
      </c>
      <c r="FC138" s="12" t="e">
        <f>VLOOKUP(A138,'Données projet'!$A$227:$I$247,9,0)</f>
        <v>#N/A</v>
      </c>
      <c r="FD138" s="12">
        <f t="array" ref="FD138">INDEX(FC:FC,MIN(IF(ISNUMBER(FC138:FC334),ROW(FC138:FC334),"")))</f>
        <v>0</v>
      </c>
      <c r="FE138" s="12">
        <f>IF('Données projet'!$A$228&gt;35,FE137+FD138-FM137,IF(A138&lt;'Données projet'!$A$228,$FB$205^A138,IF(A138='Données projet'!$A$228,'Données projet'!$B$228,FE137+FD138-FM137)))</f>
        <v>8.5265128291212022E-14</v>
      </c>
      <c r="FF138" s="17">
        <f>FE138*VLOOKUP('Données projet'!$B$16,Paramètres!$A$1:$I$89,3,0)*VLOOKUP('Données projet'!$B$16,Paramètres!$A$1:$I$89,5,0)</f>
        <v>8.9119112089974823E-14</v>
      </c>
      <c r="FG138" s="13">
        <f t="shared" si="300"/>
        <v>1.3568952080113142E-12</v>
      </c>
      <c r="FH138" s="20">
        <f t="shared" si="245"/>
        <v>2.5184749408430782E-12</v>
      </c>
      <c r="FI138" s="59">
        <f t="shared" si="246"/>
        <v>293.33333333333582</v>
      </c>
      <c r="FJ138" s="59">
        <f ca="1">AVERAGE(OFFSET($FI$3,0,0,'Données projet'!$E$16+1,1))-AVERAGE(OFFSET($H$3,0,0,'Données projet'!$E$16+1,1))</f>
        <v>259.03906550253788</v>
      </c>
      <c r="FK138" s="59">
        <f t="shared" si="301"/>
        <v>235.54542903570831</v>
      </c>
      <c r="FL138" s="15">
        <f>IF(ISNA(VLOOKUP(A138,'Données projet'!$A$227:$I$247,3,0)),0,VLOOKUP(A138,'Données projet'!$A$227:$I$247,3,0))</f>
        <v>0</v>
      </c>
      <c r="FM138" s="15">
        <f>IF(ISNA(VLOOKUP(A138,'Données projet'!$A$227:$I$247,4,0)),0,VLOOKUP(A138,'Données projet'!$A$227:$I$247,4,0))</f>
        <v>0</v>
      </c>
      <c r="FN138" s="16">
        <f>IF(ISNA(VLOOKUP(A138,'Données projet'!$A$227:$I$247,5,0)),0%,VLOOKUP(A138,'Données projet'!$A$227:$I$247,5,0)*VLOOKUP('Données projet'!$B$16,Paramètres!$A$1:$I$89,7,0))</f>
        <v>0</v>
      </c>
      <c r="FO138" s="16">
        <f>IF(ISNA(VLOOKUP(A138,'Données projet'!$A$227:$I$247,6,0)),0%,VLOOKUP(A138,'Données projet'!$A$227:$I$247,6,0)*VLOOKUP('Données projet'!$B$16,Paramètres!$A$1:$I$89,7,0))</f>
        <v>0</v>
      </c>
      <c r="FP138" s="16">
        <f>IF(ISNA(VLOOKUP(A138,'Données projet'!$A$227:$I$247,7,0)),0%,VLOOKUP(A138,'Données projet'!$A$227:$I$247,7,0))</f>
        <v>0</v>
      </c>
      <c r="FQ138" s="21">
        <f>EXP(-LN(2)/35)*FQ137+(1-EXP(-LN(2)/35))/(LN(2)/35)*FM138*FN138*VLOOKUP('Données projet'!$B$16,Paramètres!$A$1:$I$89,3,0)*0.475*44/12</f>
        <v>35.266484222679004</v>
      </c>
      <c r="FR138" s="21">
        <f>EXP(-LN(2)/25)*FR137+(1-EXP(-LN(2)/25))/(LN(2)/25)*Calculateur!FM138*Calculateur!FO138*VLOOKUP('Données projet'!$B$16,Paramètres!$A$1:$I$89,3,0)*0.475*44/12</f>
        <v>22.243361847669082</v>
      </c>
      <c r="FS138" s="21">
        <f>EXP(-LN(2)/2)*FS137+(1-EXP(-LN(2)/2))/(LN(2)/2)*FM138*FP138*VLOOKUP('Données projet'!$B$16,Paramètres!$A$1:$I$89,3,0)*0.475*44/12</f>
        <v>0</v>
      </c>
      <c r="FT138" s="22">
        <f t="shared" si="247"/>
        <v>57.50984607034809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projet'!$A$253:$I$273,2,0)</f>
        <v>#N/A</v>
      </c>
      <c r="FX138" s="12" t="e">
        <f>VLOOKUP(A138,'Données projet'!$A$253:$I$273,9,0)</f>
        <v>#N/A</v>
      </c>
      <c r="FY138" s="12">
        <f t="array" ref="FY138">INDEX(FX:FX,MIN(IF(ISNUMBER(FX138:FX334),ROW(FX138:FX334),"")))</f>
        <v>0</v>
      </c>
      <c r="FZ138" s="12">
        <f>IF('Données projet'!$A$254&gt;35,FZ137+FY138-GH137,IF(A138&lt;'Données projet'!$A$254,$FW$205^A138,IF(A138='Données projet'!$A$254,'Données projet'!$B$254,FZ137+FY138-GH137)))</f>
        <v>-1.7053025658242404E-13</v>
      </c>
      <c r="GA138" s="17">
        <f>FZ138*VLOOKUP('Données projet'!$B$17,Paramètres!$A$1:$I$89,3,0)*VLOOKUP('Données projet'!$B$17,Paramètres!$A$1:$I$89,5,0)</f>
        <v>-1.4897523215040567E-13</v>
      </c>
      <c r="GB138" s="13" t="e">
        <f t="shared" si="302"/>
        <v>#NUM!</v>
      </c>
      <c r="GC138" s="20" t="e">
        <f t="shared" si="248"/>
        <v>#NUM!</v>
      </c>
      <c r="GD138" s="59" t="e">
        <f t="shared" si="249"/>
        <v>#NUM!</v>
      </c>
      <c r="GE138" s="59">
        <f ca="1">AVERAGE(OFFSET($GD$3,0,0,'Données projet'!$E$17+1,1))-AVERAGE(OFFSET($H$3,0,0,'Données projet'!$E$17+1,1))</f>
        <v>245.1983232777614</v>
      </c>
      <c r="GF138" s="59">
        <f t="shared" si="303"/>
        <v>242.34010522344573</v>
      </c>
      <c r="GG138" s="15">
        <f>IF(ISNA(VLOOKUP(A138,'Données projet'!$A$253:$I$273,3,0)),0,VLOOKUP(A138,'Données projet'!$A$253:$I$273,3,0))</f>
        <v>0</v>
      </c>
      <c r="GH138" s="15">
        <f>IF(ISNA(VLOOKUP(A138,'Données projet'!$A$253:$I$273,4,0)),0,VLOOKUP(A138,'Données projet'!$A$253:$I$273,4,0))</f>
        <v>0</v>
      </c>
      <c r="GI138" s="16">
        <f>IF(ISNA(VLOOKUP(A138,'Données projet'!$A$253:$I$273,5,0)),0%,VLOOKUP(A138,'Données projet'!$A$253:$I$273,5,0)*VLOOKUP('Données projet'!$B$17,Paramètres!$A$1:$I$89,7,0))</f>
        <v>0</v>
      </c>
      <c r="GJ138" s="16">
        <f>IF(ISNA(VLOOKUP(A138,'Données projet'!$A$253:$I$273,6,0)),0%,VLOOKUP(A138,'Données projet'!$A$253:$I$273,6,0)*VLOOKUP('Données projet'!$B$17,Paramètres!$A$1:$I$89,7,0))</f>
        <v>0</v>
      </c>
      <c r="GK138" s="16">
        <f>IF(ISNA(VLOOKUP(A138,'Données projet'!$A$253:$I$273,7,0)),0%,VLOOKUP(A138,'Données projet'!$A$253:$I$273,7,0))</f>
        <v>0</v>
      </c>
      <c r="GL138" s="21">
        <f>EXP(-LN(2)/35)*GL137+(1-EXP(-LN(2)/35))/(LN(2)/35)*GH138*GI138*VLOOKUP('Données projet'!$B$17,Paramètres!$A$1:$I$89,3,0)*0.475*44/12</f>
        <v>41.460590846395533</v>
      </c>
      <c r="GM138" s="21">
        <f>EXP(-LN(2)/25)*GM137+(1-EXP(-LN(2)/25))/(LN(2)/25)*Calculateur!GH138*Calculateur!GJ138*VLOOKUP('Données projet'!$B$17,Paramètres!$A$1:$I$89,3,0)*0.475*44/12</f>
        <v>4.739518525101051</v>
      </c>
      <c r="GN138" s="21">
        <f>EXP(-LN(2)/2)*GN137+(1-EXP(-LN(2)/2))/(LN(2)/2)*GH138*GK138*VLOOKUP('Données projet'!$B$17,Paramètres!$A$1:$I$89,3,0)*0.475*44/12</f>
        <v>0</v>
      </c>
      <c r="GO138" s="21">
        <f t="shared" si="250"/>
        <v>46.20010937149658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projet'!$A$279:$I$299,2,0)</f>
        <v>#N/A</v>
      </c>
      <c r="GS138" s="12" t="e">
        <f>VLOOKUP(A138,'Données projet'!$A$279:$I$299,9,0)</f>
        <v>#N/A</v>
      </c>
      <c r="GT138" s="12">
        <f t="array" ref="GT138">INDEX(GS:GS,MIN(IF(ISNUMBER(GS138:GS334),ROW(GS138:GS334),"")))</f>
        <v>0</v>
      </c>
      <c r="GU138" s="12">
        <f>IF('Données projet'!$A$280&gt;35,GU137+GT138-HC137,IF(A138&lt;'Données projet'!$A$280,$GR$205^A138,IF(A138='Données projet'!$A$280,'Données projet'!$B$280,GU137+GT138-HC137)))</f>
        <v>-1.1368683772161603E-13</v>
      </c>
      <c r="GV138" s="17">
        <f>GU138*VLOOKUP('Données projet'!$B$18,Paramètres!$A$1:$I$89,3,0)*VLOOKUP('Données projet'!$B$18,Paramètres!$A$1:$I$89,5,0)</f>
        <v>-4.5815795601811263E-14</v>
      </c>
      <c r="GW138" s="13" t="e">
        <f t="shared" si="304"/>
        <v>#NUM!</v>
      </c>
      <c r="GX138" s="20" t="e">
        <f t="shared" si="251"/>
        <v>#NUM!</v>
      </c>
      <c r="GY138" s="59" t="e">
        <f t="shared" si="252"/>
        <v>#NUM!</v>
      </c>
      <c r="GZ138" s="59">
        <f ca="1">AVERAGE(OFFSET($GY$3,0,0,'Données projet'!$E$18+1,1))-AVERAGE(OFFSET($H$3,0,0,'Données projet'!$E$18+1,1))</f>
        <v>324.36162935850876</v>
      </c>
      <c r="HA138" s="59">
        <f t="shared" si="305"/>
        <v>265.23571072429735</v>
      </c>
      <c r="HB138" s="15">
        <f>IF(ISNA(VLOOKUP(A138,'Données projet'!$A$279:$I$299,3,0)),0,VLOOKUP(A138,'Données projet'!$A$279:$I$299,3,0))</f>
        <v>0</v>
      </c>
      <c r="HC138" s="15">
        <f>IF(ISNA(VLOOKUP(A138,'Données projet'!$A$279:$I$299,4,0)),0,VLOOKUP(A138,'Données projet'!$A$279:$I$299,4,0))</f>
        <v>0</v>
      </c>
      <c r="HD138" s="16">
        <f>IF(ISNA(VLOOKUP(A138,'Données projet'!$A$279:$I$299,5,0)),0%,VLOOKUP(A138,'Données projet'!$A$279:$I$299,5,0)*VLOOKUP('Données projet'!$B$18,Paramètres!$A$1:$I$89,7,0))</f>
        <v>0</v>
      </c>
      <c r="HE138" s="16">
        <f>IF(ISNA(VLOOKUP(A138,'Données projet'!$A$279:$I$299,6,0)),0%,VLOOKUP(A138,'Données projet'!$A$279:$I$299,6,0)*VLOOKUP('Données projet'!$B$18,Paramètres!$A$1:$I$89,7,0))</f>
        <v>0</v>
      </c>
      <c r="HF138" s="16">
        <f>IF(ISNA(VLOOKUP($A138,'Données projet'!$A$279:$I$299,7,0)),0%,VLOOKUP($A138,'Données projet'!$A$279:$I$299,7,0))</f>
        <v>0</v>
      </c>
      <c r="HG138" s="21">
        <f>EXP(-LN(2)/35)*HG137+(1-EXP(-LN(2)/35))/(LN(2)/35)*HC138*HD138*VLOOKUP('Données projet'!$B$18,Paramètres!$A$1:$I$89,3,0)*0.475*44/12</f>
        <v>79.449330640021401</v>
      </c>
      <c r="HH138" s="21">
        <f>EXP(-LN(2)/25)*HH137+(1-EXP(-LN(2)/25))/(LN(2)/25)*Calculateur!HC138*Calculateur!HE138*VLOOKUP('Données projet'!$B$18,Paramètres!$A$1:$I$89,3,0)*0.475*44/12</f>
        <v>5.2711923388914608</v>
      </c>
      <c r="HI138" s="21">
        <f>EXP(-LN(2)/2)*HI137+(1-EXP(-LN(2)/2))/(LN(2)/2)*HC138*HF138*VLOOKUP('Données projet'!$B$18,Paramètres!$A$1:$I$89,3,0)*0.475*44/12</f>
        <v>4.5029744101509803E-8</v>
      </c>
      <c r="HJ138" s="22">
        <f t="shared" si="253"/>
        <v>84.720523023942619</v>
      </c>
      <c r="HK138" s="74">
        <f>('Scénario référence'!$F$8+'Scénario référence'!$F$9+'Scénario référence'!$B$17+'Scénario référence'!$B$9+'Scénario référence'!$B$10)*70+IF((45+25*(1-EXP(-0.0175*$A138)))&lt;70,'Scénario référence'!$B$16*(45+25*(1-EXP(-0.0175*$A138))),70*'Scénario référence'!$B$16)+IF((32+38*(1-EXP(-0.0175*$A138)))&lt;70,'Scénario référence'!$B$18*(32+38*(1-EXP(-0.0175*$A138))),70*'Scénario référence'!$B$18)</f>
        <v>70</v>
      </c>
      <c r="HL138" s="12">
        <f>IF($A138&gt;30,10,('Scénario référence'!$B$16+'Scénario référence'!$B$17+'Scénario référence'!$B$18+'Scénario référence'!$B$9+'Scénario référence'!$B$10)*$A138*10/30+('Scénario référence'!$F$8+'Scénario référence'!$F$9)*10)</f>
        <v>10</v>
      </c>
      <c r="HM138" s="12" t="e">
        <f>VLOOKUP($A138,'Données projet'!$A$304:$I$324,2,0)</f>
        <v>#N/A</v>
      </c>
      <c r="HN138" s="12" t="e">
        <f>VLOOKUP($A138,'Données projet'!$A$304:$I$324,9,0)</f>
        <v>#N/A</v>
      </c>
      <c r="HO138" s="12">
        <f t="array" ref="HO138">INDEX(HN:HN,MIN(IF(ISNUMBER(HN138:HN334),ROW(HN138:HN334),"")))</f>
        <v>0</v>
      </c>
      <c r="HP138" s="12">
        <f>IF('Données projet'!$A$304&gt;35,HP137+HO138-HX137,IF($A138&lt;'Données projet'!$A$304,$CQ$205^$A138,IF($A138='Données projet'!$A$304,'Données projet'!$B$304,HP137+HO138-HX137)))</f>
        <v>0</v>
      </c>
      <c r="HQ138" s="17">
        <f>HP138*VLOOKUP('Données projet'!$B$19,Paramètres!$A$1:$I$89,3,0)*VLOOKUP('Données projet'!$B$19,Paramètres!$A$1:$I$89,5,0)</f>
        <v>0</v>
      </c>
      <c r="HR138" s="13" t="e">
        <f t="shared" si="306"/>
        <v>#NUM!</v>
      </c>
      <c r="HS138" s="14" t="e">
        <f t="shared" si="254"/>
        <v>#NUM!</v>
      </c>
      <c r="HT138" s="59" t="e">
        <f t="shared" si="255"/>
        <v>#NUM!</v>
      </c>
      <c r="HU138" s="59">
        <f ca="1">AVERAGE(OFFSET(HT$3,0,0,'Données projet'!$E$19+1,1))-AVERAGE(OFFSET($H$3,0,0,'Données projet'!$E$19+1,1))</f>
        <v>91.60721429656013</v>
      </c>
      <c r="HV138" s="59">
        <f t="shared" si="307"/>
        <v>258.94957804210856</v>
      </c>
      <c r="HW138" s="15">
        <f>IF(ISNA(VLOOKUP($A138,'Données projet'!$A$304:$I$324,3,0)),0,VLOOKUP($A138,'Données projet'!$A$304:$I$324,3,0))</f>
        <v>0</v>
      </c>
      <c r="HX138" s="15">
        <f>IF(ISNA(VLOOKUP($A138,'Données projet'!$A$304:$I$324,4,0)),0,VLOOKUP($A138,'Données projet'!$A$304:$I$324,4,0))</f>
        <v>0</v>
      </c>
      <c r="HY138" s="16">
        <f>IF(ISNA(VLOOKUP($A138,'Données projet'!$A$304:$I$324,5,0)),0%,VLOOKUP($A138,'Données projet'!$A$304:$I$324,5,0)*VLOOKUP('Données projet'!$B$19,Paramètres!$A$1:$I$89,7,0))</f>
        <v>0</v>
      </c>
      <c r="HZ138" s="16">
        <f>IF(ISNA(VLOOKUP($A138,'Données projet'!$A$304:$I$324,6,0)),0%,VLOOKUP($A138,'Données projet'!$A$304:$I$324,6,0)*VLOOKUP('Données projet'!$B$19,Paramètres!$A$1:$I$89,7,0))</f>
        <v>0</v>
      </c>
      <c r="IA138" s="16">
        <f>IF(ISNA(VLOOKUP($A138,'Données projet'!$A$304:$I$324,7,0)),0%,VLOOKUP($A138,'Données projet'!$A$304:$I$324,7,0))</f>
        <v>0</v>
      </c>
      <c r="IB138" s="21">
        <f>EXP(-LN(2)/35)*IB137+(1-EXP(-LN(2)/35))/(LN(2)/35)*HX138*HY138*VLOOKUP('Données projet'!$B$19,Paramètres!$A$1:$I$89,3,0)*0.475*44/12</f>
        <v>6.1665880891795766</v>
      </c>
      <c r="IC138" s="21">
        <f>EXP(-LN(2)/25)*IC137+(1-EXP(-LN(2)/25))/(LN(2)/25)*Calculateur!HX138*Calculateur!HZ138*VLOOKUP('Données projet'!$B$19,Paramètres!$A$1:$I$89,3,0)*0.475*44/12</f>
        <v>0.52927987109402075</v>
      </c>
      <c r="ID138" s="21">
        <f>EXP(-LN(2)/2)*ID137+(1-EXP(-LN(2)/2))/(LN(2)/2)*HX138*IA138*VLOOKUP('Données projet'!$B$19,Paramètres!$A$1:$I$89,3,0)*0.475*44/12</f>
        <v>8.9943109460878611E-17</v>
      </c>
      <c r="IE138" s="22">
        <f t="shared" si="256"/>
        <v>6.6958679602735973</v>
      </c>
      <c r="IF138" s="74">
        <f>('Scénario référence'!$F$8+'Scénario référence'!$F$9+'Scénario référence'!$B$17+'Scénario référence'!$B$9+'Scénario référence'!$B$10)*70+IF((45+25*(1-EXP(-0.0175*$A138)))&lt;70,'Scénario référence'!$B$16*(45+25*(1-EXP(-0.0175*$A138))),70*'Scénario référence'!$B$16)+IF((32+38*(1-EXP(-0.0175*$A138)))&lt;70,'Scénario référence'!$B$18*(32+38*(1-EXP(-0.0175*$A138))),70*'Scénario référence'!$B$18)</f>
        <v>70</v>
      </c>
      <c r="IG138" s="12">
        <f>IF($A138&gt;30,10,('Scénario référence'!$B$16+'Scénario référence'!$B$17+'Scénario référence'!$B$18+'Scénario référence'!$B$9+'Scénario référence'!$B$10)*$A138*10/30+('Scénario référence'!$F$8+'Scénario référence'!$F$9)*10)</f>
        <v>10</v>
      </c>
      <c r="IH138" s="12" t="e">
        <f>VLOOKUP($A138,'Données projet'!$A$330:$I$350,2,0)</f>
        <v>#N/A</v>
      </c>
      <c r="II138" s="12" t="e">
        <f>VLOOKUP($A138,'Données projet'!$A$330:$I$350,9,0)</f>
        <v>#N/A</v>
      </c>
      <c r="IJ138" s="12">
        <f t="array" ref="IJ138">INDEX(II:II,MIN(IF(ISNUMBER(II138:II334),ROW(II138:II334),"")))</f>
        <v>0</v>
      </c>
      <c r="IK138" s="12">
        <f>IF('Données projet'!$A$330&gt;35,IK137+IJ138-IS137,IF($A138&lt;'Données projet'!$A$330,$CQ$205^$A138,IF($A138='Données projet'!$A$330,'Données projet'!$B$330,IK137+IJ138-IS137)))</f>
        <v>0</v>
      </c>
      <c r="IL138" s="17">
        <f>IK138*VLOOKUP('Données projet'!$B$20,Paramètres!$A$1:$I$89,3,0)*VLOOKUP('Données projet'!$B$20,Paramètres!$A$1:$I$89,5,0)</f>
        <v>0</v>
      </c>
      <c r="IM138" s="13" t="e">
        <f t="shared" si="308"/>
        <v>#NUM!</v>
      </c>
      <c r="IN138" s="20" t="e">
        <f t="shared" si="257"/>
        <v>#NUM!</v>
      </c>
      <c r="IO138" s="59" t="e">
        <f t="shared" si="258"/>
        <v>#NUM!</v>
      </c>
      <c r="IP138" s="59">
        <f ca="1">AVERAGE(OFFSET(IO$3,0,0,'Données projet'!$E$20+1,1))-AVERAGE(OFFSET($H$3,0,0,'Données projet'!$E$20+1,1))</f>
        <v>91.60721429656013</v>
      </c>
      <c r="IQ138" s="59">
        <f t="shared" si="309"/>
        <v>258.94957804210856</v>
      </c>
      <c r="IR138" s="15">
        <f>IF(ISNA(VLOOKUP($A138,'Données projet'!$A$330:$I$350,3,0)),0,VLOOKUP($A138,'Données projet'!$A$330:$I$350,3,0))</f>
        <v>0</v>
      </c>
      <c r="IS138" s="15">
        <f>IF(ISNA(VLOOKUP($A138,'Données projet'!$A$330:$I$350,4,0)),0,VLOOKUP($A138,'Données projet'!$A$330:$I$350,4,0))</f>
        <v>0</v>
      </c>
      <c r="IT138" s="16">
        <f>IF(ISNA(VLOOKUP($A138,'Données projet'!$A$330:$I$350,5,0)),0%,VLOOKUP($A138,'Données projet'!$A$330:$I$350,5,0)*VLOOKUP('Données projet'!$B$20,Paramètres!$A$1:$I$89,7,0))</f>
        <v>0</v>
      </c>
      <c r="IU138" s="16">
        <f>IF(ISNA(VLOOKUP($A138,'Données projet'!$A$330:$I$350,6,0)),0%,VLOOKUP($A138,'Données projet'!$A$330:$I$350,6,0)*VLOOKUP('Données projet'!$B$20,Paramètres!$A$1:$I$89,7,0))</f>
        <v>0</v>
      </c>
      <c r="IV138" s="16">
        <f>IF(ISNA(VLOOKUP($A138,'Données projet'!$A$330:$I$350,7,0)),0%,VLOOKUP($A138,'Données projet'!$A$330:$I$350,7,0))</f>
        <v>0</v>
      </c>
      <c r="IW138" s="21">
        <f>EXP(-LN(2)/35)*IW137+(1-EXP(-LN(2)/35))/(LN(2)/35)*IS138*IT138*VLOOKUP('Données projet'!$B$20,Paramètres!$A$1:$I$89,3,0)*0.475*44/12</f>
        <v>6.1665880891795766</v>
      </c>
      <c r="IX138" s="21">
        <f>EXP(-LN(2)/25)*IX137+(1-EXP(-LN(2)/25))/(LN(2)/25)*Calculateur!IS138*Calculateur!IU138*VLOOKUP('Données projet'!$B$20,Paramètres!$A$1:$I$89,3,0)*0.475*44/12</f>
        <v>0.52927987109402075</v>
      </c>
      <c r="IY138" s="21">
        <f>EXP(-LN(2)/2)*IY137+(1-EXP(-LN(2)/2))/(LN(2)/2)*IS138*IV138*VLOOKUP('Données projet'!$B$20,Paramètres!$A$1:$I$89,3,0)*0.475*44/12</f>
        <v>8.9943109460878611E-17</v>
      </c>
      <c r="IZ138" s="22">
        <f t="shared" si="259"/>
        <v>6.6958679602735973</v>
      </c>
      <c r="JA138" s="74">
        <f>('Scénario référence'!$F$8+'Scénario référence'!$F$9+'Scénario référence'!$B$17+'Scénario référence'!$B$9+'Scénario référence'!$B$10)*70+IF((45+25*(1-EXP(-0.0175*$A138)))&lt;70,'Scénario référence'!$B$16*(45+25*(1-EXP(-0.0175*$A138))),70*'Scénario référence'!$B$16)+IF((32+38*(1-EXP(-0.0175*$A138)))&lt;70,'Scénario référence'!$B$18*(32+38*(1-EXP(-0.0175*$A138))),70*'Scénario référence'!$B$18)</f>
        <v>70</v>
      </c>
      <c r="JB138" s="12">
        <f>IF($A138&gt;30,10,('Scénario référence'!$B$16+'Scénario référence'!$B$17+'Scénario référence'!$B$18+'Scénario référence'!$B$9+'Scénario référence'!$B$10)*$A138*10/30+('Scénario référence'!$F$8+'Scénario référence'!$F$9)*10)</f>
        <v>10</v>
      </c>
      <c r="JC138" s="12" t="e">
        <f>VLOOKUP($A138,'Données projet'!$A$356:$I$376,2,0)</f>
        <v>#N/A</v>
      </c>
      <c r="JD138" s="12" t="e">
        <f>VLOOKUP($A138,'Données projet'!$A$356:$I$376,9,0)</f>
        <v>#N/A</v>
      </c>
      <c r="JE138" s="12">
        <f t="array" ref="JE138">INDEX(JD:JD,MIN(IF(ISNUMBER(JD138:JD334),ROW(JD138:JD334),"")))</f>
        <v>1.4</v>
      </c>
      <c r="JF138" s="12">
        <f>IF('Données projet'!$A$356&gt;35,JF137+JE138-JN137,IF($A138&lt;'Données projet'!$A$356,$CQ$205^$A138,IF($A138='Données projet'!$A$356,'Données projet'!$B$356,JF137+JE138-JN137)))</f>
        <v>426.99999999999903</v>
      </c>
      <c r="JG138" s="17">
        <f>JF138*VLOOKUP('Données projet'!$B$21,Paramètres!$A$1:$I$89,3,0)*VLOOKUP('Données projet'!$B$21,Paramètres!$A$1:$I$89,5,0)</f>
        <v>346.38239999999922</v>
      </c>
      <c r="JH138" s="13">
        <f t="shared" si="310"/>
        <v>80.817159995059058</v>
      </c>
      <c r="JI138" s="20">
        <f t="shared" si="260"/>
        <v>744.03923365805986</v>
      </c>
      <c r="JJ138" s="59">
        <f t="shared" si="261"/>
        <v>1037.3725669913931</v>
      </c>
      <c r="JK138" s="59">
        <f ca="1">AVERAGE(OFFSET($JJ$3,0,0,'Données projet'!$E$22+1,1))-AVERAGE(OFFSET($H$3,0,0,'Données projet'!$E$22+1,1))</f>
        <v>353.35574633294613</v>
      </c>
      <c r="JL138" s="59">
        <f t="shared" si="311"/>
        <v>170.36796666474726</v>
      </c>
      <c r="JM138" s="15">
        <f>IF(ISNA(VLOOKUP($A138,'Données projet'!$A$356:$I$376,3,0)),0,VLOOKUP($A138,'Données projet'!$A$356:$I$376,3,0))</f>
        <v>0</v>
      </c>
      <c r="JN138" s="15">
        <f>IF(ISNA(VLOOKUP($A138,'Données projet'!$A$356:$I$376,4,0)),0,VLOOKUP($A138,'Données projet'!$A$356:$I$376,4,0))</f>
        <v>0</v>
      </c>
      <c r="JO138" s="16">
        <f>IF(ISNA(VLOOKUP($A138,'Données projet'!$A$356:$I$376,5,0)),0%,VLOOKUP($A138,'Données projet'!$A$356:$I$376,5,0)*VLOOKUP('Données projet'!$B$21,Paramètres!$A$1:$I$89,7,0))</f>
        <v>0</v>
      </c>
      <c r="JP138" s="16">
        <f>IF(ISNA(VLOOKUP($A138,'Données projet'!$A$356:$I$376,6,0)),0%,VLOOKUP($A138,'Données projet'!$A$356:$I$376,6,0)*VLOOKUP('Données projet'!$B$21,Paramètres!$A$1:$I$89,7,0))</f>
        <v>0</v>
      </c>
      <c r="JQ138" s="16">
        <f>IF(ISNA(VLOOKUP($A138,'Données projet'!$A$356:$I$376,7,0)),0%,VLOOKUP($A138,'Données projet'!$A$356:$I$376,7,0))</f>
        <v>0</v>
      </c>
      <c r="JR138" s="21">
        <f>EXP(-LN(2)/35)*JR137+(1-EXP(-LN(2)/35))/(LN(2)/35)*JN138*JO138*VLOOKUP('Données projet'!$B$21,Paramètres!$A$1:$I$89,3,0)*0.475*44/12</f>
        <v>5.857156704776906</v>
      </c>
      <c r="JS138" s="21">
        <f>EXP(-LN(2)/25)*JS137+(1-EXP(-LN(2)/25))/(LN(2)/25)*Calculateur!JN138*Calculateur!JP138*VLOOKUP('Données projet'!$B$21,Paramètres!$A$1:$I$89,3,0)*0.475*44/12</f>
        <v>11.517091925819781</v>
      </c>
      <c r="JT138" s="21">
        <f>EXP(-LN(2)/2)*JT137+(1-EXP(-LN(2)/2))/(LN(2)/2)*JN138*JQ138*VLOOKUP('Données projet'!$B$21,Paramètres!$A$1:$I$89,3,0)*0.475*44/12</f>
        <v>0.27120813500721708</v>
      </c>
      <c r="JU138" s="18">
        <f t="shared" si="262"/>
        <v>17.645456765603903</v>
      </c>
      <c r="JV138" s="74">
        <f>('Scénario référence'!$F$8+'Scénario référence'!$F$9+'Scénario référence'!$B$17+'Scénario référence'!$B$9+'Scénario référence'!$B$10)*70+IF((45+25*(1-EXP(-0.0175*$A138)))&lt;70,'Scénario référence'!$B$16*(45+25*(1-EXP(-0.0175*$A138))),70*'Scénario référence'!$B$16)+IF((32+38*(1-EXP(-0.0175*$A138)))&lt;70,'Scénario référence'!$B$18*(32+38*(1-EXP(-0.0175*$A138))),70*'Scénario référence'!$B$18)</f>
        <v>70</v>
      </c>
      <c r="JW138" s="12">
        <f>IF($A138&gt;30,10,('Scénario référence'!$B$16+'Scénario référence'!$B$17+'Scénario référence'!$B$18+'Scénario référence'!$B$9+'Scénario référence'!$B$10)*$A138*10/30+('Scénario référence'!$F$8+'Scénario référence'!$F$9)*10)</f>
        <v>10</v>
      </c>
      <c r="JX138" s="12" t="e">
        <f>VLOOKUP($A138,'Données projet'!$A$382:$I$402,2,0)</f>
        <v>#N/A</v>
      </c>
      <c r="JY138" s="12" t="e">
        <f>VLOOKUP($A138,'Données projet'!$A$382:$I$402,9,0)</f>
        <v>#N/A</v>
      </c>
      <c r="JZ138" s="12">
        <f t="array" ref="JZ138">INDEX(JY:JY,MIN(IF(ISNUMBER(JY138:JY334),ROW(JY138:JY334),"")))</f>
        <v>0</v>
      </c>
      <c r="KA138" s="12">
        <f>IF('Données projet'!$A$382&gt;35,KA137+JZ138-KI137,IF($A138&lt;'Données projet'!$A$382,$CQ$205^$A138,IF($A138='Données projet'!$A$382,'Données projet'!$B$382,KA137+JZ138-KI137)))</f>
        <v>5.6843418860808015E-13</v>
      </c>
      <c r="KB138" s="17">
        <f>KA138*VLOOKUP('Données projet'!$B$22,Paramètres!$A$1:$I$89,3,0)*VLOOKUP('Données projet'!$B$22,Paramètres!$A$1:$I$89,5,0)</f>
        <v>3.8130565371830017E-13</v>
      </c>
      <c r="KC138" s="13">
        <f t="shared" si="312"/>
        <v>4.9019074112354236E-12</v>
      </c>
      <c r="KD138" s="20">
        <f t="shared" si="263"/>
        <v>9.2015960881277352E-12</v>
      </c>
      <c r="KE138" s="59">
        <f t="shared" si="264"/>
        <v>293.33333333334252</v>
      </c>
      <c r="KF138" s="59">
        <f ca="1">AVERAGE(OFFSET($KE$3,0,0,'Données projet'!$E$22+1,1))-AVERAGE(OFFSET($H$3,0,0,'Données projet'!$E$22+1,1))</f>
        <v>193.91714772848269</v>
      </c>
      <c r="KG138" s="59">
        <f t="shared" si="313"/>
        <v>159.20429420478047</v>
      </c>
      <c r="KH138" s="15">
        <f>IF(ISNA(VLOOKUP($A138,'Données projet'!$A$382:$I$402,3,0)),0,VLOOKUP($A138,'Données projet'!$A$382:$I$402,3,0))</f>
        <v>0</v>
      </c>
      <c r="KI138" s="15">
        <f>IF(ISNA(VLOOKUP($A138,'Données projet'!$A$382:$I$402,4,0)),0,VLOOKUP($A138,'Données projet'!$A$382:$I$402,4,0))</f>
        <v>0</v>
      </c>
      <c r="KJ138" s="16">
        <f>IF(ISNA(VLOOKUP($A138,'Données projet'!$A$382:$I$402,5,0)),0%,VLOOKUP($A138,'Données projet'!$A$382:$I$402,5,0)*VLOOKUP('Données projet'!$B$22,Paramètres!$A$1:$I$89,7,0))</f>
        <v>0</v>
      </c>
      <c r="KK138" s="16">
        <f>IF(ISNA(VLOOKUP($A138,'Données projet'!$A$382:$I$402,6,0)),0%,VLOOKUP($A138,'Données projet'!$A$382:$I$402,6,0)*VLOOKUP('Données projet'!$B$22,Paramètres!$A$1:$I$89,7,0))</f>
        <v>0</v>
      </c>
      <c r="KL138" s="16">
        <f>IF(ISNA(VLOOKUP($A138,'Données projet'!$A$382:$I$402,7,0)),0%,VLOOKUP($A138,'Données projet'!$A$382:$I$402,7,0))</f>
        <v>0</v>
      </c>
      <c r="KM138" s="21">
        <f>EXP(-LN(2)/35)*KM137+(1-EXP(-LN(2)/35))/(LN(2)/35)*KI138*KJ138*VLOOKUP('Données projet'!$B$22,Paramètres!$A$1:$I$89,3,0)*0.475*44/12</f>
        <v>144.34593030084014</v>
      </c>
      <c r="KN138" s="21">
        <f>EXP(-LN(2)/25)*KN137+(1-EXP(-LN(2)/25))/(LN(2)/25)*Calculateur!KI138*Calculateur!KK138*VLOOKUP('Données projet'!$B$22,Paramètres!$A$1:$I$89,3,0)*0.475*44/12</f>
        <v>0</v>
      </c>
      <c r="KO138" s="21">
        <f>EXP(-LN(2)/2)*KO137+(1-EXP(-LN(2)/2))/(LN(2)/2)*KI138*KL138*VLOOKUP('Données projet'!$B$22,Paramètres!$A$1:$I$89,3,0)*0.475*44/12</f>
        <v>0</v>
      </c>
      <c r="KP138" s="22">
        <f t="shared" si="265"/>
        <v>144.34593030084014</v>
      </c>
      <c r="KQ138" s="74">
        <f>('Scénario référence'!$F$8+'Scénario référence'!$F$9+'Scénario référence'!$B$17+'Scénario référence'!$B$9+'Scénario référence'!$B$10)*70+IF((45+25*(1-EXP(-0.0175*$A138)))&lt;70,'Scénario référence'!$B$16*(45+25*(1-EXP(-0.0175*$A138))),70*'Scénario référence'!$B$16)+IF((32+38*(1-EXP(-0.0175*$A138)))&lt;70,'Scénario référence'!$B$18*(32+38*(1-EXP(-0.0175*$A138))),70*'Scénario référence'!$B$18)</f>
        <v>70</v>
      </c>
      <c r="KR138" s="12">
        <f>IF($A138&gt;30,10,('Scénario référence'!$B$16+'Scénario référence'!$B$17+'Scénario référence'!$B$18+'Scénario référence'!$B$9+'Scénario référence'!$B$10)*$A138*10/30+('Scénario référence'!$F$8+'Scénario référence'!$F$9)*10)</f>
        <v>10</v>
      </c>
      <c r="KS138" s="12" t="e">
        <f>VLOOKUP($A138,'Données projet'!$A$408:$I$428,2,0)</f>
        <v>#N/A</v>
      </c>
      <c r="KT138" s="12" t="e">
        <f>VLOOKUP($A138,'Données projet'!$A$408:$I$428,9,0)</f>
        <v>#N/A</v>
      </c>
      <c r="KU138" s="12">
        <f t="array" ref="KU138">INDEX(KT:KT,MIN(IF(ISNUMBER(KT138:KT334),ROW(KT138:KT334),"")))</f>
        <v>0</v>
      </c>
      <c r="KV138" s="12">
        <f>IF('Données projet'!$A$408&gt;35,KV137+KU138-LD137,IF($A138&lt;'Données projet'!$A$408,$CQ$205^$A138,IF($A138='Données projet'!$A$408,'Données projet'!$B$408,KV137+KU138-LD137)))</f>
        <v>-1.1368683772161603E-13</v>
      </c>
      <c r="KW138" s="17">
        <f>KV138*VLOOKUP('Données projet'!$B$23,Paramètres!$A$1:$I$89,3,0)*VLOOKUP('Données projet'!$B$23,Paramètres!$A$1:$I$89,5,0)</f>
        <v>-9.9316821433603781E-14</v>
      </c>
      <c r="KX138" s="13" t="e">
        <f t="shared" si="314"/>
        <v>#NUM!</v>
      </c>
      <c r="KY138" s="14" t="e">
        <f t="shared" si="266"/>
        <v>#NUM!</v>
      </c>
      <c r="KZ138" s="59" t="e">
        <f t="shared" si="267"/>
        <v>#NUM!</v>
      </c>
      <c r="LA138" s="59">
        <f ca="1">AVERAGE(OFFSET($KZ$3,0,0,'Données projet'!$E$23+1,1))-AVERAGE(OFFSET($H$3,0,0,'Données projet'!$E$23+1,1))</f>
        <v>248.33596943633819</v>
      </c>
      <c r="LB138" s="59">
        <f t="shared" si="315"/>
        <v>242.34010522344573</v>
      </c>
      <c r="LC138" s="15">
        <f>IF(ISNA(VLOOKUP($A138,'Données projet'!$A$408:$I$428,3,0)),0,VLOOKUP($A138,'Données projet'!$A$408:$I$428,3,0))</f>
        <v>0</v>
      </c>
      <c r="LD138" s="15">
        <f>IF(ISNA(VLOOKUP($A138,'Données projet'!$A$408:$I$428,4,0)),0,VLOOKUP($A138,'Données projet'!$A$408:$I$428,4,0))</f>
        <v>0</v>
      </c>
      <c r="LE138" s="16">
        <f>IF(ISNA(VLOOKUP($A138,'Données projet'!$A$408:$I$428,5,0)),0%,VLOOKUP($A138,'Données projet'!$A$408:$I$428,5,0)*VLOOKUP('Données projet'!$B$23,Paramètres!$A$1:$I$89,7,0))</f>
        <v>0</v>
      </c>
      <c r="LF138" s="16">
        <f>IF(ISNA(VLOOKUP($A138,'Données projet'!$A$408:$I$428,6,0)),0%,VLOOKUP($A138,'Données projet'!$A$408:$I$428,6,0)*VLOOKUP('Données projet'!$B$23,Paramètres!$A$1:$I$89,7,0))</f>
        <v>0</v>
      </c>
      <c r="LG138" s="16">
        <f>IF(ISNA(VLOOKUP($A138,'Données projet'!$A$408:$I$428,7,0)),0%,VLOOKUP($A138,'Données projet'!$A$408:$I$428,7,0))</f>
        <v>0</v>
      </c>
      <c r="LH138" s="21">
        <f>EXP(-LN(2)/35)*LH137+(1-EXP(-LN(2)/35))/(LN(2)/35)*LD138*LE138*VLOOKUP('Données projet'!$B$23,Paramètres!$A$1:$I$89,3,0)*0.475*44/12</f>
        <v>41.460590846395533</v>
      </c>
      <c r="LI138" s="21">
        <f>EXP(-LN(2)/25)*LI137+(1-EXP(-LN(2)/25))/(LN(2)/25)*Calculateur!LD138*Calculateur!LF138*VLOOKUP('Données projet'!$B$23,Paramètres!$A$1:$I$89,3,0)*0.475*44/12</f>
        <v>4.739518525101051</v>
      </c>
      <c r="LJ138" s="21">
        <f>EXP(-LN(2)/2)*LJ137+(1-EXP(-LN(2)/2))/(LN(2)/2)*LD138*LG138*VLOOKUP('Données projet'!$B$23,Paramètres!$A$1:$I$89,3,0)*0.475*44/12</f>
        <v>0</v>
      </c>
      <c r="LK138" s="22">
        <f t="shared" si="268"/>
        <v>46.20010937149658</v>
      </c>
      <c r="LL138" s="74">
        <f>('Scénario référence'!$F$8+'Scénario référence'!$F$9+'Scénario référence'!$B$17+'Scénario référence'!$B$9+'Scénario référence'!$B$10)*70+IF((45+25*(1-EXP(-0.0175*$A138)))&lt;70,'Scénario référence'!$B$16*(45+25*(1-EXP(-0.0175*$A138))),70*'Scénario référence'!$B$16)+IF((32+38*(1-EXP(-0.0175*$A138)))&lt;70,'Scénario référence'!$B$18*(32+38*(1-EXP(-0.0175*$A138))),70*'Scénario référence'!$B$18)</f>
        <v>70</v>
      </c>
      <c r="LM138" s="12">
        <f>IF($A138&gt;30,10,('Scénario référence'!$B$16+'Scénario référence'!$B$17+'Scénario référence'!$B$18+'Scénario référence'!$B$9+'Scénario référence'!$B$10)*$A138*10/30+('Scénario référence'!$F$8+'Scénario référence'!$F$9)*10)</f>
        <v>10</v>
      </c>
      <c r="LN138" s="12" t="e">
        <f>VLOOKUP($A138,'Données projet'!$A$434:$I$454,2,0)</f>
        <v>#N/A</v>
      </c>
      <c r="LO138" s="12" t="e">
        <f>VLOOKUP($A138,'Données projet'!$A$434:$I$454,9,0)</f>
        <v>#N/A</v>
      </c>
      <c r="LP138" s="12">
        <f t="array" ref="LP138">INDEX(LO:LO,MIN(IF(ISNUMBER(LO138:LO334),ROW(LO138:LO334),"")))</f>
        <v>5.2446581196581219</v>
      </c>
      <c r="LQ138" s="12">
        <f>IF('Données projet'!$A$434&gt;35,LQ137+LP138-LY137,IF($A138&lt;'Données projet'!$A$434,$CQ$205^$A138,IF($A138='Données projet'!$A$434,'Données projet'!$B$434,LQ137+LP138-LY137)))</f>
        <v>282.5811965811962</v>
      </c>
      <c r="LR138" s="17">
        <f>LQ138*VLOOKUP('Données projet'!$B$24,Paramètres!$A$1:$I$89,3,0)*VLOOKUP('Données projet'!$B$24,Paramètres!$A$1:$I$89,5,0)</f>
        <v>286.53733333333292</v>
      </c>
      <c r="LS138" s="13">
        <f t="shared" si="316"/>
        <v>68.346674190809836</v>
      </c>
      <c r="LT138" s="14">
        <f t="shared" si="269"/>
        <v>618.08964643788192</v>
      </c>
      <c r="LU138" s="59">
        <f t="shared" si="270"/>
        <v>911.4229797712153</v>
      </c>
      <c r="LV138" s="59">
        <f ca="1">AVERAGE(OFFSET($LU$3,0,0,'Données projet'!$E$24+1,1))-AVERAGE(OFFSET($H$3,0,0,'Données projet'!$E$24+1,1))</f>
        <v>260.52627655062872</v>
      </c>
      <c r="LW138" s="59">
        <f t="shared" si="317"/>
        <v>159.20429420478047</v>
      </c>
      <c r="LX138" s="15">
        <f>IF(ISNA(VLOOKUP($A138,'Données projet'!$A$434:$I$454,3,0)),0,VLOOKUP($A138,'Données projet'!$A$434:$I$454,3,0))</f>
        <v>0</v>
      </c>
      <c r="LY138" s="15">
        <f>IF(ISNA(VLOOKUP($A138,'Données projet'!$A$434:$I$454,4,0)),0,VLOOKUP($A138,'Données projet'!$A$434:$I$454,4,0))</f>
        <v>0</v>
      </c>
      <c r="LZ138" s="16">
        <f>IF(ISNA(VLOOKUP($A138,'Données projet'!$A$434:$I$454,5,0)),0%,VLOOKUP($A138,'Données projet'!$A$434:$I$454,5,0)*VLOOKUP('Données projet'!$B$24,Paramètres!$A$1:$I$89,7,0))</f>
        <v>0</v>
      </c>
      <c r="MA138" s="16">
        <f>IF(ISNA(VLOOKUP($A138,'Données projet'!$A$434:$I$454,6,0)),0%,VLOOKUP($A138,'Données projet'!$A$434:$I$454,6,0)*VLOOKUP('Données projet'!$B$24,Paramètres!$A$1:$I$89,7,0))</f>
        <v>0</v>
      </c>
      <c r="MB138" s="16">
        <f>IF(ISNA(VLOOKUP($A138,'Données projet'!$A$434:$I$454,7,0)),0%,VLOOKUP($A138,'Données projet'!$A$434:$I$454,7,0))</f>
        <v>0</v>
      </c>
      <c r="MC138" s="21">
        <f>EXP(-LN(2)/35)*MC137+(1-EXP(-LN(2)/35))/(LN(2)/35)*LY138*LZ138*VLOOKUP('Données projet'!$B$24,Paramètres!$A$1:$I$89,3,0)*0.475*44/12</f>
        <v>39.209402550077748</v>
      </c>
      <c r="MD138" s="21">
        <f>EXP(-LN(2)/25)*MD137+(1-EXP(-LN(2)/25))/(LN(2)/25)*Calculateur!LY138*Calculateur!MA138*VLOOKUP('Données projet'!$B$24,Paramètres!$A$1:$I$89,3,0)*0.475*44/12</f>
        <v>0</v>
      </c>
      <c r="ME138" s="21">
        <f>EXP(-LN(2)/2)*ME137+(1-EXP(-LN(2)/2))/(LN(2)/2)*LY138*MB138*VLOOKUP('Données projet'!$B$24,Paramètres!$A$1:$I$89,3,0)*0.475*44/12</f>
        <v>0</v>
      </c>
      <c r="MF138" s="22">
        <f t="shared" si="271"/>
        <v>39.209402550077748</v>
      </c>
      <c r="MG138" s="74">
        <f>('Scénario référence'!$F$8+'Scénario référence'!$F$9+'Scénario référence'!$B$17+'Scénario référence'!$B$9+'Scénario référence'!$B$10)*70+IF((45+25*(1-EXP(-0.0175*$A138)))&lt;70,'Scénario référence'!$B$16*(45+25*(1-EXP(-0.0175*$A138))),70*'Scénario référence'!$B$16)+IF((32+38*(1-EXP(-0.0175*$A138)))&lt;70,'Scénario référence'!$B$18*(32+38*(1-EXP(-0.0175*$A138))),70*'Scénario référence'!$B$18)</f>
        <v>70</v>
      </c>
      <c r="MH138" s="12">
        <f>IF($A138&gt;30,10,('Scénario référence'!$B$16+'Scénario référence'!$B$17+'Scénario référence'!$B$18+'Scénario référence'!$B$9+'Scénario référence'!$B$10)*$A138*10/30+('Scénario référence'!$F$8+'Scénario référence'!$F$9)*10)</f>
        <v>10</v>
      </c>
      <c r="MI138" s="12" t="e">
        <f>VLOOKUP($A138,'Données projet'!$A$460:$I$480,2,0)</f>
        <v>#N/A</v>
      </c>
      <c r="MJ138" s="12" t="e">
        <f>VLOOKUP($A138,'Données projet'!$A$460:$I$480,9,0)</f>
        <v>#N/A</v>
      </c>
      <c r="MK138" s="12">
        <f t="array" ref="MK138">INDEX(MJ:MJ,MIN(IF(ISNUMBER(MJ138:MJ334),ROW(MJ138:MJ334),"")))</f>
        <v>0</v>
      </c>
      <c r="ML138" s="12">
        <f>IF('Données projet'!$A$460&gt;35,ML137+MK138-MT137,IF($A138&lt;'Données projet'!$A$460,$CQ$205^$A138,IF($A138='Données projet'!$A$460,'Données projet'!$B$460,ML137+MK138-MT137)))</f>
        <v>0</v>
      </c>
      <c r="MM138" s="17" t="e">
        <f>ML138*VLOOKUP('Données projet'!$B$25,Paramètres!$A$1:$I$89,3,0)*VLOOKUP('Données projet'!$B$25,Paramètres!$A$1:$I$89,5,0)</f>
        <v>#N/A</v>
      </c>
      <c r="MN138" s="13" t="e">
        <f t="shared" si="318"/>
        <v>#N/A</v>
      </c>
      <c r="MO138" s="14" t="e">
        <f t="shared" si="272"/>
        <v>#N/A</v>
      </c>
      <c r="MP138" s="59" t="e">
        <f t="shared" si="273"/>
        <v>#N/A</v>
      </c>
      <c r="MQ138" s="20" t="e">
        <f ca="1">AVERAGE(OFFSET($MP$3,0,0,'Données projet'!$E$25+1,1))-AVERAGE(OFFSET($H$3,0,0,'Données projet'!$E$25+1,1))</f>
        <v>#N/A</v>
      </c>
      <c r="MR138" s="59" t="e">
        <f t="shared" si="319"/>
        <v>#N/A</v>
      </c>
      <c r="MS138" s="15">
        <f>IF(ISNA(VLOOKUP($A138,'Données projet'!$A$460:$I$480,3,0)),0,VLOOKUP($A138,'Données projet'!$A$460:$I$480,3,0))</f>
        <v>0</v>
      </c>
      <c r="MT138" s="15">
        <f>IF(ISNA(VLOOKUP($A138,'Données projet'!$A$460:$I$480,4,0)),0,VLOOKUP($A138,'Données projet'!$A$460:$I$480,4,0))</f>
        <v>0</v>
      </c>
      <c r="MU138" s="16">
        <f>IF(ISNA(VLOOKUP($A138,'Données projet'!$A$460:$I$480,5,0)),0%,VLOOKUP($A138,'Données projet'!$A$460:$I$480,5,0)*VLOOKUP('Données projet'!$B$25,Paramètres!$A$1:$I$89,7,0))</f>
        <v>0</v>
      </c>
      <c r="MV138" s="16">
        <f>IF(ISNA(VLOOKUP($A138,'Données projet'!$A$460:$I$480,6,0)),0%,VLOOKUP($A138,'Données projet'!$A$460:$I$480,6,0)*VLOOKUP('Données projet'!$B$25,Paramètres!$A$1:$I$89,7,0))</f>
        <v>0</v>
      </c>
      <c r="MW138" s="16">
        <f>IF(ISNA(VLOOKUP($A138,'Données projet'!$A$460:$I$480,7,0)),0%,VLOOKUP($A138,'Données projet'!$A$460:$I$480,7,0))</f>
        <v>0</v>
      </c>
      <c r="MX138" s="21" t="e">
        <f>EXP(-LN(2)/35)*MX137+(1-EXP(-LN(2)/35))/(LN(2)/35)*MT138*MU138*VLOOKUP('Données projet'!$B$25,Paramètres!$A$1:$I$89,3,0)*0.475*44/12</f>
        <v>#N/A</v>
      </c>
      <c r="MY138" s="21" t="e">
        <f>EXP(-LN(2)/25)*MY137+(1-EXP(-LN(2)/25))/(LN(2)/25)*Calculateur!MT138*Calculateur!MV138*VLOOKUP('Données projet'!$B$25,Paramètres!$A$1:$I$89,3,0)*0.475*44/12</f>
        <v>#N/A</v>
      </c>
      <c r="MZ138" s="21" t="e">
        <f>EXP(-LN(2)/2)*MZ137+(1-EXP(-LN(2)/2))/(LN(2)/2)*MT138*MW138*VLOOKUP('Données projet'!$B$25,Paramètres!$A$1:$I$89,3,0)*0.475*44/12</f>
        <v>#N/A</v>
      </c>
      <c r="NA138" s="22" t="e">
        <f t="shared" si="274"/>
        <v>#N/A</v>
      </c>
      <c r="NB138" s="74">
        <f>('Scénario référence'!$F$8+'Scénario référence'!$F$9+'Scénario référence'!$B$17+'Scénario référence'!$B$9+'Scénario référence'!$B$10)*70+IF((45+25*(1-EXP(-0.0175*$A138)))&lt;70,'Scénario référence'!$B$16*(45+25*(1-EXP(-0.0175*$A138))),70*'Scénario référence'!$B$16)+IF((32+38*(1-EXP(-0.0175*$A138)))&lt;70,'Scénario référence'!$B$18*(32+38*(1-EXP(-0.0175*$A138))),70*'Scénario référence'!$B$18)</f>
        <v>70</v>
      </c>
      <c r="NC138" s="12">
        <f>IF($A138&gt;30,10,('Scénario référence'!$B$16+'Scénario référence'!$B$17+'Scénario référence'!$B$18+'Scénario référence'!$B$9+'Scénario référence'!$B$10)*$A138*10/30+('Scénario référence'!$F$8+'Scénario référence'!$F$9)*10)</f>
        <v>10</v>
      </c>
      <c r="ND138" s="12" t="e">
        <f>VLOOKUP($A138,'Données projet'!$A$486:$I$506,2,0)</f>
        <v>#N/A</v>
      </c>
      <c r="NE138" s="12" t="e">
        <f>VLOOKUP($A138,'Données projet'!$A$486:$I$506,9,0)</f>
        <v>#N/A</v>
      </c>
      <c r="NF138" s="12">
        <f t="array" ref="NF138">INDEX(NE:NE,MIN(IF(ISNUMBER(NE138:NE334),ROW(NE138:NE334),"")))</f>
        <v>0</v>
      </c>
      <c r="NG138" s="12">
        <f>IF('Données projet'!$A$486&gt;35,NG137+NF138-NO137,IF($A138&lt;'Données projet'!$A$486,$CQ$205^$A138,IF($A138='Données projet'!$A$486,'Données projet'!$B$486,NG137+NF138-NO137)))</f>
        <v>0</v>
      </c>
      <c r="NH138" s="17" t="e">
        <f>NG138*VLOOKUP('Données projet'!$B$26,Paramètres!$A$1:$I$89,3,0)*VLOOKUP('Données projet'!$B$26,Paramètres!$A$1:$I$89,5,0)</f>
        <v>#N/A</v>
      </c>
      <c r="NI138" s="13" t="e">
        <f t="shared" si="320"/>
        <v>#N/A</v>
      </c>
      <c r="NJ138" s="14" t="e">
        <f t="shared" si="275"/>
        <v>#N/A</v>
      </c>
      <c r="NK138" s="59" t="e">
        <f t="shared" si="276"/>
        <v>#N/A</v>
      </c>
      <c r="NL138" s="20" t="e">
        <f ca="1">AVERAGE(OFFSET($NK$3,0,0,'Données projet'!$E$26+1,1))-AVERAGE(OFFSET($H$3,0,0,'Données projet'!$E$26+1,1))</f>
        <v>#N/A</v>
      </c>
      <c r="NM138" s="59" t="e">
        <f t="shared" si="321"/>
        <v>#N/A</v>
      </c>
      <c r="NN138" s="15">
        <f>IF(ISNA(VLOOKUP($A138,'Données projet'!$A$486:$I$506,3,0)),0,VLOOKUP($A138,'Données projet'!$A$486:$I$506,3,0))</f>
        <v>0</v>
      </c>
      <c r="NO138" s="15">
        <f>IF(ISNA(VLOOKUP($A138,'Données projet'!$A$486:$I$506,4,0)),0,VLOOKUP($A138,'Données projet'!$A$486:$I$506,4,0))</f>
        <v>0</v>
      </c>
      <c r="NP138" s="16">
        <f>IF(ISNA(VLOOKUP($A138,'Données projet'!$A$486:$I$506,5,0)),0%,VLOOKUP($A138,'Données projet'!$A$486:$I$506,5,0)*VLOOKUP('Données projet'!$B$26,Paramètres!$A$1:$I$89,7,0))</f>
        <v>0</v>
      </c>
      <c r="NQ138" s="16">
        <f>IF(ISNA(VLOOKUP($A138,'Données projet'!$A$486:$I$506,6,0)),0%,VLOOKUP($A138,'Données projet'!$A$486:$I$506,6,0)*VLOOKUP('Données projet'!$B$26,Paramètres!$A$1:$I$89,7,0))</f>
        <v>0</v>
      </c>
      <c r="NR138" s="16">
        <f>IF(ISNA(VLOOKUP($A138,'Données projet'!$A$486:$I$506,7,0)),0%,VLOOKUP($A138,'Données projet'!$A$486:$I$506,7,0))</f>
        <v>0</v>
      </c>
      <c r="NS138" s="21" t="e">
        <f>EXP(-LN(2)/35)*NS137+(1-EXP(-LN(2)/35))/(LN(2)/35)*NO138*NP138*VLOOKUP('Données projet'!$B$26,Paramètres!$A$1:$I$89,3,0)*0.475*44/12</f>
        <v>#N/A</v>
      </c>
      <c r="NT138" s="21" t="e">
        <f>EXP(-LN(2)/25)*NT137+(1-EXP(-LN(2)/25))/(LN(2)/25)*Calculateur!NO138*Calculateur!NQ138*VLOOKUP('Données projet'!$B$26,Paramètres!$A$1:$I$89,3,0)*0.475*44/12</f>
        <v>#N/A</v>
      </c>
      <c r="NU138" s="21" t="e">
        <f>EXP(-LN(2)/2)*NU137+(1-EXP(-LN(2)/2))/(LN(2)/2)*NO138*NR138*VLOOKUP('Données projet'!$B$26,Paramètres!$A$1:$I$89,3,0)*0.475*44/12</f>
        <v>#N/A</v>
      </c>
      <c r="NV138" s="22" t="e">
        <f t="shared" si="277"/>
        <v>#N/A</v>
      </c>
      <c r="NW138" s="74">
        <f>('Scénario référence'!$F$8+'Scénario référence'!$F$9+'Scénario référence'!$B$17+'Scénario référence'!$B$9+'Scénario référence'!$B$10)*70+IF((45+25*(1-EXP(-0.0175*$A138)))&lt;70,'Scénario référence'!$B$16*(45+25*(1-EXP(-0.0175*$A138))),70*'Scénario référence'!$B$16)+IF((32+38*(1-EXP(-0.0175*$A138)))&lt;70,'Scénario référence'!$B$18*(32+38*(1-EXP(-0.0175*$A138))),70*'Scénario référence'!$B$18)</f>
        <v>70</v>
      </c>
      <c r="NX138" s="12">
        <f>IF($A138&gt;30,10,('Scénario référence'!$B$16+'Scénario référence'!$B$17+'Scénario référence'!$B$18+'Scénario référence'!$B$9+'Scénario référence'!$B$10)*$A138*10/30+('Scénario référence'!$F$8+'Scénario référence'!$F$9)*10)</f>
        <v>10</v>
      </c>
      <c r="NY138" s="12" t="e">
        <f>VLOOKUP($A138,'Données projet'!$A$512:$I$532,2,0)</f>
        <v>#N/A</v>
      </c>
      <c r="NZ138" s="12" t="e">
        <f>VLOOKUP($A138,'Données projet'!$A$512:$I$532,9,0)</f>
        <v>#N/A</v>
      </c>
      <c r="OA138" s="12">
        <f t="array" ref="OA138">INDEX(NZ:NZ,MIN(IF(ISNUMBER(NZ138:NZ334),ROW(NZ138:NZ334),"")))</f>
        <v>0</v>
      </c>
      <c r="OB138" s="12">
        <f>IF('Données projet'!$A$512&gt;35,OB137+OA138-OJ137,IF($A138&lt;'Données projet'!$A$512,$CQ$205^$A138,IF($A138='Données projet'!$A$512,'Données projet'!$B$512,OB137+OA138-OJ137)))</f>
        <v>0</v>
      </c>
      <c r="OC138" s="17" t="e">
        <f>OB138*VLOOKUP('Données projet'!$B$27,Paramètres!$A$1:$I$89,3,0)*VLOOKUP('Données projet'!$B$27,Paramètres!$A$1:$I$89,5,0)</f>
        <v>#N/A</v>
      </c>
      <c r="OD138" s="13" t="e">
        <f t="shared" si="322"/>
        <v>#N/A</v>
      </c>
      <c r="OE138" s="14" t="e">
        <f t="shared" si="278"/>
        <v>#N/A</v>
      </c>
      <c r="OF138" s="59" t="e">
        <f t="shared" si="279"/>
        <v>#N/A</v>
      </c>
      <c r="OG138" s="20" t="e">
        <f ca="1">AVERAGE(OFFSET($OF$3,0,0,'Données projet'!$E$27+1,1))-AVERAGE(OFFSET($H$3,0,0,'Données projet'!$E$27+1,1))</f>
        <v>#N/A</v>
      </c>
      <c r="OH138" s="59" t="e">
        <f t="shared" si="323"/>
        <v>#N/A</v>
      </c>
      <c r="OI138" s="15">
        <f>IF(ISNA(VLOOKUP($A138,'Données projet'!$A$512:$I$532,3,0)),0,VLOOKUP($A138,'Données projet'!$A$512:$I$532,3,0))</f>
        <v>0</v>
      </c>
      <c r="OJ138" s="15">
        <f>IF(ISNA(VLOOKUP($A138,'Données projet'!$A$512:$I$532,4,0)),0,VLOOKUP($A138,'Données projet'!$A$512:$I$532,4,0))</f>
        <v>0</v>
      </c>
      <c r="OK138" s="16">
        <f>IF(ISNA(VLOOKUP($A138,'Données projet'!$A$512:$I$532,5,0)),0%,VLOOKUP($A138,'Données projet'!$A$512:$I$532,5,0)*VLOOKUP('Données projet'!$B$27,Paramètres!$A$1:$I$89,7,0))</f>
        <v>0</v>
      </c>
      <c r="OL138" s="16">
        <f>IF(ISNA(VLOOKUP($A138,'Données projet'!$A$512:$I$532,6,0)),0%,VLOOKUP($A138,'Données projet'!$A$512:$I$532,6,0)*VLOOKUP('Données projet'!$B$27,Paramètres!$A$1:$I$89,7,0))</f>
        <v>0</v>
      </c>
      <c r="OM138" s="16">
        <f>IF(ISNA(VLOOKUP($A138,'Données projet'!$A$512:$I$532,7,0)),0%,VLOOKUP($A138,'Données projet'!$A$512:$I$532,7,0))</f>
        <v>0</v>
      </c>
      <c r="ON138" s="21" t="e">
        <f>EXP(-LN(2)/35)*ON137+(1-EXP(-LN(2)/35))/(LN(2)/35)*OJ138*OK138*VLOOKUP('Données projet'!$B$27,Paramètres!$A$1:$I$89,3,0)*0.475*44/12</f>
        <v>#N/A</v>
      </c>
      <c r="OO138" s="21" t="e">
        <f>EXP(-LN(2)/25)*OO137+(1-EXP(-LN(2)/25))/(LN(2)/25)*Calculateur!OJ138*Calculateur!OL138*VLOOKUP('Données projet'!$B$27,Paramètres!$A$1:$I$89,3,0)*0.475*44/12</f>
        <v>#N/A</v>
      </c>
      <c r="OP138" s="21" t="e">
        <f>EXP(-LN(2)/2)*OP137+(1-EXP(-LN(2)/2))/(LN(2)/2)*OJ138*OM138*VLOOKUP('Données projet'!$B$27,Paramètres!$A$1:$I$89,3,0)*0.475*44/12</f>
        <v>#N/A</v>
      </c>
      <c r="OQ138" s="22" t="e">
        <f t="shared" si="280"/>
        <v>#N/A</v>
      </c>
      <c r="OR138" s="74">
        <f>('Scénario référence'!$F$8+'Scénario référence'!$F$9+'Scénario référence'!$B$17+'Scénario référence'!$B$9+'Scénario référence'!$B$10)*70+IF((45+25*(1-EXP(-0.0175*$A138)))&lt;70,'Scénario référence'!$B$16*(45+25*(1-EXP(-0.0175*$A138))),70*'Scénario référence'!$B$16)+IF((32+38*(1-EXP(-0.0175*$A138)))&lt;70,'Scénario référence'!$B$18*(32+38*(1-EXP(-0.0175*$A138))),70*'Scénario référence'!$B$18)</f>
        <v>70</v>
      </c>
      <c r="OS138" s="12">
        <f>IF($A138&gt;30,10,('Scénario référence'!$B$16+'Scénario référence'!$B$17+'Scénario référence'!$B$18+'Scénario référence'!$B$9+'Scénario référence'!$B$10)*$A138*10/30+('Scénario référence'!$F$8+'Scénario référence'!$F$9)*10)</f>
        <v>10</v>
      </c>
      <c r="OT138" s="12" t="e">
        <f>VLOOKUP($A138,'Données projet'!$A$538:$I$558,2,0)</f>
        <v>#N/A</v>
      </c>
      <c r="OU138" s="12" t="e">
        <f>VLOOKUP($A138,'Données projet'!$A$538:$I$558,9,0)</f>
        <v>#N/A</v>
      </c>
      <c r="OV138" s="12">
        <f t="array" ref="OV138">INDEX(OU:OU,MIN(IF(ISNUMBER(OU138:OU334),ROW(OU138:OU334),"")))</f>
        <v>0</v>
      </c>
      <c r="OW138" s="12">
        <f>IF('Données projet'!$A$538&gt;35,OW137+OV138-PE137,IF($A138&lt;'Données projet'!$A$538,$CQ$205^$A138,IF($A138='Données projet'!$A$538,'Données projet'!$B$538,OW137+OV138-PE137)))</f>
        <v>0</v>
      </c>
      <c r="OX138" s="17" t="e">
        <f>OW138*VLOOKUP('Données projet'!$B$28,Paramètres!$A$1:$I$89,3,0)*VLOOKUP('Données projet'!$B$28,Paramètres!$A$1:$I$89,5,0)</f>
        <v>#N/A</v>
      </c>
      <c r="OY138" s="13" t="e">
        <f t="shared" si="324"/>
        <v>#N/A</v>
      </c>
      <c r="OZ138" s="14" t="e">
        <f t="shared" si="281"/>
        <v>#N/A</v>
      </c>
      <c r="PA138" s="59" t="e">
        <f t="shared" si="282"/>
        <v>#N/A</v>
      </c>
      <c r="PB138" s="20" t="e">
        <f ca="1">AVERAGE(OFFSET($PA$3,0,0,'Données projet'!$E$28+1,1))-AVERAGE(OFFSET($H$3,0,0,'Données projet'!$E$28+1,1))</f>
        <v>#N/A</v>
      </c>
      <c r="PC138" s="59" t="e">
        <f t="shared" si="325"/>
        <v>#N/A</v>
      </c>
      <c r="PD138" s="15">
        <f>IF(ISNA(VLOOKUP($A138,'Données projet'!$A$538:$I$558,3,0)),0,VLOOKUP($A138,'Données projet'!$A$538:$I$558,3,0))</f>
        <v>0</v>
      </c>
      <c r="PE138" s="15">
        <f>IF(ISNA(VLOOKUP($A138,'Données projet'!$A$538:$I$558,4,0)),0,VLOOKUP($A138,'Données projet'!$A$538:$I$558,4,0))</f>
        <v>0</v>
      </c>
      <c r="PF138" s="16">
        <f>IF(ISNA(VLOOKUP($A138,'Données projet'!$A$538:$I$558,5,0)),0%,VLOOKUP($A138,'Données projet'!$A$538:$I$558,5,0)*VLOOKUP('Données projet'!$B$28,Paramètres!$A$1:$I$89,7,0))</f>
        <v>0</v>
      </c>
      <c r="PG138" s="16">
        <f>IF(ISNA(VLOOKUP($A138,'Données projet'!$A$538:$I$558,6,0)),0%,VLOOKUP($A138,'Données projet'!$A$538:$I$558,6,0)*VLOOKUP('Données projet'!$B$28,Paramètres!$A$1:$I$89,7,0))</f>
        <v>0</v>
      </c>
      <c r="PH138" s="16">
        <f>IF(ISNA(VLOOKUP($A138,'Données projet'!$A$538:$I$558,7,0)),0%,VLOOKUP($A138,'Données projet'!$A$538:$I$558,7,0))</f>
        <v>0</v>
      </c>
      <c r="PI138" s="21" t="e">
        <f>EXP(-LN(2)/35)*PI137+(1-EXP(-LN(2)/35))/(LN(2)/35)*PE138*PF138*VLOOKUP('Données projet'!$B$28,Paramètres!$A$1:$I$89,3,0)*0.475*44/12</f>
        <v>#N/A</v>
      </c>
      <c r="PJ138" s="21" t="e">
        <f>EXP(-LN(2)/25)*PJ137+(1-EXP(-LN(2)/25))/(LN(2)/25)*Calculateur!PE138*Calculateur!PG138*VLOOKUP('Données projet'!$B$28,Paramètres!$A$1:$I$89,3,0)*0.475*44/12</f>
        <v>#N/A</v>
      </c>
      <c r="PK138" s="21" t="e">
        <f>EXP(-LN(2)/2)*PK137+(1-EXP(-LN(2)/2))/(LN(2)/2)*PE138*PH138*VLOOKUP('Données projet'!$B$28,Paramètres!$A$1:$I$89,3,0)*0.475*44/12</f>
        <v>#N/A</v>
      </c>
      <c r="PL138" s="22" t="e">
        <f t="shared" si="283"/>
        <v>#N/A</v>
      </c>
    </row>
    <row r="139" spans="1:428" x14ac:dyDescent="0.35">
      <c r="A139" s="10">
        <f t="shared" si="284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285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225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projet'!$A$45:$I$65,2,0)</f>
        <v>#N/A</v>
      </c>
      <c r="L139" s="12" t="e">
        <f>VLOOKUP(A139,'Données projet'!$A$45:$I$65,9,0)</f>
        <v>#N/A</v>
      </c>
      <c r="M139" s="12">
        <f t="array" ref="M139">INDEX(L:L,MIN(IF(ISNUMBER(L139:L335),ROW(L139:L335),"")))</f>
        <v>0</v>
      </c>
      <c r="N139" s="13">
        <f>IF('Données projet'!$A$46&gt;35,N138+M139-V138,IF(A139&lt;'Données projet'!$A$46,$K$205^A139,IF(A139='Données projet'!$A$46,'Données projet'!$B$46,N138+M139-V138)))</f>
        <v>-1.1368683772161603E-13</v>
      </c>
      <c r="O139" s="13">
        <f>N139*VLOOKUP('Données projet'!$B$9,Paramètres!$A$1:$I$89,3,0)*VLOOKUP('Données projet'!$B$9,Paramètres!$A$1:$I$89,5,0)</f>
        <v>-6.3550942286383367E-14</v>
      </c>
      <c r="P139" s="13" t="e">
        <f t="shared" si="286"/>
        <v>#NUM!</v>
      </c>
      <c r="Q139" s="20" t="e">
        <f t="shared" si="223"/>
        <v>#NUM!</v>
      </c>
      <c r="R139" s="59" t="e">
        <f t="shared" si="224"/>
        <v>#NUM!</v>
      </c>
      <c r="S139" s="59">
        <f ca="1">AVERAGE(OFFSET($R$3,0,0,'Données projet'!$E$9+1,1))-AVERAGE(OFFSET($H$3,0,0,'Données projet'!$E$9+1,1))</f>
        <v>274.57619581652199</v>
      </c>
      <c r="T139" s="59">
        <f t="shared" si="287"/>
        <v>366.15117322598775</v>
      </c>
      <c r="U139" s="15">
        <f>IF(ISNA(VLOOKUP(A139,'Données projet'!$A$45:$I$65,3,0)),0,VLOOKUP(A139,'Données projet'!$A$45:$I$65,3,0))</f>
        <v>0</v>
      </c>
      <c r="V139" s="15">
        <f>IF(ISNA(VLOOKUP(A139,'Données projet'!$A$45:$I$65,4,0)),0,VLOOKUP(A139,'Données projet'!$A$45:$I$65,4,0))</f>
        <v>0</v>
      </c>
      <c r="W139" s="16">
        <f>IF(ISNA(VLOOKUP(A139,'Données projet'!$A$45:$I$65,5,0)),0%,VLOOKUP(A139,'Données projet'!$A$45:$I$65,5,0)*VLOOKUP('Données projet'!$B$9,Paramètres!$A$1:$I$89,7,0))</f>
        <v>0</v>
      </c>
      <c r="X139" s="16">
        <f>IF(ISNA(VLOOKUP(A139,'Données projet'!$A$45:$I$65,6,0)),0%,VLOOKUP(A139,'Données projet'!$A$45:$I$65,6,0)*VLOOKUP('Données projet'!$B$9,Paramètres!$A$1:$I$89,7,0))</f>
        <v>0</v>
      </c>
      <c r="Y139" s="16">
        <f>IF(ISNA(VLOOKUP(A139,'Données projet'!$A$45:$I$65,7,0)),0%,VLOOKUP(A139,'Données projet'!$A$45:$I$65,7,0))</f>
        <v>0</v>
      </c>
      <c r="Z139" s="21">
        <f>EXP(-LN(2)/35)*Z138+(1-EXP(-LN(2)/35))/(LN(2)/35)*V139*W139*VLOOKUP('Données projet'!$B$9,Paramètres!$A$1:$I$89,3,0)*0.475*44/12</f>
        <v>45.572187412753649</v>
      </c>
      <c r="AA139" s="21">
        <f>EXP(-LN(2)/25)*AA138+(1-EXP(-LN(2)/25))/(LN(2)/25)*Calculateur!V139*Calculateur!X139*VLOOKUP('Données projet'!$B$9,Paramètres!$A$1:$I$89,3,0)*0.475*44/12</f>
        <v>6.09737916560261</v>
      </c>
      <c r="AB139" s="21">
        <f>EXP(-LN(2)/2)*AB138+(1-EXP(-LN(2)/2))/(LN(2)/2)*V139*Y139*VLOOKUP('Données projet'!$B$9,Paramètres!$A$1:$I$89,3,0)*0.475*44/12</f>
        <v>2.1969471813902681E-11</v>
      </c>
      <c r="AC139" s="22">
        <f t="shared" si="226"/>
        <v>51.66956657837823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projet'!$A$71:$I$91,2,0)</f>
        <v>#N/A</v>
      </c>
      <c r="AG139" s="12" t="e">
        <f>VLOOKUP(A139,'Données projet'!$A$71:$I$91,9,0)</f>
        <v>#N/A</v>
      </c>
      <c r="AH139" s="12">
        <f t="array" ref="AH139">INDEX(AG:AG,MIN(IF(ISNUMBER(AG139:AG335),ROW(AG139:AG335),"")))</f>
        <v>0</v>
      </c>
      <c r="AI139" s="13">
        <f>IF('Données projet'!$A$72&gt;35,AI138+AH139-AQ138,IF(A139&lt;'Données projet'!$A$72,$AF$205^A139,IF(A139='Données projet'!$A$72,'Données projet'!$B$72,AI138+AH139-AQ138)))</f>
        <v>5.6843418860808015E-13</v>
      </c>
      <c r="AJ139" s="13">
        <f>AI139*VLOOKUP('Données projet'!$B$10,Paramètres!$A$1:$I$89,3,0)*VLOOKUP('Données projet'!$B$10,Paramètres!$A$1:$I$89,5,0)</f>
        <v>5.1431925385259092E-13</v>
      </c>
      <c r="AK139" s="13">
        <f t="shared" si="288"/>
        <v>6.3855359115685756E-12</v>
      </c>
      <c r="AL139" s="20">
        <f t="shared" si="227"/>
        <v>1.2017247746441865E-11</v>
      </c>
      <c r="AM139" s="59">
        <f t="shared" si="228"/>
        <v>293.33333333334531</v>
      </c>
      <c r="AN139" s="59">
        <f ca="1">AVERAGE(OFFSET($AM$3,0,0,'Données projet'!$E$10+1,1))-AVERAGE(OFFSET($H$3,0,0,'Données projet'!$E$10+1,1))</f>
        <v>270.87836509222456</v>
      </c>
      <c r="AO139" s="59">
        <f t="shared" si="289"/>
        <v>205.24998237949734</v>
      </c>
      <c r="AP139" s="15">
        <f>IF(ISNA(VLOOKUP(A139,'Données projet'!$A$71:$I$91,3,0)),0,VLOOKUP(A139,'Données projet'!$A$71:$I$91,3,0))</f>
        <v>0</v>
      </c>
      <c r="AQ139" s="15">
        <f>IF(ISNA(VLOOKUP(A139,'Données projet'!$A$71:$I$91,4,0)),0,VLOOKUP(A139,'Données projet'!$A$71:$I$91,4,0))</f>
        <v>0</v>
      </c>
      <c r="AR139" s="16">
        <f>IF(ISNA(VLOOKUP(A139,'Données projet'!$A$71:$I$91,5,0)),0%,VLOOKUP(A139,'Données projet'!$A$71:$I$91,5,0)*VLOOKUP('Données projet'!$B$10,Paramètres!$A$1:$I$89,7,0))</f>
        <v>0</v>
      </c>
      <c r="AS139" s="16">
        <f>IF(ISNA(VLOOKUP(A139,'Données projet'!$A$71:$I$91,6,0)),0%,VLOOKUP(A139,'Données projet'!$A$71:$I$91,6,0)*VLOOKUP('Données projet'!$B$10,Paramètres!$A$1:$I$89,7,0))</f>
        <v>0</v>
      </c>
      <c r="AT139" s="16">
        <f>IF(ISNA(VLOOKUP(A139,'Données projet'!$A$71:$I$91,7,0)),0%,VLOOKUP(A139,'Données projet'!$A$71:$I$91,7,0))</f>
        <v>0</v>
      </c>
      <c r="AU139" s="21">
        <f>EXP(-LN(2)/35)*AU138+(1-EXP(-LN(2)/35))/(LN(2)/35)*AQ139*AR139*VLOOKUP('Données projet'!$B$10,Paramètres!$A$1:$I$89,3,0)*0.475*44/12</f>
        <v>154.86590357920664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229"/>
        <v>154.86590357920664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projet'!$A$97:$I$117,2,0)</f>
        <v>#N/A</v>
      </c>
      <c r="BB139" s="12" t="e">
        <f>VLOOKUP(A139,'Données projet'!$A$97:$I$117,9,0)</f>
        <v>#N/A</v>
      </c>
      <c r="BC139" s="12">
        <f t="array" ref="BC139">INDEX(BB:BB,MIN(IF(ISNUMBER(BB139:BB335),ROW(BB139:BB335),"")))</f>
        <v>0</v>
      </c>
      <c r="BD139" s="12">
        <f>IF('Données projet'!$A$98&gt;35,BD138+BC139-BL138,IF(A139&lt;'Données projet'!$A$98,$BA$205^A139,IF(A139='Données projet'!$A$98,'Données projet'!$B$98,BD138+BC139-BL138)))</f>
        <v>-1.1368683772161603E-13</v>
      </c>
      <c r="BE139" s="13">
        <f>BD139*VLOOKUP('Données projet'!$B$11,Paramètres!$A$1:$I$89,3,0)*VLOOKUP('Données projet'!$B$11,Paramètres!$A$1:$I$89,5,0)</f>
        <v>-5.0249582272954292E-14</v>
      </c>
      <c r="BF139" s="13" t="e">
        <f t="shared" si="290"/>
        <v>#NUM!</v>
      </c>
      <c r="BG139" s="20" t="e">
        <f t="shared" si="230"/>
        <v>#NUM!</v>
      </c>
      <c r="BH139" s="59" t="e">
        <f t="shared" si="231"/>
        <v>#NUM!</v>
      </c>
      <c r="BI139" s="59">
        <f ca="1">AVERAGE(OFFSET($BH$3,0,0,'Données projet'!$E$11+1,1))-AVERAGE(OFFSET($H$3,0,0,'Données projet'!$E$11+1,1))</f>
        <v>211.31057120485542</v>
      </c>
      <c r="BJ139" s="59">
        <f t="shared" si="291"/>
        <v>283.33292006714777</v>
      </c>
      <c r="BK139" s="15">
        <f>IF(ISNA(VLOOKUP(A139,'Données projet'!$A$97:$I$117,3,0)),0,VLOOKUP(A139,'Données projet'!$A$97:$I$117,3,0))</f>
        <v>0</v>
      </c>
      <c r="BL139" s="15">
        <f>IF(ISNA(VLOOKUP(A139,'Données projet'!$A$97:$I$117,4,0)),0,VLOOKUP(A139,'Données projet'!$A$97:$I$117,4,0))</f>
        <v>0</v>
      </c>
      <c r="BM139" s="16">
        <f>IF(ISNA(VLOOKUP(A139,'Données projet'!$A$97:$I$117,5,0)),0%,VLOOKUP(A139,'Données projet'!$A$97:$I$117,5,0)*VLOOKUP('Données projet'!$B$11,Paramètres!$A$1:$I$89,7,0))</f>
        <v>0</v>
      </c>
      <c r="BN139" s="16">
        <f>IF(ISNA(VLOOKUP(A139,'Données projet'!$A$97:$I$117,6,0)),0%,VLOOKUP(A139,'Données projet'!$A$97:$I$117,6,0)*VLOOKUP('Données projet'!$B$11,Paramètres!$A$1:$I$89,7,0))</f>
        <v>0</v>
      </c>
      <c r="BO139" s="16">
        <f>IF(ISNA(VLOOKUP(A139,'Données projet'!$A$97:$I$117,7,0)),0%,VLOOKUP(A139,'Données projet'!$A$97:$I$117,7,0))</f>
        <v>0</v>
      </c>
      <c r="BP139" s="21">
        <f>EXP(-LN(2)/35)*BP138+(1-EXP(-LN(2)/35))/(LN(2)/35)*BL139*BM139*VLOOKUP('Données projet'!$B$11,Paramètres!$A$1:$I$89,3,0)*0.475*44/12</f>
        <v>36.033822605433137</v>
      </c>
      <c r="BQ139" s="21">
        <f>EXP(-LN(2)/25)*BQ138+(1-EXP(-LN(2)/25))/(LN(2)/25)*Calculateur!BL139*Calculateur!BN139*VLOOKUP('Données projet'!$B$11,Paramètres!$A$1:$I$89,3,0)*0.475*44/12</f>
        <v>4.821183526290433</v>
      </c>
      <c r="BR139" s="21">
        <f>EXP(-LN(2)/2)*BR138+(1-EXP(-LN(2)/2))/(LN(2)/2)*BL139*BO139*VLOOKUP('Données projet'!$B$11,Paramètres!$A$1:$I$89,3,0)*0.475*44/12</f>
        <v>1.7371210271457931E-11</v>
      </c>
      <c r="BS139" s="22">
        <f t="shared" si="232"/>
        <v>40.855006131740943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projet'!$A$123:$I$143,2,0)</f>
        <v>#N/A</v>
      </c>
      <c r="BW139" s="12" t="e">
        <f>VLOOKUP(A139,'Données projet'!$A$123:$I$143,9,0)</f>
        <v>#N/A</v>
      </c>
      <c r="BX139" s="12">
        <f t="array" ref="BX139">INDEX(BW:BW,MIN(IF(ISNUMBER(BW139:BW335),ROW(BW139:BW335),"")))</f>
        <v>0</v>
      </c>
      <c r="BY139" s="12">
        <f>IF('Données projet'!$A$124&gt;35,BY138+BX139-CG138,IF(A139&lt;'Données projet'!$A$124,$BV$205^A139,IF(A139='Données projet'!$A$124,'Données projet'!$B$124,BY138+BX139-CG138)))</f>
        <v>0</v>
      </c>
      <c r="BZ139" s="13">
        <f>BY139*VLOOKUP('Données projet'!$B$12,Paramètres!$A$1:$I$89,3,0)*VLOOKUP('Données projet'!$B$12,Paramètres!$A$1:$I$89,5,0)</f>
        <v>0</v>
      </c>
      <c r="CA139" s="13" t="e">
        <f t="shared" si="292"/>
        <v>#NUM!</v>
      </c>
      <c r="CB139" s="20" t="e">
        <f t="shared" si="233"/>
        <v>#NUM!</v>
      </c>
      <c r="CC139" s="59" t="e">
        <f t="shared" si="234"/>
        <v>#NUM!</v>
      </c>
      <c r="CD139" s="59">
        <f ca="1">AVERAGE(OFFSET($CC$3,0,0,'Données projet'!$E$12+1,1))-AVERAGE(OFFSET($H$3,0,0,'Données projet'!$E$12+1,1))</f>
        <v>322.93502595881938</v>
      </c>
      <c r="CE139" s="59">
        <f t="shared" si="293"/>
        <v>302.67072119588164</v>
      </c>
      <c r="CF139" s="15">
        <f>IF(ISNA(VLOOKUP(A139,'Données projet'!$A$123:$I$143,3,0)),0,VLOOKUP(A139,'Données projet'!$A$123:$I$143,3,0))</f>
        <v>0</v>
      </c>
      <c r="CG139" s="15">
        <f>IF(ISNA(VLOOKUP(A139,'Données projet'!$A$123:$I$143,4,0)),0,VLOOKUP(A139,'Données projet'!$A$123:$I$143,4,0))</f>
        <v>0</v>
      </c>
      <c r="CH139" s="16">
        <f>IF(ISNA(VLOOKUP(A139,'Données projet'!$A$123:$I$143,5,0)),0%,VLOOKUP(A139,'Données projet'!$A$123:$I$143,5,0)*VLOOKUP('Données projet'!$B$12,Paramètres!$A$1:$I$89,7,0))</f>
        <v>0</v>
      </c>
      <c r="CI139" s="16">
        <f>IF(ISNA(VLOOKUP(A139,'Données projet'!$A$123:$I$143,6,0)),0%,VLOOKUP(A139,'Données projet'!$A$123:$I$143,6,0)*VLOOKUP('Données projet'!$B$12,Paramètres!$A$1:$I$89,7,0))</f>
        <v>0</v>
      </c>
      <c r="CJ139" s="16">
        <f>IF(ISNA(VLOOKUP(A139,'Données projet'!$A$123:$I$143,7,0)),0%,VLOOKUP(A139,'Données projet'!$A$123:$I$143,7,0))</f>
        <v>0</v>
      </c>
      <c r="CK139" s="21">
        <f>EXP(-LN(2)/35)*CK138+(1-EXP(-LN(2)/35))/(LN(2)/35)*CG139*CH139*VLOOKUP('Données projet'!$B$12,Paramètres!$A$1:$I$89,3,0)*0.475*44/12</f>
        <v>57.410586414790849</v>
      </c>
      <c r="CL139" s="21">
        <f>EXP(-LN(2)/25)*CL138+(1-EXP(-LN(2)/25))/(LN(2)/25)*Calculateur!CG139*Calculateur!CI139*VLOOKUP('Données projet'!$B$12,Paramètres!$A$1:$I$89,3,0)*0.475*44/12</f>
        <v>15.430704288039003</v>
      </c>
      <c r="CM139" s="21">
        <f>EXP(-LN(2)/2)*CM138+(1-EXP(-LN(2)/2))/(LN(2)/2)*CG139*CJ139*VLOOKUP('Données projet'!$B$12,Paramètres!$A$1:$I$89,3,0)*0.475*44/12</f>
        <v>0</v>
      </c>
      <c r="CN139" s="22">
        <f t="shared" si="235"/>
        <v>72.841290702829852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projet'!$A$149:$I$169,2,0)</f>
        <v>#N/A</v>
      </c>
      <c r="CR139" s="12" t="e">
        <f>VLOOKUP(A139,'Données projet'!$A$149:$I$169,9,0)</f>
        <v>#N/A</v>
      </c>
      <c r="CS139" s="12">
        <f t="array" ref="CS139">INDEX(CR:CR,MIN(IF(ISNUMBER(CR139:CR335),ROW(CR139:CR335),"")))</f>
        <v>5.2446581196581219</v>
      </c>
      <c r="CT139" s="12">
        <f>IF('Données projet'!$A$150&gt;35,CT138+CS139-DB138,IF(A139&lt;'Données projet'!$A$150,$CQ$205^A139,IF(A139='Données projet'!$A$150,'Données projet'!$B$150,CT138+CS139-DB138)))</f>
        <v>287.82585470085434</v>
      </c>
      <c r="CU139" s="17">
        <f>CT139*VLOOKUP('Données projet'!$B$13,Paramètres!$A$1:$I$89,3,0)*VLOOKUP('Données projet'!$B$13,Paramètres!$A$1:$I$89,5,0)</f>
        <v>291.85541666666631</v>
      </c>
      <c r="CV139" s="13">
        <f t="shared" si="294"/>
        <v>69.466320514612647</v>
      </c>
      <c r="CW139" s="20">
        <f t="shared" si="236"/>
        <v>629.30202559072757</v>
      </c>
      <c r="CX139" s="59">
        <f t="shared" si="237"/>
        <v>922.63535892406094</v>
      </c>
      <c r="CY139" s="59">
        <f ca="1">AVERAGE(OFFSET($CX$3,0,0,'Données projet'!$E$13+1,1))-AVERAGE(OFFSET($H$3,0,0,'Données projet'!$E$13+1,1))</f>
        <v>250.31277422753283</v>
      </c>
      <c r="CZ139" s="59">
        <f t="shared" si="295"/>
        <v>159.20429420478047</v>
      </c>
      <c r="DA139" s="15">
        <f>IF(ISNA(VLOOKUP(A139,'Données projet'!$A$149:$I$169,3,0)),0,VLOOKUP(A139,'Données projet'!$A$149:$I$169,3,0))</f>
        <v>0</v>
      </c>
      <c r="DB139" s="15">
        <f>IF(ISNA(VLOOKUP(A139,'Données projet'!$A$149:$I$169,4,0)),0,VLOOKUP(A139,'Données projet'!$A$149:$I$169,4,0))</f>
        <v>0</v>
      </c>
      <c r="DC139" s="16">
        <f>IF(ISNA(VLOOKUP(A139,'Données projet'!$A$149:$I$169,5,0)),0%,VLOOKUP(A139,'Données projet'!$A$149:$I$169,5,0)*VLOOKUP('Données projet'!$B$13,Paramètres!$A$1:$I$89,7,0))</f>
        <v>0</v>
      </c>
      <c r="DD139" s="16">
        <f>IF(ISNA(VLOOKUP(A139,'Données projet'!$A$149:$I$169,6,0)),0%,VLOOKUP(A139,'Données projet'!$A$149:$I$169,6,0)*VLOOKUP('Données projet'!$B$13,Paramètres!$A$1:$I$89,7,0))</f>
        <v>0</v>
      </c>
      <c r="DE139" s="16">
        <f>IF(ISNA(VLOOKUP(A139,'Données projet'!$A$149:$I$169,7,0)),0%,VLOOKUP(A139,'Données projet'!$A$149:$I$169,7,0))</f>
        <v>0</v>
      </c>
      <c r="DF139" s="21">
        <f>EXP(-LN(2)/35)*DF138+(1-EXP(-LN(2)/35))/(LN(2)/35)*DB139*DC139*VLOOKUP('Données projet'!$B$13,Paramètres!$A$1:$I$89,3,0)*0.475*44/12</f>
        <v>38.440530081444834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238"/>
        <v>38.440530081444834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projet'!$A$175:$I$195,2,0)</f>
        <v>#N/A</v>
      </c>
      <c r="DM139" s="12" t="e">
        <f>VLOOKUP(A139,'Données projet'!$A$175:$I$195,9,0)</f>
        <v>#N/A</v>
      </c>
      <c r="DN139" s="12">
        <f t="array" ref="DN139">INDEX(DM:DM,MIN(IF(ISNUMBER(DM139:DM335),ROW(DM139:DM335),"")))</f>
        <v>0</v>
      </c>
      <c r="DO139" s="12">
        <f>IF('Données projet'!$A$176&gt;35,DO138+DN139-DW138,IF(A139&lt;'Données projet'!$A$176,$DL$205^A139,IF(A139='Données projet'!$A$176,'Données projet'!$B$176,DO138+DN139-DW138)))</f>
        <v>-2.8421709430404007E-13</v>
      </c>
      <c r="DP139" s="17">
        <f>DO139*VLOOKUP('Données projet'!$B$14,Paramètres!$A$1:$I$89,3,0)*VLOOKUP('Données projet'!$B$14,Paramètres!$A$1:$I$89,5,0)</f>
        <v>-2.0838797354372215E-13</v>
      </c>
      <c r="DQ139" s="13" t="e">
        <f t="shared" si="296"/>
        <v>#NUM!</v>
      </c>
      <c r="DR139" s="20" t="e">
        <f t="shared" si="239"/>
        <v>#NUM!</v>
      </c>
      <c r="DS139" s="59" t="e">
        <f t="shared" si="240"/>
        <v>#NUM!</v>
      </c>
      <c r="DT139" s="59">
        <f ca="1">AVERAGE(OFFSET($DS$3,0,0,'Données projet'!$E$14+1,1))-AVERAGE(OFFSET($H$3,0,0,'Données projet'!$E$14+1,1))</f>
        <v>296.91321813251051</v>
      </c>
      <c r="DU139" s="59">
        <f t="shared" si="297"/>
        <v>291.0718079639509</v>
      </c>
      <c r="DV139" s="15">
        <f>IF(ISNA(VLOOKUP(A139,'Données projet'!$A$175:$I$195,3,0)),0,VLOOKUP(A139,'Données projet'!$A$175:$I$195,3,0))</f>
        <v>0</v>
      </c>
      <c r="DW139" s="15">
        <f>IF(ISNA(VLOOKUP(A139,'Données projet'!$A$175:$I$195,4,0)),0,VLOOKUP(A139,'Données projet'!$A$175:$I$195,4,0))</f>
        <v>0</v>
      </c>
      <c r="DX139" s="16">
        <f>IF(ISNA(VLOOKUP(A139,'Données projet'!$A$175:$I$195,5,0)),0%,VLOOKUP(A139,'Données projet'!$A$175:$I$195,5,0)*VLOOKUP('Données projet'!$B$14,Paramètres!$A$1:$I$89,7,0))</f>
        <v>0</v>
      </c>
      <c r="DY139" s="16">
        <f>IF(ISNA(VLOOKUP(A139,'Données projet'!$A$175:$I$195,6,0)),0%,VLOOKUP(A139,'Données projet'!$A$175:$I$195,6,0)*VLOOKUP('Données projet'!$B$14,Paramètres!$A$1:$I$89,7,0))</f>
        <v>0</v>
      </c>
      <c r="DZ139" s="16">
        <f>IF(ISNA(VLOOKUP(A139,'Données projet'!$A$175:$I$195,7,0)),0%,VLOOKUP(A139,'Données projet'!$A$175:$I$195,7,0))</f>
        <v>0</v>
      </c>
      <c r="EA139" s="21">
        <f>EXP(-LN(2)/35)*EA138+(1-EXP(-LN(2)/35))/(LN(2)/35)*DW139*DX139*VLOOKUP('Données projet'!$B$14,Paramètres!$A$1:$I$89,3,0)*0.475*44/12</f>
        <v>57.219923391715284</v>
      </c>
      <c r="EB139" s="21">
        <f>EXP(-LN(2)/25)*EB138+(1-EXP(-LN(2)/25))/(LN(2)/25)*Calculateur!DW139*Calculateur!DY139*VLOOKUP('Données projet'!$B$14,Paramètres!$A$1:$I$89,3,0)*0.475*44/12</f>
        <v>1.1335535318086702</v>
      </c>
      <c r="EC139" s="21">
        <f>EXP(-LN(2)/2)*EC138+(1-EXP(-LN(2)/2))/(LN(2)/2)*DW139*DZ139*VLOOKUP('Données projet'!$B$14,Paramètres!$A$1:$I$89,3,0)*0.475*44/12</f>
        <v>0</v>
      </c>
      <c r="ED139" s="22">
        <f t="shared" si="241"/>
        <v>58.353476923523957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projet'!$A$201:$I$221,2,0)</f>
        <v>#N/A</v>
      </c>
      <c r="EH139" s="12" t="e">
        <f>VLOOKUP(A139,'Données projet'!$A$201:$I$221,9,0)</f>
        <v>#N/A</v>
      </c>
      <c r="EI139" s="12">
        <f t="array" ref="EI139">INDEX(EH:EH,MIN(IF(ISNUMBER(EH139:EH335),ROW(EH139:EH335),"")))</f>
        <v>0</v>
      </c>
      <c r="EJ139" s="12">
        <f>IF('Données projet'!$A$202&gt;35,EJ138+EI139-ER138,IF(A139&lt;'Données projet'!$A$202,$EG$205^A139,IF(A139='Données projet'!$A$202,'Données projet'!$B$202,EJ138+EI139-ER138)))</f>
        <v>5.1159076974727213E-13</v>
      </c>
      <c r="EK139" s="17">
        <f>EJ139*VLOOKUP('Données projet'!$B$15,Paramètres!$A$1:$I$89,3,0)*VLOOKUP('Données projet'!$B$15,Paramètres!$A$1:$I$89,5,0)</f>
        <v>2.3942448024172334E-13</v>
      </c>
      <c r="EL139" s="13">
        <f t="shared" si="298"/>
        <v>3.2492669905861755E-12</v>
      </c>
      <c r="EM139" s="20">
        <f t="shared" si="242"/>
        <v>6.0761376450252565E-12</v>
      </c>
      <c r="EN139" s="59">
        <f t="shared" si="243"/>
        <v>293.3333333333394</v>
      </c>
      <c r="EO139" s="59">
        <f ca="1">AVERAGE(OFFSET($EN$3,0,0,'Données projet'!$E$15+1,1))-AVERAGE(OFFSET($H$3,0,0,'Données projet'!$E$15+1,1))</f>
        <v>147.64256291235483</v>
      </c>
      <c r="EP139" s="59">
        <f t="shared" si="299"/>
        <v>70.859031694091868</v>
      </c>
      <c r="EQ139" s="15">
        <f>IF(ISNA(VLOOKUP(A139,'Données projet'!$A$201:$I$221,3,0)),0,VLOOKUP(A139,'Données projet'!$A$201:$I$221,3,0))</f>
        <v>0</v>
      </c>
      <c r="ER139" s="15">
        <f>IF(ISNA(VLOOKUP(A139,'Données projet'!$A$201:$I$221,4,0)),0,VLOOKUP(A139,'Données projet'!$A$201:$I$221,4,0))</f>
        <v>0</v>
      </c>
      <c r="ES139" s="16">
        <f>IF(ISNA(VLOOKUP(A139,'Données projet'!$A$201:$I$221,5,0)),0%,VLOOKUP(A139,'Données projet'!$A$201:$I$221,5,0)*VLOOKUP('Données projet'!$B$15,Paramètres!$A$1:$I$89,7,0))</f>
        <v>0</v>
      </c>
      <c r="ET139" s="16">
        <f>IF(ISNA(VLOOKUP(A139,'Données projet'!$A$201:$I$221,6,0)),0%,VLOOKUP(A139,'Données projet'!$A$201:$I$221,6,0)*VLOOKUP('Données projet'!$B$15,Paramètres!$A$1:$I$89,7,0))</f>
        <v>0</v>
      </c>
      <c r="EU139" s="16">
        <f>IF(ISNA(VLOOKUP(A139,'Données projet'!$A$201:$I$221,7,0)),0%,VLOOKUP(A139,'Données projet'!$A$201:$I$221,7,0))</f>
        <v>0</v>
      </c>
      <c r="EV139" s="21">
        <f>EXP(-LN(2)/35)*EV138+(1-EXP(-LN(2)/35))/(LN(2)/35)*ER139*ES139*VLOOKUP('Données projet'!$B$15,Paramètres!$A$1:$I$89,3,0)*0.475*44/12</f>
        <v>78.334977071723131</v>
      </c>
      <c r="EW139" s="21">
        <f>EXP(-LN(2)/25)*EW138+(1-EXP(-LN(2)/25))/(LN(2)/25)*Calculateur!ER139*Calculateur!ET139*VLOOKUP('Données projet'!$B$15,Paramètres!$A$1:$I$89,3,0)*0.475*44/12</f>
        <v>15.726913217964029</v>
      </c>
      <c r="EX139" s="21">
        <f>EXP(-LN(2)/2)*EX138+(1-EXP(-LN(2)/2))/(LN(2)/2)*ER139*EU139*VLOOKUP('Données projet'!$B$15,Paramètres!$A$1:$I$89,3,0)*0.475*44/12</f>
        <v>1.5837991512927282E-3</v>
      </c>
      <c r="EY139" s="22">
        <f t="shared" si="244"/>
        <v>94.063474088838447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projet'!$A$227:$I$247,2,0)</f>
        <v>#N/A</v>
      </c>
      <c r="FC139" s="12" t="e">
        <f>VLOOKUP(A139,'Données projet'!$A$227:$I$247,9,0)</f>
        <v>#N/A</v>
      </c>
      <c r="FD139" s="12">
        <f t="array" ref="FD139">INDEX(FC:FC,MIN(IF(ISNUMBER(FC139:FC335),ROW(FC139:FC335),"")))</f>
        <v>0</v>
      </c>
      <c r="FE139" s="12">
        <f>IF('Données projet'!$A$228&gt;35,FE138+FD139-FM138,IF(A139&lt;'Données projet'!$A$228,$FB$205^A139,IF(A139='Données projet'!$A$228,'Données projet'!$B$228,FE138+FD139-FM138)))</f>
        <v>8.5265128291212022E-14</v>
      </c>
      <c r="FF139" s="17">
        <f>FE139*VLOOKUP('Données projet'!$B$16,Paramètres!$A$1:$I$89,3,0)*VLOOKUP('Données projet'!$B$16,Paramètres!$A$1:$I$89,5,0)</f>
        <v>8.9119112089974823E-14</v>
      </c>
      <c r="FG139" s="13">
        <f t="shared" si="300"/>
        <v>1.3568952080113142E-12</v>
      </c>
      <c r="FH139" s="20">
        <f t="shared" si="245"/>
        <v>2.5184749408430782E-12</v>
      </c>
      <c r="FI139" s="59">
        <f t="shared" si="246"/>
        <v>293.33333333333582</v>
      </c>
      <c r="FJ139" s="59">
        <f ca="1">AVERAGE(OFFSET($FI$3,0,0,'Données projet'!$E$16+1,1))-AVERAGE(OFFSET($H$3,0,0,'Données projet'!$E$16+1,1))</f>
        <v>259.03906550253788</v>
      </c>
      <c r="FK139" s="59">
        <f t="shared" si="301"/>
        <v>235.54542903570831</v>
      </c>
      <c r="FL139" s="15">
        <f>IF(ISNA(VLOOKUP(A139,'Données projet'!$A$227:$I$247,3,0)),0,VLOOKUP(A139,'Données projet'!$A$227:$I$247,3,0))</f>
        <v>0</v>
      </c>
      <c r="FM139" s="15">
        <f>IF(ISNA(VLOOKUP(A139,'Données projet'!$A$227:$I$247,4,0)),0,VLOOKUP(A139,'Données projet'!$A$227:$I$247,4,0))</f>
        <v>0</v>
      </c>
      <c r="FN139" s="16">
        <f>IF(ISNA(VLOOKUP(A139,'Données projet'!$A$227:$I$247,5,0)),0%,VLOOKUP(A139,'Données projet'!$A$227:$I$247,5,0)*VLOOKUP('Données projet'!$B$16,Paramètres!$A$1:$I$89,7,0))</f>
        <v>0</v>
      </c>
      <c r="FO139" s="16">
        <f>IF(ISNA(VLOOKUP(A139,'Données projet'!$A$227:$I$247,6,0)),0%,VLOOKUP(A139,'Données projet'!$A$227:$I$247,6,0)*VLOOKUP('Données projet'!$B$16,Paramètres!$A$1:$I$89,7,0))</f>
        <v>0</v>
      </c>
      <c r="FP139" s="16">
        <f>IF(ISNA(VLOOKUP(A139,'Données projet'!$A$227:$I$247,7,0)),0%,VLOOKUP(A139,'Données projet'!$A$227:$I$247,7,0))</f>
        <v>0</v>
      </c>
      <c r="FQ139" s="21">
        <f>EXP(-LN(2)/35)*FQ138+(1-EXP(-LN(2)/35))/(LN(2)/35)*FM139*FN139*VLOOKUP('Données projet'!$B$16,Paramètres!$A$1:$I$89,3,0)*0.475*44/12</f>
        <v>34.574929977503665</v>
      </c>
      <c r="FR139" s="21">
        <f>EXP(-LN(2)/25)*FR138+(1-EXP(-LN(2)/25))/(LN(2)/25)*Calculateur!FM139*Calculateur!FO139*VLOOKUP('Données projet'!$B$16,Paramètres!$A$1:$I$89,3,0)*0.475*44/12</f>
        <v>21.63511594821701</v>
      </c>
      <c r="FS139" s="21">
        <f>EXP(-LN(2)/2)*FS138+(1-EXP(-LN(2)/2))/(LN(2)/2)*FM139*FP139*VLOOKUP('Données projet'!$B$16,Paramètres!$A$1:$I$89,3,0)*0.475*44/12</f>
        <v>0</v>
      </c>
      <c r="FT139" s="22">
        <f t="shared" si="247"/>
        <v>56.210045925720678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projet'!$A$253:$I$273,2,0)</f>
        <v>#N/A</v>
      </c>
      <c r="FX139" s="12" t="e">
        <f>VLOOKUP(A139,'Données projet'!$A$253:$I$273,9,0)</f>
        <v>#N/A</v>
      </c>
      <c r="FY139" s="12">
        <f t="array" ref="FY139">INDEX(FX:FX,MIN(IF(ISNUMBER(FX139:FX335),ROW(FX139:FX335),"")))</f>
        <v>0</v>
      </c>
      <c r="FZ139" s="12">
        <f>IF('Données projet'!$A$254&gt;35,FZ138+FY139-GH138,IF(A139&lt;'Données projet'!$A$254,$FW$205^A139,IF(A139='Données projet'!$A$254,'Données projet'!$B$254,FZ138+FY139-GH138)))</f>
        <v>-1.7053025658242404E-13</v>
      </c>
      <c r="GA139" s="17">
        <f>FZ139*VLOOKUP('Données projet'!$B$17,Paramètres!$A$1:$I$89,3,0)*VLOOKUP('Données projet'!$B$17,Paramètres!$A$1:$I$89,5,0)</f>
        <v>-1.4897523215040567E-13</v>
      </c>
      <c r="GB139" s="13" t="e">
        <f t="shared" si="302"/>
        <v>#NUM!</v>
      </c>
      <c r="GC139" s="20" t="e">
        <f t="shared" si="248"/>
        <v>#NUM!</v>
      </c>
      <c r="GD139" s="59" t="e">
        <f t="shared" si="249"/>
        <v>#NUM!</v>
      </c>
      <c r="GE139" s="59">
        <f ca="1">AVERAGE(OFFSET($GD$3,0,0,'Données projet'!$E$17+1,1))-AVERAGE(OFFSET($H$3,0,0,'Données projet'!$E$17+1,1))</f>
        <v>245.1983232777614</v>
      </c>
      <c r="GF139" s="59">
        <f t="shared" si="303"/>
        <v>242.34010522344573</v>
      </c>
      <c r="GG139" s="15">
        <f>IF(ISNA(VLOOKUP(A139,'Données projet'!$A$253:$I$273,3,0)),0,VLOOKUP(A139,'Données projet'!$A$253:$I$273,3,0))</f>
        <v>0</v>
      </c>
      <c r="GH139" s="15">
        <f>IF(ISNA(VLOOKUP(A139,'Données projet'!$A$253:$I$273,4,0)),0,VLOOKUP(A139,'Données projet'!$A$253:$I$273,4,0))</f>
        <v>0</v>
      </c>
      <c r="GI139" s="16">
        <f>IF(ISNA(VLOOKUP(A139,'Données projet'!$A$253:$I$273,5,0)),0%,VLOOKUP(A139,'Données projet'!$A$253:$I$273,5,0)*VLOOKUP('Données projet'!$B$17,Paramètres!$A$1:$I$89,7,0))</f>
        <v>0</v>
      </c>
      <c r="GJ139" s="16">
        <f>IF(ISNA(VLOOKUP(A139,'Données projet'!$A$253:$I$273,6,0)),0%,VLOOKUP(A139,'Données projet'!$A$253:$I$273,6,0)*VLOOKUP('Données projet'!$B$17,Paramètres!$A$1:$I$89,7,0))</f>
        <v>0</v>
      </c>
      <c r="GK139" s="16">
        <f>IF(ISNA(VLOOKUP(A139,'Données projet'!$A$253:$I$273,7,0)),0%,VLOOKUP(A139,'Données projet'!$A$253:$I$273,7,0))</f>
        <v>0</v>
      </c>
      <c r="GL139" s="21">
        <f>EXP(-LN(2)/35)*GL138+(1-EXP(-LN(2)/35))/(LN(2)/35)*GH139*GI139*VLOOKUP('Données projet'!$B$17,Paramètres!$A$1:$I$89,3,0)*0.475*44/12</f>
        <v>40.647573948361106</v>
      </c>
      <c r="GM139" s="21">
        <f>EXP(-LN(2)/25)*GM138+(1-EXP(-LN(2)/25))/(LN(2)/25)*Calculateur!GH139*Calculateur!GJ139*VLOOKUP('Données projet'!$B$17,Paramètres!$A$1:$I$89,3,0)*0.475*44/12</f>
        <v>4.6099161417917154</v>
      </c>
      <c r="GN139" s="21">
        <f>EXP(-LN(2)/2)*GN138+(1-EXP(-LN(2)/2))/(LN(2)/2)*GH139*GK139*VLOOKUP('Données projet'!$B$17,Paramètres!$A$1:$I$89,3,0)*0.475*44/12</f>
        <v>0</v>
      </c>
      <c r="GO139" s="21">
        <f t="shared" si="250"/>
        <v>45.257490090152821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projet'!$A$279:$I$299,2,0)</f>
        <v>#N/A</v>
      </c>
      <c r="GS139" s="12" t="e">
        <f>VLOOKUP(A139,'Données projet'!$A$279:$I$299,9,0)</f>
        <v>#N/A</v>
      </c>
      <c r="GT139" s="12">
        <f t="array" ref="GT139">INDEX(GS:GS,MIN(IF(ISNUMBER(GS139:GS335),ROW(GS139:GS335),"")))</f>
        <v>0</v>
      </c>
      <c r="GU139" s="12">
        <f>IF('Données projet'!$A$280&gt;35,GU138+GT139-HC138,IF(A139&lt;'Données projet'!$A$280,$GR$205^A139,IF(A139='Données projet'!$A$280,'Données projet'!$B$280,GU138+GT139-HC138)))</f>
        <v>-1.1368683772161603E-13</v>
      </c>
      <c r="GV139" s="17">
        <f>GU139*VLOOKUP('Données projet'!$B$18,Paramètres!$A$1:$I$89,3,0)*VLOOKUP('Données projet'!$B$18,Paramètres!$A$1:$I$89,5,0)</f>
        <v>-4.5815795601811263E-14</v>
      </c>
      <c r="GW139" s="13" t="e">
        <f t="shared" si="304"/>
        <v>#NUM!</v>
      </c>
      <c r="GX139" s="20" t="e">
        <f t="shared" si="251"/>
        <v>#NUM!</v>
      </c>
      <c r="GY139" s="59" t="e">
        <f t="shared" si="252"/>
        <v>#NUM!</v>
      </c>
      <c r="GZ139" s="59">
        <f ca="1">AVERAGE(OFFSET($GY$3,0,0,'Données projet'!$E$18+1,1))-AVERAGE(OFFSET($H$3,0,0,'Données projet'!$E$18+1,1))</f>
        <v>324.36162935850876</v>
      </c>
      <c r="HA139" s="59">
        <f t="shared" si="305"/>
        <v>265.23571072429735</v>
      </c>
      <c r="HB139" s="15">
        <f>IF(ISNA(VLOOKUP(A139,'Données projet'!$A$279:$I$299,3,0)),0,VLOOKUP(A139,'Données projet'!$A$279:$I$299,3,0))</f>
        <v>0</v>
      </c>
      <c r="HC139" s="15">
        <f>IF(ISNA(VLOOKUP(A139,'Données projet'!$A$279:$I$299,4,0)),0,VLOOKUP(A139,'Données projet'!$A$279:$I$299,4,0))</f>
        <v>0</v>
      </c>
      <c r="HD139" s="16">
        <f>IF(ISNA(VLOOKUP(A139,'Données projet'!$A$279:$I$299,5,0)),0%,VLOOKUP(A139,'Données projet'!$A$279:$I$299,5,0)*VLOOKUP('Données projet'!$B$18,Paramètres!$A$1:$I$89,7,0))</f>
        <v>0</v>
      </c>
      <c r="HE139" s="16">
        <f>IF(ISNA(VLOOKUP(A139,'Données projet'!$A$279:$I$299,6,0)),0%,VLOOKUP(A139,'Données projet'!$A$279:$I$299,6,0)*VLOOKUP('Données projet'!$B$18,Paramètres!$A$1:$I$89,7,0))</f>
        <v>0</v>
      </c>
      <c r="HF139" s="16">
        <f>IF(ISNA(VLOOKUP($A139,'Données projet'!$A$279:$I$299,7,0)),0%,VLOOKUP($A139,'Données projet'!$A$279:$I$299,7,0))</f>
        <v>0</v>
      </c>
      <c r="HG139" s="21">
        <f>EXP(-LN(2)/35)*HG138+(1-EXP(-LN(2)/35))/(LN(2)/35)*HC139*HD139*VLOOKUP('Données projet'!$B$18,Paramètres!$A$1:$I$89,3,0)*0.475*44/12</f>
        <v>77.891377725477312</v>
      </c>
      <c r="HH139" s="21">
        <f>EXP(-LN(2)/25)*HH138+(1-EXP(-LN(2)/25))/(LN(2)/25)*Calculateur!HC139*Calculateur!HE139*VLOOKUP('Données projet'!$B$18,Paramètres!$A$1:$I$89,3,0)*0.475*44/12</f>
        <v>5.1270513071845158</v>
      </c>
      <c r="HI139" s="21">
        <f>EXP(-LN(2)/2)*HI138+(1-EXP(-LN(2)/2))/(LN(2)/2)*HC139*HF139*VLOOKUP('Données projet'!$B$18,Paramètres!$A$1:$I$89,3,0)*0.475*44/12</f>
        <v>3.1840837409272521E-8</v>
      </c>
      <c r="HJ139" s="22">
        <f t="shared" si="253"/>
        <v>83.018429064502669</v>
      </c>
      <c r="HK139" s="74">
        <f>('Scénario référence'!$F$8+'Scénario référence'!$F$9+'Scénario référence'!$B$17+'Scénario référence'!$B$9+'Scénario référence'!$B$10)*70+IF((45+25*(1-EXP(-0.0175*$A139)))&lt;70,'Scénario référence'!$B$16*(45+25*(1-EXP(-0.0175*$A139))),70*'Scénario référence'!$B$16)+IF((32+38*(1-EXP(-0.0175*$A139)))&lt;70,'Scénario référence'!$B$18*(32+38*(1-EXP(-0.0175*$A139))),70*'Scénario référence'!$B$18)</f>
        <v>70</v>
      </c>
      <c r="HL139" s="12">
        <f>IF($A139&gt;30,10,('Scénario référence'!$B$16+'Scénario référence'!$B$17+'Scénario référence'!$B$18+'Scénario référence'!$B$9+'Scénario référence'!$B$10)*$A139*10/30+('Scénario référence'!$F$8+'Scénario référence'!$F$9)*10)</f>
        <v>10</v>
      </c>
      <c r="HM139" s="12" t="e">
        <f>VLOOKUP($A139,'Données projet'!$A$304:$I$324,2,0)</f>
        <v>#N/A</v>
      </c>
      <c r="HN139" s="12" t="e">
        <f>VLOOKUP($A139,'Données projet'!$A$304:$I$324,9,0)</f>
        <v>#N/A</v>
      </c>
      <c r="HO139" s="12">
        <f t="array" ref="HO139">INDEX(HN:HN,MIN(IF(ISNUMBER(HN139:HN335),ROW(HN139:HN335),"")))</f>
        <v>0</v>
      </c>
      <c r="HP139" s="12">
        <f>IF('Données projet'!$A$304&gt;35,HP138+HO139-HX138,IF($A139&lt;'Données projet'!$A$304,$CQ$205^$A139,IF($A139='Données projet'!$A$304,'Données projet'!$B$304,HP138+HO139-HX138)))</f>
        <v>0</v>
      </c>
      <c r="HQ139" s="17">
        <f>HP139*VLOOKUP('Données projet'!$B$19,Paramètres!$A$1:$I$89,3,0)*VLOOKUP('Données projet'!$B$19,Paramètres!$A$1:$I$89,5,0)</f>
        <v>0</v>
      </c>
      <c r="HR139" s="13" t="e">
        <f t="shared" si="306"/>
        <v>#NUM!</v>
      </c>
      <c r="HS139" s="14" t="e">
        <f t="shared" si="254"/>
        <v>#NUM!</v>
      </c>
      <c r="HT139" s="59" t="e">
        <f t="shared" si="255"/>
        <v>#NUM!</v>
      </c>
      <c r="HU139" s="59">
        <f ca="1">AVERAGE(OFFSET(HT$3,0,0,'Données projet'!$E$19+1,1))-AVERAGE(OFFSET($H$3,0,0,'Données projet'!$E$19+1,1))</f>
        <v>91.60721429656013</v>
      </c>
      <c r="HV139" s="59">
        <f t="shared" si="307"/>
        <v>258.94957804210856</v>
      </c>
      <c r="HW139" s="15">
        <f>IF(ISNA(VLOOKUP($A139,'Données projet'!$A$304:$I$324,3,0)),0,VLOOKUP($A139,'Données projet'!$A$304:$I$324,3,0))</f>
        <v>0</v>
      </c>
      <c r="HX139" s="15">
        <f>IF(ISNA(VLOOKUP($A139,'Données projet'!$A$304:$I$324,4,0)),0,VLOOKUP($A139,'Données projet'!$A$304:$I$324,4,0))</f>
        <v>0</v>
      </c>
      <c r="HY139" s="16">
        <f>IF(ISNA(VLOOKUP($A139,'Données projet'!$A$304:$I$324,5,0)),0%,VLOOKUP($A139,'Données projet'!$A$304:$I$324,5,0)*VLOOKUP('Données projet'!$B$19,Paramètres!$A$1:$I$89,7,0))</f>
        <v>0</v>
      </c>
      <c r="HZ139" s="16">
        <f>IF(ISNA(VLOOKUP($A139,'Données projet'!$A$304:$I$324,6,0)),0%,VLOOKUP($A139,'Données projet'!$A$304:$I$324,6,0)*VLOOKUP('Données projet'!$B$19,Paramètres!$A$1:$I$89,7,0))</f>
        <v>0</v>
      </c>
      <c r="IA139" s="16">
        <f>IF(ISNA(VLOOKUP($A139,'Données projet'!$A$304:$I$324,7,0)),0%,VLOOKUP($A139,'Données projet'!$A$304:$I$324,7,0))</f>
        <v>0</v>
      </c>
      <c r="IB139" s="21">
        <f>EXP(-LN(2)/35)*IB138+(1-EXP(-LN(2)/35))/(LN(2)/35)*HX139*HY139*VLOOKUP('Données projet'!$B$19,Paramètres!$A$1:$I$89,3,0)*0.475*44/12</f>
        <v>6.0456650579981073</v>
      </c>
      <c r="IC139" s="21">
        <f>EXP(-LN(2)/25)*IC138+(1-EXP(-LN(2)/25))/(LN(2)/25)*Calculateur!HX139*Calculateur!HZ139*VLOOKUP('Données projet'!$B$19,Paramètres!$A$1:$I$89,3,0)*0.475*44/12</f>
        <v>0.51480668518533601</v>
      </c>
      <c r="ID139" s="21">
        <f>EXP(-LN(2)/2)*ID138+(1-EXP(-LN(2)/2))/(LN(2)/2)*HX139*IA139*VLOOKUP('Données projet'!$B$19,Paramètres!$A$1:$I$89,3,0)*0.475*44/12</f>
        <v>6.3599382620791184E-17</v>
      </c>
      <c r="IE139" s="22">
        <f t="shared" si="256"/>
        <v>6.5604717431834434</v>
      </c>
      <c r="IF139" s="74">
        <f>('Scénario référence'!$F$8+'Scénario référence'!$F$9+'Scénario référence'!$B$17+'Scénario référence'!$B$9+'Scénario référence'!$B$10)*70+IF((45+25*(1-EXP(-0.0175*$A139)))&lt;70,'Scénario référence'!$B$16*(45+25*(1-EXP(-0.0175*$A139))),70*'Scénario référence'!$B$16)+IF((32+38*(1-EXP(-0.0175*$A139)))&lt;70,'Scénario référence'!$B$18*(32+38*(1-EXP(-0.0175*$A139))),70*'Scénario référence'!$B$18)</f>
        <v>70</v>
      </c>
      <c r="IG139" s="12">
        <f>IF($A139&gt;30,10,('Scénario référence'!$B$16+'Scénario référence'!$B$17+'Scénario référence'!$B$18+'Scénario référence'!$B$9+'Scénario référence'!$B$10)*$A139*10/30+('Scénario référence'!$F$8+'Scénario référence'!$F$9)*10)</f>
        <v>10</v>
      </c>
      <c r="IH139" s="12" t="e">
        <f>VLOOKUP($A139,'Données projet'!$A$330:$I$350,2,0)</f>
        <v>#N/A</v>
      </c>
      <c r="II139" s="12" t="e">
        <f>VLOOKUP($A139,'Données projet'!$A$330:$I$350,9,0)</f>
        <v>#N/A</v>
      </c>
      <c r="IJ139" s="12">
        <f t="array" ref="IJ139">INDEX(II:II,MIN(IF(ISNUMBER(II139:II335),ROW(II139:II335),"")))</f>
        <v>0</v>
      </c>
      <c r="IK139" s="12">
        <f>IF('Données projet'!$A$330&gt;35,IK138+IJ139-IS138,IF($A139&lt;'Données projet'!$A$330,$CQ$205^$A139,IF($A139='Données projet'!$A$330,'Données projet'!$B$330,IK138+IJ139-IS138)))</f>
        <v>0</v>
      </c>
      <c r="IL139" s="17">
        <f>IK139*VLOOKUP('Données projet'!$B$20,Paramètres!$A$1:$I$89,3,0)*VLOOKUP('Données projet'!$B$20,Paramètres!$A$1:$I$89,5,0)</f>
        <v>0</v>
      </c>
      <c r="IM139" s="13" t="e">
        <f t="shared" si="308"/>
        <v>#NUM!</v>
      </c>
      <c r="IN139" s="20" t="e">
        <f t="shared" si="257"/>
        <v>#NUM!</v>
      </c>
      <c r="IO139" s="59" t="e">
        <f t="shared" si="258"/>
        <v>#NUM!</v>
      </c>
      <c r="IP139" s="59">
        <f ca="1">AVERAGE(OFFSET(IO$3,0,0,'Données projet'!$E$20+1,1))-AVERAGE(OFFSET($H$3,0,0,'Données projet'!$E$20+1,1))</f>
        <v>91.60721429656013</v>
      </c>
      <c r="IQ139" s="59">
        <f t="shared" si="309"/>
        <v>258.94957804210856</v>
      </c>
      <c r="IR139" s="15">
        <f>IF(ISNA(VLOOKUP($A139,'Données projet'!$A$330:$I$350,3,0)),0,VLOOKUP($A139,'Données projet'!$A$330:$I$350,3,0))</f>
        <v>0</v>
      </c>
      <c r="IS139" s="15">
        <f>IF(ISNA(VLOOKUP($A139,'Données projet'!$A$330:$I$350,4,0)),0,VLOOKUP($A139,'Données projet'!$A$330:$I$350,4,0))</f>
        <v>0</v>
      </c>
      <c r="IT139" s="16">
        <f>IF(ISNA(VLOOKUP($A139,'Données projet'!$A$330:$I$350,5,0)),0%,VLOOKUP($A139,'Données projet'!$A$330:$I$350,5,0)*VLOOKUP('Données projet'!$B$20,Paramètres!$A$1:$I$89,7,0))</f>
        <v>0</v>
      </c>
      <c r="IU139" s="16">
        <f>IF(ISNA(VLOOKUP($A139,'Données projet'!$A$330:$I$350,6,0)),0%,VLOOKUP($A139,'Données projet'!$A$330:$I$350,6,0)*VLOOKUP('Données projet'!$B$20,Paramètres!$A$1:$I$89,7,0))</f>
        <v>0</v>
      </c>
      <c r="IV139" s="16">
        <f>IF(ISNA(VLOOKUP($A139,'Données projet'!$A$330:$I$350,7,0)),0%,VLOOKUP($A139,'Données projet'!$A$330:$I$350,7,0))</f>
        <v>0</v>
      </c>
      <c r="IW139" s="21">
        <f>EXP(-LN(2)/35)*IW138+(1-EXP(-LN(2)/35))/(LN(2)/35)*IS139*IT139*VLOOKUP('Données projet'!$B$20,Paramètres!$A$1:$I$89,3,0)*0.475*44/12</f>
        <v>6.0456650579981073</v>
      </c>
      <c r="IX139" s="21">
        <f>EXP(-LN(2)/25)*IX138+(1-EXP(-LN(2)/25))/(LN(2)/25)*Calculateur!IS139*Calculateur!IU139*VLOOKUP('Données projet'!$B$20,Paramètres!$A$1:$I$89,3,0)*0.475*44/12</f>
        <v>0.51480668518533601</v>
      </c>
      <c r="IY139" s="21">
        <f>EXP(-LN(2)/2)*IY138+(1-EXP(-LN(2)/2))/(LN(2)/2)*IS139*IV139*VLOOKUP('Données projet'!$B$20,Paramètres!$A$1:$I$89,3,0)*0.475*44/12</f>
        <v>6.3599382620791184E-17</v>
      </c>
      <c r="IZ139" s="22">
        <f t="shared" si="259"/>
        <v>6.5604717431834434</v>
      </c>
      <c r="JA139" s="74">
        <f>('Scénario référence'!$F$8+'Scénario référence'!$F$9+'Scénario référence'!$B$17+'Scénario référence'!$B$9+'Scénario référence'!$B$10)*70+IF((45+25*(1-EXP(-0.0175*$A139)))&lt;70,'Scénario référence'!$B$16*(45+25*(1-EXP(-0.0175*$A139))),70*'Scénario référence'!$B$16)+IF((32+38*(1-EXP(-0.0175*$A139)))&lt;70,'Scénario référence'!$B$18*(32+38*(1-EXP(-0.0175*$A139))),70*'Scénario référence'!$B$18)</f>
        <v>70</v>
      </c>
      <c r="JB139" s="12">
        <f>IF($A139&gt;30,10,('Scénario référence'!$B$16+'Scénario référence'!$B$17+'Scénario référence'!$B$18+'Scénario référence'!$B$9+'Scénario référence'!$B$10)*$A139*10/30+('Scénario référence'!$F$8+'Scénario référence'!$F$9)*10)</f>
        <v>10</v>
      </c>
      <c r="JC139" s="12" t="e">
        <f>VLOOKUP($A139,'Données projet'!$A$356:$I$376,2,0)</f>
        <v>#N/A</v>
      </c>
      <c r="JD139" s="12" t="e">
        <f>VLOOKUP($A139,'Données projet'!$A$356:$I$376,9,0)</f>
        <v>#N/A</v>
      </c>
      <c r="JE139" s="12">
        <f t="array" ref="JE139">INDEX(JD:JD,MIN(IF(ISNUMBER(JD139:JD335),ROW(JD139:JD335),"")))</f>
        <v>1.4</v>
      </c>
      <c r="JF139" s="12">
        <f>IF('Données projet'!$A$356&gt;35,JF138+JE139-JN138,IF($A139&lt;'Données projet'!$A$356,$CQ$205^$A139,IF($A139='Données projet'!$A$356,'Données projet'!$B$356,JF138+JE139-JN138)))</f>
        <v>428.39999999999901</v>
      </c>
      <c r="JG139" s="17">
        <f>JF139*VLOOKUP('Données projet'!$B$21,Paramètres!$A$1:$I$89,3,0)*VLOOKUP('Données projet'!$B$21,Paramètres!$A$1:$I$89,5,0)</f>
        <v>347.5180799999992</v>
      </c>
      <c r="JH139" s="13">
        <f t="shared" si="310"/>
        <v>81.051246659740016</v>
      </c>
      <c r="JI139" s="20">
        <f t="shared" si="260"/>
        <v>746.42491059904569</v>
      </c>
      <c r="JJ139" s="59">
        <f t="shared" si="261"/>
        <v>1039.7582439323789</v>
      </c>
      <c r="JK139" s="59">
        <f ca="1">AVERAGE(OFFSET($JJ$3,0,0,'Données projet'!$E$22+1,1))-AVERAGE(OFFSET($H$3,0,0,'Données projet'!$E$22+1,1))</f>
        <v>353.35574633294613</v>
      </c>
      <c r="JL139" s="59">
        <f t="shared" si="311"/>
        <v>170.36796666474726</v>
      </c>
      <c r="JM139" s="15">
        <f>IF(ISNA(VLOOKUP($A139,'Données projet'!$A$356:$I$376,3,0)),0,VLOOKUP($A139,'Données projet'!$A$356:$I$376,3,0))</f>
        <v>0</v>
      </c>
      <c r="JN139" s="15">
        <f>IF(ISNA(VLOOKUP($A139,'Données projet'!$A$356:$I$376,4,0)),0,VLOOKUP($A139,'Données projet'!$A$356:$I$376,4,0))</f>
        <v>0</v>
      </c>
      <c r="JO139" s="16">
        <f>IF(ISNA(VLOOKUP($A139,'Données projet'!$A$356:$I$376,5,0)),0%,VLOOKUP($A139,'Données projet'!$A$356:$I$376,5,0)*VLOOKUP('Données projet'!$B$21,Paramètres!$A$1:$I$89,7,0))</f>
        <v>0</v>
      </c>
      <c r="JP139" s="16">
        <f>IF(ISNA(VLOOKUP($A139,'Données projet'!$A$356:$I$376,6,0)),0%,VLOOKUP($A139,'Données projet'!$A$356:$I$376,6,0)*VLOOKUP('Données projet'!$B$21,Paramètres!$A$1:$I$89,7,0))</f>
        <v>0</v>
      </c>
      <c r="JQ139" s="16">
        <f>IF(ISNA(VLOOKUP($A139,'Données projet'!$A$356:$I$376,7,0)),0%,VLOOKUP($A139,'Données projet'!$A$356:$I$376,7,0))</f>
        <v>0</v>
      </c>
      <c r="JR139" s="21">
        <f>EXP(-LN(2)/35)*JR138+(1-EXP(-LN(2)/35))/(LN(2)/35)*JN139*JO139*VLOOKUP('Données projet'!$B$21,Paramètres!$A$1:$I$89,3,0)*0.475*44/12</f>
        <v>5.7423014343090646</v>
      </c>
      <c r="JS139" s="21">
        <f>EXP(-LN(2)/25)*JS138+(1-EXP(-LN(2)/25))/(LN(2)/25)*Calculateur!JN139*Calculateur!JP139*VLOOKUP('Données projet'!$B$21,Paramètres!$A$1:$I$89,3,0)*0.475*44/12</f>
        <v>11.202156441450697</v>
      </c>
      <c r="JT139" s="21">
        <f>EXP(-LN(2)/2)*JT138+(1-EXP(-LN(2)/2))/(LN(2)/2)*JN139*JQ139*VLOOKUP('Données projet'!$B$21,Paramètres!$A$1:$I$89,3,0)*0.475*44/12</f>
        <v>0.19177311137655989</v>
      </c>
      <c r="JU139" s="18">
        <f t="shared" si="262"/>
        <v>17.136230987136319</v>
      </c>
      <c r="JV139" s="74">
        <f>('Scénario référence'!$F$8+'Scénario référence'!$F$9+'Scénario référence'!$B$17+'Scénario référence'!$B$9+'Scénario référence'!$B$10)*70+IF((45+25*(1-EXP(-0.0175*$A139)))&lt;70,'Scénario référence'!$B$16*(45+25*(1-EXP(-0.0175*$A139))),70*'Scénario référence'!$B$16)+IF((32+38*(1-EXP(-0.0175*$A139)))&lt;70,'Scénario référence'!$B$18*(32+38*(1-EXP(-0.0175*$A139))),70*'Scénario référence'!$B$18)</f>
        <v>70</v>
      </c>
      <c r="JW139" s="12">
        <f>IF($A139&gt;30,10,('Scénario référence'!$B$16+'Scénario référence'!$B$17+'Scénario référence'!$B$18+'Scénario référence'!$B$9+'Scénario référence'!$B$10)*$A139*10/30+('Scénario référence'!$F$8+'Scénario référence'!$F$9)*10)</f>
        <v>10</v>
      </c>
      <c r="JX139" s="12" t="e">
        <f>VLOOKUP($A139,'Données projet'!$A$382:$I$402,2,0)</f>
        <v>#N/A</v>
      </c>
      <c r="JY139" s="12" t="e">
        <f>VLOOKUP($A139,'Données projet'!$A$382:$I$402,9,0)</f>
        <v>#N/A</v>
      </c>
      <c r="JZ139" s="12">
        <f t="array" ref="JZ139">INDEX(JY:JY,MIN(IF(ISNUMBER(JY139:JY335),ROW(JY139:JY335),"")))</f>
        <v>0</v>
      </c>
      <c r="KA139" s="12">
        <f>IF('Données projet'!$A$382&gt;35,KA138+JZ139-KI138,IF($A139&lt;'Données projet'!$A$382,$CQ$205^$A139,IF($A139='Données projet'!$A$382,'Données projet'!$B$382,KA138+JZ139-KI138)))</f>
        <v>5.6843418860808015E-13</v>
      </c>
      <c r="KB139" s="17">
        <f>KA139*VLOOKUP('Données projet'!$B$22,Paramètres!$A$1:$I$89,3,0)*VLOOKUP('Données projet'!$B$22,Paramètres!$A$1:$I$89,5,0)</f>
        <v>3.8130565371830017E-13</v>
      </c>
      <c r="KC139" s="13">
        <f t="shared" si="312"/>
        <v>4.9019074112354236E-12</v>
      </c>
      <c r="KD139" s="20">
        <f t="shared" si="263"/>
        <v>9.2015960881277352E-12</v>
      </c>
      <c r="KE139" s="59">
        <f t="shared" si="264"/>
        <v>293.33333333334252</v>
      </c>
      <c r="KF139" s="59">
        <f ca="1">AVERAGE(OFFSET($KE$3,0,0,'Données projet'!$E$22+1,1))-AVERAGE(OFFSET($H$3,0,0,'Données projet'!$E$22+1,1))</f>
        <v>193.91714772848269</v>
      </c>
      <c r="KG139" s="59">
        <f t="shared" si="313"/>
        <v>159.20429420478047</v>
      </c>
      <c r="KH139" s="15">
        <f>IF(ISNA(VLOOKUP($A139,'Données projet'!$A$382:$I$402,3,0)),0,VLOOKUP($A139,'Données projet'!$A$382:$I$402,3,0))</f>
        <v>0</v>
      </c>
      <c r="KI139" s="15">
        <f>IF(ISNA(VLOOKUP($A139,'Données projet'!$A$382:$I$402,4,0)),0,VLOOKUP($A139,'Données projet'!$A$382:$I$402,4,0))</f>
        <v>0</v>
      </c>
      <c r="KJ139" s="16">
        <f>IF(ISNA(VLOOKUP($A139,'Données projet'!$A$382:$I$402,5,0)),0%,VLOOKUP($A139,'Données projet'!$A$382:$I$402,5,0)*VLOOKUP('Données projet'!$B$22,Paramètres!$A$1:$I$89,7,0))</f>
        <v>0</v>
      </c>
      <c r="KK139" s="16">
        <f>IF(ISNA(VLOOKUP($A139,'Données projet'!$A$382:$I$402,6,0)),0%,VLOOKUP($A139,'Données projet'!$A$382:$I$402,6,0)*VLOOKUP('Données projet'!$B$22,Paramètres!$A$1:$I$89,7,0))</f>
        <v>0</v>
      </c>
      <c r="KL139" s="16">
        <f>IF(ISNA(VLOOKUP($A139,'Données projet'!$A$382:$I$402,7,0)),0%,VLOOKUP($A139,'Données projet'!$A$382:$I$402,7,0))</f>
        <v>0</v>
      </c>
      <c r="KM139" s="21">
        <f>EXP(-LN(2)/35)*KM138+(1-EXP(-LN(2)/35))/(LN(2)/35)*KI139*KJ139*VLOOKUP('Données projet'!$B$22,Paramètres!$A$1:$I$89,3,0)*0.475*44/12</f>
        <v>141.51539464996469</v>
      </c>
      <c r="KN139" s="21">
        <f>EXP(-LN(2)/25)*KN138+(1-EXP(-LN(2)/25))/(LN(2)/25)*Calculateur!KI139*Calculateur!KK139*VLOOKUP('Données projet'!$B$22,Paramètres!$A$1:$I$89,3,0)*0.475*44/12</f>
        <v>0</v>
      </c>
      <c r="KO139" s="21">
        <f>EXP(-LN(2)/2)*KO138+(1-EXP(-LN(2)/2))/(LN(2)/2)*KI139*KL139*VLOOKUP('Données projet'!$B$22,Paramètres!$A$1:$I$89,3,0)*0.475*44/12</f>
        <v>0</v>
      </c>
      <c r="KP139" s="22">
        <f t="shared" si="265"/>
        <v>141.51539464996469</v>
      </c>
      <c r="KQ139" s="74">
        <f>('Scénario référence'!$F$8+'Scénario référence'!$F$9+'Scénario référence'!$B$17+'Scénario référence'!$B$9+'Scénario référence'!$B$10)*70+IF((45+25*(1-EXP(-0.0175*$A139)))&lt;70,'Scénario référence'!$B$16*(45+25*(1-EXP(-0.0175*$A139))),70*'Scénario référence'!$B$16)+IF((32+38*(1-EXP(-0.0175*$A139)))&lt;70,'Scénario référence'!$B$18*(32+38*(1-EXP(-0.0175*$A139))),70*'Scénario référence'!$B$18)</f>
        <v>70</v>
      </c>
      <c r="KR139" s="12">
        <f>IF($A139&gt;30,10,('Scénario référence'!$B$16+'Scénario référence'!$B$17+'Scénario référence'!$B$18+'Scénario référence'!$B$9+'Scénario référence'!$B$10)*$A139*10/30+('Scénario référence'!$F$8+'Scénario référence'!$F$9)*10)</f>
        <v>10</v>
      </c>
      <c r="KS139" s="12" t="e">
        <f>VLOOKUP($A139,'Données projet'!$A$408:$I$428,2,0)</f>
        <v>#N/A</v>
      </c>
      <c r="KT139" s="12" t="e">
        <f>VLOOKUP($A139,'Données projet'!$A$408:$I$428,9,0)</f>
        <v>#N/A</v>
      </c>
      <c r="KU139" s="12">
        <f t="array" ref="KU139">INDEX(KT:KT,MIN(IF(ISNUMBER(KT139:KT335),ROW(KT139:KT335),"")))</f>
        <v>0</v>
      </c>
      <c r="KV139" s="12">
        <f>IF('Données projet'!$A$408&gt;35,KV138+KU139-LD138,IF($A139&lt;'Données projet'!$A$408,$CQ$205^$A139,IF($A139='Données projet'!$A$408,'Données projet'!$B$408,KV138+KU139-LD138)))</f>
        <v>-1.1368683772161603E-13</v>
      </c>
      <c r="KW139" s="17">
        <f>KV139*VLOOKUP('Données projet'!$B$23,Paramètres!$A$1:$I$89,3,0)*VLOOKUP('Données projet'!$B$23,Paramètres!$A$1:$I$89,5,0)</f>
        <v>-9.9316821433603781E-14</v>
      </c>
      <c r="KX139" s="13" t="e">
        <f t="shared" si="314"/>
        <v>#NUM!</v>
      </c>
      <c r="KY139" s="14" t="e">
        <f t="shared" si="266"/>
        <v>#NUM!</v>
      </c>
      <c r="KZ139" s="59" t="e">
        <f t="shared" si="267"/>
        <v>#NUM!</v>
      </c>
      <c r="LA139" s="59">
        <f ca="1">AVERAGE(OFFSET($KZ$3,0,0,'Données projet'!$E$23+1,1))-AVERAGE(OFFSET($H$3,0,0,'Données projet'!$E$23+1,1))</f>
        <v>248.33596943633819</v>
      </c>
      <c r="LB139" s="59">
        <f t="shared" si="315"/>
        <v>242.34010522344573</v>
      </c>
      <c r="LC139" s="15">
        <f>IF(ISNA(VLOOKUP($A139,'Données projet'!$A$408:$I$428,3,0)),0,VLOOKUP($A139,'Données projet'!$A$408:$I$428,3,0))</f>
        <v>0</v>
      </c>
      <c r="LD139" s="15">
        <f>IF(ISNA(VLOOKUP($A139,'Données projet'!$A$408:$I$428,4,0)),0,VLOOKUP($A139,'Données projet'!$A$408:$I$428,4,0))</f>
        <v>0</v>
      </c>
      <c r="LE139" s="16">
        <f>IF(ISNA(VLOOKUP($A139,'Données projet'!$A$408:$I$428,5,0)),0%,VLOOKUP($A139,'Données projet'!$A$408:$I$428,5,0)*VLOOKUP('Données projet'!$B$23,Paramètres!$A$1:$I$89,7,0))</f>
        <v>0</v>
      </c>
      <c r="LF139" s="16">
        <f>IF(ISNA(VLOOKUP($A139,'Données projet'!$A$408:$I$428,6,0)),0%,VLOOKUP($A139,'Données projet'!$A$408:$I$428,6,0)*VLOOKUP('Données projet'!$B$23,Paramètres!$A$1:$I$89,7,0))</f>
        <v>0</v>
      </c>
      <c r="LG139" s="16">
        <f>IF(ISNA(VLOOKUP($A139,'Données projet'!$A$408:$I$428,7,0)),0%,VLOOKUP($A139,'Données projet'!$A$408:$I$428,7,0))</f>
        <v>0</v>
      </c>
      <c r="LH139" s="21">
        <f>EXP(-LN(2)/35)*LH138+(1-EXP(-LN(2)/35))/(LN(2)/35)*LD139*LE139*VLOOKUP('Données projet'!$B$23,Paramètres!$A$1:$I$89,3,0)*0.475*44/12</f>
        <v>40.647573948361106</v>
      </c>
      <c r="LI139" s="21">
        <f>EXP(-LN(2)/25)*LI138+(1-EXP(-LN(2)/25))/(LN(2)/25)*Calculateur!LD139*Calculateur!LF139*VLOOKUP('Données projet'!$B$23,Paramètres!$A$1:$I$89,3,0)*0.475*44/12</f>
        <v>4.6099161417917154</v>
      </c>
      <c r="LJ139" s="21">
        <f>EXP(-LN(2)/2)*LJ138+(1-EXP(-LN(2)/2))/(LN(2)/2)*LD139*LG139*VLOOKUP('Données projet'!$B$23,Paramètres!$A$1:$I$89,3,0)*0.475*44/12</f>
        <v>0</v>
      </c>
      <c r="LK139" s="22">
        <f t="shared" si="268"/>
        <v>45.257490090152821</v>
      </c>
      <c r="LL139" s="74">
        <f>('Scénario référence'!$F$8+'Scénario référence'!$F$9+'Scénario référence'!$B$17+'Scénario référence'!$B$9+'Scénario référence'!$B$10)*70+IF((45+25*(1-EXP(-0.0175*$A139)))&lt;70,'Scénario référence'!$B$16*(45+25*(1-EXP(-0.0175*$A139))),70*'Scénario référence'!$B$16)+IF((32+38*(1-EXP(-0.0175*$A139)))&lt;70,'Scénario référence'!$B$18*(32+38*(1-EXP(-0.0175*$A139))),70*'Scénario référence'!$B$18)</f>
        <v>70</v>
      </c>
      <c r="LM139" s="12">
        <f>IF($A139&gt;30,10,('Scénario référence'!$B$16+'Scénario référence'!$B$17+'Scénario référence'!$B$18+'Scénario référence'!$B$9+'Scénario référence'!$B$10)*$A139*10/30+('Scénario référence'!$F$8+'Scénario référence'!$F$9)*10)</f>
        <v>10</v>
      </c>
      <c r="LN139" s="12" t="e">
        <f>VLOOKUP($A139,'Données projet'!$A$434:$I$454,2,0)</f>
        <v>#N/A</v>
      </c>
      <c r="LO139" s="12" t="e">
        <f>VLOOKUP($A139,'Données projet'!$A$434:$I$454,9,0)</f>
        <v>#N/A</v>
      </c>
      <c r="LP139" s="12">
        <f t="array" ref="LP139">INDEX(LO:LO,MIN(IF(ISNUMBER(LO139:LO335),ROW(LO139:LO335),"")))</f>
        <v>5.2446581196581219</v>
      </c>
      <c r="LQ139" s="12">
        <f>IF('Données projet'!$A$434&gt;35,LQ138+LP139-LY138,IF($A139&lt;'Données projet'!$A$434,$CQ$205^$A139,IF($A139='Données projet'!$A$434,'Données projet'!$B$434,LQ138+LP139-LY138)))</f>
        <v>287.82585470085434</v>
      </c>
      <c r="LR139" s="17">
        <f>LQ139*VLOOKUP('Données projet'!$B$24,Paramètres!$A$1:$I$89,3,0)*VLOOKUP('Données projet'!$B$24,Paramètres!$A$1:$I$89,5,0)</f>
        <v>291.85541666666631</v>
      </c>
      <c r="LS139" s="13">
        <f t="shared" si="316"/>
        <v>69.466320514612647</v>
      </c>
      <c r="LT139" s="14">
        <f t="shared" si="269"/>
        <v>629.30202559072757</v>
      </c>
      <c r="LU139" s="59">
        <f t="shared" si="270"/>
        <v>922.63535892406094</v>
      </c>
      <c r="LV139" s="59">
        <f ca="1">AVERAGE(OFFSET($LU$3,0,0,'Données projet'!$E$24+1,1))-AVERAGE(OFFSET($H$3,0,0,'Données projet'!$E$24+1,1))</f>
        <v>260.52627655062872</v>
      </c>
      <c r="LW139" s="59">
        <f t="shared" si="317"/>
        <v>159.20429420478047</v>
      </c>
      <c r="LX139" s="15">
        <f>IF(ISNA(VLOOKUP($A139,'Données projet'!$A$434:$I$454,3,0)),0,VLOOKUP($A139,'Données projet'!$A$434:$I$454,3,0))</f>
        <v>0</v>
      </c>
      <c r="LY139" s="15">
        <f>IF(ISNA(VLOOKUP($A139,'Données projet'!$A$434:$I$454,4,0)),0,VLOOKUP($A139,'Données projet'!$A$434:$I$454,4,0))</f>
        <v>0</v>
      </c>
      <c r="LZ139" s="16">
        <f>IF(ISNA(VLOOKUP($A139,'Données projet'!$A$434:$I$454,5,0)),0%,VLOOKUP($A139,'Données projet'!$A$434:$I$454,5,0)*VLOOKUP('Données projet'!$B$24,Paramètres!$A$1:$I$89,7,0))</f>
        <v>0</v>
      </c>
      <c r="MA139" s="16">
        <f>IF(ISNA(VLOOKUP($A139,'Données projet'!$A$434:$I$454,6,0)),0%,VLOOKUP($A139,'Données projet'!$A$434:$I$454,6,0)*VLOOKUP('Données projet'!$B$24,Paramètres!$A$1:$I$89,7,0))</f>
        <v>0</v>
      </c>
      <c r="MB139" s="16">
        <f>IF(ISNA(VLOOKUP($A139,'Données projet'!$A$434:$I$454,7,0)),0%,VLOOKUP($A139,'Données projet'!$A$434:$I$454,7,0))</f>
        <v>0</v>
      </c>
      <c r="MC139" s="21">
        <f>EXP(-LN(2)/35)*MC138+(1-EXP(-LN(2)/35))/(LN(2)/35)*LY139*LZ139*VLOOKUP('Données projet'!$B$24,Paramètres!$A$1:$I$89,3,0)*0.475*44/12</f>
        <v>38.440530081444834</v>
      </c>
      <c r="MD139" s="21">
        <f>EXP(-LN(2)/25)*MD138+(1-EXP(-LN(2)/25))/(LN(2)/25)*Calculateur!LY139*Calculateur!MA139*VLOOKUP('Données projet'!$B$24,Paramètres!$A$1:$I$89,3,0)*0.475*44/12</f>
        <v>0</v>
      </c>
      <c r="ME139" s="21">
        <f>EXP(-LN(2)/2)*ME138+(1-EXP(-LN(2)/2))/(LN(2)/2)*LY139*MB139*VLOOKUP('Données projet'!$B$24,Paramètres!$A$1:$I$89,3,0)*0.475*44/12</f>
        <v>0</v>
      </c>
      <c r="MF139" s="22">
        <f t="shared" si="271"/>
        <v>38.440530081444834</v>
      </c>
      <c r="MG139" s="74">
        <f>('Scénario référence'!$F$8+'Scénario référence'!$F$9+'Scénario référence'!$B$17+'Scénario référence'!$B$9+'Scénario référence'!$B$10)*70+IF((45+25*(1-EXP(-0.0175*$A139)))&lt;70,'Scénario référence'!$B$16*(45+25*(1-EXP(-0.0175*$A139))),70*'Scénario référence'!$B$16)+IF((32+38*(1-EXP(-0.0175*$A139)))&lt;70,'Scénario référence'!$B$18*(32+38*(1-EXP(-0.0175*$A139))),70*'Scénario référence'!$B$18)</f>
        <v>70</v>
      </c>
      <c r="MH139" s="12">
        <f>IF($A139&gt;30,10,('Scénario référence'!$B$16+'Scénario référence'!$B$17+'Scénario référence'!$B$18+'Scénario référence'!$B$9+'Scénario référence'!$B$10)*$A139*10/30+('Scénario référence'!$F$8+'Scénario référence'!$F$9)*10)</f>
        <v>10</v>
      </c>
      <c r="MI139" s="12" t="e">
        <f>VLOOKUP($A139,'Données projet'!$A$460:$I$480,2,0)</f>
        <v>#N/A</v>
      </c>
      <c r="MJ139" s="12" t="e">
        <f>VLOOKUP($A139,'Données projet'!$A$460:$I$480,9,0)</f>
        <v>#N/A</v>
      </c>
      <c r="MK139" s="12">
        <f t="array" ref="MK139">INDEX(MJ:MJ,MIN(IF(ISNUMBER(MJ139:MJ335),ROW(MJ139:MJ335),"")))</f>
        <v>0</v>
      </c>
      <c r="ML139" s="12">
        <f>IF('Données projet'!$A$460&gt;35,ML138+MK139-MT138,IF($A139&lt;'Données projet'!$A$460,$CQ$205^$A139,IF($A139='Données projet'!$A$460,'Données projet'!$B$460,ML138+MK139-MT138)))</f>
        <v>0</v>
      </c>
      <c r="MM139" s="17" t="e">
        <f>ML139*VLOOKUP('Données projet'!$B$25,Paramètres!$A$1:$I$89,3,0)*VLOOKUP('Données projet'!$B$25,Paramètres!$A$1:$I$89,5,0)</f>
        <v>#N/A</v>
      </c>
      <c r="MN139" s="13" t="e">
        <f t="shared" si="318"/>
        <v>#N/A</v>
      </c>
      <c r="MO139" s="14" t="e">
        <f t="shared" si="272"/>
        <v>#N/A</v>
      </c>
      <c r="MP139" s="59" t="e">
        <f t="shared" si="273"/>
        <v>#N/A</v>
      </c>
      <c r="MQ139" s="20" t="e">
        <f ca="1">AVERAGE(OFFSET($MP$3,0,0,'Données projet'!$E$25+1,1))-AVERAGE(OFFSET($H$3,0,0,'Données projet'!$E$25+1,1))</f>
        <v>#N/A</v>
      </c>
      <c r="MR139" s="59" t="e">
        <f t="shared" si="319"/>
        <v>#N/A</v>
      </c>
      <c r="MS139" s="15">
        <f>IF(ISNA(VLOOKUP($A139,'Données projet'!$A$460:$I$480,3,0)),0,VLOOKUP($A139,'Données projet'!$A$460:$I$480,3,0))</f>
        <v>0</v>
      </c>
      <c r="MT139" s="15">
        <f>IF(ISNA(VLOOKUP($A139,'Données projet'!$A$460:$I$480,4,0)),0,VLOOKUP($A139,'Données projet'!$A$460:$I$480,4,0))</f>
        <v>0</v>
      </c>
      <c r="MU139" s="16">
        <f>IF(ISNA(VLOOKUP($A139,'Données projet'!$A$460:$I$480,5,0)),0%,VLOOKUP($A139,'Données projet'!$A$460:$I$480,5,0)*VLOOKUP('Données projet'!$B$25,Paramètres!$A$1:$I$89,7,0))</f>
        <v>0</v>
      </c>
      <c r="MV139" s="16">
        <f>IF(ISNA(VLOOKUP($A139,'Données projet'!$A$460:$I$480,6,0)),0%,VLOOKUP($A139,'Données projet'!$A$460:$I$480,6,0)*VLOOKUP('Données projet'!$B$25,Paramètres!$A$1:$I$89,7,0))</f>
        <v>0</v>
      </c>
      <c r="MW139" s="16">
        <f>IF(ISNA(VLOOKUP($A139,'Données projet'!$A$460:$I$480,7,0)),0%,VLOOKUP($A139,'Données projet'!$A$460:$I$480,7,0))</f>
        <v>0</v>
      </c>
      <c r="MX139" s="21" t="e">
        <f>EXP(-LN(2)/35)*MX138+(1-EXP(-LN(2)/35))/(LN(2)/35)*MT139*MU139*VLOOKUP('Données projet'!$B$25,Paramètres!$A$1:$I$89,3,0)*0.475*44/12</f>
        <v>#N/A</v>
      </c>
      <c r="MY139" s="21" t="e">
        <f>EXP(-LN(2)/25)*MY138+(1-EXP(-LN(2)/25))/(LN(2)/25)*Calculateur!MT139*Calculateur!MV139*VLOOKUP('Données projet'!$B$25,Paramètres!$A$1:$I$89,3,0)*0.475*44/12</f>
        <v>#N/A</v>
      </c>
      <c r="MZ139" s="21" t="e">
        <f>EXP(-LN(2)/2)*MZ138+(1-EXP(-LN(2)/2))/(LN(2)/2)*MT139*MW139*VLOOKUP('Données projet'!$B$25,Paramètres!$A$1:$I$89,3,0)*0.475*44/12</f>
        <v>#N/A</v>
      </c>
      <c r="NA139" s="22" t="e">
        <f t="shared" si="274"/>
        <v>#N/A</v>
      </c>
      <c r="NB139" s="74">
        <f>('Scénario référence'!$F$8+'Scénario référence'!$F$9+'Scénario référence'!$B$17+'Scénario référence'!$B$9+'Scénario référence'!$B$10)*70+IF((45+25*(1-EXP(-0.0175*$A139)))&lt;70,'Scénario référence'!$B$16*(45+25*(1-EXP(-0.0175*$A139))),70*'Scénario référence'!$B$16)+IF((32+38*(1-EXP(-0.0175*$A139)))&lt;70,'Scénario référence'!$B$18*(32+38*(1-EXP(-0.0175*$A139))),70*'Scénario référence'!$B$18)</f>
        <v>70</v>
      </c>
      <c r="NC139" s="12">
        <f>IF($A139&gt;30,10,('Scénario référence'!$B$16+'Scénario référence'!$B$17+'Scénario référence'!$B$18+'Scénario référence'!$B$9+'Scénario référence'!$B$10)*$A139*10/30+('Scénario référence'!$F$8+'Scénario référence'!$F$9)*10)</f>
        <v>10</v>
      </c>
      <c r="ND139" s="12" t="e">
        <f>VLOOKUP($A139,'Données projet'!$A$486:$I$506,2,0)</f>
        <v>#N/A</v>
      </c>
      <c r="NE139" s="12" t="e">
        <f>VLOOKUP($A139,'Données projet'!$A$486:$I$506,9,0)</f>
        <v>#N/A</v>
      </c>
      <c r="NF139" s="12">
        <f t="array" ref="NF139">INDEX(NE:NE,MIN(IF(ISNUMBER(NE139:NE335),ROW(NE139:NE335),"")))</f>
        <v>0</v>
      </c>
      <c r="NG139" s="12">
        <f>IF('Données projet'!$A$486&gt;35,NG138+NF139-NO138,IF($A139&lt;'Données projet'!$A$486,$CQ$205^$A139,IF($A139='Données projet'!$A$486,'Données projet'!$B$486,NG138+NF139-NO138)))</f>
        <v>0</v>
      </c>
      <c r="NH139" s="17" t="e">
        <f>NG139*VLOOKUP('Données projet'!$B$26,Paramètres!$A$1:$I$89,3,0)*VLOOKUP('Données projet'!$B$26,Paramètres!$A$1:$I$89,5,0)</f>
        <v>#N/A</v>
      </c>
      <c r="NI139" s="13" t="e">
        <f t="shared" si="320"/>
        <v>#N/A</v>
      </c>
      <c r="NJ139" s="14" t="e">
        <f t="shared" si="275"/>
        <v>#N/A</v>
      </c>
      <c r="NK139" s="59" t="e">
        <f t="shared" si="276"/>
        <v>#N/A</v>
      </c>
      <c r="NL139" s="20" t="e">
        <f ca="1">AVERAGE(OFFSET($NK$3,0,0,'Données projet'!$E$26+1,1))-AVERAGE(OFFSET($H$3,0,0,'Données projet'!$E$26+1,1))</f>
        <v>#N/A</v>
      </c>
      <c r="NM139" s="59" t="e">
        <f t="shared" si="321"/>
        <v>#N/A</v>
      </c>
      <c r="NN139" s="15">
        <f>IF(ISNA(VLOOKUP($A139,'Données projet'!$A$486:$I$506,3,0)),0,VLOOKUP($A139,'Données projet'!$A$486:$I$506,3,0))</f>
        <v>0</v>
      </c>
      <c r="NO139" s="15">
        <f>IF(ISNA(VLOOKUP($A139,'Données projet'!$A$486:$I$506,4,0)),0,VLOOKUP($A139,'Données projet'!$A$486:$I$506,4,0))</f>
        <v>0</v>
      </c>
      <c r="NP139" s="16">
        <f>IF(ISNA(VLOOKUP($A139,'Données projet'!$A$486:$I$506,5,0)),0%,VLOOKUP($A139,'Données projet'!$A$486:$I$506,5,0)*VLOOKUP('Données projet'!$B$26,Paramètres!$A$1:$I$89,7,0))</f>
        <v>0</v>
      </c>
      <c r="NQ139" s="16">
        <f>IF(ISNA(VLOOKUP($A139,'Données projet'!$A$486:$I$506,6,0)),0%,VLOOKUP($A139,'Données projet'!$A$486:$I$506,6,0)*VLOOKUP('Données projet'!$B$26,Paramètres!$A$1:$I$89,7,0))</f>
        <v>0</v>
      </c>
      <c r="NR139" s="16">
        <f>IF(ISNA(VLOOKUP($A139,'Données projet'!$A$486:$I$506,7,0)),0%,VLOOKUP($A139,'Données projet'!$A$486:$I$506,7,0))</f>
        <v>0</v>
      </c>
      <c r="NS139" s="21" t="e">
        <f>EXP(-LN(2)/35)*NS138+(1-EXP(-LN(2)/35))/(LN(2)/35)*NO139*NP139*VLOOKUP('Données projet'!$B$26,Paramètres!$A$1:$I$89,3,0)*0.475*44/12</f>
        <v>#N/A</v>
      </c>
      <c r="NT139" s="21" t="e">
        <f>EXP(-LN(2)/25)*NT138+(1-EXP(-LN(2)/25))/(LN(2)/25)*Calculateur!NO139*Calculateur!NQ139*VLOOKUP('Données projet'!$B$26,Paramètres!$A$1:$I$89,3,0)*0.475*44/12</f>
        <v>#N/A</v>
      </c>
      <c r="NU139" s="21" t="e">
        <f>EXP(-LN(2)/2)*NU138+(1-EXP(-LN(2)/2))/(LN(2)/2)*NO139*NR139*VLOOKUP('Données projet'!$B$26,Paramètres!$A$1:$I$89,3,0)*0.475*44/12</f>
        <v>#N/A</v>
      </c>
      <c r="NV139" s="22" t="e">
        <f t="shared" si="277"/>
        <v>#N/A</v>
      </c>
      <c r="NW139" s="74">
        <f>('Scénario référence'!$F$8+'Scénario référence'!$F$9+'Scénario référence'!$B$17+'Scénario référence'!$B$9+'Scénario référence'!$B$10)*70+IF((45+25*(1-EXP(-0.0175*$A139)))&lt;70,'Scénario référence'!$B$16*(45+25*(1-EXP(-0.0175*$A139))),70*'Scénario référence'!$B$16)+IF((32+38*(1-EXP(-0.0175*$A139)))&lt;70,'Scénario référence'!$B$18*(32+38*(1-EXP(-0.0175*$A139))),70*'Scénario référence'!$B$18)</f>
        <v>70</v>
      </c>
      <c r="NX139" s="12">
        <f>IF($A139&gt;30,10,('Scénario référence'!$B$16+'Scénario référence'!$B$17+'Scénario référence'!$B$18+'Scénario référence'!$B$9+'Scénario référence'!$B$10)*$A139*10/30+('Scénario référence'!$F$8+'Scénario référence'!$F$9)*10)</f>
        <v>10</v>
      </c>
      <c r="NY139" s="12" t="e">
        <f>VLOOKUP($A139,'Données projet'!$A$512:$I$532,2,0)</f>
        <v>#N/A</v>
      </c>
      <c r="NZ139" s="12" t="e">
        <f>VLOOKUP($A139,'Données projet'!$A$512:$I$532,9,0)</f>
        <v>#N/A</v>
      </c>
      <c r="OA139" s="12">
        <f t="array" ref="OA139">INDEX(NZ:NZ,MIN(IF(ISNUMBER(NZ139:NZ335),ROW(NZ139:NZ335),"")))</f>
        <v>0</v>
      </c>
      <c r="OB139" s="12">
        <f>IF('Données projet'!$A$512&gt;35,OB138+OA139-OJ138,IF($A139&lt;'Données projet'!$A$512,$CQ$205^$A139,IF($A139='Données projet'!$A$512,'Données projet'!$B$512,OB138+OA139-OJ138)))</f>
        <v>0</v>
      </c>
      <c r="OC139" s="17" t="e">
        <f>OB139*VLOOKUP('Données projet'!$B$27,Paramètres!$A$1:$I$89,3,0)*VLOOKUP('Données projet'!$B$27,Paramètres!$A$1:$I$89,5,0)</f>
        <v>#N/A</v>
      </c>
      <c r="OD139" s="13" t="e">
        <f t="shared" si="322"/>
        <v>#N/A</v>
      </c>
      <c r="OE139" s="14" t="e">
        <f t="shared" si="278"/>
        <v>#N/A</v>
      </c>
      <c r="OF139" s="59" t="e">
        <f t="shared" si="279"/>
        <v>#N/A</v>
      </c>
      <c r="OG139" s="20" t="e">
        <f ca="1">AVERAGE(OFFSET($OF$3,0,0,'Données projet'!$E$27+1,1))-AVERAGE(OFFSET($H$3,0,0,'Données projet'!$E$27+1,1))</f>
        <v>#N/A</v>
      </c>
      <c r="OH139" s="59" t="e">
        <f t="shared" si="323"/>
        <v>#N/A</v>
      </c>
      <c r="OI139" s="15">
        <f>IF(ISNA(VLOOKUP($A139,'Données projet'!$A$512:$I$532,3,0)),0,VLOOKUP($A139,'Données projet'!$A$512:$I$532,3,0))</f>
        <v>0</v>
      </c>
      <c r="OJ139" s="15">
        <f>IF(ISNA(VLOOKUP($A139,'Données projet'!$A$512:$I$532,4,0)),0,VLOOKUP($A139,'Données projet'!$A$512:$I$532,4,0))</f>
        <v>0</v>
      </c>
      <c r="OK139" s="16">
        <f>IF(ISNA(VLOOKUP($A139,'Données projet'!$A$512:$I$532,5,0)),0%,VLOOKUP($A139,'Données projet'!$A$512:$I$532,5,0)*VLOOKUP('Données projet'!$B$27,Paramètres!$A$1:$I$89,7,0))</f>
        <v>0</v>
      </c>
      <c r="OL139" s="16">
        <f>IF(ISNA(VLOOKUP($A139,'Données projet'!$A$512:$I$532,6,0)),0%,VLOOKUP($A139,'Données projet'!$A$512:$I$532,6,0)*VLOOKUP('Données projet'!$B$27,Paramètres!$A$1:$I$89,7,0))</f>
        <v>0</v>
      </c>
      <c r="OM139" s="16">
        <f>IF(ISNA(VLOOKUP($A139,'Données projet'!$A$512:$I$532,7,0)),0%,VLOOKUP($A139,'Données projet'!$A$512:$I$532,7,0))</f>
        <v>0</v>
      </c>
      <c r="ON139" s="21" t="e">
        <f>EXP(-LN(2)/35)*ON138+(1-EXP(-LN(2)/35))/(LN(2)/35)*OJ139*OK139*VLOOKUP('Données projet'!$B$27,Paramètres!$A$1:$I$89,3,0)*0.475*44/12</f>
        <v>#N/A</v>
      </c>
      <c r="OO139" s="21" t="e">
        <f>EXP(-LN(2)/25)*OO138+(1-EXP(-LN(2)/25))/(LN(2)/25)*Calculateur!OJ139*Calculateur!OL139*VLOOKUP('Données projet'!$B$27,Paramètres!$A$1:$I$89,3,0)*0.475*44/12</f>
        <v>#N/A</v>
      </c>
      <c r="OP139" s="21" t="e">
        <f>EXP(-LN(2)/2)*OP138+(1-EXP(-LN(2)/2))/(LN(2)/2)*OJ139*OM139*VLOOKUP('Données projet'!$B$27,Paramètres!$A$1:$I$89,3,0)*0.475*44/12</f>
        <v>#N/A</v>
      </c>
      <c r="OQ139" s="22" t="e">
        <f t="shared" si="280"/>
        <v>#N/A</v>
      </c>
      <c r="OR139" s="74">
        <f>('Scénario référence'!$F$8+'Scénario référence'!$F$9+'Scénario référence'!$B$17+'Scénario référence'!$B$9+'Scénario référence'!$B$10)*70+IF((45+25*(1-EXP(-0.0175*$A139)))&lt;70,'Scénario référence'!$B$16*(45+25*(1-EXP(-0.0175*$A139))),70*'Scénario référence'!$B$16)+IF((32+38*(1-EXP(-0.0175*$A139)))&lt;70,'Scénario référence'!$B$18*(32+38*(1-EXP(-0.0175*$A139))),70*'Scénario référence'!$B$18)</f>
        <v>70</v>
      </c>
      <c r="OS139" s="12">
        <f>IF($A139&gt;30,10,('Scénario référence'!$B$16+'Scénario référence'!$B$17+'Scénario référence'!$B$18+'Scénario référence'!$B$9+'Scénario référence'!$B$10)*$A139*10/30+('Scénario référence'!$F$8+'Scénario référence'!$F$9)*10)</f>
        <v>10</v>
      </c>
      <c r="OT139" s="12" t="e">
        <f>VLOOKUP($A139,'Données projet'!$A$538:$I$558,2,0)</f>
        <v>#N/A</v>
      </c>
      <c r="OU139" s="12" t="e">
        <f>VLOOKUP($A139,'Données projet'!$A$538:$I$558,9,0)</f>
        <v>#N/A</v>
      </c>
      <c r="OV139" s="12">
        <f t="array" ref="OV139">INDEX(OU:OU,MIN(IF(ISNUMBER(OU139:OU335),ROW(OU139:OU335),"")))</f>
        <v>0</v>
      </c>
      <c r="OW139" s="12">
        <f>IF('Données projet'!$A$538&gt;35,OW138+OV139-PE138,IF($A139&lt;'Données projet'!$A$538,$CQ$205^$A139,IF($A139='Données projet'!$A$538,'Données projet'!$B$538,OW138+OV139-PE138)))</f>
        <v>0</v>
      </c>
      <c r="OX139" s="17" t="e">
        <f>OW139*VLOOKUP('Données projet'!$B$28,Paramètres!$A$1:$I$89,3,0)*VLOOKUP('Données projet'!$B$28,Paramètres!$A$1:$I$89,5,0)</f>
        <v>#N/A</v>
      </c>
      <c r="OY139" s="13" t="e">
        <f t="shared" si="324"/>
        <v>#N/A</v>
      </c>
      <c r="OZ139" s="14" t="e">
        <f t="shared" si="281"/>
        <v>#N/A</v>
      </c>
      <c r="PA139" s="59" t="e">
        <f t="shared" si="282"/>
        <v>#N/A</v>
      </c>
      <c r="PB139" s="20" t="e">
        <f ca="1">AVERAGE(OFFSET($PA$3,0,0,'Données projet'!$E$28+1,1))-AVERAGE(OFFSET($H$3,0,0,'Données projet'!$E$28+1,1))</f>
        <v>#N/A</v>
      </c>
      <c r="PC139" s="59" t="e">
        <f t="shared" si="325"/>
        <v>#N/A</v>
      </c>
      <c r="PD139" s="15">
        <f>IF(ISNA(VLOOKUP($A139,'Données projet'!$A$538:$I$558,3,0)),0,VLOOKUP($A139,'Données projet'!$A$538:$I$558,3,0))</f>
        <v>0</v>
      </c>
      <c r="PE139" s="15">
        <f>IF(ISNA(VLOOKUP($A139,'Données projet'!$A$538:$I$558,4,0)),0,VLOOKUP($A139,'Données projet'!$A$538:$I$558,4,0))</f>
        <v>0</v>
      </c>
      <c r="PF139" s="16">
        <f>IF(ISNA(VLOOKUP($A139,'Données projet'!$A$538:$I$558,5,0)),0%,VLOOKUP($A139,'Données projet'!$A$538:$I$558,5,0)*VLOOKUP('Données projet'!$B$28,Paramètres!$A$1:$I$89,7,0))</f>
        <v>0</v>
      </c>
      <c r="PG139" s="16">
        <f>IF(ISNA(VLOOKUP($A139,'Données projet'!$A$538:$I$558,6,0)),0%,VLOOKUP($A139,'Données projet'!$A$538:$I$558,6,0)*VLOOKUP('Données projet'!$B$28,Paramètres!$A$1:$I$89,7,0))</f>
        <v>0</v>
      </c>
      <c r="PH139" s="16">
        <f>IF(ISNA(VLOOKUP($A139,'Données projet'!$A$538:$I$558,7,0)),0%,VLOOKUP($A139,'Données projet'!$A$538:$I$558,7,0))</f>
        <v>0</v>
      </c>
      <c r="PI139" s="21" t="e">
        <f>EXP(-LN(2)/35)*PI138+(1-EXP(-LN(2)/35))/(LN(2)/35)*PE139*PF139*VLOOKUP('Données projet'!$B$28,Paramètres!$A$1:$I$89,3,0)*0.475*44/12</f>
        <v>#N/A</v>
      </c>
      <c r="PJ139" s="21" t="e">
        <f>EXP(-LN(2)/25)*PJ138+(1-EXP(-LN(2)/25))/(LN(2)/25)*Calculateur!PE139*Calculateur!PG139*VLOOKUP('Données projet'!$B$28,Paramètres!$A$1:$I$89,3,0)*0.475*44/12</f>
        <v>#N/A</v>
      </c>
      <c r="PK139" s="21" t="e">
        <f>EXP(-LN(2)/2)*PK138+(1-EXP(-LN(2)/2))/(LN(2)/2)*PE139*PH139*VLOOKUP('Données projet'!$B$28,Paramètres!$A$1:$I$89,3,0)*0.475*44/12</f>
        <v>#N/A</v>
      </c>
      <c r="PL139" s="22" t="e">
        <f t="shared" si="283"/>
        <v>#N/A</v>
      </c>
    </row>
    <row r="140" spans="1:428" x14ac:dyDescent="0.35">
      <c r="A140" s="10">
        <f t="shared" si="284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285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225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projet'!$A$45:$I$65,2,0)</f>
        <v>#N/A</v>
      </c>
      <c r="L140" s="12" t="e">
        <f>VLOOKUP(A140,'Données projet'!$A$45:$I$65,9,0)</f>
        <v>#N/A</v>
      </c>
      <c r="M140" s="12">
        <f t="array" ref="M140">INDEX(L:L,MIN(IF(ISNUMBER(L140:L336),ROW(L140:L336),"")))</f>
        <v>0</v>
      </c>
      <c r="N140" s="13">
        <f>IF('Données projet'!$A$46&gt;35,N139+M140-V139,IF(A140&lt;'Données projet'!$A$46,$K$205^A140,IF(A140='Données projet'!$A$46,'Données projet'!$B$46,N139+M140-V139)))</f>
        <v>-1.1368683772161603E-13</v>
      </c>
      <c r="O140" s="13">
        <f>N140*VLOOKUP('Données projet'!$B$9,Paramètres!$A$1:$I$89,3,0)*VLOOKUP('Données projet'!$B$9,Paramètres!$A$1:$I$89,5,0)</f>
        <v>-6.3550942286383367E-14</v>
      </c>
      <c r="P140" s="13" t="e">
        <f t="shared" si="286"/>
        <v>#NUM!</v>
      </c>
      <c r="Q140" s="20" t="e">
        <f t="shared" si="223"/>
        <v>#NUM!</v>
      </c>
      <c r="R140" s="59" t="e">
        <f t="shared" si="224"/>
        <v>#NUM!</v>
      </c>
      <c r="S140" s="59">
        <f ca="1">AVERAGE(OFFSET($R$3,0,0,'Données projet'!$E$9+1,1))-AVERAGE(OFFSET($H$3,0,0,'Données projet'!$E$9+1,1))</f>
        <v>274.57619581652199</v>
      </c>
      <c r="T140" s="59">
        <f t="shared" si="287"/>
        <v>366.15117322598775</v>
      </c>
      <c r="U140" s="15">
        <f>IF(ISNA(VLOOKUP(A140,'Données projet'!$A$45:$I$65,3,0)),0,VLOOKUP(A140,'Données projet'!$A$45:$I$65,3,0))</f>
        <v>0</v>
      </c>
      <c r="V140" s="15">
        <f>IF(ISNA(VLOOKUP(A140,'Données projet'!$A$45:$I$65,4,0)),0,VLOOKUP(A140,'Données projet'!$A$45:$I$65,4,0))</f>
        <v>0</v>
      </c>
      <c r="W140" s="16">
        <f>IF(ISNA(VLOOKUP(A140,'Données projet'!$A$45:$I$65,5,0)),0%,VLOOKUP(A140,'Données projet'!$A$45:$I$65,5,0)*VLOOKUP('Données projet'!$B$9,Paramètres!$A$1:$I$89,7,0))</f>
        <v>0</v>
      </c>
      <c r="X140" s="16">
        <f>IF(ISNA(VLOOKUP(A140,'Données projet'!$A$45:$I$65,6,0)),0%,VLOOKUP(A140,'Données projet'!$A$45:$I$65,6,0)*VLOOKUP('Données projet'!$B$9,Paramètres!$A$1:$I$89,7,0))</f>
        <v>0</v>
      </c>
      <c r="Y140" s="16">
        <f>IF(ISNA(VLOOKUP(A140,'Données projet'!$A$45:$I$65,7,0)),0%,VLOOKUP(A140,'Données projet'!$A$45:$I$65,7,0))</f>
        <v>0</v>
      </c>
      <c r="Z140" s="21">
        <f>EXP(-LN(2)/35)*Z139+(1-EXP(-LN(2)/35))/(LN(2)/35)*V140*W140*VLOOKUP('Données projet'!$B$9,Paramètres!$A$1:$I$89,3,0)*0.475*44/12</f>
        <v>44.678544613879218</v>
      </c>
      <c r="AA140" s="21">
        <f>EXP(-LN(2)/25)*AA139+(1-EXP(-LN(2)/25))/(LN(2)/25)*Calculateur!V140*Calculateur!X140*VLOOKUP('Données projet'!$B$9,Paramètres!$A$1:$I$89,3,0)*0.475*44/12</f>
        <v>5.9306460116719721</v>
      </c>
      <c r="AB140" s="21">
        <f>EXP(-LN(2)/2)*AB139+(1-EXP(-LN(2)/2))/(LN(2)/2)*V140*Y140*VLOOKUP('Données projet'!$B$9,Paramètres!$A$1:$I$89,3,0)*0.475*44/12</f>
        <v>1.5534762498697307E-11</v>
      </c>
      <c r="AC140" s="22">
        <f t="shared" si="226"/>
        <v>50.609190625566725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projet'!$A$71:$I$91,2,0)</f>
        <v>#N/A</v>
      </c>
      <c r="AG140" s="12" t="e">
        <f>VLOOKUP(A140,'Données projet'!$A$71:$I$91,9,0)</f>
        <v>#N/A</v>
      </c>
      <c r="AH140" s="12">
        <f t="array" ref="AH140">INDEX(AG:AG,MIN(IF(ISNUMBER(AG140:AG336),ROW(AG140:AG336),"")))</f>
        <v>0</v>
      </c>
      <c r="AI140" s="13">
        <f>IF('Données projet'!$A$72&gt;35,AI139+AH140-AQ139,IF(A140&lt;'Données projet'!$A$72,$AF$205^A140,IF(A140='Données projet'!$A$72,'Données projet'!$B$72,AI139+AH140-AQ139)))</f>
        <v>5.6843418860808015E-13</v>
      </c>
      <c r="AJ140" s="13">
        <f>AI140*VLOOKUP('Données projet'!$B$10,Paramètres!$A$1:$I$89,3,0)*VLOOKUP('Données projet'!$B$10,Paramètres!$A$1:$I$89,5,0)</f>
        <v>5.1431925385259092E-13</v>
      </c>
      <c r="AK140" s="13">
        <f t="shared" si="288"/>
        <v>6.3855359115685756E-12</v>
      </c>
      <c r="AL140" s="20">
        <f t="shared" si="227"/>
        <v>1.2017247746441865E-11</v>
      </c>
      <c r="AM140" s="59">
        <f t="shared" si="228"/>
        <v>293.33333333334531</v>
      </c>
      <c r="AN140" s="59">
        <f ca="1">AVERAGE(OFFSET($AM$3,0,0,'Données projet'!$E$10+1,1))-AVERAGE(OFFSET($H$3,0,0,'Données projet'!$E$10+1,1))</f>
        <v>270.87836509222456</v>
      </c>
      <c r="AO140" s="59">
        <f t="shared" si="289"/>
        <v>205.24998237949734</v>
      </c>
      <c r="AP140" s="15">
        <f>IF(ISNA(VLOOKUP(A140,'Données projet'!$A$71:$I$91,3,0)),0,VLOOKUP(A140,'Données projet'!$A$71:$I$91,3,0))</f>
        <v>0</v>
      </c>
      <c r="AQ140" s="15">
        <f>IF(ISNA(VLOOKUP(A140,'Données projet'!$A$71:$I$91,4,0)),0,VLOOKUP(A140,'Données projet'!$A$71:$I$91,4,0))</f>
        <v>0</v>
      </c>
      <c r="AR140" s="16">
        <f>IF(ISNA(VLOOKUP(A140,'Données projet'!$A$71:$I$91,5,0)),0%,VLOOKUP(A140,'Données projet'!$A$71:$I$91,5,0)*VLOOKUP('Données projet'!$B$10,Paramètres!$A$1:$I$89,7,0))</f>
        <v>0</v>
      </c>
      <c r="AS140" s="16">
        <f>IF(ISNA(VLOOKUP(A140,'Données projet'!$A$71:$I$91,6,0)),0%,VLOOKUP(A140,'Données projet'!$A$71:$I$91,6,0)*VLOOKUP('Données projet'!$B$10,Paramètres!$A$1:$I$89,7,0))</f>
        <v>0</v>
      </c>
      <c r="AT140" s="16">
        <f>IF(ISNA(VLOOKUP(A140,'Données projet'!$A$71:$I$91,7,0)),0%,VLOOKUP(A140,'Données projet'!$A$71:$I$91,7,0))</f>
        <v>0</v>
      </c>
      <c r="AU140" s="21">
        <f>EXP(-LN(2)/35)*AU139+(1-EXP(-LN(2)/35))/(LN(2)/35)*AQ140*AR140*VLOOKUP('Données projet'!$B$10,Paramètres!$A$1:$I$89,3,0)*0.475*44/12</f>
        <v>151.82907766889255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229"/>
        <v>151.82907766889255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projet'!$A$97:$I$117,2,0)</f>
        <v>#N/A</v>
      </c>
      <c r="BB140" s="12" t="e">
        <f>VLOOKUP(A140,'Données projet'!$A$97:$I$117,9,0)</f>
        <v>#N/A</v>
      </c>
      <c r="BC140" s="12">
        <f t="array" ref="BC140">INDEX(BB:BB,MIN(IF(ISNUMBER(BB140:BB336),ROW(BB140:BB336),"")))</f>
        <v>0</v>
      </c>
      <c r="BD140" s="12">
        <f>IF('Données projet'!$A$98&gt;35,BD139+BC140-BL139,IF(A140&lt;'Données projet'!$A$98,$BA$205^A140,IF(A140='Données projet'!$A$98,'Données projet'!$B$98,BD139+BC140-BL139)))</f>
        <v>-1.1368683772161603E-13</v>
      </c>
      <c r="BE140" s="13">
        <f>BD140*VLOOKUP('Données projet'!$B$11,Paramètres!$A$1:$I$89,3,0)*VLOOKUP('Données projet'!$B$11,Paramètres!$A$1:$I$89,5,0)</f>
        <v>-5.0249582272954292E-14</v>
      </c>
      <c r="BF140" s="13" t="e">
        <f t="shared" si="290"/>
        <v>#NUM!</v>
      </c>
      <c r="BG140" s="20" t="e">
        <f t="shared" si="230"/>
        <v>#NUM!</v>
      </c>
      <c r="BH140" s="59" t="e">
        <f t="shared" si="231"/>
        <v>#NUM!</v>
      </c>
      <c r="BI140" s="59">
        <f ca="1">AVERAGE(OFFSET($BH$3,0,0,'Données projet'!$E$11+1,1))-AVERAGE(OFFSET($H$3,0,0,'Données projet'!$E$11+1,1))</f>
        <v>211.31057120485542</v>
      </c>
      <c r="BJ140" s="59">
        <f t="shared" si="291"/>
        <v>283.33292006714777</v>
      </c>
      <c r="BK140" s="15">
        <f>IF(ISNA(VLOOKUP(A140,'Données projet'!$A$97:$I$117,3,0)),0,VLOOKUP(A140,'Données projet'!$A$97:$I$117,3,0))</f>
        <v>0</v>
      </c>
      <c r="BL140" s="15">
        <f>IF(ISNA(VLOOKUP(A140,'Données projet'!$A$97:$I$117,4,0)),0,VLOOKUP(A140,'Données projet'!$A$97:$I$117,4,0))</f>
        <v>0</v>
      </c>
      <c r="BM140" s="16">
        <f>IF(ISNA(VLOOKUP(A140,'Données projet'!$A$97:$I$117,5,0)),0%,VLOOKUP(A140,'Données projet'!$A$97:$I$117,5,0)*VLOOKUP('Données projet'!$B$11,Paramètres!$A$1:$I$89,7,0))</f>
        <v>0</v>
      </c>
      <c r="BN140" s="16">
        <f>IF(ISNA(VLOOKUP(A140,'Données projet'!$A$97:$I$117,6,0)),0%,VLOOKUP(A140,'Données projet'!$A$97:$I$117,6,0)*VLOOKUP('Données projet'!$B$11,Paramètres!$A$1:$I$89,7,0))</f>
        <v>0</v>
      </c>
      <c r="BO140" s="16">
        <f>IF(ISNA(VLOOKUP(A140,'Données projet'!$A$97:$I$117,7,0)),0%,VLOOKUP(A140,'Données projet'!$A$97:$I$117,7,0))</f>
        <v>0</v>
      </c>
      <c r="BP140" s="21">
        <f>EXP(-LN(2)/35)*BP139+(1-EXP(-LN(2)/35))/(LN(2)/35)*BL140*BM140*VLOOKUP('Données projet'!$B$11,Paramètres!$A$1:$I$89,3,0)*0.475*44/12</f>
        <v>35.327221322602192</v>
      </c>
      <c r="BQ140" s="21">
        <f>EXP(-LN(2)/25)*BQ139+(1-EXP(-LN(2)/25))/(LN(2)/25)*Calculateur!BL140*Calculateur!BN140*VLOOKUP('Données projet'!$B$11,Paramètres!$A$1:$I$89,3,0)*0.475*44/12</f>
        <v>4.6893480092289987</v>
      </c>
      <c r="BR140" s="21">
        <f>EXP(-LN(2)/2)*BR139+(1-EXP(-LN(2)/2))/(LN(2)/2)*BL140*BO140*VLOOKUP('Données projet'!$B$11,Paramètres!$A$1:$I$89,3,0)*0.475*44/12</f>
        <v>1.228330058036531E-11</v>
      </c>
      <c r="BS140" s="22">
        <f t="shared" si="232"/>
        <v>40.016569331843478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projet'!$A$123:$I$143,2,0)</f>
        <v>#N/A</v>
      </c>
      <c r="BW140" s="12" t="e">
        <f>VLOOKUP(A140,'Données projet'!$A$123:$I$143,9,0)</f>
        <v>#N/A</v>
      </c>
      <c r="BX140" s="12">
        <f t="array" ref="BX140">INDEX(BW:BW,MIN(IF(ISNUMBER(BW140:BW336),ROW(BW140:BW336),"")))</f>
        <v>0</v>
      </c>
      <c r="BY140" s="12">
        <f>IF('Données projet'!$A$124&gt;35,BY139+BX140-CG139,IF(A140&lt;'Données projet'!$A$124,$BV$205^A140,IF(A140='Données projet'!$A$124,'Données projet'!$B$124,BY139+BX140-CG139)))</f>
        <v>0</v>
      </c>
      <c r="BZ140" s="13">
        <f>BY140*VLOOKUP('Données projet'!$B$12,Paramètres!$A$1:$I$89,3,0)*VLOOKUP('Données projet'!$B$12,Paramètres!$A$1:$I$89,5,0)</f>
        <v>0</v>
      </c>
      <c r="CA140" s="13" t="e">
        <f t="shared" si="292"/>
        <v>#NUM!</v>
      </c>
      <c r="CB140" s="20" t="e">
        <f t="shared" si="233"/>
        <v>#NUM!</v>
      </c>
      <c r="CC140" s="59" t="e">
        <f t="shared" si="234"/>
        <v>#NUM!</v>
      </c>
      <c r="CD140" s="59">
        <f ca="1">AVERAGE(OFFSET($CC$3,0,0,'Données projet'!$E$12+1,1))-AVERAGE(OFFSET($H$3,0,0,'Données projet'!$E$12+1,1))</f>
        <v>322.93502595881938</v>
      </c>
      <c r="CE140" s="59">
        <f t="shared" si="293"/>
        <v>302.67072119588164</v>
      </c>
      <c r="CF140" s="15">
        <f>IF(ISNA(VLOOKUP(A140,'Données projet'!$A$123:$I$143,3,0)),0,VLOOKUP(A140,'Données projet'!$A$123:$I$143,3,0))</f>
        <v>0</v>
      </c>
      <c r="CG140" s="15">
        <f>IF(ISNA(VLOOKUP(A140,'Données projet'!$A$123:$I$143,4,0)),0,VLOOKUP(A140,'Données projet'!$A$123:$I$143,4,0))</f>
        <v>0</v>
      </c>
      <c r="CH140" s="16">
        <f>IF(ISNA(VLOOKUP(A140,'Données projet'!$A$123:$I$143,5,0)),0%,VLOOKUP(A140,'Données projet'!$A$123:$I$143,5,0)*VLOOKUP('Données projet'!$B$12,Paramètres!$A$1:$I$89,7,0))</f>
        <v>0</v>
      </c>
      <c r="CI140" s="16">
        <f>IF(ISNA(VLOOKUP(A140,'Données projet'!$A$123:$I$143,6,0)),0%,VLOOKUP(A140,'Données projet'!$A$123:$I$143,6,0)*VLOOKUP('Données projet'!$B$12,Paramètres!$A$1:$I$89,7,0))</f>
        <v>0</v>
      </c>
      <c r="CJ140" s="16">
        <f>IF(ISNA(VLOOKUP(A140,'Données projet'!$A$123:$I$143,7,0)),0%,VLOOKUP(A140,'Données projet'!$A$123:$I$143,7,0))</f>
        <v>0</v>
      </c>
      <c r="CK140" s="21">
        <f>EXP(-LN(2)/35)*CK139+(1-EXP(-LN(2)/35))/(LN(2)/35)*CG140*CH140*VLOOKUP('Données projet'!$B$12,Paramètres!$A$1:$I$89,3,0)*0.475*44/12</f>
        <v>56.284799832196875</v>
      </c>
      <c r="CL140" s="21">
        <f>EXP(-LN(2)/25)*CL139+(1-EXP(-LN(2)/25))/(LN(2)/25)*Calculateur!CG140*Calculateur!CI140*VLOOKUP('Données projet'!$B$12,Paramètres!$A$1:$I$89,3,0)*0.475*44/12</f>
        <v>15.008750867817104</v>
      </c>
      <c r="CM140" s="21">
        <f>EXP(-LN(2)/2)*CM139+(1-EXP(-LN(2)/2))/(LN(2)/2)*CG140*CJ140*VLOOKUP('Données projet'!$B$12,Paramètres!$A$1:$I$89,3,0)*0.475*44/12</f>
        <v>0</v>
      </c>
      <c r="CN140" s="22">
        <f t="shared" si="235"/>
        <v>71.293550700013981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>
        <f>VLOOKUP(A140,'Données projet'!$A$149:$I$169,2,0)</f>
        <v>293.07051282051282</v>
      </c>
      <c r="CR140" s="12">
        <f>VLOOKUP(A140,'Données projet'!$A$149:$I$169,9,0)</f>
        <v>5.2446581196581219</v>
      </c>
      <c r="CS140" s="12">
        <f t="array" ref="CS140">INDEX(CR:CR,MIN(IF(ISNUMBER(CR140:CR336),ROW(CR140:CR336),"")))</f>
        <v>5.2446581196581219</v>
      </c>
      <c r="CT140" s="12">
        <f>IF('Données projet'!$A$150&gt;35,CT139+CS140-DB139,IF(A140&lt;'Données projet'!$A$150,$CQ$205^A140,IF(A140='Données projet'!$A$150,'Données projet'!$B$150,CT139+CS140-DB139)))</f>
        <v>293.07051282051248</v>
      </c>
      <c r="CU140" s="17">
        <f>CT140*VLOOKUP('Données projet'!$B$13,Paramètres!$A$1:$I$89,3,0)*VLOOKUP('Données projet'!$B$13,Paramètres!$A$1:$I$89,5,0)</f>
        <v>297.17349999999965</v>
      </c>
      <c r="CV140" s="13">
        <f t="shared" si="294"/>
        <v>70.583594448118191</v>
      </c>
      <c r="CW140" s="20">
        <f t="shared" si="236"/>
        <v>640.51027283047199</v>
      </c>
      <c r="CX140" s="59">
        <f t="shared" si="237"/>
        <v>933.84360616380536</v>
      </c>
      <c r="CY140" s="59">
        <f ca="1">AVERAGE(OFFSET($CX$3,0,0,'Données projet'!$E$13+1,1))-AVERAGE(OFFSET($H$3,0,0,'Données projet'!$E$13+1,1))</f>
        <v>250.31277422753283</v>
      </c>
      <c r="CZ140" s="59">
        <f t="shared" si="295"/>
        <v>159.20429420478047</v>
      </c>
      <c r="DA140" s="15">
        <f>IF(ISNA(VLOOKUP(A140,'Données projet'!$A$149:$I$169,3,0)),0,VLOOKUP(A140,'Données projet'!$A$149:$I$169,3,0))</f>
        <v>11</v>
      </c>
      <c r="DB140" s="15">
        <f>IF(ISNA(VLOOKUP(A140,'Données projet'!$A$149:$I$169,4,0)),0,VLOOKUP(A140,'Données projet'!$A$149:$I$169,4,0))</f>
        <v>51.160256410256409</v>
      </c>
      <c r="DC140" s="16">
        <f>IF(ISNA(VLOOKUP(A140,'Données projet'!$A$149:$I$169,5,0)),0%,VLOOKUP(A140,'Données projet'!$A$149:$I$169,5,0)*VLOOKUP('Données projet'!$B$13,Paramètres!$A$1:$I$89,7,0))</f>
        <v>0.30099999999999999</v>
      </c>
      <c r="DD140" s="16">
        <f>IF(ISNA(VLOOKUP(A140,'Données projet'!$A$149:$I$169,6,0)),0%,VLOOKUP(A140,'Données projet'!$A$149:$I$169,6,0)*VLOOKUP('Données projet'!$B$13,Paramètres!$A$1:$I$89,7,0))</f>
        <v>0</v>
      </c>
      <c r="DE140" s="16">
        <f>IF(ISNA(VLOOKUP(A140,'Données projet'!$A$149:$I$169,7,0)),0%,VLOOKUP(A140,'Données projet'!$A$149:$I$169,7,0))</f>
        <v>0</v>
      </c>
      <c r="DF140" s="21">
        <f>EXP(-LN(2)/35)*DF139+(1-EXP(-LN(2)/35))/(LN(2)/35)*DB140*DC140*VLOOKUP('Données projet'!$B$13,Paramètres!$A$1:$I$89,3,0)*0.475*44/12</f>
        <v>54.948462910252076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238"/>
        <v>54.948462910252076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projet'!$A$175:$I$195,2,0)</f>
        <v>#N/A</v>
      </c>
      <c r="DM140" s="12" t="e">
        <f>VLOOKUP(A140,'Données projet'!$A$175:$I$195,9,0)</f>
        <v>#N/A</v>
      </c>
      <c r="DN140" s="12">
        <f t="array" ref="DN140">INDEX(DM:DM,MIN(IF(ISNUMBER(DM140:DM336),ROW(DM140:DM336),"")))</f>
        <v>0</v>
      </c>
      <c r="DO140" s="12">
        <f>IF('Données projet'!$A$176&gt;35,DO139+DN140-DW139,IF(A140&lt;'Données projet'!$A$176,$DL$205^A140,IF(A140='Données projet'!$A$176,'Données projet'!$B$176,DO139+DN140-DW139)))</f>
        <v>-2.8421709430404007E-13</v>
      </c>
      <c r="DP140" s="17">
        <f>DO140*VLOOKUP('Données projet'!$B$14,Paramètres!$A$1:$I$89,3,0)*VLOOKUP('Données projet'!$B$14,Paramètres!$A$1:$I$89,5,0)</f>
        <v>-2.0838797354372215E-13</v>
      </c>
      <c r="DQ140" s="13" t="e">
        <f t="shared" si="296"/>
        <v>#NUM!</v>
      </c>
      <c r="DR140" s="20" t="e">
        <f t="shared" si="239"/>
        <v>#NUM!</v>
      </c>
      <c r="DS140" s="59" t="e">
        <f t="shared" si="240"/>
        <v>#NUM!</v>
      </c>
      <c r="DT140" s="59">
        <f ca="1">AVERAGE(OFFSET($DS$3,0,0,'Données projet'!$E$14+1,1))-AVERAGE(OFFSET($H$3,0,0,'Données projet'!$E$14+1,1))</f>
        <v>296.91321813251051</v>
      </c>
      <c r="DU140" s="59">
        <f t="shared" si="297"/>
        <v>291.0718079639509</v>
      </c>
      <c r="DV140" s="15">
        <f>IF(ISNA(VLOOKUP(A140,'Données projet'!$A$175:$I$195,3,0)),0,VLOOKUP(A140,'Données projet'!$A$175:$I$195,3,0))</f>
        <v>0</v>
      </c>
      <c r="DW140" s="15">
        <f>IF(ISNA(VLOOKUP(A140,'Données projet'!$A$175:$I$195,4,0)),0,VLOOKUP(A140,'Données projet'!$A$175:$I$195,4,0))</f>
        <v>0</v>
      </c>
      <c r="DX140" s="16">
        <f>IF(ISNA(VLOOKUP(A140,'Données projet'!$A$175:$I$195,5,0)),0%,VLOOKUP(A140,'Données projet'!$A$175:$I$195,5,0)*VLOOKUP('Données projet'!$B$14,Paramètres!$A$1:$I$89,7,0))</f>
        <v>0</v>
      </c>
      <c r="DY140" s="16">
        <f>IF(ISNA(VLOOKUP(A140,'Données projet'!$A$175:$I$195,6,0)),0%,VLOOKUP(A140,'Données projet'!$A$175:$I$195,6,0)*VLOOKUP('Données projet'!$B$14,Paramètres!$A$1:$I$89,7,0))</f>
        <v>0</v>
      </c>
      <c r="DZ140" s="16">
        <f>IF(ISNA(VLOOKUP(A140,'Données projet'!$A$175:$I$195,7,0)),0%,VLOOKUP(A140,'Données projet'!$A$175:$I$195,7,0))</f>
        <v>0</v>
      </c>
      <c r="EA140" s="21">
        <f>EXP(-LN(2)/35)*EA139+(1-EXP(-LN(2)/35))/(LN(2)/35)*DW140*DX140*VLOOKUP('Données projet'!$B$14,Paramètres!$A$1:$I$89,3,0)*0.475*44/12</f>
        <v>56.097875594710857</v>
      </c>
      <c r="EB140" s="21">
        <f>EXP(-LN(2)/25)*EB139+(1-EXP(-LN(2)/25))/(LN(2)/25)*Calculateur!DW140*Calculateur!DY140*VLOOKUP('Données projet'!$B$14,Paramètres!$A$1:$I$89,3,0)*0.475*44/12</f>
        <v>1.1025564508703727</v>
      </c>
      <c r="EC140" s="21">
        <f>EXP(-LN(2)/2)*EC139+(1-EXP(-LN(2)/2))/(LN(2)/2)*DW140*DZ140*VLOOKUP('Données projet'!$B$14,Paramètres!$A$1:$I$89,3,0)*0.475*44/12</f>
        <v>0</v>
      </c>
      <c r="ED140" s="22">
        <f t="shared" si="241"/>
        <v>57.200432045581231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projet'!$A$201:$I$221,2,0)</f>
        <v>#N/A</v>
      </c>
      <c r="EH140" s="12" t="e">
        <f>VLOOKUP(A140,'Données projet'!$A$201:$I$221,9,0)</f>
        <v>#N/A</v>
      </c>
      <c r="EI140" s="12">
        <f t="array" ref="EI140">INDEX(EH:EH,MIN(IF(ISNUMBER(EH140:EH336),ROW(EH140:EH336),"")))</f>
        <v>0</v>
      </c>
      <c r="EJ140" s="12">
        <f>IF('Données projet'!$A$202&gt;35,EJ139+EI140-ER139,IF(A140&lt;'Données projet'!$A$202,$EG$205^A140,IF(A140='Données projet'!$A$202,'Données projet'!$B$202,EJ139+EI140-ER139)))</f>
        <v>5.1159076974727213E-13</v>
      </c>
      <c r="EK140" s="17">
        <f>EJ140*VLOOKUP('Données projet'!$B$15,Paramètres!$A$1:$I$89,3,0)*VLOOKUP('Données projet'!$B$15,Paramètres!$A$1:$I$89,5,0)</f>
        <v>2.3942448024172334E-13</v>
      </c>
      <c r="EL140" s="13">
        <f t="shared" si="298"/>
        <v>3.2492669905861755E-12</v>
      </c>
      <c r="EM140" s="20">
        <f t="shared" si="242"/>
        <v>6.0761376450252565E-12</v>
      </c>
      <c r="EN140" s="59">
        <f t="shared" si="243"/>
        <v>293.3333333333394</v>
      </c>
      <c r="EO140" s="59">
        <f ca="1">AVERAGE(OFFSET($EN$3,0,0,'Données projet'!$E$15+1,1))-AVERAGE(OFFSET($H$3,0,0,'Données projet'!$E$15+1,1))</f>
        <v>147.64256291235483</v>
      </c>
      <c r="EP140" s="59">
        <f t="shared" si="299"/>
        <v>70.859031694091868</v>
      </c>
      <c r="EQ140" s="15">
        <f>IF(ISNA(VLOOKUP(A140,'Données projet'!$A$201:$I$221,3,0)),0,VLOOKUP(A140,'Données projet'!$A$201:$I$221,3,0))</f>
        <v>0</v>
      </c>
      <c r="ER140" s="15">
        <f>IF(ISNA(VLOOKUP(A140,'Données projet'!$A$201:$I$221,4,0)),0,VLOOKUP(A140,'Données projet'!$A$201:$I$221,4,0))</f>
        <v>0</v>
      </c>
      <c r="ES140" s="16">
        <f>IF(ISNA(VLOOKUP(A140,'Données projet'!$A$201:$I$221,5,0)),0%,VLOOKUP(A140,'Données projet'!$A$201:$I$221,5,0)*VLOOKUP('Données projet'!$B$15,Paramètres!$A$1:$I$89,7,0))</f>
        <v>0</v>
      </c>
      <c r="ET140" s="16">
        <f>IF(ISNA(VLOOKUP(A140,'Données projet'!$A$201:$I$221,6,0)),0%,VLOOKUP(A140,'Données projet'!$A$201:$I$221,6,0)*VLOOKUP('Données projet'!$B$15,Paramètres!$A$1:$I$89,7,0))</f>
        <v>0</v>
      </c>
      <c r="EU140" s="16">
        <f>IF(ISNA(VLOOKUP(A140,'Données projet'!$A$201:$I$221,7,0)),0%,VLOOKUP(A140,'Données projet'!$A$201:$I$221,7,0))</f>
        <v>0</v>
      </c>
      <c r="EV140" s="21">
        <f>EXP(-LN(2)/35)*EV139+(1-EXP(-LN(2)/35))/(LN(2)/35)*ER140*ES140*VLOOKUP('Données projet'!$B$15,Paramètres!$A$1:$I$89,3,0)*0.475*44/12</f>
        <v>76.798875950964813</v>
      </c>
      <c r="EW140" s="21">
        <f>EXP(-LN(2)/25)*EW139+(1-EXP(-LN(2)/25))/(LN(2)/25)*Calculateur!ER140*Calculateur!ET140*VLOOKUP('Données projet'!$B$15,Paramètres!$A$1:$I$89,3,0)*0.475*44/12</f>
        <v>15.296859948976381</v>
      </c>
      <c r="EX140" s="21">
        <f>EXP(-LN(2)/2)*EX139+(1-EXP(-LN(2)/2))/(LN(2)/2)*ER140*EU140*VLOOKUP('Données projet'!$B$15,Paramètres!$A$1:$I$89,3,0)*0.475*44/12</f>
        <v>1.1199151199165868E-3</v>
      </c>
      <c r="EY140" s="22">
        <f t="shared" si="244"/>
        <v>92.096855815061105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projet'!$A$227:$I$247,2,0)</f>
        <v>#N/A</v>
      </c>
      <c r="FC140" s="12" t="e">
        <f>VLOOKUP(A140,'Données projet'!$A$227:$I$247,9,0)</f>
        <v>#N/A</v>
      </c>
      <c r="FD140" s="12">
        <f t="array" ref="FD140">INDEX(FC:FC,MIN(IF(ISNUMBER(FC140:FC336),ROW(FC140:FC336),"")))</f>
        <v>0</v>
      </c>
      <c r="FE140" s="12">
        <f>IF('Données projet'!$A$228&gt;35,FE139+FD140-FM139,IF(A140&lt;'Données projet'!$A$228,$FB$205^A140,IF(A140='Données projet'!$A$228,'Données projet'!$B$228,FE139+FD140-FM139)))</f>
        <v>8.5265128291212022E-14</v>
      </c>
      <c r="FF140" s="17">
        <f>FE140*VLOOKUP('Données projet'!$B$16,Paramètres!$A$1:$I$89,3,0)*VLOOKUP('Données projet'!$B$16,Paramètres!$A$1:$I$89,5,0)</f>
        <v>8.9119112089974823E-14</v>
      </c>
      <c r="FG140" s="13">
        <f t="shared" si="300"/>
        <v>1.3568952080113142E-12</v>
      </c>
      <c r="FH140" s="20">
        <f t="shared" si="245"/>
        <v>2.5184749408430782E-12</v>
      </c>
      <c r="FI140" s="59">
        <f t="shared" si="246"/>
        <v>293.33333333333582</v>
      </c>
      <c r="FJ140" s="59">
        <f ca="1">AVERAGE(OFFSET($FI$3,0,0,'Données projet'!$E$16+1,1))-AVERAGE(OFFSET($H$3,0,0,'Données projet'!$E$16+1,1))</f>
        <v>259.03906550253788</v>
      </c>
      <c r="FK140" s="59">
        <f t="shared" si="301"/>
        <v>235.54542903570831</v>
      </c>
      <c r="FL140" s="15">
        <f>IF(ISNA(VLOOKUP(A140,'Données projet'!$A$227:$I$247,3,0)),0,VLOOKUP(A140,'Données projet'!$A$227:$I$247,3,0))</f>
        <v>0</v>
      </c>
      <c r="FM140" s="15">
        <f>IF(ISNA(VLOOKUP(A140,'Données projet'!$A$227:$I$247,4,0)),0,VLOOKUP(A140,'Données projet'!$A$227:$I$247,4,0))</f>
        <v>0</v>
      </c>
      <c r="FN140" s="16">
        <f>IF(ISNA(VLOOKUP(A140,'Données projet'!$A$227:$I$247,5,0)),0%,VLOOKUP(A140,'Données projet'!$A$227:$I$247,5,0)*VLOOKUP('Données projet'!$B$16,Paramètres!$A$1:$I$89,7,0))</f>
        <v>0</v>
      </c>
      <c r="FO140" s="16">
        <f>IF(ISNA(VLOOKUP(A140,'Données projet'!$A$227:$I$247,6,0)),0%,VLOOKUP(A140,'Données projet'!$A$227:$I$247,6,0)*VLOOKUP('Données projet'!$B$16,Paramètres!$A$1:$I$89,7,0))</f>
        <v>0</v>
      </c>
      <c r="FP140" s="16">
        <f>IF(ISNA(VLOOKUP(A140,'Données projet'!$A$227:$I$247,7,0)),0%,VLOOKUP(A140,'Données projet'!$A$227:$I$247,7,0))</f>
        <v>0</v>
      </c>
      <c r="FQ140" s="21">
        <f>EXP(-LN(2)/35)*FQ139+(1-EXP(-LN(2)/35))/(LN(2)/35)*FM140*FN140*VLOOKUP('Données projet'!$B$16,Paramètres!$A$1:$I$89,3,0)*0.475*44/12</f>
        <v>33.896936689269772</v>
      </c>
      <c r="FR140" s="21">
        <f>EXP(-LN(2)/25)*FR139+(1-EXP(-LN(2)/25))/(LN(2)/25)*Calculateur!FM140*Calculateur!FO140*VLOOKUP('Données projet'!$B$16,Paramètres!$A$1:$I$89,3,0)*0.475*44/12</f>
        <v>21.043502564871716</v>
      </c>
      <c r="FS140" s="21">
        <f>EXP(-LN(2)/2)*FS139+(1-EXP(-LN(2)/2))/(LN(2)/2)*FM140*FP140*VLOOKUP('Données projet'!$B$16,Paramètres!$A$1:$I$89,3,0)*0.475*44/12</f>
        <v>0</v>
      </c>
      <c r="FT140" s="22">
        <f t="shared" si="247"/>
        <v>54.940439254141488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projet'!$A$253:$I$273,2,0)</f>
        <v>#N/A</v>
      </c>
      <c r="FX140" s="12" t="e">
        <f>VLOOKUP(A140,'Données projet'!$A$253:$I$273,9,0)</f>
        <v>#N/A</v>
      </c>
      <c r="FY140" s="12">
        <f t="array" ref="FY140">INDEX(FX:FX,MIN(IF(ISNUMBER(FX140:FX336),ROW(FX140:FX336),"")))</f>
        <v>0</v>
      </c>
      <c r="FZ140" s="12">
        <f>IF('Données projet'!$A$254&gt;35,FZ139+FY140-GH139,IF(A140&lt;'Données projet'!$A$254,$FW$205^A140,IF(A140='Données projet'!$A$254,'Données projet'!$B$254,FZ139+FY140-GH139)))</f>
        <v>-1.7053025658242404E-13</v>
      </c>
      <c r="GA140" s="17">
        <f>FZ140*VLOOKUP('Données projet'!$B$17,Paramètres!$A$1:$I$89,3,0)*VLOOKUP('Données projet'!$B$17,Paramètres!$A$1:$I$89,5,0)</f>
        <v>-1.4897523215040567E-13</v>
      </c>
      <c r="GB140" s="13" t="e">
        <f t="shared" si="302"/>
        <v>#NUM!</v>
      </c>
      <c r="GC140" s="20" t="e">
        <f t="shared" si="248"/>
        <v>#NUM!</v>
      </c>
      <c r="GD140" s="59" t="e">
        <f t="shared" si="249"/>
        <v>#NUM!</v>
      </c>
      <c r="GE140" s="59">
        <f ca="1">AVERAGE(OFFSET($GD$3,0,0,'Données projet'!$E$17+1,1))-AVERAGE(OFFSET($H$3,0,0,'Données projet'!$E$17+1,1))</f>
        <v>245.1983232777614</v>
      </c>
      <c r="GF140" s="59">
        <f t="shared" si="303"/>
        <v>242.34010522344573</v>
      </c>
      <c r="GG140" s="15">
        <f>IF(ISNA(VLOOKUP(A140,'Données projet'!$A$253:$I$273,3,0)),0,VLOOKUP(A140,'Données projet'!$A$253:$I$273,3,0))</f>
        <v>0</v>
      </c>
      <c r="GH140" s="15">
        <f>IF(ISNA(VLOOKUP(A140,'Données projet'!$A$253:$I$273,4,0)),0,VLOOKUP(A140,'Données projet'!$A$253:$I$273,4,0))</f>
        <v>0</v>
      </c>
      <c r="GI140" s="16">
        <f>IF(ISNA(VLOOKUP(A140,'Données projet'!$A$253:$I$273,5,0)),0%,VLOOKUP(A140,'Données projet'!$A$253:$I$273,5,0)*VLOOKUP('Données projet'!$B$17,Paramètres!$A$1:$I$89,7,0))</f>
        <v>0</v>
      </c>
      <c r="GJ140" s="16">
        <f>IF(ISNA(VLOOKUP(A140,'Données projet'!$A$253:$I$273,6,0)),0%,VLOOKUP(A140,'Données projet'!$A$253:$I$273,6,0)*VLOOKUP('Données projet'!$B$17,Paramètres!$A$1:$I$89,7,0))</f>
        <v>0</v>
      </c>
      <c r="GK140" s="16">
        <f>IF(ISNA(VLOOKUP(A140,'Données projet'!$A$253:$I$273,7,0)),0%,VLOOKUP(A140,'Données projet'!$A$253:$I$273,7,0))</f>
        <v>0</v>
      </c>
      <c r="GL140" s="21">
        <f>EXP(-LN(2)/35)*GL139+(1-EXP(-LN(2)/35))/(LN(2)/35)*GH140*GI140*VLOOKUP('Données projet'!$B$17,Paramètres!$A$1:$I$89,3,0)*0.475*44/12</f>
        <v>39.85049981580579</v>
      </c>
      <c r="GM140" s="21">
        <f>EXP(-LN(2)/25)*GM139+(1-EXP(-LN(2)/25))/(LN(2)/25)*Calculateur!GH140*Calculateur!GJ140*VLOOKUP('Données projet'!$B$17,Paramètres!$A$1:$I$89,3,0)*0.475*44/12</f>
        <v>4.4838577424694668</v>
      </c>
      <c r="GN140" s="21">
        <f>EXP(-LN(2)/2)*GN139+(1-EXP(-LN(2)/2))/(LN(2)/2)*GH140*GK140*VLOOKUP('Données projet'!$B$17,Paramètres!$A$1:$I$89,3,0)*0.475*44/12</f>
        <v>0</v>
      </c>
      <c r="GO140" s="21">
        <f t="shared" si="250"/>
        <v>44.334357558275258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projet'!$A$279:$I$299,2,0)</f>
        <v>#N/A</v>
      </c>
      <c r="GS140" s="12" t="e">
        <f>VLOOKUP(A140,'Données projet'!$A$279:$I$299,9,0)</f>
        <v>#N/A</v>
      </c>
      <c r="GT140" s="12">
        <f t="array" ref="GT140">INDEX(GS:GS,MIN(IF(ISNUMBER(GS140:GS336),ROW(GS140:GS336),"")))</f>
        <v>0</v>
      </c>
      <c r="GU140" s="12">
        <f>IF('Données projet'!$A$280&gt;35,GU139+GT140-HC139,IF(A140&lt;'Données projet'!$A$280,$GR$205^A140,IF(A140='Données projet'!$A$280,'Données projet'!$B$280,GU139+GT140-HC139)))</f>
        <v>-1.1368683772161603E-13</v>
      </c>
      <c r="GV140" s="17">
        <f>GU140*VLOOKUP('Données projet'!$B$18,Paramètres!$A$1:$I$89,3,0)*VLOOKUP('Données projet'!$B$18,Paramètres!$A$1:$I$89,5,0)</f>
        <v>-4.5815795601811263E-14</v>
      </c>
      <c r="GW140" s="13" t="e">
        <f t="shared" si="304"/>
        <v>#NUM!</v>
      </c>
      <c r="GX140" s="20" t="e">
        <f t="shared" si="251"/>
        <v>#NUM!</v>
      </c>
      <c r="GY140" s="59" t="e">
        <f t="shared" si="252"/>
        <v>#NUM!</v>
      </c>
      <c r="GZ140" s="59">
        <f ca="1">AVERAGE(OFFSET($GY$3,0,0,'Données projet'!$E$18+1,1))-AVERAGE(OFFSET($H$3,0,0,'Données projet'!$E$18+1,1))</f>
        <v>324.36162935850876</v>
      </c>
      <c r="HA140" s="59">
        <f t="shared" si="305"/>
        <v>265.23571072429735</v>
      </c>
      <c r="HB140" s="15">
        <f>IF(ISNA(VLOOKUP(A140,'Données projet'!$A$279:$I$299,3,0)),0,VLOOKUP(A140,'Données projet'!$A$279:$I$299,3,0))</f>
        <v>0</v>
      </c>
      <c r="HC140" s="15">
        <f>IF(ISNA(VLOOKUP(A140,'Données projet'!$A$279:$I$299,4,0)),0,VLOOKUP(A140,'Données projet'!$A$279:$I$299,4,0))</f>
        <v>0</v>
      </c>
      <c r="HD140" s="16">
        <f>IF(ISNA(VLOOKUP(A140,'Données projet'!$A$279:$I$299,5,0)),0%,VLOOKUP(A140,'Données projet'!$A$279:$I$299,5,0)*VLOOKUP('Données projet'!$B$18,Paramètres!$A$1:$I$89,7,0))</f>
        <v>0</v>
      </c>
      <c r="HE140" s="16">
        <f>IF(ISNA(VLOOKUP(A140,'Données projet'!$A$279:$I$299,6,0)),0%,VLOOKUP(A140,'Données projet'!$A$279:$I$299,6,0)*VLOOKUP('Données projet'!$B$18,Paramètres!$A$1:$I$89,7,0))</f>
        <v>0</v>
      </c>
      <c r="HF140" s="16">
        <f>IF(ISNA(VLOOKUP($A140,'Données projet'!$A$279:$I$299,7,0)),0%,VLOOKUP($A140,'Données projet'!$A$279:$I$299,7,0))</f>
        <v>0</v>
      </c>
      <c r="HG140" s="21">
        <f>EXP(-LN(2)/35)*HG139+(1-EXP(-LN(2)/35))/(LN(2)/35)*HC140*HD140*VLOOKUP('Données projet'!$B$18,Paramètres!$A$1:$I$89,3,0)*0.475*44/12</f>
        <v>76.363975317329988</v>
      </c>
      <c r="HH140" s="21">
        <f>EXP(-LN(2)/25)*HH139+(1-EXP(-LN(2)/25))/(LN(2)/25)*Calculateur!HC140*Calculateur!HE140*VLOOKUP('Données projet'!$B$18,Paramètres!$A$1:$I$89,3,0)*0.475*44/12</f>
        <v>4.9868518195696447</v>
      </c>
      <c r="HI140" s="21">
        <f>EXP(-LN(2)/2)*HI139+(1-EXP(-LN(2)/2))/(LN(2)/2)*HC140*HF140*VLOOKUP('Données projet'!$B$18,Paramètres!$A$1:$I$89,3,0)*0.475*44/12</f>
        <v>2.2514872050754901E-8</v>
      </c>
      <c r="HJ140" s="22">
        <f t="shared" si="253"/>
        <v>81.350827159414507</v>
      </c>
      <c r="HK140" s="74">
        <f>('Scénario référence'!$F$8+'Scénario référence'!$F$9+'Scénario référence'!$B$17+'Scénario référence'!$B$9+'Scénario référence'!$B$10)*70+IF((45+25*(1-EXP(-0.0175*$A140)))&lt;70,'Scénario référence'!$B$16*(45+25*(1-EXP(-0.0175*$A140))),70*'Scénario référence'!$B$16)+IF((32+38*(1-EXP(-0.0175*$A140)))&lt;70,'Scénario référence'!$B$18*(32+38*(1-EXP(-0.0175*$A140))),70*'Scénario référence'!$B$18)</f>
        <v>70</v>
      </c>
      <c r="HL140" s="12">
        <f>IF($A140&gt;30,10,('Scénario référence'!$B$16+'Scénario référence'!$B$17+'Scénario référence'!$B$18+'Scénario référence'!$B$9+'Scénario référence'!$B$10)*$A140*10/30+('Scénario référence'!$F$8+'Scénario référence'!$F$9)*10)</f>
        <v>10</v>
      </c>
      <c r="HM140" s="12" t="e">
        <f>VLOOKUP($A140,'Données projet'!$A$304:$I$324,2,0)</f>
        <v>#N/A</v>
      </c>
      <c r="HN140" s="12" t="e">
        <f>VLOOKUP($A140,'Données projet'!$A$304:$I$324,9,0)</f>
        <v>#N/A</v>
      </c>
      <c r="HO140" s="12">
        <f t="array" ref="HO140">INDEX(HN:HN,MIN(IF(ISNUMBER(HN140:HN336),ROW(HN140:HN336),"")))</f>
        <v>0</v>
      </c>
      <c r="HP140" s="12">
        <f>IF('Données projet'!$A$304&gt;35,HP139+HO140-HX139,IF($A140&lt;'Données projet'!$A$304,$CQ$205^$A140,IF($A140='Données projet'!$A$304,'Données projet'!$B$304,HP139+HO140-HX139)))</f>
        <v>0</v>
      </c>
      <c r="HQ140" s="17">
        <f>HP140*VLOOKUP('Données projet'!$B$19,Paramètres!$A$1:$I$89,3,0)*VLOOKUP('Données projet'!$B$19,Paramètres!$A$1:$I$89,5,0)</f>
        <v>0</v>
      </c>
      <c r="HR140" s="13" t="e">
        <f t="shared" si="306"/>
        <v>#NUM!</v>
      </c>
      <c r="HS140" s="14" t="e">
        <f t="shared" si="254"/>
        <v>#NUM!</v>
      </c>
      <c r="HT140" s="59" t="e">
        <f t="shared" si="255"/>
        <v>#NUM!</v>
      </c>
      <c r="HU140" s="59">
        <f ca="1">AVERAGE(OFFSET(HT$3,0,0,'Données projet'!$E$19+1,1))-AVERAGE(OFFSET($H$3,0,0,'Données projet'!$E$19+1,1))</f>
        <v>91.60721429656013</v>
      </c>
      <c r="HV140" s="59">
        <f t="shared" si="307"/>
        <v>258.94957804210856</v>
      </c>
      <c r="HW140" s="15">
        <f>IF(ISNA(VLOOKUP($A140,'Données projet'!$A$304:$I$324,3,0)),0,VLOOKUP($A140,'Données projet'!$A$304:$I$324,3,0))</f>
        <v>0</v>
      </c>
      <c r="HX140" s="15">
        <f>IF(ISNA(VLOOKUP($A140,'Données projet'!$A$304:$I$324,4,0)),0,VLOOKUP($A140,'Données projet'!$A$304:$I$324,4,0))</f>
        <v>0</v>
      </c>
      <c r="HY140" s="16">
        <f>IF(ISNA(VLOOKUP($A140,'Données projet'!$A$304:$I$324,5,0)),0%,VLOOKUP($A140,'Données projet'!$A$304:$I$324,5,0)*VLOOKUP('Données projet'!$B$19,Paramètres!$A$1:$I$89,7,0))</f>
        <v>0</v>
      </c>
      <c r="HZ140" s="16">
        <f>IF(ISNA(VLOOKUP($A140,'Données projet'!$A$304:$I$324,6,0)),0%,VLOOKUP($A140,'Données projet'!$A$304:$I$324,6,0)*VLOOKUP('Données projet'!$B$19,Paramètres!$A$1:$I$89,7,0))</f>
        <v>0</v>
      </c>
      <c r="IA140" s="16">
        <f>IF(ISNA(VLOOKUP($A140,'Données projet'!$A$304:$I$324,7,0)),0%,VLOOKUP($A140,'Données projet'!$A$304:$I$324,7,0))</f>
        <v>0</v>
      </c>
      <c r="IB140" s="21">
        <f>EXP(-LN(2)/35)*IB139+(1-EXP(-LN(2)/35))/(LN(2)/35)*HX140*HY140*VLOOKUP('Données projet'!$B$19,Paramètres!$A$1:$I$89,3,0)*0.475*44/12</f>
        <v>5.9271132537023403</v>
      </c>
      <c r="IC140" s="21">
        <f>EXP(-LN(2)/25)*IC139+(1-EXP(-LN(2)/25))/(LN(2)/25)*Calculateur!HX140*Calculateur!HZ140*VLOOKUP('Données projet'!$B$19,Paramètres!$A$1:$I$89,3,0)*0.475*44/12</f>
        <v>0.50072926930643602</v>
      </c>
      <c r="ID140" s="21">
        <f>EXP(-LN(2)/2)*ID139+(1-EXP(-LN(2)/2))/(LN(2)/2)*HX140*IA140*VLOOKUP('Données projet'!$B$19,Paramètres!$A$1:$I$89,3,0)*0.475*44/12</f>
        <v>4.4971554730439305E-17</v>
      </c>
      <c r="IE140" s="22">
        <f t="shared" si="256"/>
        <v>6.4278425230087759</v>
      </c>
      <c r="IF140" s="74">
        <f>('Scénario référence'!$F$8+'Scénario référence'!$F$9+'Scénario référence'!$B$17+'Scénario référence'!$B$9+'Scénario référence'!$B$10)*70+IF((45+25*(1-EXP(-0.0175*$A140)))&lt;70,'Scénario référence'!$B$16*(45+25*(1-EXP(-0.0175*$A140))),70*'Scénario référence'!$B$16)+IF((32+38*(1-EXP(-0.0175*$A140)))&lt;70,'Scénario référence'!$B$18*(32+38*(1-EXP(-0.0175*$A140))),70*'Scénario référence'!$B$18)</f>
        <v>70</v>
      </c>
      <c r="IG140" s="12">
        <f>IF($A140&gt;30,10,('Scénario référence'!$B$16+'Scénario référence'!$B$17+'Scénario référence'!$B$18+'Scénario référence'!$B$9+'Scénario référence'!$B$10)*$A140*10/30+('Scénario référence'!$F$8+'Scénario référence'!$F$9)*10)</f>
        <v>10</v>
      </c>
      <c r="IH140" s="12" t="e">
        <f>VLOOKUP($A140,'Données projet'!$A$330:$I$350,2,0)</f>
        <v>#N/A</v>
      </c>
      <c r="II140" s="12" t="e">
        <f>VLOOKUP($A140,'Données projet'!$A$330:$I$350,9,0)</f>
        <v>#N/A</v>
      </c>
      <c r="IJ140" s="12">
        <f t="array" ref="IJ140">INDEX(II:II,MIN(IF(ISNUMBER(II140:II336),ROW(II140:II336),"")))</f>
        <v>0</v>
      </c>
      <c r="IK140" s="12">
        <f>IF('Données projet'!$A$330&gt;35,IK139+IJ140-IS139,IF($A140&lt;'Données projet'!$A$330,$CQ$205^$A140,IF($A140='Données projet'!$A$330,'Données projet'!$B$330,IK139+IJ140-IS139)))</f>
        <v>0</v>
      </c>
      <c r="IL140" s="17">
        <f>IK140*VLOOKUP('Données projet'!$B$20,Paramètres!$A$1:$I$89,3,0)*VLOOKUP('Données projet'!$B$20,Paramètres!$A$1:$I$89,5,0)</f>
        <v>0</v>
      </c>
      <c r="IM140" s="13" t="e">
        <f t="shared" si="308"/>
        <v>#NUM!</v>
      </c>
      <c r="IN140" s="20" t="e">
        <f t="shared" si="257"/>
        <v>#NUM!</v>
      </c>
      <c r="IO140" s="59" t="e">
        <f t="shared" si="258"/>
        <v>#NUM!</v>
      </c>
      <c r="IP140" s="59">
        <f ca="1">AVERAGE(OFFSET(IO$3,0,0,'Données projet'!$E$20+1,1))-AVERAGE(OFFSET($H$3,0,0,'Données projet'!$E$20+1,1))</f>
        <v>91.60721429656013</v>
      </c>
      <c r="IQ140" s="59">
        <f t="shared" si="309"/>
        <v>258.94957804210856</v>
      </c>
      <c r="IR140" s="15">
        <f>IF(ISNA(VLOOKUP($A140,'Données projet'!$A$330:$I$350,3,0)),0,VLOOKUP($A140,'Données projet'!$A$330:$I$350,3,0))</f>
        <v>0</v>
      </c>
      <c r="IS140" s="15">
        <f>IF(ISNA(VLOOKUP($A140,'Données projet'!$A$330:$I$350,4,0)),0,VLOOKUP($A140,'Données projet'!$A$330:$I$350,4,0))</f>
        <v>0</v>
      </c>
      <c r="IT140" s="16">
        <f>IF(ISNA(VLOOKUP($A140,'Données projet'!$A$330:$I$350,5,0)),0%,VLOOKUP($A140,'Données projet'!$A$330:$I$350,5,0)*VLOOKUP('Données projet'!$B$20,Paramètres!$A$1:$I$89,7,0))</f>
        <v>0</v>
      </c>
      <c r="IU140" s="16">
        <f>IF(ISNA(VLOOKUP($A140,'Données projet'!$A$330:$I$350,6,0)),0%,VLOOKUP($A140,'Données projet'!$A$330:$I$350,6,0)*VLOOKUP('Données projet'!$B$20,Paramètres!$A$1:$I$89,7,0))</f>
        <v>0</v>
      </c>
      <c r="IV140" s="16">
        <f>IF(ISNA(VLOOKUP($A140,'Données projet'!$A$330:$I$350,7,0)),0%,VLOOKUP($A140,'Données projet'!$A$330:$I$350,7,0))</f>
        <v>0</v>
      </c>
      <c r="IW140" s="21">
        <f>EXP(-LN(2)/35)*IW139+(1-EXP(-LN(2)/35))/(LN(2)/35)*IS140*IT140*VLOOKUP('Données projet'!$B$20,Paramètres!$A$1:$I$89,3,0)*0.475*44/12</f>
        <v>5.9271132537023403</v>
      </c>
      <c r="IX140" s="21">
        <f>EXP(-LN(2)/25)*IX139+(1-EXP(-LN(2)/25))/(LN(2)/25)*Calculateur!IS140*Calculateur!IU140*VLOOKUP('Données projet'!$B$20,Paramètres!$A$1:$I$89,3,0)*0.475*44/12</f>
        <v>0.50072926930643602</v>
      </c>
      <c r="IY140" s="21">
        <f>EXP(-LN(2)/2)*IY139+(1-EXP(-LN(2)/2))/(LN(2)/2)*IS140*IV140*VLOOKUP('Données projet'!$B$20,Paramètres!$A$1:$I$89,3,0)*0.475*44/12</f>
        <v>4.4971554730439305E-17</v>
      </c>
      <c r="IZ140" s="22">
        <f t="shared" si="259"/>
        <v>6.4278425230087759</v>
      </c>
      <c r="JA140" s="74">
        <f>('Scénario référence'!$F$8+'Scénario référence'!$F$9+'Scénario référence'!$B$17+'Scénario référence'!$B$9+'Scénario référence'!$B$10)*70+IF((45+25*(1-EXP(-0.0175*$A140)))&lt;70,'Scénario référence'!$B$16*(45+25*(1-EXP(-0.0175*$A140))),70*'Scénario référence'!$B$16)+IF((32+38*(1-EXP(-0.0175*$A140)))&lt;70,'Scénario référence'!$B$18*(32+38*(1-EXP(-0.0175*$A140))),70*'Scénario référence'!$B$18)</f>
        <v>70</v>
      </c>
      <c r="JB140" s="12">
        <f>IF($A140&gt;30,10,('Scénario référence'!$B$16+'Scénario référence'!$B$17+'Scénario référence'!$B$18+'Scénario référence'!$B$9+'Scénario référence'!$B$10)*$A140*10/30+('Scénario référence'!$F$8+'Scénario référence'!$F$9)*10)</f>
        <v>10</v>
      </c>
      <c r="JC140" s="12" t="e">
        <f>VLOOKUP($A140,'Données projet'!$A$356:$I$376,2,0)</f>
        <v>#N/A</v>
      </c>
      <c r="JD140" s="12" t="e">
        <f>VLOOKUP($A140,'Données projet'!$A$356:$I$376,9,0)</f>
        <v>#N/A</v>
      </c>
      <c r="JE140" s="12">
        <f t="array" ref="JE140">INDEX(JD:JD,MIN(IF(ISNUMBER(JD140:JD336),ROW(JD140:JD336),"")))</f>
        <v>1.4</v>
      </c>
      <c r="JF140" s="12">
        <f>IF('Données projet'!$A$356&gt;35,JF139+JE140-JN139,IF($A140&lt;'Données projet'!$A$356,$CQ$205^$A140,IF($A140='Données projet'!$A$356,'Données projet'!$B$356,JF139+JE140-JN139)))</f>
        <v>429.79999999999899</v>
      </c>
      <c r="JG140" s="17">
        <f>JF140*VLOOKUP('Données projet'!$B$21,Paramètres!$A$1:$I$89,3,0)*VLOOKUP('Données projet'!$B$21,Paramètres!$A$1:$I$89,5,0)</f>
        <v>348.65375999999918</v>
      </c>
      <c r="JH140" s="13">
        <f t="shared" si="310"/>
        <v>81.285244296455843</v>
      </c>
      <c r="JI140" s="20">
        <f t="shared" si="260"/>
        <v>748.8104324829925</v>
      </c>
      <c r="JJ140" s="59">
        <f t="shared" si="261"/>
        <v>1042.1437658163259</v>
      </c>
      <c r="JK140" s="59">
        <f ca="1">AVERAGE(OFFSET($JJ$3,0,0,'Données projet'!$E$22+1,1))-AVERAGE(OFFSET($H$3,0,0,'Données projet'!$E$22+1,1))</f>
        <v>353.35574633294613</v>
      </c>
      <c r="JL140" s="59">
        <f t="shared" si="311"/>
        <v>170.36796666474726</v>
      </c>
      <c r="JM140" s="15">
        <f>IF(ISNA(VLOOKUP($A140,'Données projet'!$A$356:$I$376,3,0)),0,VLOOKUP($A140,'Données projet'!$A$356:$I$376,3,0))</f>
        <v>0</v>
      </c>
      <c r="JN140" s="15">
        <f>IF(ISNA(VLOOKUP($A140,'Données projet'!$A$356:$I$376,4,0)),0,VLOOKUP($A140,'Données projet'!$A$356:$I$376,4,0))</f>
        <v>0</v>
      </c>
      <c r="JO140" s="16">
        <f>IF(ISNA(VLOOKUP($A140,'Données projet'!$A$356:$I$376,5,0)),0%,VLOOKUP($A140,'Données projet'!$A$356:$I$376,5,0)*VLOOKUP('Données projet'!$B$21,Paramètres!$A$1:$I$89,7,0))</f>
        <v>0</v>
      </c>
      <c r="JP140" s="16">
        <f>IF(ISNA(VLOOKUP($A140,'Données projet'!$A$356:$I$376,6,0)),0%,VLOOKUP($A140,'Données projet'!$A$356:$I$376,6,0)*VLOOKUP('Données projet'!$B$21,Paramètres!$A$1:$I$89,7,0))</f>
        <v>0</v>
      </c>
      <c r="JQ140" s="16">
        <f>IF(ISNA(VLOOKUP($A140,'Données projet'!$A$356:$I$376,7,0)),0%,VLOOKUP($A140,'Données projet'!$A$356:$I$376,7,0))</f>
        <v>0</v>
      </c>
      <c r="JR140" s="21">
        <f>EXP(-LN(2)/35)*JR139+(1-EXP(-LN(2)/35))/(LN(2)/35)*JN140*JO140*VLOOKUP('Données projet'!$B$21,Paramètres!$A$1:$I$89,3,0)*0.475*44/12</f>
        <v>5.6296984056402994</v>
      </c>
      <c r="JS140" s="21">
        <f>EXP(-LN(2)/25)*JS139+(1-EXP(-LN(2)/25))/(LN(2)/25)*Calculateur!JN140*Calculateur!JP140*VLOOKUP('Données projet'!$B$21,Paramètres!$A$1:$I$89,3,0)*0.475*44/12</f>
        <v>10.895832884463424</v>
      </c>
      <c r="JT140" s="21">
        <f>EXP(-LN(2)/2)*JT139+(1-EXP(-LN(2)/2))/(LN(2)/2)*JN140*JQ140*VLOOKUP('Données projet'!$B$21,Paramètres!$A$1:$I$89,3,0)*0.475*44/12</f>
        <v>0.13560406750360854</v>
      </c>
      <c r="JU140" s="18">
        <f t="shared" si="262"/>
        <v>16.661135357607328</v>
      </c>
      <c r="JV140" s="74">
        <f>('Scénario référence'!$F$8+'Scénario référence'!$F$9+'Scénario référence'!$B$17+'Scénario référence'!$B$9+'Scénario référence'!$B$10)*70+IF((45+25*(1-EXP(-0.0175*$A140)))&lt;70,'Scénario référence'!$B$16*(45+25*(1-EXP(-0.0175*$A140))),70*'Scénario référence'!$B$16)+IF((32+38*(1-EXP(-0.0175*$A140)))&lt;70,'Scénario référence'!$B$18*(32+38*(1-EXP(-0.0175*$A140))),70*'Scénario référence'!$B$18)</f>
        <v>70</v>
      </c>
      <c r="JW140" s="12">
        <f>IF($A140&gt;30,10,('Scénario référence'!$B$16+'Scénario référence'!$B$17+'Scénario référence'!$B$18+'Scénario référence'!$B$9+'Scénario référence'!$B$10)*$A140*10/30+('Scénario référence'!$F$8+'Scénario référence'!$F$9)*10)</f>
        <v>10</v>
      </c>
      <c r="JX140" s="12" t="e">
        <f>VLOOKUP($A140,'Données projet'!$A$382:$I$402,2,0)</f>
        <v>#N/A</v>
      </c>
      <c r="JY140" s="12" t="e">
        <f>VLOOKUP($A140,'Données projet'!$A$382:$I$402,9,0)</f>
        <v>#N/A</v>
      </c>
      <c r="JZ140" s="12">
        <f t="array" ref="JZ140">INDEX(JY:JY,MIN(IF(ISNUMBER(JY140:JY336),ROW(JY140:JY336),"")))</f>
        <v>0</v>
      </c>
      <c r="KA140" s="12">
        <f>IF('Données projet'!$A$382&gt;35,KA139+JZ140-KI139,IF($A140&lt;'Données projet'!$A$382,$CQ$205^$A140,IF($A140='Données projet'!$A$382,'Données projet'!$B$382,KA139+JZ140-KI139)))</f>
        <v>5.6843418860808015E-13</v>
      </c>
      <c r="KB140" s="17">
        <f>KA140*VLOOKUP('Données projet'!$B$22,Paramètres!$A$1:$I$89,3,0)*VLOOKUP('Données projet'!$B$22,Paramètres!$A$1:$I$89,5,0)</f>
        <v>3.8130565371830017E-13</v>
      </c>
      <c r="KC140" s="13">
        <f t="shared" si="312"/>
        <v>4.9019074112354236E-12</v>
      </c>
      <c r="KD140" s="20">
        <f t="shared" si="263"/>
        <v>9.2015960881277352E-12</v>
      </c>
      <c r="KE140" s="59">
        <f t="shared" si="264"/>
        <v>293.33333333334252</v>
      </c>
      <c r="KF140" s="59">
        <f ca="1">AVERAGE(OFFSET($KE$3,0,0,'Données projet'!$E$22+1,1))-AVERAGE(OFFSET($H$3,0,0,'Données projet'!$E$22+1,1))</f>
        <v>193.91714772848269</v>
      </c>
      <c r="KG140" s="59">
        <f t="shared" si="313"/>
        <v>159.20429420478047</v>
      </c>
      <c r="KH140" s="15">
        <f>IF(ISNA(VLOOKUP($A140,'Données projet'!$A$382:$I$402,3,0)),0,VLOOKUP($A140,'Données projet'!$A$382:$I$402,3,0))</f>
        <v>0</v>
      </c>
      <c r="KI140" s="15">
        <f>IF(ISNA(VLOOKUP($A140,'Données projet'!$A$382:$I$402,4,0)),0,VLOOKUP($A140,'Données projet'!$A$382:$I$402,4,0))</f>
        <v>0</v>
      </c>
      <c r="KJ140" s="16">
        <f>IF(ISNA(VLOOKUP($A140,'Données projet'!$A$382:$I$402,5,0)),0%,VLOOKUP($A140,'Données projet'!$A$382:$I$402,5,0)*VLOOKUP('Données projet'!$B$22,Paramètres!$A$1:$I$89,7,0))</f>
        <v>0</v>
      </c>
      <c r="KK140" s="16">
        <f>IF(ISNA(VLOOKUP($A140,'Données projet'!$A$382:$I$402,6,0)),0%,VLOOKUP($A140,'Données projet'!$A$382:$I$402,6,0)*VLOOKUP('Données projet'!$B$22,Paramètres!$A$1:$I$89,7,0))</f>
        <v>0</v>
      </c>
      <c r="KL140" s="16">
        <f>IF(ISNA(VLOOKUP($A140,'Données projet'!$A$382:$I$402,7,0)),0%,VLOOKUP($A140,'Données projet'!$A$382:$I$402,7,0))</f>
        <v>0</v>
      </c>
      <c r="KM140" s="21">
        <f>EXP(-LN(2)/35)*KM139+(1-EXP(-LN(2)/35))/(LN(2)/35)*KI140*KJ140*VLOOKUP('Données projet'!$B$22,Paramètres!$A$1:$I$89,3,0)*0.475*44/12</f>
        <v>138.74036407674663</v>
      </c>
      <c r="KN140" s="21">
        <f>EXP(-LN(2)/25)*KN139+(1-EXP(-LN(2)/25))/(LN(2)/25)*Calculateur!KI140*Calculateur!KK140*VLOOKUP('Données projet'!$B$22,Paramètres!$A$1:$I$89,3,0)*0.475*44/12</f>
        <v>0</v>
      </c>
      <c r="KO140" s="21">
        <f>EXP(-LN(2)/2)*KO139+(1-EXP(-LN(2)/2))/(LN(2)/2)*KI140*KL140*VLOOKUP('Données projet'!$B$22,Paramètres!$A$1:$I$89,3,0)*0.475*44/12</f>
        <v>0</v>
      </c>
      <c r="KP140" s="22">
        <f t="shared" si="265"/>
        <v>138.74036407674663</v>
      </c>
      <c r="KQ140" s="74">
        <f>('Scénario référence'!$F$8+'Scénario référence'!$F$9+'Scénario référence'!$B$17+'Scénario référence'!$B$9+'Scénario référence'!$B$10)*70+IF((45+25*(1-EXP(-0.0175*$A140)))&lt;70,'Scénario référence'!$B$16*(45+25*(1-EXP(-0.0175*$A140))),70*'Scénario référence'!$B$16)+IF((32+38*(1-EXP(-0.0175*$A140)))&lt;70,'Scénario référence'!$B$18*(32+38*(1-EXP(-0.0175*$A140))),70*'Scénario référence'!$B$18)</f>
        <v>70</v>
      </c>
      <c r="KR140" s="12">
        <f>IF($A140&gt;30,10,('Scénario référence'!$B$16+'Scénario référence'!$B$17+'Scénario référence'!$B$18+'Scénario référence'!$B$9+'Scénario référence'!$B$10)*$A140*10/30+('Scénario référence'!$F$8+'Scénario référence'!$F$9)*10)</f>
        <v>10</v>
      </c>
      <c r="KS140" s="12" t="e">
        <f>VLOOKUP($A140,'Données projet'!$A$408:$I$428,2,0)</f>
        <v>#N/A</v>
      </c>
      <c r="KT140" s="12" t="e">
        <f>VLOOKUP($A140,'Données projet'!$A$408:$I$428,9,0)</f>
        <v>#N/A</v>
      </c>
      <c r="KU140" s="12">
        <f t="array" ref="KU140">INDEX(KT:KT,MIN(IF(ISNUMBER(KT140:KT336),ROW(KT140:KT336),"")))</f>
        <v>0</v>
      </c>
      <c r="KV140" s="12">
        <f>IF('Données projet'!$A$408&gt;35,KV139+KU140-LD139,IF($A140&lt;'Données projet'!$A$408,$CQ$205^$A140,IF($A140='Données projet'!$A$408,'Données projet'!$B$408,KV139+KU140-LD139)))</f>
        <v>-1.1368683772161603E-13</v>
      </c>
      <c r="KW140" s="17">
        <f>KV140*VLOOKUP('Données projet'!$B$23,Paramètres!$A$1:$I$89,3,0)*VLOOKUP('Données projet'!$B$23,Paramètres!$A$1:$I$89,5,0)</f>
        <v>-9.9316821433603781E-14</v>
      </c>
      <c r="KX140" s="13" t="e">
        <f t="shared" si="314"/>
        <v>#NUM!</v>
      </c>
      <c r="KY140" s="14" t="e">
        <f t="shared" si="266"/>
        <v>#NUM!</v>
      </c>
      <c r="KZ140" s="59" t="e">
        <f t="shared" si="267"/>
        <v>#NUM!</v>
      </c>
      <c r="LA140" s="59">
        <f ca="1">AVERAGE(OFFSET($KZ$3,0,0,'Données projet'!$E$23+1,1))-AVERAGE(OFFSET($H$3,0,0,'Données projet'!$E$23+1,1))</f>
        <v>248.33596943633819</v>
      </c>
      <c r="LB140" s="59">
        <f t="shared" si="315"/>
        <v>242.34010522344573</v>
      </c>
      <c r="LC140" s="15">
        <f>IF(ISNA(VLOOKUP($A140,'Données projet'!$A$408:$I$428,3,0)),0,VLOOKUP($A140,'Données projet'!$A$408:$I$428,3,0))</f>
        <v>0</v>
      </c>
      <c r="LD140" s="15">
        <f>IF(ISNA(VLOOKUP($A140,'Données projet'!$A$408:$I$428,4,0)),0,VLOOKUP($A140,'Données projet'!$A$408:$I$428,4,0))</f>
        <v>0</v>
      </c>
      <c r="LE140" s="16">
        <f>IF(ISNA(VLOOKUP($A140,'Données projet'!$A$408:$I$428,5,0)),0%,VLOOKUP($A140,'Données projet'!$A$408:$I$428,5,0)*VLOOKUP('Données projet'!$B$23,Paramètres!$A$1:$I$89,7,0))</f>
        <v>0</v>
      </c>
      <c r="LF140" s="16">
        <f>IF(ISNA(VLOOKUP($A140,'Données projet'!$A$408:$I$428,6,0)),0%,VLOOKUP($A140,'Données projet'!$A$408:$I$428,6,0)*VLOOKUP('Données projet'!$B$23,Paramètres!$A$1:$I$89,7,0))</f>
        <v>0</v>
      </c>
      <c r="LG140" s="16">
        <f>IF(ISNA(VLOOKUP($A140,'Données projet'!$A$408:$I$428,7,0)),0%,VLOOKUP($A140,'Données projet'!$A$408:$I$428,7,0))</f>
        <v>0</v>
      </c>
      <c r="LH140" s="21">
        <f>EXP(-LN(2)/35)*LH139+(1-EXP(-LN(2)/35))/(LN(2)/35)*LD140*LE140*VLOOKUP('Données projet'!$B$23,Paramètres!$A$1:$I$89,3,0)*0.475*44/12</f>
        <v>39.85049981580579</v>
      </c>
      <c r="LI140" s="21">
        <f>EXP(-LN(2)/25)*LI139+(1-EXP(-LN(2)/25))/(LN(2)/25)*Calculateur!LD140*Calculateur!LF140*VLOOKUP('Données projet'!$B$23,Paramètres!$A$1:$I$89,3,0)*0.475*44/12</f>
        <v>4.4838577424694668</v>
      </c>
      <c r="LJ140" s="21">
        <f>EXP(-LN(2)/2)*LJ139+(1-EXP(-LN(2)/2))/(LN(2)/2)*LD140*LG140*VLOOKUP('Données projet'!$B$23,Paramètres!$A$1:$I$89,3,0)*0.475*44/12</f>
        <v>0</v>
      </c>
      <c r="LK140" s="22">
        <f t="shared" si="268"/>
        <v>44.334357558275258</v>
      </c>
      <c r="LL140" s="74">
        <f>('Scénario référence'!$F$8+'Scénario référence'!$F$9+'Scénario référence'!$B$17+'Scénario référence'!$B$9+'Scénario référence'!$B$10)*70+IF((45+25*(1-EXP(-0.0175*$A140)))&lt;70,'Scénario référence'!$B$16*(45+25*(1-EXP(-0.0175*$A140))),70*'Scénario référence'!$B$16)+IF((32+38*(1-EXP(-0.0175*$A140)))&lt;70,'Scénario référence'!$B$18*(32+38*(1-EXP(-0.0175*$A140))),70*'Scénario référence'!$B$18)</f>
        <v>70</v>
      </c>
      <c r="LM140" s="12">
        <f>IF($A140&gt;30,10,('Scénario référence'!$B$16+'Scénario référence'!$B$17+'Scénario référence'!$B$18+'Scénario référence'!$B$9+'Scénario référence'!$B$10)*$A140*10/30+('Scénario référence'!$F$8+'Scénario référence'!$F$9)*10)</f>
        <v>10</v>
      </c>
      <c r="LN140" s="12">
        <f>VLOOKUP($A140,'Données projet'!$A$434:$I$454,2,0)</f>
        <v>293.07051282051282</v>
      </c>
      <c r="LO140" s="12">
        <f>VLOOKUP($A140,'Données projet'!$A$434:$I$454,9,0)</f>
        <v>5.2446581196581219</v>
      </c>
      <c r="LP140" s="12">
        <f t="array" ref="LP140">INDEX(LO:LO,MIN(IF(ISNUMBER(LO140:LO336),ROW(LO140:LO336),"")))</f>
        <v>5.2446581196581219</v>
      </c>
      <c r="LQ140" s="12">
        <f>IF('Données projet'!$A$434&gt;35,LQ139+LP140-LY139,IF($A140&lt;'Données projet'!$A$434,$CQ$205^$A140,IF($A140='Données projet'!$A$434,'Données projet'!$B$434,LQ139+LP140-LY139)))</f>
        <v>293.07051282051248</v>
      </c>
      <c r="LR140" s="17">
        <f>LQ140*VLOOKUP('Données projet'!$B$24,Paramètres!$A$1:$I$89,3,0)*VLOOKUP('Données projet'!$B$24,Paramètres!$A$1:$I$89,5,0)</f>
        <v>297.17349999999965</v>
      </c>
      <c r="LS140" s="13">
        <f t="shared" si="316"/>
        <v>70.583594448118191</v>
      </c>
      <c r="LT140" s="14">
        <f t="shared" si="269"/>
        <v>640.51027283047199</v>
      </c>
      <c r="LU140" s="59">
        <f t="shared" si="270"/>
        <v>933.84360616380536</v>
      </c>
      <c r="LV140" s="59">
        <f ca="1">AVERAGE(OFFSET($LU$3,0,0,'Données projet'!$E$24+1,1))-AVERAGE(OFFSET($H$3,0,0,'Données projet'!$E$24+1,1))</f>
        <v>260.52627655062872</v>
      </c>
      <c r="LW140" s="59">
        <f t="shared" si="317"/>
        <v>159.20429420478047</v>
      </c>
      <c r="LX140" s="15">
        <f>IF(ISNA(VLOOKUP($A140,'Données projet'!$A$434:$I$454,3,0)),0,VLOOKUP($A140,'Données projet'!$A$434:$I$454,3,0))</f>
        <v>11</v>
      </c>
      <c r="LY140" s="15">
        <f>IF(ISNA(VLOOKUP($A140,'Données projet'!$A$434:$I$454,4,0)),0,VLOOKUP($A140,'Données projet'!$A$434:$I$454,4,0))</f>
        <v>51.160256410256409</v>
      </c>
      <c r="LZ140" s="16">
        <f>IF(ISNA(VLOOKUP($A140,'Données projet'!$A$434:$I$454,5,0)),0%,VLOOKUP($A140,'Données projet'!$A$434:$I$454,5,0)*VLOOKUP('Données projet'!$B$24,Paramètres!$A$1:$I$89,7,0))</f>
        <v>0.30099999999999999</v>
      </c>
      <c r="MA140" s="16">
        <f>IF(ISNA(VLOOKUP($A140,'Données projet'!$A$434:$I$454,6,0)),0%,VLOOKUP($A140,'Données projet'!$A$434:$I$454,6,0)*VLOOKUP('Données projet'!$B$24,Paramètres!$A$1:$I$89,7,0))</f>
        <v>0</v>
      </c>
      <c r="MB140" s="16">
        <f>IF(ISNA(VLOOKUP($A140,'Données projet'!$A$434:$I$454,7,0)),0%,VLOOKUP($A140,'Données projet'!$A$434:$I$454,7,0))</f>
        <v>0</v>
      </c>
      <c r="MC140" s="21">
        <f>EXP(-LN(2)/35)*MC139+(1-EXP(-LN(2)/35))/(LN(2)/35)*LY140*LZ140*VLOOKUP('Données projet'!$B$24,Paramètres!$A$1:$I$89,3,0)*0.475*44/12</f>
        <v>54.948462910252076</v>
      </c>
      <c r="MD140" s="21">
        <f>EXP(-LN(2)/25)*MD139+(1-EXP(-LN(2)/25))/(LN(2)/25)*Calculateur!LY140*Calculateur!MA140*VLOOKUP('Données projet'!$B$24,Paramètres!$A$1:$I$89,3,0)*0.475*44/12</f>
        <v>0</v>
      </c>
      <c r="ME140" s="21">
        <f>EXP(-LN(2)/2)*ME139+(1-EXP(-LN(2)/2))/(LN(2)/2)*LY140*MB140*VLOOKUP('Données projet'!$B$24,Paramètres!$A$1:$I$89,3,0)*0.475*44/12</f>
        <v>0</v>
      </c>
      <c r="MF140" s="22">
        <f t="shared" si="271"/>
        <v>54.948462910252076</v>
      </c>
      <c r="MG140" s="74">
        <f>('Scénario référence'!$F$8+'Scénario référence'!$F$9+'Scénario référence'!$B$17+'Scénario référence'!$B$9+'Scénario référence'!$B$10)*70+IF((45+25*(1-EXP(-0.0175*$A140)))&lt;70,'Scénario référence'!$B$16*(45+25*(1-EXP(-0.0175*$A140))),70*'Scénario référence'!$B$16)+IF((32+38*(1-EXP(-0.0175*$A140)))&lt;70,'Scénario référence'!$B$18*(32+38*(1-EXP(-0.0175*$A140))),70*'Scénario référence'!$B$18)</f>
        <v>70</v>
      </c>
      <c r="MH140" s="12">
        <f>IF($A140&gt;30,10,('Scénario référence'!$B$16+'Scénario référence'!$B$17+'Scénario référence'!$B$18+'Scénario référence'!$B$9+'Scénario référence'!$B$10)*$A140*10/30+('Scénario référence'!$F$8+'Scénario référence'!$F$9)*10)</f>
        <v>10</v>
      </c>
      <c r="MI140" s="12" t="e">
        <f>VLOOKUP($A140,'Données projet'!$A$460:$I$480,2,0)</f>
        <v>#N/A</v>
      </c>
      <c r="MJ140" s="12" t="e">
        <f>VLOOKUP($A140,'Données projet'!$A$460:$I$480,9,0)</f>
        <v>#N/A</v>
      </c>
      <c r="MK140" s="12">
        <f t="array" ref="MK140">INDEX(MJ:MJ,MIN(IF(ISNUMBER(MJ140:MJ336),ROW(MJ140:MJ336),"")))</f>
        <v>0</v>
      </c>
      <c r="ML140" s="12">
        <f>IF('Données projet'!$A$460&gt;35,ML139+MK140-MT139,IF($A140&lt;'Données projet'!$A$460,$CQ$205^$A140,IF($A140='Données projet'!$A$460,'Données projet'!$B$460,ML139+MK140-MT139)))</f>
        <v>0</v>
      </c>
      <c r="MM140" s="17" t="e">
        <f>ML140*VLOOKUP('Données projet'!$B$25,Paramètres!$A$1:$I$89,3,0)*VLOOKUP('Données projet'!$B$25,Paramètres!$A$1:$I$89,5,0)</f>
        <v>#N/A</v>
      </c>
      <c r="MN140" s="13" t="e">
        <f t="shared" si="318"/>
        <v>#N/A</v>
      </c>
      <c r="MO140" s="14" t="e">
        <f t="shared" si="272"/>
        <v>#N/A</v>
      </c>
      <c r="MP140" s="59" t="e">
        <f t="shared" si="273"/>
        <v>#N/A</v>
      </c>
      <c r="MQ140" s="20" t="e">
        <f ca="1">AVERAGE(OFFSET($MP$3,0,0,'Données projet'!$E$25+1,1))-AVERAGE(OFFSET($H$3,0,0,'Données projet'!$E$25+1,1))</f>
        <v>#N/A</v>
      </c>
      <c r="MR140" s="59" t="e">
        <f t="shared" si="319"/>
        <v>#N/A</v>
      </c>
      <c r="MS140" s="15">
        <f>IF(ISNA(VLOOKUP($A140,'Données projet'!$A$460:$I$480,3,0)),0,VLOOKUP($A140,'Données projet'!$A$460:$I$480,3,0))</f>
        <v>0</v>
      </c>
      <c r="MT140" s="15">
        <f>IF(ISNA(VLOOKUP($A140,'Données projet'!$A$460:$I$480,4,0)),0,VLOOKUP($A140,'Données projet'!$A$460:$I$480,4,0))</f>
        <v>0</v>
      </c>
      <c r="MU140" s="16">
        <f>IF(ISNA(VLOOKUP($A140,'Données projet'!$A$460:$I$480,5,0)),0%,VLOOKUP($A140,'Données projet'!$A$460:$I$480,5,0)*VLOOKUP('Données projet'!$B$25,Paramètres!$A$1:$I$89,7,0))</f>
        <v>0</v>
      </c>
      <c r="MV140" s="16">
        <f>IF(ISNA(VLOOKUP($A140,'Données projet'!$A$460:$I$480,6,0)),0%,VLOOKUP($A140,'Données projet'!$A$460:$I$480,6,0)*VLOOKUP('Données projet'!$B$25,Paramètres!$A$1:$I$89,7,0))</f>
        <v>0</v>
      </c>
      <c r="MW140" s="16">
        <f>IF(ISNA(VLOOKUP($A140,'Données projet'!$A$460:$I$480,7,0)),0%,VLOOKUP($A140,'Données projet'!$A$460:$I$480,7,0))</f>
        <v>0</v>
      </c>
      <c r="MX140" s="21" t="e">
        <f>EXP(-LN(2)/35)*MX139+(1-EXP(-LN(2)/35))/(LN(2)/35)*MT140*MU140*VLOOKUP('Données projet'!$B$25,Paramètres!$A$1:$I$89,3,0)*0.475*44/12</f>
        <v>#N/A</v>
      </c>
      <c r="MY140" s="21" t="e">
        <f>EXP(-LN(2)/25)*MY139+(1-EXP(-LN(2)/25))/(LN(2)/25)*Calculateur!MT140*Calculateur!MV140*VLOOKUP('Données projet'!$B$25,Paramètres!$A$1:$I$89,3,0)*0.475*44/12</f>
        <v>#N/A</v>
      </c>
      <c r="MZ140" s="21" t="e">
        <f>EXP(-LN(2)/2)*MZ139+(1-EXP(-LN(2)/2))/(LN(2)/2)*MT140*MW140*VLOOKUP('Données projet'!$B$25,Paramètres!$A$1:$I$89,3,0)*0.475*44/12</f>
        <v>#N/A</v>
      </c>
      <c r="NA140" s="22" t="e">
        <f t="shared" si="274"/>
        <v>#N/A</v>
      </c>
      <c r="NB140" s="74">
        <f>('Scénario référence'!$F$8+'Scénario référence'!$F$9+'Scénario référence'!$B$17+'Scénario référence'!$B$9+'Scénario référence'!$B$10)*70+IF((45+25*(1-EXP(-0.0175*$A140)))&lt;70,'Scénario référence'!$B$16*(45+25*(1-EXP(-0.0175*$A140))),70*'Scénario référence'!$B$16)+IF((32+38*(1-EXP(-0.0175*$A140)))&lt;70,'Scénario référence'!$B$18*(32+38*(1-EXP(-0.0175*$A140))),70*'Scénario référence'!$B$18)</f>
        <v>70</v>
      </c>
      <c r="NC140" s="12">
        <f>IF($A140&gt;30,10,('Scénario référence'!$B$16+'Scénario référence'!$B$17+'Scénario référence'!$B$18+'Scénario référence'!$B$9+'Scénario référence'!$B$10)*$A140*10/30+('Scénario référence'!$F$8+'Scénario référence'!$F$9)*10)</f>
        <v>10</v>
      </c>
      <c r="ND140" s="12" t="e">
        <f>VLOOKUP($A140,'Données projet'!$A$486:$I$506,2,0)</f>
        <v>#N/A</v>
      </c>
      <c r="NE140" s="12" t="e">
        <f>VLOOKUP($A140,'Données projet'!$A$486:$I$506,9,0)</f>
        <v>#N/A</v>
      </c>
      <c r="NF140" s="12">
        <f t="array" ref="NF140">INDEX(NE:NE,MIN(IF(ISNUMBER(NE140:NE336),ROW(NE140:NE336),"")))</f>
        <v>0</v>
      </c>
      <c r="NG140" s="12">
        <f>IF('Données projet'!$A$486&gt;35,NG139+NF140-NO139,IF($A140&lt;'Données projet'!$A$486,$CQ$205^$A140,IF($A140='Données projet'!$A$486,'Données projet'!$B$486,NG139+NF140-NO139)))</f>
        <v>0</v>
      </c>
      <c r="NH140" s="17" t="e">
        <f>NG140*VLOOKUP('Données projet'!$B$26,Paramètres!$A$1:$I$89,3,0)*VLOOKUP('Données projet'!$B$26,Paramètres!$A$1:$I$89,5,0)</f>
        <v>#N/A</v>
      </c>
      <c r="NI140" s="13" t="e">
        <f t="shared" si="320"/>
        <v>#N/A</v>
      </c>
      <c r="NJ140" s="14" t="e">
        <f t="shared" si="275"/>
        <v>#N/A</v>
      </c>
      <c r="NK140" s="59" t="e">
        <f t="shared" si="276"/>
        <v>#N/A</v>
      </c>
      <c r="NL140" s="20" t="e">
        <f ca="1">AVERAGE(OFFSET($NK$3,0,0,'Données projet'!$E$26+1,1))-AVERAGE(OFFSET($H$3,0,0,'Données projet'!$E$26+1,1))</f>
        <v>#N/A</v>
      </c>
      <c r="NM140" s="59" t="e">
        <f t="shared" si="321"/>
        <v>#N/A</v>
      </c>
      <c r="NN140" s="15">
        <f>IF(ISNA(VLOOKUP($A140,'Données projet'!$A$486:$I$506,3,0)),0,VLOOKUP($A140,'Données projet'!$A$486:$I$506,3,0))</f>
        <v>0</v>
      </c>
      <c r="NO140" s="15">
        <f>IF(ISNA(VLOOKUP($A140,'Données projet'!$A$486:$I$506,4,0)),0,VLOOKUP($A140,'Données projet'!$A$486:$I$506,4,0))</f>
        <v>0</v>
      </c>
      <c r="NP140" s="16">
        <f>IF(ISNA(VLOOKUP($A140,'Données projet'!$A$486:$I$506,5,0)),0%,VLOOKUP($A140,'Données projet'!$A$486:$I$506,5,0)*VLOOKUP('Données projet'!$B$26,Paramètres!$A$1:$I$89,7,0))</f>
        <v>0</v>
      </c>
      <c r="NQ140" s="16">
        <f>IF(ISNA(VLOOKUP($A140,'Données projet'!$A$486:$I$506,6,0)),0%,VLOOKUP($A140,'Données projet'!$A$486:$I$506,6,0)*VLOOKUP('Données projet'!$B$26,Paramètres!$A$1:$I$89,7,0))</f>
        <v>0</v>
      </c>
      <c r="NR140" s="16">
        <f>IF(ISNA(VLOOKUP($A140,'Données projet'!$A$486:$I$506,7,0)),0%,VLOOKUP($A140,'Données projet'!$A$486:$I$506,7,0))</f>
        <v>0</v>
      </c>
      <c r="NS140" s="21" t="e">
        <f>EXP(-LN(2)/35)*NS139+(1-EXP(-LN(2)/35))/(LN(2)/35)*NO140*NP140*VLOOKUP('Données projet'!$B$26,Paramètres!$A$1:$I$89,3,0)*0.475*44/12</f>
        <v>#N/A</v>
      </c>
      <c r="NT140" s="21" t="e">
        <f>EXP(-LN(2)/25)*NT139+(1-EXP(-LN(2)/25))/(LN(2)/25)*Calculateur!NO140*Calculateur!NQ140*VLOOKUP('Données projet'!$B$26,Paramètres!$A$1:$I$89,3,0)*0.475*44/12</f>
        <v>#N/A</v>
      </c>
      <c r="NU140" s="21" t="e">
        <f>EXP(-LN(2)/2)*NU139+(1-EXP(-LN(2)/2))/(LN(2)/2)*NO140*NR140*VLOOKUP('Données projet'!$B$26,Paramètres!$A$1:$I$89,3,0)*0.475*44/12</f>
        <v>#N/A</v>
      </c>
      <c r="NV140" s="22" t="e">
        <f t="shared" si="277"/>
        <v>#N/A</v>
      </c>
      <c r="NW140" s="74">
        <f>('Scénario référence'!$F$8+'Scénario référence'!$F$9+'Scénario référence'!$B$17+'Scénario référence'!$B$9+'Scénario référence'!$B$10)*70+IF((45+25*(1-EXP(-0.0175*$A140)))&lt;70,'Scénario référence'!$B$16*(45+25*(1-EXP(-0.0175*$A140))),70*'Scénario référence'!$B$16)+IF((32+38*(1-EXP(-0.0175*$A140)))&lt;70,'Scénario référence'!$B$18*(32+38*(1-EXP(-0.0175*$A140))),70*'Scénario référence'!$B$18)</f>
        <v>70</v>
      </c>
      <c r="NX140" s="12">
        <f>IF($A140&gt;30,10,('Scénario référence'!$B$16+'Scénario référence'!$B$17+'Scénario référence'!$B$18+'Scénario référence'!$B$9+'Scénario référence'!$B$10)*$A140*10/30+('Scénario référence'!$F$8+'Scénario référence'!$F$9)*10)</f>
        <v>10</v>
      </c>
      <c r="NY140" s="12" t="e">
        <f>VLOOKUP($A140,'Données projet'!$A$512:$I$532,2,0)</f>
        <v>#N/A</v>
      </c>
      <c r="NZ140" s="12" t="e">
        <f>VLOOKUP($A140,'Données projet'!$A$512:$I$532,9,0)</f>
        <v>#N/A</v>
      </c>
      <c r="OA140" s="12">
        <f t="array" ref="OA140">INDEX(NZ:NZ,MIN(IF(ISNUMBER(NZ140:NZ336),ROW(NZ140:NZ336),"")))</f>
        <v>0</v>
      </c>
      <c r="OB140" s="12">
        <f>IF('Données projet'!$A$512&gt;35,OB139+OA140-OJ139,IF($A140&lt;'Données projet'!$A$512,$CQ$205^$A140,IF($A140='Données projet'!$A$512,'Données projet'!$B$512,OB139+OA140-OJ139)))</f>
        <v>0</v>
      </c>
      <c r="OC140" s="17" t="e">
        <f>OB140*VLOOKUP('Données projet'!$B$27,Paramètres!$A$1:$I$89,3,0)*VLOOKUP('Données projet'!$B$27,Paramètres!$A$1:$I$89,5,0)</f>
        <v>#N/A</v>
      </c>
      <c r="OD140" s="13" t="e">
        <f t="shared" si="322"/>
        <v>#N/A</v>
      </c>
      <c r="OE140" s="14" t="e">
        <f t="shared" si="278"/>
        <v>#N/A</v>
      </c>
      <c r="OF140" s="59" t="e">
        <f t="shared" si="279"/>
        <v>#N/A</v>
      </c>
      <c r="OG140" s="20" t="e">
        <f ca="1">AVERAGE(OFFSET($OF$3,0,0,'Données projet'!$E$27+1,1))-AVERAGE(OFFSET($H$3,0,0,'Données projet'!$E$27+1,1))</f>
        <v>#N/A</v>
      </c>
      <c r="OH140" s="59" t="e">
        <f t="shared" si="323"/>
        <v>#N/A</v>
      </c>
      <c r="OI140" s="15">
        <f>IF(ISNA(VLOOKUP($A140,'Données projet'!$A$512:$I$532,3,0)),0,VLOOKUP($A140,'Données projet'!$A$512:$I$532,3,0))</f>
        <v>0</v>
      </c>
      <c r="OJ140" s="15">
        <f>IF(ISNA(VLOOKUP($A140,'Données projet'!$A$512:$I$532,4,0)),0,VLOOKUP($A140,'Données projet'!$A$512:$I$532,4,0))</f>
        <v>0</v>
      </c>
      <c r="OK140" s="16">
        <f>IF(ISNA(VLOOKUP($A140,'Données projet'!$A$512:$I$532,5,0)),0%,VLOOKUP($A140,'Données projet'!$A$512:$I$532,5,0)*VLOOKUP('Données projet'!$B$27,Paramètres!$A$1:$I$89,7,0))</f>
        <v>0</v>
      </c>
      <c r="OL140" s="16">
        <f>IF(ISNA(VLOOKUP($A140,'Données projet'!$A$512:$I$532,6,0)),0%,VLOOKUP($A140,'Données projet'!$A$512:$I$532,6,0)*VLOOKUP('Données projet'!$B$27,Paramètres!$A$1:$I$89,7,0))</f>
        <v>0</v>
      </c>
      <c r="OM140" s="16">
        <f>IF(ISNA(VLOOKUP($A140,'Données projet'!$A$512:$I$532,7,0)),0%,VLOOKUP($A140,'Données projet'!$A$512:$I$532,7,0))</f>
        <v>0</v>
      </c>
      <c r="ON140" s="21" t="e">
        <f>EXP(-LN(2)/35)*ON139+(1-EXP(-LN(2)/35))/(LN(2)/35)*OJ140*OK140*VLOOKUP('Données projet'!$B$27,Paramètres!$A$1:$I$89,3,0)*0.475*44/12</f>
        <v>#N/A</v>
      </c>
      <c r="OO140" s="21" t="e">
        <f>EXP(-LN(2)/25)*OO139+(1-EXP(-LN(2)/25))/(LN(2)/25)*Calculateur!OJ140*Calculateur!OL140*VLOOKUP('Données projet'!$B$27,Paramètres!$A$1:$I$89,3,0)*0.475*44/12</f>
        <v>#N/A</v>
      </c>
      <c r="OP140" s="21" t="e">
        <f>EXP(-LN(2)/2)*OP139+(1-EXP(-LN(2)/2))/(LN(2)/2)*OJ140*OM140*VLOOKUP('Données projet'!$B$27,Paramètres!$A$1:$I$89,3,0)*0.475*44/12</f>
        <v>#N/A</v>
      </c>
      <c r="OQ140" s="22" t="e">
        <f t="shared" si="280"/>
        <v>#N/A</v>
      </c>
      <c r="OR140" s="74">
        <f>('Scénario référence'!$F$8+'Scénario référence'!$F$9+'Scénario référence'!$B$17+'Scénario référence'!$B$9+'Scénario référence'!$B$10)*70+IF((45+25*(1-EXP(-0.0175*$A140)))&lt;70,'Scénario référence'!$B$16*(45+25*(1-EXP(-0.0175*$A140))),70*'Scénario référence'!$B$16)+IF((32+38*(1-EXP(-0.0175*$A140)))&lt;70,'Scénario référence'!$B$18*(32+38*(1-EXP(-0.0175*$A140))),70*'Scénario référence'!$B$18)</f>
        <v>70</v>
      </c>
      <c r="OS140" s="12">
        <f>IF($A140&gt;30,10,('Scénario référence'!$B$16+'Scénario référence'!$B$17+'Scénario référence'!$B$18+'Scénario référence'!$B$9+'Scénario référence'!$B$10)*$A140*10/30+('Scénario référence'!$F$8+'Scénario référence'!$F$9)*10)</f>
        <v>10</v>
      </c>
      <c r="OT140" s="12" t="e">
        <f>VLOOKUP($A140,'Données projet'!$A$538:$I$558,2,0)</f>
        <v>#N/A</v>
      </c>
      <c r="OU140" s="12" t="e">
        <f>VLOOKUP($A140,'Données projet'!$A$538:$I$558,9,0)</f>
        <v>#N/A</v>
      </c>
      <c r="OV140" s="12">
        <f t="array" ref="OV140">INDEX(OU:OU,MIN(IF(ISNUMBER(OU140:OU336),ROW(OU140:OU336),"")))</f>
        <v>0</v>
      </c>
      <c r="OW140" s="12">
        <f>IF('Données projet'!$A$538&gt;35,OW139+OV140-PE139,IF($A140&lt;'Données projet'!$A$538,$CQ$205^$A140,IF($A140='Données projet'!$A$538,'Données projet'!$B$538,OW139+OV140-PE139)))</f>
        <v>0</v>
      </c>
      <c r="OX140" s="17" t="e">
        <f>OW140*VLOOKUP('Données projet'!$B$28,Paramètres!$A$1:$I$89,3,0)*VLOOKUP('Données projet'!$B$28,Paramètres!$A$1:$I$89,5,0)</f>
        <v>#N/A</v>
      </c>
      <c r="OY140" s="13" t="e">
        <f t="shared" si="324"/>
        <v>#N/A</v>
      </c>
      <c r="OZ140" s="14" t="e">
        <f t="shared" si="281"/>
        <v>#N/A</v>
      </c>
      <c r="PA140" s="59" t="e">
        <f t="shared" si="282"/>
        <v>#N/A</v>
      </c>
      <c r="PB140" s="20" t="e">
        <f ca="1">AVERAGE(OFFSET($PA$3,0,0,'Données projet'!$E$28+1,1))-AVERAGE(OFFSET($H$3,0,0,'Données projet'!$E$28+1,1))</f>
        <v>#N/A</v>
      </c>
      <c r="PC140" s="59" t="e">
        <f t="shared" si="325"/>
        <v>#N/A</v>
      </c>
      <c r="PD140" s="15">
        <f>IF(ISNA(VLOOKUP($A140,'Données projet'!$A$538:$I$558,3,0)),0,VLOOKUP($A140,'Données projet'!$A$538:$I$558,3,0))</f>
        <v>0</v>
      </c>
      <c r="PE140" s="15">
        <f>IF(ISNA(VLOOKUP($A140,'Données projet'!$A$538:$I$558,4,0)),0,VLOOKUP($A140,'Données projet'!$A$538:$I$558,4,0))</f>
        <v>0</v>
      </c>
      <c r="PF140" s="16">
        <f>IF(ISNA(VLOOKUP($A140,'Données projet'!$A$538:$I$558,5,0)),0%,VLOOKUP($A140,'Données projet'!$A$538:$I$558,5,0)*VLOOKUP('Données projet'!$B$28,Paramètres!$A$1:$I$89,7,0))</f>
        <v>0</v>
      </c>
      <c r="PG140" s="16">
        <f>IF(ISNA(VLOOKUP($A140,'Données projet'!$A$538:$I$558,6,0)),0%,VLOOKUP($A140,'Données projet'!$A$538:$I$558,6,0)*VLOOKUP('Données projet'!$B$28,Paramètres!$A$1:$I$89,7,0))</f>
        <v>0</v>
      </c>
      <c r="PH140" s="16">
        <f>IF(ISNA(VLOOKUP($A140,'Données projet'!$A$538:$I$558,7,0)),0%,VLOOKUP($A140,'Données projet'!$A$538:$I$558,7,0))</f>
        <v>0</v>
      </c>
      <c r="PI140" s="21" t="e">
        <f>EXP(-LN(2)/35)*PI139+(1-EXP(-LN(2)/35))/(LN(2)/35)*PE140*PF140*VLOOKUP('Données projet'!$B$28,Paramètres!$A$1:$I$89,3,0)*0.475*44/12</f>
        <v>#N/A</v>
      </c>
      <c r="PJ140" s="21" t="e">
        <f>EXP(-LN(2)/25)*PJ139+(1-EXP(-LN(2)/25))/(LN(2)/25)*Calculateur!PE140*Calculateur!PG140*VLOOKUP('Données projet'!$B$28,Paramètres!$A$1:$I$89,3,0)*0.475*44/12</f>
        <v>#N/A</v>
      </c>
      <c r="PK140" s="21" t="e">
        <f>EXP(-LN(2)/2)*PK139+(1-EXP(-LN(2)/2))/(LN(2)/2)*PE140*PH140*VLOOKUP('Données projet'!$B$28,Paramètres!$A$1:$I$89,3,0)*0.475*44/12</f>
        <v>#N/A</v>
      </c>
      <c r="PL140" s="22" t="e">
        <f t="shared" si="283"/>
        <v>#N/A</v>
      </c>
    </row>
    <row r="141" spans="1:428" x14ac:dyDescent="0.35">
      <c r="A141" s="10">
        <f t="shared" si="284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285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225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projet'!$A$45:$I$65,2,0)</f>
        <v>#N/A</v>
      </c>
      <c r="L141" s="12" t="e">
        <f>VLOOKUP(A141,'Données projet'!$A$45:$I$65,9,0)</f>
        <v>#N/A</v>
      </c>
      <c r="M141" s="12">
        <f t="array" ref="M141">INDEX(L:L,MIN(IF(ISNUMBER(L141:L337),ROW(L141:L337),"")))</f>
        <v>0</v>
      </c>
      <c r="N141" s="13">
        <f>IF('Données projet'!$A$46&gt;35,N140+M141-V140,IF(A141&lt;'Données projet'!$A$46,$K$205^A141,IF(A141='Données projet'!$A$46,'Données projet'!$B$46,N140+M141-V140)))</f>
        <v>-1.1368683772161603E-13</v>
      </c>
      <c r="O141" s="13">
        <f>N141*VLOOKUP('Données projet'!$B$9,Paramètres!$A$1:$I$89,3,0)*VLOOKUP('Données projet'!$B$9,Paramètres!$A$1:$I$89,5,0)</f>
        <v>-6.3550942286383367E-14</v>
      </c>
      <c r="P141" s="13" t="e">
        <f t="shared" si="286"/>
        <v>#NUM!</v>
      </c>
      <c r="Q141" s="20" t="e">
        <f t="shared" si="223"/>
        <v>#NUM!</v>
      </c>
      <c r="R141" s="59" t="e">
        <f t="shared" si="224"/>
        <v>#NUM!</v>
      </c>
      <c r="S141" s="59">
        <f ca="1">AVERAGE(OFFSET($R$3,0,0,'Données projet'!$E$9+1,1))-AVERAGE(OFFSET($H$3,0,0,'Données projet'!$E$9+1,1))</f>
        <v>274.57619581652199</v>
      </c>
      <c r="T141" s="59">
        <f t="shared" si="287"/>
        <v>366.15117322598775</v>
      </c>
      <c r="U141" s="15">
        <f>IF(ISNA(VLOOKUP(A141,'Données projet'!$A$45:$I$65,3,0)),0,VLOOKUP(A141,'Données projet'!$A$45:$I$65,3,0))</f>
        <v>0</v>
      </c>
      <c r="V141" s="15">
        <f>IF(ISNA(VLOOKUP(A141,'Données projet'!$A$45:$I$65,4,0)),0,VLOOKUP(A141,'Données projet'!$A$45:$I$65,4,0))</f>
        <v>0</v>
      </c>
      <c r="W141" s="16">
        <f>IF(ISNA(VLOOKUP(A141,'Données projet'!$A$45:$I$65,5,0)),0%,VLOOKUP(A141,'Données projet'!$A$45:$I$65,5,0)*VLOOKUP('Données projet'!$B$9,Paramètres!$A$1:$I$89,7,0))</f>
        <v>0</v>
      </c>
      <c r="X141" s="16">
        <f>IF(ISNA(VLOOKUP(A141,'Données projet'!$A$45:$I$65,6,0)),0%,VLOOKUP(A141,'Données projet'!$A$45:$I$65,6,0)*VLOOKUP('Données projet'!$B$9,Paramètres!$A$1:$I$89,7,0))</f>
        <v>0</v>
      </c>
      <c r="Y141" s="16">
        <f>IF(ISNA(VLOOKUP(A141,'Données projet'!$A$45:$I$65,7,0)),0%,VLOOKUP(A141,'Données projet'!$A$45:$I$65,7,0))</f>
        <v>0</v>
      </c>
      <c r="Z141" s="21">
        <f>EXP(-LN(2)/35)*Z140+(1-EXP(-LN(2)/35))/(LN(2)/35)*V141*W141*VLOOKUP('Données projet'!$B$9,Paramètres!$A$1:$I$89,3,0)*0.475*44/12</f>
        <v>43.802425605222425</v>
      </c>
      <c r="AA141" s="21">
        <f>EXP(-LN(2)/25)*AA140+(1-EXP(-LN(2)/25))/(LN(2)/25)*Calculateur!V141*Calculateur!X141*VLOOKUP('Données projet'!$B$9,Paramètres!$A$1:$I$89,3,0)*0.475*44/12</f>
        <v>5.7684721846036826</v>
      </c>
      <c r="AB141" s="21">
        <f>EXP(-LN(2)/2)*AB140+(1-EXP(-LN(2)/2))/(LN(2)/2)*V141*Y141*VLOOKUP('Données projet'!$B$9,Paramètres!$A$1:$I$89,3,0)*0.475*44/12</f>
        <v>1.0984735906951341E-11</v>
      </c>
      <c r="AC141" s="22">
        <f t="shared" si="226"/>
        <v>49.57089778983709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projet'!$A$71:$I$91,2,0)</f>
        <v>#N/A</v>
      </c>
      <c r="AG141" s="12" t="e">
        <f>VLOOKUP(A141,'Données projet'!$A$71:$I$91,9,0)</f>
        <v>#N/A</v>
      </c>
      <c r="AH141" s="12">
        <f t="array" ref="AH141">INDEX(AG:AG,MIN(IF(ISNUMBER(AG141:AG337),ROW(AG141:AG337),"")))</f>
        <v>0</v>
      </c>
      <c r="AI141" s="13">
        <f>IF('Données projet'!$A$72&gt;35,AI140+AH141-AQ140,IF(A141&lt;'Données projet'!$A$72,$AF$205^A141,IF(A141='Données projet'!$A$72,'Données projet'!$B$72,AI140+AH141-AQ140)))</f>
        <v>5.6843418860808015E-13</v>
      </c>
      <c r="AJ141" s="13">
        <f>AI141*VLOOKUP('Données projet'!$B$10,Paramètres!$A$1:$I$89,3,0)*VLOOKUP('Données projet'!$B$10,Paramètres!$A$1:$I$89,5,0)</f>
        <v>5.1431925385259092E-13</v>
      </c>
      <c r="AK141" s="13">
        <f t="shared" si="288"/>
        <v>6.3855359115685756E-12</v>
      </c>
      <c r="AL141" s="20">
        <f t="shared" si="227"/>
        <v>1.2017247746441865E-11</v>
      </c>
      <c r="AM141" s="59">
        <f t="shared" si="228"/>
        <v>293.33333333334531</v>
      </c>
      <c r="AN141" s="59">
        <f ca="1">AVERAGE(OFFSET($AM$3,0,0,'Données projet'!$E$10+1,1))-AVERAGE(OFFSET($H$3,0,0,'Données projet'!$E$10+1,1))</f>
        <v>270.87836509222456</v>
      </c>
      <c r="AO141" s="59">
        <f t="shared" si="289"/>
        <v>205.24998237949734</v>
      </c>
      <c r="AP141" s="15">
        <f>IF(ISNA(VLOOKUP(A141,'Données projet'!$A$71:$I$91,3,0)),0,VLOOKUP(A141,'Données projet'!$A$71:$I$91,3,0))</f>
        <v>0</v>
      </c>
      <c r="AQ141" s="15">
        <f>IF(ISNA(VLOOKUP(A141,'Données projet'!$A$71:$I$91,4,0)),0,VLOOKUP(A141,'Données projet'!$A$71:$I$91,4,0))</f>
        <v>0</v>
      </c>
      <c r="AR141" s="16">
        <f>IF(ISNA(VLOOKUP(A141,'Données projet'!$A$71:$I$91,5,0)),0%,VLOOKUP(A141,'Données projet'!$A$71:$I$91,5,0)*VLOOKUP('Données projet'!$B$10,Paramètres!$A$1:$I$89,7,0))</f>
        <v>0</v>
      </c>
      <c r="AS141" s="16">
        <f>IF(ISNA(VLOOKUP(A141,'Données projet'!$A$71:$I$91,6,0)),0%,VLOOKUP(A141,'Données projet'!$A$71:$I$91,6,0)*VLOOKUP('Données projet'!$B$10,Paramètres!$A$1:$I$89,7,0))</f>
        <v>0</v>
      </c>
      <c r="AT141" s="16">
        <f>IF(ISNA(VLOOKUP(A141,'Données projet'!$A$71:$I$91,7,0)),0%,VLOOKUP(A141,'Données projet'!$A$71:$I$91,7,0))</f>
        <v>0</v>
      </c>
      <c r="AU141" s="21">
        <f>EXP(-LN(2)/35)*AU140+(1-EXP(-LN(2)/35))/(LN(2)/35)*AQ141*AR141*VLOOKUP('Données projet'!$B$10,Paramètres!$A$1:$I$89,3,0)*0.475*44/12</f>
        <v>148.8518020623988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229"/>
        <v>148.8518020623988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projet'!$A$97:$I$117,2,0)</f>
        <v>#N/A</v>
      </c>
      <c r="BB141" s="12" t="e">
        <f>VLOOKUP(A141,'Données projet'!$A$97:$I$117,9,0)</f>
        <v>#N/A</v>
      </c>
      <c r="BC141" s="12">
        <f t="array" ref="BC141">INDEX(BB:BB,MIN(IF(ISNUMBER(BB141:BB337),ROW(BB141:BB337),"")))</f>
        <v>0</v>
      </c>
      <c r="BD141" s="12">
        <f>IF('Données projet'!$A$98&gt;35,BD140+BC141-BL140,IF(A141&lt;'Données projet'!$A$98,$BA$205^A141,IF(A141='Données projet'!$A$98,'Données projet'!$B$98,BD140+BC141-BL140)))</f>
        <v>-1.1368683772161603E-13</v>
      </c>
      <c r="BE141" s="13">
        <f>BD141*VLOOKUP('Données projet'!$B$11,Paramètres!$A$1:$I$89,3,0)*VLOOKUP('Données projet'!$B$11,Paramètres!$A$1:$I$89,5,0)</f>
        <v>-5.0249582272954292E-14</v>
      </c>
      <c r="BF141" s="13" t="e">
        <f t="shared" si="290"/>
        <v>#NUM!</v>
      </c>
      <c r="BG141" s="20" t="e">
        <f t="shared" si="230"/>
        <v>#NUM!</v>
      </c>
      <c r="BH141" s="59" t="e">
        <f t="shared" si="231"/>
        <v>#NUM!</v>
      </c>
      <c r="BI141" s="59">
        <f ca="1">AVERAGE(OFFSET($BH$3,0,0,'Données projet'!$E$11+1,1))-AVERAGE(OFFSET($H$3,0,0,'Données projet'!$E$11+1,1))</f>
        <v>211.31057120485542</v>
      </c>
      <c r="BJ141" s="59">
        <f t="shared" si="291"/>
        <v>283.33292006714777</v>
      </c>
      <c r="BK141" s="15">
        <f>IF(ISNA(VLOOKUP(A141,'Données projet'!$A$97:$I$117,3,0)),0,VLOOKUP(A141,'Données projet'!$A$97:$I$117,3,0))</f>
        <v>0</v>
      </c>
      <c r="BL141" s="15">
        <f>IF(ISNA(VLOOKUP(A141,'Données projet'!$A$97:$I$117,4,0)),0,VLOOKUP(A141,'Données projet'!$A$97:$I$117,4,0))</f>
        <v>0</v>
      </c>
      <c r="BM141" s="16">
        <f>IF(ISNA(VLOOKUP(A141,'Données projet'!$A$97:$I$117,5,0)),0%,VLOOKUP(A141,'Données projet'!$A$97:$I$117,5,0)*VLOOKUP('Données projet'!$B$11,Paramètres!$A$1:$I$89,7,0))</f>
        <v>0</v>
      </c>
      <c r="BN141" s="16">
        <f>IF(ISNA(VLOOKUP(A141,'Données projet'!$A$97:$I$117,6,0)),0%,VLOOKUP(A141,'Données projet'!$A$97:$I$117,6,0)*VLOOKUP('Données projet'!$B$11,Paramètres!$A$1:$I$89,7,0))</f>
        <v>0</v>
      </c>
      <c r="BO141" s="16">
        <f>IF(ISNA(VLOOKUP(A141,'Données projet'!$A$97:$I$117,7,0)),0%,VLOOKUP(A141,'Données projet'!$A$97:$I$117,7,0))</f>
        <v>0</v>
      </c>
      <c r="BP141" s="21">
        <f>EXP(-LN(2)/35)*BP140+(1-EXP(-LN(2)/35))/(LN(2)/35)*BL141*BM141*VLOOKUP('Données projet'!$B$11,Paramètres!$A$1:$I$89,3,0)*0.475*44/12</f>
        <v>34.634476059943331</v>
      </c>
      <c r="BQ141" s="21">
        <f>EXP(-LN(2)/25)*BQ140+(1-EXP(-LN(2)/25))/(LN(2)/25)*Calculateur!BL141*Calculateur!BN141*VLOOKUP('Données projet'!$B$11,Paramètres!$A$1:$I$89,3,0)*0.475*44/12</f>
        <v>4.5611175413145375</v>
      </c>
      <c r="BR141" s="21">
        <f>EXP(-LN(2)/2)*BR140+(1-EXP(-LN(2)/2))/(LN(2)/2)*BL141*BO141*VLOOKUP('Données projet'!$B$11,Paramètres!$A$1:$I$89,3,0)*0.475*44/12</f>
        <v>8.6856051357289653E-12</v>
      </c>
      <c r="BS141" s="22">
        <f t="shared" si="232"/>
        <v>39.195593601266552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projet'!$A$123:$I$143,2,0)</f>
        <v>#N/A</v>
      </c>
      <c r="BW141" s="12" t="e">
        <f>VLOOKUP(A141,'Données projet'!$A$123:$I$143,9,0)</f>
        <v>#N/A</v>
      </c>
      <c r="BX141" s="12">
        <f t="array" ref="BX141">INDEX(BW:BW,MIN(IF(ISNUMBER(BW141:BW337),ROW(BW141:BW337),"")))</f>
        <v>0</v>
      </c>
      <c r="BY141" s="12">
        <f>IF('Données projet'!$A$124&gt;35,BY140+BX141-CG140,IF(A141&lt;'Données projet'!$A$124,$BV$205^A141,IF(A141='Données projet'!$A$124,'Données projet'!$B$124,BY140+BX141-CG140)))</f>
        <v>0</v>
      </c>
      <c r="BZ141" s="13">
        <f>BY141*VLOOKUP('Données projet'!$B$12,Paramètres!$A$1:$I$89,3,0)*VLOOKUP('Données projet'!$B$12,Paramètres!$A$1:$I$89,5,0)</f>
        <v>0</v>
      </c>
      <c r="CA141" s="13" t="e">
        <f t="shared" si="292"/>
        <v>#NUM!</v>
      </c>
      <c r="CB141" s="20" t="e">
        <f t="shared" si="233"/>
        <v>#NUM!</v>
      </c>
      <c r="CC141" s="59" t="e">
        <f t="shared" si="234"/>
        <v>#NUM!</v>
      </c>
      <c r="CD141" s="59">
        <f ca="1">AVERAGE(OFFSET($CC$3,0,0,'Données projet'!$E$12+1,1))-AVERAGE(OFFSET($H$3,0,0,'Données projet'!$E$12+1,1))</f>
        <v>322.93502595881938</v>
      </c>
      <c r="CE141" s="59">
        <f t="shared" si="293"/>
        <v>302.67072119588164</v>
      </c>
      <c r="CF141" s="15">
        <f>IF(ISNA(VLOOKUP(A141,'Données projet'!$A$123:$I$143,3,0)),0,VLOOKUP(A141,'Données projet'!$A$123:$I$143,3,0))</f>
        <v>0</v>
      </c>
      <c r="CG141" s="15">
        <f>IF(ISNA(VLOOKUP(A141,'Données projet'!$A$123:$I$143,4,0)),0,VLOOKUP(A141,'Données projet'!$A$123:$I$143,4,0))</f>
        <v>0</v>
      </c>
      <c r="CH141" s="16">
        <f>IF(ISNA(VLOOKUP(A141,'Données projet'!$A$123:$I$143,5,0)),0%,VLOOKUP(A141,'Données projet'!$A$123:$I$143,5,0)*VLOOKUP('Données projet'!$B$12,Paramètres!$A$1:$I$89,7,0))</f>
        <v>0</v>
      </c>
      <c r="CI141" s="16">
        <f>IF(ISNA(VLOOKUP(A141,'Données projet'!$A$123:$I$143,6,0)),0%,VLOOKUP(A141,'Données projet'!$A$123:$I$143,6,0)*VLOOKUP('Données projet'!$B$12,Paramètres!$A$1:$I$89,7,0))</f>
        <v>0</v>
      </c>
      <c r="CJ141" s="16">
        <f>IF(ISNA(VLOOKUP(A141,'Données projet'!$A$123:$I$143,7,0)),0%,VLOOKUP(A141,'Données projet'!$A$123:$I$143,7,0))</f>
        <v>0</v>
      </c>
      <c r="CK141" s="21">
        <f>EXP(-LN(2)/35)*CK140+(1-EXP(-LN(2)/35))/(LN(2)/35)*CG141*CH141*VLOOKUP('Données projet'!$B$12,Paramètres!$A$1:$I$89,3,0)*0.475*44/12</f>
        <v>55.181089237825553</v>
      </c>
      <c r="CL141" s="21">
        <f>EXP(-LN(2)/25)*CL140+(1-EXP(-LN(2)/25))/(LN(2)/25)*Calculateur!CG141*Calculateur!CI141*VLOOKUP('Données projet'!$B$12,Paramètres!$A$1:$I$89,3,0)*0.475*44/12</f>
        <v>14.598335786060741</v>
      </c>
      <c r="CM141" s="21">
        <f>EXP(-LN(2)/2)*CM140+(1-EXP(-LN(2)/2))/(LN(2)/2)*CG141*CJ141*VLOOKUP('Données projet'!$B$12,Paramètres!$A$1:$I$89,3,0)*0.475*44/12</f>
        <v>0</v>
      </c>
      <c r="CN141" s="22">
        <f t="shared" si="235"/>
        <v>69.77942502388629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projet'!$A$149:$I$169,2,0)</f>
        <v>#N/A</v>
      </c>
      <c r="CR141" s="12" t="e">
        <f>VLOOKUP(A141,'Données projet'!$A$149:$I$169,9,0)</f>
        <v>#N/A</v>
      </c>
      <c r="CS141" s="12">
        <f t="array" ref="CS141">INDEX(CR:CR,MIN(IF(ISNUMBER(CR141:CR337),ROW(CR141:CR337),"")))</f>
        <v>5.1063034188034209</v>
      </c>
      <c r="CT141" s="12">
        <f>IF('Données projet'!$A$150&gt;35,CT140+CS141-DB140,IF(A141&lt;'Données projet'!$A$150,$CQ$205^A141,IF(A141='Données projet'!$A$150,'Données projet'!$B$150,CT140+CS141-DB140)))</f>
        <v>247.01655982905947</v>
      </c>
      <c r="CU141" s="17">
        <f>CT141*VLOOKUP('Données projet'!$B$13,Paramètres!$A$1:$I$89,3,0)*VLOOKUP('Données projet'!$B$13,Paramètres!$A$1:$I$89,5,0)</f>
        <v>250.47479166666631</v>
      </c>
      <c r="CV141" s="13">
        <f t="shared" si="294"/>
        <v>60.687599112090453</v>
      </c>
      <c r="CW141" s="20">
        <f t="shared" si="236"/>
        <v>541.94116393966794</v>
      </c>
      <c r="CX141" s="59">
        <f t="shared" si="237"/>
        <v>835.27449727300132</v>
      </c>
      <c r="CY141" s="59">
        <f ca="1">AVERAGE(OFFSET($CX$3,0,0,'Données projet'!$E$13+1,1))-AVERAGE(OFFSET($H$3,0,0,'Données projet'!$E$13+1,1))</f>
        <v>250.31277422753283</v>
      </c>
      <c r="CZ141" s="59">
        <f t="shared" si="295"/>
        <v>159.20429420478047</v>
      </c>
      <c r="DA141" s="15">
        <f>IF(ISNA(VLOOKUP(A141,'Données projet'!$A$149:$I$169,3,0)),0,VLOOKUP(A141,'Données projet'!$A$149:$I$169,3,0))</f>
        <v>0</v>
      </c>
      <c r="DB141" s="15">
        <f>IF(ISNA(VLOOKUP(A141,'Données projet'!$A$149:$I$169,4,0)),0,VLOOKUP(A141,'Données projet'!$A$149:$I$169,4,0))</f>
        <v>0</v>
      </c>
      <c r="DC141" s="16">
        <f>IF(ISNA(VLOOKUP(A141,'Données projet'!$A$149:$I$169,5,0)),0%,VLOOKUP(A141,'Données projet'!$A$149:$I$169,5,0)*VLOOKUP('Données projet'!$B$13,Paramètres!$A$1:$I$89,7,0))</f>
        <v>0</v>
      </c>
      <c r="DD141" s="16">
        <f>IF(ISNA(VLOOKUP(A141,'Données projet'!$A$149:$I$169,6,0)),0%,VLOOKUP(A141,'Données projet'!$A$149:$I$169,6,0)*VLOOKUP('Données projet'!$B$13,Paramètres!$A$1:$I$89,7,0))</f>
        <v>0</v>
      </c>
      <c r="DE141" s="16">
        <f>IF(ISNA(VLOOKUP(A141,'Données projet'!$A$149:$I$169,7,0)),0%,VLOOKUP(A141,'Données projet'!$A$149:$I$169,7,0))</f>
        <v>0</v>
      </c>
      <c r="DF141" s="21">
        <f>EXP(-LN(2)/35)*DF140+(1-EXP(-LN(2)/35))/(LN(2)/35)*DB141*DC141*VLOOKUP('Données projet'!$B$13,Paramètres!$A$1:$I$89,3,0)*0.475*44/12</f>
        <v>53.87095706783505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238"/>
        <v>53.87095706783505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projet'!$A$175:$I$195,2,0)</f>
        <v>#N/A</v>
      </c>
      <c r="DM141" s="12" t="e">
        <f>VLOOKUP(A141,'Données projet'!$A$175:$I$195,9,0)</f>
        <v>#N/A</v>
      </c>
      <c r="DN141" s="12">
        <f t="array" ref="DN141">INDEX(DM:DM,MIN(IF(ISNUMBER(DM141:DM337),ROW(DM141:DM337),"")))</f>
        <v>0</v>
      </c>
      <c r="DO141" s="12">
        <f>IF('Données projet'!$A$176&gt;35,DO140+DN141-DW140,IF(A141&lt;'Données projet'!$A$176,$DL$205^A141,IF(A141='Données projet'!$A$176,'Données projet'!$B$176,DO140+DN141-DW140)))</f>
        <v>-2.8421709430404007E-13</v>
      </c>
      <c r="DP141" s="17">
        <f>DO141*VLOOKUP('Données projet'!$B$14,Paramètres!$A$1:$I$89,3,0)*VLOOKUP('Données projet'!$B$14,Paramètres!$A$1:$I$89,5,0)</f>
        <v>-2.0838797354372215E-13</v>
      </c>
      <c r="DQ141" s="13" t="e">
        <f t="shared" si="296"/>
        <v>#NUM!</v>
      </c>
      <c r="DR141" s="20" t="e">
        <f t="shared" si="239"/>
        <v>#NUM!</v>
      </c>
      <c r="DS141" s="59" t="e">
        <f t="shared" si="240"/>
        <v>#NUM!</v>
      </c>
      <c r="DT141" s="59">
        <f ca="1">AVERAGE(OFFSET($DS$3,0,0,'Données projet'!$E$14+1,1))-AVERAGE(OFFSET($H$3,0,0,'Données projet'!$E$14+1,1))</f>
        <v>296.91321813251051</v>
      </c>
      <c r="DU141" s="59">
        <f t="shared" si="297"/>
        <v>291.0718079639509</v>
      </c>
      <c r="DV141" s="15">
        <f>IF(ISNA(VLOOKUP(A141,'Données projet'!$A$175:$I$195,3,0)),0,VLOOKUP(A141,'Données projet'!$A$175:$I$195,3,0))</f>
        <v>0</v>
      </c>
      <c r="DW141" s="15">
        <f>IF(ISNA(VLOOKUP(A141,'Données projet'!$A$175:$I$195,4,0)),0,VLOOKUP(A141,'Données projet'!$A$175:$I$195,4,0))</f>
        <v>0</v>
      </c>
      <c r="DX141" s="16">
        <f>IF(ISNA(VLOOKUP(A141,'Données projet'!$A$175:$I$195,5,0)),0%,VLOOKUP(A141,'Données projet'!$A$175:$I$195,5,0)*VLOOKUP('Données projet'!$B$14,Paramètres!$A$1:$I$89,7,0))</f>
        <v>0</v>
      </c>
      <c r="DY141" s="16">
        <f>IF(ISNA(VLOOKUP(A141,'Données projet'!$A$175:$I$195,6,0)),0%,VLOOKUP(A141,'Données projet'!$A$175:$I$195,6,0)*VLOOKUP('Données projet'!$B$14,Paramètres!$A$1:$I$89,7,0))</f>
        <v>0</v>
      </c>
      <c r="DZ141" s="16">
        <f>IF(ISNA(VLOOKUP(A141,'Données projet'!$A$175:$I$195,7,0)),0%,VLOOKUP(A141,'Données projet'!$A$175:$I$195,7,0))</f>
        <v>0</v>
      </c>
      <c r="EA141" s="21">
        <f>EXP(-LN(2)/35)*EA140+(1-EXP(-LN(2)/35))/(LN(2)/35)*DW141*DX141*VLOOKUP('Données projet'!$B$14,Paramètres!$A$1:$I$89,3,0)*0.475*44/12</f>
        <v>54.997830470624109</v>
      </c>
      <c r="EB141" s="21">
        <f>EXP(-LN(2)/25)*EB140+(1-EXP(-LN(2)/25))/(LN(2)/25)*Calculateur!DW141*Calculateur!DY141*VLOOKUP('Données projet'!$B$14,Paramètres!$A$1:$I$89,3,0)*0.475*44/12</f>
        <v>1.0724069867403985</v>
      </c>
      <c r="EC141" s="21">
        <f>EXP(-LN(2)/2)*EC140+(1-EXP(-LN(2)/2))/(LN(2)/2)*DW141*DZ141*VLOOKUP('Données projet'!$B$14,Paramètres!$A$1:$I$89,3,0)*0.475*44/12</f>
        <v>0</v>
      </c>
      <c r="ED141" s="22">
        <f t="shared" si="241"/>
        <v>56.070237457364506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projet'!$A$201:$I$221,2,0)</f>
        <v>#N/A</v>
      </c>
      <c r="EH141" s="12" t="e">
        <f>VLOOKUP(A141,'Données projet'!$A$201:$I$221,9,0)</f>
        <v>#N/A</v>
      </c>
      <c r="EI141" s="12">
        <f t="array" ref="EI141">INDEX(EH:EH,MIN(IF(ISNUMBER(EH141:EH337),ROW(EH141:EH337),"")))</f>
        <v>0</v>
      </c>
      <c r="EJ141" s="12">
        <f>IF('Données projet'!$A$202&gt;35,EJ140+EI141-ER140,IF(A141&lt;'Données projet'!$A$202,$EG$205^A141,IF(A141='Données projet'!$A$202,'Données projet'!$B$202,EJ140+EI141-ER140)))</f>
        <v>5.1159076974727213E-13</v>
      </c>
      <c r="EK141" s="17">
        <f>EJ141*VLOOKUP('Données projet'!$B$15,Paramètres!$A$1:$I$89,3,0)*VLOOKUP('Données projet'!$B$15,Paramètres!$A$1:$I$89,5,0)</f>
        <v>2.3942448024172334E-13</v>
      </c>
      <c r="EL141" s="13">
        <f t="shared" si="298"/>
        <v>3.2492669905861755E-12</v>
      </c>
      <c r="EM141" s="20">
        <f t="shared" si="242"/>
        <v>6.0761376450252565E-12</v>
      </c>
      <c r="EN141" s="59">
        <f t="shared" si="243"/>
        <v>293.3333333333394</v>
      </c>
      <c r="EO141" s="59">
        <f ca="1">AVERAGE(OFFSET($EN$3,0,0,'Données projet'!$E$15+1,1))-AVERAGE(OFFSET($H$3,0,0,'Données projet'!$E$15+1,1))</f>
        <v>147.64256291235483</v>
      </c>
      <c r="EP141" s="59">
        <f t="shared" si="299"/>
        <v>70.859031694091868</v>
      </c>
      <c r="EQ141" s="15">
        <f>IF(ISNA(VLOOKUP(A141,'Données projet'!$A$201:$I$221,3,0)),0,VLOOKUP(A141,'Données projet'!$A$201:$I$221,3,0))</f>
        <v>0</v>
      </c>
      <c r="ER141" s="15">
        <f>IF(ISNA(VLOOKUP(A141,'Données projet'!$A$201:$I$221,4,0)),0,VLOOKUP(A141,'Données projet'!$A$201:$I$221,4,0))</f>
        <v>0</v>
      </c>
      <c r="ES141" s="16">
        <f>IF(ISNA(VLOOKUP(A141,'Données projet'!$A$201:$I$221,5,0)),0%,VLOOKUP(A141,'Données projet'!$A$201:$I$221,5,0)*VLOOKUP('Données projet'!$B$15,Paramètres!$A$1:$I$89,7,0))</f>
        <v>0</v>
      </c>
      <c r="ET141" s="16">
        <f>IF(ISNA(VLOOKUP(A141,'Données projet'!$A$201:$I$221,6,0)),0%,VLOOKUP(A141,'Données projet'!$A$201:$I$221,6,0)*VLOOKUP('Données projet'!$B$15,Paramètres!$A$1:$I$89,7,0))</f>
        <v>0</v>
      </c>
      <c r="EU141" s="16">
        <f>IF(ISNA(VLOOKUP(A141,'Données projet'!$A$201:$I$221,7,0)),0%,VLOOKUP(A141,'Données projet'!$A$201:$I$221,7,0))</f>
        <v>0</v>
      </c>
      <c r="EV141" s="21">
        <f>EXP(-LN(2)/35)*EV140+(1-EXP(-LN(2)/35))/(LN(2)/35)*ER141*ES141*VLOOKUP('Données projet'!$B$15,Paramètres!$A$1:$I$89,3,0)*0.475*44/12</f>
        <v>75.292896836255395</v>
      </c>
      <c r="EW141" s="21">
        <f>EXP(-LN(2)/25)*EW140+(1-EXP(-LN(2)/25))/(LN(2)/25)*Calculateur!ER141*Calculateur!ET141*VLOOKUP('Données projet'!$B$15,Paramètres!$A$1:$I$89,3,0)*0.475*44/12</f>
        <v>14.878566509244719</v>
      </c>
      <c r="EX141" s="21">
        <f>EXP(-LN(2)/2)*EX140+(1-EXP(-LN(2)/2))/(LN(2)/2)*ER141*EU141*VLOOKUP('Données projet'!$B$15,Paramètres!$A$1:$I$89,3,0)*0.475*44/12</f>
        <v>7.9189957564636411E-4</v>
      </c>
      <c r="EY141" s="22">
        <f t="shared" si="244"/>
        <v>90.17225524507576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projet'!$A$227:$I$247,2,0)</f>
        <v>#N/A</v>
      </c>
      <c r="FC141" s="12" t="e">
        <f>VLOOKUP(A141,'Données projet'!$A$227:$I$247,9,0)</f>
        <v>#N/A</v>
      </c>
      <c r="FD141" s="12">
        <f t="array" ref="FD141">INDEX(FC:FC,MIN(IF(ISNUMBER(FC141:FC337),ROW(FC141:FC337),"")))</f>
        <v>0</v>
      </c>
      <c r="FE141" s="12">
        <f>IF('Données projet'!$A$228&gt;35,FE140+FD141-FM140,IF(A141&lt;'Données projet'!$A$228,$FB$205^A141,IF(A141='Données projet'!$A$228,'Données projet'!$B$228,FE140+FD141-FM140)))</f>
        <v>8.5265128291212022E-14</v>
      </c>
      <c r="FF141" s="17">
        <f>FE141*VLOOKUP('Données projet'!$B$16,Paramètres!$A$1:$I$89,3,0)*VLOOKUP('Données projet'!$B$16,Paramètres!$A$1:$I$89,5,0)</f>
        <v>8.9119112089974823E-14</v>
      </c>
      <c r="FG141" s="13">
        <f t="shared" si="300"/>
        <v>1.3568952080113142E-12</v>
      </c>
      <c r="FH141" s="20">
        <f t="shared" si="245"/>
        <v>2.5184749408430782E-12</v>
      </c>
      <c r="FI141" s="59">
        <f t="shared" si="246"/>
        <v>293.33333333333582</v>
      </c>
      <c r="FJ141" s="59">
        <f ca="1">AVERAGE(OFFSET($FI$3,0,0,'Données projet'!$E$16+1,1))-AVERAGE(OFFSET($H$3,0,0,'Données projet'!$E$16+1,1))</f>
        <v>259.03906550253788</v>
      </c>
      <c r="FK141" s="59">
        <f t="shared" si="301"/>
        <v>235.54542903570831</v>
      </c>
      <c r="FL141" s="15">
        <f>IF(ISNA(VLOOKUP(A141,'Données projet'!$A$227:$I$247,3,0)),0,VLOOKUP(A141,'Données projet'!$A$227:$I$247,3,0))</f>
        <v>0</v>
      </c>
      <c r="FM141" s="15">
        <f>IF(ISNA(VLOOKUP(A141,'Données projet'!$A$227:$I$247,4,0)),0,VLOOKUP(A141,'Données projet'!$A$227:$I$247,4,0))</f>
        <v>0</v>
      </c>
      <c r="FN141" s="16">
        <f>IF(ISNA(VLOOKUP(A141,'Données projet'!$A$227:$I$247,5,0)),0%,VLOOKUP(A141,'Données projet'!$A$227:$I$247,5,0)*VLOOKUP('Données projet'!$B$16,Paramètres!$A$1:$I$89,7,0))</f>
        <v>0</v>
      </c>
      <c r="FO141" s="16">
        <f>IF(ISNA(VLOOKUP(A141,'Données projet'!$A$227:$I$247,6,0)),0%,VLOOKUP(A141,'Données projet'!$A$227:$I$247,6,0)*VLOOKUP('Données projet'!$B$16,Paramètres!$A$1:$I$89,7,0))</f>
        <v>0</v>
      </c>
      <c r="FP141" s="16">
        <f>IF(ISNA(VLOOKUP(A141,'Données projet'!$A$227:$I$247,7,0)),0%,VLOOKUP(A141,'Données projet'!$A$227:$I$247,7,0))</f>
        <v>0</v>
      </c>
      <c r="FQ141" s="21">
        <f>EXP(-LN(2)/35)*FQ140+(1-EXP(-LN(2)/35))/(LN(2)/35)*FM141*FN141*VLOOKUP('Données projet'!$B$16,Paramètres!$A$1:$I$89,3,0)*0.475*44/12</f>
        <v>33.232238435883076</v>
      </c>
      <c r="FR141" s="21">
        <f>EXP(-LN(2)/25)*FR140+(1-EXP(-LN(2)/25))/(LN(2)/25)*Calculateur!FM141*Calculateur!FO141*VLOOKUP('Données projet'!$B$16,Paramètres!$A$1:$I$89,3,0)*0.475*44/12</f>
        <v>20.468066880605594</v>
      </c>
      <c r="FS141" s="21">
        <f>EXP(-LN(2)/2)*FS140+(1-EXP(-LN(2)/2))/(LN(2)/2)*FM141*FP141*VLOOKUP('Données projet'!$B$16,Paramètres!$A$1:$I$89,3,0)*0.475*44/12</f>
        <v>0</v>
      </c>
      <c r="FT141" s="22">
        <f t="shared" si="247"/>
        <v>53.700305316488667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projet'!$A$253:$I$273,2,0)</f>
        <v>#N/A</v>
      </c>
      <c r="FX141" s="12" t="e">
        <f>VLOOKUP(A141,'Données projet'!$A$253:$I$273,9,0)</f>
        <v>#N/A</v>
      </c>
      <c r="FY141" s="12">
        <f t="array" ref="FY141">INDEX(FX:FX,MIN(IF(ISNUMBER(FX141:FX337),ROW(FX141:FX337),"")))</f>
        <v>0</v>
      </c>
      <c r="FZ141" s="12">
        <f>IF('Données projet'!$A$254&gt;35,FZ140+FY141-GH140,IF(A141&lt;'Données projet'!$A$254,$FW$205^A141,IF(A141='Données projet'!$A$254,'Données projet'!$B$254,FZ140+FY141-GH140)))</f>
        <v>-1.7053025658242404E-13</v>
      </c>
      <c r="GA141" s="17">
        <f>FZ141*VLOOKUP('Données projet'!$B$17,Paramètres!$A$1:$I$89,3,0)*VLOOKUP('Données projet'!$B$17,Paramètres!$A$1:$I$89,5,0)</f>
        <v>-1.4897523215040567E-13</v>
      </c>
      <c r="GB141" s="13" t="e">
        <f t="shared" si="302"/>
        <v>#NUM!</v>
      </c>
      <c r="GC141" s="20" t="e">
        <f t="shared" si="248"/>
        <v>#NUM!</v>
      </c>
      <c r="GD141" s="59" t="e">
        <f t="shared" si="249"/>
        <v>#NUM!</v>
      </c>
      <c r="GE141" s="59">
        <f ca="1">AVERAGE(OFFSET($GD$3,0,0,'Données projet'!$E$17+1,1))-AVERAGE(OFFSET($H$3,0,0,'Données projet'!$E$17+1,1))</f>
        <v>245.1983232777614</v>
      </c>
      <c r="GF141" s="59">
        <f t="shared" si="303"/>
        <v>242.34010522344573</v>
      </c>
      <c r="GG141" s="15">
        <f>IF(ISNA(VLOOKUP(A141,'Données projet'!$A$253:$I$273,3,0)),0,VLOOKUP(A141,'Données projet'!$A$253:$I$273,3,0))</f>
        <v>0</v>
      </c>
      <c r="GH141" s="15">
        <f>IF(ISNA(VLOOKUP(A141,'Données projet'!$A$253:$I$273,4,0)),0,VLOOKUP(A141,'Données projet'!$A$253:$I$273,4,0))</f>
        <v>0</v>
      </c>
      <c r="GI141" s="16">
        <f>IF(ISNA(VLOOKUP(A141,'Données projet'!$A$253:$I$273,5,0)),0%,VLOOKUP(A141,'Données projet'!$A$253:$I$273,5,0)*VLOOKUP('Données projet'!$B$17,Paramètres!$A$1:$I$89,7,0))</f>
        <v>0</v>
      </c>
      <c r="GJ141" s="16">
        <f>IF(ISNA(VLOOKUP(A141,'Données projet'!$A$253:$I$273,6,0)),0%,VLOOKUP(A141,'Données projet'!$A$253:$I$273,6,0)*VLOOKUP('Données projet'!$B$17,Paramètres!$A$1:$I$89,7,0))</f>
        <v>0</v>
      </c>
      <c r="GK141" s="16">
        <f>IF(ISNA(VLOOKUP(A141,'Données projet'!$A$253:$I$273,7,0)),0%,VLOOKUP(A141,'Données projet'!$A$253:$I$273,7,0))</f>
        <v>0</v>
      </c>
      <c r="GL141" s="21">
        <f>EXP(-LN(2)/35)*GL140+(1-EXP(-LN(2)/35))/(LN(2)/35)*GH141*GI141*VLOOKUP('Données projet'!$B$17,Paramètres!$A$1:$I$89,3,0)*0.475*44/12</f>
        <v>39.069055820822669</v>
      </c>
      <c r="GM141" s="21">
        <f>EXP(-LN(2)/25)*GM140+(1-EXP(-LN(2)/25))/(LN(2)/25)*Calculateur!GH141*Calculateur!GJ141*VLOOKUP('Données projet'!$B$17,Paramètres!$A$1:$I$89,3,0)*0.475*44/12</f>
        <v>4.3612464167058089</v>
      </c>
      <c r="GN141" s="21">
        <f>EXP(-LN(2)/2)*GN140+(1-EXP(-LN(2)/2))/(LN(2)/2)*GH141*GK141*VLOOKUP('Données projet'!$B$17,Paramètres!$A$1:$I$89,3,0)*0.475*44/12</f>
        <v>0</v>
      </c>
      <c r="GO141" s="21">
        <f t="shared" si="250"/>
        <v>43.43030223752848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projet'!$A$279:$I$299,2,0)</f>
        <v>#N/A</v>
      </c>
      <c r="GS141" s="12" t="e">
        <f>VLOOKUP(A141,'Données projet'!$A$279:$I$299,9,0)</f>
        <v>#N/A</v>
      </c>
      <c r="GT141" s="12">
        <f t="array" ref="GT141">INDEX(GS:GS,MIN(IF(ISNUMBER(GS141:GS337),ROW(GS141:GS337),"")))</f>
        <v>0</v>
      </c>
      <c r="GU141" s="12">
        <f>IF('Données projet'!$A$280&gt;35,GU140+GT141-HC140,IF(A141&lt;'Données projet'!$A$280,$GR$205^A141,IF(A141='Données projet'!$A$280,'Données projet'!$B$280,GU140+GT141-HC140)))</f>
        <v>-1.1368683772161603E-13</v>
      </c>
      <c r="GV141" s="17">
        <f>GU141*VLOOKUP('Données projet'!$B$18,Paramètres!$A$1:$I$89,3,0)*VLOOKUP('Données projet'!$B$18,Paramètres!$A$1:$I$89,5,0)</f>
        <v>-4.5815795601811263E-14</v>
      </c>
      <c r="GW141" s="13" t="e">
        <f t="shared" si="304"/>
        <v>#NUM!</v>
      </c>
      <c r="GX141" s="20" t="e">
        <f t="shared" si="251"/>
        <v>#NUM!</v>
      </c>
      <c r="GY141" s="59" t="e">
        <f t="shared" si="252"/>
        <v>#NUM!</v>
      </c>
      <c r="GZ141" s="59">
        <f ca="1">AVERAGE(OFFSET($GY$3,0,0,'Données projet'!$E$18+1,1))-AVERAGE(OFFSET($H$3,0,0,'Données projet'!$E$18+1,1))</f>
        <v>324.36162935850876</v>
      </c>
      <c r="HA141" s="59">
        <f t="shared" si="305"/>
        <v>265.23571072429735</v>
      </c>
      <c r="HB141" s="15">
        <f>IF(ISNA(VLOOKUP(A141,'Données projet'!$A$279:$I$299,3,0)),0,VLOOKUP(A141,'Données projet'!$A$279:$I$299,3,0))</f>
        <v>0</v>
      </c>
      <c r="HC141" s="15">
        <f>IF(ISNA(VLOOKUP(A141,'Données projet'!$A$279:$I$299,4,0)),0,VLOOKUP(A141,'Données projet'!$A$279:$I$299,4,0))</f>
        <v>0</v>
      </c>
      <c r="HD141" s="16">
        <f>IF(ISNA(VLOOKUP(A141,'Données projet'!$A$279:$I$299,5,0)),0%,VLOOKUP(A141,'Données projet'!$A$279:$I$299,5,0)*VLOOKUP('Données projet'!$B$18,Paramètres!$A$1:$I$89,7,0))</f>
        <v>0</v>
      </c>
      <c r="HE141" s="16">
        <f>IF(ISNA(VLOOKUP(A141,'Données projet'!$A$279:$I$299,6,0)),0%,VLOOKUP(A141,'Données projet'!$A$279:$I$299,6,0)*VLOOKUP('Données projet'!$B$18,Paramètres!$A$1:$I$89,7,0))</f>
        <v>0</v>
      </c>
      <c r="HF141" s="16">
        <f>IF(ISNA(VLOOKUP($A141,'Données projet'!$A$279:$I$299,7,0)),0%,VLOOKUP($A141,'Données projet'!$A$279:$I$299,7,0))</f>
        <v>0</v>
      </c>
      <c r="HG141" s="21">
        <f>EXP(-LN(2)/35)*HG140+(1-EXP(-LN(2)/35))/(LN(2)/35)*HC141*HD141*VLOOKUP('Données projet'!$B$18,Paramètres!$A$1:$I$89,3,0)*0.475*44/12</f>
        <v>74.866524338782952</v>
      </c>
      <c r="HH141" s="21">
        <f>EXP(-LN(2)/25)*HH140+(1-EXP(-LN(2)/25))/(LN(2)/25)*Calculateur!HC141*Calculateur!HE141*VLOOKUP('Données projet'!$B$18,Paramètres!$A$1:$I$89,3,0)*0.475*44/12</f>
        <v>4.8504860943163735</v>
      </c>
      <c r="HI141" s="21">
        <f>EXP(-LN(2)/2)*HI140+(1-EXP(-LN(2)/2))/(LN(2)/2)*HC141*HF141*VLOOKUP('Données projet'!$B$18,Paramètres!$A$1:$I$89,3,0)*0.475*44/12</f>
        <v>1.592041870463626E-8</v>
      </c>
      <c r="HJ141" s="22">
        <f t="shared" si="253"/>
        <v>79.717010449019739</v>
      </c>
      <c r="HK141" s="74">
        <f>('Scénario référence'!$F$8+'Scénario référence'!$F$9+'Scénario référence'!$B$17+'Scénario référence'!$B$9+'Scénario référence'!$B$10)*70+IF((45+25*(1-EXP(-0.0175*$A141)))&lt;70,'Scénario référence'!$B$16*(45+25*(1-EXP(-0.0175*$A141))),70*'Scénario référence'!$B$16)+IF((32+38*(1-EXP(-0.0175*$A141)))&lt;70,'Scénario référence'!$B$18*(32+38*(1-EXP(-0.0175*$A141))),70*'Scénario référence'!$B$18)</f>
        <v>70</v>
      </c>
      <c r="HL141" s="12">
        <f>IF($A141&gt;30,10,('Scénario référence'!$B$16+'Scénario référence'!$B$17+'Scénario référence'!$B$18+'Scénario référence'!$B$9+'Scénario référence'!$B$10)*$A141*10/30+('Scénario référence'!$F$8+'Scénario référence'!$F$9)*10)</f>
        <v>10</v>
      </c>
      <c r="HM141" s="12" t="e">
        <f>VLOOKUP($A141,'Données projet'!$A$304:$I$324,2,0)</f>
        <v>#N/A</v>
      </c>
      <c r="HN141" s="12" t="e">
        <f>VLOOKUP($A141,'Données projet'!$A$304:$I$324,9,0)</f>
        <v>#N/A</v>
      </c>
      <c r="HO141" s="12">
        <f t="array" ref="HO141">INDEX(HN:HN,MIN(IF(ISNUMBER(HN141:HN337),ROW(HN141:HN337),"")))</f>
        <v>0</v>
      </c>
      <c r="HP141" s="12">
        <f>IF('Données projet'!$A$304&gt;35,HP140+HO141-HX140,IF($A141&lt;'Données projet'!$A$304,$CQ$205^$A141,IF($A141='Données projet'!$A$304,'Données projet'!$B$304,HP140+HO141-HX140)))</f>
        <v>0</v>
      </c>
      <c r="HQ141" s="17">
        <f>HP141*VLOOKUP('Données projet'!$B$19,Paramètres!$A$1:$I$89,3,0)*VLOOKUP('Données projet'!$B$19,Paramètres!$A$1:$I$89,5,0)</f>
        <v>0</v>
      </c>
      <c r="HR141" s="13" t="e">
        <f t="shared" si="306"/>
        <v>#NUM!</v>
      </c>
      <c r="HS141" s="14" t="e">
        <f t="shared" si="254"/>
        <v>#NUM!</v>
      </c>
      <c r="HT141" s="59" t="e">
        <f t="shared" si="255"/>
        <v>#NUM!</v>
      </c>
      <c r="HU141" s="59">
        <f ca="1">AVERAGE(OFFSET(HT$3,0,0,'Données projet'!$E$19+1,1))-AVERAGE(OFFSET($H$3,0,0,'Données projet'!$E$19+1,1))</f>
        <v>91.60721429656013</v>
      </c>
      <c r="HV141" s="59">
        <f t="shared" si="307"/>
        <v>258.94957804210856</v>
      </c>
      <c r="HW141" s="15">
        <f>IF(ISNA(VLOOKUP($A141,'Données projet'!$A$304:$I$324,3,0)),0,VLOOKUP($A141,'Données projet'!$A$304:$I$324,3,0))</f>
        <v>0</v>
      </c>
      <c r="HX141" s="15">
        <f>IF(ISNA(VLOOKUP($A141,'Données projet'!$A$304:$I$324,4,0)),0,VLOOKUP($A141,'Données projet'!$A$304:$I$324,4,0))</f>
        <v>0</v>
      </c>
      <c r="HY141" s="16">
        <f>IF(ISNA(VLOOKUP($A141,'Données projet'!$A$304:$I$324,5,0)),0%,VLOOKUP($A141,'Données projet'!$A$304:$I$324,5,0)*VLOOKUP('Données projet'!$B$19,Paramètres!$A$1:$I$89,7,0))</f>
        <v>0</v>
      </c>
      <c r="HZ141" s="16">
        <f>IF(ISNA(VLOOKUP($A141,'Données projet'!$A$304:$I$324,6,0)),0%,VLOOKUP($A141,'Données projet'!$A$304:$I$324,6,0)*VLOOKUP('Données projet'!$B$19,Paramètres!$A$1:$I$89,7,0))</f>
        <v>0</v>
      </c>
      <c r="IA141" s="16">
        <f>IF(ISNA(VLOOKUP($A141,'Données projet'!$A$304:$I$324,7,0)),0%,VLOOKUP($A141,'Données projet'!$A$304:$I$324,7,0))</f>
        <v>0</v>
      </c>
      <c r="IB141" s="21">
        <f>EXP(-LN(2)/35)*IB140+(1-EXP(-LN(2)/35))/(LN(2)/35)*HX141*HY141*VLOOKUP('Données projet'!$B$19,Paramètres!$A$1:$I$89,3,0)*0.475*44/12</f>
        <v>5.810886177979353</v>
      </c>
      <c r="IC141" s="21">
        <f>EXP(-LN(2)/25)*IC140+(1-EXP(-LN(2)/25))/(LN(2)/25)*Calculateur!HX141*Calculateur!HZ141*VLOOKUP('Données projet'!$B$19,Paramètres!$A$1:$I$89,3,0)*0.475*44/12</f>
        <v>0.48703680110504366</v>
      </c>
      <c r="ID141" s="21">
        <f>EXP(-LN(2)/2)*ID140+(1-EXP(-LN(2)/2))/(LN(2)/2)*HX141*IA141*VLOOKUP('Données projet'!$B$19,Paramètres!$A$1:$I$89,3,0)*0.475*44/12</f>
        <v>3.1799691310395592E-17</v>
      </c>
      <c r="IE141" s="22">
        <f t="shared" si="256"/>
        <v>6.2979229790843965</v>
      </c>
      <c r="IF141" s="74">
        <f>('Scénario référence'!$F$8+'Scénario référence'!$F$9+'Scénario référence'!$B$17+'Scénario référence'!$B$9+'Scénario référence'!$B$10)*70+IF((45+25*(1-EXP(-0.0175*$A141)))&lt;70,'Scénario référence'!$B$16*(45+25*(1-EXP(-0.0175*$A141))),70*'Scénario référence'!$B$16)+IF((32+38*(1-EXP(-0.0175*$A141)))&lt;70,'Scénario référence'!$B$18*(32+38*(1-EXP(-0.0175*$A141))),70*'Scénario référence'!$B$18)</f>
        <v>70</v>
      </c>
      <c r="IG141" s="12">
        <f>IF($A141&gt;30,10,('Scénario référence'!$B$16+'Scénario référence'!$B$17+'Scénario référence'!$B$18+'Scénario référence'!$B$9+'Scénario référence'!$B$10)*$A141*10/30+('Scénario référence'!$F$8+'Scénario référence'!$F$9)*10)</f>
        <v>10</v>
      </c>
      <c r="IH141" s="12" t="e">
        <f>VLOOKUP($A141,'Données projet'!$A$330:$I$350,2,0)</f>
        <v>#N/A</v>
      </c>
      <c r="II141" s="12" t="e">
        <f>VLOOKUP($A141,'Données projet'!$A$330:$I$350,9,0)</f>
        <v>#N/A</v>
      </c>
      <c r="IJ141" s="12">
        <f t="array" ref="IJ141">INDEX(II:II,MIN(IF(ISNUMBER(II141:II337),ROW(II141:II337),"")))</f>
        <v>0</v>
      </c>
      <c r="IK141" s="12">
        <f>IF('Données projet'!$A$330&gt;35,IK140+IJ141-IS140,IF($A141&lt;'Données projet'!$A$330,$CQ$205^$A141,IF($A141='Données projet'!$A$330,'Données projet'!$B$330,IK140+IJ141-IS140)))</f>
        <v>0</v>
      </c>
      <c r="IL141" s="17">
        <f>IK141*VLOOKUP('Données projet'!$B$20,Paramètres!$A$1:$I$89,3,0)*VLOOKUP('Données projet'!$B$20,Paramètres!$A$1:$I$89,5,0)</f>
        <v>0</v>
      </c>
      <c r="IM141" s="13" t="e">
        <f t="shared" si="308"/>
        <v>#NUM!</v>
      </c>
      <c r="IN141" s="20" t="e">
        <f t="shared" si="257"/>
        <v>#NUM!</v>
      </c>
      <c r="IO141" s="59" t="e">
        <f t="shared" si="258"/>
        <v>#NUM!</v>
      </c>
      <c r="IP141" s="59">
        <f ca="1">AVERAGE(OFFSET(IO$3,0,0,'Données projet'!$E$20+1,1))-AVERAGE(OFFSET($H$3,0,0,'Données projet'!$E$20+1,1))</f>
        <v>91.60721429656013</v>
      </c>
      <c r="IQ141" s="59">
        <f t="shared" si="309"/>
        <v>258.94957804210856</v>
      </c>
      <c r="IR141" s="15">
        <f>IF(ISNA(VLOOKUP($A141,'Données projet'!$A$330:$I$350,3,0)),0,VLOOKUP($A141,'Données projet'!$A$330:$I$350,3,0))</f>
        <v>0</v>
      </c>
      <c r="IS141" s="15">
        <f>IF(ISNA(VLOOKUP($A141,'Données projet'!$A$330:$I$350,4,0)),0,VLOOKUP($A141,'Données projet'!$A$330:$I$350,4,0))</f>
        <v>0</v>
      </c>
      <c r="IT141" s="16">
        <f>IF(ISNA(VLOOKUP($A141,'Données projet'!$A$330:$I$350,5,0)),0%,VLOOKUP($A141,'Données projet'!$A$330:$I$350,5,0)*VLOOKUP('Données projet'!$B$20,Paramètres!$A$1:$I$89,7,0))</f>
        <v>0</v>
      </c>
      <c r="IU141" s="16">
        <f>IF(ISNA(VLOOKUP($A141,'Données projet'!$A$330:$I$350,6,0)),0%,VLOOKUP($A141,'Données projet'!$A$330:$I$350,6,0)*VLOOKUP('Données projet'!$B$20,Paramètres!$A$1:$I$89,7,0))</f>
        <v>0</v>
      </c>
      <c r="IV141" s="16">
        <f>IF(ISNA(VLOOKUP($A141,'Données projet'!$A$330:$I$350,7,0)),0%,VLOOKUP($A141,'Données projet'!$A$330:$I$350,7,0))</f>
        <v>0</v>
      </c>
      <c r="IW141" s="21">
        <f>EXP(-LN(2)/35)*IW140+(1-EXP(-LN(2)/35))/(LN(2)/35)*IS141*IT141*VLOOKUP('Données projet'!$B$20,Paramètres!$A$1:$I$89,3,0)*0.475*44/12</f>
        <v>5.810886177979353</v>
      </c>
      <c r="IX141" s="21">
        <f>EXP(-LN(2)/25)*IX140+(1-EXP(-LN(2)/25))/(LN(2)/25)*Calculateur!IS141*Calculateur!IU141*VLOOKUP('Données projet'!$B$20,Paramètres!$A$1:$I$89,3,0)*0.475*44/12</f>
        <v>0.48703680110504366</v>
      </c>
      <c r="IY141" s="21">
        <f>EXP(-LN(2)/2)*IY140+(1-EXP(-LN(2)/2))/(LN(2)/2)*IS141*IV141*VLOOKUP('Données projet'!$B$20,Paramètres!$A$1:$I$89,3,0)*0.475*44/12</f>
        <v>3.1799691310395592E-17</v>
      </c>
      <c r="IZ141" s="22">
        <f t="shared" si="259"/>
        <v>6.2979229790843965</v>
      </c>
      <c r="JA141" s="74">
        <f>('Scénario référence'!$F$8+'Scénario référence'!$F$9+'Scénario référence'!$B$17+'Scénario référence'!$B$9+'Scénario référence'!$B$10)*70+IF((45+25*(1-EXP(-0.0175*$A141)))&lt;70,'Scénario référence'!$B$16*(45+25*(1-EXP(-0.0175*$A141))),70*'Scénario référence'!$B$16)+IF((32+38*(1-EXP(-0.0175*$A141)))&lt;70,'Scénario référence'!$B$18*(32+38*(1-EXP(-0.0175*$A141))),70*'Scénario référence'!$B$18)</f>
        <v>70</v>
      </c>
      <c r="JB141" s="12">
        <f>IF($A141&gt;30,10,('Scénario référence'!$B$16+'Scénario référence'!$B$17+'Scénario référence'!$B$18+'Scénario référence'!$B$9+'Scénario référence'!$B$10)*$A141*10/30+('Scénario référence'!$F$8+'Scénario référence'!$F$9)*10)</f>
        <v>10</v>
      </c>
      <c r="JC141" s="12" t="e">
        <f>VLOOKUP($A141,'Données projet'!$A$356:$I$376,2,0)</f>
        <v>#N/A</v>
      </c>
      <c r="JD141" s="12" t="e">
        <f>VLOOKUP($A141,'Données projet'!$A$356:$I$376,9,0)</f>
        <v>#N/A</v>
      </c>
      <c r="JE141" s="12">
        <f t="array" ref="JE141">INDEX(JD:JD,MIN(IF(ISNUMBER(JD141:JD337),ROW(JD141:JD337),"")))</f>
        <v>1.4</v>
      </c>
      <c r="JF141" s="12">
        <f>IF('Données projet'!$A$356&gt;35,JF140+JE141-JN140,IF($A141&lt;'Données projet'!$A$356,$CQ$205^$A141,IF($A141='Données projet'!$A$356,'Données projet'!$B$356,JF140+JE141-JN140)))</f>
        <v>431.19999999999897</v>
      </c>
      <c r="JG141" s="17">
        <f>JF141*VLOOKUP('Données projet'!$B$21,Paramètres!$A$1:$I$89,3,0)*VLOOKUP('Données projet'!$B$21,Paramètres!$A$1:$I$89,5,0)</f>
        <v>349.78943999999922</v>
      </c>
      <c r="JH141" s="13">
        <f t="shared" si="310"/>
        <v>81.519153228894979</v>
      </c>
      <c r="JI141" s="20">
        <f t="shared" si="260"/>
        <v>751.19579987365739</v>
      </c>
      <c r="JJ141" s="59">
        <f t="shared" si="261"/>
        <v>1044.5291332069908</v>
      </c>
      <c r="JK141" s="59">
        <f ca="1">AVERAGE(OFFSET($JJ$3,0,0,'Données projet'!$E$22+1,1))-AVERAGE(OFFSET($H$3,0,0,'Données projet'!$E$22+1,1))</f>
        <v>353.35574633294613</v>
      </c>
      <c r="JL141" s="59">
        <f t="shared" si="311"/>
        <v>170.36796666474726</v>
      </c>
      <c r="JM141" s="15">
        <f>IF(ISNA(VLOOKUP($A141,'Données projet'!$A$356:$I$376,3,0)),0,VLOOKUP($A141,'Données projet'!$A$356:$I$376,3,0))</f>
        <v>0</v>
      </c>
      <c r="JN141" s="15">
        <f>IF(ISNA(VLOOKUP($A141,'Données projet'!$A$356:$I$376,4,0)),0,VLOOKUP($A141,'Données projet'!$A$356:$I$376,4,0))</f>
        <v>0</v>
      </c>
      <c r="JO141" s="16">
        <f>IF(ISNA(VLOOKUP($A141,'Données projet'!$A$356:$I$376,5,0)),0%,VLOOKUP($A141,'Données projet'!$A$356:$I$376,5,0)*VLOOKUP('Données projet'!$B$21,Paramètres!$A$1:$I$89,7,0))</f>
        <v>0</v>
      </c>
      <c r="JP141" s="16">
        <f>IF(ISNA(VLOOKUP($A141,'Données projet'!$A$356:$I$376,6,0)),0%,VLOOKUP($A141,'Données projet'!$A$356:$I$376,6,0)*VLOOKUP('Données projet'!$B$21,Paramètres!$A$1:$I$89,7,0))</f>
        <v>0</v>
      </c>
      <c r="JQ141" s="16">
        <f>IF(ISNA(VLOOKUP($A141,'Données projet'!$A$356:$I$376,7,0)),0%,VLOOKUP($A141,'Données projet'!$A$356:$I$376,7,0))</f>
        <v>0</v>
      </c>
      <c r="JR141" s="21">
        <f>EXP(-LN(2)/35)*JR140+(1-EXP(-LN(2)/35))/(LN(2)/35)*JN141*JO141*VLOOKUP('Données projet'!$B$21,Paramètres!$A$1:$I$89,3,0)*0.475*44/12</f>
        <v>5.5193034536826637</v>
      </c>
      <c r="JS141" s="21">
        <f>EXP(-LN(2)/25)*JS140+(1-EXP(-LN(2)/25))/(LN(2)/25)*Calculateur!JN141*Calculateur!JP141*VLOOKUP('Données projet'!$B$21,Paramètres!$A$1:$I$89,3,0)*0.475*44/12</f>
        <v>10.597885761250822</v>
      </c>
      <c r="JT141" s="21">
        <f>EXP(-LN(2)/2)*JT140+(1-EXP(-LN(2)/2))/(LN(2)/2)*JN141*JQ141*VLOOKUP('Données projet'!$B$21,Paramètres!$A$1:$I$89,3,0)*0.475*44/12</f>
        <v>9.5886555688279945E-2</v>
      </c>
      <c r="JU141" s="18">
        <f t="shared" si="262"/>
        <v>16.213075770621767</v>
      </c>
      <c r="JV141" s="74">
        <f>('Scénario référence'!$F$8+'Scénario référence'!$F$9+'Scénario référence'!$B$17+'Scénario référence'!$B$9+'Scénario référence'!$B$10)*70+IF((45+25*(1-EXP(-0.0175*$A141)))&lt;70,'Scénario référence'!$B$16*(45+25*(1-EXP(-0.0175*$A141))),70*'Scénario référence'!$B$16)+IF((32+38*(1-EXP(-0.0175*$A141)))&lt;70,'Scénario référence'!$B$18*(32+38*(1-EXP(-0.0175*$A141))),70*'Scénario référence'!$B$18)</f>
        <v>70</v>
      </c>
      <c r="JW141" s="12">
        <f>IF($A141&gt;30,10,('Scénario référence'!$B$16+'Scénario référence'!$B$17+'Scénario référence'!$B$18+'Scénario référence'!$B$9+'Scénario référence'!$B$10)*$A141*10/30+('Scénario référence'!$F$8+'Scénario référence'!$F$9)*10)</f>
        <v>10</v>
      </c>
      <c r="JX141" s="12" t="e">
        <f>VLOOKUP($A141,'Données projet'!$A$382:$I$402,2,0)</f>
        <v>#N/A</v>
      </c>
      <c r="JY141" s="12" t="e">
        <f>VLOOKUP($A141,'Données projet'!$A$382:$I$402,9,0)</f>
        <v>#N/A</v>
      </c>
      <c r="JZ141" s="12">
        <f t="array" ref="JZ141">INDEX(JY:JY,MIN(IF(ISNUMBER(JY141:JY337),ROW(JY141:JY337),"")))</f>
        <v>0</v>
      </c>
      <c r="KA141" s="12">
        <f>IF('Données projet'!$A$382&gt;35,KA140+JZ141-KI140,IF($A141&lt;'Données projet'!$A$382,$CQ$205^$A141,IF($A141='Données projet'!$A$382,'Données projet'!$B$382,KA140+JZ141-KI140)))</f>
        <v>5.6843418860808015E-13</v>
      </c>
      <c r="KB141" s="17">
        <f>KA141*VLOOKUP('Données projet'!$B$22,Paramètres!$A$1:$I$89,3,0)*VLOOKUP('Données projet'!$B$22,Paramètres!$A$1:$I$89,5,0)</f>
        <v>3.8130565371830017E-13</v>
      </c>
      <c r="KC141" s="13">
        <f t="shared" si="312"/>
        <v>4.9019074112354236E-12</v>
      </c>
      <c r="KD141" s="20">
        <f t="shared" si="263"/>
        <v>9.2015960881277352E-12</v>
      </c>
      <c r="KE141" s="59">
        <f t="shared" si="264"/>
        <v>293.33333333334252</v>
      </c>
      <c r="KF141" s="59">
        <f ca="1">AVERAGE(OFFSET($KE$3,0,0,'Données projet'!$E$22+1,1))-AVERAGE(OFFSET($H$3,0,0,'Données projet'!$E$22+1,1))</f>
        <v>193.91714772848269</v>
      </c>
      <c r="KG141" s="59">
        <f t="shared" si="313"/>
        <v>159.20429420478047</v>
      </c>
      <c r="KH141" s="15">
        <f>IF(ISNA(VLOOKUP($A141,'Données projet'!$A$382:$I$402,3,0)),0,VLOOKUP($A141,'Données projet'!$A$382:$I$402,3,0))</f>
        <v>0</v>
      </c>
      <c r="KI141" s="15">
        <f>IF(ISNA(VLOOKUP($A141,'Données projet'!$A$382:$I$402,4,0)),0,VLOOKUP($A141,'Données projet'!$A$382:$I$402,4,0))</f>
        <v>0</v>
      </c>
      <c r="KJ141" s="16">
        <f>IF(ISNA(VLOOKUP($A141,'Données projet'!$A$382:$I$402,5,0)),0%,VLOOKUP($A141,'Données projet'!$A$382:$I$402,5,0)*VLOOKUP('Données projet'!$B$22,Paramètres!$A$1:$I$89,7,0))</f>
        <v>0</v>
      </c>
      <c r="KK141" s="16">
        <f>IF(ISNA(VLOOKUP($A141,'Données projet'!$A$382:$I$402,6,0)),0%,VLOOKUP($A141,'Données projet'!$A$382:$I$402,6,0)*VLOOKUP('Données projet'!$B$22,Paramètres!$A$1:$I$89,7,0))</f>
        <v>0</v>
      </c>
      <c r="KL141" s="16">
        <f>IF(ISNA(VLOOKUP($A141,'Données projet'!$A$382:$I$402,7,0)),0%,VLOOKUP($A141,'Données projet'!$A$382:$I$402,7,0))</f>
        <v>0</v>
      </c>
      <c r="KM141" s="21">
        <f>EXP(-LN(2)/35)*KM140+(1-EXP(-LN(2)/35))/(LN(2)/35)*KI141*KJ141*VLOOKUP('Données projet'!$B$22,Paramètres!$A$1:$I$89,3,0)*0.475*44/12</f>
        <v>136.01975016046785</v>
      </c>
      <c r="KN141" s="21">
        <f>EXP(-LN(2)/25)*KN140+(1-EXP(-LN(2)/25))/(LN(2)/25)*Calculateur!KI141*Calculateur!KK141*VLOOKUP('Données projet'!$B$22,Paramètres!$A$1:$I$89,3,0)*0.475*44/12</f>
        <v>0</v>
      </c>
      <c r="KO141" s="21">
        <f>EXP(-LN(2)/2)*KO140+(1-EXP(-LN(2)/2))/(LN(2)/2)*KI141*KL141*VLOOKUP('Données projet'!$B$22,Paramètres!$A$1:$I$89,3,0)*0.475*44/12</f>
        <v>0</v>
      </c>
      <c r="KP141" s="22">
        <f t="shared" si="265"/>
        <v>136.01975016046785</v>
      </c>
      <c r="KQ141" s="74">
        <f>('Scénario référence'!$F$8+'Scénario référence'!$F$9+'Scénario référence'!$B$17+'Scénario référence'!$B$9+'Scénario référence'!$B$10)*70+IF((45+25*(1-EXP(-0.0175*$A141)))&lt;70,'Scénario référence'!$B$16*(45+25*(1-EXP(-0.0175*$A141))),70*'Scénario référence'!$B$16)+IF((32+38*(1-EXP(-0.0175*$A141)))&lt;70,'Scénario référence'!$B$18*(32+38*(1-EXP(-0.0175*$A141))),70*'Scénario référence'!$B$18)</f>
        <v>70</v>
      </c>
      <c r="KR141" s="12">
        <f>IF($A141&gt;30,10,('Scénario référence'!$B$16+'Scénario référence'!$B$17+'Scénario référence'!$B$18+'Scénario référence'!$B$9+'Scénario référence'!$B$10)*$A141*10/30+('Scénario référence'!$F$8+'Scénario référence'!$F$9)*10)</f>
        <v>10</v>
      </c>
      <c r="KS141" s="12" t="e">
        <f>VLOOKUP($A141,'Données projet'!$A$408:$I$428,2,0)</f>
        <v>#N/A</v>
      </c>
      <c r="KT141" s="12" t="e">
        <f>VLOOKUP($A141,'Données projet'!$A$408:$I$428,9,0)</f>
        <v>#N/A</v>
      </c>
      <c r="KU141" s="12">
        <f t="array" ref="KU141">INDEX(KT:KT,MIN(IF(ISNUMBER(KT141:KT337),ROW(KT141:KT337),"")))</f>
        <v>0</v>
      </c>
      <c r="KV141" s="12">
        <f>IF('Données projet'!$A$408&gt;35,KV140+KU141-LD140,IF($A141&lt;'Données projet'!$A$408,$CQ$205^$A141,IF($A141='Données projet'!$A$408,'Données projet'!$B$408,KV140+KU141-LD140)))</f>
        <v>-1.1368683772161603E-13</v>
      </c>
      <c r="KW141" s="17">
        <f>KV141*VLOOKUP('Données projet'!$B$23,Paramètres!$A$1:$I$89,3,0)*VLOOKUP('Données projet'!$B$23,Paramètres!$A$1:$I$89,5,0)</f>
        <v>-9.9316821433603781E-14</v>
      </c>
      <c r="KX141" s="13" t="e">
        <f t="shared" si="314"/>
        <v>#NUM!</v>
      </c>
      <c r="KY141" s="14" t="e">
        <f t="shared" si="266"/>
        <v>#NUM!</v>
      </c>
      <c r="KZ141" s="59" t="e">
        <f t="shared" si="267"/>
        <v>#NUM!</v>
      </c>
      <c r="LA141" s="59">
        <f ca="1">AVERAGE(OFFSET($KZ$3,0,0,'Données projet'!$E$23+1,1))-AVERAGE(OFFSET($H$3,0,0,'Données projet'!$E$23+1,1))</f>
        <v>248.33596943633819</v>
      </c>
      <c r="LB141" s="59">
        <f t="shared" si="315"/>
        <v>242.34010522344573</v>
      </c>
      <c r="LC141" s="15">
        <f>IF(ISNA(VLOOKUP($A141,'Données projet'!$A$408:$I$428,3,0)),0,VLOOKUP($A141,'Données projet'!$A$408:$I$428,3,0))</f>
        <v>0</v>
      </c>
      <c r="LD141" s="15">
        <f>IF(ISNA(VLOOKUP($A141,'Données projet'!$A$408:$I$428,4,0)),0,VLOOKUP($A141,'Données projet'!$A$408:$I$428,4,0))</f>
        <v>0</v>
      </c>
      <c r="LE141" s="16">
        <f>IF(ISNA(VLOOKUP($A141,'Données projet'!$A$408:$I$428,5,0)),0%,VLOOKUP($A141,'Données projet'!$A$408:$I$428,5,0)*VLOOKUP('Données projet'!$B$23,Paramètres!$A$1:$I$89,7,0))</f>
        <v>0</v>
      </c>
      <c r="LF141" s="16">
        <f>IF(ISNA(VLOOKUP($A141,'Données projet'!$A$408:$I$428,6,0)),0%,VLOOKUP($A141,'Données projet'!$A$408:$I$428,6,0)*VLOOKUP('Données projet'!$B$23,Paramètres!$A$1:$I$89,7,0))</f>
        <v>0</v>
      </c>
      <c r="LG141" s="16">
        <f>IF(ISNA(VLOOKUP($A141,'Données projet'!$A$408:$I$428,7,0)),0%,VLOOKUP($A141,'Données projet'!$A$408:$I$428,7,0))</f>
        <v>0</v>
      </c>
      <c r="LH141" s="21">
        <f>EXP(-LN(2)/35)*LH140+(1-EXP(-LN(2)/35))/(LN(2)/35)*LD141*LE141*VLOOKUP('Données projet'!$B$23,Paramètres!$A$1:$I$89,3,0)*0.475*44/12</f>
        <v>39.069055820822669</v>
      </c>
      <c r="LI141" s="21">
        <f>EXP(-LN(2)/25)*LI140+(1-EXP(-LN(2)/25))/(LN(2)/25)*Calculateur!LD141*Calculateur!LF141*VLOOKUP('Données projet'!$B$23,Paramètres!$A$1:$I$89,3,0)*0.475*44/12</f>
        <v>4.3612464167058089</v>
      </c>
      <c r="LJ141" s="21">
        <f>EXP(-LN(2)/2)*LJ140+(1-EXP(-LN(2)/2))/(LN(2)/2)*LD141*LG141*VLOOKUP('Données projet'!$B$23,Paramètres!$A$1:$I$89,3,0)*0.475*44/12</f>
        <v>0</v>
      </c>
      <c r="LK141" s="22">
        <f t="shared" si="268"/>
        <v>43.43030223752848</v>
      </c>
      <c r="LL141" s="74">
        <f>('Scénario référence'!$F$8+'Scénario référence'!$F$9+'Scénario référence'!$B$17+'Scénario référence'!$B$9+'Scénario référence'!$B$10)*70+IF((45+25*(1-EXP(-0.0175*$A141)))&lt;70,'Scénario référence'!$B$16*(45+25*(1-EXP(-0.0175*$A141))),70*'Scénario référence'!$B$16)+IF((32+38*(1-EXP(-0.0175*$A141)))&lt;70,'Scénario référence'!$B$18*(32+38*(1-EXP(-0.0175*$A141))),70*'Scénario référence'!$B$18)</f>
        <v>70</v>
      </c>
      <c r="LM141" s="12">
        <f>IF($A141&gt;30,10,('Scénario référence'!$B$16+'Scénario référence'!$B$17+'Scénario référence'!$B$18+'Scénario référence'!$B$9+'Scénario référence'!$B$10)*$A141*10/30+('Scénario référence'!$F$8+'Scénario référence'!$F$9)*10)</f>
        <v>10</v>
      </c>
      <c r="LN141" s="12" t="e">
        <f>VLOOKUP($A141,'Données projet'!$A$434:$I$454,2,0)</f>
        <v>#N/A</v>
      </c>
      <c r="LO141" s="12" t="e">
        <f>VLOOKUP($A141,'Données projet'!$A$434:$I$454,9,0)</f>
        <v>#N/A</v>
      </c>
      <c r="LP141" s="12">
        <f t="array" ref="LP141">INDEX(LO:LO,MIN(IF(ISNUMBER(LO141:LO337),ROW(LO141:LO337),"")))</f>
        <v>5.1063034188034209</v>
      </c>
      <c r="LQ141" s="12">
        <f>IF('Données projet'!$A$434&gt;35,LQ140+LP141-LY140,IF($A141&lt;'Données projet'!$A$434,$CQ$205^$A141,IF($A141='Données projet'!$A$434,'Données projet'!$B$434,LQ140+LP141-LY140)))</f>
        <v>247.01655982905947</v>
      </c>
      <c r="LR141" s="17">
        <f>LQ141*VLOOKUP('Données projet'!$B$24,Paramètres!$A$1:$I$89,3,0)*VLOOKUP('Données projet'!$B$24,Paramètres!$A$1:$I$89,5,0)</f>
        <v>250.47479166666631</v>
      </c>
      <c r="LS141" s="13">
        <f t="shared" si="316"/>
        <v>60.687599112090453</v>
      </c>
      <c r="LT141" s="14">
        <f t="shared" si="269"/>
        <v>541.94116393966794</v>
      </c>
      <c r="LU141" s="59">
        <f t="shared" si="270"/>
        <v>835.27449727300132</v>
      </c>
      <c r="LV141" s="59">
        <f ca="1">AVERAGE(OFFSET($LU$3,0,0,'Données projet'!$E$24+1,1))-AVERAGE(OFFSET($H$3,0,0,'Données projet'!$E$24+1,1))</f>
        <v>260.52627655062872</v>
      </c>
      <c r="LW141" s="59">
        <f t="shared" si="317"/>
        <v>159.20429420478047</v>
      </c>
      <c r="LX141" s="15">
        <f>IF(ISNA(VLOOKUP($A141,'Données projet'!$A$434:$I$454,3,0)),0,VLOOKUP($A141,'Données projet'!$A$434:$I$454,3,0))</f>
        <v>0</v>
      </c>
      <c r="LY141" s="15">
        <f>IF(ISNA(VLOOKUP($A141,'Données projet'!$A$434:$I$454,4,0)),0,VLOOKUP($A141,'Données projet'!$A$434:$I$454,4,0))</f>
        <v>0</v>
      </c>
      <c r="LZ141" s="16">
        <f>IF(ISNA(VLOOKUP($A141,'Données projet'!$A$434:$I$454,5,0)),0%,VLOOKUP($A141,'Données projet'!$A$434:$I$454,5,0)*VLOOKUP('Données projet'!$B$24,Paramètres!$A$1:$I$89,7,0))</f>
        <v>0</v>
      </c>
      <c r="MA141" s="16">
        <f>IF(ISNA(VLOOKUP($A141,'Données projet'!$A$434:$I$454,6,0)),0%,VLOOKUP($A141,'Données projet'!$A$434:$I$454,6,0)*VLOOKUP('Données projet'!$B$24,Paramètres!$A$1:$I$89,7,0))</f>
        <v>0</v>
      </c>
      <c r="MB141" s="16">
        <f>IF(ISNA(VLOOKUP($A141,'Données projet'!$A$434:$I$454,7,0)),0%,VLOOKUP($A141,'Données projet'!$A$434:$I$454,7,0))</f>
        <v>0</v>
      </c>
      <c r="MC141" s="21">
        <f>EXP(-LN(2)/35)*MC140+(1-EXP(-LN(2)/35))/(LN(2)/35)*LY141*LZ141*VLOOKUP('Données projet'!$B$24,Paramètres!$A$1:$I$89,3,0)*0.475*44/12</f>
        <v>53.87095706783505</v>
      </c>
      <c r="MD141" s="21">
        <f>EXP(-LN(2)/25)*MD140+(1-EXP(-LN(2)/25))/(LN(2)/25)*Calculateur!LY141*Calculateur!MA141*VLOOKUP('Données projet'!$B$24,Paramètres!$A$1:$I$89,3,0)*0.475*44/12</f>
        <v>0</v>
      </c>
      <c r="ME141" s="21">
        <f>EXP(-LN(2)/2)*ME140+(1-EXP(-LN(2)/2))/(LN(2)/2)*LY141*MB141*VLOOKUP('Données projet'!$B$24,Paramètres!$A$1:$I$89,3,0)*0.475*44/12</f>
        <v>0</v>
      </c>
      <c r="MF141" s="22">
        <f t="shared" si="271"/>
        <v>53.87095706783505</v>
      </c>
      <c r="MG141" s="74">
        <f>('Scénario référence'!$F$8+'Scénario référence'!$F$9+'Scénario référence'!$B$17+'Scénario référence'!$B$9+'Scénario référence'!$B$10)*70+IF((45+25*(1-EXP(-0.0175*$A141)))&lt;70,'Scénario référence'!$B$16*(45+25*(1-EXP(-0.0175*$A141))),70*'Scénario référence'!$B$16)+IF((32+38*(1-EXP(-0.0175*$A141)))&lt;70,'Scénario référence'!$B$18*(32+38*(1-EXP(-0.0175*$A141))),70*'Scénario référence'!$B$18)</f>
        <v>70</v>
      </c>
      <c r="MH141" s="12">
        <f>IF($A141&gt;30,10,('Scénario référence'!$B$16+'Scénario référence'!$B$17+'Scénario référence'!$B$18+'Scénario référence'!$B$9+'Scénario référence'!$B$10)*$A141*10/30+('Scénario référence'!$F$8+'Scénario référence'!$F$9)*10)</f>
        <v>10</v>
      </c>
      <c r="MI141" s="12" t="e">
        <f>VLOOKUP($A141,'Données projet'!$A$460:$I$480,2,0)</f>
        <v>#N/A</v>
      </c>
      <c r="MJ141" s="12" t="e">
        <f>VLOOKUP($A141,'Données projet'!$A$460:$I$480,9,0)</f>
        <v>#N/A</v>
      </c>
      <c r="MK141" s="12">
        <f t="array" ref="MK141">INDEX(MJ:MJ,MIN(IF(ISNUMBER(MJ141:MJ337),ROW(MJ141:MJ337),"")))</f>
        <v>0</v>
      </c>
      <c r="ML141" s="12">
        <f>IF('Données projet'!$A$460&gt;35,ML140+MK141-MT140,IF($A141&lt;'Données projet'!$A$460,$CQ$205^$A141,IF($A141='Données projet'!$A$460,'Données projet'!$B$460,ML140+MK141-MT140)))</f>
        <v>0</v>
      </c>
      <c r="MM141" s="17" t="e">
        <f>ML141*VLOOKUP('Données projet'!$B$25,Paramètres!$A$1:$I$89,3,0)*VLOOKUP('Données projet'!$B$25,Paramètres!$A$1:$I$89,5,0)</f>
        <v>#N/A</v>
      </c>
      <c r="MN141" s="13" t="e">
        <f t="shared" si="318"/>
        <v>#N/A</v>
      </c>
      <c r="MO141" s="14" t="e">
        <f t="shared" si="272"/>
        <v>#N/A</v>
      </c>
      <c r="MP141" s="59" t="e">
        <f t="shared" si="273"/>
        <v>#N/A</v>
      </c>
      <c r="MQ141" s="20" t="e">
        <f ca="1">AVERAGE(OFFSET($MP$3,0,0,'Données projet'!$E$25+1,1))-AVERAGE(OFFSET($H$3,0,0,'Données projet'!$E$25+1,1))</f>
        <v>#N/A</v>
      </c>
      <c r="MR141" s="59" t="e">
        <f t="shared" si="319"/>
        <v>#N/A</v>
      </c>
      <c r="MS141" s="15">
        <f>IF(ISNA(VLOOKUP($A141,'Données projet'!$A$460:$I$480,3,0)),0,VLOOKUP($A141,'Données projet'!$A$460:$I$480,3,0))</f>
        <v>0</v>
      </c>
      <c r="MT141" s="15">
        <f>IF(ISNA(VLOOKUP($A141,'Données projet'!$A$460:$I$480,4,0)),0,VLOOKUP($A141,'Données projet'!$A$460:$I$480,4,0))</f>
        <v>0</v>
      </c>
      <c r="MU141" s="16">
        <f>IF(ISNA(VLOOKUP($A141,'Données projet'!$A$460:$I$480,5,0)),0%,VLOOKUP($A141,'Données projet'!$A$460:$I$480,5,0)*VLOOKUP('Données projet'!$B$25,Paramètres!$A$1:$I$89,7,0))</f>
        <v>0</v>
      </c>
      <c r="MV141" s="16">
        <f>IF(ISNA(VLOOKUP($A141,'Données projet'!$A$460:$I$480,6,0)),0%,VLOOKUP($A141,'Données projet'!$A$460:$I$480,6,0)*VLOOKUP('Données projet'!$B$25,Paramètres!$A$1:$I$89,7,0))</f>
        <v>0</v>
      </c>
      <c r="MW141" s="16">
        <f>IF(ISNA(VLOOKUP($A141,'Données projet'!$A$460:$I$480,7,0)),0%,VLOOKUP($A141,'Données projet'!$A$460:$I$480,7,0))</f>
        <v>0</v>
      </c>
      <c r="MX141" s="21" t="e">
        <f>EXP(-LN(2)/35)*MX140+(1-EXP(-LN(2)/35))/(LN(2)/35)*MT141*MU141*VLOOKUP('Données projet'!$B$25,Paramètres!$A$1:$I$89,3,0)*0.475*44/12</f>
        <v>#N/A</v>
      </c>
      <c r="MY141" s="21" t="e">
        <f>EXP(-LN(2)/25)*MY140+(1-EXP(-LN(2)/25))/(LN(2)/25)*Calculateur!MT141*Calculateur!MV141*VLOOKUP('Données projet'!$B$25,Paramètres!$A$1:$I$89,3,0)*0.475*44/12</f>
        <v>#N/A</v>
      </c>
      <c r="MZ141" s="21" t="e">
        <f>EXP(-LN(2)/2)*MZ140+(1-EXP(-LN(2)/2))/(LN(2)/2)*MT141*MW141*VLOOKUP('Données projet'!$B$25,Paramètres!$A$1:$I$89,3,0)*0.475*44/12</f>
        <v>#N/A</v>
      </c>
      <c r="NA141" s="22" t="e">
        <f t="shared" si="274"/>
        <v>#N/A</v>
      </c>
      <c r="NB141" s="74">
        <f>('Scénario référence'!$F$8+'Scénario référence'!$F$9+'Scénario référence'!$B$17+'Scénario référence'!$B$9+'Scénario référence'!$B$10)*70+IF((45+25*(1-EXP(-0.0175*$A141)))&lt;70,'Scénario référence'!$B$16*(45+25*(1-EXP(-0.0175*$A141))),70*'Scénario référence'!$B$16)+IF((32+38*(1-EXP(-0.0175*$A141)))&lt;70,'Scénario référence'!$B$18*(32+38*(1-EXP(-0.0175*$A141))),70*'Scénario référence'!$B$18)</f>
        <v>70</v>
      </c>
      <c r="NC141" s="12">
        <f>IF($A141&gt;30,10,('Scénario référence'!$B$16+'Scénario référence'!$B$17+'Scénario référence'!$B$18+'Scénario référence'!$B$9+'Scénario référence'!$B$10)*$A141*10/30+('Scénario référence'!$F$8+'Scénario référence'!$F$9)*10)</f>
        <v>10</v>
      </c>
      <c r="ND141" s="12" t="e">
        <f>VLOOKUP($A141,'Données projet'!$A$486:$I$506,2,0)</f>
        <v>#N/A</v>
      </c>
      <c r="NE141" s="12" t="e">
        <f>VLOOKUP($A141,'Données projet'!$A$486:$I$506,9,0)</f>
        <v>#N/A</v>
      </c>
      <c r="NF141" s="12">
        <f t="array" ref="NF141">INDEX(NE:NE,MIN(IF(ISNUMBER(NE141:NE337),ROW(NE141:NE337),"")))</f>
        <v>0</v>
      </c>
      <c r="NG141" s="12">
        <f>IF('Données projet'!$A$486&gt;35,NG140+NF141-NO140,IF($A141&lt;'Données projet'!$A$486,$CQ$205^$A141,IF($A141='Données projet'!$A$486,'Données projet'!$B$486,NG140+NF141-NO140)))</f>
        <v>0</v>
      </c>
      <c r="NH141" s="17" t="e">
        <f>NG141*VLOOKUP('Données projet'!$B$26,Paramètres!$A$1:$I$89,3,0)*VLOOKUP('Données projet'!$B$26,Paramètres!$A$1:$I$89,5,0)</f>
        <v>#N/A</v>
      </c>
      <c r="NI141" s="13" t="e">
        <f t="shared" si="320"/>
        <v>#N/A</v>
      </c>
      <c r="NJ141" s="14" t="e">
        <f t="shared" si="275"/>
        <v>#N/A</v>
      </c>
      <c r="NK141" s="59" t="e">
        <f t="shared" si="276"/>
        <v>#N/A</v>
      </c>
      <c r="NL141" s="20" t="e">
        <f ca="1">AVERAGE(OFFSET($NK$3,0,0,'Données projet'!$E$26+1,1))-AVERAGE(OFFSET($H$3,0,0,'Données projet'!$E$26+1,1))</f>
        <v>#N/A</v>
      </c>
      <c r="NM141" s="59" t="e">
        <f t="shared" si="321"/>
        <v>#N/A</v>
      </c>
      <c r="NN141" s="15">
        <f>IF(ISNA(VLOOKUP($A141,'Données projet'!$A$486:$I$506,3,0)),0,VLOOKUP($A141,'Données projet'!$A$486:$I$506,3,0))</f>
        <v>0</v>
      </c>
      <c r="NO141" s="15">
        <f>IF(ISNA(VLOOKUP($A141,'Données projet'!$A$486:$I$506,4,0)),0,VLOOKUP($A141,'Données projet'!$A$486:$I$506,4,0))</f>
        <v>0</v>
      </c>
      <c r="NP141" s="16">
        <f>IF(ISNA(VLOOKUP($A141,'Données projet'!$A$486:$I$506,5,0)),0%,VLOOKUP($A141,'Données projet'!$A$486:$I$506,5,0)*VLOOKUP('Données projet'!$B$26,Paramètres!$A$1:$I$89,7,0))</f>
        <v>0</v>
      </c>
      <c r="NQ141" s="16">
        <f>IF(ISNA(VLOOKUP($A141,'Données projet'!$A$486:$I$506,6,0)),0%,VLOOKUP($A141,'Données projet'!$A$486:$I$506,6,0)*VLOOKUP('Données projet'!$B$26,Paramètres!$A$1:$I$89,7,0))</f>
        <v>0</v>
      </c>
      <c r="NR141" s="16">
        <f>IF(ISNA(VLOOKUP($A141,'Données projet'!$A$486:$I$506,7,0)),0%,VLOOKUP($A141,'Données projet'!$A$486:$I$506,7,0))</f>
        <v>0</v>
      </c>
      <c r="NS141" s="21" t="e">
        <f>EXP(-LN(2)/35)*NS140+(1-EXP(-LN(2)/35))/(LN(2)/35)*NO141*NP141*VLOOKUP('Données projet'!$B$26,Paramètres!$A$1:$I$89,3,0)*0.475*44/12</f>
        <v>#N/A</v>
      </c>
      <c r="NT141" s="21" t="e">
        <f>EXP(-LN(2)/25)*NT140+(1-EXP(-LN(2)/25))/(LN(2)/25)*Calculateur!NO141*Calculateur!NQ141*VLOOKUP('Données projet'!$B$26,Paramètres!$A$1:$I$89,3,0)*0.475*44/12</f>
        <v>#N/A</v>
      </c>
      <c r="NU141" s="21" t="e">
        <f>EXP(-LN(2)/2)*NU140+(1-EXP(-LN(2)/2))/(LN(2)/2)*NO141*NR141*VLOOKUP('Données projet'!$B$26,Paramètres!$A$1:$I$89,3,0)*0.475*44/12</f>
        <v>#N/A</v>
      </c>
      <c r="NV141" s="22" t="e">
        <f t="shared" si="277"/>
        <v>#N/A</v>
      </c>
      <c r="NW141" s="74">
        <f>('Scénario référence'!$F$8+'Scénario référence'!$F$9+'Scénario référence'!$B$17+'Scénario référence'!$B$9+'Scénario référence'!$B$10)*70+IF((45+25*(1-EXP(-0.0175*$A141)))&lt;70,'Scénario référence'!$B$16*(45+25*(1-EXP(-0.0175*$A141))),70*'Scénario référence'!$B$16)+IF((32+38*(1-EXP(-0.0175*$A141)))&lt;70,'Scénario référence'!$B$18*(32+38*(1-EXP(-0.0175*$A141))),70*'Scénario référence'!$B$18)</f>
        <v>70</v>
      </c>
      <c r="NX141" s="12">
        <f>IF($A141&gt;30,10,('Scénario référence'!$B$16+'Scénario référence'!$B$17+'Scénario référence'!$B$18+'Scénario référence'!$B$9+'Scénario référence'!$B$10)*$A141*10/30+('Scénario référence'!$F$8+'Scénario référence'!$F$9)*10)</f>
        <v>10</v>
      </c>
      <c r="NY141" s="12" t="e">
        <f>VLOOKUP($A141,'Données projet'!$A$512:$I$532,2,0)</f>
        <v>#N/A</v>
      </c>
      <c r="NZ141" s="12" t="e">
        <f>VLOOKUP($A141,'Données projet'!$A$512:$I$532,9,0)</f>
        <v>#N/A</v>
      </c>
      <c r="OA141" s="12">
        <f t="array" ref="OA141">INDEX(NZ:NZ,MIN(IF(ISNUMBER(NZ141:NZ337),ROW(NZ141:NZ337),"")))</f>
        <v>0</v>
      </c>
      <c r="OB141" s="12">
        <f>IF('Données projet'!$A$512&gt;35,OB140+OA141-OJ140,IF($A141&lt;'Données projet'!$A$512,$CQ$205^$A141,IF($A141='Données projet'!$A$512,'Données projet'!$B$512,OB140+OA141-OJ140)))</f>
        <v>0</v>
      </c>
      <c r="OC141" s="17" t="e">
        <f>OB141*VLOOKUP('Données projet'!$B$27,Paramètres!$A$1:$I$89,3,0)*VLOOKUP('Données projet'!$B$27,Paramètres!$A$1:$I$89,5,0)</f>
        <v>#N/A</v>
      </c>
      <c r="OD141" s="13" t="e">
        <f t="shared" si="322"/>
        <v>#N/A</v>
      </c>
      <c r="OE141" s="14" t="e">
        <f t="shared" si="278"/>
        <v>#N/A</v>
      </c>
      <c r="OF141" s="59" t="e">
        <f t="shared" si="279"/>
        <v>#N/A</v>
      </c>
      <c r="OG141" s="20" t="e">
        <f ca="1">AVERAGE(OFFSET($OF$3,0,0,'Données projet'!$E$27+1,1))-AVERAGE(OFFSET($H$3,0,0,'Données projet'!$E$27+1,1))</f>
        <v>#N/A</v>
      </c>
      <c r="OH141" s="59" t="e">
        <f t="shared" si="323"/>
        <v>#N/A</v>
      </c>
      <c r="OI141" s="15">
        <f>IF(ISNA(VLOOKUP($A141,'Données projet'!$A$512:$I$532,3,0)),0,VLOOKUP($A141,'Données projet'!$A$512:$I$532,3,0))</f>
        <v>0</v>
      </c>
      <c r="OJ141" s="15">
        <f>IF(ISNA(VLOOKUP($A141,'Données projet'!$A$512:$I$532,4,0)),0,VLOOKUP($A141,'Données projet'!$A$512:$I$532,4,0))</f>
        <v>0</v>
      </c>
      <c r="OK141" s="16">
        <f>IF(ISNA(VLOOKUP($A141,'Données projet'!$A$512:$I$532,5,0)),0%,VLOOKUP($A141,'Données projet'!$A$512:$I$532,5,0)*VLOOKUP('Données projet'!$B$27,Paramètres!$A$1:$I$89,7,0))</f>
        <v>0</v>
      </c>
      <c r="OL141" s="16">
        <f>IF(ISNA(VLOOKUP($A141,'Données projet'!$A$512:$I$532,6,0)),0%,VLOOKUP($A141,'Données projet'!$A$512:$I$532,6,0)*VLOOKUP('Données projet'!$B$27,Paramètres!$A$1:$I$89,7,0))</f>
        <v>0</v>
      </c>
      <c r="OM141" s="16">
        <f>IF(ISNA(VLOOKUP($A141,'Données projet'!$A$512:$I$532,7,0)),0%,VLOOKUP($A141,'Données projet'!$A$512:$I$532,7,0))</f>
        <v>0</v>
      </c>
      <c r="ON141" s="21" t="e">
        <f>EXP(-LN(2)/35)*ON140+(1-EXP(-LN(2)/35))/(LN(2)/35)*OJ141*OK141*VLOOKUP('Données projet'!$B$27,Paramètres!$A$1:$I$89,3,0)*0.475*44/12</f>
        <v>#N/A</v>
      </c>
      <c r="OO141" s="21" t="e">
        <f>EXP(-LN(2)/25)*OO140+(1-EXP(-LN(2)/25))/(LN(2)/25)*Calculateur!OJ141*Calculateur!OL141*VLOOKUP('Données projet'!$B$27,Paramètres!$A$1:$I$89,3,0)*0.475*44/12</f>
        <v>#N/A</v>
      </c>
      <c r="OP141" s="21" t="e">
        <f>EXP(-LN(2)/2)*OP140+(1-EXP(-LN(2)/2))/(LN(2)/2)*OJ141*OM141*VLOOKUP('Données projet'!$B$27,Paramètres!$A$1:$I$89,3,0)*0.475*44/12</f>
        <v>#N/A</v>
      </c>
      <c r="OQ141" s="22" t="e">
        <f t="shared" si="280"/>
        <v>#N/A</v>
      </c>
      <c r="OR141" s="74">
        <f>('Scénario référence'!$F$8+'Scénario référence'!$F$9+'Scénario référence'!$B$17+'Scénario référence'!$B$9+'Scénario référence'!$B$10)*70+IF((45+25*(1-EXP(-0.0175*$A141)))&lt;70,'Scénario référence'!$B$16*(45+25*(1-EXP(-0.0175*$A141))),70*'Scénario référence'!$B$16)+IF((32+38*(1-EXP(-0.0175*$A141)))&lt;70,'Scénario référence'!$B$18*(32+38*(1-EXP(-0.0175*$A141))),70*'Scénario référence'!$B$18)</f>
        <v>70</v>
      </c>
      <c r="OS141" s="12">
        <f>IF($A141&gt;30,10,('Scénario référence'!$B$16+'Scénario référence'!$B$17+'Scénario référence'!$B$18+'Scénario référence'!$B$9+'Scénario référence'!$B$10)*$A141*10/30+('Scénario référence'!$F$8+'Scénario référence'!$F$9)*10)</f>
        <v>10</v>
      </c>
      <c r="OT141" s="12" t="e">
        <f>VLOOKUP($A141,'Données projet'!$A$538:$I$558,2,0)</f>
        <v>#N/A</v>
      </c>
      <c r="OU141" s="12" t="e">
        <f>VLOOKUP($A141,'Données projet'!$A$538:$I$558,9,0)</f>
        <v>#N/A</v>
      </c>
      <c r="OV141" s="12">
        <f t="array" ref="OV141">INDEX(OU:OU,MIN(IF(ISNUMBER(OU141:OU337),ROW(OU141:OU337),"")))</f>
        <v>0</v>
      </c>
      <c r="OW141" s="12">
        <f>IF('Données projet'!$A$538&gt;35,OW140+OV141-PE140,IF($A141&lt;'Données projet'!$A$538,$CQ$205^$A141,IF($A141='Données projet'!$A$538,'Données projet'!$B$538,OW140+OV141-PE140)))</f>
        <v>0</v>
      </c>
      <c r="OX141" s="17" t="e">
        <f>OW141*VLOOKUP('Données projet'!$B$28,Paramètres!$A$1:$I$89,3,0)*VLOOKUP('Données projet'!$B$28,Paramètres!$A$1:$I$89,5,0)</f>
        <v>#N/A</v>
      </c>
      <c r="OY141" s="13" t="e">
        <f t="shared" si="324"/>
        <v>#N/A</v>
      </c>
      <c r="OZ141" s="14" t="e">
        <f t="shared" si="281"/>
        <v>#N/A</v>
      </c>
      <c r="PA141" s="59" t="e">
        <f t="shared" si="282"/>
        <v>#N/A</v>
      </c>
      <c r="PB141" s="20" t="e">
        <f ca="1">AVERAGE(OFFSET($PA$3,0,0,'Données projet'!$E$28+1,1))-AVERAGE(OFFSET($H$3,0,0,'Données projet'!$E$28+1,1))</f>
        <v>#N/A</v>
      </c>
      <c r="PC141" s="59" t="e">
        <f t="shared" si="325"/>
        <v>#N/A</v>
      </c>
      <c r="PD141" s="15">
        <f>IF(ISNA(VLOOKUP($A141,'Données projet'!$A$538:$I$558,3,0)),0,VLOOKUP($A141,'Données projet'!$A$538:$I$558,3,0))</f>
        <v>0</v>
      </c>
      <c r="PE141" s="15">
        <f>IF(ISNA(VLOOKUP($A141,'Données projet'!$A$538:$I$558,4,0)),0,VLOOKUP($A141,'Données projet'!$A$538:$I$558,4,0))</f>
        <v>0</v>
      </c>
      <c r="PF141" s="16">
        <f>IF(ISNA(VLOOKUP($A141,'Données projet'!$A$538:$I$558,5,0)),0%,VLOOKUP($A141,'Données projet'!$A$538:$I$558,5,0)*VLOOKUP('Données projet'!$B$28,Paramètres!$A$1:$I$89,7,0))</f>
        <v>0</v>
      </c>
      <c r="PG141" s="16">
        <f>IF(ISNA(VLOOKUP($A141,'Données projet'!$A$538:$I$558,6,0)),0%,VLOOKUP($A141,'Données projet'!$A$538:$I$558,6,0)*VLOOKUP('Données projet'!$B$28,Paramètres!$A$1:$I$89,7,0))</f>
        <v>0</v>
      </c>
      <c r="PH141" s="16">
        <f>IF(ISNA(VLOOKUP($A141,'Données projet'!$A$538:$I$558,7,0)),0%,VLOOKUP($A141,'Données projet'!$A$538:$I$558,7,0))</f>
        <v>0</v>
      </c>
      <c r="PI141" s="21" t="e">
        <f>EXP(-LN(2)/35)*PI140+(1-EXP(-LN(2)/35))/(LN(2)/35)*PE141*PF141*VLOOKUP('Données projet'!$B$28,Paramètres!$A$1:$I$89,3,0)*0.475*44/12</f>
        <v>#N/A</v>
      </c>
      <c r="PJ141" s="21" t="e">
        <f>EXP(-LN(2)/25)*PJ140+(1-EXP(-LN(2)/25))/(LN(2)/25)*Calculateur!PE141*Calculateur!PG141*VLOOKUP('Données projet'!$B$28,Paramètres!$A$1:$I$89,3,0)*0.475*44/12</f>
        <v>#N/A</v>
      </c>
      <c r="PK141" s="21" t="e">
        <f>EXP(-LN(2)/2)*PK140+(1-EXP(-LN(2)/2))/(LN(2)/2)*PE141*PH141*VLOOKUP('Données projet'!$B$28,Paramètres!$A$1:$I$89,3,0)*0.475*44/12</f>
        <v>#N/A</v>
      </c>
      <c r="PL141" s="22" t="e">
        <f t="shared" si="283"/>
        <v>#N/A</v>
      </c>
    </row>
    <row r="142" spans="1:428" x14ac:dyDescent="0.35">
      <c r="A142" s="10">
        <f t="shared" si="284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285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225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projet'!$A$45:$I$65,2,0)</f>
        <v>#N/A</v>
      </c>
      <c r="L142" s="12" t="e">
        <f>VLOOKUP(A142,'Données projet'!$A$45:$I$65,9,0)</f>
        <v>#N/A</v>
      </c>
      <c r="M142" s="12">
        <f t="array" ref="M142">INDEX(L:L,MIN(IF(ISNUMBER(L142:L338),ROW(L142:L338),"")))</f>
        <v>0</v>
      </c>
      <c r="N142" s="13">
        <f>IF('Données projet'!$A$46&gt;35,N141+M142-V141,IF(A142&lt;'Données projet'!$A$46,$K$205^A142,IF(A142='Données projet'!$A$46,'Données projet'!$B$46,N141+M142-V141)))</f>
        <v>-1.1368683772161603E-13</v>
      </c>
      <c r="O142" s="13">
        <f>N142*VLOOKUP('Données projet'!$B$9,Paramètres!$A$1:$I$89,3,0)*VLOOKUP('Données projet'!$B$9,Paramètres!$A$1:$I$89,5,0)</f>
        <v>-6.3550942286383367E-14</v>
      </c>
      <c r="P142" s="13" t="e">
        <f t="shared" si="286"/>
        <v>#NUM!</v>
      </c>
      <c r="Q142" s="20" t="e">
        <f t="shared" si="223"/>
        <v>#NUM!</v>
      </c>
      <c r="R142" s="59" t="e">
        <f t="shared" si="224"/>
        <v>#NUM!</v>
      </c>
      <c r="S142" s="59">
        <f ca="1">AVERAGE(OFFSET($R$3,0,0,'Données projet'!$E$9+1,1))-AVERAGE(OFFSET($H$3,0,0,'Données projet'!$E$9+1,1))</f>
        <v>274.57619581652199</v>
      </c>
      <c r="T142" s="59">
        <f t="shared" si="287"/>
        <v>366.15117322598775</v>
      </c>
      <c r="U142" s="15">
        <f>IF(ISNA(VLOOKUP(A142,'Données projet'!$A$45:$I$65,3,0)),0,VLOOKUP(A142,'Données projet'!$A$45:$I$65,3,0))</f>
        <v>0</v>
      </c>
      <c r="V142" s="15">
        <f>IF(ISNA(VLOOKUP(A142,'Données projet'!$A$45:$I$65,4,0)),0,VLOOKUP(A142,'Données projet'!$A$45:$I$65,4,0))</f>
        <v>0</v>
      </c>
      <c r="W142" s="16">
        <f>IF(ISNA(VLOOKUP(A142,'Données projet'!$A$45:$I$65,5,0)),0%,VLOOKUP(A142,'Données projet'!$A$45:$I$65,5,0)*VLOOKUP('Données projet'!$B$9,Paramètres!$A$1:$I$89,7,0))</f>
        <v>0</v>
      </c>
      <c r="X142" s="16">
        <f>IF(ISNA(VLOOKUP(A142,'Données projet'!$A$45:$I$65,6,0)),0%,VLOOKUP(A142,'Données projet'!$A$45:$I$65,6,0)*VLOOKUP('Données projet'!$B$9,Paramètres!$A$1:$I$89,7,0))</f>
        <v>0</v>
      </c>
      <c r="Y142" s="16">
        <f>IF(ISNA(VLOOKUP(A142,'Données projet'!$A$45:$I$65,7,0)),0%,VLOOKUP(A142,'Données projet'!$A$45:$I$65,7,0))</f>
        <v>0</v>
      </c>
      <c r="Z142" s="21">
        <f>EXP(-LN(2)/35)*Z141+(1-EXP(-LN(2)/35))/(LN(2)/35)*V142*W142*VLOOKUP('Données projet'!$B$9,Paramètres!$A$1:$I$89,3,0)*0.475*44/12</f>
        <v>42.943486755945564</v>
      </c>
      <c r="AA142" s="21">
        <f>EXP(-LN(2)/25)*AA141+(1-EXP(-LN(2)/25))/(LN(2)/25)*Calculateur!V142*Calculateur!X142*VLOOKUP('Données projet'!$B$9,Paramètres!$A$1:$I$89,3,0)*0.475*44/12</f>
        <v>5.6107330093649264</v>
      </c>
      <c r="AB142" s="21">
        <f>EXP(-LN(2)/2)*AB141+(1-EXP(-LN(2)/2))/(LN(2)/2)*V142*Y142*VLOOKUP('Données projet'!$B$9,Paramètres!$A$1:$I$89,3,0)*0.475*44/12</f>
        <v>7.7673812493486533E-12</v>
      </c>
      <c r="AC142" s="22">
        <f t="shared" si="226"/>
        <v>48.554219765318258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projet'!$A$71:$I$91,2,0)</f>
        <v>#N/A</v>
      </c>
      <c r="AG142" s="12" t="e">
        <f>VLOOKUP(A142,'Données projet'!$A$71:$I$91,9,0)</f>
        <v>#N/A</v>
      </c>
      <c r="AH142" s="12">
        <f t="array" ref="AH142">INDEX(AG:AG,MIN(IF(ISNUMBER(AG142:AG338),ROW(AG142:AG338),"")))</f>
        <v>0</v>
      </c>
      <c r="AI142" s="13">
        <f>IF('Données projet'!$A$72&gt;35,AI141+AH142-AQ141,IF(A142&lt;'Données projet'!$A$72,$AF$205^A142,IF(A142='Données projet'!$A$72,'Données projet'!$B$72,AI141+AH142-AQ141)))</f>
        <v>5.6843418860808015E-13</v>
      </c>
      <c r="AJ142" s="13">
        <f>AI142*VLOOKUP('Données projet'!$B$10,Paramètres!$A$1:$I$89,3,0)*VLOOKUP('Données projet'!$B$10,Paramètres!$A$1:$I$89,5,0)</f>
        <v>5.1431925385259092E-13</v>
      </c>
      <c r="AK142" s="13">
        <f t="shared" si="288"/>
        <v>6.3855359115685756E-12</v>
      </c>
      <c r="AL142" s="20">
        <f t="shared" si="227"/>
        <v>1.2017247746441865E-11</v>
      </c>
      <c r="AM142" s="59">
        <f t="shared" si="228"/>
        <v>293.33333333334531</v>
      </c>
      <c r="AN142" s="59">
        <f ca="1">AVERAGE(OFFSET($AM$3,0,0,'Données projet'!$E$10+1,1))-AVERAGE(OFFSET($H$3,0,0,'Données projet'!$E$10+1,1))</f>
        <v>270.87836509222456</v>
      </c>
      <c r="AO142" s="59">
        <f t="shared" si="289"/>
        <v>205.24998237949734</v>
      </c>
      <c r="AP142" s="15">
        <f>IF(ISNA(VLOOKUP(A142,'Données projet'!$A$71:$I$91,3,0)),0,VLOOKUP(A142,'Données projet'!$A$71:$I$91,3,0))</f>
        <v>0</v>
      </c>
      <c r="AQ142" s="15">
        <f>IF(ISNA(VLOOKUP(A142,'Données projet'!$A$71:$I$91,4,0)),0,VLOOKUP(A142,'Données projet'!$A$71:$I$91,4,0))</f>
        <v>0</v>
      </c>
      <c r="AR142" s="16">
        <f>IF(ISNA(VLOOKUP(A142,'Données projet'!$A$71:$I$91,5,0)),0%,VLOOKUP(A142,'Données projet'!$A$71:$I$91,5,0)*VLOOKUP('Données projet'!$B$10,Paramètres!$A$1:$I$89,7,0))</f>
        <v>0</v>
      </c>
      <c r="AS142" s="16">
        <f>IF(ISNA(VLOOKUP(A142,'Données projet'!$A$71:$I$91,6,0)),0%,VLOOKUP(A142,'Données projet'!$A$71:$I$91,6,0)*VLOOKUP('Données projet'!$B$10,Paramètres!$A$1:$I$89,7,0))</f>
        <v>0</v>
      </c>
      <c r="AT142" s="16">
        <f>IF(ISNA(VLOOKUP(A142,'Données projet'!$A$71:$I$91,7,0)),0%,VLOOKUP(A142,'Données projet'!$A$71:$I$91,7,0))</f>
        <v>0</v>
      </c>
      <c r="AU142" s="21">
        <f>EXP(-LN(2)/35)*AU141+(1-EXP(-LN(2)/35))/(LN(2)/35)*AQ142*AR142*VLOOKUP('Données projet'!$B$10,Paramètres!$A$1:$I$89,3,0)*0.475*44/12</f>
        <v>145.9329090145896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229"/>
        <v>145.9329090145896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projet'!$A$97:$I$117,2,0)</f>
        <v>#N/A</v>
      </c>
      <c r="BB142" s="12" t="e">
        <f>VLOOKUP(A142,'Données projet'!$A$97:$I$117,9,0)</f>
        <v>#N/A</v>
      </c>
      <c r="BC142" s="12">
        <f t="array" ref="BC142">INDEX(BB:BB,MIN(IF(ISNUMBER(BB142:BB338),ROW(BB142:BB338),"")))</f>
        <v>0</v>
      </c>
      <c r="BD142" s="12">
        <f>IF('Données projet'!$A$98&gt;35,BD141+BC142-BL141,IF(A142&lt;'Données projet'!$A$98,$BA$205^A142,IF(A142='Données projet'!$A$98,'Données projet'!$B$98,BD141+BC142-BL141)))</f>
        <v>-1.1368683772161603E-13</v>
      </c>
      <c r="BE142" s="13">
        <f>BD142*VLOOKUP('Données projet'!$B$11,Paramètres!$A$1:$I$89,3,0)*VLOOKUP('Données projet'!$B$11,Paramètres!$A$1:$I$89,5,0)</f>
        <v>-5.0249582272954292E-14</v>
      </c>
      <c r="BF142" s="13" t="e">
        <f t="shared" si="290"/>
        <v>#NUM!</v>
      </c>
      <c r="BG142" s="20" t="e">
        <f t="shared" si="230"/>
        <v>#NUM!</v>
      </c>
      <c r="BH142" s="59" t="e">
        <f t="shared" si="231"/>
        <v>#NUM!</v>
      </c>
      <c r="BI142" s="59">
        <f ca="1">AVERAGE(OFFSET($BH$3,0,0,'Données projet'!$E$11+1,1))-AVERAGE(OFFSET($H$3,0,0,'Données projet'!$E$11+1,1))</f>
        <v>211.31057120485542</v>
      </c>
      <c r="BJ142" s="59">
        <f t="shared" si="291"/>
        <v>283.33292006714777</v>
      </c>
      <c r="BK142" s="15">
        <f>IF(ISNA(VLOOKUP(A142,'Données projet'!$A$97:$I$117,3,0)),0,VLOOKUP(A142,'Données projet'!$A$97:$I$117,3,0))</f>
        <v>0</v>
      </c>
      <c r="BL142" s="15">
        <f>IF(ISNA(VLOOKUP(A142,'Données projet'!$A$97:$I$117,4,0)),0,VLOOKUP(A142,'Données projet'!$A$97:$I$117,4,0))</f>
        <v>0</v>
      </c>
      <c r="BM142" s="16">
        <f>IF(ISNA(VLOOKUP(A142,'Données projet'!$A$97:$I$117,5,0)),0%,VLOOKUP(A142,'Données projet'!$A$97:$I$117,5,0)*VLOOKUP('Données projet'!$B$11,Paramètres!$A$1:$I$89,7,0))</f>
        <v>0</v>
      </c>
      <c r="BN142" s="16">
        <f>IF(ISNA(VLOOKUP(A142,'Données projet'!$A$97:$I$117,6,0)),0%,VLOOKUP(A142,'Données projet'!$A$97:$I$117,6,0)*VLOOKUP('Données projet'!$B$11,Paramètres!$A$1:$I$89,7,0))</f>
        <v>0</v>
      </c>
      <c r="BO142" s="16">
        <f>IF(ISNA(VLOOKUP(A142,'Données projet'!$A$97:$I$117,7,0)),0%,VLOOKUP(A142,'Données projet'!$A$97:$I$117,7,0))</f>
        <v>0</v>
      </c>
      <c r="BP142" s="21">
        <f>EXP(-LN(2)/35)*BP141+(1-EXP(-LN(2)/35))/(LN(2)/35)*BL142*BM142*VLOOKUP('Données projet'!$B$11,Paramètres!$A$1:$I$89,3,0)*0.475*44/12</f>
        <v>33.955315109352327</v>
      </c>
      <c r="BQ142" s="21">
        <f>EXP(-LN(2)/25)*BQ141+(1-EXP(-LN(2)/25))/(LN(2)/25)*Calculateur!BL142*Calculateur!BN142*VLOOKUP('Données projet'!$B$11,Paramètres!$A$1:$I$89,3,0)*0.475*44/12</f>
        <v>4.4363935422885445</v>
      </c>
      <c r="BR142" s="21">
        <f>EXP(-LN(2)/2)*BR141+(1-EXP(-LN(2)/2))/(LN(2)/2)*BL142*BO142*VLOOKUP('Données projet'!$B$11,Paramètres!$A$1:$I$89,3,0)*0.475*44/12</f>
        <v>6.1416502901826549E-12</v>
      </c>
      <c r="BS142" s="22">
        <f t="shared" si="232"/>
        <v>38.391708651647008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projet'!$A$123:$I$143,2,0)</f>
        <v>#N/A</v>
      </c>
      <c r="BW142" s="12" t="e">
        <f>VLOOKUP(A142,'Données projet'!$A$123:$I$143,9,0)</f>
        <v>#N/A</v>
      </c>
      <c r="BX142" s="12">
        <f t="array" ref="BX142">INDEX(BW:BW,MIN(IF(ISNUMBER(BW142:BW338),ROW(BW142:BW338),"")))</f>
        <v>0</v>
      </c>
      <c r="BY142" s="12">
        <f>IF('Données projet'!$A$124&gt;35,BY141+BX142-CG141,IF(A142&lt;'Données projet'!$A$124,$BV$205^A142,IF(A142='Données projet'!$A$124,'Données projet'!$B$124,BY141+BX142-CG141)))</f>
        <v>0</v>
      </c>
      <c r="BZ142" s="13">
        <f>BY142*VLOOKUP('Données projet'!$B$12,Paramètres!$A$1:$I$89,3,0)*VLOOKUP('Données projet'!$B$12,Paramètres!$A$1:$I$89,5,0)</f>
        <v>0</v>
      </c>
      <c r="CA142" s="13" t="e">
        <f t="shared" si="292"/>
        <v>#NUM!</v>
      </c>
      <c r="CB142" s="20" t="e">
        <f t="shared" si="233"/>
        <v>#NUM!</v>
      </c>
      <c r="CC142" s="59" t="e">
        <f t="shared" si="234"/>
        <v>#NUM!</v>
      </c>
      <c r="CD142" s="59">
        <f ca="1">AVERAGE(OFFSET($CC$3,0,0,'Données projet'!$E$12+1,1))-AVERAGE(OFFSET($H$3,0,0,'Données projet'!$E$12+1,1))</f>
        <v>322.93502595881938</v>
      </c>
      <c r="CE142" s="59">
        <f t="shared" si="293"/>
        <v>302.67072119588164</v>
      </c>
      <c r="CF142" s="15">
        <f>IF(ISNA(VLOOKUP(A142,'Données projet'!$A$123:$I$143,3,0)),0,VLOOKUP(A142,'Données projet'!$A$123:$I$143,3,0))</f>
        <v>0</v>
      </c>
      <c r="CG142" s="15">
        <f>IF(ISNA(VLOOKUP(A142,'Données projet'!$A$123:$I$143,4,0)),0,VLOOKUP(A142,'Données projet'!$A$123:$I$143,4,0))</f>
        <v>0</v>
      </c>
      <c r="CH142" s="16">
        <f>IF(ISNA(VLOOKUP(A142,'Données projet'!$A$123:$I$143,5,0)),0%,VLOOKUP(A142,'Données projet'!$A$123:$I$143,5,0)*VLOOKUP('Données projet'!$B$12,Paramètres!$A$1:$I$89,7,0))</f>
        <v>0</v>
      </c>
      <c r="CI142" s="16">
        <f>IF(ISNA(VLOOKUP(A142,'Données projet'!$A$123:$I$143,6,0)),0%,VLOOKUP(A142,'Données projet'!$A$123:$I$143,6,0)*VLOOKUP('Données projet'!$B$12,Paramètres!$A$1:$I$89,7,0))</f>
        <v>0</v>
      </c>
      <c r="CJ142" s="16">
        <f>IF(ISNA(VLOOKUP(A142,'Données projet'!$A$123:$I$143,7,0)),0%,VLOOKUP(A142,'Données projet'!$A$123:$I$143,7,0))</f>
        <v>0</v>
      </c>
      <c r="CK142" s="21">
        <f>EXP(-LN(2)/35)*CK141+(1-EXP(-LN(2)/35))/(LN(2)/35)*CG142*CH142*VLOOKUP('Données projet'!$B$12,Paramètres!$A$1:$I$89,3,0)*0.475*44/12</f>
        <v>54.099021735012862</v>
      </c>
      <c r="CL142" s="21">
        <f>EXP(-LN(2)/25)*CL141+(1-EXP(-LN(2)/25))/(LN(2)/25)*Calculateur!CG142*Calculateur!CI142*VLOOKUP('Données projet'!$B$12,Paramètres!$A$1:$I$89,3,0)*0.475*44/12</f>
        <v>14.199143526297796</v>
      </c>
      <c r="CM142" s="21">
        <f>EXP(-LN(2)/2)*CM141+(1-EXP(-LN(2)/2))/(LN(2)/2)*CG142*CJ142*VLOOKUP('Données projet'!$B$12,Paramètres!$A$1:$I$89,3,0)*0.475*44/12</f>
        <v>0</v>
      </c>
      <c r="CN142" s="22">
        <f t="shared" si="235"/>
        <v>68.298165261310658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projet'!$A$149:$I$169,2,0)</f>
        <v>#N/A</v>
      </c>
      <c r="CR142" s="12" t="e">
        <f>VLOOKUP(A142,'Données projet'!$A$149:$I$169,9,0)</f>
        <v>#N/A</v>
      </c>
      <c r="CS142" s="12">
        <f t="array" ref="CS142">INDEX(CR:CR,MIN(IF(ISNUMBER(CR142:CR338),ROW(CR142:CR338),"")))</f>
        <v>5.1063034188034209</v>
      </c>
      <c r="CT142" s="12">
        <f>IF('Données projet'!$A$150&gt;35,CT141+CS142-DB141,IF(A142&lt;'Données projet'!$A$150,$CQ$205^A142,IF(A142='Données projet'!$A$150,'Données projet'!$B$150,CT141+CS142-DB141)))</f>
        <v>252.12286324786288</v>
      </c>
      <c r="CU142" s="17">
        <f>CT142*VLOOKUP('Données projet'!$B$13,Paramètres!$A$1:$I$89,3,0)*VLOOKUP('Données projet'!$B$13,Paramètres!$A$1:$I$89,5,0)</f>
        <v>255.65258333333296</v>
      </c>
      <c r="CV142" s="13">
        <f t="shared" si="294"/>
        <v>61.794776930172596</v>
      </c>
      <c r="CW142" s="20">
        <f t="shared" si="236"/>
        <v>552.88748579227229</v>
      </c>
      <c r="CX142" s="59">
        <f t="shared" si="237"/>
        <v>846.22081912560566</v>
      </c>
      <c r="CY142" s="59">
        <f ca="1">AVERAGE(OFFSET($CX$3,0,0,'Données projet'!$E$13+1,1))-AVERAGE(OFFSET($H$3,0,0,'Données projet'!$E$13+1,1))</f>
        <v>250.31277422753283</v>
      </c>
      <c r="CZ142" s="59">
        <f t="shared" si="295"/>
        <v>159.20429420478047</v>
      </c>
      <c r="DA142" s="15">
        <f>IF(ISNA(VLOOKUP(A142,'Données projet'!$A$149:$I$169,3,0)),0,VLOOKUP(A142,'Données projet'!$A$149:$I$169,3,0))</f>
        <v>0</v>
      </c>
      <c r="DB142" s="15">
        <f>IF(ISNA(VLOOKUP(A142,'Données projet'!$A$149:$I$169,4,0)),0,VLOOKUP(A142,'Données projet'!$A$149:$I$169,4,0))</f>
        <v>0</v>
      </c>
      <c r="DC142" s="16">
        <f>IF(ISNA(VLOOKUP(A142,'Données projet'!$A$149:$I$169,5,0)),0%,VLOOKUP(A142,'Données projet'!$A$149:$I$169,5,0)*VLOOKUP('Données projet'!$B$13,Paramètres!$A$1:$I$89,7,0))</f>
        <v>0</v>
      </c>
      <c r="DD142" s="16">
        <f>IF(ISNA(VLOOKUP(A142,'Données projet'!$A$149:$I$169,6,0)),0%,VLOOKUP(A142,'Données projet'!$A$149:$I$169,6,0)*VLOOKUP('Données projet'!$B$13,Paramètres!$A$1:$I$89,7,0))</f>
        <v>0</v>
      </c>
      <c r="DE142" s="16">
        <f>IF(ISNA(VLOOKUP(A142,'Données projet'!$A$149:$I$169,7,0)),0%,VLOOKUP(A142,'Données projet'!$A$149:$I$169,7,0))</f>
        <v>0</v>
      </c>
      <c r="DF142" s="21">
        <f>EXP(-LN(2)/35)*DF141+(1-EXP(-LN(2)/35))/(LN(2)/35)*DB142*DC142*VLOOKUP('Données projet'!$B$13,Paramètres!$A$1:$I$89,3,0)*0.475*44/12</f>
        <v>52.814580457774156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238"/>
        <v>52.814580457774156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projet'!$A$175:$I$195,2,0)</f>
        <v>#N/A</v>
      </c>
      <c r="DM142" s="12" t="e">
        <f>VLOOKUP(A142,'Données projet'!$A$175:$I$195,9,0)</f>
        <v>#N/A</v>
      </c>
      <c r="DN142" s="12">
        <f t="array" ref="DN142">INDEX(DM:DM,MIN(IF(ISNUMBER(DM142:DM338),ROW(DM142:DM338),"")))</f>
        <v>0</v>
      </c>
      <c r="DO142" s="12">
        <f>IF('Données projet'!$A$176&gt;35,DO141+DN142-DW141,IF(A142&lt;'Données projet'!$A$176,$DL$205^A142,IF(A142='Données projet'!$A$176,'Données projet'!$B$176,DO141+DN142-DW141)))</f>
        <v>-2.8421709430404007E-13</v>
      </c>
      <c r="DP142" s="17">
        <f>DO142*VLOOKUP('Données projet'!$B$14,Paramètres!$A$1:$I$89,3,0)*VLOOKUP('Données projet'!$B$14,Paramètres!$A$1:$I$89,5,0)</f>
        <v>-2.0838797354372215E-13</v>
      </c>
      <c r="DQ142" s="13" t="e">
        <f t="shared" si="296"/>
        <v>#NUM!</v>
      </c>
      <c r="DR142" s="20" t="e">
        <f t="shared" si="239"/>
        <v>#NUM!</v>
      </c>
      <c r="DS142" s="59" t="e">
        <f t="shared" si="240"/>
        <v>#NUM!</v>
      </c>
      <c r="DT142" s="59">
        <f ca="1">AVERAGE(OFFSET($DS$3,0,0,'Données projet'!$E$14+1,1))-AVERAGE(OFFSET($H$3,0,0,'Données projet'!$E$14+1,1))</f>
        <v>296.91321813251051</v>
      </c>
      <c r="DU142" s="59">
        <f t="shared" si="297"/>
        <v>291.0718079639509</v>
      </c>
      <c r="DV142" s="15">
        <f>IF(ISNA(VLOOKUP(A142,'Données projet'!$A$175:$I$195,3,0)),0,VLOOKUP(A142,'Données projet'!$A$175:$I$195,3,0))</f>
        <v>0</v>
      </c>
      <c r="DW142" s="15">
        <f>IF(ISNA(VLOOKUP(A142,'Données projet'!$A$175:$I$195,4,0)),0,VLOOKUP(A142,'Données projet'!$A$175:$I$195,4,0))</f>
        <v>0</v>
      </c>
      <c r="DX142" s="16">
        <f>IF(ISNA(VLOOKUP(A142,'Données projet'!$A$175:$I$195,5,0)),0%,VLOOKUP(A142,'Données projet'!$A$175:$I$195,5,0)*VLOOKUP('Données projet'!$B$14,Paramètres!$A$1:$I$89,7,0))</f>
        <v>0</v>
      </c>
      <c r="DY142" s="16">
        <f>IF(ISNA(VLOOKUP(A142,'Données projet'!$A$175:$I$195,6,0)),0%,VLOOKUP(A142,'Données projet'!$A$175:$I$195,6,0)*VLOOKUP('Données projet'!$B$14,Paramètres!$A$1:$I$89,7,0))</f>
        <v>0</v>
      </c>
      <c r="DZ142" s="16">
        <f>IF(ISNA(VLOOKUP(A142,'Données projet'!$A$175:$I$195,7,0)),0%,VLOOKUP(A142,'Données projet'!$A$175:$I$195,7,0))</f>
        <v>0</v>
      </c>
      <c r="EA142" s="21">
        <f>EXP(-LN(2)/35)*EA141+(1-EXP(-LN(2)/35))/(LN(2)/35)*DW142*DX142*VLOOKUP('Données projet'!$B$14,Paramètres!$A$1:$I$89,3,0)*0.475*44/12</f>
        <v>53.919356560459427</v>
      </c>
      <c r="EB142" s="21">
        <f>EXP(-LN(2)/25)*EB141+(1-EXP(-LN(2)/25))/(LN(2)/25)*Calculateur!DW142*Calculateur!DY142*VLOOKUP('Données projet'!$B$14,Paramètres!$A$1:$I$89,3,0)*0.475*44/12</f>
        <v>1.0430819612925499</v>
      </c>
      <c r="EC142" s="21">
        <f>EXP(-LN(2)/2)*EC141+(1-EXP(-LN(2)/2))/(LN(2)/2)*DW142*DZ142*VLOOKUP('Données projet'!$B$14,Paramètres!$A$1:$I$89,3,0)*0.475*44/12</f>
        <v>0</v>
      </c>
      <c r="ED142" s="22">
        <f t="shared" si="241"/>
        <v>54.962438521751977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projet'!$A$201:$I$221,2,0)</f>
        <v>#N/A</v>
      </c>
      <c r="EH142" s="12" t="e">
        <f>VLOOKUP(A142,'Données projet'!$A$201:$I$221,9,0)</f>
        <v>#N/A</v>
      </c>
      <c r="EI142" s="12">
        <f t="array" ref="EI142">INDEX(EH:EH,MIN(IF(ISNUMBER(EH142:EH338),ROW(EH142:EH338),"")))</f>
        <v>0</v>
      </c>
      <c r="EJ142" s="12">
        <f>IF('Données projet'!$A$202&gt;35,EJ141+EI142-ER141,IF(A142&lt;'Données projet'!$A$202,$EG$205^A142,IF(A142='Données projet'!$A$202,'Données projet'!$B$202,EJ141+EI142-ER141)))</f>
        <v>5.1159076974727213E-13</v>
      </c>
      <c r="EK142" s="17">
        <f>EJ142*VLOOKUP('Données projet'!$B$15,Paramètres!$A$1:$I$89,3,0)*VLOOKUP('Données projet'!$B$15,Paramètres!$A$1:$I$89,5,0)</f>
        <v>2.3942448024172334E-13</v>
      </c>
      <c r="EL142" s="13">
        <f t="shared" si="298"/>
        <v>3.2492669905861755E-12</v>
      </c>
      <c r="EM142" s="20">
        <f t="shared" si="242"/>
        <v>6.0761376450252565E-12</v>
      </c>
      <c r="EN142" s="59">
        <f t="shared" si="243"/>
        <v>293.3333333333394</v>
      </c>
      <c r="EO142" s="59">
        <f ca="1">AVERAGE(OFFSET($EN$3,0,0,'Données projet'!$E$15+1,1))-AVERAGE(OFFSET($H$3,0,0,'Données projet'!$E$15+1,1))</f>
        <v>147.64256291235483</v>
      </c>
      <c r="EP142" s="59">
        <f t="shared" si="299"/>
        <v>70.859031694091868</v>
      </c>
      <c r="EQ142" s="15">
        <f>IF(ISNA(VLOOKUP(A142,'Données projet'!$A$201:$I$221,3,0)),0,VLOOKUP(A142,'Données projet'!$A$201:$I$221,3,0))</f>
        <v>0</v>
      </c>
      <c r="ER142" s="15">
        <f>IF(ISNA(VLOOKUP(A142,'Données projet'!$A$201:$I$221,4,0)),0,VLOOKUP(A142,'Données projet'!$A$201:$I$221,4,0))</f>
        <v>0</v>
      </c>
      <c r="ES142" s="16">
        <f>IF(ISNA(VLOOKUP(A142,'Données projet'!$A$201:$I$221,5,0)),0%,VLOOKUP(A142,'Données projet'!$A$201:$I$221,5,0)*VLOOKUP('Données projet'!$B$15,Paramètres!$A$1:$I$89,7,0))</f>
        <v>0</v>
      </c>
      <c r="ET142" s="16">
        <f>IF(ISNA(VLOOKUP(A142,'Données projet'!$A$201:$I$221,6,0)),0%,VLOOKUP(A142,'Données projet'!$A$201:$I$221,6,0)*VLOOKUP('Données projet'!$B$15,Paramètres!$A$1:$I$89,7,0))</f>
        <v>0</v>
      </c>
      <c r="EU142" s="16">
        <f>IF(ISNA(VLOOKUP(A142,'Données projet'!$A$201:$I$221,7,0)),0%,VLOOKUP(A142,'Données projet'!$A$201:$I$221,7,0))</f>
        <v>0</v>
      </c>
      <c r="EV142" s="21">
        <f>EXP(-LN(2)/35)*EV141+(1-EXP(-LN(2)/35))/(LN(2)/35)*ER142*ES142*VLOOKUP('Données projet'!$B$15,Paramètres!$A$1:$I$89,3,0)*0.475*44/12</f>
        <v>73.816449053428869</v>
      </c>
      <c r="EW142" s="21">
        <f>EXP(-LN(2)/25)*EW141+(1-EXP(-LN(2)/25))/(LN(2)/25)*Calculateur!ER142*Calculateur!ET142*VLOOKUP('Données projet'!$B$15,Paramètres!$A$1:$I$89,3,0)*0.475*44/12</f>
        <v>14.471711325619614</v>
      </c>
      <c r="EX142" s="21">
        <f>EXP(-LN(2)/2)*EX141+(1-EXP(-LN(2)/2))/(LN(2)/2)*ER142*EU142*VLOOKUP('Données projet'!$B$15,Paramètres!$A$1:$I$89,3,0)*0.475*44/12</f>
        <v>5.5995755995829342E-4</v>
      </c>
      <c r="EY142" s="22">
        <f t="shared" si="244"/>
        <v>88.288720336608435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projet'!$A$227:$I$247,2,0)</f>
        <v>#N/A</v>
      </c>
      <c r="FC142" s="12" t="e">
        <f>VLOOKUP(A142,'Données projet'!$A$227:$I$247,9,0)</f>
        <v>#N/A</v>
      </c>
      <c r="FD142" s="12">
        <f t="array" ref="FD142">INDEX(FC:FC,MIN(IF(ISNUMBER(FC142:FC338),ROW(FC142:FC338),"")))</f>
        <v>0</v>
      </c>
      <c r="FE142" s="12">
        <f>IF('Données projet'!$A$228&gt;35,FE141+FD142-FM141,IF(A142&lt;'Données projet'!$A$228,$FB$205^A142,IF(A142='Données projet'!$A$228,'Données projet'!$B$228,FE141+FD142-FM141)))</f>
        <v>8.5265128291212022E-14</v>
      </c>
      <c r="FF142" s="17">
        <f>FE142*VLOOKUP('Données projet'!$B$16,Paramètres!$A$1:$I$89,3,0)*VLOOKUP('Données projet'!$B$16,Paramètres!$A$1:$I$89,5,0)</f>
        <v>8.9119112089974823E-14</v>
      </c>
      <c r="FG142" s="13">
        <f t="shared" si="300"/>
        <v>1.3568952080113142E-12</v>
      </c>
      <c r="FH142" s="20">
        <f t="shared" si="245"/>
        <v>2.5184749408430782E-12</v>
      </c>
      <c r="FI142" s="59">
        <f t="shared" si="246"/>
        <v>293.33333333333582</v>
      </c>
      <c r="FJ142" s="59">
        <f ca="1">AVERAGE(OFFSET($FI$3,0,0,'Données projet'!$E$16+1,1))-AVERAGE(OFFSET($H$3,0,0,'Données projet'!$E$16+1,1))</f>
        <v>259.03906550253788</v>
      </c>
      <c r="FK142" s="59">
        <f t="shared" si="301"/>
        <v>235.54542903570831</v>
      </c>
      <c r="FL142" s="15">
        <f>IF(ISNA(VLOOKUP(A142,'Données projet'!$A$227:$I$247,3,0)),0,VLOOKUP(A142,'Données projet'!$A$227:$I$247,3,0))</f>
        <v>0</v>
      </c>
      <c r="FM142" s="15">
        <f>IF(ISNA(VLOOKUP(A142,'Données projet'!$A$227:$I$247,4,0)),0,VLOOKUP(A142,'Données projet'!$A$227:$I$247,4,0))</f>
        <v>0</v>
      </c>
      <c r="FN142" s="16">
        <f>IF(ISNA(VLOOKUP(A142,'Données projet'!$A$227:$I$247,5,0)),0%,VLOOKUP(A142,'Données projet'!$A$227:$I$247,5,0)*VLOOKUP('Données projet'!$B$16,Paramètres!$A$1:$I$89,7,0))</f>
        <v>0</v>
      </c>
      <c r="FO142" s="16">
        <f>IF(ISNA(VLOOKUP(A142,'Données projet'!$A$227:$I$247,6,0)),0%,VLOOKUP(A142,'Données projet'!$A$227:$I$247,6,0)*VLOOKUP('Données projet'!$B$16,Paramètres!$A$1:$I$89,7,0))</f>
        <v>0</v>
      </c>
      <c r="FP142" s="16">
        <f>IF(ISNA(VLOOKUP(A142,'Données projet'!$A$227:$I$247,7,0)),0%,VLOOKUP(A142,'Données projet'!$A$227:$I$247,7,0))</f>
        <v>0</v>
      </c>
      <c r="FQ142" s="21">
        <f>EXP(-LN(2)/35)*FQ141+(1-EXP(-LN(2)/35))/(LN(2)/35)*FM142*FN142*VLOOKUP('Données projet'!$B$16,Paramètres!$A$1:$I$89,3,0)*0.475*44/12</f>
        <v>32.580574509819392</v>
      </c>
      <c r="FR142" s="21">
        <f>EXP(-LN(2)/25)*FR141+(1-EXP(-LN(2)/25))/(LN(2)/25)*Calculateur!FM142*Calculateur!FO142*VLOOKUP('Données projet'!$B$16,Paramètres!$A$1:$I$89,3,0)*0.475*44/12</f>
        <v>19.908366515386579</v>
      </c>
      <c r="FS142" s="21">
        <f>EXP(-LN(2)/2)*FS141+(1-EXP(-LN(2)/2))/(LN(2)/2)*FM142*FP142*VLOOKUP('Données projet'!$B$16,Paramètres!$A$1:$I$89,3,0)*0.475*44/12</f>
        <v>0</v>
      </c>
      <c r="FT142" s="22">
        <f t="shared" si="247"/>
        <v>52.488941025205975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projet'!$A$253:$I$273,2,0)</f>
        <v>#N/A</v>
      </c>
      <c r="FX142" s="12" t="e">
        <f>VLOOKUP(A142,'Données projet'!$A$253:$I$273,9,0)</f>
        <v>#N/A</v>
      </c>
      <c r="FY142" s="12">
        <f t="array" ref="FY142">INDEX(FX:FX,MIN(IF(ISNUMBER(FX142:FX338),ROW(FX142:FX338),"")))</f>
        <v>0</v>
      </c>
      <c r="FZ142" s="12">
        <f>IF('Données projet'!$A$254&gt;35,FZ141+FY142-GH141,IF(A142&lt;'Données projet'!$A$254,$FW$205^A142,IF(A142='Données projet'!$A$254,'Données projet'!$B$254,FZ141+FY142-GH141)))</f>
        <v>-1.7053025658242404E-13</v>
      </c>
      <c r="GA142" s="17">
        <f>FZ142*VLOOKUP('Données projet'!$B$17,Paramètres!$A$1:$I$89,3,0)*VLOOKUP('Données projet'!$B$17,Paramètres!$A$1:$I$89,5,0)</f>
        <v>-1.4897523215040567E-13</v>
      </c>
      <c r="GB142" s="13" t="e">
        <f t="shared" si="302"/>
        <v>#NUM!</v>
      </c>
      <c r="GC142" s="20" t="e">
        <f t="shared" si="248"/>
        <v>#NUM!</v>
      </c>
      <c r="GD142" s="59" t="e">
        <f t="shared" si="249"/>
        <v>#NUM!</v>
      </c>
      <c r="GE142" s="59">
        <f ca="1">AVERAGE(OFFSET($GD$3,0,0,'Données projet'!$E$17+1,1))-AVERAGE(OFFSET($H$3,0,0,'Données projet'!$E$17+1,1))</f>
        <v>245.1983232777614</v>
      </c>
      <c r="GF142" s="59">
        <f t="shared" si="303"/>
        <v>242.34010522344573</v>
      </c>
      <c r="GG142" s="15">
        <f>IF(ISNA(VLOOKUP(A142,'Données projet'!$A$253:$I$273,3,0)),0,VLOOKUP(A142,'Données projet'!$A$253:$I$273,3,0))</f>
        <v>0</v>
      </c>
      <c r="GH142" s="15">
        <f>IF(ISNA(VLOOKUP(A142,'Données projet'!$A$253:$I$273,4,0)),0,VLOOKUP(A142,'Données projet'!$A$253:$I$273,4,0))</f>
        <v>0</v>
      </c>
      <c r="GI142" s="16">
        <f>IF(ISNA(VLOOKUP(A142,'Données projet'!$A$253:$I$273,5,0)),0%,VLOOKUP(A142,'Données projet'!$A$253:$I$273,5,0)*VLOOKUP('Données projet'!$B$17,Paramètres!$A$1:$I$89,7,0))</f>
        <v>0</v>
      </c>
      <c r="GJ142" s="16">
        <f>IF(ISNA(VLOOKUP(A142,'Données projet'!$A$253:$I$273,6,0)),0%,VLOOKUP(A142,'Données projet'!$A$253:$I$273,6,0)*VLOOKUP('Données projet'!$B$17,Paramètres!$A$1:$I$89,7,0))</f>
        <v>0</v>
      </c>
      <c r="GK142" s="16">
        <f>IF(ISNA(VLOOKUP(A142,'Données projet'!$A$253:$I$273,7,0)),0%,VLOOKUP(A142,'Données projet'!$A$253:$I$273,7,0))</f>
        <v>0</v>
      </c>
      <c r="GL142" s="21">
        <f>EXP(-LN(2)/35)*GL141+(1-EXP(-LN(2)/35))/(LN(2)/35)*GH142*GI142*VLOOKUP('Données projet'!$B$17,Paramètres!$A$1:$I$89,3,0)*0.475*44/12</f>
        <v>38.302935465947392</v>
      </c>
      <c r="GM142" s="21">
        <f>EXP(-LN(2)/25)*GM141+(1-EXP(-LN(2)/25))/(LN(2)/25)*Calculateur!GH142*Calculateur!GJ142*VLOOKUP('Données projet'!$B$17,Paramètres!$A$1:$I$89,3,0)*0.475*44/12</f>
        <v>4.2419879040930075</v>
      </c>
      <c r="GN142" s="21">
        <f>EXP(-LN(2)/2)*GN141+(1-EXP(-LN(2)/2))/(LN(2)/2)*GH142*GK142*VLOOKUP('Données projet'!$B$17,Paramètres!$A$1:$I$89,3,0)*0.475*44/12</f>
        <v>0</v>
      </c>
      <c r="GO142" s="21">
        <f t="shared" si="250"/>
        <v>42.544923370040401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projet'!$A$279:$I$299,2,0)</f>
        <v>#N/A</v>
      </c>
      <c r="GS142" s="12" t="e">
        <f>VLOOKUP(A142,'Données projet'!$A$279:$I$299,9,0)</f>
        <v>#N/A</v>
      </c>
      <c r="GT142" s="12">
        <f t="array" ref="GT142">INDEX(GS:GS,MIN(IF(ISNUMBER(GS142:GS338),ROW(GS142:GS338),"")))</f>
        <v>0</v>
      </c>
      <c r="GU142" s="12">
        <f>IF('Données projet'!$A$280&gt;35,GU141+GT142-HC141,IF(A142&lt;'Données projet'!$A$280,$GR$205^A142,IF(A142='Données projet'!$A$280,'Données projet'!$B$280,GU141+GT142-HC141)))</f>
        <v>-1.1368683772161603E-13</v>
      </c>
      <c r="GV142" s="17">
        <f>GU142*VLOOKUP('Données projet'!$B$18,Paramètres!$A$1:$I$89,3,0)*VLOOKUP('Données projet'!$B$18,Paramètres!$A$1:$I$89,5,0)</f>
        <v>-4.5815795601811263E-14</v>
      </c>
      <c r="GW142" s="13" t="e">
        <f t="shared" si="304"/>
        <v>#NUM!</v>
      </c>
      <c r="GX142" s="20" t="e">
        <f t="shared" si="251"/>
        <v>#NUM!</v>
      </c>
      <c r="GY142" s="59" t="e">
        <f t="shared" si="252"/>
        <v>#NUM!</v>
      </c>
      <c r="GZ142" s="59">
        <f ca="1">AVERAGE(OFFSET($GY$3,0,0,'Données projet'!$E$18+1,1))-AVERAGE(OFFSET($H$3,0,0,'Données projet'!$E$18+1,1))</f>
        <v>324.36162935850876</v>
      </c>
      <c r="HA142" s="59">
        <f t="shared" si="305"/>
        <v>265.23571072429735</v>
      </c>
      <c r="HB142" s="15">
        <f>IF(ISNA(VLOOKUP(A142,'Données projet'!$A$279:$I$299,3,0)),0,VLOOKUP(A142,'Données projet'!$A$279:$I$299,3,0))</f>
        <v>0</v>
      </c>
      <c r="HC142" s="15">
        <f>IF(ISNA(VLOOKUP(A142,'Données projet'!$A$279:$I$299,4,0)),0,VLOOKUP(A142,'Données projet'!$A$279:$I$299,4,0))</f>
        <v>0</v>
      </c>
      <c r="HD142" s="16">
        <f>IF(ISNA(VLOOKUP(A142,'Données projet'!$A$279:$I$299,5,0)),0%,VLOOKUP(A142,'Données projet'!$A$279:$I$299,5,0)*VLOOKUP('Données projet'!$B$18,Paramètres!$A$1:$I$89,7,0))</f>
        <v>0</v>
      </c>
      <c r="HE142" s="16">
        <f>IF(ISNA(VLOOKUP(A142,'Données projet'!$A$279:$I$299,6,0)),0%,VLOOKUP(A142,'Données projet'!$A$279:$I$299,6,0)*VLOOKUP('Données projet'!$B$18,Paramètres!$A$1:$I$89,7,0))</f>
        <v>0</v>
      </c>
      <c r="HF142" s="16">
        <f>IF(ISNA(VLOOKUP($A142,'Données projet'!$A$279:$I$299,7,0)),0%,VLOOKUP($A142,'Données projet'!$A$279:$I$299,7,0))</f>
        <v>0</v>
      </c>
      <c r="HG142" s="21">
        <f>EXP(-LN(2)/35)*HG141+(1-EXP(-LN(2)/35))/(LN(2)/35)*HC142*HD142*VLOOKUP('Données projet'!$B$18,Paramètres!$A$1:$I$89,3,0)*0.475*44/12</f>
        <v>73.398437460570307</v>
      </c>
      <c r="HH142" s="21">
        <f>EXP(-LN(2)/25)*HH141+(1-EXP(-LN(2)/25))/(LN(2)/25)*Calculateur!HC142*Calculateur!HE142*VLOOKUP('Données projet'!$B$18,Paramètres!$A$1:$I$89,3,0)*0.475*44/12</f>
        <v>4.7178492969913144</v>
      </c>
      <c r="HI142" s="21">
        <f>EXP(-LN(2)/2)*HI141+(1-EXP(-LN(2)/2))/(LN(2)/2)*HC142*HF142*VLOOKUP('Données projet'!$B$18,Paramètres!$A$1:$I$89,3,0)*0.475*44/12</f>
        <v>1.1257436025377451E-8</v>
      </c>
      <c r="HJ142" s="22">
        <f t="shared" si="253"/>
        <v>78.116286768819066</v>
      </c>
      <c r="HK142" s="74">
        <f>('Scénario référence'!$F$8+'Scénario référence'!$F$9+'Scénario référence'!$B$17+'Scénario référence'!$B$9+'Scénario référence'!$B$10)*70+IF((45+25*(1-EXP(-0.0175*$A142)))&lt;70,'Scénario référence'!$B$16*(45+25*(1-EXP(-0.0175*$A142))),70*'Scénario référence'!$B$16)+IF((32+38*(1-EXP(-0.0175*$A142)))&lt;70,'Scénario référence'!$B$18*(32+38*(1-EXP(-0.0175*$A142))),70*'Scénario référence'!$B$18)</f>
        <v>70</v>
      </c>
      <c r="HL142" s="12">
        <f>IF($A142&gt;30,10,('Scénario référence'!$B$16+'Scénario référence'!$B$17+'Scénario référence'!$B$18+'Scénario référence'!$B$9+'Scénario référence'!$B$10)*$A142*10/30+('Scénario référence'!$F$8+'Scénario référence'!$F$9)*10)</f>
        <v>10</v>
      </c>
      <c r="HM142" s="12" t="e">
        <f>VLOOKUP($A142,'Données projet'!$A$304:$I$324,2,0)</f>
        <v>#N/A</v>
      </c>
      <c r="HN142" s="12" t="e">
        <f>VLOOKUP($A142,'Données projet'!$A$304:$I$324,9,0)</f>
        <v>#N/A</v>
      </c>
      <c r="HO142" s="12">
        <f t="array" ref="HO142">INDEX(HN:HN,MIN(IF(ISNUMBER(HN142:HN338),ROW(HN142:HN338),"")))</f>
        <v>0</v>
      </c>
      <c r="HP142" s="12">
        <f>IF('Données projet'!$A$304&gt;35,HP141+HO142-HX141,IF($A142&lt;'Données projet'!$A$304,$CQ$205^$A142,IF($A142='Données projet'!$A$304,'Données projet'!$B$304,HP141+HO142-HX141)))</f>
        <v>0</v>
      </c>
      <c r="HQ142" s="17">
        <f>HP142*VLOOKUP('Données projet'!$B$19,Paramètres!$A$1:$I$89,3,0)*VLOOKUP('Données projet'!$B$19,Paramètres!$A$1:$I$89,5,0)</f>
        <v>0</v>
      </c>
      <c r="HR142" s="13" t="e">
        <f t="shared" si="306"/>
        <v>#NUM!</v>
      </c>
      <c r="HS142" s="14" t="e">
        <f t="shared" si="254"/>
        <v>#NUM!</v>
      </c>
      <c r="HT142" s="59" t="e">
        <f t="shared" si="255"/>
        <v>#NUM!</v>
      </c>
      <c r="HU142" s="59">
        <f ca="1">AVERAGE(OFFSET(HT$3,0,0,'Données projet'!$E$19+1,1))-AVERAGE(OFFSET($H$3,0,0,'Données projet'!$E$19+1,1))</f>
        <v>91.60721429656013</v>
      </c>
      <c r="HV142" s="59">
        <f t="shared" si="307"/>
        <v>258.94957804210856</v>
      </c>
      <c r="HW142" s="15">
        <f>IF(ISNA(VLOOKUP($A142,'Données projet'!$A$304:$I$324,3,0)),0,VLOOKUP($A142,'Données projet'!$A$304:$I$324,3,0))</f>
        <v>0</v>
      </c>
      <c r="HX142" s="15">
        <f>IF(ISNA(VLOOKUP($A142,'Données projet'!$A$304:$I$324,4,0)),0,VLOOKUP($A142,'Données projet'!$A$304:$I$324,4,0))</f>
        <v>0</v>
      </c>
      <c r="HY142" s="16">
        <f>IF(ISNA(VLOOKUP($A142,'Données projet'!$A$304:$I$324,5,0)),0%,VLOOKUP($A142,'Données projet'!$A$304:$I$324,5,0)*VLOOKUP('Données projet'!$B$19,Paramètres!$A$1:$I$89,7,0))</f>
        <v>0</v>
      </c>
      <c r="HZ142" s="16">
        <f>IF(ISNA(VLOOKUP($A142,'Données projet'!$A$304:$I$324,6,0)),0%,VLOOKUP($A142,'Données projet'!$A$304:$I$324,6,0)*VLOOKUP('Données projet'!$B$19,Paramètres!$A$1:$I$89,7,0))</f>
        <v>0</v>
      </c>
      <c r="IA142" s="16">
        <f>IF(ISNA(VLOOKUP($A142,'Données projet'!$A$304:$I$324,7,0)),0%,VLOOKUP($A142,'Données projet'!$A$304:$I$324,7,0))</f>
        <v>0</v>
      </c>
      <c r="IB142" s="21">
        <f>EXP(-LN(2)/35)*IB141+(1-EXP(-LN(2)/35))/(LN(2)/35)*HX142*HY142*VLOOKUP('Données projet'!$B$19,Paramètres!$A$1:$I$89,3,0)*0.475*44/12</f>
        <v>5.6969382443197771</v>
      </c>
      <c r="IC142" s="21">
        <f>EXP(-LN(2)/25)*IC141+(1-EXP(-LN(2)/25))/(LN(2)/25)*Calculateur!HX142*Calculateur!HZ142*VLOOKUP('Données projet'!$B$19,Paramètres!$A$1:$I$89,3,0)*0.475*44/12</f>
        <v>0.47371875416667403</v>
      </c>
      <c r="ID142" s="21">
        <f>EXP(-LN(2)/2)*ID141+(1-EXP(-LN(2)/2))/(LN(2)/2)*HX142*IA142*VLOOKUP('Données projet'!$B$19,Paramètres!$A$1:$I$89,3,0)*0.475*44/12</f>
        <v>2.2485777365219653E-17</v>
      </c>
      <c r="IE142" s="22">
        <f t="shared" si="256"/>
        <v>6.170656998486451</v>
      </c>
      <c r="IF142" s="74">
        <f>('Scénario référence'!$F$8+'Scénario référence'!$F$9+'Scénario référence'!$B$17+'Scénario référence'!$B$9+'Scénario référence'!$B$10)*70+IF((45+25*(1-EXP(-0.0175*$A142)))&lt;70,'Scénario référence'!$B$16*(45+25*(1-EXP(-0.0175*$A142))),70*'Scénario référence'!$B$16)+IF((32+38*(1-EXP(-0.0175*$A142)))&lt;70,'Scénario référence'!$B$18*(32+38*(1-EXP(-0.0175*$A142))),70*'Scénario référence'!$B$18)</f>
        <v>70</v>
      </c>
      <c r="IG142" s="12">
        <f>IF($A142&gt;30,10,('Scénario référence'!$B$16+'Scénario référence'!$B$17+'Scénario référence'!$B$18+'Scénario référence'!$B$9+'Scénario référence'!$B$10)*$A142*10/30+('Scénario référence'!$F$8+'Scénario référence'!$F$9)*10)</f>
        <v>10</v>
      </c>
      <c r="IH142" s="12" t="e">
        <f>VLOOKUP($A142,'Données projet'!$A$330:$I$350,2,0)</f>
        <v>#N/A</v>
      </c>
      <c r="II142" s="12" t="e">
        <f>VLOOKUP($A142,'Données projet'!$A$330:$I$350,9,0)</f>
        <v>#N/A</v>
      </c>
      <c r="IJ142" s="12">
        <f t="array" ref="IJ142">INDEX(II:II,MIN(IF(ISNUMBER(II142:II338),ROW(II142:II338),"")))</f>
        <v>0</v>
      </c>
      <c r="IK142" s="12">
        <f>IF('Données projet'!$A$330&gt;35,IK141+IJ142-IS141,IF($A142&lt;'Données projet'!$A$330,$CQ$205^$A142,IF($A142='Données projet'!$A$330,'Données projet'!$B$330,IK141+IJ142-IS141)))</f>
        <v>0</v>
      </c>
      <c r="IL142" s="17">
        <f>IK142*VLOOKUP('Données projet'!$B$20,Paramètres!$A$1:$I$89,3,0)*VLOOKUP('Données projet'!$B$20,Paramètres!$A$1:$I$89,5,0)</f>
        <v>0</v>
      </c>
      <c r="IM142" s="13" t="e">
        <f t="shared" si="308"/>
        <v>#NUM!</v>
      </c>
      <c r="IN142" s="20" t="e">
        <f t="shared" si="257"/>
        <v>#NUM!</v>
      </c>
      <c r="IO142" s="59" t="e">
        <f t="shared" si="258"/>
        <v>#NUM!</v>
      </c>
      <c r="IP142" s="59">
        <f ca="1">AVERAGE(OFFSET(IO$3,0,0,'Données projet'!$E$20+1,1))-AVERAGE(OFFSET($H$3,0,0,'Données projet'!$E$20+1,1))</f>
        <v>91.60721429656013</v>
      </c>
      <c r="IQ142" s="59">
        <f t="shared" si="309"/>
        <v>258.94957804210856</v>
      </c>
      <c r="IR142" s="15">
        <f>IF(ISNA(VLOOKUP($A142,'Données projet'!$A$330:$I$350,3,0)),0,VLOOKUP($A142,'Données projet'!$A$330:$I$350,3,0))</f>
        <v>0</v>
      </c>
      <c r="IS142" s="15">
        <f>IF(ISNA(VLOOKUP($A142,'Données projet'!$A$330:$I$350,4,0)),0,VLOOKUP($A142,'Données projet'!$A$330:$I$350,4,0))</f>
        <v>0</v>
      </c>
      <c r="IT142" s="16">
        <f>IF(ISNA(VLOOKUP($A142,'Données projet'!$A$330:$I$350,5,0)),0%,VLOOKUP($A142,'Données projet'!$A$330:$I$350,5,0)*VLOOKUP('Données projet'!$B$20,Paramètres!$A$1:$I$89,7,0))</f>
        <v>0</v>
      </c>
      <c r="IU142" s="16">
        <f>IF(ISNA(VLOOKUP($A142,'Données projet'!$A$330:$I$350,6,0)),0%,VLOOKUP($A142,'Données projet'!$A$330:$I$350,6,0)*VLOOKUP('Données projet'!$B$20,Paramètres!$A$1:$I$89,7,0))</f>
        <v>0</v>
      </c>
      <c r="IV142" s="16">
        <f>IF(ISNA(VLOOKUP($A142,'Données projet'!$A$330:$I$350,7,0)),0%,VLOOKUP($A142,'Données projet'!$A$330:$I$350,7,0))</f>
        <v>0</v>
      </c>
      <c r="IW142" s="21">
        <f>EXP(-LN(2)/35)*IW141+(1-EXP(-LN(2)/35))/(LN(2)/35)*IS142*IT142*VLOOKUP('Données projet'!$B$20,Paramètres!$A$1:$I$89,3,0)*0.475*44/12</f>
        <v>5.6969382443197771</v>
      </c>
      <c r="IX142" s="21">
        <f>EXP(-LN(2)/25)*IX141+(1-EXP(-LN(2)/25))/(LN(2)/25)*Calculateur!IS142*Calculateur!IU142*VLOOKUP('Données projet'!$B$20,Paramètres!$A$1:$I$89,3,0)*0.475*44/12</f>
        <v>0.47371875416667403</v>
      </c>
      <c r="IY142" s="21">
        <f>EXP(-LN(2)/2)*IY141+(1-EXP(-LN(2)/2))/(LN(2)/2)*IS142*IV142*VLOOKUP('Données projet'!$B$20,Paramètres!$A$1:$I$89,3,0)*0.475*44/12</f>
        <v>2.2485777365219653E-17</v>
      </c>
      <c r="IZ142" s="22">
        <f t="shared" si="259"/>
        <v>6.170656998486451</v>
      </c>
      <c r="JA142" s="74">
        <f>('Scénario référence'!$F$8+'Scénario référence'!$F$9+'Scénario référence'!$B$17+'Scénario référence'!$B$9+'Scénario référence'!$B$10)*70+IF((45+25*(1-EXP(-0.0175*$A142)))&lt;70,'Scénario référence'!$B$16*(45+25*(1-EXP(-0.0175*$A142))),70*'Scénario référence'!$B$16)+IF((32+38*(1-EXP(-0.0175*$A142)))&lt;70,'Scénario référence'!$B$18*(32+38*(1-EXP(-0.0175*$A142))),70*'Scénario référence'!$B$18)</f>
        <v>70</v>
      </c>
      <c r="JB142" s="12">
        <f>IF($A142&gt;30,10,('Scénario référence'!$B$16+'Scénario référence'!$B$17+'Scénario référence'!$B$18+'Scénario référence'!$B$9+'Scénario référence'!$B$10)*$A142*10/30+('Scénario référence'!$F$8+'Scénario référence'!$F$9)*10)</f>
        <v>10</v>
      </c>
      <c r="JC142" s="12" t="e">
        <f>VLOOKUP($A142,'Données projet'!$A$356:$I$376,2,0)</f>
        <v>#N/A</v>
      </c>
      <c r="JD142" s="12" t="e">
        <f>VLOOKUP($A142,'Données projet'!$A$356:$I$376,9,0)</f>
        <v>#N/A</v>
      </c>
      <c r="JE142" s="12">
        <f t="array" ref="JE142">INDEX(JD:JD,MIN(IF(ISNUMBER(JD142:JD338),ROW(JD142:JD338),"")))</f>
        <v>1.4</v>
      </c>
      <c r="JF142" s="12">
        <f>IF('Données projet'!$A$356&gt;35,JF141+JE142-JN141,IF($A142&lt;'Données projet'!$A$356,$CQ$205^$A142,IF($A142='Données projet'!$A$356,'Données projet'!$B$356,JF141+JE142-JN141)))</f>
        <v>432.59999999999894</v>
      </c>
      <c r="JG142" s="17">
        <f>JF142*VLOOKUP('Données projet'!$B$21,Paramètres!$A$1:$I$89,3,0)*VLOOKUP('Données projet'!$B$21,Paramètres!$A$1:$I$89,5,0)</f>
        <v>350.92511999999914</v>
      </c>
      <c r="JH142" s="13">
        <f t="shared" si="310"/>
        <v>81.752973778521891</v>
      </c>
      <c r="JI142" s="20">
        <f t="shared" si="260"/>
        <v>753.58101333092418</v>
      </c>
      <c r="JJ142" s="59">
        <f t="shared" si="261"/>
        <v>1046.9143466642574</v>
      </c>
      <c r="JK142" s="59">
        <f ca="1">AVERAGE(OFFSET($JJ$3,0,0,'Données projet'!$E$22+1,1))-AVERAGE(OFFSET($H$3,0,0,'Données projet'!$E$22+1,1))</f>
        <v>353.35574633294613</v>
      </c>
      <c r="JL142" s="59">
        <f t="shared" si="311"/>
        <v>170.36796666474726</v>
      </c>
      <c r="JM142" s="15">
        <f>IF(ISNA(VLOOKUP($A142,'Données projet'!$A$356:$I$376,3,0)),0,VLOOKUP($A142,'Données projet'!$A$356:$I$376,3,0))</f>
        <v>0</v>
      </c>
      <c r="JN142" s="15">
        <f>IF(ISNA(VLOOKUP($A142,'Données projet'!$A$356:$I$376,4,0)),0,VLOOKUP($A142,'Données projet'!$A$356:$I$376,4,0))</f>
        <v>0</v>
      </c>
      <c r="JO142" s="16">
        <f>IF(ISNA(VLOOKUP($A142,'Données projet'!$A$356:$I$376,5,0)),0%,VLOOKUP($A142,'Données projet'!$A$356:$I$376,5,0)*VLOOKUP('Données projet'!$B$21,Paramètres!$A$1:$I$89,7,0))</f>
        <v>0</v>
      </c>
      <c r="JP142" s="16">
        <f>IF(ISNA(VLOOKUP($A142,'Données projet'!$A$356:$I$376,6,0)),0%,VLOOKUP($A142,'Données projet'!$A$356:$I$376,6,0)*VLOOKUP('Données projet'!$B$21,Paramètres!$A$1:$I$89,7,0))</f>
        <v>0</v>
      </c>
      <c r="JQ142" s="16">
        <f>IF(ISNA(VLOOKUP($A142,'Données projet'!$A$356:$I$376,7,0)),0%,VLOOKUP($A142,'Données projet'!$A$356:$I$376,7,0))</f>
        <v>0</v>
      </c>
      <c r="JR142" s="21">
        <f>EXP(-LN(2)/35)*JR141+(1-EXP(-LN(2)/35))/(LN(2)/35)*JN142*JO142*VLOOKUP('Données projet'!$B$21,Paramètres!$A$1:$I$89,3,0)*0.475*44/12</f>
        <v>5.4110732793986447</v>
      </c>
      <c r="JS142" s="21">
        <f>EXP(-LN(2)/25)*JS141+(1-EXP(-LN(2)/25))/(LN(2)/25)*Calculateur!JN142*Calculateur!JP142*VLOOKUP('Données projet'!$B$21,Paramètres!$A$1:$I$89,3,0)*0.475*44/12</f>
        <v>10.308086017790828</v>
      </c>
      <c r="JT142" s="21">
        <f>EXP(-LN(2)/2)*JT141+(1-EXP(-LN(2)/2))/(LN(2)/2)*JN142*JQ142*VLOOKUP('Données projet'!$B$21,Paramètres!$A$1:$I$89,3,0)*0.475*44/12</f>
        <v>6.7802033751804269E-2</v>
      </c>
      <c r="JU142" s="18">
        <f t="shared" si="262"/>
        <v>15.786961330941276</v>
      </c>
      <c r="JV142" s="74">
        <f>('Scénario référence'!$F$8+'Scénario référence'!$F$9+'Scénario référence'!$B$17+'Scénario référence'!$B$9+'Scénario référence'!$B$10)*70+IF((45+25*(1-EXP(-0.0175*$A142)))&lt;70,'Scénario référence'!$B$16*(45+25*(1-EXP(-0.0175*$A142))),70*'Scénario référence'!$B$16)+IF((32+38*(1-EXP(-0.0175*$A142)))&lt;70,'Scénario référence'!$B$18*(32+38*(1-EXP(-0.0175*$A142))),70*'Scénario référence'!$B$18)</f>
        <v>70</v>
      </c>
      <c r="JW142" s="12">
        <f>IF($A142&gt;30,10,('Scénario référence'!$B$16+'Scénario référence'!$B$17+'Scénario référence'!$B$18+'Scénario référence'!$B$9+'Scénario référence'!$B$10)*$A142*10/30+('Scénario référence'!$F$8+'Scénario référence'!$F$9)*10)</f>
        <v>10</v>
      </c>
      <c r="JX142" s="12" t="e">
        <f>VLOOKUP($A142,'Données projet'!$A$382:$I$402,2,0)</f>
        <v>#N/A</v>
      </c>
      <c r="JY142" s="12" t="e">
        <f>VLOOKUP($A142,'Données projet'!$A$382:$I$402,9,0)</f>
        <v>#N/A</v>
      </c>
      <c r="JZ142" s="12">
        <f t="array" ref="JZ142">INDEX(JY:JY,MIN(IF(ISNUMBER(JY142:JY338),ROW(JY142:JY338),"")))</f>
        <v>0</v>
      </c>
      <c r="KA142" s="12">
        <f>IF('Données projet'!$A$382&gt;35,KA141+JZ142-KI141,IF($A142&lt;'Données projet'!$A$382,$CQ$205^$A142,IF($A142='Données projet'!$A$382,'Données projet'!$B$382,KA141+JZ142-KI141)))</f>
        <v>5.6843418860808015E-13</v>
      </c>
      <c r="KB142" s="17">
        <f>KA142*VLOOKUP('Données projet'!$B$22,Paramètres!$A$1:$I$89,3,0)*VLOOKUP('Données projet'!$B$22,Paramètres!$A$1:$I$89,5,0)</f>
        <v>3.8130565371830017E-13</v>
      </c>
      <c r="KC142" s="13">
        <f t="shared" si="312"/>
        <v>4.9019074112354236E-12</v>
      </c>
      <c r="KD142" s="20">
        <f t="shared" si="263"/>
        <v>9.2015960881277352E-12</v>
      </c>
      <c r="KE142" s="59">
        <f t="shared" si="264"/>
        <v>293.33333333334252</v>
      </c>
      <c r="KF142" s="59">
        <f ca="1">AVERAGE(OFFSET($KE$3,0,0,'Données projet'!$E$22+1,1))-AVERAGE(OFFSET($H$3,0,0,'Données projet'!$E$22+1,1))</f>
        <v>193.91714772848269</v>
      </c>
      <c r="KG142" s="59">
        <f t="shared" si="313"/>
        <v>159.20429420478047</v>
      </c>
      <c r="KH142" s="15">
        <f>IF(ISNA(VLOOKUP($A142,'Données projet'!$A$382:$I$402,3,0)),0,VLOOKUP($A142,'Données projet'!$A$382:$I$402,3,0))</f>
        <v>0</v>
      </c>
      <c r="KI142" s="15">
        <f>IF(ISNA(VLOOKUP($A142,'Données projet'!$A$382:$I$402,4,0)),0,VLOOKUP($A142,'Données projet'!$A$382:$I$402,4,0))</f>
        <v>0</v>
      </c>
      <c r="KJ142" s="16">
        <f>IF(ISNA(VLOOKUP($A142,'Données projet'!$A$382:$I$402,5,0)),0%,VLOOKUP($A142,'Données projet'!$A$382:$I$402,5,0)*VLOOKUP('Données projet'!$B$22,Paramètres!$A$1:$I$89,7,0))</f>
        <v>0</v>
      </c>
      <c r="KK142" s="16">
        <f>IF(ISNA(VLOOKUP($A142,'Données projet'!$A$382:$I$402,6,0)),0%,VLOOKUP($A142,'Données projet'!$A$382:$I$402,6,0)*VLOOKUP('Données projet'!$B$22,Paramètres!$A$1:$I$89,7,0))</f>
        <v>0</v>
      </c>
      <c r="KL142" s="16">
        <f>IF(ISNA(VLOOKUP($A142,'Données projet'!$A$382:$I$402,7,0)),0%,VLOOKUP($A142,'Données projet'!$A$382:$I$402,7,0))</f>
        <v>0</v>
      </c>
      <c r="KM142" s="21">
        <f>EXP(-LN(2)/35)*KM141+(1-EXP(-LN(2)/35))/(LN(2)/35)*KI142*KJ142*VLOOKUP('Données projet'!$B$22,Paramètres!$A$1:$I$89,3,0)*0.475*44/12</f>
        <v>133.35248582367669</v>
      </c>
      <c r="KN142" s="21">
        <f>EXP(-LN(2)/25)*KN141+(1-EXP(-LN(2)/25))/(LN(2)/25)*Calculateur!KI142*Calculateur!KK142*VLOOKUP('Données projet'!$B$22,Paramètres!$A$1:$I$89,3,0)*0.475*44/12</f>
        <v>0</v>
      </c>
      <c r="KO142" s="21">
        <f>EXP(-LN(2)/2)*KO141+(1-EXP(-LN(2)/2))/(LN(2)/2)*KI142*KL142*VLOOKUP('Données projet'!$B$22,Paramètres!$A$1:$I$89,3,0)*0.475*44/12</f>
        <v>0</v>
      </c>
      <c r="KP142" s="22">
        <f t="shared" si="265"/>
        <v>133.35248582367669</v>
      </c>
      <c r="KQ142" s="74">
        <f>('Scénario référence'!$F$8+'Scénario référence'!$F$9+'Scénario référence'!$B$17+'Scénario référence'!$B$9+'Scénario référence'!$B$10)*70+IF((45+25*(1-EXP(-0.0175*$A142)))&lt;70,'Scénario référence'!$B$16*(45+25*(1-EXP(-0.0175*$A142))),70*'Scénario référence'!$B$16)+IF((32+38*(1-EXP(-0.0175*$A142)))&lt;70,'Scénario référence'!$B$18*(32+38*(1-EXP(-0.0175*$A142))),70*'Scénario référence'!$B$18)</f>
        <v>70</v>
      </c>
      <c r="KR142" s="12">
        <f>IF($A142&gt;30,10,('Scénario référence'!$B$16+'Scénario référence'!$B$17+'Scénario référence'!$B$18+'Scénario référence'!$B$9+'Scénario référence'!$B$10)*$A142*10/30+('Scénario référence'!$F$8+'Scénario référence'!$F$9)*10)</f>
        <v>10</v>
      </c>
      <c r="KS142" s="12" t="e">
        <f>VLOOKUP($A142,'Données projet'!$A$408:$I$428,2,0)</f>
        <v>#N/A</v>
      </c>
      <c r="KT142" s="12" t="e">
        <f>VLOOKUP($A142,'Données projet'!$A$408:$I$428,9,0)</f>
        <v>#N/A</v>
      </c>
      <c r="KU142" s="12">
        <f t="array" ref="KU142">INDEX(KT:KT,MIN(IF(ISNUMBER(KT142:KT338),ROW(KT142:KT338),"")))</f>
        <v>0</v>
      </c>
      <c r="KV142" s="12">
        <f>IF('Données projet'!$A$408&gt;35,KV141+KU142-LD141,IF($A142&lt;'Données projet'!$A$408,$CQ$205^$A142,IF($A142='Données projet'!$A$408,'Données projet'!$B$408,KV141+KU142-LD141)))</f>
        <v>-1.1368683772161603E-13</v>
      </c>
      <c r="KW142" s="17">
        <f>KV142*VLOOKUP('Données projet'!$B$23,Paramètres!$A$1:$I$89,3,0)*VLOOKUP('Données projet'!$B$23,Paramètres!$A$1:$I$89,5,0)</f>
        <v>-9.9316821433603781E-14</v>
      </c>
      <c r="KX142" s="13" t="e">
        <f t="shared" si="314"/>
        <v>#NUM!</v>
      </c>
      <c r="KY142" s="14" t="e">
        <f t="shared" si="266"/>
        <v>#NUM!</v>
      </c>
      <c r="KZ142" s="59" t="e">
        <f t="shared" si="267"/>
        <v>#NUM!</v>
      </c>
      <c r="LA142" s="59">
        <f ca="1">AVERAGE(OFFSET($KZ$3,0,0,'Données projet'!$E$23+1,1))-AVERAGE(OFFSET($H$3,0,0,'Données projet'!$E$23+1,1))</f>
        <v>248.33596943633819</v>
      </c>
      <c r="LB142" s="59">
        <f t="shared" si="315"/>
        <v>242.34010522344573</v>
      </c>
      <c r="LC142" s="15">
        <f>IF(ISNA(VLOOKUP($A142,'Données projet'!$A$408:$I$428,3,0)),0,VLOOKUP($A142,'Données projet'!$A$408:$I$428,3,0))</f>
        <v>0</v>
      </c>
      <c r="LD142" s="15">
        <f>IF(ISNA(VLOOKUP($A142,'Données projet'!$A$408:$I$428,4,0)),0,VLOOKUP($A142,'Données projet'!$A$408:$I$428,4,0))</f>
        <v>0</v>
      </c>
      <c r="LE142" s="16">
        <f>IF(ISNA(VLOOKUP($A142,'Données projet'!$A$408:$I$428,5,0)),0%,VLOOKUP($A142,'Données projet'!$A$408:$I$428,5,0)*VLOOKUP('Données projet'!$B$23,Paramètres!$A$1:$I$89,7,0))</f>
        <v>0</v>
      </c>
      <c r="LF142" s="16">
        <f>IF(ISNA(VLOOKUP($A142,'Données projet'!$A$408:$I$428,6,0)),0%,VLOOKUP($A142,'Données projet'!$A$408:$I$428,6,0)*VLOOKUP('Données projet'!$B$23,Paramètres!$A$1:$I$89,7,0))</f>
        <v>0</v>
      </c>
      <c r="LG142" s="16">
        <f>IF(ISNA(VLOOKUP($A142,'Données projet'!$A$408:$I$428,7,0)),0%,VLOOKUP($A142,'Données projet'!$A$408:$I$428,7,0))</f>
        <v>0</v>
      </c>
      <c r="LH142" s="21">
        <f>EXP(-LN(2)/35)*LH141+(1-EXP(-LN(2)/35))/(LN(2)/35)*LD142*LE142*VLOOKUP('Données projet'!$B$23,Paramètres!$A$1:$I$89,3,0)*0.475*44/12</f>
        <v>38.302935465947392</v>
      </c>
      <c r="LI142" s="21">
        <f>EXP(-LN(2)/25)*LI141+(1-EXP(-LN(2)/25))/(LN(2)/25)*Calculateur!LD142*Calculateur!LF142*VLOOKUP('Données projet'!$B$23,Paramètres!$A$1:$I$89,3,0)*0.475*44/12</f>
        <v>4.2419879040930075</v>
      </c>
      <c r="LJ142" s="21">
        <f>EXP(-LN(2)/2)*LJ141+(1-EXP(-LN(2)/2))/(LN(2)/2)*LD142*LG142*VLOOKUP('Données projet'!$B$23,Paramètres!$A$1:$I$89,3,0)*0.475*44/12</f>
        <v>0</v>
      </c>
      <c r="LK142" s="22">
        <f t="shared" si="268"/>
        <v>42.544923370040401</v>
      </c>
      <c r="LL142" s="74">
        <f>('Scénario référence'!$F$8+'Scénario référence'!$F$9+'Scénario référence'!$B$17+'Scénario référence'!$B$9+'Scénario référence'!$B$10)*70+IF((45+25*(1-EXP(-0.0175*$A142)))&lt;70,'Scénario référence'!$B$16*(45+25*(1-EXP(-0.0175*$A142))),70*'Scénario référence'!$B$16)+IF((32+38*(1-EXP(-0.0175*$A142)))&lt;70,'Scénario référence'!$B$18*(32+38*(1-EXP(-0.0175*$A142))),70*'Scénario référence'!$B$18)</f>
        <v>70</v>
      </c>
      <c r="LM142" s="12">
        <f>IF($A142&gt;30,10,('Scénario référence'!$B$16+'Scénario référence'!$B$17+'Scénario référence'!$B$18+'Scénario référence'!$B$9+'Scénario référence'!$B$10)*$A142*10/30+('Scénario référence'!$F$8+'Scénario référence'!$F$9)*10)</f>
        <v>10</v>
      </c>
      <c r="LN142" s="12" t="e">
        <f>VLOOKUP($A142,'Données projet'!$A$434:$I$454,2,0)</f>
        <v>#N/A</v>
      </c>
      <c r="LO142" s="12" t="e">
        <f>VLOOKUP($A142,'Données projet'!$A$434:$I$454,9,0)</f>
        <v>#N/A</v>
      </c>
      <c r="LP142" s="12">
        <f t="array" ref="LP142">INDEX(LO:LO,MIN(IF(ISNUMBER(LO142:LO338),ROW(LO142:LO338),"")))</f>
        <v>5.1063034188034209</v>
      </c>
      <c r="LQ142" s="12">
        <f>IF('Données projet'!$A$434&gt;35,LQ141+LP142-LY141,IF($A142&lt;'Données projet'!$A$434,$CQ$205^$A142,IF($A142='Données projet'!$A$434,'Données projet'!$B$434,LQ141+LP142-LY141)))</f>
        <v>252.12286324786288</v>
      </c>
      <c r="LR142" s="17">
        <f>LQ142*VLOOKUP('Données projet'!$B$24,Paramètres!$A$1:$I$89,3,0)*VLOOKUP('Données projet'!$B$24,Paramètres!$A$1:$I$89,5,0)</f>
        <v>255.65258333333296</v>
      </c>
      <c r="LS142" s="13">
        <f t="shared" si="316"/>
        <v>61.794776930172596</v>
      </c>
      <c r="LT142" s="14">
        <f t="shared" si="269"/>
        <v>552.88748579227229</v>
      </c>
      <c r="LU142" s="59">
        <f t="shared" si="270"/>
        <v>846.22081912560566</v>
      </c>
      <c r="LV142" s="59">
        <f ca="1">AVERAGE(OFFSET($LU$3,0,0,'Données projet'!$E$24+1,1))-AVERAGE(OFFSET($H$3,0,0,'Données projet'!$E$24+1,1))</f>
        <v>260.52627655062872</v>
      </c>
      <c r="LW142" s="59">
        <f t="shared" si="317"/>
        <v>159.20429420478047</v>
      </c>
      <c r="LX142" s="15">
        <f>IF(ISNA(VLOOKUP($A142,'Données projet'!$A$434:$I$454,3,0)),0,VLOOKUP($A142,'Données projet'!$A$434:$I$454,3,0))</f>
        <v>0</v>
      </c>
      <c r="LY142" s="15">
        <f>IF(ISNA(VLOOKUP($A142,'Données projet'!$A$434:$I$454,4,0)),0,VLOOKUP($A142,'Données projet'!$A$434:$I$454,4,0))</f>
        <v>0</v>
      </c>
      <c r="LZ142" s="16">
        <f>IF(ISNA(VLOOKUP($A142,'Données projet'!$A$434:$I$454,5,0)),0%,VLOOKUP($A142,'Données projet'!$A$434:$I$454,5,0)*VLOOKUP('Données projet'!$B$24,Paramètres!$A$1:$I$89,7,0))</f>
        <v>0</v>
      </c>
      <c r="MA142" s="16">
        <f>IF(ISNA(VLOOKUP($A142,'Données projet'!$A$434:$I$454,6,0)),0%,VLOOKUP($A142,'Données projet'!$A$434:$I$454,6,0)*VLOOKUP('Données projet'!$B$24,Paramètres!$A$1:$I$89,7,0))</f>
        <v>0</v>
      </c>
      <c r="MB142" s="16">
        <f>IF(ISNA(VLOOKUP($A142,'Données projet'!$A$434:$I$454,7,0)),0%,VLOOKUP($A142,'Données projet'!$A$434:$I$454,7,0))</f>
        <v>0</v>
      </c>
      <c r="MC142" s="21">
        <f>EXP(-LN(2)/35)*MC141+(1-EXP(-LN(2)/35))/(LN(2)/35)*LY142*LZ142*VLOOKUP('Données projet'!$B$24,Paramètres!$A$1:$I$89,3,0)*0.475*44/12</f>
        <v>52.814580457774156</v>
      </c>
      <c r="MD142" s="21">
        <f>EXP(-LN(2)/25)*MD141+(1-EXP(-LN(2)/25))/(LN(2)/25)*Calculateur!LY142*Calculateur!MA142*VLOOKUP('Données projet'!$B$24,Paramètres!$A$1:$I$89,3,0)*0.475*44/12</f>
        <v>0</v>
      </c>
      <c r="ME142" s="21">
        <f>EXP(-LN(2)/2)*ME141+(1-EXP(-LN(2)/2))/(LN(2)/2)*LY142*MB142*VLOOKUP('Données projet'!$B$24,Paramètres!$A$1:$I$89,3,0)*0.475*44/12</f>
        <v>0</v>
      </c>
      <c r="MF142" s="22">
        <f t="shared" si="271"/>
        <v>52.814580457774156</v>
      </c>
      <c r="MG142" s="74">
        <f>('Scénario référence'!$F$8+'Scénario référence'!$F$9+'Scénario référence'!$B$17+'Scénario référence'!$B$9+'Scénario référence'!$B$10)*70+IF((45+25*(1-EXP(-0.0175*$A142)))&lt;70,'Scénario référence'!$B$16*(45+25*(1-EXP(-0.0175*$A142))),70*'Scénario référence'!$B$16)+IF((32+38*(1-EXP(-0.0175*$A142)))&lt;70,'Scénario référence'!$B$18*(32+38*(1-EXP(-0.0175*$A142))),70*'Scénario référence'!$B$18)</f>
        <v>70</v>
      </c>
      <c r="MH142" s="12">
        <f>IF($A142&gt;30,10,('Scénario référence'!$B$16+'Scénario référence'!$B$17+'Scénario référence'!$B$18+'Scénario référence'!$B$9+'Scénario référence'!$B$10)*$A142*10/30+('Scénario référence'!$F$8+'Scénario référence'!$F$9)*10)</f>
        <v>10</v>
      </c>
      <c r="MI142" s="12" t="e">
        <f>VLOOKUP($A142,'Données projet'!$A$460:$I$480,2,0)</f>
        <v>#N/A</v>
      </c>
      <c r="MJ142" s="12" t="e">
        <f>VLOOKUP($A142,'Données projet'!$A$460:$I$480,9,0)</f>
        <v>#N/A</v>
      </c>
      <c r="MK142" s="12">
        <f t="array" ref="MK142">INDEX(MJ:MJ,MIN(IF(ISNUMBER(MJ142:MJ338),ROW(MJ142:MJ338),"")))</f>
        <v>0</v>
      </c>
      <c r="ML142" s="12">
        <f>IF('Données projet'!$A$460&gt;35,ML141+MK142-MT141,IF($A142&lt;'Données projet'!$A$460,$CQ$205^$A142,IF($A142='Données projet'!$A$460,'Données projet'!$B$460,ML141+MK142-MT141)))</f>
        <v>0</v>
      </c>
      <c r="MM142" s="17" t="e">
        <f>ML142*VLOOKUP('Données projet'!$B$25,Paramètres!$A$1:$I$89,3,0)*VLOOKUP('Données projet'!$B$25,Paramètres!$A$1:$I$89,5,0)</f>
        <v>#N/A</v>
      </c>
      <c r="MN142" s="13" t="e">
        <f t="shared" si="318"/>
        <v>#N/A</v>
      </c>
      <c r="MO142" s="14" t="e">
        <f t="shared" si="272"/>
        <v>#N/A</v>
      </c>
      <c r="MP142" s="59" t="e">
        <f t="shared" si="273"/>
        <v>#N/A</v>
      </c>
      <c r="MQ142" s="20" t="e">
        <f ca="1">AVERAGE(OFFSET($MP$3,0,0,'Données projet'!$E$25+1,1))-AVERAGE(OFFSET($H$3,0,0,'Données projet'!$E$25+1,1))</f>
        <v>#N/A</v>
      </c>
      <c r="MR142" s="59" t="e">
        <f t="shared" si="319"/>
        <v>#N/A</v>
      </c>
      <c r="MS142" s="15">
        <f>IF(ISNA(VLOOKUP($A142,'Données projet'!$A$460:$I$480,3,0)),0,VLOOKUP($A142,'Données projet'!$A$460:$I$480,3,0))</f>
        <v>0</v>
      </c>
      <c r="MT142" s="15">
        <f>IF(ISNA(VLOOKUP($A142,'Données projet'!$A$460:$I$480,4,0)),0,VLOOKUP($A142,'Données projet'!$A$460:$I$480,4,0))</f>
        <v>0</v>
      </c>
      <c r="MU142" s="16">
        <f>IF(ISNA(VLOOKUP($A142,'Données projet'!$A$460:$I$480,5,0)),0%,VLOOKUP($A142,'Données projet'!$A$460:$I$480,5,0)*VLOOKUP('Données projet'!$B$25,Paramètres!$A$1:$I$89,7,0))</f>
        <v>0</v>
      </c>
      <c r="MV142" s="16">
        <f>IF(ISNA(VLOOKUP($A142,'Données projet'!$A$460:$I$480,6,0)),0%,VLOOKUP($A142,'Données projet'!$A$460:$I$480,6,0)*VLOOKUP('Données projet'!$B$25,Paramètres!$A$1:$I$89,7,0))</f>
        <v>0</v>
      </c>
      <c r="MW142" s="16">
        <f>IF(ISNA(VLOOKUP($A142,'Données projet'!$A$460:$I$480,7,0)),0%,VLOOKUP($A142,'Données projet'!$A$460:$I$480,7,0))</f>
        <v>0</v>
      </c>
      <c r="MX142" s="21" t="e">
        <f>EXP(-LN(2)/35)*MX141+(1-EXP(-LN(2)/35))/(LN(2)/35)*MT142*MU142*VLOOKUP('Données projet'!$B$25,Paramètres!$A$1:$I$89,3,0)*0.475*44/12</f>
        <v>#N/A</v>
      </c>
      <c r="MY142" s="21" t="e">
        <f>EXP(-LN(2)/25)*MY141+(1-EXP(-LN(2)/25))/(LN(2)/25)*Calculateur!MT142*Calculateur!MV142*VLOOKUP('Données projet'!$B$25,Paramètres!$A$1:$I$89,3,0)*0.475*44/12</f>
        <v>#N/A</v>
      </c>
      <c r="MZ142" s="21" t="e">
        <f>EXP(-LN(2)/2)*MZ141+(1-EXP(-LN(2)/2))/(LN(2)/2)*MT142*MW142*VLOOKUP('Données projet'!$B$25,Paramètres!$A$1:$I$89,3,0)*0.475*44/12</f>
        <v>#N/A</v>
      </c>
      <c r="NA142" s="22" t="e">
        <f t="shared" si="274"/>
        <v>#N/A</v>
      </c>
      <c r="NB142" s="74">
        <f>('Scénario référence'!$F$8+'Scénario référence'!$F$9+'Scénario référence'!$B$17+'Scénario référence'!$B$9+'Scénario référence'!$B$10)*70+IF((45+25*(1-EXP(-0.0175*$A142)))&lt;70,'Scénario référence'!$B$16*(45+25*(1-EXP(-0.0175*$A142))),70*'Scénario référence'!$B$16)+IF((32+38*(1-EXP(-0.0175*$A142)))&lt;70,'Scénario référence'!$B$18*(32+38*(1-EXP(-0.0175*$A142))),70*'Scénario référence'!$B$18)</f>
        <v>70</v>
      </c>
      <c r="NC142" s="12">
        <f>IF($A142&gt;30,10,('Scénario référence'!$B$16+'Scénario référence'!$B$17+'Scénario référence'!$B$18+'Scénario référence'!$B$9+'Scénario référence'!$B$10)*$A142*10/30+('Scénario référence'!$F$8+'Scénario référence'!$F$9)*10)</f>
        <v>10</v>
      </c>
      <c r="ND142" s="12" t="e">
        <f>VLOOKUP($A142,'Données projet'!$A$486:$I$506,2,0)</f>
        <v>#N/A</v>
      </c>
      <c r="NE142" s="12" t="e">
        <f>VLOOKUP($A142,'Données projet'!$A$486:$I$506,9,0)</f>
        <v>#N/A</v>
      </c>
      <c r="NF142" s="12">
        <f t="array" ref="NF142">INDEX(NE:NE,MIN(IF(ISNUMBER(NE142:NE338),ROW(NE142:NE338),"")))</f>
        <v>0</v>
      </c>
      <c r="NG142" s="12">
        <f>IF('Données projet'!$A$486&gt;35,NG141+NF142-NO141,IF($A142&lt;'Données projet'!$A$486,$CQ$205^$A142,IF($A142='Données projet'!$A$486,'Données projet'!$B$486,NG141+NF142-NO141)))</f>
        <v>0</v>
      </c>
      <c r="NH142" s="17" t="e">
        <f>NG142*VLOOKUP('Données projet'!$B$26,Paramètres!$A$1:$I$89,3,0)*VLOOKUP('Données projet'!$B$26,Paramètres!$A$1:$I$89,5,0)</f>
        <v>#N/A</v>
      </c>
      <c r="NI142" s="13" t="e">
        <f t="shared" si="320"/>
        <v>#N/A</v>
      </c>
      <c r="NJ142" s="14" t="e">
        <f t="shared" si="275"/>
        <v>#N/A</v>
      </c>
      <c r="NK142" s="59" t="e">
        <f t="shared" si="276"/>
        <v>#N/A</v>
      </c>
      <c r="NL142" s="20" t="e">
        <f ca="1">AVERAGE(OFFSET($NK$3,0,0,'Données projet'!$E$26+1,1))-AVERAGE(OFFSET($H$3,0,0,'Données projet'!$E$26+1,1))</f>
        <v>#N/A</v>
      </c>
      <c r="NM142" s="59" t="e">
        <f t="shared" si="321"/>
        <v>#N/A</v>
      </c>
      <c r="NN142" s="15">
        <f>IF(ISNA(VLOOKUP($A142,'Données projet'!$A$486:$I$506,3,0)),0,VLOOKUP($A142,'Données projet'!$A$486:$I$506,3,0))</f>
        <v>0</v>
      </c>
      <c r="NO142" s="15">
        <f>IF(ISNA(VLOOKUP($A142,'Données projet'!$A$486:$I$506,4,0)),0,VLOOKUP($A142,'Données projet'!$A$486:$I$506,4,0))</f>
        <v>0</v>
      </c>
      <c r="NP142" s="16">
        <f>IF(ISNA(VLOOKUP($A142,'Données projet'!$A$486:$I$506,5,0)),0%,VLOOKUP($A142,'Données projet'!$A$486:$I$506,5,0)*VLOOKUP('Données projet'!$B$26,Paramètres!$A$1:$I$89,7,0))</f>
        <v>0</v>
      </c>
      <c r="NQ142" s="16">
        <f>IF(ISNA(VLOOKUP($A142,'Données projet'!$A$486:$I$506,6,0)),0%,VLOOKUP($A142,'Données projet'!$A$486:$I$506,6,0)*VLOOKUP('Données projet'!$B$26,Paramètres!$A$1:$I$89,7,0))</f>
        <v>0</v>
      </c>
      <c r="NR142" s="16">
        <f>IF(ISNA(VLOOKUP($A142,'Données projet'!$A$486:$I$506,7,0)),0%,VLOOKUP($A142,'Données projet'!$A$486:$I$506,7,0))</f>
        <v>0</v>
      </c>
      <c r="NS142" s="21" t="e">
        <f>EXP(-LN(2)/35)*NS141+(1-EXP(-LN(2)/35))/(LN(2)/35)*NO142*NP142*VLOOKUP('Données projet'!$B$26,Paramètres!$A$1:$I$89,3,0)*0.475*44/12</f>
        <v>#N/A</v>
      </c>
      <c r="NT142" s="21" t="e">
        <f>EXP(-LN(2)/25)*NT141+(1-EXP(-LN(2)/25))/(LN(2)/25)*Calculateur!NO142*Calculateur!NQ142*VLOOKUP('Données projet'!$B$26,Paramètres!$A$1:$I$89,3,0)*0.475*44/12</f>
        <v>#N/A</v>
      </c>
      <c r="NU142" s="21" t="e">
        <f>EXP(-LN(2)/2)*NU141+(1-EXP(-LN(2)/2))/(LN(2)/2)*NO142*NR142*VLOOKUP('Données projet'!$B$26,Paramètres!$A$1:$I$89,3,0)*0.475*44/12</f>
        <v>#N/A</v>
      </c>
      <c r="NV142" s="22" t="e">
        <f t="shared" si="277"/>
        <v>#N/A</v>
      </c>
      <c r="NW142" s="74">
        <f>('Scénario référence'!$F$8+'Scénario référence'!$F$9+'Scénario référence'!$B$17+'Scénario référence'!$B$9+'Scénario référence'!$B$10)*70+IF((45+25*(1-EXP(-0.0175*$A142)))&lt;70,'Scénario référence'!$B$16*(45+25*(1-EXP(-0.0175*$A142))),70*'Scénario référence'!$B$16)+IF((32+38*(1-EXP(-0.0175*$A142)))&lt;70,'Scénario référence'!$B$18*(32+38*(1-EXP(-0.0175*$A142))),70*'Scénario référence'!$B$18)</f>
        <v>70</v>
      </c>
      <c r="NX142" s="12">
        <f>IF($A142&gt;30,10,('Scénario référence'!$B$16+'Scénario référence'!$B$17+'Scénario référence'!$B$18+'Scénario référence'!$B$9+'Scénario référence'!$B$10)*$A142*10/30+('Scénario référence'!$F$8+'Scénario référence'!$F$9)*10)</f>
        <v>10</v>
      </c>
      <c r="NY142" s="12" t="e">
        <f>VLOOKUP($A142,'Données projet'!$A$512:$I$532,2,0)</f>
        <v>#N/A</v>
      </c>
      <c r="NZ142" s="12" t="e">
        <f>VLOOKUP($A142,'Données projet'!$A$512:$I$532,9,0)</f>
        <v>#N/A</v>
      </c>
      <c r="OA142" s="12">
        <f t="array" ref="OA142">INDEX(NZ:NZ,MIN(IF(ISNUMBER(NZ142:NZ338),ROW(NZ142:NZ338),"")))</f>
        <v>0</v>
      </c>
      <c r="OB142" s="12">
        <f>IF('Données projet'!$A$512&gt;35,OB141+OA142-OJ141,IF($A142&lt;'Données projet'!$A$512,$CQ$205^$A142,IF($A142='Données projet'!$A$512,'Données projet'!$B$512,OB141+OA142-OJ141)))</f>
        <v>0</v>
      </c>
      <c r="OC142" s="17" t="e">
        <f>OB142*VLOOKUP('Données projet'!$B$27,Paramètres!$A$1:$I$89,3,0)*VLOOKUP('Données projet'!$B$27,Paramètres!$A$1:$I$89,5,0)</f>
        <v>#N/A</v>
      </c>
      <c r="OD142" s="13" t="e">
        <f t="shared" si="322"/>
        <v>#N/A</v>
      </c>
      <c r="OE142" s="14" t="e">
        <f t="shared" si="278"/>
        <v>#N/A</v>
      </c>
      <c r="OF142" s="59" t="e">
        <f t="shared" si="279"/>
        <v>#N/A</v>
      </c>
      <c r="OG142" s="20" t="e">
        <f ca="1">AVERAGE(OFFSET($OF$3,0,0,'Données projet'!$E$27+1,1))-AVERAGE(OFFSET($H$3,0,0,'Données projet'!$E$27+1,1))</f>
        <v>#N/A</v>
      </c>
      <c r="OH142" s="59" t="e">
        <f t="shared" si="323"/>
        <v>#N/A</v>
      </c>
      <c r="OI142" s="15">
        <f>IF(ISNA(VLOOKUP($A142,'Données projet'!$A$512:$I$532,3,0)),0,VLOOKUP($A142,'Données projet'!$A$512:$I$532,3,0))</f>
        <v>0</v>
      </c>
      <c r="OJ142" s="15">
        <f>IF(ISNA(VLOOKUP($A142,'Données projet'!$A$512:$I$532,4,0)),0,VLOOKUP($A142,'Données projet'!$A$512:$I$532,4,0))</f>
        <v>0</v>
      </c>
      <c r="OK142" s="16">
        <f>IF(ISNA(VLOOKUP($A142,'Données projet'!$A$512:$I$532,5,0)),0%,VLOOKUP($A142,'Données projet'!$A$512:$I$532,5,0)*VLOOKUP('Données projet'!$B$27,Paramètres!$A$1:$I$89,7,0))</f>
        <v>0</v>
      </c>
      <c r="OL142" s="16">
        <f>IF(ISNA(VLOOKUP($A142,'Données projet'!$A$512:$I$532,6,0)),0%,VLOOKUP($A142,'Données projet'!$A$512:$I$532,6,0)*VLOOKUP('Données projet'!$B$27,Paramètres!$A$1:$I$89,7,0))</f>
        <v>0</v>
      </c>
      <c r="OM142" s="16">
        <f>IF(ISNA(VLOOKUP($A142,'Données projet'!$A$512:$I$532,7,0)),0%,VLOOKUP($A142,'Données projet'!$A$512:$I$532,7,0))</f>
        <v>0</v>
      </c>
      <c r="ON142" s="21" t="e">
        <f>EXP(-LN(2)/35)*ON141+(1-EXP(-LN(2)/35))/(LN(2)/35)*OJ142*OK142*VLOOKUP('Données projet'!$B$27,Paramètres!$A$1:$I$89,3,0)*0.475*44/12</f>
        <v>#N/A</v>
      </c>
      <c r="OO142" s="21" t="e">
        <f>EXP(-LN(2)/25)*OO141+(1-EXP(-LN(2)/25))/(LN(2)/25)*Calculateur!OJ142*Calculateur!OL142*VLOOKUP('Données projet'!$B$27,Paramètres!$A$1:$I$89,3,0)*0.475*44/12</f>
        <v>#N/A</v>
      </c>
      <c r="OP142" s="21" t="e">
        <f>EXP(-LN(2)/2)*OP141+(1-EXP(-LN(2)/2))/(LN(2)/2)*OJ142*OM142*VLOOKUP('Données projet'!$B$27,Paramètres!$A$1:$I$89,3,0)*0.475*44/12</f>
        <v>#N/A</v>
      </c>
      <c r="OQ142" s="22" t="e">
        <f t="shared" si="280"/>
        <v>#N/A</v>
      </c>
      <c r="OR142" s="74">
        <f>('Scénario référence'!$F$8+'Scénario référence'!$F$9+'Scénario référence'!$B$17+'Scénario référence'!$B$9+'Scénario référence'!$B$10)*70+IF((45+25*(1-EXP(-0.0175*$A142)))&lt;70,'Scénario référence'!$B$16*(45+25*(1-EXP(-0.0175*$A142))),70*'Scénario référence'!$B$16)+IF((32+38*(1-EXP(-0.0175*$A142)))&lt;70,'Scénario référence'!$B$18*(32+38*(1-EXP(-0.0175*$A142))),70*'Scénario référence'!$B$18)</f>
        <v>70</v>
      </c>
      <c r="OS142" s="12">
        <f>IF($A142&gt;30,10,('Scénario référence'!$B$16+'Scénario référence'!$B$17+'Scénario référence'!$B$18+'Scénario référence'!$B$9+'Scénario référence'!$B$10)*$A142*10/30+('Scénario référence'!$F$8+'Scénario référence'!$F$9)*10)</f>
        <v>10</v>
      </c>
      <c r="OT142" s="12" t="e">
        <f>VLOOKUP($A142,'Données projet'!$A$538:$I$558,2,0)</f>
        <v>#N/A</v>
      </c>
      <c r="OU142" s="12" t="e">
        <f>VLOOKUP($A142,'Données projet'!$A$538:$I$558,9,0)</f>
        <v>#N/A</v>
      </c>
      <c r="OV142" s="12">
        <f t="array" ref="OV142">INDEX(OU:OU,MIN(IF(ISNUMBER(OU142:OU338),ROW(OU142:OU338),"")))</f>
        <v>0</v>
      </c>
      <c r="OW142" s="12">
        <f>IF('Données projet'!$A$538&gt;35,OW141+OV142-PE141,IF($A142&lt;'Données projet'!$A$538,$CQ$205^$A142,IF($A142='Données projet'!$A$538,'Données projet'!$B$538,OW141+OV142-PE141)))</f>
        <v>0</v>
      </c>
      <c r="OX142" s="17" t="e">
        <f>OW142*VLOOKUP('Données projet'!$B$28,Paramètres!$A$1:$I$89,3,0)*VLOOKUP('Données projet'!$B$28,Paramètres!$A$1:$I$89,5,0)</f>
        <v>#N/A</v>
      </c>
      <c r="OY142" s="13" t="e">
        <f t="shared" si="324"/>
        <v>#N/A</v>
      </c>
      <c r="OZ142" s="14" t="e">
        <f t="shared" si="281"/>
        <v>#N/A</v>
      </c>
      <c r="PA142" s="59" t="e">
        <f t="shared" si="282"/>
        <v>#N/A</v>
      </c>
      <c r="PB142" s="20" t="e">
        <f ca="1">AVERAGE(OFFSET($PA$3,0,0,'Données projet'!$E$28+1,1))-AVERAGE(OFFSET($H$3,0,0,'Données projet'!$E$28+1,1))</f>
        <v>#N/A</v>
      </c>
      <c r="PC142" s="59" t="e">
        <f t="shared" si="325"/>
        <v>#N/A</v>
      </c>
      <c r="PD142" s="15">
        <f>IF(ISNA(VLOOKUP($A142,'Données projet'!$A$538:$I$558,3,0)),0,VLOOKUP($A142,'Données projet'!$A$538:$I$558,3,0))</f>
        <v>0</v>
      </c>
      <c r="PE142" s="15">
        <f>IF(ISNA(VLOOKUP($A142,'Données projet'!$A$538:$I$558,4,0)),0,VLOOKUP($A142,'Données projet'!$A$538:$I$558,4,0))</f>
        <v>0</v>
      </c>
      <c r="PF142" s="16">
        <f>IF(ISNA(VLOOKUP($A142,'Données projet'!$A$538:$I$558,5,0)),0%,VLOOKUP($A142,'Données projet'!$A$538:$I$558,5,0)*VLOOKUP('Données projet'!$B$28,Paramètres!$A$1:$I$89,7,0))</f>
        <v>0</v>
      </c>
      <c r="PG142" s="16">
        <f>IF(ISNA(VLOOKUP($A142,'Données projet'!$A$538:$I$558,6,0)),0%,VLOOKUP($A142,'Données projet'!$A$538:$I$558,6,0)*VLOOKUP('Données projet'!$B$28,Paramètres!$A$1:$I$89,7,0))</f>
        <v>0</v>
      </c>
      <c r="PH142" s="16">
        <f>IF(ISNA(VLOOKUP($A142,'Données projet'!$A$538:$I$558,7,0)),0%,VLOOKUP($A142,'Données projet'!$A$538:$I$558,7,0))</f>
        <v>0</v>
      </c>
      <c r="PI142" s="21" t="e">
        <f>EXP(-LN(2)/35)*PI141+(1-EXP(-LN(2)/35))/(LN(2)/35)*PE142*PF142*VLOOKUP('Données projet'!$B$28,Paramètres!$A$1:$I$89,3,0)*0.475*44/12</f>
        <v>#N/A</v>
      </c>
      <c r="PJ142" s="21" t="e">
        <f>EXP(-LN(2)/25)*PJ141+(1-EXP(-LN(2)/25))/(LN(2)/25)*Calculateur!PE142*Calculateur!PG142*VLOOKUP('Données projet'!$B$28,Paramètres!$A$1:$I$89,3,0)*0.475*44/12</f>
        <v>#N/A</v>
      </c>
      <c r="PK142" s="21" t="e">
        <f>EXP(-LN(2)/2)*PK141+(1-EXP(-LN(2)/2))/(LN(2)/2)*PE142*PH142*VLOOKUP('Données projet'!$B$28,Paramètres!$A$1:$I$89,3,0)*0.475*44/12</f>
        <v>#N/A</v>
      </c>
      <c r="PL142" s="22" t="e">
        <f t="shared" si="283"/>
        <v>#N/A</v>
      </c>
    </row>
    <row r="143" spans="1:428" x14ac:dyDescent="0.35">
      <c r="A143" s="10">
        <f t="shared" si="284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285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225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projet'!$A$45:$I$65,2,0)</f>
        <v>#N/A</v>
      </c>
      <c r="L143" s="12" t="e">
        <f>VLOOKUP(A143,'Données projet'!$A$45:$I$65,9,0)</f>
        <v>#N/A</v>
      </c>
      <c r="M143" s="12">
        <f t="array" ref="M143">INDEX(L:L,MIN(IF(ISNUMBER(L143:L339),ROW(L143:L339),"")))</f>
        <v>0</v>
      </c>
      <c r="N143" s="13">
        <f>IF('Données projet'!$A$46&gt;35,N142+M143-V142,IF(A143&lt;'Données projet'!$A$46,$K$205^A143,IF(A143='Données projet'!$A$46,'Données projet'!$B$46,N142+M143-V142)))</f>
        <v>-1.1368683772161603E-13</v>
      </c>
      <c r="O143" s="13">
        <f>N143*VLOOKUP('Données projet'!$B$9,Paramètres!$A$1:$I$89,3,0)*VLOOKUP('Données projet'!$B$9,Paramètres!$A$1:$I$89,5,0)</f>
        <v>-6.3550942286383367E-14</v>
      </c>
      <c r="P143" s="13" t="e">
        <f t="shared" si="286"/>
        <v>#NUM!</v>
      </c>
      <c r="Q143" s="20" t="e">
        <f t="shared" si="223"/>
        <v>#NUM!</v>
      </c>
      <c r="R143" s="59" t="e">
        <f t="shared" si="224"/>
        <v>#NUM!</v>
      </c>
      <c r="S143" s="59">
        <f ca="1">AVERAGE(OFFSET($R$3,0,0,'Données projet'!$E$9+1,1))-AVERAGE(OFFSET($H$3,0,0,'Données projet'!$E$9+1,1))</f>
        <v>274.57619581652199</v>
      </c>
      <c r="T143" s="59">
        <f t="shared" si="287"/>
        <v>366.15117322598775</v>
      </c>
      <c r="U143" s="15">
        <f>IF(ISNA(VLOOKUP(A143,'Données projet'!$A$45:$I$65,3,0)),0,VLOOKUP(A143,'Données projet'!$A$45:$I$65,3,0))</f>
        <v>0</v>
      </c>
      <c r="V143" s="15">
        <f>IF(ISNA(VLOOKUP(A143,'Données projet'!$A$45:$I$65,4,0)),0,VLOOKUP(A143,'Données projet'!$A$45:$I$65,4,0))</f>
        <v>0</v>
      </c>
      <c r="W143" s="16">
        <f>IF(ISNA(VLOOKUP(A143,'Données projet'!$A$45:$I$65,5,0)),0%,VLOOKUP(A143,'Données projet'!$A$45:$I$65,5,0)*VLOOKUP('Données projet'!$B$9,Paramètres!$A$1:$I$89,7,0))</f>
        <v>0</v>
      </c>
      <c r="X143" s="16">
        <f>IF(ISNA(VLOOKUP(A143,'Données projet'!$A$45:$I$65,6,0)),0%,VLOOKUP(A143,'Données projet'!$A$45:$I$65,6,0)*VLOOKUP('Données projet'!$B$9,Paramètres!$A$1:$I$89,7,0))</f>
        <v>0</v>
      </c>
      <c r="Y143" s="16">
        <f>IF(ISNA(VLOOKUP(A143,'Données projet'!$A$45:$I$65,7,0)),0%,VLOOKUP(A143,'Données projet'!$A$45:$I$65,7,0))</f>
        <v>0</v>
      </c>
      <c r="Z143" s="21">
        <f>EXP(-LN(2)/35)*Z142+(1-EXP(-LN(2)/35))/(LN(2)/35)*V143*W143*VLOOKUP('Données projet'!$B$9,Paramètres!$A$1:$I$89,3,0)*0.475*44/12</f>
        <v>42.101391173602053</v>
      </c>
      <c r="AA143" s="21">
        <f>EXP(-LN(2)/25)*AA142+(1-EXP(-LN(2)/25))/(LN(2)/25)*Calculateur!V143*Calculateur!X143*VLOOKUP('Données projet'!$B$9,Paramètres!$A$1:$I$89,3,0)*0.475*44/12</f>
        <v>5.4573072201682171</v>
      </c>
      <c r="AB143" s="21">
        <f>EXP(-LN(2)/2)*AB142+(1-EXP(-LN(2)/2))/(LN(2)/2)*V143*Y143*VLOOKUP('Données projet'!$B$9,Paramètres!$A$1:$I$89,3,0)*0.475*44/12</f>
        <v>5.4923679534756703E-12</v>
      </c>
      <c r="AC143" s="22">
        <f t="shared" si="226"/>
        <v>47.558698393775764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projet'!$A$71:$I$91,2,0)</f>
        <v>#N/A</v>
      </c>
      <c r="AG143" s="12" t="e">
        <f>VLOOKUP(A143,'Données projet'!$A$71:$I$91,9,0)</f>
        <v>#N/A</v>
      </c>
      <c r="AH143" s="12">
        <f t="array" ref="AH143">INDEX(AG:AG,MIN(IF(ISNUMBER(AG143:AG339),ROW(AG143:AG339),"")))</f>
        <v>0</v>
      </c>
      <c r="AI143" s="13">
        <f>IF('Données projet'!$A$72&gt;35,AI142+AH143-AQ142,IF(A143&lt;'Données projet'!$A$72,$AF$205^A143,IF(A143='Données projet'!$A$72,'Données projet'!$B$72,AI142+AH143-AQ142)))</f>
        <v>5.6843418860808015E-13</v>
      </c>
      <c r="AJ143" s="13">
        <f>AI143*VLOOKUP('Données projet'!$B$10,Paramètres!$A$1:$I$89,3,0)*VLOOKUP('Données projet'!$B$10,Paramètres!$A$1:$I$89,5,0)</f>
        <v>5.1431925385259092E-13</v>
      </c>
      <c r="AK143" s="13">
        <f t="shared" si="288"/>
        <v>6.3855359115685756E-12</v>
      </c>
      <c r="AL143" s="20">
        <f t="shared" si="227"/>
        <v>1.2017247746441865E-11</v>
      </c>
      <c r="AM143" s="59">
        <f t="shared" si="228"/>
        <v>293.33333333334531</v>
      </c>
      <c r="AN143" s="59">
        <f ca="1">AVERAGE(OFFSET($AM$3,0,0,'Données projet'!$E$10+1,1))-AVERAGE(OFFSET($H$3,0,0,'Données projet'!$E$10+1,1))</f>
        <v>270.87836509222456</v>
      </c>
      <c r="AO143" s="59">
        <f t="shared" si="289"/>
        <v>205.24998237949734</v>
      </c>
      <c r="AP143" s="15">
        <f>IF(ISNA(VLOOKUP(A143,'Données projet'!$A$71:$I$91,3,0)),0,VLOOKUP(A143,'Données projet'!$A$71:$I$91,3,0))</f>
        <v>0</v>
      </c>
      <c r="AQ143" s="15">
        <f>IF(ISNA(VLOOKUP(A143,'Données projet'!$A$71:$I$91,4,0)),0,VLOOKUP(A143,'Données projet'!$A$71:$I$91,4,0))</f>
        <v>0</v>
      </c>
      <c r="AR143" s="16">
        <f>IF(ISNA(VLOOKUP(A143,'Données projet'!$A$71:$I$91,5,0)),0%,VLOOKUP(A143,'Données projet'!$A$71:$I$91,5,0)*VLOOKUP('Données projet'!$B$10,Paramètres!$A$1:$I$89,7,0))</f>
        <v>0</v>
      </c>
      <c r="AS143" s="16">
        <f>IF(ISNA(VLOOKUP(A143,'Données projet'!$A$71:$I$91,6,0)),0%,VLOOKUP(A143,'Données projet'!$A$71:$I$91,6,0)*VLOOKUP('Données projet'!$B$10,Paramètres!$A$1:$I$89,7,0))</f>
        <v>0</v>
      </c>
      <c r="AT143" s="16">
        <f>IF(ISNA(VLOOKUP(A143,'Données projet'!$A$71:$I$91,7,0)),0%,VLOOKUP(A143,'Données projet'!$A$71:$I$91,7,0))</f>
        <v>0</v>
      </c>
      <c r="AU143" s="21">
        <f>EXP(-LN(2)/35)*AU142+(1-EXP(-LN(2)/35))/(LN(2)/35)*AQ143*AR143*VLOOKUP('Données projet'!$B$10,Paramètres!$A$1:$I$89,3,0)*0.475*44/12</f>
        <v>143.07125367909896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229"/>
        <v>143.07125367909896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projet'!$A$97:$I$117,2,0)</f>
        <v>#N/A</v>
      </c>
      <c r="BB143" s="12" t="e">
        <f>VLOOKUP(A143,'Données projet'!$A$97:$I$117,9,0)</f>
        <v>#N/A</v>
      </c>
      <c r="BC143" s="12">
        <f t="array" ref="BC143">INDEX(BB:BB,MIN(IF(ISNUMBER(BB143:BB339),ROW(BB143:BB339),"")))</f>
        <v>0</v>
      </c>
      <c r="BD143" s="12">
        <f>IF('Données projet'!$A$98&gt;35,BD142+BC143-BL142,IF(A143&lt;'Données projet'!$A$98,$BA$205^A143,IF(A143='Données projet'!$A$98,'Données projet'!$B$98,BD142+BC143-BL142)))</f>
        <v>-1.1368683772161603E-13</v>
      </c>
      <c r="BE143" s="13">
        <f>BD143*VLOOKUP('Données projet'!$B$11,Paramètres!$A$1:$I$89,3,0)*VLOOKUP('Données projet'!$B$11,Paramètres!$A$1:$I$89,5,0)</f>
        <v>-5.0249582272954292E-14</v>
      </c>
      <c r="BF143" s="13" t="e">
        <f t="shared" si="290"/>
        <v>#NUM!</v>
      </c>
      <c r="BG143" s="20" t="e">
        <f t="shared" si="230"/>
        <v>#NUM!</v>
      </c>
      <c r="BH143" s="59" t="e">
        <f t="shared" si="231"/>
        <v>#NUM!</v>
      </c>
      <c r="BI143" s="59">
        <f ca="1">AVERAGE(OFFSET($BH$3,0,0,'Données projet'!$E$11+1,1))-AVERAGE(OFFSET($H$3,0,0,'Données projet'!$E$11+1,1))</f>
        <v>211.31057120485542</v>
      </c>
      <c r="BJ143" s="59">
        <f t="shared" si="291"/>
        <v>283.33292006714777</v>
      </c>
      <c r="BK143" s="15">
        <f>IF(ISNA(VLOOKUP(A143,'Données projet'!$A$97:$I$117,3,0)),0,VLOOKUP(A143,'Données projet'!$A$97:$I$117,3,0))</f>
        <v>0</v>
      </c>
      <c r="BL143" s="15">
        <f>IF(ISNA(VLOOKUP(A143,'Données projet'!$A$97:$I$117,4,0)),0,VLOOKUP(A143,'Données projet'!$A$97:$I$117,4,0))</f>
        <v>0</v>
      </c>
      <c r="BM143" s="16">
        <f>IF(ISNA(VLOOKUP(A143,'Données projet'!$A$97:$I$117,5,0)),0%,VLOOKUP(A143,'Données projet'!$A$97:$I$117,5,0)*VLOOKUP('Données projet'!$B$11,Paramètres!$A$1:$I$89,7,0))</f>
        <v>0</v>
      </c>
      <c r="BN143" s="16">
        <f>IF(ISNA(VLOOKUP(A143,'Données projet'!$A$97:$I$117,6,0)),0%,VLOOKUP(A143,'Données projet'!$A$97:$I$117,6,0)*VLOOKUP('Données projet'!$B$11,Paramètres!$A$1:$I$89,7,0))</f>
        <v>0</v>
      </c>
      <c r="BO143" s="16">
        <f>IF(ISNA(VLOOKUP(A143,'Données projet'!$A$97:$I$117,7,0)),0%,VLOOKUP(A143,'Données projet'!$A$97:$I$117,7,0))</f>
        <v>0</v>
      </c>
      <c r="BP143" s="21">
        <f>EXP(-LN(2)/35)*BP142+(1-EXP(-LN(2)/35))/(LN(2)/35)*BL143*BM143*VLOOKUP('Données projet'!$B$11,Paramètres!$A$1:$I$89,3,0)*0.475*44/12</f>
        <v>33.289472090755133</v>
      </c>
      <c r="BQ143" s="21">
        <f>EXP(-LN(2)/25)*BQ142+(1-EXP(-LN(2)/25))/(LN(2)/25)*Calculateur!BL143*Calculateur!BN143*VLOOKUP('Données projet'!$B$11,Paramètres!$A$1:$I$89,3,0)*0.475*44/12</f>
        <v>4.3150801275748671</v>
      </c>
      <c r="BR143" s="21">
        <f>EXP(-LN(2)/2)*BR142+(1-EXP(-LN(2)/2))/(LN(2)/2)*BL143*BO143*VLOOKUP('Données projet'!$B$11,Paramètres!$A$1:$I$89,3,0)*0.475*44/12</f>
        <v>4.3428025678644827E-12</v>
      </c>
      <c r="BS143" s="22">
        <f t="shared" si="232"/>
        <v>37.604552218334341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projet'!$A$123:$I$143,2,0)</f>
        <v>#N/A</v>
      </c>
      <c r="BW143" s="12" t="e">
        <f>VLOOKUP(A143,'Données projet'!$A$123:$I$143,9,0)</f>
        <v>#N/A</v>
      </c>
      <c r="BX143" s="12">
        <f t="array" ref="BX143">INDEX(BW:BW,MIN(IF(ISNUMBER(BW143:BW339),ROW(BW143:BW339),"")))</f>
        <v>0</v>
      </c>
      <c r="BY143" s="12">
        <f>IF('Données projet'!$A$124&gt;35,BY142+BX143-CG142,IF(A143&lt;'Données projet'!$A$124,$BV$205^A143,IF(A143='Données projet'!$A$124,'Données projet'!$B$124,BY142+BX143-CG142)))</f>
        <v>0</v>
      </c>
      <c r="BZ143" s="13">
        <f>BY143*VLOOKUP('Données projet'!$B$12,Paramètres!$A$1:$I$89,3,0)*VLOOKUP('Données projet'!$B$12,Paramètres!$A$1:$I$89,5,0)</f>
        <v>0</v>
      </c>
      <c r="CA143" s="13" t="e">
        <f t="shared" si="292"/>
        <v>#NUM!</v>
      </c>
      <c r="CB143" s="20" t="e">
        <f t="shared" si="233"/>
        <v>#NUM!</v>
      </c>
      <c r="CC143" s="59" t="e">
        <f t="shared" si="234"/>
        <v>#NUM!</v>
      </c>
      <c r="CD143" s="59">
        <f ca="1">AVERAGE(OFFSET($CC$3,0,0,'Données projet'!$E$12+1,1))-AVERAGE(OFFSET($H$3,0,0,'Données projet'!$E$12+1,1))</f>
        <v>322.93502595881938</v>
      </c>
      <c r="CE143" s="59">
        <f t="shared" si="293"/>
        <v>302.67072119588164</v>
      </c>
      <c r="CF143" s="15">
        <f>IF(ISNA(VLOOKUP(A143,'Données projet'!$A$123:$I$143,3,0)),0,VLOOKUP(A143,'Données projet'!$A$123:$I$143,3,0))</f>
        <v>0</v>
      </c>
      <c r="CG143" s="15">
        <f>IF(ISNA(VLOOKUP(A143,'Données projet'!$A$123:$I$143,4,0)),0,VLOOKUP(A143,'Données projet'!$A$123:$I$143,4,0))</f>
        <v>0</v>
      </c>
      <c r="CH143" s="16">
        <f>IF(ISNA(VLOOKUP(A143,'Données projet'!$A$123:$I$143,5,0)),0%,VLOOKUP(A143,'Données projet'!$A$123:$I$143,5,0)*VLOOKUP('Données projet'!$B$12,Paramètres!$A$1:$I$89,7,0))</f>
        <v>0</v>
      </c>
      <c r="CI143" s="16">
        <f>IF(ISNA(VLOOKUP(A143,'Données projet'!$A$123:$I$143,6,0)),0%,VLOOKUP(A143,'Données projet'!$A$123:$I$143,6,0)*VLOOKUP('Données projet'!$B$12,Paramètres!$A$1:$I$89,7,0))</f>
        <v>0</v>
      </c>
      <c r="CJ143" s="16">
        <f>IF(ISNA(VLOOKUP(A143,'Données projet'!$A$123:$I$143,7,0)),0%,VLOOKUP(A143,'Données projet'!$A$123:$I$143,7,0))</f>
        <v>0</v>
      </c>
      <c r="CK143" s="21">
        <f>EXP(-LN(2)/35)*CK142+(1-EXP(-LN(2)/35))/(LN(2)/35)*CG143*CH143*VLOOKUP('Données projet'!$B$12,Paramètres!$A$1:$I$89,3,0)*0.475*44/12</f>
        <v>53.038172915934318</v>
      </c>
      <c r="CL143" s="21">
        <f>EXP(-LN(2)/25)*CL142+(1-EXP(-LN(2)/25))/(LN(2)/25)*Calculateur!CG143*Calculateur!CI143*VLOOKUP('Données projet'!$B$12,Paramètres!$A$1:$I$89,3,0)*0.475*44/12</f>
        <v>13.810867199870676</v>
      </c>
      <c r="CM143" s="21">
        <f>EXP(-LN(2)/2)*CM142+(1-EXP(-LN(2)/2))/(LN(2)/2)*CG143*CJ143*VLOOKUP('Données projet'!$B$12,Paramètres!$A$1:$I$89,3,0)*0.475*44/12</f>
        <v>0</v>
      </c>
      <c r="CN143" s="22">
        <f t="shared" si="235"/>
        <v>66.849040115804996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projet'!$A$149:$I$169,2,0)</f>
        <v>#N/A</v>
      </c>
      <c r="CR143" s="12" t="e">
        <f>VLOOKUP(A143,'Données projet'!$A$149:$I$169,9,0)</f>
        <v>#N/A</v>
      </c>
      <c r="CS143" s="12">
        <f t="array" ref="CS143">INDEX(CR:CR,MIN(IF(ISNUMBER(CR143:CR339),ROW(CR143:CR339),"")))</f>
        <v>5.1063034188034209</v>
      </c>
      <c r="CT143" s="12">
        <f>IF('Données projet'!$A$150&gt;35,CT142+CS143-DB142,IF(A143&lt;'Données projet'!$A$150,$CQ$205^A143,IF(A143='Données projet'!$A$150,'Données projet'!$B$150,CT142+CS143-DB142)))</f>
        <v>257.22916666666629</v>
      </c>
      <c r="CU143" s="17">
        <f>CT143*VLOOKUP('Données projet'!$B$13,Paramètres!$A$1:$I$89,3,0)*VLOOKUP('Données projet'!$B$13,Paramètres!$A$1:$I$89,5,0)</f>
        <v>260.83037499999961</v>
      </c>
      <c r="CV143" s="13">
        <f t="shared" si="294"/>
        <v>62.899347488444107</v>
      </c>
      <c r="CW143" s="20">
        <f t="shared" si="236"/>
        <v>563.82926666737285</v>
      </c>
      <c r="CX143" s="59">
        <f t="shared" si="237"/>
        <v>857.16260000070611</v>
      </c>
      <c r="CY143" s="59">
        <f ca="1">AVERAGE(OFFSET($CX$3,0,0,'Données projet'!$E$13+1,1))-AVERAGE(OFFSET($H$3,0,0,'Données projet'!$E$13+1,1))</f>
        <v>250.31277422753283</v>
      </c>
      <c r="CZ143" s="59">
        <f t="shared" si="295"/>
        <v>159.20429420478047</v>
      </c>
      <c r="DA143" s="15">
        <f>IF(ISNA(VLOOKUP(A143,'Données projet'!$A$149:$I$169,3,0)),0,VLOOKUP(A143,'Données projet'!$A$149:$I$169,3,0))</f>
        <v>0</v>
      </c>
      <c r="DB143" s="15">
        <f>IF(ISNA(VLOOKUP(A143,'Données projet'!$A$149:$I$169,4,0)),0,VLOOKUP(A143,'Données projet'!$A$149:$I$169,4,0))</f>
        <v>0</v>
      </c>
      <c r="DC143" s="16">
        <f>IF(ISNA(VLOOKUP(A143,'Données projet'!$A$149:$I$169,5,0)),0%,VLOOKUP(A143,'Données projet'!$A$149:$I$169,5,0)*VLOOKUP('Données projet'!$B$13,Paramètres!$A$1:$I$89,7,0))</f>
        <v>0</v>
      </c>
      <c r="DD143" s="16">
        <f>IF(ISNA(VLOOKUP(A143,'Données projet'!$A$149:$I$169,6,0)),0%,VLOOKUP(A143,'Données projet'!$A$149:$I$169,6,0)*VLOOKUP('Données projet'!$B$13,Paramètres!$A$1:$I$89,7,0))</f>
        <v>0</v>
      </c>
      <c r="DE143" s="16">
        <f>IF(ISNA(VLOOKUP(A143,'Données projet'!$A$149:$I$169,7,0)),0%,VLOOKUP(A143,'Données projet'!$A$149:$I$169,7,0))</f>
        <v>0</v>
      </c>
      <c r="DF143" s="21">
        <f>EXP(-LN(2)/35)*DF142+(1-EXP(-LN(2)/35))/(LN(2)/35)*DB143*DC143*VLOOKUP('Données projet'!$B$13,Paramètres!$A$1:$I$89,3,0)*0.475*44/12</f>
        <v>51.778918748710446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238"/>
        <v>51.778918748710446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projet'!$A$175:$I$195,2,0)</f>
        <v>#N/A</v>
      </c>
      <c r="DM143" s="12" t="e">
        <f>VLOOKUP(A143,'Données projet'!$A$175:$I$195,9,0)</f>
        <v>#N/A</v>
      </c>
      <c r="DN143" s="12">
        <f t="array" ref="DN143">INDEX(DM:DM,MIN(IF(ISNUMBER(DM143:DM339),ROW(DM143:DM339),"")))</f>
        <v>0</v>
      </c>
      <c r="DO143" s="12">
        <f>IF('Données projet'!$A$176&gt;35,DO142+DN143-DW142,IF(A143&lt;'Données projet'!$A$176,$DL$205^A143,IF(A143='Données projet'!$A$176,'Données projet'!$B$176,DO142+DN143-DW142)))</f>
        <v>-2.8421709430404007E-13</v>
      </c>
      <c r="DP143" s="17">
        <f>DO143*VLOOKUP('Données projet'!$B$14,Paramètres!$A$1:$I$89,3,0)*VLOOKUP('Données projet'!$B$14,Paramètres!$A$1:$I$89,5,0)</f>
        <v>-2.0838797354372215E-13</v>
      </c>
      <c r="DQ143" s="13" t="e">
        <f t="shared" si="296"/>
        <v>#NUM!</v>
      </c>
      <c r="DR143" s="20" t="e">
        <f t="shared" si="239"/>
        <v>#NUM!</v>
      </c>
      <c r="DS143" s="59" t="e">
        <f t="shared" si="240"/>
        <v>#NUM!</v>
      </c>
      <c r="DT143" s="59">
        <f ca="1">AVERAGE(OFFSET($DS$3,0,0,'Données projet'!$E$14+1,1))-AVERAGE(OFFSET($H$3,0,0,'Données projet'!$E$14+1,1))</f>
        <v>296.91321813251051</v>
      </c>
      <c r="DU143" s="59">
        <f t="shared" si="297"/>
        <v>291.0718079639509</v>
      </c>
      <c r="DV143" s="15">
        <f>IF(ISNA(VLOOKUP(A143,'Données projet'!$A$175:$I$195,3,0)),0,VLOOKUP(A143,'Données projet'!$A$175:$I$195,3,0))</f>
        <v>0</v>
      </c>
      <c r="DW143" s="15">
        <f>IF(ISNA(VLOOKUP(A143,'Données projet'!$A$175:$I$195,4,0)),0,VLOOKUP(A143,'Données projet'!$A$175:$I$195,4,0))</f>
        <v>0</v>
      </c>
      <c r="DX143" s="16">
        <f>IF(ISNA(VLOOKUP(A143,'Données projet'!$A$175:$I$195,5,0)),0%,VLOOKUP(A143,'Données projet'!$A$175:$I$195,5,0)*VLOOKUP('Données projet'!$B$14,Paramètres!$A$1:$I$89,7,0))</f>
        <v>0</v>
      </c>
      <c r="DY143" s="16">
        <f>IF(ISNA(VLOOKUP(A143,'Données projet'!$A$175:$I$195,6,0)),0%,VLOOKUP(A143,'Données projet'!$A$175:$I$195,6,0)*VLOOKUP('Données projet'!$B$14,Paramètres!$A$1:$I$89,7,0))</f>
        <v>0</v>
      </c>
      <c r="DZ143" s="16">
        <f>IF(ISNA(VLOOKUP(A143,'Données projet'!$A$175:$I$195,7,0)),0%,VLOOKUP(A143,'Données projet'!$A$175:$I$195,7,0))</f>
        <v>0</v>
      </c>
      <c r="EA143" s="21">
        <f>EXP(-LN(2)/35)*EA142+(1-EXP(-LN(2)/35))/(LN(2)/35)*DW143*DX143*VLOOKUP('Données projet'!$B$14,Paramètres!$A$1:$I$89,3,0)*0.475*44/12</f>
        <v>52.862030865868945</v>
      </c>
      <c r="EB143" s="21">
        <f>EXP(-LN(2)/25)*EB142+(1-EXP(-LN(2)/25))/(LN(2)/25)*Calculateur!DW143*Calculateur!DY143*VLOOKUP('Données projet'!$B$14,Paramètres!$A$1:$I$89,3,0)*0.475*44/12</f>
        <v>1.0145588302077089</v>
      </c>
      <c r="EC143" s="21">
        <f>EXP(-LN(2)/2)*EC142+(1-EXP(-LN(2)/2))/(LN(2)/2)*DW143*DZ143*VLOOKUP('Données projet'!$B$14,Paramètres!$A$1:$I$89,3,0)*0.475*44/12</f>
        <v>0</v>
      </c>
      <c r="ED143" s="22">
        <f t="shared" si="241"/>
        <v>53.876589696076657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projet'!$A$201:$I$221,2,0)</f>
        <v>#N/A</v>
      </c>
      <c r="EH143" s="12" t="e">
        <f>VLOOKUP(A143,'Données projet'!$A$201:$I$221,9,0)</f>
        <v>#N/A</v>
      </c>
      <c r="EI143" s="12">
        <f t="array" ref="EI143">INDEX(EH:EH,MIN(IF(ISNUMBER(EH143:EH339),ROW(EH143:EH339),"")))</f>
        <v>0</v>
      </c>
      <c r="EJ143" s="12">
        <f>IF('Données projet'!$A$202&gt;35,EJ142+EI143-ER142,IF(A143&lt;'Données projet'!$A$202,$EG$205^A143,IF(A143='Données projet'!$A$202,'Données projet'!$B$202,EJ142+EI143-ER142)))</f>
        <v>5.1159076974727213E-13</v>
      </c>
      <c r="EK143" s="17">
        <f>EJ143*VLOOKUP('Données projet'!$B$15,Paramètres!$A$1:$I$89,3,0)*VLOOKUP('Données projet'!$B$15,Paramètres!$A$1:$I$89,5,0)</f>
        <v>2.3942448024172334E-13</v>
      </c>
      <c r="EL143" s="13">
        <f t="shared" si="298"/>
        <v>3.2492669905861755E-12</v>
      </c>
      <c r="EM143" s="20">
        <f t="shared" si="242"/>
        <v>6.0761376450252565E-12</v>
      </c>
      <c r="EN143" s="59">
        <f t="shared" si="243"/>
        <v>293.3333333333394</v>
      </c>
      <c r="EO143" s="59">
        <f ca="1">AVERAGE(OFFSET($EN$3,0,0,'Données projet'!$E$15+1,1))-AVERAGE(OFFSET($H$3,0,0,'Données projet'!$E$15+1,1))</f>
        <v>147.64256291235483</v>
      </c>
      <c r="EP143" s="59">
        <f t="shared" si="299"/>
        <v>70.859031694091868</v>
      </c>
      <c r="EQ143" s="15">
        <f>IF(ISNA(VLOOKUP(A143,'Données projet'!$A$201:$I$221,3,0)),0,VLOOKUP(A143,'Données projet'!$A$201:$I$221,3,0))</f>
        <v>0</v>
      </c>
      <c r="ER143" s="15">
        <f>IF(ISNA(VLOOKUP(A143,'Données projet'!$A$201:$I$221,4,0)),0,VLOOKUP(A143,'Données projet'!$A$201:$I$221,4,0))</f>
        <v>0</v>
      </c>
      <c r="ES143" s="16">
        <f>IF(ISNA(VLOOKUP(A143,'Données projet'!$A$201:$I$221,5,0)),0%,VLOOKUP(A143,'Données projet'!$A$201:$I$221,5,0)*VLOOKUP('Données projet'!$B$15,Paramètres!$A$1:$I$89,7,0))</f>
        <v>0</v>
      </c>
      <c r="ET143" s="16">
        <f>IF(ISNA(VLOOKUP(A143,'Données projet'!$A$201:$I$221,6,0)),0%,VLOOKUP(A143,'Données projet'!$A$201:$I$221,6,0)*VLOOKUP('Données projet'!$B$15,Paramètres!$A$1:$I$89,7,0))</f>
        <v>0</v>
      </c>
      <c r="EU143" s="16">
        <f>IF(ISNA(VLOOKUP(A143,'Données projet'!$A$201:$I$221,7,0)),0%,VLOOKUP(A143,'Données projet'!$A$201:$I$221,7,0))</f>
        <v>0</v>
      </c>
      <c r="EV143" s="21">
        <f>EXP(-LN(2)/35)*EV142+(1-EXP(-LN(2)/35))/(LN(2)/35)*ER143*ES143*VLOOKUP('Données projet'!$B$15,Paramètres!$A$1:$I$89,3,0)*0.475*44/12</f>
        <v>72.36895351107934</v>
      </c>
      <c r="EW143" s="21">
        <f>EXP(-LN(2)/25)*EW142+(1-EXP(-LN(2)/25))/(LN(2)/25)*Calculateur!ER143*Calculateur!ET143*VLOOKUP('Données projet'!$B$15,Paramètres!$A$1:$I$89,3,0)*0.475*44/12</f>
        <v>14.075981618386322</v>
      </c>
      <c r="EX143" s="21">
        <f>EXP(-LN(2)/2)*EX142+(1-EXP(-LN(2)/2))/(LN(2)/2)*ER143*EU143*VLOOKUP('Données projet'!$B$15,Paramètres!$A$1:$I$89,3,0)*0.475*44/12</f>
        <v>3.9594978782318206E-4</v>
      </c>
      <c r="EY143" s="22">
        <f t="shared" si="244"/>
        <v>86.445331079253492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projet'!$A$227:$I$247,2,0)</f>
        <v>#N/A</v>
      </c>
      <c r="FC143" s="12" t="e">
        <f>VLOOKUP(A143,'Données projet'!$A$227:$I$247,9,0)</f>
        <v>#N/A</v>
      </c>
      <c r="FD143" s="12">
        <f t="array" ref="FD143">INDEX(FC:FC,MIN(IF(ISNUMBER(FC143:FC339),ROW(FC143:FC339),"")))</f>
        <v>0</v>
      </c>
      <c r="FE143" s="12">
        <f>IF('Données projet'!$A$228&gt;35,FE142+FD143-FM142,IF(A143&lt;'Données projet'!$A$228,$FB$205^A143,IF(A143='Données projet'!$A$228,'Données projet'!$B$228,FE142+FD143-FM142)))</f>
        <v>8.5265128291212022E-14</v>
      </c>
      <c r="FF143" s="17">
        <f>FE143*VLOOKUP('Données projet'!$B$16,Paramètres!$A$1:$I$89,3,0)*VLOOKUP('Données projet'!$B$16,Paramètres!$A$1:$I$89,5,0)</f>
        <v>8.9119112089974823E-14</v>
      </c>
      <c r="FG143" s="13">
        <f t="shared" si="300"/>
        <v>1.3568952080113142E-12</v>
      </c>
      <c r="FH143" s="20">
        <f t="shared" si="245"/>
        <v>2.5184749408430782E-12</v>
      </c>
      <c r="FI143" s="59">
        <f t="shared" si="246"/>
        <v>293.33333333333582</v>
      </c>
      <c r="FJ143" s="59">
        <f ca="1">AVERAGE(OFFSET($FI$3,0,0,'Données projet'!$E$16+1,1))-AVERAGE(OFFSET($H$3,0,0,'Données projet'!$E$16+1,1))</f>
        <v>259.03906550253788</v>
      </c>
      <c r="FK143" s="59">
        <f t="shared" si="301"/>
        <v>235.54542903570831</v>
      </c>
      <c r="FL143" s="15">
        <f>IF(ISNA(VLOOKUP(A143,'Données projet'!$A$227:$I$247,3,0)),0,VLOOKUP(A143,'Données projet'!$A$227:$I$247,3,0))</f>
        <v>0</v>
      </c>
      <c r="FM143" s="15">
        <f>IF(ISNA(VLOOKUP(A143,'Données projet'!$A$227:$I$247,4,0)),0,VLOOKUP(A143,'Données projet'!$A$227:$I$247,4,0))</f>
        <v>0</v>
      </c>
      <c r="FN143" s="16">
        <f>IF(ISNA(VLOOKUP(A143,'Données projet'!$A$227:$I$247,5,0)),0%,VLOOKUP(A143,'Données projet'!$A$227:$I$247,5,0)*VLOOKUP('Données projet'!$B$16,Paramètres!$A$1:$I$89,7,0))</f>
        <v>0</v>
      </c>
      <c r="FO143" s="16">
        <f>IF(ISNA(VLOOKUP(A143,'Données projet'!$A$227:$I$247,6,0)),0%,VLOOKUP(A143,'Données projet'!$A$227:$I$247,6,0)*VLOOKUP('Données projet'!$B$16,Paramètres!$A$1:$I$89,7,0))</f>
        <v>0</v>
      </c>
      <c r="FP143" s="16">
        <f>IF(ISNA(VLOOKUP(A143,'Données projet'!$A$227:$I$247,7,0)),0%,VLOOKUP(A143,'Données projet'!$A$227:$I$247,7,0))</f>
        <v>0</v>
      </c>
      <c r="FQ143" s="21">
        <f>EXP(-LN(2)/35)*FQ142+(1-EXP(-LN(2)/35))/(LN(2)/35)*FM143*FN143*VLOOKUP('Données projet'!$B$16,Paramètres!$A$1:$I$89,3,0)*0.475*44/12</f>
        <v>31.941689315870068</v>
      </c>
      <c r="FR143" s="21">
        <f>EXP(-LN(2)/25)*FR142+(1-EXP(-LN(2)/25))/(LN(2)/25)*Calculateur!FM143*Calculateur!FO143*VLOOKUP('Données projet'!$B$16,Paramètres!$A$1:$I$89,3,0)*0.475*44/12</f>
        <v>19.363971186087838</v>
      </c>
      <c r="FS143" s="21">
        <f>EXP(-LN(2)/2)*FS142+(1-EXP(-LN(2)/2))/(LN(2)/2)*FM143*FP143*VLOOKUP('Données projet'!$B$16,Paramètres!$A$1:$I$89,3,0)*0.475*44/12</f>
        <v>0</v>
      </c>
      <c r="FT143" s="22">
        <f t="shared" si="247"/>
        <v>51.305660501957902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projet'!$A$253:$I$273,2,0)</f>
        <v>#N/A</v>
      </c>
      <c r="FX143" s="12" t="e">
        <f>VLOOKUP(A143,'Données projet'!$A$253:$I$273,9,0)</f>
        <v>#N/A</v>
      </c>
      <c r="FY143" s="12">
        <f t="array" ref="FY143">INDEX(FX:FX,MIN(IF(ISNUMBER(FX143:FX339),ROW(FX143:FX339),"")))</f>
        <v>0</v>
      </c>
      <c r="FZ143" s="12">
        <f>IF('Données projet'!$A$254&gt;35,FZ142+FY143-GH142,IF(A143&lt;'Données projet'!$A$254,$FW$205^A143,IF(A143='Données projet'!$A$254,'Données projet'!$B$254,FZ142+FY143-GH142)))</f>
        <v>-1.7053025658242404E-13</v>
      </c>
      <c r="GA143" s="17">
        <f>FZ143*VLOOKUP('Données projet'!$B$17,Paramètres!$A$1:$I$89,3,0)*VLOOKUP('Données projet'!$B$17,Paramètres!$A$1:$I$89,5,0)</f>
        <v>-1.4897523215040567E-13</v>
      </c>
      <c r="GB143" s="13" t="e">
        <f t="shared" si="302"/>
        <v>#NUM!</v>
      </c>
      <c r="GC143" s="20" t="e">
        <f t="shared" si="248"/>
        <v>#NUM!</v>
      </c>
      <c r="GD143" s="59" t="e">
        <f t="shared" si="249"/>
        <v>#NUM!</v>
      </c>
      <c r="GE143" s="59">
        <f ca="1">AVERAGE(OFFSET($GD$3,0,0,'Données projet'!$E$17+1,1))-AVERAGE(OFFSET($H$3,0,0,'Données projet'!$E$17+1,1))</f>
        <v>245.1983232777614</v>
      </c>
      <c r="GF143" s="59">
        <f t="shared" si="303"/>
        <v>242.34010522344573</v>
      </c>
      <c r="GG143" s="15">
        <f>IF(ISNA(VLOOKUP(A143,'Données projet'!$A$253:$I$273,3,0)),0,VLOOKUP(A143,'Données projet'!$A$253:$I$273,3,0))</f>
        <v>0</v>
      </c>
      <c r="GH143" s="15">
        <f>IF(ISNA(VLOOKUP(A143,'Données projet'!$A$253:$I$273,4,0)),0,VLOOKUP(A143,'Données projet'!$A$253:$I$273,4,0))</f>
        <v>0</v>
      </c>
      <c r="GI143" s="16">
        <f>IF(ISNA(VLOOKUP(A143,'Données projet'!$A$253:$I$273,5,0)),0%,VLOOKUP(A143,'Données projet'!$A$253:$I$273,5,0)*VLOOKUP('Données projet'!$B$17,Paramètres!$A$1:$I$89,7,0))</f>
        <v>0</v>
      </c>
      <c r="GJ143" s="16">
        <f>IF(ISNA(VLOOKUP(A143,'Données projet'!$A$253:$I$273,6,0)),0%,VLOOKUP(A143,'Données projet'!$A$253:$I$273,6,0)*VLOOKUP('Données projet'!$B$17,Paramètres!$A$1:$I$89,7,0))</f>
        <v>0</v>
      </c>
      <c r="GK143" s="16">
        <f>IF(ISNA(VLOOKUP(A143,'Données projet'!$A$253:$I$273,7,0)),0%,VLOOKUP(A143,'Données projet'!$A$253:$I$273,7,0))</f>
        <v>0</v>
      </c>
      <c r="GL143" s="21">
        <f>EXP(-LN(2)/35)*GL142+(1-EXP(-LN(2)/35))/(LN(2)/35)*GH143*GI143*VLOOKUP('Données projet'!$B$17,Paramètres!$A$1:$I$89,3,0)*0.475*44/12</f>
        <v>37.551838263943942</v>
      </c>
      <c r="GM143" s="21">
        <f>EXP(-LN(2)/25)*GM142+(1-EXP(-LN(2)/25))/(LN(2)/25)*Calculateur!GH143*Calculateur!GJ143*VLOOKUP('Données projet'!$B$17,Paramètres!$A$1:$I$89,3,0)*0.475*44/12</f>
        <v>4.1259905217791353</v>
      </c>
      <c r="GN143" s="21">
        <f>EXP(-LN(2)/2)*GN142+(1-EXP(-LN(2)/2))/(LN(2)/2)*GH143*GK143*VLOOKUP('Données projet'!$B$17,Paramètres!$A$1:$I$89,3,0)*0.475*44/12</f>
        <v>0</v>
      </c>
      <c r="GO143" s="21">
        <f t="shared" si="250"/>
        <v>41.677828785723079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projet'!$A$279:$I$299,2,0)</f>
        <v>#N/A</v>
      </c>
      <c r="GS143" s="12" t="e">
        <f>VLOOKUP(A143,'Données projet'!$A$279:$I$299,9,0)</f>
        <v>#N/A</v>
      </c>
      <c r="GT143" s="12">
        <f t="array" ref="GT143">INDEX(GS:GS,MIN(IF(ISNUMBER(GS143:GS339),ROW(GS143:GS339),"")))</f>
        <v>0</v>
      </c>
      <c r="GU143" s="12">
        <f>IF('Données projet'!$A$280&gt;35,GU142+GT143-HC142,IF(A143&lt;'Données projet'!$A$280,$GR$205^A143,IF(A143='Données projet'!$A$280,'Données projet'!$B$280,GU142+GT143-HC142)))</f>
        <v>-1.1368683772161603E-13</v>
      </c>
      <c r="GV143" s="17">
        <f>GU143*VLOOKUP('Données projet'!$B$18,Paramètres!$A$1:$I$89,3,0)*VLOOKUP('Données projet'!$B$18,Paramètres!$A$1:$I$89,5,0)</f>
        <v>-4.5815795601811263E-14</v>
      </c>
      <c r="GW143" s="13" t="e">
        <f t="shared" si="304"/>
        <v>#NUM!</v>
      </c>
      <c r="GX143" s="20" t="e">
        <f t="shared" si="251"/>
        <v>#NUM!</v>
      </c>
      <c r="GY143" s="59" t="e">
        <f t="shared" si="252"/>
        <v>#NUM!</v>
      </c>
      <c r="GZ143" s="59">
        <f ca="1">AVERAGE(OFFSET($GY$3,0,0,'Données projet'!$E$18+1,1))-AVERAGE(OFFSET($H$3,0,0,'Données projet'!$E$18+1,1))</f>
        <v>324.36162935850876</v>
      </c>
      <c r="HA143" s="59">
        <f t="shared" si="305"/>
        <v>265.23571072429735</v>
      </c>
      <c r="HB143" s="15">
        <f>IF(ISNA(VLOOKUP(A143,'Données projet'!$A$279:$I$299,3,0)),0,VLOOKUP(A143,'Données projet'!$A$279:$I$299,3,0))</f>
        <v>0</v>
      </c>
      <c r="HC143" s="15">
        <f>IF(ISNA(VLOOKUP(A143,'Données projet'!$A$279:$I$299,4,0)),0,VLOOKUP(A143,'Données projet'!$A$279:$I$299,4,0))</f>
        <v>0</v>
      </c>
      <c r="HD143" s="16">
        <f>IF(ISNA(VLOOKUP(A143,'Données projet'!$A$279:$I$299,5,0)),0%,VLOOKUP(A143,'Données projet'!$A$279:$I$299,5,0)*VLOOKUP('Données projet'!$B$18,Paramètres!$A$1:$I$89,7,0))</f>
        <v>0</v>
      </c>
      <c r="HE143" s="16">
        <f>IF(ISNA(VLOOKUP(A143,'Données projet'!$A$279:$I$299,6,0)),0%,VLOOKUP(A143,'Données projet'!$A$279:$I$299,6,0)*VLOOKUP('Données projet'!$B$18,Paramètres!$A$1:$I$89,7,0))</f>
        <v>0</v>
      </c>
      <c r="HF143" s="16">
        <f>IF(ISNA(VLOOKUP($A143,'Données projet'!$A$279:$I$299,7,0)),0%,VLOOKUP($A143,'Données projet'!$A$279:$I$299,7,0))</f>
        <v>0</v>
      </c>
      <c r="HG143" s="21">
        <f>EXP(-LN(2)/35)*HG142+(1-EXP(-LN(2)/35))/(LN(2)/35)*HC143*HD143*VLOOKUP('Données projet'!$B$18,Paramètres!$A$1:$I$89,3,0)*0.475*44/12</f>
        <v>71.959138870594842</v>
      </c>
      <c r="HH143" s="21">
        <f>EXP(-LN(2)/25)*HH142+(1-EXP(-LN(2)/25))/(LN(2)/25)*Calculateur!HC143*Calculateur!HE143*VLOOKUP('Données projet'!$B$18,Paramètres!$A$1:$I$89,3,0)*0.475*44/12</f>
        <v>4.5888394598641753</v>
      </c>
      <c r="HI143" s="21">
        <f>EXP(-LN(2)/2)*HI142+(1-EXP(-LN(2)/2))/(LN(2)/2)*HC143*HF143*VLOOKUP('Données projet'!$B$18,Paramètres!$A$1:$I$89,3,0)*0.475*44/12</f>
        <v>7.9602093523181302E-9</v>
      </c>
      <c r="HJ143" s="22">
        <f t="shared" si="253"/>
        <v>76.547978338419227</v>
      </c>
      <c r="HK143" s="74">
        <f>('Scénario référence'!$F$8+'Scénario référence'!$F$9+'Scénario référence'!$B$17+'Scénario référence'!$B$9+'Scénario référence'!$B$10)*70+IF((45+25*(1-EXP(-0.0175*$A143)))&lt;70,'Scénario référence'!$B$16*(45+25*(1-EXP(-0.0175*$A143))),70*'Scénario référence'!$B$16)+IF((32+38*(1-EXP(-0.0175*$A143)))&lt;70,'Scénario référence'!$B$18*(32+38*(1-EXP(-0.0175*$A143))),70*'Scénario référence'!$B$18)</f>
        <v>70</v>
      </c>
      <c r="HL143" s="12">
        <f>IF($A143&gt;30,10,('Scénario référence'!$B$16+'Scénario référence'!$B$17+'Scénario référence'!$B$18+'Scénario référence'!$B$9+'Scénario référence'!$B$10)*$A143*10/30+('Scénario référence'!$F$8+'Scénario référence'!$F$9)*10)</f>
        <v>10</v>
      </c>
      <c r="HM143" s="12" t="e">
        <f>VLOOKUP($A143,'Données projet'!$A$304:$I$324,2,0)</f>
        <v>#N/A</v>
      </c>
      <c r="HN143" s="12" t="e">
        <f>VLOOKUP($A143,'Données projet'!$A$304:$I$324,9,0)</f>
        <v>#N/A</v>
      </c>
      <c r="HO143" s="12">
        <f t="array" ref="HO143">INDEX(HN:HN,MIN(IF(ISNUMBER(HN143:HN339),ROW(HN143:HN339),"")))</f>
        <v>0</v>
      </c>
      <c r="HP143" s="12">
        <f>IF('Données projet'!$A$304&gt;35,HP142+HO143-HX142,IF($A143&lt;'Données projet'!$A$304,$CQ$205^$A143,IF($A143='Données projet'!$A$304,'Données projet'!$B$304,HP142+HO143-HX142)))</f>
        <v>0</v>
      </c>
      <c r="HQ143" s="17">
        <f>HP143*VLOOKUP('Données projet'!$B$19,Paramètres!$A$1:$I$89,3,0)*VLOOKUP('Données projet'!$B$19,Paramètres!$A$1:$I$89,5,0)</f>
        <v>0</v>
      </c>
      <c r="HR143" s="13" t="e">
        <f t="shared" si="306"/>
        <v>#NUM!</v>
      </c>
      <c r="HS143" s="14" t="e">
        <f t="shared" si="254"/>
        <v>#NUM!</v>
      </c>
      <c r="HT143" s="59" t="e">
        <f t="shared" si="255"/>
        <v>#NUM!</v>
      </c>
      <c r="HU143" s="59">
        <f ca="1">AVERAGE(OFFSET(HT$3,0,0,'Données projet'!$E$19+1,1))-AVERAGE(OFFSET($H$3,0,0,'Données projet'!$E$19+1,1))</f>
        <v>91.60721429656013</v>
      </c>
      <c r="HV143" s="59">
        <f t="shared" si="307"/>
        <v>258.94957804210856</v>
      </c>
      <c r="HW143" s="15">
        <f>IF(ISNA(VLOOKUP($A143,'Données projet'!$A$304:$I$324,3,0)),0,VLOOKUP($A143,'Données projet'!$A$304:$I$324,3,0))</f>
        <v>0</v>
      </c>
      <c r="HX143" s="15">
        <f>IF(ISNA(VLOOKUP($A143,'Données projet'!$A$304:$I$324,4,0)),0,VLOOKUP($A143,'Données projet'!$A$304:$I$324,4,0))</f>
        <v>0</v>
      </c>
      <c r="HY143" s="16">
        <f>IF(ISNA(VLOOKUP($A143,'Données projet'!$A$304:$I$324,5,0)),0%,VLOOKUP($A143,'Données projet'!$A$304:$I$324,5,0)*VLOOKUP('Données projet'!$B$19,Paramètres!$A$1:$I$89,7,0))</f>
        <v>0</v>
      </c>
      <c r="HZ143" s="16">
        <f>IF(ISNA(VLOOKUP($A143,'Données projet'!$A$304:$I$324,6,0)),0%,VLOOKUP($A143,'Données projet'!$A$304:$I$324,6,0)*VLOOKUP('Données projet'!$B$19,Paramètres!$A$1:$I$89,7,0))</f>
        <v>0</v>
      </c>
      <c r="IA143" s="16">
        <f>IF(ISNA(VLOOKUP($A143,'Données projet'!$A$304:$I$324,7,0)),0%,VLOOKUP($A143,'Données projet'!$A$304:$I$324,7,0))</f>
        <v>0</v>
      </c>
      <c r="IB143" s="21">
        <f>EXP(-LN(2)/35)*IB142+(1-EXP(-LN(2)/35))/(LN(2)/35)*HX143*HY143*VLOOKUP('Données projet'!$B$19,Paramètres!$A$1:$I$89,3,0)*0.475*44/12</f>
        <v>5.5852247601378888</v>
      </c>
      <c r="IC143" s="21">
        <f>EXP(-LN(2)/25)*IC142+(1-EXP(-LN(2)/25))/(LN(2)/25)*Calculateur!HX143*Calculateur!HZ143*VLOOKUP('Données projet'!$B$19,Paramètres!$A$1:$I$89,3,0)*0.475*44/12</f>
        <v>0.46076488992219972</v>
      </c>
      <c r="ID143" s="21">
        <f>EXP(-LN(2)/2)*ID142+(1-EXP(-LN(2)/2))/(LN(2)/2)*HX143*IA143*VLOOKUP('Données projet'!$B$19,Paramètres!$A$1:$I$89,3,0)*0.475*44/12</f>
        <v>1.5899845655197796E-17</v>
      </c>
      <c r="IE143" s="22">
        <f t="shared" si="256"/>
        <v>6.0459896500600889</v>
      </c>
      <c r="IF143" s="74">
        <f>('Scénario référence'!$F$8+'Scénario référence'!$F$9+'Scénario référence'!$B$17+'Scénario référence'!$B$9+'Scénario référence'!$B$10)*70+IF((45+25*(1-EXP(-0.0175*$A143)))&lt;70,'Scénario référence'!$B$16*(45+25*(1-EXP(-0.0175*$A143))),70*'Scénario référence'!$B$16)+IF((32+38*(1-EXP(-0.0175*$A143)))&lt;70,'Scénario référence'!$B$18*(32+38*(1-EXP(-0.0175*$A143))),70*'Scénario référence'!$B$18)</f>
        <v>70</v>
      </c>
      <c r="IG143" s="12">
        <f>IF($A143&gt;30,10,('Scénario référence'!$B$16+'Scénario référence'!$B$17+'Scénario référence'!$B$18+'Scénario référence'!$B$9+'Scénario référence'!$B$10)*$A143*10/30+('Scénario référence'!$F$8+'Scénario référence'!$F$9)*10)</f>
        <v>10</v>
      </c>
      <c r="IH143" s="12" t="e">
        <f>VLOOKUP($A143,'Données projet'!$A$330:$I$350,2,0)</f>
        <v>#N/A</v>
      </c>
      <c r="II143" s="12" t="e">
        <f>VLOOKUP($A143,'Données projet'!$A$330:$I$350,9,0)</f>
        <v>#N/A</v>
      </c>
      <c r="IJ143" s="12">
        <f t="array" ref="IJ143">INDEX(II:II,MIN(IF(ISNUMBER(II143:II339),ROW(II143:II339),"")))</f>
        <v>0</v>
      </c>
      <c r="IK143" s="12">
        <f>IF('Données projet'!$A$330&gt;35,IK142+IJ143-IS142,IF($A143&lt;'Données projet'!$A$330,$CQ$205^$A143,IF($A143='Données projet'!$A$330,'Données projet'!$B$330,IK142+IJ143-IS142)))</f>
        <v>0</v>
      </c>
      <c r="IL143" s="17">
        <f>IK143*VLOOKUP('Données projet'!$B$20,Paramètres!$A$1:$I$89,3,0)*VLOOKUP('Données projet'!$B$20,Paramètres!$A$1:$I$89,5,0)</f>
        <v>0</v>
      </c>
      <c r="IM143" s="13" t="e">
        <f t="shared" si="308"/>
        <v>#NUM!</v>
      </c>
      <c r="IN143" s="20" t="e">
        <f t="shared" si="257"/>
        <v>#NUM!</v>
      </c>
      <c r="IO143" s="59" t="e">
        <f t="shared" si="258"/>
        <v>#NUM!</v>
      </c>
      <c r="IP143" s="59">
        <f ca="1">AVERAGE(OFFSET(IO$3,0,0,'Données projet'!$E$20+1,1))-AVERAGE(OFFSET($H$3,0,0,'Données projet'!$E$20+1,1))</f>
        <v>91.60721429656013</v>
      </c>
      <c r="IQ143" s="59">
        <f t="shared" si="309"/>
        <v>258.94957804210856</v>
      </c>
      <c r="IR143" s="15">
        <f>IF(ISNA(VLOOKUP($A143,'Données projet'!$A$330:$I$350,3,0)),0,VLOOKUP($A143,'Données projet'!$A$330:$I$350,3,0))</f>
        <v>0</v>
      </c>
      <c r="IS143" s="15">
        <f>IF(ISNA(VLOOKUP($A143,'Données projet'!$A$330:$I$350,4,0)),0,VLOOKUP($A143,'Données projet'!$A$330:$I$350,4,0))</f>
        <v>0</v>
      </c>
      <c r="IT143" s="16">
        <f>IF(ISNA(VLOOKUP($A143,'Données projet'!$A$330:$I$350,5,0)),0%,VLOOKUP($A143,'Données projet'!$A$330:$I$350,5,0)*VLOOKUP('Données projet'!$B$20,Paramètres!$A$1:$I$89,7,0))</f>
        <v>0</v>
      </c>
      <c r="IU143" s="16">
        <f>IF(ISNA(VLOOKUP($A143,'Données projet'!$A$330:$I$350,6,0)),0%,VLOOKUP($A143,'Données projet'!$A$330:$I$350,6,0)*VLOOKUP('Données projet'!$B$20,Paramètres!$A$1:$I$89,7,0))</f>
        <v>0</v>
      </c>
      <c r="IV143" s="16">
        <f>IF(ISNA(VLOOKUP($A143,'Données projet'!$A$330:$I$350,7,0)),0%,VLOOKUP($A143,'Données projet'!$A$330:$I$350,7,0))</f>
        <v>0</v>
      </c>
      <c r="IW143" s="21">
        <f>EXP(-LN(2)/35)*IW142+(1-EXP(-LN(2)/35))/(LN(2)/35)*IS143*IT143*VLOOKUP('Données projet'!$B$20,Paramètres!$A$1:$I$89,3,0)*0.475*44/12</f>
        <v>5.5852247601378888</v>
      </c>
      <c r="IX143" s="21">
        <f>EXP(-LN(2)/25)*IX142+(1-EXP(-LN(2)/25))/(LN(2)/25)*Calculateur!IS143*Calculateur!IU143*VLOOKUP('Données projet'!$B$20,Paramètres!$A$1:$I$89,3,0)*0.475*44/12</f>
        <v>0.46076488992219972</v>
      </c>
      <c r="IY143" s="21">
        <f>EXP(-LN(2)/2)*IY142+(1-EXP(-LN(2)/2))/(LN(2)/2)*IS143*IV143*VLOOKUP('Données projet'!$B$20,Paramètres!$A$1:$I$89,3,0)*0.475*44/12</f>
        <v>1.5899845655197796E-17</v>
      </c>
      <c r="IZ143" s="22">
        <f t="shared" si="259"/>
        <v>6.0459896500600889</v>
      </c>
      <c r="JA143" s="74">
        <f>('Scénario référence'!$F$8+'Scénario référence'!$F$9+'Scénario référence'!$B$17+'Scénario référence'!$B$9+'Scénario référence'!$B$10)*70+IF((45+25*(1-EXP(-0.0175*$A143)))&lt;70,'Scénario référence'!$B$16*(45+25*(1-EXP(-0.0175*$A143))),70*'Scénario référence'!$B$16)+IF((32+38*(1-EXP(-0.0175*$A143)))&lt;70,'Scénario référence'!$B$18*(32+38*(1-EXP(-0.0175*$A143))),70*'Scénario référence'!$B$18)</f>
        <v>70</v>
      </c>
      <c r="JB143" s="12">
        <f>IF($A143&gt;30,10,('Scénario référence'!$B$16+'Scénario référence'!$B$17+'Scénario référence'!$B$18+'Scénario référence'!$B$9+'Scénario référence'!$B$10)*$A143*10/30+('Scénario référence'!$F$8+'Scénario référence'!$F$9)*10)</f>
        <v>10</v>
      </c>
      <c r="JC143" s="12" t="e">
        <f>VLOOKUP($A143,'Données projet'!$A$356:$I$376,2,0)</f>
        <v>#N/A</v>
      </c>
      <c r="JD143" s="12" t="e">
        <f>VLOOKUP($A143,'Données projet'!$A$356:$I$376,9,0)</f>
        <v>#N/A</v>
      </c>
      <c r="JE143" s="12">
        <f t="array" ref="JE143">INDEX(JD:JD,MIN(IF(ISNUMBER(JD143:JD339),ROW(JD143:JD339),"")))</f>
        <v>1.4</v>
      </c>
      <c r="JF143" s="12">
        <f>IF('Données projet'!$A$356&gt;35,JF142+JE143-JN142,IF($A143&lt;'Données projet'!$A$356,$CQ$205^$A143,IF($A143='Données projet'!$A$356,'Données projet'!$B$356,JF142+JE143-JN142)))</f>
        <v>433.99999999999892</v>
      </c>
      <c r="JG143" s="17">
        <f>JF143*VLOOKUP('Données projet'!$B$21,Paramètres!$A$1:$I$89,3,0)*VLOOKUP('Données projet'!$B$21,Paramètres!$A$1:$I$89,5,0)</f>
        <v>352.06079999999912</v>
      </c>
      <c r="JH143" s="13">
        <f t="shared" si="310"/>
        <v>81.986706264599874</v>
      </c>
      <c r="JI143" s="20">
        <f t="shared" si="260"/>
        <v>755.96607341084325</v>
      </c>
      <c r="JJ143" s="59">
        <f t="shared" si="261"/>
        <v>1049.2994067441766</v>
      </c>
      <c r="JK143" s="59">
        <f ca="1">AVERAGE(OFFSET($JJ$3,0,0,'Données projet'!$E$22+1,1))-AVERAGE(OFFSET($H$3,0,0,'Données projet'!$E$22+1,1))</f>
        <v>353.35574633294613</v>
      </c>
      <c r="JL143" s="59">
        <f t="shared" si="311"/>
        <v>170.36796666474726</v>
      </c>
      <c r="JM143" s="15">
        <f>IF(ISNA(VLOOKUP($A143,'Données projet'!$A$356:$I$376,3,0)),0,VLOOKUP($A143,'Données projet'!$A$356:$I$376,3,0))</f>
        <v>0</v>
      </c>
      <c r="JN143" s="15">
        <f>IF(ISNA(VLOOKUP($A143,'Données projet'!$A$356:$I$376,4,0)),0,VLOOKUP($A143,'Données projet'!$A$356:$I$376,4,0))</f>
        <v>0</v>
      </c>
      <c r="JO143" s="16">
        <f>IF(ISNA(VLOOKUP($A143,'Données projet'!$A$356:$I$376,5,0)),0%,VLOOKUP($A143,'Données projet'!$A$356:$I$376,5,0)*VLOOKUP('Données projet'!$B$21,Paramètres!$A$1:$I$89,7,0))</f>
        <v>0</v>
      </c>
      <c r="JP143" s="16">
        <f>IF(ISNA(VLOOKUP($A143,'Données projet'!$A$356:$I$376,6,0)),0%,VLOOKUP($A143,'Données projet'!$A$356:$I$376,6,0)*VLOOKUP('Données projet'!$B$21,Paramètres!$A$1:$I$89,7,0))</f>
        <v>0</v>
      </c>
      <c r="JQ143" s="16">
        <f>IF(ISNA(VLOOKUP($A143,'Données projet'!$A$356:$I$376,7,0)),0%,VLOOKUP($A143,'Données projet'!$A$356:$I$376,7,0))</f>
        <v>0</v>
      </c>
      <c r="JR143" s="21">
        <f>EXP(-LN(2)/35)*JR142+(1-EXP(-LN(2)/35))/(LN(2)/35)*JN143*JO143*VLOOKUP('Données projet'!$B$21,Paramètres!$A$1:$I$89,3,0)*0.475*44/12</f>
        <v>5.304965432818447</v>
      </c>
      <c r="JS143" s="21">
        <f>EXP(-LN(2)/25)*JS142+(1-EXP(-LN(2)/25))/(LN(2)/25)*Calculateur!JN143*Calculateur!JP143*VLOOKUP('Données projet'!$B$21,Paramètres!$A$1:$I$89,3,0)*0.475*44/12</f>
        <v>10.026210863555653</v>
      </c>
      <c r="JT143" s="21">
        <f>EXP(-LN(2)/2)*JT142+(1-EXP(-LN(2)/2))/(LN(2)/2)*JN143*JQ143*VLOOKUP('Données projet'!$B$21,Paramètres!$A$1:$I$89,3,0)*0.475*44/12</f>
        <v>4.7943277844139973E-2</v>
      </c>
      <c r="JU143" s="18">
        <f t="shared" si="262"/>
        <v>15.37911957421824</v>
      </c>
      <c r="JV143" s="74">
        <f>('Scénario référence'!$F$8+'Scénario référence'!$F$9+'Scénario référence'!$B$17+'Scénario référence'!$B$9+'Scénario référence'!$B$10)*70+IF((45+25*(1-EXP(-0.0175*$A143)))&lt;70,'Scénario référence'!$B$16*(45+25*(1-EXP(-0.0175*$A143))),70*'Scénario référence'!$B$16)+IF((32+38*(1-EXP(-0.0175*$A143)))&lt;70,'Scénario référence'!$B$18*(32+38*(1-EXP(-0.0175*$A143))),70*'Scénario référence'!$B$18)</f>
        <v>70</v>
      </c>
      <c r="JW143" s="12">
        <f>IF($A143&gt;30,10,('Scénario référence'!$B$16+'Scénario référence'!$B$17+'Scénario référence'!$B$18+'Scénario référence'!$B$9+'Scénario référence'!$B$10)*$A143*10/30+('Scénario référence'!$F$8+'Scénario référence'!$F$9)*10)</f>
        <v>10</v>
      </c>
      <c r="JX143" s="12" t="e">
        <f>VLOOKUP($A143,'Données projet'!$A$382:$I$402,2,0)</f>
        <v>#N/A</v>
      </c>
      <c r="JY143" s="12" t="e">
        <f>VLOOKUP($A143,'Données projet'!$A$382:$I$402,9,0)</f>
        <v>#N/A</v>
      </c>
      <c r="JZ143" s="12">
        <f t="array" ref="JZ143">INDEX(JY:JY,MIN(IF(ISNUMBER(JY143:JY339),ROW(JY143:JY339),"")))</f>
        <v>0</v>
      </c>
      <c r="KA143" s="12">
        <f>IF('Données projet'!$A$382&gt;35,KA142+JZ143-KI142,IF($A143&lt;'Données projet'!$A$382,$CQ$205^$A143,IF($A143='Données projet'!$A$382,'Données projet'!$B$382,KA142+JZ143-KI142)))</f>
        <v>5.6843418860808015E-13</v>
      </c>
      <c r="KB143" s="17">
        <f>KA143*VLOOKUP('Données projet'!$B$22,Paramètres!$A$1:$I$89,3,0)*VLOOKUP('Données projet'!$B$22,Paramètres!$A$1:$I$89,5,0)</f>
        <v>3.8130565371830017E-13</v>
      </c>
      <c r="KC143" s="13">
        <f t="shared" si="312"/>
        <v>4.9019074112354236E-12</v>
      </c>
      <c r="KD143" s="20">
        <f t="shared" si="263"/>
        <v>9.2015960881277352E-12</v>
      </c>
      <c r="KE143" s="59">
        <f t="shared" si="264"/>
        <v>293.33333333334252</v>
      </c>
      <c r="KF143" s="59">
        <f ca="1">AVERAGE(OFFSET($KE$3,0,0,'Données projet'!$E$22+1,1))-AVERAGE(OFFSET($H$3,0,0,'Données projet'!$E$22+1,1))</f>
        <v>193.91714772848269</v>
      </c>
      <c r="KG143" s="59">
        <f t="shared" si="313"/>
        <v>159.20429420478047</v>
      </c>
      <c r="KH143" s="15">
        <f>IF(ISNA(VLOOKUP($A143,'Données projet'!$A$382:$I$402,3,0)),0,VLOOKUP($A143,'Données projet'!$A$382:$I$402,3,0))</f>
        <v>0</v>
      </c>
      <c r="KI143" s="15">
        <f>IF(ISNA(VLOOKUP($A143,'Données projet'!$A$382:$I$402,4,0)),0,VLOOKUP($A143,'Données projet'!$A$382:$I$402,4,0))</f>
        <v>0</v>
      </c>
      <c r="KJ143" s="16">
        <f>IF(ISNA(VLOOKUP($A143,'Données projet'!$A$382:$I$402,5,0)),0%,VLOOKUP($A143,'Données projet'!$A$382:$I$402,5,0)*VLOOKUP('Données projet'!$B$22,Paramètres!$A$1:$I$89,7,0))</f>
        <v>0</v>
      </c>
      <c r="KK143" s="16">
        <f>IF(ISNA(VLOOKUP($A143,'Données projet'!$A$382:$I$402,6,0)),0%,VLOOKUP($A143,'Données projet'!$A$382:$I$402,6,0)*VLOOKUP('Données projet'!$B$22,Paramètres!$A$1:$I$89,7,0))</f>
        <v>0</v>
      </c>
      <c r="KL143" s="16">
        <f>IF(ISNA(VLOOKUP($A143,'Données projet'!$A$382:$I$402,7,0)),0%,VLOOKUP($A143,'Données projet'!$A$382:$I$402,7,0))</f>
        <v>0</v>
      </c>
      <c r="KM143" s="21">
        <f>EXP(-LN(2)/35)*KM142+(1-EXP(-LN(2)/35))/(LN(2)/35)*KI143*KJ143*VLOOKUP('Données projet'!$B$22,Paramètres!$A$1:$I$89,3,0)*0.475*44/12</f>
        <v>130.73752491365937</v>
      </c>
      <c r="KN143" s="21">
        <f>EXP(-LN(2)/25)*KN142+(1-EXP(-LN(2)/25))/(LN(2)/25)*Calculateur!KI143*Calculateur!KK143*VLOOKUP('Données projet'!$B$22,Paramètres!$A$1:$I$89,3,0)*0.475*44/12</f>
        <v>0</v>
      </c>
      <c r="KO143" s="21">
        <f>EXP(-LN(2)/2)*KO142+(1-EXP(-LN(2)/2))/(LN(2)/2)*KI143*KL143*VLOOKUP('Données projet'!$B$22,Paramètres!$A$1:$I$89,3,0)*0.475*44/12</f>
        <v>0</v>
      </c>
      <c r="KP143" s="22">
        <f t="shared" si="265"/>
        <v>130.73752491365937</v>
      </c>
      <c r="KQ143" s="74">
        <f>('Scénario référence'!$F$8+'Scénario référence'!$F$9+'Scénario référence'!$B$17+'Scénario référence'!$B$9+'Scénario référence'!$B$10)*70+IF((45+25*(1-EXP(-0.0175*$A143)))&lt;70,'Scénario référence'!$B$16*(45+25*(1-EXP(-0.0175*$A143))),70*'Scénario référence'!$B$16)+IF((32+38*(1-EXP(-0.0175*$A143)))&lt;70,'Scénario référence'!$B$18*(32+38*(1-EXP(-0.0175*$A143))),70*'Scénario référence'!$B$18)</f>
        <v>70</v>
      </c>
      <c r="KR143" s="12">
        <f>IF($A143&gt;30,10,('Scénario référence'!$B$16+'Scénario référence'!$B$17+'Scénario référence'!$B$18+'Scénario référence'!$B$9+'Scénario référence'!$B$10)*$A143*10/30+('Scénario référence'!$F$8+'Scénario référence'!$F$9)*10)</f>
        <v>10</v>
      </c>
      <c r="KS143" s="12" t="e">
        <f>VLOOKUP($A143,'Données projet'!$A$408:$I$428,2,0)</f>
        <v>#N/A</v>
      </c>
      <c r="KT143" s="12" t="e">
        <f>VLOOKUP($A143,'Données projet'!$A$408:$I$428,9,0)</f>
        <v>#N/A</v>
      </c>
      <c r="KU143" s="12">
        <f t="array" ref="KU143">INDEX(KT:KT,MIN(IF(ISNUMBER(KT143:KT339),ROW(KT143:KT339),"")))</f>
        <v>0</v>
      </c>
      <c r="KV143" s="12">
        <f>IF('Données projet'!$A$408&gt;35,KV142+KU143-LD142,IF($A143&lt;'Données projet'!$A$408,$CQ$205^$A143,IF($A143='Données projet'!$A$408,'Données projet'!$B$408,KV142+KU143-LD142)))</f>
        <v>-1.1368683772161603E-13</v>
      </c>
      <c r="KW143" s="17">
        <f>KV143*VLOOKUP('Données projet'!$B$23,Paramètres!$A$1:$I$89,3,0)*VLOOKUP('Données projet'!$B$23,Paramètres!$A$1:$I$89,5,0)</f>
        <v>-9.9316821433603781E-14</v>
      </c>
      <c r="KX143" s="13" t="e">
        <f t="shared" si="314"/>
        <v>#NUM!</v>
      </c>
      <c r="KY143" s="14" t="e">
        <f t="shared" si="266"/>
        <v>#NUM!</v>
      </c>
      <c r="KZ143" s="59" t="e">
        <f t="shared" si="267"/>
        <v>#NUM!</v>
      </c>
      <c r="LA143" s="59">
        <f ca="1">AVERAGE(OFFSET($KZ$3,0,0,'Données projet'!$E$23+1,1))-AVERAGE(OFFSET($H$3,0,0,'Données projet'!$E$23+1,1))</f>
        <v>248.33596943633819</v>
      </c>
      <c r="LB143" s="59">
        <f t="shared" si="315"/>
        <v>242.34010522344573</v>
      </c>
      <c r="LC143" s="15">
        <f>IF(ISNA(VLOOKUP($A143,'Données projet'!$A$408:$I$428,3,0)),0,VLOOKUP($A143,'Données projet'!$A$408:$I$428,3,0))</f>
        <v>0</v>
      </c>
      <c r="LD143" s="15">
        <f>IF(ISNA(VLOOKUP($A143,'Données projet'!$A$408:$I$428,4,0)),0,VLOOKUP($A143,'Données projet'!$A$408:$I$428,4,0))</f>
        <v>0</v>
      </c>
      <c r="LE143" s="16">
        <f>IF(ISNA(VLOOKUP($A143,'Données projet'!$A$408:$I$428,5,0)),0%,VLOOKUP($A143,'Données projet'!$A$408:$I$428,5,0)*VLOOKUP('Données projet'!$B$23,Paramètres!$A$1:$I$89,7,0))</f>
        <v>0</v>
      </c>
      <c r="LF143" s="16">
        <f>IF(ISNA(VLOOKUP($A143,'Données projet'!$A$408:$I$428,6,0)),0%,VLOOKUP($A143,'Données projet'!$A$408:$I$428,6,0)*VLOOKUP('Données projet'!$B$23,Paramètres!$A$1:$I$89,7,0))</f>
        <v>0</v>
      </c>
      <c r="LG143" s="16">
        <f>IF(ISNA(VLOOKUP($A143,'Données projet'!$A$408:$I$428,7,0)),0%,VLOOKUP($A143,'Données projet'!$A$408:$I$428,7,0))</f>
        <v>0</v>
      </c>
      <c r="LH143" s="21">
        <f>EXP(-LN(2)/35)*LH142+(1-EXP(-LN(2)/35))/(LN(2)/35)*LD143*LE143*VLOOKUP('Données projet'!$B$23,Paramètres!$A$1:$I$89,3,0)*0.475*44/12</f>
        <v>37.551838263943942</v>
      </c>
      <c r="LI143" s="21">
        <f>EXP(-LN(2)/25)*LI142+(1-EXP(-LN(2)/25))/(LN(2)/25)*Calculateur!LD143*Calculateur!LF143*VLOOKUP('Données projet'!$B$23,Paramètres!$A$1:$I$89,3,0)*0.475*44/12</f>
        <v>4.1259905217791353</v>
      </c>
      <c r="LJ143" s="21">
        <f>EXP(-LN(2)/2)*LJ142+(1-EXP(-LN(2)/2))/(LN(2)/2)*LD143*LG143*VLOOKUP('Données projet'!$B$23,Paramètres!$A$1:$I$89,3,0)*0.475*44/12</f>
        <v>0</v>
      </c>
      <c r="LK143" s="22">
        <f t="shared" si="268"/>
        <v>41.677828785723079</v>
      </c>
      <c r="LL143" s="74">
        <f>('Scénario référence'!$F$8+'Scénario référence'!$F$9+'Scénario référence'!$B$17+'Scénario référence'!$B$9+'Scénario référence'!$B$10)*70+IF((45+25*(1-EXP(-0.0175*$A143)))&lt;70,'Scénario référence'!$B$16*(45+25*(1-EXP(-0.0175*$A143))),70*'Scénario référence'!$B$16)+IF((32+38*(1-EXP(-0.0175*$A143)))&lt;70,'Scénario référence'!$B$18*(32+38*(1-EXP(-0.0175*$A143))),70*'Scénario référence'!$B$18)</f>
        <v>70</v>
      </c>
      <c r="LM143" s="12">
        <f>IF($A143&gt;30,10,('Scénario référence'!$B$16+'Scénario référence'!$B$17+'Scénario référence'!$B$18+'Scénario référence'!$B$9+'Scénario référence'!$B$10)*$A143*10/30+('Scénario référence'!$F$8+'Scénario référence'!$F$9)*10)</f>
        <v>10</v>
      </c>
      <c r="LN143" s="12" t="e">
        <f>VLOOKUP($A143,'Données projet'!$A$434:$I$454,2,0)</f>
        <v>#N/A</v>
      </c>
      <c r="LO143" s="12" t="e">
        <f>VLOOKUP($A143,'Données projet'!$A$434:$I$454,9,0)</f>
        <v>#N/A</v>
      </c>
      <c r="LP143" s="12">
        <f t="array" ref="LP143">INDEX(LO:LO,MIN(IF(ISNUMBER(LO143:LO339),ROW(LO143:LO339),"")))</f>
        <v>5.1063034188034209</v>
      </c>
      <c r="LQ143" s="12">
        <f>IF('Données projet'!$A$434&gt;35,LQ142+LP143-LY142,IF($A143&lt;'Données projet'!$A$434,$CQ$205^$A143,IF($A143='Données projet'!$A$434,'Données projet'!$B$434,LQ142+LP143-LY142)))</f>
        <v>257.22916666666629</v>
      </c>
      <c r="LR143" s="17">
        <f>LQ143*VLOOKUP('Données projet'!$B$24,Paramètres!$A$1:$I$89,3,0)*VLOOKUP('Données projet'!$B$24,Paramètres!$A$1:$I$89,5,0)</f>
        <v>260.83037499999961</v>
      </c>
      <c r="LS143" s="13">
        <f t="shared" si="316"/>
        <v>62.899347488444107</v>
      </c>
      <c r="LT143" s="14">
        <f t="shared" si="269"/>
        <v>563.82926666737285</v>
      </c>
      <c r="LU143" s="59">
        <f t="shared" si="270"/>
        <v>857.16260000070611</v>
      </c>
      <c r="LV143" s="59">
        <f ca="1">AVERAGE(OFFSET($LU$3,0,0,'Données projet'!$E$24+1,1))-AVERAGE(OFFSET($H$3,0,0,'Données projet'!$E$24+1,1))</f>
        <v>260.52627655062872</v>
      </c>
      <c r="LW143" s="59">
        <f t="shared" si="317"/>
        <v>159.20429420478047</v>
      </c>
      <c r="LX143" s="15">
        <f>IF(ISNA(VLOOKUP($A143,'Données projet'!$A$434:$I$454,3,0)),0,VLOOKUP($A143,'Données projet'!$A$434:$I$454,3,0))</f>
        <v>0</v>
      </c>
      <c r="LY143" s="15">
        <f>IF(ISNA(VLOOKUP($A143,'Données projet'!$A$434:$I$454,4,0)),0,VLOOKUP($A143,'Données projet'!$A$434:$I$454,4,0))</f>
        <v>0</v>
      </c>
      <c r="LZ143" s="16">
        <f>IF(ISNA(VLOOKUP($A143,'Données projet'!$A$434:$I$454,5,0)),0%,VLOOKUP($A143,'Données projet'!$A$434:$I$454,5,0)*VLOOKUP('Données projet'!$B$24,Paramètres!$A$1:$I$89,7,0))</f>
        <v>0</v>
      </c>
      <c r="MA143" s="16">
        <f>IF(ISNA(VLOOKUP($A143,'Données projet'!$A$434:$I$454,6,0)),0%,VLOOKUP($A143,'Données projet'!$A$434:$I$454,6,0)*VLOOKUP('Données projet'!$B$24,Paramètres!$A$1:$I$89,7,0))</f>
        <v>0</v>
      </c>
      <c r="MB143" s="16">
        <f>IF(ISNA(VLOOKUP($A143,'Données projet'!$A$434:$I$454,7,0)),0%,VLOOKUP($A143,'Données projet'!$A$434:$I$454,7,0))</f>
        <v>0</v>
      </c>
      <c r="MC143" s="21">
        <f>EXP(-LN(2)/35)*MC142+(1-EXP(-LN(2)/35))/(LN(2)/35)*LY143*LZ143*VLOOKUP('Données projet'!$B$24,Paramètres!$A$1:$I$89,3,0)*0.475*44/12</f>
        <v>51.778918748710446</v>
      </c>
      <c r="MD143" s="21">
        <f>EXP(-LN(2)/25)*MD142+(1-EXP(-LN(2)/25))/(LN(2)/25)*Calculateur!LY143*Calculateur!MA143*VLOOKUP('Données projet'!$B$24,Paramètres!$A$1:$I$89,3,0)*0.475*44/12</f>
        <v>0</v>
      </c>
      <c r="ME143" s="21">
        <f>EXP(-LN(2)/2)*ME142+(1-EXP(-LN(2)/2))/(LN(2)/2)*LY143*MB143*VLOOKUP('Données projet'!$B$24,Paramètres!$A$1:$I$89,3,0)*0.475*44/12</f>
        <v>0</v>
      </c>
      <c r="MF143" s="22">
        <f t="shared" si="271"/>
        <v>51.778918748710446</v>
      </c>
      <c r="MG143" s="74">
        <f>('Scénario référence'!$F$8+'Scénario référence'!$F$9+'Scénario référence'!$B$17+'Scénario référence'!$B$9+'Scénario référence'!$B$10)*70+IF((45+25*(1-EXP(-0.0175*$A143)))&lt;70,'Scénario référence'!$B$16*(45+25*(1-EXP(-0.0175*$A143))),70*'Scénario référence'!$B$16)+IF((32+38*(1-EXP(-0.0175*$A143)))&lt;70,'Scénario référence'!$B$18*(32+38*(1-EXP(-0.0175*$A143))),70*'Scénario référence'!$B$18)</f>
        <v>70</v>
      </c>
      <c r="MH143" s="12">
        <f>IF($A143&gt;30,10,('Scénario référence'!$B$16+'Scénario référence'!$B$17+'Scénario référence'!$B$18+'Scénario référence'!$B$9+'Scénario référence'!$B$10)*$A143*10/30+('Scénario référence'!$F$8+'Scénario référence'!$F$9)*10)</f>
        <v>10</v>
      </c>
      <c r="MI143" s="12" t="e">
        <f>VLOOKUP($A143,'Données projet'!$A$460:$I$480,2,0)</f>
        <v>#N/A</v>
      </c>
      <c r="MJ143" s="12" t="e">
        <f>VLOOKUP($A143,'Données projet'!$A$460:$I$480,9,0)</f>
        <v>#N/A</v>
      </c>
      <c r="MK143" s="12">
        <f t="array" ref="MK143">INDEX(MJ:MJ,MIN(IF(ISNUMBER(MJ143:MJ339),ROW(MJ143:MJ339),"")))</f>
        <v>0</v>
      </c>
      <c r="ML143" s="12">
        <f>IF('Données projet'!$A$460&gt;35,ML142+MK143-MT142,IF($A143&lt;'Données projet'!$A$460,$CQ$205^$A143,IF($A143='Données projet'!$A$460,'Données projet'!$B$460,ML142+MK143-MT142)))</f>
        <v>0</v>
      </c>
      <c r="MM143" s="17" t="e">
        <f>ML143*VLOOKUP('Données projet'!$B$25,Paramètres!$A$1:$I$89,3,0)*VLOOKUP('Données projet'!$B$25,Paramètres!$A$1:$I$89,5,0)</f>
        <v>#N/A</v>
      </c>
      <c r="MN143" s="13" t="e">
        <f t="shared" si="318"/>
        <v>#N/A</v>
      </c>
      <c r="MO143" s="14" t="e">
        <f t="shared" si="272"/>
        <v>#N/A</v>
      </c>
      <c r="MP143" s="59" t="e">
        <f t="shared" si="273"/>
        <v>#N/A</v>
      </c>
      <c r="MQ143" s="20" t="e">
        <f ca="1">AVERAGE(OFFSET($MP$3,0,0,'Données projet'!$E$25+1,1))-AVERAGE(OFFSET($H$3,0,0,'Données projet'!$E$25+1,1))</f>
        <v>#N/A</v>
      </c>
      <c r="MR143" s="59" t="e">
        <f t="shared" si="319"/>
        <v>#N/A</v>
      </c>
      <c r="MS143" s="15">
        <f>IF(ISNA(VLOOKUP($A143,'Données projet'!$A$460:$I$480,3,0)),0,VLOOKUP($A143,'Données projet'!$A$460:$I$480,3,0))</f>
        <v>0</v>
      </c>
      <c r="MT143" s="15">
        <f>IF(ISNA(VLOOKUP($A143,'Données projet'!$A$460:$I$480,4,0)),0,VLOOKUP($A143,'Données projet'!$A$460:$I$480,4,0))</f>
        <v>0</v>
      </c>
      <c r="MU143" s="16">
        <f>IF(ISNA(VLOOKUP($A143,'Données projet'!$A$460:$I$480,5,0)),0%,VLOOKUP($A143,'Données projet'!$A$460:$I$480,5,0)*VLOOKUP('Données projet'!$B$25,Paramètres!$A$1:$I$89,7,0))</f>
        <v>0</v>
      </c>
      <c r="MV143" s="16">
        <f>IF(ISNA(VLOOKUP($A143,'Données projet'!$A$460:$I$480,6,0)),0%,VLOOKUP($A143,'Données projet'!$A$460:$I$480,6,0)*VLOOKUP('Données projet'!$B$25,Paramètres!$A$1:$I$89,7,0))</f>
        <v>0</v>
      </c>
      <c r="MW143" s="16">
        <f>IF(ISNA(VLOOKUP($A143,'Données projet'!$A$460:$I$480,7,0)),0%,VLOOKUP($A143,'Données projet'!$A$460:$I$480,7,0))</f>
        <v>0</v>
      </c>
      <c r="MX143" s="21" t="e">
        <f>EXP(-LN(2)/35)*MX142+(1-EXP(-LN(2)/35))/(LN(2)/35)*MT143*MU143*VLOOKUP('Données projet'!$B$25,Paramètres!$A$1:$I$89,3,0)*0.475*44/12</f>
        <v>#N/A</v>
      </c>
      <c r="MY143" s="21" t="e">
        <f>EXP(-LN(2)/25)*MY142+(1-EXP(-LN(2)/25))/(LN(2)/25)*Calculateur!MT143*Calculateur!MV143*VLOOKUP('Données projet'!$B$25,Paramètres!$A$1:$I$89,3,0)*0.475*44/12</f>
        <v>#N/A</v>
      </c>
      <c r="MZ143" s="21" t="e">
        <f>EXP(-LN(2)/2)*MZ142+(1-EXP(-LN(2)/2))/(LN(2)/2)*MT143*MW143*VLOOKUP('Données projet'!$B$25,Paramètres!$A$1:$I$89,3,0)*0.475*44/12</f>
        <v>#N/A</v>
      </c>
      <c r="NA143" s="22" t="e">
        <f t="shared" si="274"/>
        <v>#N/A</v>
      </c>
      <c r="NB143" s="74">
        <f>('Scénario référence'!$F$8+'Scénario référence'!$F$9+'Scénario référence'!$B$17+'Scénario référence'!$B$9+'Scénario référence'!$B$10)*70+IF((45+25*(1-EXP(-0.0175*$A143)))&lt;70,'Scénario référence'!$B$16*(45+25*(1-EXP(-0.0175*$A143))),70*'Scénario référence'!$B$16)+IF((32+38*(1-EXP(-0.0175*$A143)))&lt;70,'Scénario référence'!$B$18*(32+38*(1-EXP(-0.0175*$A143))),70*'Scénario référence'!$B$18)</f>
        <v>70</v>
      </c>
      <c r="NC143" s="12">
        <f>IF($A143&gt;30,10,('Scénario référence'!$B$16+'Scénario référence'!$B$17+'Scénario référence'!$B$18+'Scénario référence'!$B$9+'Scénario référence'!$B$10)*$A143*10/30+('Scénario référence'!$F$8+'Scénario référence'!$F$9)*10)</f>
        <v>10</v>
      </c>
      <c r="ND143" s="12" t="e">
        <f>VLOOKUP($A143,'Données projet'!$A$486:$I$506,2,0)</f>
        <v>#N/A</v>
      </c>
      <c r="NE143" s="12" t="e">
        <f>VLOOKUP($A143,'Données projet'!$A$486:$I$506,9,0)</f>
        <v>#N/A</v>
      </c>
      <c r="NF143" s="12">
        <f t="array" ref="NF143">INDEX(NE:NE,MIN(IF(ISNUMBER(NE143:NE339),ROW(NE143:NE339),"")))</f>
        <v>0</v>
      </c>
      <c r="NG143" s="12">
        <f>IF('Données projet'!$A$486&gt;35,NG142+NF143-NO142,IF($A143&lt;'Données projet'!$A$486,$CQ$205^$A143,IF($A143='Données projet'!$A$486,'Données projet'!$B$486,NG142+NF143-NO142)))</f>
        <v>0</v>
      </c>
      <c r="NH143" s="17" t="e">
        <f>NG143*VLOOKUP('Données projet'!$B$26,Paramètres!$A$1:$I$89,3,0)*VLOOKUP('Données projet'!$B$26,Paramètres!$A$1:$I$89,5,0)</f>
        <v>#N/A</v>
      </c>
      <c r="NI143" s="13" t="e">
        <f t="shared" si="320"/>
        <v>#N/A</v>
      </c>
      <c r="NJ143" s="14" t="e">
        <f t="shared" si="275"/>
        <v>#N/A</v>
      </c>
      <c r="NK143" s="59" t="e">
        <f t="shared" si="276"/>
        <v>#N/A</v>
      </c>
      <c r="NL143" s="20" t="e">
        <f ca="1">AVERAGE(OFFSET($NK$3,0,0,'Données projet'!$E$26+1,1))-AVERAGE(OFFSET($H$3,0,0,'Données projet'!$E$26+1,1))</f>
        <v>#N/A</v>
      </c>
      <c r="NM143" s="59" t="e">
        <f t="shared" si="321"/>
        <v>#N/A</v>
      </c>
      <c r="NN143" s="15">
        <f>IF(ISNA(VLOOKUP($A143,'Données projet'!$A$486:$I$506,3,0)),0,VLOOKUP($A143,'Données projet'!$A$486:$I$506,3,0))</f>
        <v>0</v>
      </c>
      <c r="NO143" s="15">
        <f>IF(ISNA(VLOOKUP($A143,'Données projet'!$A$486:$I$506,4,0)),0,VLOOKUP($A143,'Données projet'!$A$486:$I$506,4,0))</f>
        <v>0</v>
      </c>
      <c r="NP143" s="16">
        <f>IF(ISNA(VLOOKUP($A143,'Données projet'!$A$486:$I$506,5,0)),0%,VLOOKUP($A143,'Données projet'!$A$486:$I$506,5,0)*VLOOKUP('Données projet'!$B$26,Paramètres!$A$1:$I$89,7,0))</f>
        <v>0</v>
      </c>
      <c r="NQ143" s="16">
        <f>IF(ISNA(VLOOKUP($A143,'Données projet'!$A$486:$I$506,6,0)),0%,VLOOKUP($A143,'Données projet'!$A$486:$I$506,6,0)*VLOOKUP('Données projet'!$B$26,Paramètres!$A$1:$I$89,7,0))</f>
        <v>0</v>
      </c>
      <c r="NR143" s="16">
        <f>IF(ISNA(VLOOKUP($A143,'Données projet'!$A$486:$I$506,7,0)),0%,VLOOKUP($A143,'Données projet'!$A$486:$I$506,7,0))</f>
        <v>0</v>
      </c>
      <c r="NS143" s="21" t="e">
        <f>EXP(-LN(2)/35)*NS142+(1-EXP(-LN(2)/35))/(LN(2)/35)*NO143*NP143*VLOOKUP('Données projet'!$B$26,Paramètres!$A$1:$I$89,3,0)*0.475*44/12</f>
        <v>#N/A</v>
      </c>
      <c r="NT143" s="21" t="e">
        <f>EXP(-LN(2)/25)*NT142+(1-EXP(-LN(2)/25))/(LN(2)/25)*Calculateur!NO143*Calculateur!NQ143*VLOOKUP('Données projet'!$B$26,Paramètres!$A$1:$I$89,3,0)*0.475*44/12</f>
        <v>#N/A</v>
      </c>
      <c r="NU143" s="21" t="e">
        <f>EXP(-LN(2)/2)*NU142+(1-EXP(-LN(2)/2))/(LN(2)/2)*NO143*NR143*VLOOKUP('Données projet'!$B$26,Paramètres!$A$1:$I$89,3,0)*0.475*44/12</f>
        <v>#N/A</v>
      </c>
      <c r="NV143" s="22" t="e">
        <f t="shared" si="277"/>
        <v>#N/A</v>
      </c>
      <c r="NW143" s="74">
        <f>('Scénario référence'!$F$8+'Scénario référence'!$F$9+'Scénario référence'!$B$17+'Scénario référence'!$B$9+'Scénario référence'!$B$10)*70+IF((45+25*(1-EXP(-0.0175*$A143)))&lt;70,'Scénario référence'!$B$16*(45+25*(1-EXP(-0.0175*$A143))),70*'Scénario référence'!$B$16)+IF((32+38*(1-EXP(-0.0175*$A143)))&lt;70,'Scénario référence'!$B$18*(32+38*(1-EXP(-0.0175*$A143))),70*'Scénario référence'!$B$18)</f>
        <v>70</v>
      </c>
      <c r="NX143" s="12">
        <f>IF($A143&gt;30,10,('Scénario référence'!$B$16+'Scénario référence'!$B$17+'Scénario référence'!$B$18+'Scénario référence'!$B$9+'Scénario référence'!$B$10)*$A143*10/30+('Scénario référence'!$F$8+'Scénario référence'!$F$9)*10)</f>
        <v>10</v>
      </c>
      <c r="NY143" s="12" t="e">
        <f>VLOOKUP($A143,'Données projet'!$A$512:$I$532,2,0)</f>
        <v>#N/A</v>
      </c>
      <c r="NZ143" s="12" t="e">
        <f>VLOOKUP($A143,'Données projet'!$A$512:$I$532,9,0)</f>
        <v>#N/A</v>
      </c>
      <c r="OA143" s="12">
        <f t="array" ref="OA143">INDEX(NZ:NZ,MIN(IF(ISNUMBER(NZ143:NZ339),ROW(NZ143:NZ339),"")))</f>
        <v>0</v>
      </c>
      <c r="OB143" s="12">
        <f>IF('Données projet'!$A$512&gt;35,OB142+OA143-OJ142,IF($A143&lt;'Données projet'!$A$512,$CQ$205^$A143,IF($A143='Données projet'!$A$512,'Données projet'!$B$512,OB142+OA143-OJ142)))</f>
        <v>0</v>
      </c>
      <c r="OC143" s="17" t="e">
        <f>OB143*VLOOKUP('Données projet'!$B$27,Paramètres!$A$1:$I$89,3,0)*VLOOKUP('Données projet'!$B$27,Paramètres!$A$1:$I$89,5,0)</f>
        <v>#N/A</v>
      </c>
      <c r="OD143" s="13" t="e">
        <f t="shared" si="322"/>
        <v>#N/A</v>
      </c>
      <c r="OE143" s="14" t="e">
        <f t="shared" si="278"/>
        <v>#N/A</v>
      </c>
      <c r="OF143" s="59" t="e">
        <f t="shared" si="279"/>
        <v>#N/A</v>
      </c>
      <c r="OG143" s="20" t="e">
        <f ca="1">AVERAGE(OFFSET($OF$3,0,0,'Données projet'!$E$27+1,1))-AVERAGE(OFFSET($H$3,0,0,'Données projet'!$E$27+1,1))</f>
        <v>#N/A</v>
      </c>
      <c r="OH143" s="59" t="e">
        <f t="shared" si="323"/>
        <v>#N/A</v>
      </c>
      <c r="OI143" s="15">
        <f>IF(ISNA(VLOOKUP($A143,'Données projet'!$A$512:$I$532,3,0)),0,VLOOKUP($A143,'Données projet'!$A$512:$I$532,3,0))</f>
        <v>0</v>
      </c>
      <c r="OJ143" s="15">
        <f>IF(ISNA(VLOOKUP($A143,'Données projet'!$A$512:$I$532,4,0)),0,VLOOKUP($A143,'Données projet'!$A$512:$I$532,4,0))</f>
        <v>0</v>
      </c>
      <c r="OK143" s="16">
        <f>IF(ISNA(VLOOKUP($A143,'Données projet'!$A$512:$I$532,5,0)),0%,VLOOKUP($A143,'Données projet'!$A$512:$I$532,5,0)*VLOOKUP('Données projet'!$B$27,Paramètres!$A$1:$I$89,7,0))</f>
        <v>0</v>
      </c>
      <c r="OL143" s="16">
        <f>IF(ISNA(VLOOKUP($A143,'Données projet'!$A$512:$I$532,6,0)),0%,VLOOKUP($A143,'Données projet'!$A$512:$I$532,6,0)*VLOOKUP('Données projet'!$B$27,Paramètres!$A$1:$I$89,7,0))</f>
        <v>0</v>
      </c>
      <c r="OM143" s="16">
        <f>IF(ISNA(VLOOKUP($A143,'Données projet'!$A$512:$I$532,7,0)),0%,VLOOKUP($A143,'Données projet'!$A$512:$I$532,7,0))</f>
        <v>0</v>
      </c>
      <c r="ON143" s="21" t="e">
        <f>EXP(-LN(2)/35)*ON142+(1-EXP(-LN(2)/35))/(LN(2)/35)*OJ143*OK143*VLOOKUP('Données projet'!$B$27,Paramètres!$A$1:$I$89,3,0)*0.475*44/12</f>
        <v>#N/A</v>
      </c>
      <c r="OO143" s="21" t="e">
        <f>EXP(-LN(2)/25)*OO142+(1-EXP(-LN(2)/25))/(LN(2)/25)*Calculateur!OJ143*Calculateur!OL143*VLOOKUP('Données projet'!$B$27,Paramètres!$A$1:$I$89,3,0)*0.475*44/12</f>
        <v>#N/A</v>
      </c>
      <c r="OP143" s="21" t="e">
        <f>EXP(-LN(2)/2)*OP142+(1-EXP(-LN(2)/2))/(LN(2)/2)*OJ143*OM143*VLOOKUP('Données projet'!$B$27,Paramètres!$A$1:$I$89,3,0)*0.475*44/12</f>
        <v>#N/A</v>
      </c>
      <c r="OQ143" s="22" t="e">
        <f t="shared" si="280"/>
        <v>#N/A</v>
      </c>
      <c r="OR143" s="74">
        <f>('Scénario référence'!$F$8+'Scénario référence'!$F$9+'Scénario référence'!$B$17+'Scénario référence'!$B$9+'Scénario référence'!$B$10)*70+IF((45+25*(1-EXP(-0.0175*$A143)))&lt;70,'Scénario référence'!$B$16*(45+25*(1-EXP(-0.0175*$A143))),70*'Scénario référence'!$B$16)+IF((32+38*(1-EXP(-0.0175*$A143)))&lt;70,'Scénario référence'!$B$18*(32+38*(1-EXP(-0.0175*$A143))),70*'Scénario référence'!$B$18)</f>
        <v>70</v>
      </c>
      <c r="OS143" s="12">
        <f>IF($A143&gt;30,10,('Scénario référence'!$B$16+'Scénario référence'!$B$17+'Scénario référence'!$B$18+'Scénario référence'!$B$9+'Scénario référence'!$B$10)*$A143*10/30+('Scénario référence'!$F$8+'Scénario référence'!$F$9)*10)</f>
        <v>10</v>
      </c>
      <c r="OT143" s="12" t="e">
        <f>VLOOKUP($A143,'Données projet'!$A$538:$I$558,2,0)</f>
        <v>#N/A</v>
      </c>
      <c r="OU143" s="12" t="e">
        <f>VLOOKUP($A143,'Données projet'!$A$538:$I$558,9,0)</f>
        <v>#N/A</v>
      </c>
      <c r="OV143" s="12">
        <f t="array" ref="OV143">INDEX(OU:OU,MIN(IF(ISNUMBER(OU143:OU339),ROW(OU143:OU339),"")))</f>
        <v>0</v>
      </c>
      <c r="OW143" s="12">
        <f>IF('Données projet'!$A$538&gt;35,OW142+OV143-PE142,IF($A143&lt;'Données projet'!$A$538,$CQ$205^$A143,IF($A143='Données projet'!$A$538,'Données projet'!$B$538,OW142+OV143-PE142)))</f>
        <v>0</v>
      </c>
      <c r="OX143" s="17" t="e">
        <f>OW143*VLOOKUP('Données projet'!$B$28,Paramètres!$A$1:$I$89,3,0)*VLOOKUP('Données projet'!$B$28,Paramètres!$A$1:$I$89,5,0)</f>
        <v>#N/A</v>
      </c>
      <c r="OY143" s="13" t="e">
        <f t="shared" si="324"/>
        <v>#N/A</v>
      </c>
      <c r="OZ143" s="14" t="e">
        <f t="shared" si="281"/>
        <v>#N/A</v>
      </c>
      <c r="PA143" s="59" t="e">
        <f t="shared" si="282"/>
        <v>#N/A</v>
      </c>
      <c r="PB143" s="20" t="e">
        <f ca="1">AVERAGE(OFFSET($PA$3,0,0,'Données projet'!$E$28+1,1))-AVERAGE(OFFSET($H$3,0,0,'Données projet'!$E$28+1,1))</f>
        <v>#N/A</v>
      </c>
      <c r="PC143" s="59" t="e">
        <f t="shared" si="325"/>
        <v>#N/A</v>
      </c>
      <c r="PD143" s="15">
        <f>IF(ISNA(VLOOKUP($A143,'Données projet'!$A$538:$I$558,3,0)),0,VLOOKUP($A143,'Données projet'!$A$538:$I$558,3,0))</f>
        <v>0</v>
      </c>
      <c r="PE143" s="15">
        <f>IF(ISNA(VLOOKUP($A143,'Données projet'!$A$538:$I$558,4,0)),0,VLOOKUP($A143,'Données projet'!$A$538:$I$558,4,0))</f>
        <v>0</v>
      </c>
      <c r="PF143" s="16">
        <f>IF(ISNA(VLOOKUP($A143,'Données projet'!$A$538:$I$558,5,0)),0%,VLOOKUP($A143,'Données projet'!$A$538:$I$558,5,0)*VLOOKUP('Données projet'!$B$28,Paramètres!$A$1:$I$89,7,0))</f>
        <v>0</v>
      </c>
      <c r="PG143" s="16">
        <f>IF(ISNA(VLOOKUP($A143,'Données projet'!$A$538:$I$558,6,0)),0%,VLOOKUP($A143,'Données projet'!$A$538:$I$558,6,0)*VLOOKUP('Données projet'!$B$28,Paramètres!$A$1:$I$89,7,0))</f>
        <v>0</v>
      </c>
      <c r="PH143" s="16">
        <f>IF(ISNA(VLOOKUP($A143,'Données projet'!$A$538:$I$558,7,0)),0%,VLOOKUP($A143,'Données projet'!$A$538:$I$558,7,0))</f>
        <v>0</v>
      </c>
      <c r="PI143" s="21" t="e">
        <f>EXP(-LN(2)/35)*PI142+(1-EXP(-LN(2)/35))/(LN(2)/35)*PE143*PF143*VLOOKUP('Données projet'!$B$28,Paramètres!$A$1:$I$89,3,0)*0.475*44/12</f>
        <v>#N/A</v>
      </c>
      <c r="PJ143" s="21" t="e">
        <f>EXP(-LN(2)/25)*PJ142+(1-EXP(-LN(2)/25))/(LN(2)/25)*Calculateur!PE143*Calculateur!PG143*VLOOKUP('Données projet'!$B$28,Paramètres!$A$1:$I$89,3,0)*0.475*44/12</f>
        <v>#N/A</v>
      </c>
      <c r="PK143" s="21" t="e">
        <f>EXP(-LN(2)/2)*PK142+(1-EXP(-LN(2)/2))/(LN(2)/2)*PE143*PH143*VLOOKUP('Données projet'!$B$28,Paramètres!$A$1:$I$89,3,0)*0.475*44/12</f>
        <v>#N/A</v>
      </c>
      <c r="PL143" s="22" t="e">
        <f t="shared" si="283"/>
        <v>#N/A</v>
      </c>
    </row>
    <row r="144" spans="1:428" x14ac:dyDescent="0.35">
      <c r="A144" s="10">
        <f t="shared" si="284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285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225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projet'!$A$45:$I$65,2,0)</f>
        <v>#N/A</v>
      </c>
      <c r="L144" s="12" t="e">
        <f>VLOOKUP(A144,'Données projet'!$A$45:$I$65,9,0)</f>
        <v>#N/A</v>
      </c>
      <c r="M144" s="12">
        <f t="array" ref="M144">INDEX(L:L,MIN(IF(ISNUMBER(L144:L340),ROW(L144:L340),"")))</f>
        <v>0</v>
      </c>
      <c r="N144" s="13">
        <f>IF('Données projet'!$A$46&gt;35,N143+M144-V143,IF(A144&lt;'Données projet'!$A$46,$K$205^A144,IF(A144='Données projet'!$A$46,'Données projet'!$B$46,N143+M144-V143)))</f>
        <v>-1.1368683772161603E-13</v>
      </c>
      <c r="O144" s="13">
        <f>N144*VLOOKUP('Données projet'!$B$9,Paramètres!$A$1:$I$89,3,0)*VLOOKUP('Données projet'!$B$9,Paramètres!$A$1:$I$89,5,0)</f>
        <v>-6.3550942286383367E-14</v>
      </c>
      <c r="P144" s="13" t="e">
        <f t="shared" si="286"/>
        <v>#NUM!</v>
      </c>
      <c r="Q144" s="20" t="e">
        <f t="shared" si="223"/>
        <v>#NUM!</v>
      </c>
      <c r="R144" s="59" t="e">
        <f t="shared" si="224"/>
        <v>#NUM!</v>
      </c>
      <c r="S144" s="59">
        <f ca="1">AVERAGE(OFFSET($R$3,0,0,'Données projet'!$E$9+1,1))-AVERAGE(OFFSET($H$3,0,0,'Données projet'!$E$9+1,1))</f>
        <v>274.57619581652199</v>
      </c>
      <c r="T144" s="59">
        <f t="shared" si="287"/>
        <v>366.15117322598775</v>
      </c>
      <c r="U144" s="15">
        <f>IF(ISNA(VLOOKUP(A144,'Données projet'!$A$45:$I$65,3,0)),0,VLOOKUP(A144,'Données projet'!$A$45:$I$65,3,0))</f>
        <v>0</v>
      </c>
      <c r="V144" s="15">
        <f>IF(ISNA(VLOOKUP(A144,'Données projet'!$A$45:$I$65,4,0)),0,VLOOKUP(A144,'Données projet'!$A$45:$I$65,4,0))</f>
        <v>0</v>
      </c>
      <c r="W144" s="16">
        <f>IF(ISNA(VLOOKUP(A144,'Données projet'!$A$45:$I$65,5,0)),0%,VLOOKUP(A144,'Données projet'!$A$45:$I$65,5,0)*VLOOKUP('Données projet'!$B$9,Paramètres!$A$1:$I$89,7,0))</f>
        <v>0</v>
      </c>
      <c r="X144" s="16">
        <f>IF(ISNA(VLOOKUP(A144,'Données projet'!$A$45:$I$65,6,0)),0%,VLOOKUP(A144,'Données projet'!$A$45:$I$65,6,0)*VLOOKUP('Données projet'!$B$9,Paramètres!$A$1:$I$89,7,0))</f>
        <v>0</v>
      </c>
      <c r="Y144" s="16">
        <f>IF(ISNA(VLOOKUP(A144,'Données projet'!$A$45:$I$65,7,0)),0%,VLOOKUP(A144,'Données projet'!$A$45:$I$65,7,0))</f>
        <v>0</v>
      </c>
      <c r="Z144" s="21">
        <f>EXP(-LN(2)/35)*Z143+(1-EXP(-LN(2)/35))/(LN(2)/35)*V144*W144*VLOOKUP('Données projet'!$B$9,Paramètres!$A$1:$I$89,3,0)*0.475*44/12</f>
        <v>41.275808572000713</v>
      </c>
      <c r="AA144" s="21">
        <f>EXP(-LN(2)/25)*AA143+(1-EXP(-LN(2)/25))/(LN(2)/25)*Calculateur!V144*Calculateur!X144*VLOOKUP('Données projet'!$B$9,Paramètres!$A$1:$I$89,3,0)*0.475*44/12</f>
        <v>5.3080768672454033</v>
      </c>
      <c r="AB144" s="21">
        <f>EXP(-LN(2)/2)*AB143+(1-EXP(-LN(2)/2))/(LN(2)/2)*V144*Y144*VLOOKUP('Données projet'!$B$9,Paramètres!$A$1:$I$89,3,0)*0.475*44/12</f>
        <v>3.8836906246743267E-12</v>
      </c>
      <c r="AC144" s="22">
        <f t="shared" si="226"/>
        <v>46.583885439250004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projet'!$A$71:$I$91,2,0)</f>
        <v>#N/A</v>
      </c>
      <c r="AG144" s="12" t="e">
        <f>VLOOKUP(A144,'Données projet'!$A$71:$I$91,9,0)</f>
        <v>#N/A</v>
      </c>
      <c r="AH144" s="12">
        <f t="array" ref="AH144">INDEX(AG:AG,MIN(IF(ISNUMBER(AG144:AG340),ROW(AG144:AG340),"")))</f>
        <v>0</v>
      </c>
      <c r="AI144" s="13">
        <f>IF('Données projet'!$A$72&gt;35,AI143+AH144-AQ143,IF(A144&lt;'Données projet'!$A$72,$AF$205^A144,IF(A144='Données projet'!$A$72,'Données projet'!$B$72,AI143+AH144-AQ143)))</f>
        <v>5.6843418860808015E-13</v>
      </c>
      <c r="AJ144" s="13">
        <f>AI144*VLOOKUP('Données projet'!$B$10,Paramètres!$A$1:$I$89,3,0)*VLOOKUP('Données projet'!$B$10,Paramètres!$A$1:$I$89,5,0)</f>
        <v>5.1431925385259092E-13</v>
      </c>
      <c r="AK144" s="13">
        <f t="shared" si="288"/>
        <v>6.3855359115685756E-12</v>
      </c>
      <c r="AL144" s="20">
        <f t="shared" si="227"/>
        <v>1.2017247746441865E-11</v>
      </c>
      <c r="AM144" s="59">
        <f t="shared" si="228"/>
        <v>293.33333333334531</v>
      </c>
      <c r="AN144" s="59">
        <f ca="1">AVERAGE(OFFSET($AM$3,0,0,'Données projet'!$E$10+1,1))-AVERAGE(OFFSET($H$3,0,0,'Données projet'!$E$10+1,1))</f>
        <v>270.87836509222456</v>
      </c>
      <c r="AO144" s="59">
        <f t="shared" si="289"/>
        <v>205.24998237949734</v>
      </c>
      <c r="AP144" s="15">
        <f>IF(ISNA(VLOOKUP(A144,'Données projet'!$A$71:$I$91,3,0)),0,VLOOKUP(A144,'Données projet'!$A$71:$I$91,3,0))</f>
        <v>0</v>
      </c>
      <c r="AQ144" s="15">
        <f>IF(ISNA(VLOOKUP(A144,'Données projet'!$A$71:$I$91,4,0)),0,VLOOKUP(A144,'Données projet'!$A$71:$I$91,4,0))</f>
        <v>0</v>
      </c>
      <c r="AR144" s="16">
        <f>IF(ISNA(VLOOKUP(A144,'Données projet'!$A$71:$I$91,5,0)),0%,VLOOKUP(A144,'Données projet'!$A$71:$I$91,5,0)*VLOOKUP('Données projet'!$B$10,Paramètres!$A$1:$I$89,7,0))</f>
        <v>0</v>
      </c>
      <c r="AS144" s="16">
        <f>IF(ISNA(VLOOKUP(A144,'Données projet'!$A$71:$I$91,6,0)),0%,VLOOKUP(A144,'Données projet'!$A$71:$I$91,6,0)*VLOOKUP('Données projet'!$B$10,Paramètres!$A$1:$I$89,7,0))</f>
        <v>0</v>
      </c>
      <c r="AT144" s="16">
        <f>IF(ISNA(VLOOKUP(A144,'Données projet'!$A$71:$I$91,7,0)),0%,VLOOKUP(A144,'Données projet'!$A$71:$I$91,7,0))</f>
        <v>0</v>
      </c>
      <c r="AU144" s="21">
        <f>EXP(-LN(2)/35)*AU143+(1-EXP(-LN(2)/35))/(LN(2)/35)*AQ144*AR144*VLOOKUP('Données projet'!$B$10,Paramètres!$A$1:$I$89,3,0)*0.475*44/12</f>
        <v>140.26571365929988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229"/>
        <v>140.26571365929988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projet'!$A$97:$I$117,2,0)</f>
        <v>#N/A</v>
      </c>
      <c r="BB144" s="12" t="e">
        <f>VLOOKUP(A144,'Données projet'!$A$97:$I$117,9,0)</f>
        <v>#N/A</v>
      </c>
      <c r="BC144" s="12">
        <f t="array" ref="BC144">INDEX(BB:BB,MIN(IF(ISNUMBER(BB144:BB340),ROW(BB144:BB340),"")))</f>
        <v>0</v>
      </c>
      <c r="BD144" s="12">
        <f>IF('Données projet'!$A$98&gt;35,BD143+BC144-BL143,IF(A144&lt;'Données projet'!$A$98,$BA$205^A144,IF(A144='Données projet'!$A$98,'Données projet'!$B$98,BD143+BC144-BL143)))</f>
        <v>-1.1368683772161603E-13</v>
      </c>
      <c r="BE144" s="13">
        <f>BD144*VLOOKUP('Données projet'!$B$11,Paramètres!$A$1:$I$89,3,0)*VLOOKUP('Données projet'!$B$11,Paramètres!$A$1:$I$89,5,0)</f>
        <v>-5.0249582272954292E-14</v>
      </c>
      <c r="BF144" s="13" t="e">
        <f t="shared" si="290"/>
        <v>#NUM!</v>
      </c>
      <c r="BG144" s="20" t="e">
        <f t="shared" si="230"/>
        <v>#NUM!</v>
      </c>
      <c r="BH144" s="59" t="e">
        <f t="shared" si="231"/>
        <v>#NUM!</v>
      </c>
      <c r="BI144" s="59">
        <f ca="1">AVERAGE(OFFSET($BH$3,0,0,'Données projet'!$E$11+1,1))-AVERAGE(OFFSET($H$3,0,0,'Données projet'!$E$11+1,1))</f>
        <v>211.31057120485542</v>
      </c>
      <c r="BJ144" s="59">
        <f t="shared" si="291"/>
        <v>283.33292006714777</v>
      </c>
      <c r="BK144" s="15">
        <f>IF(ISNA(VLOOKUP(A144,'Données projet'!$A$97:$I$117,3,0)),0,VLOOKUP(A144,'Données projet'!$A$97:$I$117,3,0))</f>
        <v>0</v>
      </c>
      <c r="BL144" s="15">
        <f>IF(ISNA(VLOOKUP(A144,'Données projet'!$A$97:$I$117,4,0)),0,VLOOKUP(A144,'Données projet'!$A$97:$I$117,4,0))</f>
        <v>0</v>
      </c>
      <c r="BM144" s="16">
        <f>IF(ISNA(VLOOKUP(A144,'Données projet'!$A$97:$I$117,5,0)),0%,VLOOKUP(A144,'Données projet'!$A$97:$I$117,5,0)*VLOOKUP('Données projet'!$B$11,Paramètres!$A$1:$I$89,7,0))</f>
        <v>0</v>
      </c>
      <c r="BN144" s="16">
        <f>IF(ISNA(VLOOKUP(A144,'Données projet'!$A$97:$I$117,6,0)),0%,VLOOKUP(A144,'Données projet'!$A$97:$I$117,6,0)*VLOOKUP('Données projet'!$B$11,Paramètres!$A$1:$I$89,7,0))</f>
        <v>0</v>
      </c>
      <c r="BO144" s="16">
        <f>IF(ISNA(VLOOKUP(A144,'Données projet'!$A$97:$I$117,7,0)),0%,VLOOKUP(A144,'Données projet'!$A$97:$I$117,7,0))</f>
        <v>0</v>
      </c>
      <c r="BP144" s="21">
        <f>EXP(-LN(2)/35)*BP143+(1-EXP(-LN(2)/35))/(LN(2)/35)*BL144*BM144*VLOOKUP('Données projet'!$B$11,Paramètres!$A$1:$I$89,3,0)*0.475*44/12</f>
        <v>32.636685847628492</v>
      </c>
      <c r="BQ144" s="21">
        <f>EXP(-LN(2)/25)*BQ143+(1-EXP(-LN(2)/25))/(LN(2)/25)*Calculateur!BL144*Calculateur!BN144*VLOOKUP('Données projet'!$B$11,Paramètres!$A$1:$I$89,3,0)*0.475*44/12</f>
        <v>4.1970840345661307</v>
      </c>
      <c r="BR144" s="21">
        <f>EXP(-LN(2)/2)*BR143+(1-EXP(-LN(2)/2))/(LN(2)/2)*BL144*BO144*VLOOKUP('Données projet'!$B$11,Paramètres!$A$1:$I$89,3,0)*0.475*44/12</f>
        <v>3.0708251450913275E-12</v>
      </c>
      <c r="BS144" s="22">
        <f t="shared" si="232"/>
        <v>36.833769882197693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projet'!$A$123:$I$143,2,0)</f>
        <v>#N/A</v>
      </c>
      <c r="BW144" s="12" t="e">
        <f>VLOOKUP(A144,'Données projet'!$A$123:$I$143,9,0)</f>
        <v>#N/A</v>
      </c>
      <c r="BX144" s="12">
        <f t="array" ref="BX144">INDEX(BW:BW,MIN(IF(ISNUMBER(BW144:BW340),ROW(BW144:BW340),"")))</f>
        <v>0</v>
      </c>
      <c r="BY144" s="12">
        <f>IF('Données projet'!$A$124&gt;35,BY143+BX144-CG143,IF(A144&lt;'Données projet'!$A$124,$BV$205^A144,IF(A144='Données projet'!$A$124,'Données projet'!$B$124,BY143+BX144-CG143)))</f>
        <v>0</v>
      </c>
      <c r="BZ144" s="13">
        <f>BY144*VLOOKUP('Données projet'!$B$12,Paramètres!$A$1:$I$89,3,0)*VLOOKUP('Données projet'!$B$12,Paramètres!$A$1:$I$89,5,0)</f>
        <v>0</v>
      </c>
      <c r="CA144" s="13" t="e">
        <f t="shared" si="292"/>
        <v>#NUM!</v>
      </c>
      <c r="CB144" s="20" t="e">
        <f t="shared" si="233"/>
        <v>#NUM!</v>
      </c>
      <c r="CC144" s="59" t="e">
        <f t="shared" si="234"/>
        <v>#NUM!</v>
      </c>
      <c r="CD144" s="59">
        <f ca="1">AVERAGE(OFFSET($CC$3,0,0,'Données projet'!$E$12+1,1))-AVERAGE(OFFSET($H$3,0,0,'Données projet'!$E$12+1,1))</f>
        <v>322.93502595881938</v>
      </c>
      <c r="CE144" s="59">
        <f t="shared" si="293"/>
        <v>302.67072119588164</v>
      </c>
      <c r="CF144" s="15">
        <f>IF(ISNA(VLOOKUP(A144,'Données projet'!$A$123:$I$143,3,0)),0,VLOOKUP(A144,'Données projet'!$A$123:$I$143,3,0))</f>
        <v>0</v>
      </c>
      <c r="CG144" s="15">
        <f>IF(ISNA(VLOOKUP(A144,'Données projet'!$A$123:$I$143,4,0)),0,VLOOKUP(A144,'Données projet'!$A$123:$I$143,4,0))</f>
        <v>0</v>
      </c>
      <c r="CH144" s="16">
        <f>IF(ISNA(VLOOKUP(A144,'Données projet'!$A$123:$I$143,5,0)),0%,VLOOKUP(A144,'Données projet'!$A$123:$I$143,5,0)*VLOOKUP('Données projet'!$B$12,Paramètres!$A$1:$I$89,7,0))</f>
        <v>0</v>
      </c>
      <c r="CI144" s="16">
        <f>IF(ISNA(VLOOKUP(A144,'Données projet'!$A$123:$I$143,6,0)),0%,VLOOKUP(A144,'Données projet'!$A$123:$I$143,6,0)*VLOOKUP('Données projet'!$B$12,Paramètres!$A$1:$I$89,7,0))</f>
        <v>0</v>
      </c>
      <c r="CJ144" s="16">
        <f>IF(ISNA(VLOOKUP(A144,'Données projet'!$A$123:$I$143,7,0)),0%,VLOOKUP(A144,'Données projet'!$A$123:$I$143,7,0))</f>
        <v>0</v>
      </c>
      <c r="CK144" s="21">
        <f>EXP(-LN(2)/35)*CK143+(1-EXP(-LN(2)/35))/(LN(2)/35)*CG144*CH144*VLOOKUP('Données projet'!$B$12,Paramètres!$A$1:$I$89,3,0)*0.475*44/12</f>
        <v>51.998126695144016</v>
      </c>
      <c r="CL144" s="21">
        <f>EXP(-LN(2)/25)*CL143+(1-EXP(-LN(2)/25))/(LN(2)/25)*Calculateur!CG144*Calculateur!CI144*VLOOKUP('Données projet'!$B$12,Paramètres!$A$1:$I$89,3,0)*0.475*44/12</f>
        <v>13.433208310008272</v>
      </c>
      <c r="CM144" s="21">
        <f>EXP(-LN(2)/2)*CM143+(1-EXP(-LN(2)/2))/(LN(2)/2)*CG144*CJ144*VLOOKUP('Données projet'!$B$12,Paramètres!$A$1:$I$89,3,0)*0.475*44/12</f>
        <v>0</v>
      </c>
      <c r="CN144" s="22">
        <f t="shared" si="235"/>
        <v>65.431335005152292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projet'!$A$149:$I$169,2,0)</f>
        <v>#N/A</v>
      </c>
      <c r="CR144" s="12" t="e">
        <f>VLOOKUP(A144,'Données projet'!$A$149:$I$169,9,0)</f>
        <v>#N/A</v>
      </c>
      <c r="CS144" s="12">
        <f t="array" ref="CS144">INDEX(CR:CR,MIN(IF(ISNUMBER(CR144:CR340),ROW(CR144:CR340),"")))</f>
        <v>5.1063034188034209</v>
      </c>
      <c r="CT144" s="12">
        <f>IF('Données projet'!$A$150&gt;35,CT143+CS144-DB143,IF(A144&lt;'Données projet'!$A$150,$CQ$205^A144,IF(A144='Données projet'!$A$150,'Données projet'!$B$150,CT143+CS144-DB143)))</f>
        <v>262.33547008546969</v>
      </c>
      <c r="CU144" s="17">
        <f>CT144*VLOOKUP('Données projet'!$B$13,Paramètres!$A$1:$I$89,3,0)*VLOOKUP('Données projet'!$B$13,Paramètres!$A$1:$I$89,5,0)</f>
        <v>266.00816666666628</v>
      </c>
      <c r="CV144" s="13">
        <f t="shared" si="294"/>
        <v>64.00136850958036</v>
      </c>
      <c r="CW144" s="20">
        <f t="shared" si="236"/>
        <v>574.76660709862961</v>
      </c>
      <c r="CX144" s="59">
        <f t="shared" si="237"/>
        <v>868.09994043196298</v>
      </c>
      <c r="CY144" s="59">
        <f ca="1">AVERAGE(OFFSET($CX$3,0,0,'Données projet'!$E$13+1,1))-AVERAGE(OFFSET($H$3,0,0,'Données projet'!$E$13+1,1))</f>
        <v>250.31277422753283</v>
      </c>
      <c r="CZ144" s="59">
        <f t="shared" si="295"/>
        <v>159.20429420478047</v>
      </c>
      <c r="DA144" s="15">
        <f>IF(ISNA(VLOOKUP(A144,'Données projet'!$A$149:$I$169,3,0)),0,VLOOKUP(A144,'Données projet'!$A$149:$I$169,3,0))</f>
        <v>0</v>
      </c>
      <c r="DB144" s="15">
        <f>IF(ISNA(VLOOKUP(A144,'Données projet'!$A$149:$I$169,4,0)),0,VLOOKUP(A144,'Données projet'!$A$149:$I$169,4,0))</f>
        <v>0</v>
      </c>
      <c r="DC144" s="16">
        <f>IF(ISNA(VLOOKUP(A144,'Données projet'!$A$149:$I$169,5,0)),0%,VLOOKUP(A144,'Données projet'!$A$149:$I$169,5,0)*VLOOKUP('Données projet'!$B$13,Paramètres!$A$1:$I$89,7,0))</f>
        <v>0</v>
      </c>
      <c r="DD144" s="16">
        <f>IF(ISNA(VLOOKUP(A144,'Données projet'!$A$149:$I$169,6,0)),0%,VLOOKUP(A144,'Données projet'!$A$149:$I$169,6,0)*VLOOKUP('Données projet'!$B$13,Paramètres!$A$1:$I$89,7,0))</f>
        <v>0</v>
      </c>
      <c r="DE144" s="16">
        <f>IF(ISNA(VLOOKUP(A144,'Données projet'!$A$149:$I$169,7,0)),0%,VLOOKUP(A144,'Données projet'!$A$149:$I$169,7,0))</f>
        <v>0</v>
      </c>
      <c r="DF144" s="21">
        <f>EXP(-LN(2)/35)*DF143+(1-EXP(-LN(2)/35))/(LN(2)/35)*DB144*DC144*VLOOKUP('Données projet'!$B$13,Paramètres!$A$1:$I$89,3,0)*0.475*44/12</f>
        <v>50.763565734070205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238"/>
        <v>50.763565734070205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projet'!$A$175:$I$195,2,0)</f>
        <v>#N/A</v>
      </c>
      <c r="DM144" s="12" t="e">
        <f>VLOOKUP(A144,'Données projet'!$A$175:$I$195,9,0)</f>
        <v>#N/A</v>
      </c>
      <c r="DN144" s="12">
        <f t="array" ref="DN144">INDEX(DM:DM,MIN(IF(ISNUMBER(DM144:DM340),ROW(DM144:DM340),"")))</f>
        <v>0</v>
      </c>
      <c r="DO144" s="12">
        <f>IF('Données projet'!$A$176&gt;35,DO143+DN144-DW143,IF(A144&lt;'Données projet'!$A$176,$DL$205^A144,IF(A144='Données projet'!$A$176,'Données projet'!$B$176,DO143+DN144-DW143)))</f>
        <v>-2.8421709430404007E-13</v>
      </c>
      <c r="DP144" s="17">
        <f>DO144*VLOOKUP('Données projet'!$B$14,Paramètres!$A$1:$I$89,3,0)*VLOOKUP('Données projet'!$B$14,Paramètres!$A$1:$I$89,5,0)</f>
        <v>-2.0838797354372215E-13</v>
      </c>
      <c r="DQ144" s="13" t="e">
        <f t="shared" si="296"/>
        <v>#NUM!</v>
      </c>
      <c r="DR144" s="20" t="e">
        <f t="shared" si="239"/>
        <v>#NUM!</v>
      </c>
      <c r="DS144" s="59" t="e">
        <f t="shared" si="240"/>
        <v>#NUM!</v>
      </c>
      <c r="DT144" s="59">
        <f ca="1">AVERAGE(OFFSET($DS$3,0,0,'Données projet'!$E$14+1,1))-AVERAGE(OFFSET($H$3,0,0,'Données projet'!$E$14+1,1))</f>
        <v>296.91321813251051</v>
      </c>
      <c r="DU144" s="59">
        <f t="shared" si="297"/>
        <v>291.0718079639509</v>
      </c>
      <c r="DV144" s="15">
        <f>IF(ISNA(VLOOKUP(A144,'Données projet'!$A$175:$I$195,3,0)),0,VLOOKUP(A144,'Données projet'!$A$175:$I$195,3,0))</f>
        <v>0</v>
      </c>
      <c r="DW144" s="15">
        <f>IF(ISNA(VLOOKUP(A144,'Données projet'!$A$175:$I$195,4,0)),0,VLOOKUP(A144,'Données projet'!$A$175:$I$195,4,0))</f>
        <v>0</v>
      </c>
      <c r="DX144" s="16">
        <f>IF(ISNA(VLOOKUP(A144,'Données projet'!$A$175:$I$195,5,0)),0%,VLOOKUP(A144,'Données projet'!$A$175:$I$195,5,0)*VLOOKUP('Données projet'!$B$14,Paramètres!$A$1:$I$89,7,0))</f>
        <v>0</v>
      </c>
      <c r="DY144" s="16">
        <f>IF(ISNA(VLOOKUP(A144,'Données projet'!$A$175:$I$195,6,0)),0%,VLOOKUP(A144,'Données projet'!$A$175:$I$195,6,0)*VLOOKUP('Données projet'!$B$14,Paramètres!$A$1:$I$89,7,0))</f>
        <v>0</v>
      </c>
      <c r="DZ144" s="16">
        <f>IF(ISNA(VLOOKUP(A144,'Données projet'!$A$175:$I$195,7,0)),0%,VLOOKUP(A144,'Données projet'!$A$175:$I$195,7,0))</f>
        <v>0</v>
      </c>
      <c r="EA144" s="21">
        <f>EXP(-LN(2)/35)*EA143+(1-EXP(-LN(2)/35))/(LN(2)/35)*DW144*DX144*VLOOKUP('Données projet'!$B$14,Paramètres!$A$1:$I$89,3,0)*0.475*44/12</f>
        <v>51.825438683244386</v>
      </c>
      <c r="EB144" s="21">
        <f>EXP(-LN(2)/25)*EB143+(1-EXP(-LN(2)/25))/(LN(2)/25)*Calculateur!DW144*Calculateur!DY144*VLOOKUP('Données projet'!$B$14,Paramètres!$A$1:$I$89,3,0)*0.475*44/12</f>
        <v>0.98681566564234902</v>
      </c>
      <c r="EC144" s="21">
        <f>EXP(-LN(2)/2)*EC143+(1-EXP(-LN(2)/2))/(LN(2)/2)*DW144*DZ144*VLOOKUP('Données projet'!$B$14,Paramètres!$A$1:$I$89,3,0)*0.475*44/12</f>
        <v>0</v>
      </c>
      <c r="ED144" s="22">
        <f t="shared" si="241"/>
        <v>52.812254348886732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projet'!$A$201:$I$221,2,0)</f>
        <v>#N/A</v>
      </c>
      <c r="EH144" s="12" t="e">
        <f>VLOOKUP(A144,'Données projet'!$A$201:$I$221,9,0)</f>
        <v>#N/A</v>
      </c>
      <c r="EI144" s="12">
        <f t="array" ref="EI144">INDEX(EH:EH,MIN(IF(ISNUMBER(EH144:EH340),ROW(EH144:EH340),"")))</f>
        <v>0</v>
      </c>
      <c r="EJ144" s="12">
        <f>IF('Données projet'!$A$202&gt;35,EJ143+EI144-ER143,IF(A144&lt;'Données projet'!$A$202,$EG$205^A144,IF(A144='Données projet'!$A$202,'Données projet'!$B$202,EJ143+EI144-ER143)))</f>
        <v>5.1159076974727213E-13</v>
      </c>
      <c r="EK144" s="17">
        <f>EJ144*VLOOKUP('Données projet'!$B$15,Paramètres!$A$1:$I$89,3,0)*VLOOKUP('Données projet'!$B$15,Paramètres!$A$1:$I$89,5,0)</f>
        <v>2.3942448024172334E-13</v>
      </c>
      <c r="EL144" s="13">
        <f t="shared" si="298"/>
        <v>3.2492669905861755E-12</v>
      </c>
      <c r="EM144" s="20">
        <f t="shared" si="242"/>
        <v>6.0761376450252565E-12</v>
      </c>
      <c r="EN144" s="59">
        <f t="shared" si="243"/>
        <v>293.3333333333394</v>
      </c>
      <c r="EO144" s="59">
        <f ca="1">AVERAGE(OFFSET($EN$3,0,0,'Données projet'!$E$15+1,1))-AVERAGE(OFFSET($H$3,0,0,'Données projet'!$E$15+1,1))</f>
        <v>147.64256291235483</v>
      </c>
      <c r="EP144" s="59">
        <f t="shared" si="299"/>
        <v>70.859031694091868</v>
      </c>
      <c r="EQ144" s="15">
        <f>IF(ISNA(VLOOKUP(A144,'Données projet'!$A$201:$I$221,3,0)),0,VLOOKUP(A144,'Données projet'!$A$201:$I$221,3,0))</f>
        <v>0</v>
      </c>
      <c r="ER144" s="15">
        <f>IF(ISNA(VLOOKUP(A144,'Données projet'!$A$201:$I$221,4,0)),0,VLOOKUP(A144,'Données projet'!$A$201:$I$221,4,0))</f>
        <v>0</v>
      </c>
      <c r="ES144" s="16">
        <f>IF(ISNA(VLOOKUP(A144,'Données projet'!$A$201:$I$221,5,0)),0%,VLOOKUP(A144,'Données projet'!$A$201:$I$221,5,0)*VLOOKUP('Données projet'!$B$15,Paramètres!$A$1:$I$89,7,0))</f>
        <v>0</v>
      </c>
      <c r="ET144" s="16">
        <f>IF(ISNA(VLOOKUP(A144,'Données projet'!$A$201:$I$221,6,0)),0%,VLOOKUP(A144,'Données projet'!$A$201:$I$221,6,0)*VLOOKUP('Données projet'!$B$15,Paramètres!$A$1:$I$89,7,0))</f>
        <v>0</v>
      </c>
      <c r="EU144" s="16">
        <f>IF(ISNA(VLOOKUP(A144,'Données projet'!$A$201:$I$221,7,0)),0%,VLOOKUP(A144,'Données projet'!$A$201:$I$221,7,0))</f>
        <v>0</v>
      </c>
      <c r="EV144" s="21">
        <f>EXP(-LN(2)/35)*EV143+(1-EXP(-LN(2)/35))/(LN(2)/35)*ER144*ES144*VLOOKUP('Données projet'!$B$15,Paramètres!$A$1:$I$89,3,0)*0.475*44/12</f>
        <v>70.949842473430181</v>
      </c>
      <c r="EW144" s="21">
        <f>EXP(-LN(2)/25)*EW143+(1-EXP(-LN(2)/25))/(LN(2)/25)*Calculateur!ER144*Calculateur!ET144*VLOOKUP('Données projet'!$B$15,Paramètres!$A$1:$I$89,3,0)*0.475*44/12</f>
        <v>13.691073160807846</v>
      </c>
      <c r="EX144" s="21">
        <f>EXP(-LN(2)/2)*EX143+(1-EXP(-LN(2)/2))/(LN(2)/2)*ER144*EU144*VLOOKUP('Données projet'!$B$15,Paramètres!$A$1:$I$89,3,0)*0.475*44/12</f>
        <v>2.7997877997914671E-4</v>
      </c>
      <c r="EY144" s="22">
        <f t="shared" si="244"/>
        <v>84.641195613018013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projet'!$A$227:$I$247,2,0)</f>
        <v>#N/A</v>
      </c>
      <c r="FC144" s="12" t="e">
        <f>VLOOKUP(A144,'Données projet'!$A$227:$I$247,9,0)</f>
        <v>#N/A</v>
      </c>
      <c r="FD144" s="12">
        <f t="array" ref="FD144">INDEX(FC:FC,MIN(IF(ISNUMBER(FC144:FC340),ROW(FC144:FC340),"")))</f>
        <v>0</v>
      </c>
      <c r="FE144" s="12">
        <f>IF('Données projet'!$A$228&gt;35,FE143+FD144-FM143,IF(A144&lt;'Données projet'!$A$228,$FB$205^A144,IF(A144='Données projet'!$A$228,'Données projet'!$B$228,FE143+FD144-FM143)))</f>
        <v>8.5265128291212022E-14</v>
      </c>
      <c r="FF144" s="17">
        <f>FE144*VLOOKUP('Données projet'!$B$16,Paramètres!$A$1:$I$89,3,0)*VLOOKUP('Données projet'!$B$16,Paramètres!$A$1:$I$89,5,0)</f>
        <v>8.9119112089974823E-14</v>
      </c>
      <c r="FG144" s="13">
        <f t="shared" si="300"/>
        <v>1.3568952080113142E-12</v>
      </c>
      <c r="FH144" s="20">
        <f t="shared" si="245"/>
        <v>2.5184749408430782E-12</v>
      </c>
      <c r="FI144" s="59">
        <f t="shared" si="246"/>
        <v>293.33333333333582</v>
      </c>
      <c r="FJ144" s="59">
        <f ca="1">AVERAGE(OFFSET($FI$3,0,0,'Données projet'!$E$16+1,1))-AVERAGE(OFFSET($H$3,0,0,'Données projet'!$E$16+1,1))</f>
        <v>259.03906550253788</v>
      </c>
      <c r="FK144" s="59">
        <f t="shared" si="301"/>
        <v>235.54542903570831</v>
      </c>
      <c r="FL144" s="15">
        <f>IF(ISNA(VLOOKUP(A144,'Données projet'!$A$227:$I$247,3,0)),0,VLOOKUP(A144,'Données projet'!$A$227:$I$247,3,0))</f>
        <v>0</v>
      </c>
      <c r="FM144" s="15">
        <f>IF(ISNA(VLOOKUP(A144,'Données projet'!$A$227:$I$247,4,0)),0,VLOOKUP(A144,'Données projet'!$A$227:$I$247,4,0))</f>
        <v>0</v>
      </c>
      <c r="FN144" s="16">
        <f>IF(ISNA(VLOOKUP(A144,'Données projet'!$A$227:$I$247,5,0)),0%,VLOOKUP(A144,'Données projet'!$A$227:$I$247,5,0)*VLOOKUP('Données projet'!$B$16,Paramètres!$A$1:$I$89,7,0))</f>
        <v>0</v>
      </c>
      <c r="FO144" s="16">
        <f>IF(ISNA(VLOOKUP(A144,'Données projet'!$A$227:$I$247,6,0)),0%,VLOOKUP(A144,'Données projet'!$A$227:$I$247,6,0)*VLOOKUP('Données projet'!$B$16,Paramètres!$A$1:$I$89,7,0))</f>
        <v>0</v>
      </c>
      <c r="FP144" s="16">
        <f>IF(ISNA(VLOOKUP(A144,'Données projet'!$A$227:$I$247,7,0)),0%,VLOOKUP(A144,'Données projet'!$A$227:$I$247,7,0))</f>
        <v>0</v>
      </c>
      <c r="FQ144" s="21">
        <f>EXP(-LN(2)/35)*FQ143+(1-EXP(-LN(2)/35))/(LN(2)/35)*FM144*FN144*VLOOKUP('Données projet'!$B$16,Paramètres!$A$1:$I$89,3,0)*0.475*44/12</f>
        <v>31.315332270892601</v>
      </c>
      <c r="FR144" s="21">
        <f>EXP(-LN(2)/25)*FR143+(1-EXP(-LN(2)/25))/(LN(2)/25)*Calculateur!FM144*Calculateur!FO144*VLOOKUP('Données projet'!$B$16,Paramètres!$A$1:$I$89,3,0)*0.475*44/12</f>
        <v>18.834462375697278</v>
      </c>
      <c r="FS144" s="21">
        <f>EXP(-LN(2)/2)*FS143+(1-EXP(-LN(2)/2))/(LN(2)/2)*FM144*FP144*VLOOKUP('Données projet'!$B$16,Paramètres!$A$1:$I$89,3,0)*0.475*44/12</f>
        <v>0</v>
      </c>
      <c r="FT144" s="22">
        <f t="shared" si="247"/>
        <v>50.149794646589882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projet'!$A$253:$I$273,2,0)</f>
        <v>#N/A</v>
      </c>
      <c r="FX144" s="12" t="e">
        <f>VLOOKUP(A144,'Données projet'!$A$253:$I$273,9,0)</f>
        <v>#N/A</v>
      </c>
      <c r="FY144" s="12">
        <f t="array" ref="FY144">INDEX(FX:FX,MIN(IF(ISNUMBER(FX144:FX340),ROW(FX144:FX340),"")))</f>
        <v>0</v>
      </c>
      <c r="FZ144" s="12">
        <f>IF('Données projet'!$A$254&gt;35,FZ143+FY144-GH143,IF(A144&lt;'Données projet'!$A$254,$FW$205^A144,IF(A144='Données projet'!$A$254,'Données projet'!$B$254,FZ143+FY144-GH143)))</f>
        <v>-1.7053025658242404E-13</v>
      </c>
      <c r="GA144" s="17">
        <f>FZ144*VLOOKUP('Données projet'!$B$17,Paramètres!$A$1:$I$89,3,0)*VLOOKUP('Données projet'!$B$17,Paramètres!$A$1:$I$89,5,0)</f>
        <v>-1.4897523215040567E-13</v>
      </c>
      <c r="GB144" s="13" t="e">
        <f t="shared" si="302"/>
        <v>#NUM!</v>
      </c>
      <c r="GC144" s="20" t="e">
        <f t="shared" si="248"/>
        <v>#NUM!</v>
      </c>
      <c r="GD144" s="59" t="e">
        <f t="shared" si="249"/>
        <v>#NUM!</v>
      </c>
      <c r="GE144" s="59">
        <f ca="1">AVERAGE(OFFSET($GD$3,0,0,'Données projet'!$E$17+1,1))-AVERAGE(OFFSET($H$3,0,0,'Données projet'!$E$17+1,1))</f>
        <v>245.1983232777614</v>
      </c>
      <c r="GF144" s="59">
        <f t="shared" si="303"/>
        <v>242.34010522344573</v>
      </c>
      <c r="GG144" s="15">
        <f>IF(ISNA(VLOOKUP(A144,'Données projet'!$A$253:$I$273,3,0)),0,VLOOKUP(A144,'Données projet'!$A$253:$I$273,3,0))</f>
        <v>0</v>
      </c>
      <c r="GH144" s="15">
        <f>IF(ISNA(VLOOKUP(A144,'Données projet'!$A$253:$I$273,4,0)),0,VLOOKUP(A144,'Données projet'!$A$253:$I$273,4,0))</f>
        <v>0</v>
      </c>
      <c r="GI144" s="16">
        <f>IF(ISNA(VLOOKUP(A144,'Données projet'!$A$253:$I$273,5,0)),0%,VLOOKUP(A144,'Données projet'!$A$253:$I$273,5,0)*VLOOKUP('Données projet'!$B$17,Paramètres!$A$1:$I$89,7,0))</f>
        <v>0</v>
      </c>
      <c r="GJ144" s="16">
        <f>IF(ISNA(VLOOKUP(A144,'Données projet'!$A$253:$I$273,6,0)),0%,VLOOKUP(A144,'Données projet'!$A$253:$I$273,6,0)*VLOOKUP('Données projet'!$B$17,Paramètres!$A$1:$I$89,7,0))</f>
        <v>0</v>
      </c>
      <c r="GK144" s="16">
        <f>IF(ISNA(VLOOKUP(A144,'Données projet'!$A$253:$I$273,7,0)),0%,VLOOKUP(A144,'Données projet'!$A$253:$I$273,7,0))</f>
        <v>0</v>
      </c>
      <c r="GL144" s="21">
        <f>EXP(-LN(2)/35)*GL143+(1-EXP(-LN(2)/35))/(LN(2)/35)*GH144*GI144*VLOOKUP('Données projet'!$B$17,Paramètres!$A$1:$I$89,3,0)*0.475*44/12</f>
        <v>36.815469619947727</v>
      </c>
      <c r="GM144" s="21">
        <f>EXP(-LN(2)/25)*GM143+(1-EXP(-LN(2)/25))/(LN(2)/25)*Calculateur!GH144*Calculateur!GJ144*VLOOKUP('Données projet'!$B$17,Paramètres!$A$1:$I$89,3,0)*0.475*44/12</f>
        <v>4.0131650939846732</v>
      </c>
      <c r="GN144" s="21">
        <f>EXP(-LN(2)/2)*GN143+(1-EXP(-LN(2)/2))/(LN(2)/2)*GH144*GK144*VLOOKUP('Données projet'!$B$17,Paramètres!$A$1:$I$89,3,0)*0.475*44/12</f>
        <v>0</v>
      </c>
      <c r="GO144" s="21">
        <f t="shared" si="250"/>
        <v>40.828634713932402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projet'!$A$279:$I$299,2,0)</f>
        <v>#N/A</v>
      </c>
      <c r="GS144" s="12" t="e">
        <f>VLOOKUP(A144,'Données projet'!$A$279:$I$299,9,0)</f>
        <v>#N/A</v>
      </c>
      <c r="GT144" s="12">
        <f t="array" ref="GT144">INDEX(GS:GS,MIN(IF(ISNUMBER(GS144:GS340),ROW(GS144:GS340),"")))</f>
        <v>0</v>
      </c>
      <c r="GU144" s="12">
        <f>IF('Données projet'!$A$280&gt;35,GU143+GT144-HC143,IF(A144&lt;'Données projet'!$A$280,$GR$205^A144,IF(A144='Données projet'!$A$280,'Données projet'!$B$280,GU143+GT144-HC143)))</f>
        <v>-1.1368683772161603E-13</v>
      </c>
      <c r="GV144" s="17">
        <f>GU144*VLOOKUP('Données projet'!$B$18,Paramètres!$A$1:$I$89,3,0)*VLOOKUP('Données projet'!$B$18,Paramètres!$A$1:$I$89,5,0)</f>
        <v>-4.5815795601811263E-14</v>
      </c>
      <c r="GW144" s="13" t="e">
        <f t="shared" si="304"/>
        <v>#NUM!</v>
      </c>
      <c r="GX144" s="20" t="e">
        <f t="shared" si="251"/>
        <v>#NUM!</v>
      </c>
      <c r="GY144" s="59" t="e">
        <f t="shared" si="252"/>
        <v>#NUM!</v>
      </c>
      <c r="GZ144" s="59">
        <f ca="1">AVERAGE(OFFSET($GY$3,0,0,'Données projet'!$E$18+1,1))-AVERAGE(OFFSET($H$3,0,0,'Données projet'!$E$18+1,1))</f>
        <v>324.36162935850876</v>
      </c>
      <c r="HA144" s="59">
        <f t="shared" si="305"/>
        <v>265.23571072429735</v>
      </c>
      <c r="HB144" s="15">
        <f>IF(ISNA(VLOOKUP(A144,'Données projet'!$A$279:$I$299,3,0)),0,VLOOKUP(A144,'Données projet'!$A$279:$I$299,3,0))</f>
        <v>0</v>
      </c>
      <c r="HC144" s="15">
        <f>IF(ISNA(VLOOKUP(A144,'Données projet'!$A$279:$I$299,4,0)),0,VLOOKUP(A144,'Données projet'!$A$279:$I$299,4,0))</f>
        <v>0</v>
      </c>
      <c r="HD144" s="16">
        <f>IF(ISNA(VLOOKUP(A144,'Données projet'!$A$279:$I$299,5,0)),0%,VLOOKUP(A144,'Données projet'!$A$279:$I$299,5,0)*VLOOKUP('Données projet'!$B$18,Paramètres!$A$1:$I$89,7,0))</f>
        <v>0</v>
      </c>
      <c r="HE144" s="16">
        <f>IF(ISNA(VLOOKUP(A144,'Données projet'!$A$279:$I$299,6,0)),0%,VLOOKUP(A144,'Données projet'!$A$279:$I$299,6,0)*VLOOKUP('Données projet'!$B$18,Paramètres!$A$1:$I$89,7,0))</f>
        <v>0</v>
      </c>
      <c r="HF144" s="16">
        <f>IF(ISNA(VLOOKUP($A144,'Données projet'!$A$279:$I$299,7,0)),0%,VLOOKUP($A144,'Données projet'!$A$279:$I$299,7,0))</f>
        <v>0</v>
      </c>
      <c r="HG144" s="21">
        <f>EXP(-LN(2)/35)*HG143+(1-EXP(-LN(2)/35))/(LN(2)/35)*HC144*HD144*VLOOKUP('Données projet'!$B$18,Paramètres!$A$1:$I$89,3,0)*0.475*44/12</f>
        <v>70.548064048083333</v>
      </c>
      <c r="HH144" s="21">
        <f>EXP(-LN(2)/25)*HH143+(1-EXP(-LN(2)/25))/(LN(2)/25)*Calculateur!HC144*Calculateur!HE144*VLOOKUP('Données projet'!$B$18,Paramètres!$A$1:$I$89,3,0)*0.475*44/12</f>
        <v>4.4633574035176098</v>
      </c>
      <c r="HI144" s="21">
        <f>EXP(-LN(2)/2)*HI143+(1-EXP(-LN(2)/2))/(LN(2)/2)*HC144*HF144*VLOOKUP('Données projet'!$B$18,Paramètres!$A$1:$I$89,3,0)*0.475*44/12</f>
        <v>5.6287180126887254E-9</v>
      </c>
      <c r="HJ144" s="22">
        <f t="shared" si="253"/>
        <v>75.011421457229659</v>
      </c>
      <c r="HK144" s="74">
        <f>('Scénario référence'!$F$8+'Scénario référence'!$F$9+'Scénario référence'!$B$17+'Scénario référence'!$B$9+'Scénario référence'!$B$10)*70+IF((45+25*(1-EXP(-0.0175*$A144)))&lt;70,'Scénario référence'!$B$16*(45+25*(1-EXP(-0.0175*$A144))),70*'Scénario référence'!$B$16)+IF((32+38*(1-EXP(-0.0175*$A144)))&lt;70,'Scénario référence'!$B$18*(32+38*(1-EXP(-0.0175*$A144))),70*'Scénario référence'!$B$18)</f>
        <v>70</v>
      </c>
      <c r="HL144" s="12">
        <f>IF($A144&gt;30,10,('Scénario référence'!$B$16+'Scénario référence'!$B$17+'Scénario référence'!$B$18+'Scénario référence'!$B$9+'Scénario référence'!$B$10)*$A144*10/30+('Scénario référence'!$F$8+'Scénario référence'!$F$9)*10)</f>
        <v>10</v>
      </c>
      <c r="HM144" s="12" t="e">
        <f>VLOOKUP($A144,'Données projet'!$A$304:$I$324,2,0)</f>
        <v>#N/A</v>
      </c>
      <c r="HN144" s="12" t="e">
        <f>VLOOKUP($A144,'Données projet'!$A$304:$I$324,9,0)</f>
        <v>#N/A</v>
      </c>
      <c r="HO144" s="12">
        <f t="array" ref="HO144">INDEX(HN:HN,MIN(IF(ISNUMBER(HN144:HN340),ROW(HN144:HN340),"")))</f>
        <v>0</v>
      </c>
      <c r="HP144" s="12">
        <f>IF('Données projet'!$A$304&gt;35,HP143+HO144-HX143,IF($A144&lt;'Données projet'!$A$304,$CQ$205^$A144,IF($A144='Données projet'!$A$304,'Données projet'!$B$304,HP143+HO144-HX143)))</f>
        <v>0</v>
      </c>
      <c r="HQ144" s="17">
        <f>HP144*VLOOKUP('Données projet'!$B$19,Paramètres!$A$1:$I$89,3,0)*VLOOKUP('Données projet'!$B$19,Paramètres!$A$1:$I$89,5,0)</f>
        <v>0</v>
      </c>
      <c r="HR144" s="13" t="e">
        <f t="shared" si="306"/>
        <v>#NUM!</v>
      </c>
      <c r="HS144" s="14" t="e">
        <f t="shared" si="254"/>
        <v>#NUM!</v>
      </c>
      <c r="HT144" s="59" t="e">
        <f t="shared" si="255"/>
        <v>#NUM!</v>
      </c>
      <c r="HU144" s="59">
        <f ca="1">AVERAGE(OFFSET(HT$3,0,0,'Données projet'!$E$19+1,1))-AVERAGE(OFFSET($H$3,0,0,'Données projet'!$E$19+1,1))</f>
        <v>91.60721429656013</v>
      </c>
      <c r="HV144" s="59">
        <f t="shared" si="307"/>
        <v>258.94957804210856</v>
      </c>
      <c r="HW144" s="15">
        <f>IF(ISNA(VLOOKUP($A144,'Données projet'!$A$304:$I$324,3,0)),0,VLOOKUP($A144,'Données projet'!$A$304:$I$324,3,0))</f>
        <v>0</v>
      </c>
      <c r="HX144" s="15">
        <f>IF(ISNA(VLOOKUP($A144,'Données projet'!$A$304:$I$324,4,0)),0,VLOOKUP($A144,'Données projet'!$A$304:$I$324,4,0))</f>
        <v>0</v>
      </c>
      <c r="HY144" s="16">
        <f>IF(ISNA(VLOOKUP($A144,'Données projet'!$A$304:$I$324,5,0)),0%,VLOOKUP($A144,'Données projet'!$A$304:$I$324,5,0)*VLOOKUP('Données projet'!$B$19,Paramètres!$A$1:$I$89,7,0))</f>
        <v>0</v>
      </c>
      <c r="HZ144" s="16">
        <f>IF(ISNA(VLOOKUP($A144,'Données projet'!$A$304:$I$324,6,0)),0%,VLOOKUP($A144,'Données projet'!$A$304:$I$324,6,0)*VLOOKUP('Données projet'!$B$19,Paramètres!$A$1:$I$89,7,0))</f>
        <v>0</v>
      </c>
      <c r="IA144" s="16">
        <f>IF(ISNA(VLOOKUP($A144,'Données projet'!$A$304:$I$324,7,0)),0%,VLOOKUP($A144,'Données projet'!$A$304:$I$324,7,0))</f>
        <v>0</v>
      </c>
      <c r="IB144" s="21">
        <f>EXP(-LN(2)/35)*IB143+(1-EXP(-LN(2)/35))/(LN(2)/35)*HX144*HY144*VLOOKUP('Données projet'!$B$19,Paramètres!$A$1:$I$89,3,0)*0.475*44/12</f>
        <v>5.4757019092423098</v>
      </c>
      <c r="IC144" s="21">
        <f>EXP(-LN(2)/25)*IC143+(1-EXP(-LN(2)/25))/(LN(2)/25)*Calculateur!HX144*Calculateur!HZ144*VLOOKUP('Données projet'!$B$19,Paramètres!$A$1:$I$89,3,0)*0.475*44/12</f>
        <v>0.44816524977670469</v>
      </c>
      <c r="ID144" s="21">
        <f>EXP(-LN(2)/2)*ID143+(1-EXP(-LN(2)/2))/(LN(2)/2)*HX144*IA144*VLOOKUP('Données projet'!$B$19,Paramètres!$A$1:$I$89,3,0)*0.475*44/12</f>
        <v>1.1242888682609826E-17</v>
      </c>
      <c r="IE144" s="22">
        <f t="shared" si="256"/>
        <v>5.9238671590190144</v>
      </c>
      <c r="IF144" s="74">
        <f>('Scénario référence'!$F$8+'Scénario référence'!$F$9+'Scénario référence'!$B$17+'Scénario référence'!$B$9+'Scénario référence'!$B$10)*70+IF((45+25*(1-EXP(-0.0175*$A144)))&lt;70,'Scénario référence'!$B$16*(45+25*(1-EXP(-0.0175*$A144))),70*'Scénario référence'!$B$16)+IF((32+38*(1-EXP(-0.0175*$A144)))&lt;70,'Scénario référence'!$B$18*(32+38*(1-EXP(-0.0175*$A144))),70*'Scénario référence'!$B$18)</f>
        <v>70</v>
      </c>
      <c r="IG144" s="12">
        <f>IF($A144&gt;30,10,('Scénario référence'!$B$16+'Scénario référence'!$B$17+'Scénario référence'!$B$18+'Scénario référence'!$B$9+'Scénario référence'!$B$10)*$A144*10/30+('Scénario référence'!$F$8+'Scénario référence'!$F$9)*10)</f>
        <v>10</v>
      </c>
      <c r="IH144" s="12" t="e">
        <f>VLOOKUP($A144,'Données projet'!$A$330:$I$350,2,0)</f>
        <v>#N/A</v>
      </c>
      <c r="II144" s="12" t="e">
        <f>VLOOKUP($A144,'Données projet'!$A$330:$I$350,9,0)</f>
        <v>#N/A</v>
      </c>
      <c r="IJ144" s="12">
        <f t="array" ref="IJ144">INDEX(II:II,MIN(IF(ISNUMBER(II144:II340),ROW(II144:II340),"")))</f>
        <v>0</v>
      </c>
      <c r="IK144" s="12">
        <f>IF('Données projet'!$A$330&gt;35,IK143+IJ144-IS143,IF($A144&lt;'Données projet'!$A$330,$CQ$205^$A144,IF($A144='Données projet'!$A$330,'Données projet'!$B$330,IK143+IJ144-IS143)))</f>
        <v>0</v>
      </c>
      <c r="IL144" s="17">
        <f>IK144*VLOOKUP('Données projet'!$B$20,Paramètres!$A$1:$I$89,3,0)*VLOOKUP('Données projet'!$B$20,Paramètres!$A$1:$I$89,5,0)</f>
        <v>0</v>
      </c>
      <c r="IM144" s="13" t="e">
        <f t="shared" si="308"/>
        <v>#NUM!</v>
      </c>
      <c r="IN144" s="20" t="e">
        <f t="shared" si="257"/>
        <v>#NUM!</v>
      </c>
      <c r="IO144" s="59" t="e">
        <f t="shared" si="258"/>
        <v>#NUM!</v>
      </c>
      <c r="IP144" s="59">
        <f ca="1">AVERAGE(OFFSET(IO$3,0,0,'Données projet'!$E$20+1,1))-AVERAGE(OFFSET($H$3,0,0,'Données projet'!$E$20+1,1))</f>
        <v>91.60721429656013</v>
      </c>
      <c r="IQ144" s="59">
        <f t="shared" si="309"/>
        <v>258.94957804210856</v>
      </c>
      <c r="IR144" s="15">
        <f>IF(ISNA(VLOOKUP($A144,'Données projet'!$A$330:$I$350,3,0)),0,VLOOKUP($A144,'Données projet'!$A$330:$I$350,3,0))</f>
        <v>0</v>
      </c>
      <c r="IS144" s="15">
        <f>IF(ISNA(VLOOKUP($A144,'Données projet'!$A$330:$I$350,4,0)),0,VLOOKUP($A144,'Données projet'!$A$330:$I$350,4,0))</f>
        <v>0</v>
      </c>
      <c r="IT144" s="16">
        <f>IF(ISNA(VLOOKUP($A144,'Données projet'!$A$330:$I$350,5,0)),0%,VLOOKUP($A144,'Données projet'!$A$330:$I$350,5,0)*VLOOKUP('Données projet'!$B$20,Paramètres!$A$1:$I$89,7,0))</f>
        <v>0</v>
      </c>
      <c r="IU144" s="16">
        <f>IF(ISNA(VLOOKUP($A144,'Données projet'!$A$330:$I$350,6,0)),0%,VLOOKUP($A144,'Données projet'!$A$330:$I$350,6,0)*VLOOKUP('Données projet'!$B$20,Paramètres!$A$1:$I$89,7,0))</f>
        <v>0</v>
      </c>
      <c r="IV144" s="16">
        <f>IF(ISNA(VLOOKUP($A144,'Données projet'!$A$330:$I$350,7,0)),0%,VLOOKUP($A144,'Données projet'!$A$330:$I$350,7,0))</f>
        <v>0</v>
      </c>
      <c r="IW144" s="21">
        <f>EXP(-LN(2)/35)*IW143+(1-EXP(-LN(2)/35))/(LN(2)/35)*IS144*IT144*VLOOKUP('Données projet'!$B$20,Paramètres!$A$1:$I$89,3,0)*0.475*44/12</f>
        <v>5.4757019092423098</v>
      </c>
      <c r="IX144" s="21">
        <f>EXP(-LN(2)/25)*IX143+(1-EXP(-LN(2)/25))/(LN(2)/25)*Calculateur!IS144*Calculateur!IU144*VLOOKUP('Données projet'!$B$20,Paramètres!$A$1:$I$89,3,0)*0.475*44/12</f>
        <v>0.44816524977670469</v>
      </c>
      <c r="IY144" s="21">
        <f>EXP(-LN(2)/2)*IY143+(1-EXP(-LN(2)/2))/(LN(2)/2)*IS144*IV144*VLOOKUP('Données projet'!$B$20,Paramètres!$A$1:$I$89,3,0)*0.475*44/12</f>
        <v>1.1242888682609826E-17</v>
      </c>
      <c r="IZ144" s="22">
        <f t="shared" si="259"/>
        <v>5.9238671590190144</v>
      </c>
      <c r="JA144" s="74">
        <f>('Scénario référence'!$F$8+'Scénario référence'!$F$9+'Scénario référence'!$B$17+'Scénario référence'!$B$9+'Scénario référence'!$B$10)*70+IF((45+25*(1-EXP(-0.0175*$A144)))&lt;70,'Scénario référence'!$B$16*(45+25*(1-EXP(-0.0175*$A144))),70*'Scénario référence'!$B$16)+IF((32+38*(1-EXP(-0.0175*$A144)))&lt;70,'Scénario référence'!$B$18*(32+38*(1-EXP(-0.0175*$A144))),70*'Scénario référence'!$B$18)</f>
        <v>70</v>
      </c>
      <c r="JB144" s="12">
        <f>IF($A144&gt;30,10,('Scénario référence'!$B$16+'Scénario référence'!$B$17+'Scénario référence'!$B$18+'Scénario référence'!$B$9+'Scénario référence'!$B$10)*$A144*10/30+('Scénario référence'!$F$8+'Scénario référence'!$F$9)*10)</f>
        <v>10</v>
      </c>
      <c r="JC144" s="12" t="e">
        <f>VLOOKUP($A144,'Données projet'!$A$356:$I$376,2,0)</f>
        <v>#N/A</v>
      </c>
      <c r="JD144" s="12" t="e">
        <f>VLOOKUP($A144,'Données projet'!$A$356:$I$376,9,0)</f>
        <v>#N/A</v>
      </c>
      <c r="JE144" s="12">
        <f t="array" ref="JE144">INDEX(JD:JD,MIN(IF(ISNUMBER(JD144:JD340),ROW(JD144:JD340),"")))</f>
        <v>1.4</v>
      </c>
      <c r="JF144" s="12">
        <f>IF('Données projet'!$A$356&gt;35,JF143+JE144-JN143,IF($A144&lt;'Données projet'!$A$356,$CQ$205^$A144,IF($A144='Données projet'!$A$356,'Données projet'!$B$356,JF143+JE144-JN143)))</f>
        <v>435.3999999999989</v>
      </c>
      <c r="JG144" s="17">
        <f>JF144*VLOOKUP('Données projet'!$B$21,Paramètres!$A$1:$I$89,3,0)*VLOOKUP('Données projet'!$B$21,Paramètres!$A$1:$I$89,5,0)</f>
        <v>353.19647999999916</v>
      </c>
      <c r="JH144" s="13">
        <f t="shared" si="310"/>
        <v>82.220351004212944</v>
      </c>
      <c r="JI144" s="20">
        <f t="shared" si="260"/>
        <v>758.35098066566934</v>
      </c>
      <c r="JJ144" s="59">
        <f t="shared" si="261"/>
        <v>1051.6843139990026</v>
      </c>
      <c r="JK144" s="59">
        <f ca="1">AVERAGE(OFFSET($JJ$3,0,0,'Données projet'!$E$22+1,1))-AVERAGE(OFFSET($H$3,0,0,'Données projet'!$E$22+1,1))</f>
        <v>353.35574633294613</v>
      </c>
      <c r="JL144" s="59">
        <f t="shared" si="311"/>
        <v>170.36796666474726</v>
      </c>
      <c r="JM144" s="15">
        <f>IF(ISNA(VLOOKUP($A144,'Données projet'!$A$356:$I$376,3,0)),0,VLOOKUP($A144,'Données projet'!$A$356:$I$376,3,0))</f>
        <v>0</v>
      </c>
      <c r="JN144" s="15">
        <f>IF(ISNA(VLOOKUP($A144,'Données projet'!$A$356:$I$376,4,0)),0,VLOOKUP($A144,'Données projet'!$A$356:$I$376,4,0))</f>
        <v>0</v>
      </c>
      <c r="JO144" s="16">
        <f>IF(ISNA(VLOOKUP($A144,'Données projet'!$A$356:$I$376,5,0)),0%,VLOOKUP($A144,'Données projet'!$A$356:$I$376,5,0)*VLOOKUP('Données projet'!$B$21,Paramètres!$A$1:$I$89,7,0))</f>
        <v>0</v>
      </c>
      <c r="JP144" s="16">
        <f>IF(ISNA(VLOOKUP($A144,'Données projet'!$A$356:$I$376,6,0)),0%,VLOOKUP($A144,'Données projet'!$A$356:$I$376,6,0)*VLOOKUP('Données projet'!$B$21,Paramètres!$A$1:$I$89,7,0))</f>
        <v>0</v>
      </c>
      <c r="JQ144" s="16">
        <f>IF(ISNA(VLOOKUP($A144,'Données projet'!$A$356:$I$376,7,0)),0%,VLOOKUP($A144,'Données projet'!$A$356:$I$376,7,0))</f>
        <v>0</v>
      </c>
      <c r="JR144" s="21">
        <f>EXP(-LN(2)/35)*JR143+(1-EXP(-LN(2)/35))/(LN(2)/35)*JN144*JO144*VLOOKUP('Données projet'!$B$21,Paramètres!$A$1:$I$89,3,0)*0.475*44/12</f>
        <v>5.2009382963902917</v>
      </c>
      <c r="JS144" s="21">
        <f>EXP(-LN(2)/25)*JS143+(1-EXP(-LN(2)/25))/(LN(2)/25)*Calculateur!JN144*Calculateur!JP144*VLOOKUP('Données projet'!$B$21,Paramètres!$A$1:$I$89,3,0)*0.475*44/12</f>
        <v>9.7520436002362096</v>
      </c>
      <c r="JT144" s="21">
        <f>EXP(-LN(2)/2)*JT143+(1-EXP(-LN(2)/2))/(LN(2)/2)*JN144*JQ144*VLOOKUP('Données projet'!$B$21,Paramètres!$A$1:$I$89,3,0)*0.475*44/12</f>
        <v>3.3901016875902135E-2</v>
      </c>
      <c r="JU144" s="18">
        <f t="shared" si="262"/>
        <v>14.986882913502402</v>
      </c>
      <c r="JV144" s="74">
        <f>('Scénario référence'!$F$8+'Scénario référence'!$F$9+'Scénario référence'!$B$17+'Scénario référence'!$B$9+'Scénario référence'!$B$10)*70+IF((45+25*(1-EXP(-0.0175*$A144)))&lt;70,'Scénario référence'!$B$16*(45+25*(1-EXP(-0.0175*$A144))),70*'Scénario référence'!$B$16)+IF((32+38*(1-EXP(-0.0175*$A144)))&lt;70,'Scénario référence'!$B$18*(32+38*(1-EXP(-0.0175*$A144))),70*'Scénario référence'!$B$18)</f>
        <v>70</v>
      </c>
      <c r="JW144" s="12">
        <f>IF($A144&gt;30,10,('Scénario référence'!$B$16+'Scénario référence'!$B$17+'Scénario référence'!$B$18+'Scénario référence'!$B$9+'Scénario référence'!$B$10)*$A144*10/30+('Scénario référence'!$F$8+'Scénario référence'!$F$9)*10)</f>
        <v>10</v>
      </c>
      <c r="JX144" s="12" t="e">
        <f>VLOOKUP($A144,'Données projet'!$A$382:$I$402,2,0)</f>
        <v>#N/A</v>
      </c>
      <c r="JY144" s="12" t="e">
        <f>VLOOKUP($A144,'Données projet'!$A$382:$I$402,9,0)</f>
        <v>#N/A</v>
      </c>
      <c r="JZ144" s="12">
        <f t="array" ref="JZ144">INDEX(JY:JY,MIN(IF(ISNUMBER(JY144:JY340),ROW(JY144:JY340),"")))</f>
        <v>0</v>
      </c>
      <c r="KA144" s="12">
        <f>IF('Données projet'!$A$382&gt;35,KA143+JZ144-KI143,IF($A144&lt;'Données projet'!$A$382,$CQ$205^$A144,IF($A144='Données projet'!$A$382,'Données projet'!$B$382,KA143+JZ144-KI143)))</f>
        <v>5.6843418860808015E-13</v>
      </c>
      <c r="KB144" s="17">
        <f>KA144*VLOOKUP('Données projet'!$B$22,Paramètres!$A$1:$I$89,3,0)*VLOOKUP('Données projet'!$B$22,Paramètres!$A$1:$I$89,5,0)</f>
        <v>3.8130565371830017E-13</v>
      </c>
      <c r="KC144" s="13">
        <f t="shared" si="312"/>
        <v>4.9019074112354236E-12</v>
      </c>
      <c r="KD144" s="20">
        <f t="shared" si="263"/>
        <v>9.2015960881277352E-12</v>
      </c>
      <c r="KE144" s="59">
        <f t="shared" si="264"/>
        <v>293.33333333334252</v>
      </c>
      <c r="KF144" s="59">
        <f ca="1">AVERAGE(OFFSET($KE$3,0,0,'Données projet'!$E$22+1,1))-AVERAGE(OFFSET($H$3,0,0,'Données projet'!$E$22+1,1))</f>
        <v>193.91714772848269</v>
      </c>
      <c r="KG144" s="59">
        <f t="shared" si="313"/>
        <v>159.20429420478047</v>
      </c>
      <c r="KH144" s="15">
        <f>IF(ISNA(VLOOKUP($A144,'Données projet'!$A$382:$I$402,3,0)),0,VLOOKUP($A144,'Données projet'!$A$382:$I$402,3,0))</f>
        <v>0</v>
      </c>
      <c r="KI144" s="15">
        <f>IF(ISNA(VLOOKUP($A144,'Données projet'!$A$382:$I$402,4,0)),0,VLOOKUP($A144,'Données projet'!$A$382:$I$402,4,0))</f>
        <v>0</v>
      </c>
      <c r="KJ144" s="16">
        <f>IF(ISNA(VLOOKUP($A144,'Données projet'!$A$382:$I$402,5,0)),0%,VLOOKUP($A144,'Données projet'!$A$382:$I$402,5,0)*VLOOKUP('Données projet'!$B$22,Paramètres!$A$1:$I$89,7,0))</f>
        <v>0</v>
      </c>
      <c r="KK144" s="16">
        <f>IF(ISNA(VLOOKUP($A144,'Données projet'!$A$382:$I$402,6,0)),0%,VLOOKUP($A144,'Données projet'!$A$382:$I$402,6,0)*VLOOKUP('Données projet'!$B$22,Paramètres!$A$1:$I$89,7,0))</f>
        <v>0</v>
      </c>
      <c r="KL144" s="16">
        <f>IF(ISNA(VLOOKUP($A144,'Données projet'!$A$382:$I$402,7,0)),0%,VLOOKUP($A144,'Données projet'!$A$382:$I$402,7,0))</f>
        <v>0</v>
      </c>
      <c r="KM144" s="21">
        <f>EXP(-LN(2)/35)*KM143+(1-EXP(-LN(2)/35))/(LN(2)/35)*KI144*KJ144*VLOOKUP('Données projet'!$B$22,Paramètres!$A$1:$I$89,3,0)*0.475*44/12</f>
        <v>128.17384179211885</v>
      </c>
      <c r="KN144" s="21">
        <f>EXP(-LN(2)/25)*KN143+(1-EXP(-LN(2)/25))/(LN(2)/25)*Calculateur!KI144*Calculateur!KK144*VLOOKUP('Données projet'!$B$22,Paramètres!$A$1:$I$89,3,0)*0.475*44/12</f>
        <v>0</v>
      </c>
      <c r="KO144" s="21">
        <f>EXP(-LN(2)/2)*KO143+(1-EXP(-LN(2)/2))/(LN(2)/2)*KI144*KL144*VLOOKUP('Données projet'!$B$22,Paramètres!$A$1:$I$89,3,0)*0.475*44/12</f>
        <v>0</v>
      </c>
      <c r="KP144" s="22">
        <f t="shared" si="265"/>
        <v>128.17384179211885</v>
      </c>
      <c r="KQ144" s="74">
        <f>('Scénario référence'!$F$8+'Scénario référence'!$F$9+'Scénario référence'!$B$17+'Scénario référence'!$B$9+'Scénario référence'!$B$10)*70+IF((45+25*(1-EXP(-0.0175*$A144)))&lt;70,'Scénario référence'!$B$16*(45+25*(1-EXP(-0.0175*$A144))),70*'Scénario référence'!$B$16)+IF((32+38*(1-EXP(-0.0175*$A144)))&lt;70,'Scénario référence'!$B$18*(32+38*(1-EXP(-0.0175*$A144))),70*'Scénario référence'!$B$18)</f>
        <v>70</v>
      </c>
      <c r="KR144" s="12">
        <f>IF($A144&gt;30,10,('Scénario référence'!$B$16+'Scénario référence'!$B$17+'Scénario référence'!$B$18+'Scénario référence'!$B$9+'Scénario référence'!$B$10)*$A144*10/30+('Scénario référence'!$F$8+'Scénario référence'!$F$9)*10)</f>
        <v>10</v>
      </c>
      <c r="KS144" s="12" t="e">
        <f>VLOOKUP($A144,'Données projet'!$A$408:$I$428,2,0)</f>
        <v>#N/A</v>
      </c>
      <c r="KT144" s="12" t="e">
        <f>VLOOKUP($A144,'Données projet'!$A$408:$I$428,9,0)</f>
        <v>#N/A</v>
      </c>
      <c r="KU144" s="12">
        <f t="array" ref="KU144">INDEX(KT:KT,MIN(IF(ISNUMBER(KT144:KT340),ROW(KT144:KT340),"")))</f>
        <v>0</v>
      </c>
      <c r="KV144" s="12">
        <f>IF('Données projet'!$A$408&gt;35,KV143+KU144-LD143,IF($A144&lt;'Données projet'!$A$408,$CQ$205^$A144,IF($A144='Données projet'!$A$408,'Données projet'!$B$408,KV143+KU144-LD143)))</f>
        <v>-1.1368683772161603E-13</v>
      </c>
      <c r="KW144" s="17">
        <f>KV144*VLOOKUP('Données projet'!$B$23,Paramètres!$A$1:$I$89,3,0)*VLOOKUP('Données projet'!$B$23,Paramètres!$A$1:$I$89,5,0)</f>
        <v>-9.9316821433603781E-14</v>
      </c>
      <c r="KX144" s="13" t="e">
        <f t="shared" si="314"/>
        <v>#NUM!</v>
      </c>
      <c r="KY144" s="14" t="e">
        <f t="shared" si="266"/>
        <v>#NUM!</v>
      </c>
      <c r="KZ144" s="59" t="e">
        <f t="shared" si="267"/>
        <v>#NUM!</v>
      </c>
      <c r="LA144" s="59">
        <f ca="1">AVERAGE(OFFSET($KZ$3,0,0,'Données projet'!$E$23+1,1))-AVERAGE(OFFSET($H$3,0,0,'Données projet'!$E$23+1,1))</f>
        <v>248.33596943633819</v>
      </c>
      <c r="LB144" s="59">
        <f t="shared" si="315"/>
        <v>242.34010522344573</v>
      </c>
      <c r="LC144" s="15">
        <f>IF(ISNA(VLOOKUP($A144,'Données projet'!$A$408:$I$428,3,0)),0,VLOOKUP($A144,'Données projet'!$A$408:$I$428,3,0))</f>
        <v>0</v>
      </c>
      <c r="LD144" s="15">
        <f>IF(ISNA(VLOOKUP($A144,'Données projet'!$A$408:$I$428,4,0)),0,VLOOKUP($A144,'Données projet'!$A$408:$I$428,4,0))</f>
        <v>0</v>
      </c>
      <c r="LE144" s="16">
        <f>IF(ISNA(VLOOKUP($A144,'Données projet'!$A$408:$I$428,5,0)),0%,VLOOKUP($A144,'Données projet'!$A$408:$I$428,5,0)*VLOOKUP('Données projet'!$B$23,Paramètres!$A$1:$I$89,7,0))</f>
        <v>0</v>
      </c>
      <c r="LF144" s="16">
        <f>IF(ISNA(VLOOKUP($A144,'Données projet'!$A$408:$I$428,6,0)),0%,VLOOKUP($A144,'Données projet'!$A$408:$I$428,6,0)*VLOOKUP('Données projet'!$B$23,Paramètres!$A$1:$I$89,7,0))</f>
        <v>0</v>
      </c>
      <c r="LG144" s="16">
        <f>IF(ISNA(VLOOKUP($A144,'Données projet'!$A$408:$I$428,7,0)),0%,VLOOKUP($A144,'Données projet'!$A$408:$I$428,7,0))</f>
        <v>0</v>
      </c>
      <c r="LH144" s="21">
        <f>EXP(-LN(2)/35)*LH143+(1-EXP(-LN(2)/35))/(LN(2)/35)*LD144*LE144*VLOOKUP('Données projet'!$B$23,Paramètres!$A$1:$I$89,3,0)*0.475*44/12</f>
        <v>36.815469619947727</v>
      </c>
      <c r="LI144" s="21">
        <f>EXP(-LN(2)/25)*LI143+(1-EXP(-LN(2)/25))/(LN(2)/25)*Calculateur!LD144*Calculateur!LF144*VLOOKUP('Données projet'!$B$23,Paramètres!$A$1:$I$89,3,0)*0.475*44/12</f>
        <v>4.0131650939846732</v>
      </c>
      <c r="LJ144" s="21">
        <f>EXP(-LN(2)/2)*LJ143+(1-EXP(-LN(2)/2))/(LN(2)/2)*LD144*LG144*VLOOKUP('Données projet'!$B$23,Paramètres!$A$1:$I$89,3,0)*0.475*44/12</f>
        <v>0</v>
      </c>
      <c r="LK144" s="22">
        <f t="shared" si="268"/>
        <v>40.828634713932402</v>
      </c>
      <c r="LL144" s="74">
        <f>('Scénario référence'!$F$8+'Scénario référence'!$F$9+'Scénario référence'!$B$17+'Scénario référence'!$B$9+'Scénario référence'!$B$10)*70+IF((45+25*(1-EXP(-0.0175*$A144)))&lt;70,'Scénario référence'!$B$16*(45+25*(1-EXP(-0.0175*$A144))),70*'Scénario référence'!$B$16)+IF((32+38*(1-EXP(-0.0175*$A144)))&lt;70,'Scénario référence'!$B$18*(32+38*(1-EXP(-0.0175*$A144))),70*'Scénario référence'!$B$18)</f>
        <v>70</v>
      </c>
      <c r="LM144" s="12">
        <f>IF($A144&gt;30,10,('Scénario référence'!$B$16+'Scénario référence'!$B$17+'Scénario référence'!$B$18+'Scénario référence'!$B$9+'Scénario référence'!$B$10)*$A144*10/30+('Scénario référence'!$F$8+'Scénario référence'!$F$9)*10)</f>
        <v>10</v>
      </c>
      <c r="LN144" s="12" t="e">
        <f>VLOOKUP($A144,'Données projet'!$A$434:$I$454,2,0)</f>
        <v>#N/A</v>
      </c>
      <c r="LO144" s="12" t="e">
        <f>VLOOKUP($A144,'Données projet'!$A$434:$I$454,9,0)</f>
        <v>#N/A</v>
      </c>
      <c r="LP144" s="12">
        <f t="array" ref="LP144">INDEX(LO:LO,MIN(IF(ISNUMBER(LO144:LO340),ROW(LO144:LO340),"")))</f>
        <v>5.1063034188034209</v>
      </c>
      <c r="LQ144" s="12">
        <f>IF('Données projet'!$A$434&gt;35,LQ143+LP144-LY143,IF($A144&lt;'Données projet'!$A$434,$CQ$205^$A144,IF($A144='Données projet'!$A$434,'Données projet'!$B$434,LQ143+LP144-LY143)))</f>
        <v>262.33547008546969</v>
      </c>
      <c r="LR144" s="17">
        <f>LQ144*VLOOKUP('Données projet'!$B$24,Paramètres!$A$1:$I$89,3,0)*VLOOKUP('Données projet'!$B$24,Paramètres!$A$1:$I$89,5,0)</f>
        <v>266.00816666666628</v>
      </c>
      <c r="LS144" s="13">
        <f t="shared" si="316"/>
        <v>64.00136850958036</v>
      </c>
      <c r="LT144" s="14">
        <f t="shared" si="269"/>
        <v>574.76660709862961</v>
      </c>
      <c r="LU144" s="59">
        <f t="shared" si="270"/>
        <v>868.09994043196298</v>
      </c>
      <c r="LV144" s="59">
        <f ca="1">AVERAGE(OFFSET($LU$3,0,0,'Données projet'!$E$24+1,1))-AVERAGE(OFFSET($H$3,0,0,'Données projet'!$E$24+1,1))</f>
        <v>260.52627655062872</v>
      </c>
      <c r="LW144" s="59">
        <f t="shared" si="317"/>
        <v>159.20429420478047</v>
      </c>
      <c r="LX144" s="15">
        <f>IF(ISNA(VLOOKUP($A144,'Données projet'!$A$434:$I$454,3,0)),0,VLOOKUP($A144,'Données projet'!$A$434:$I$454,3,0))</f>
        <v>0</v>
      </c>
      <c r="LY144" s="15">
        <f>IF(ISNA(VLOOKUP($A144,'Données projet'!$A$434:$I$454,4,0)),0,VLOOKUP($A144,'Données projet'!$A$434:$I$454,4,0))</f>
        <v>0</v>
      </c>
      <c r="LZ144" s="16">
        <f>IF(ISNA(VLOOKUP($A144,'Données projet'!$A$434:$I$454,5,0)),0%,VLOOKUP($A144,'Données projet'!$A$434:$I$454,5,0)*VLOOKUP('Données projet'!$B$24,Paramètres!$A$1:$I$89,7,0))</f>
        <v>0</v>
      </c>
      <c r="MA144" s="16">
        <f>IF(ISNA(VLOOKUP($A144,'Données projet'!$A$434:$I$454,6,0)),0%,VLOOKUP($A144,'Données projet'!$A$434:$I$454,6,0)*VLOOKUP('Données projet'!$B$24,Paramètres!$A$1:$I$89,7,0))</f>
        <v>0</v>
      </c>
      <c r="MB144" s="16">
        <f>IF(ISNA(VLOOKUP($A144,'Données projet'!$A$434:$I$454,7,0)),0%,VLOOKUP($A144,'Données projet'!$A$434:$I$454,7,0))</f>
        <v>0</v>
      </c>
      <c r="MC144" s="21">
        <f>EXP(-LN(2)/35)*MC143+(1-EXP(-LN(2)/35))/(LN(2)/35)*LY144*LZ144*VLOOKUP('Données projet'!$B$24,Paramètres!$A$1:$I$89,3,0)*0.475*44/12</f>
        <v>50.763565734070205</v>
      </c>
      <c r="MD144" s="21">
        <f>EXP(-LN(2)/25)*MD143+(1-EXP(-LN(2)/25))/(LN(2)/25)*Calculateur!LY144*Calculateur!MA144*VLOOKUP('Données projet'!$B$24,Paramètres!$A$1:$I$89,3,0)*0.475*44/12</f>
        <v>0</v>
      </c>
      <c r="ME144" s="21">
        <f>EXP(-LN(2)/2)*ME143+(1-EXP(-LN(2)/2))/(LN(2)/2)*LY144*MB144*VLOOKUP('Données projet'!$B$24,Paramètres!$A$1:$I$89,3,0)*0.475*44/12</f>
        <v>0</v>
      </c>
      <c r="MF144" s="22">
        <f t="shared" si="271"/>
        <v>50.763565734070205</v>
      </c>
      <c r="MG144" s="74">
        <f>('Scénario référence'!$F$8+'Scénario référence'!$F$9+'Scénario référence'!$B$17+'Scénario référence'!$B$9+'Scénario référence'!$B$10)*70+IF((45+25*(1-EXP(-0.0175*$A144)))&lt;70,'Scénario référence'!$B$16*(45+25*(1-EXP(-0.0175*$A144))),70*'Scénario référence'!$B$16)+IF((32+38*(1-EXP(-0.0175*$A144)))&lt;70,'Scénario référence'!$B$18*(32+38*(1-EXP(-0.0175*$A144))),70*'Scénario référence'!$B$18)</f>
        <v>70</v>
      </c>
      <c r="MH144" s="12">
        <f>IF($A144&gt;30,10,('Scénario référence'!$B$16+'Scénario référence'!$B$17+'Scénario référence'!$B$18+'Scénario référence'!$B$9+'Scénario référence'!$B$10)*$A144*10/30+('Scénario référence'!$F$8+'Scénario référence'!$F$9)*10)</f>
        <v>10</v>
      </c>
      <c r="MI144" s="12" t="e">
        <f>VLOOKUP($A144,'Données projet'!$A$460:$I$480,2,0)</f>
        <v>#N/A</v>
      </c>
      <c r="MJ144" s="12" t="e">
        <f>VLOOKUP($A144,'Données projet'!$A$460:$I$480,9,0)</f>
        <v>#N/A</v>
      </c>
      <c r="MK144" s="12">
        <f t="array" ref="MK144">INDEX(MJ:MJ,MIN(IF(ISNUMBER(MJ144:MJ340),ROW(MJ144:MJ340),"")))</f>
        <v>0</v>
      </c>
      <c r="ML144" s="12">
        <f>IF('Données projet'!$A$460&gt;35,ML143+MK144-MT143,IF($A144&lt;'Données projet'!$A$460,$CQ$205^$A144,IF($A144='Données projet'!$A$460,'Données projet'!$B$460,ML143+MK144-MT143)))</f>
        <v>0</v>
      </c>
      <c r="MM144" s="17" t="e">
        <f>ML144*VLOOKUP('Données projet'!$B$25,Paramètres!$A$1:$I$89,3,0)*VLOOKUP('Données projet'!$B$25,Paramètres!$A$1:$I$89,5,0)</f>
        <v>#N/A</v>
      </c>
      <c r="MN144" s="13" t="e">
        <f t="shared" si="318"/>
        <v>#N/A</v>
      </c>
      <c r="MO144" s="14" t="e">
        <f t="shared" si="272"/>
        <v>#N/A</v>
      </c>
      <c r="MP144" s="59" t="e">
        <f t="shared" si="273"/>
        <v>#N/A</v>
      </c>
      <c r="MQ144" s="20" t="e">
        <f ca="1">AVERAGE(OFFSET($MP$3,0,0,'Données projet'!$E$25+1,1))-AVERAGE(OFFSET($H$3,0,0,'Données projet'!$E$25+1,1))</f>
        <v>#N/A</v>
      </c>
      <c r="MR144" s="59" t="e">
        <f t="shared" si="319"/>
        <v>#N/A</v>
      </c>
      <c r="MS144" s="15">
        <f>IF(ISNA(VLOOKUP($A144,'Données projet'!$A$460:$I$480,3,0)),0,VLOOKUP($A144,'Données projet'!$A$460:$I$480,3,0))</f>
        <v>0</v>
      </c>
      <c r="MT144" s="15">
        <f>IF(ISNA(VLOOKUP($A144,'Données projet'!$A$460:$I$480,4,0)),0,VLOOKUP($A144,'Données projet'!$A$460:$I$480,4,0))</f>
        <v>0</v>
      </c>
      <c r="MU144" s="16">
        <f>IF(ISNA(VLOOKUP($A144,'Données projet'!$A$460:$I$480,5,0)),0%,VLOOKUP($A144,'Données projet'!$A$460:$I$480,5,0)*VLOOKUP('Données projet'!$B$25,Paramètres!$A$1:$I$89,7,0))</f>
        <v>0</v>
      </c>
      <c r="MV144" s="16">
        <f>IF(ISNA(VLOOKUP($A144,'Données projet'!$A$460:$I$480,6,0)),0%,VLOOKUP($A144,'Données projet'!$A$460:$I$480,6,0)*VLOOKUP('Données projet'!$B$25,Paramètres!$A$1:$I$89,7,0))</f>
        <v>0</v>
      </c>
      <c r="MW144" s="16">
        <f>IF(ISNA(VLOOKUP($A144,'Données projet'!$A$460:$I$480,7,0)),0%,VLOOKUP($A144,'Données projet'!$A$460:$I$480,7,0))</f>
        <v>0</v>
      </c>
      <c r="MX144" s="21" t="e">
        <f>EXP(-LN(2)/35)*MX143+(1-EXP(-LN(2)/35))/(LN(2)/35)*MT144*MU144*VLOOKUP('Données projet'!$B$25,Paramètres!$A$1:$I$89,3,0)*0.475*44/12</f>
        <v>#N/A</v>
      </c>
      <c r="MY144" s="21" t="e">
        <f>EXP(-LN(2)/25)*MY143+(1-EXP(-LN(2)/25))/(LN(2)/25)*Calculateur!MT144*Calculateur!MV144*VLOOKUP('Données projet'!$B$25,Paramètres!$A$1:$I$89,3,0)*0.475*44/12</f>
        <v>#N/A</v>
      </c>
      <c r="MZ144" s="21" t="e">
        <f>EXP(-LN(2)/2)*MZ143+(1-EXP(-LN(2)/2))/(LN(2)/2)*MT144*MW144*VLOOKUP('Données projet'!$B$25,Paramètres!$A$1:$I$89,3,0)*0.475*44/12</f>
        <v>#N/A</v>
      </c>
      <c r="NA144" s="22" t="e">
        <f t="shared" si="274"/>
        <v>#N/A</v>
      </c>
      <c r="NB144" s="74">
        <f>('Scénario référence'!$F$8+'Scénario référence'!$F$9+'Scénario référence'!$B$17+'Scénario référence'!$B$9+'Scénario référence'!$B$10)*70+IF((45+25*(1-EXP(-0.0175*$A144)))&lt;70,'Scénario référence'!$B$16*(45+25*(1-EXP(-0.0175*$A144))),70*'Scénario référence'!$B$16)+IF((32+38*(1-EXP(-0.0175*$A144)))&lt;70,'Scénario référence'!$B$18*(32+38*(1-EXP(-0.0175*$A144))),70*'Scénario référence'!$B$18)</f>
        <v>70</v>
      </c>
      <c r="NC144" s="12">
        <f>IF($A144&gt;30,10,('Scénario référence'!$B$16+'Scénario référence'!$B$17+'Scénario référence'!$B$18+'Scénario référence'!$B$9+'Scénario référence'!$B$10)*$A144*10/30+('Scénario référence'!$F$8+'Scénario référence'!$F$9)*10)</f>
        <v>10</v>
      </c>
      <c r="ND144" s="12" t="e">
        <f>VLOOKUP($A144,'Données projet'!$A$486:$I$506,2,0)</f>
        <v>#N/A</v>
      </c>
      <c r="NE144" s="12" t="e">
        <f>VLOOKUP($A144,'Données projet'!$A$486:$I$506,9,0)</f>
        <v>#N/A</v>
      </c>
      <c r="NF144" s="12">
        <f t="array" ref="NF144">INDEX(NE:NE,MIN(IF(ISNUMBER(NE144:NE340),ROW(NE144:NE340),"")))</f>
        <v>0</v>
      </c>
      <c r="NG144" s="12">
        <f>IF('Données projet'!$A$486&gt;35,NG143+NF144-NO143,IF($A144&lt;'Données projet'!$A$486,$CQ$205^$A144,IF($A144='Données projet'!$A$486,'Données projet'!$B$486,NG143+NF144-NO143)))</f>
        <v>0</v>
      </c>
      <c r="NH144" s="17" t="e">
        <f>NG144*VLOOKUP('Données projet'!$B$26,Paramètres!$A$1:$I$89,3,0)*VLOOKUP('Données projet'!$B$26,Paramètres!$A$1:$I$89,5,0)</f>
        <v>#N/A</v>
      </c>
      <c r="NI144" s="13" t="e">
        <f t="shared" si="320"/>
        <v>#N/A</v>
      </c>
      <c r="NJ144" s="14" t="e">
        <f t="shared" si="275"/>
        <v>#N/A</v>
      </c>
      <c r="NK144" s="59" t="e">
        <f t="shared" si="276"/>
        <v>#N/A</v>
      </c>
      <c r="NL144" s="20" t="e">
        <f ca="1">AVERAGE(OFFSET($NK$3,0,0,'Données projet'!$E$26+1,1))-AVERAGE(OFFSET($H$3,0,0,'Données projet'!$E$26+1,1))</f>
        <v>#N/A</v>
      </c>
      <c r="NM144" s="59" t="e">
        <f t="shared" si="321"/>
        <v>#N/A</v>
      </c>
      <c r="NN144" s="15">
        <f>IF(ISNA(VLOOKUP($A144,'Données projet'!$A$486:$I$506,3,0)),0,VLOOKUP($A144,'Données projet'!$A$486:$I$506,3,0))</f>
        <v>0</v>
      </c>
      <c r="NO144" s="15">
        <f>IF(ISNA(VLOOKUP($A144,'Données projet'!$A$486:$I$506,4,0)),0,VLOOKUP($A144,'Données projet'!$A$486:$I$506,4,0))</f>
        <v>0</v>
      </c>
      <c r="NP144" s="16">
        <f>IF(ISNA(VLOOKUP($A144,'Données projet'!$A$486:$I$506,5,0)),0%,VLOOKUP($A144,'Données projet'!$A$486:$I$506,5,0)*VLOOKUP('Données projet'!$B$26,Paramètres!$A$1:$I$89,7,0))</f>
        <v>0</v>
      </c>
      <c r="NQ144" s="16">
        <f>IF(ISNA(VLOOKUP($A144,'Données projet'!$A$486:$I$506,6,0)),0%,VLOOKUP($A144,'Données projet'!$A$486:$I$506,6,0)*VLOOKUP('Données projet'!$B$26,Paramètres!$A$1:$I$89,7,0))</f>
        <v>0</v>
      </c>
      <c r="NR144" s="16">
        <f>IF(ISNA(VLOOKUP($A144,'Données projet'!$A$486:$I$506,7,0)),0%,VLOOKUP($A144,'Données projet'!$A$486:$I$506,7,0))</f>
        <v>0</v>
      </c>
      <c r="NS144" s="21" t="e">
        <f>EXP(-LN(2)/35)*NS143+(1-EXP(-LN(2)/35))/(LN(2)/35)*NO144*NP144*VLOOKUP('Données projet'!$B$26,Paramètres!$A$1:$I$89,3,0)*0.475*44/12</f>
        <v>#N/A</v>
      </c>
      <c r="NT144" s="21" t="e">
        <f>EXP(-LN(2)/25)*NT143+(1-EXP(-LN(2)/25))/(LN(2)/25)*Calculateur!NO144*Calculateur!NQ144*VLOOKUP('Données projet'!$B$26,Paramètres!$A$1:$I$89,3,0)*0.475*44/12</f>
        <v>#N/A</v>
      </c>
      <c r="NU144" s="21" t="e">
        <f>EXP(-LN(2)/2)*NU143+(1-EXP(-LN(2)/2))/(LN(2)/2)*NO144*NR144*VLOOKUP('Données projet'!$B$26,Paramètres!$A$1:$I$89,3,0)*0.475*44/12</f>
        <v>#N/A</v>
      </c>
      <c r="NV144" s="22" t="e">
        <f t="shared" si="277"/>
        <v>#N/A</v>
      </c>
      <c r="NW144" s="74">
        <f>('Scénario référence'!$F$8+'Scénario référence'!$F$9+'Scénario référence'!$B$17+'Scénario référence'!$B$9+'Scénario référence'!$B$10)*70+IF((45+25*(1-EXP(-0.0175*$A144)))&lt;70,'Scénario référence'!$B$16*(45+25*(1-EXP(-0.0175*$A144))),70*'Scénario référence'!$B$16)+IF((32+38*(1-EXP(-0.0175*$A144)))&lt;70,'Scénario référence'!$B$18*(32+38*(1-EXP(-0.0175*$A144))),70*'Scénario référence'!$B$18)</f>
        <v>70</v>
      </c>
      <c r="NX144" s="12">
        <f>IF($A144&gt;30,10,('Scénario référence'!$B$16+'Scénario référence'!$B$17+'Scénario référence'!$B$18+'Scénario référence'!$B$9+'Scénario référence'!$B$10)*$A144*10/30+('Scénario référence'!$F$8+'Scénario référence'!$F$9)*10)</f>
        <v>10</v>
      </c>
      <c r="NY144" s="12" t="e">
        <f>VLOOKUP($A144,'Données projet'!$A$512:$I$532,2,0)</f>
        <v>#N/A</v>
      </c>
      <c r="NZ144" s="12" t="e">
        <f>VLOOKUP($A144,'Données projet'!$A$512:$I$532,9,0)</f>
        <v>#N/A</v>
      </c>
      <c r="OA144" s="12">
        <f t="array" ref="OA144">INDEX(NZ:NZ,MIN(IF(ISNUMBER(NZ144:NZ340),ROW(NZ144:NZ340),"")))</f>
        <v>0</v>
      </c>
      <c r="OB144" s="12">
        <f>IF('Données projet'!$A$512&gt;35,OB143+OA144-OJ143,IF($A144&lt;'Données projet'!$A$512,$CQ$205^$A144,IF($A144='Données projet'!$A$512,'Données projet'!$B$512,OB143+OA144-OJ143)))</f>
        <v>0</v>
      </c>
      <c r="OC144" s="17" t="e">
        <f>OB144*VLOOKUP('Données projet'!$B$27,Paramètres!$A$1:$I$89,3,0)*VLOOKUP('Données projet'!$B$27,Paramètres!$A$1:$I$89,5,0)</f>
        <v>#N/A</v>
      </c>
      <c r="OD144" s="13" t="e">
        <f t="shared" si="322"/>
        <v>#N/A</v>
      </c>
      <c r="OE144" s="14" t="e">
        <f t="shared" si="278"/>
        <v>#N/A</v>
      </c>
      <c r="OF144" s="59" t="e">
        <f t="shared" si="279"/>
        <v>#N/A</v>
      </c>
      <c r="OG144" s="20" t="e">
        <f ca="1">AVERAGE(OFFSET($OF$3,0,0,'Données projet'!$E$27+1,1))-AVERAGE(OFFSET($H$3,0,0,'Données projet'!$E$27+1,1))</f>
        <v>#N/A</v>
      </c>
      <c r="OH144" s="59" t="e">
        <f t="shared" si="323"/>
        <v>#N/A</v>
      </c>
      <c r="OI144" s="15">
        <f>IF(ISNA(VLOOKUP($A144,'Données projet'!$A$512:$I$532,3,0)),0,VLOOKUP($A144,'Données projet'!$A$512:$I$532,3,0))</f>
        <v>0</v>
      </c>
      <c r="OJ144" s="15">
        <f>IF(ISNA(VLOOKUP($A144,'Données projet'!$A$512:$I$532,4,0)),0,VLOOKUP($A144,'Données projet'!$A$512:$I$532,4,0))</f>
        <v>0</v>
      </c>
      <c r="OK144" s="16">
        <f>IF(ISNA(VLOOKUP($A144,'Données projet'!$A$512:$I$532,5,0)),0%,VLOOKUP($A144,'Données projet'!$A$512:$I$532,5,0)*VLOOKUP('Données projet'!$B$27,Paramètres!$A$1:$I$89,7,0))</f>
        <v>0</v>
      </c>
      <c r="OL144" s="16">
        <f>IF(ISNA(VLOOKUP($A144,'Données projet'!$A$512:$I$532,6,0)),0%,VLOOKUP($A144,'Données projet'!$A$512:$I$532,6,0)*VLOOKUP('Données projet'!$B$27,Paramètres!$A$1:$I$89,7,0))</f>
        <v>0</v>
      </c>
      <c r="OM144" s="16">
        <f>IF(ISNA(VLOOKUP($A144,'Données projet'!$A$512:$I$532,7,0)),0%,VLOOKUP($A144,'Données projet'!$A$512:$I$532,7,0))</f>
        <v>0</v>
      </c>
      <c r="ON144" s="21" t="e">
        <f>EXP(-LN(2)/35)*ON143+(1-EXP(-LN(2)/35))/(LN(2)/35)*OJ144*OK144*VLOOKUP('Données projet'!$B$27,Paramètres!$A$1:$I$89,3,0)*0.475*44/12</f>
        <v>#N/A</v>
      </c>
      <c r="OO144" s="21" t="e">
        <f>EXP(-LN(2)/25)*OO143+(1-EXP(-LN(2)/25))/(LN(2)/25)*Calculateur!OJ144*Calculateur!OL144*VLOOKUP('Données projet'!$B$27,Paramètres!$A$1:$I$89,3,0)*0.475*44/12</f>
        <v>#N/A</v>
      </c>
      <c r="OP144" s="21" t="e">
        <f>EXP(-LN(2)/2)*OP143+(1-EXP(-LN(2)/2))/(LN(2)/2)*OJ144*OM144*VLOOKUP('Données projet'!$B$27,Paramètres!$A$1:$I$89,3,0)*0.475*44/12</f>
        <v>#N/A</v>
      </c>
      <c r="OQ144" s="22" t="e">
        <f t="shared" si="280"/>
        <v>#N/A</v>
      </c>
      <c r="OR144" s="74">
        <f>('Scénario référence'!$F$8+'Scénario référence'!$F$9+'Scénario référence'!$B$17+'Scénario référence'!$B$9+'Scénario référence'!$B$10)*70+IF((45+25*(1-EXP(-0.0175*$A144)))&lt;70,'Scénario référence'!$B$16*(45+25*(1-EXP(-0.0175*$A144))),70*'Scénario référence'!$B$16)+IF((32+38*(1-EXP(-0.0175*$A144)))&lt;70,'Scénario référence'!$B$18*(32+38*(1-EXP(-0.0175*$A144))),70*'Scénario référence'!$B$18)</f>
        <v>70</v>
      </c>
      <c r="OS144" s="12">
        <f>IF($A144&gt;30,10,('Scénario référence'!$B$16+'Scénario référence'!$B$17+'Scénario référence'!$B$18+'Scénario référence'!$B$9+'Scénario référence'!$B$10)*$A144*10/30+('Scénario référence'!$F$8+'Scénario référence'!$F$9)*10)</f>
        <v>10</v>
      </c>
      <c r="OT144" s="12" t="e">
        <f>VLOOKUP($A144,'Données projet'!$A$538:$I$558,2,0)</f>
        <v>#N/A</v>
      </c>
      <c r="OU144" s="12" t="e">
        <f>VLOOKUP($A144,'Données projet'!$A$538:$I$558,9,0)</f>
        <v>#N/A</v>
      </c>
      <c r="OV144" s="12">
        <f t="array" ref="OV144">INDEX(OU:OU,MIN(IF(ISNUMBER(OU144:OU340),ROW(OU144:OU340),"")))</f>
        <v>0</v>
      </c>
      <c r="OW144" s="12">
        <f>IF('Données projet'!$A$538&gt;35,OW143+OV144-PE143,IF($A144&lt;'Données projet'!$A$538,$CQ$205^$A144,IF($A144='Données projet'!$A$538,'Données projet'!$B$538,OW143+OV144-PE143)))</f>
        <v>0</v>
      </c>
      <c r="OX144" s="17" t="e">
        <f>OW144*VLOOKUP('Données projet'!$B$28,Paramètres!$A$1:$I$89,3,0)*VLOOKUP('Données projet'!$B$28,Paramètres!$A$1:$I$89,5,0)</f>
        <v>#N/A</v>
      </c>
      <c r="OY144" s="13" t="e">
        <f t="shared" si="324"/>
        <v>#N/A</v>
      </c>
      <c r="OZ144" s="14" t="e">
        <f t="shared" si="281"/>
        <v>#N/A</v>
      </c>
      <c r="PA144" s="59" t="e">
        <f t="shared" si="282"/>
        <v>#N/A</v>
      </c>
      <c r="PB144" s="20" t="e">
        <f ca="1">AVERAGE(OFFSET($PA$3,0,0,'Données projet'!$E$28+1,1))-AVERAGE(OFFSET($H$3,0,0,'Données projet'!$E$28+1,1))</f>
        <v>#N/A</v>
      </c>
      <c r="PC144" s="59" t="e">
        <f t="shared" si="325"/>
        <v>#N/A</v>
      </c>
      <c r="PD144" s="15">
        <f>IF(ISNA(VLOOKUP($A144,'Données projet'!$A$538:$I$558,3,0)),0,VLOOKUP($A144,'Données projet'!$A$538:$I$558,3,0))</f>
        <v>0</v>
      </c>
      <c r="PE144" s="15">
        <f>IF(ISNA(VLOOKUP($A144,'Données projet'!$A$538:$I$558,4,0)),0,VLOOKUP($A144,'Données projet'!$A$538:$I$558,4,0))</f>
        <v>0</v>
      </c>
      <c r="PF144" s="16">
        <f>IF(ISNA(VLOOKUP($A144,'Données projet'!$A$538:$I$558,5,0)),0%,VLOOKUP($A144,'Données projet'!$A$538:$I$558,5,0)*VLOOKUP('Données projet'!$B$28,Paramètres!$A$1:$I$89,7,0))</f>
        <v>0</v>
      </c>
      <c r="PG144" s="16">
        <f>IF(ISNA(VLOOKUP($A144,'Données projet'!$A$538:$I$558,6,0)),0%,VLOOKUP($A144,'Données projet'!$A$538:$I$558,6,0)*VLOOKUP('Données projet'!$B$28,Paramètres!$A$1:$I$89,7,0))</f>
        <v>0</v>
      </c>
      <c r="PH144" s="16">
        <f>IF(ISNA(VLOOKUP($A144,'Données projet'!$A$538:$I$558,7,0)),0%,VLOOKUP($A144,'Données projet'!$A$538:$I$558,7,0))</f>
        <v>0</v>
      </c>
      <c r="PI144" s="21" t="e">
        <f>EXP(-LN(2)/35)*PI143+(1-EXP(-LN(2)/35))/(LN(2)/35)*PE144*PF144*VLOOKUP('Données projet'!$B$28,Paramètres!$A$1:$I$89,3,0)*0.475*44/12</f>
        <v>#N/A</v>
      </c>
      <c r="PJ144" s="21" t="e">
        <f>EXP(-LN(2)/25)*PJ143+(1-EXP(-LN(2)/25))/(LN(2)/25)*Calculateur!PE144*Calculateur!PG144*VLOOKUP('Données projet'!$B$28,Paramètres!$A$1:$I$89,3,0)*0.475*44/12</f>
        <v>#N/A</v>
      </c>
      <c r="PK144" s="21" t="e">
        <f>EXP(-LN(2)/2)*PK143+(1-EXP(-LN(2)/2))/(LN(2)/2)*PE144*PH144*VLOOKUP('Données projet'!$B$28,Paramètres!$A$1:$I$89,3,0)*0.475*44/12</f>
        <v>#N/A</v>
      </c>
      <c r="PL144" s="22" t="e">
        <f t="shared" si="283"/>
        <v>#N/A</v>
      </c>
    </row>
    <row r="145" spans="1:428" x14ac:dyDescent="0.35">
      <c r="A145" s="10">
        <f t="shared" si="284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285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225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projet'!$A$45:$I$65,2,0)</f>
        <v>#N/A</v>
      </c>
      <c r="L145" s="12" t="e">
        <f>VLOOKUP(A145,'Données projet'!$A$45:$I$65,9,0)</f>
        <v>#N/A</v>
      </c>
      <c r="M145" s="12">
        <f t="array" ref="M145">INDEX(L:L,MIN(IF(ISNUMBER(L145:L341),ROW(L145:L341),"")))</f>
        <v>0</v>
      </c>
      <c r="N145" s="13">
        <f>IF('Données projet'!$A$46&gt;35,N144+M145-V144,IF(A145&lt;'Données projet'!$A$46,$K$205^A145,IF(A145='Données projet'!$A$46,'Données projet'!$B$46,N144+M145-V144)))</f>
        <v>-1.1368683772161603E-13</v>
      </c>
      <c r="O145" s="13">
        <f>N145*VLOOKUP('Données projet'!$B$9,Paramètres!$A$1:$I$89,3,0)*VLOOKUP('Données projet'!$B$9,Paramètres!$A$1:$I$89,5,0)</f>
        <v>-6.3550942286383367E-14</v>
      </c>
      <c r="P145" s="13" t="e">
        <f t="shared" si="286"/>
        <v>#NUM!</v>
      </c>
      <c r="Q145" s="20" t="e">
        <f t="shared" si="223"/>
        <v>#NUM!</v>
      </c>
      <c r="R145" s="59" t="e">
        <f t="shared" si="224"/>
        <v>#NUM!</v>
      </c>
      <c r="S145" s="59">
        <f ca="1">AVERAGE(OFFSET($R$3,0,0,'Données projet'!$E$9+1,1))-AVERAGE(OFFSET($H$3,0,0,'Données projet'!$E$9+1,1))</f>
        <v>274.57619581652199</v>
      </c>
      <c r="T145" s="59">
        <f t="shared" si="287"/>
        <v>366.15117322598775</v>
      </c>
      <c r="U145" s="15">
        <f>IF(ISNA(VLOOKUP(A145,'Données projet'!$A$45:$I$65,3,0)),0,VLOOKUP(A145,'Données projet'!$A$45:$I$65,3,0))</f>
        <v>0</v>
      </c>
      <c r="V145" s="15">
        <f>IF(ISNA(VLOOKUP(A145,'Données projet'!$A$45:$I$65,4,0)),0,VLOOKUP(A145,'Données projet'!$A$45:$I$65,4,0))</f>
        <v>0</v>
      </c>
      <c r="W145" s="16">
        <f>IF(ISNA(VLOOKUP(A145,'Données projet'!$A$45:$I$65,5,0)),0%,VLOOKUP(A145,'Données projet'!$A$45:$I$65,5,0)*VLOOKUP('Données projet'!$B$9,Paramètres!$A$1:$I$89,7,0))</f>
        <v>0</v>
      </c>
      <c r="X145" s="16">
        <f>IF(ISNA(VLOOKUP(A145,'Données projet'!$A$45:$I$65,6,0)),0%,VLOOKUP(A145,'Données projet'!$A$45:$I$65,6,0)*VLOOKUP('Données projet'!$B$9,Paramètres!$A$1:$I$89,7,0))</f>
        <v>0</v>
      </c>
      <c r="Y145" s="16">
        <f>IF(ISNA(VLOOKUP(A145,'Données projet'!$A$45:$I$65,7,0)),0%,VLOOKUP(A145,'Données projet'!$A$45:$I$65,7,0))</f>
        <v>0</v>
      </c>
      <c r="Z145" s="21">
        <f>EXP(-LN(2)/35)*Z144+(1-EXP(-LN(2)/35))/(LN(2)/35)*V145*W145*VLOOKUP('Données projet'!$B$9,Paramètres!$A$1:$I$89,3,0)*0.475*44/12</f>
        <v>40.466415141661109</v>
      </c>
      <c r="AA145" s="21">
        <f>EXP(-LN(2)/25)*AA144+(1-EXP(-LN(2)/25))/(LN(2)/25)*Calculateur!V145*Calculateur!X145*VLOOKUP('Données projet'!$B$9,Paramètres!$A$1:$I$89,3,0)*0.475*44/12</f>
        <v>5.1629272261709467</v>
      </c>
      <c r="AB145" s="21">
        <f>EXP(-LN(2)/2)*AB144+(1-EXP(-LN(2)/2))/(LN(2)/2)*V145*Y145*VLOOKUP('Données projet'!$B$9,Paramètres!$A$1:$I$89,3,0)*0.475*44/12</f>
        <v>2.7461839767378352E-12</v>
      </c>
      <c r="AC145" s="22">
        <f t="shared" si="226"/>
        <v>45.629342367834795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projet'!$A$71:$I$91,2,0)</f>
        <v>#N/A</v>
      </c>
      <c r="AG145" s="12" t="e">
        <f>VLOOKUP(A145,'Données projet'!$A$71:$I$91,9,0)</f>
        <v>#N/A</v>
      </c>
      <c r="AH145" s="12">
        <f t="array" ref="AH145">INDEX(AG:AG,MIN(IF(ISNUMBER(AG145:AG341),ROW(AG145:AG341),"")))</f>
        <v>0</v>
      </c>
      <c r="AI145" s="13">
        <f>IF('Données projet'!$A$72&gt;35,AI144+AH145-AQ144,IF(A145&lt;'Données projet'!$A$72,$AF$205^A145,IF(A145='Données projet'!$A$72,'Données projet'!$B$72,AI144+AH145-AQ144)))</f>
        <v>5.6843418860808015E-13</v>
      </c>
      <c r="AJ145" s="13">
        <f>AI145*VLOOKUP('Données projet'!$B$10,Paramètres!$A$1:$I$89,3,0)*VLOOKUP('Données projet'!$B$10,Paramètres!$A$1:$I$89,5,0)</f>
        <v>5.1431925385259092E-13</v>
      </c>
      <c r="AK145" s="13">
        <f t="shared" si="288"/>
        <v>6.3855359115685756E-12</v>
      </c>
      <c r="AL145" s="20">
        <f t="shared" si="227"/>
        <v>1.2017247746441865E-11</v>
      </c>
      <c r="AM145" s="59">
        <f t="shared" si="228"/>
        <v>293.33333333334531</v>
      </c>
      <c r="AN145" s="59">
        <f ca="1">AVERAGE(OFFSET($AM$3,0,0,'Données projet'!$E$10+1,1))-AVERAGE(OFFSET($H$3,0,0,'Données projet'!$E$10+1,1))</f>
        <v>270.87836509222456</v>
      </c>
      <c r="AO145" s="59">
        <f t="shared" si="289"/>
        <v>205.24998237949734</v>
      </c>
      <c r="AP145" s="15">
        <f>IF(ISNA(VLOOKUP(A145,'Données projet'!$A$71:$I$91,3,0)),0,VLOOKUP(A145,'Données projet'!$A$71:$I$91,3,0))</f>
        <v>0</v>
      </c>
      <c r="AQ145" s="15">
        <f>IF(ISNA(VLOOKUP(A145,'Données projet'!$A$71:$I$91,4,0)),0,VLOOKUP(A145,'Données projet'!$A$71:$I$91,4,0))</f>
        <v>0</v>
      </c>
      <c r="AR145" s="16">
        <f>IF(ISNA(VLOOKUP(A145,'Données projet'!$A$71:$I$91,5,0)),0%,VLOOKUP(A145,'Données projet'!$A$71:$I$91,5,0)*VLOOKUP('Données projet'!$B$10,Paramètres!$A$1:$I$89,7,0))</f>
        <v>0</v>
      </c>
      <c r="AS145" s="16">
        <f>IF(ISNA(VLOOKUP(A145,'Données projet'!$A$71:$I$91,6,0)),0%,VLOOKUP(A145,'Données projet'!$A$71:$I$91,6,0)*VLOOKUP('Données projet'!$B$10,Paramètres!$A$1:$I$89,7,0))</f>
        <v>0</v>
      </c>
      <c r="AT145" s="16">
        <f>IF(ISNA(VLOOKUP(A145,'Données projet'!$A$71:$I$91,7,0)),0%,VLOOKUP(A145,'Données projet'!$A$71:$I$91,7,0))</f>
        <v>0</v>
      </c>
      <c r="AU145" s="21">
        <f>EXP(-LN(2)/35)*AU144+(1-EXP(-LN(2)/35))/(LN(2)/35)*AQ145*AR145*VLOOKUP('Données projet'!$B$10,Paramètres!$A$1:$I$89,3,0)*0.475*44/12</f>
        <v>137.51518856807863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229"/>
        <v>137.51518856807863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projet'!$A$97:$I$117,2,0)</f>
        <v>#N/A</v>
      </c>
      <c r="BB145" s="12" t="e">
        <f>VLOOKUP(A145,'Données projet'!$A$97:$I$117,9,0)</f>
        <v>#N/A</v>
      </c>
      <c r="BC145" s="12">
        <f t="array" ref="BC145">INDEX(BB:BB,MIN(IF(ISNUMBER(BB145:BB341),ROW(BB145:BB341),"")))</f>
        <v>0</v>
      </c>
      <c r="BD145" s="12">
        <f>IF('Données projet'!$A$98&gt;35,BD144+BC145-BL144,IF(A145&lt;'Données projet'!$A$98,$BA$205^A145,IF(A145='Données projet'!$A$98,'Données projet'!$B$98,BD144+BC145-BL144)))</f>
        <v>-1.1368683772161603E-13</v>
      </c>
      <c r="BE145" s="13">
        <f>BD145*VLOOKUP('Données projet'!$B$11,Paramètres!$A$1:$I$89,3,0)*VLOOKUP('Données projet'!$B$11,Paramètres!$A$1:$I$89,5,0)</f>
        <v>-5.0249582272954292E-14</v>
      </c>
      <c r="BF145" s="13" t="e">
        <f t="shared" si="290"/>
        <v>#NUM!</v>
      </c>
      <c r="BG145" s="20" t="e">
        <f t="shared" si="230"/>
        <v>#NUM!</v>
      </c>
      <c r="BH145" s="59" t="e">
        <f t="shared" si="231"/>
        <v>#NUM!</v>
      </c>
      <c r="BI145" s="59">
        <f ca="1">AVERAGE(OFFSET($BH$3,0,0,'Données projet'!$E$11+1,1))-AVERAGE(OFFSET($H$3,0,0,'Données projet'!$E$11+1,1))</f>
        <v>211.31057120485542</v>
      </c>
      <c r="BJ145" s="59">
        <f t="shared" si="291"/>
        <v>283.33292006714777</v>
      </c>
      <c r="BK145" s="15">
        <f>IF(ISNA(VLOOKUP(A145,'Données projet'!$A$97:$I$117,3,0)),0,VLOOKUP(A145,'Données projet'!$A$97:$I$117,3,0))</f>
        <v>0</v>
      </c>
      <c r="BL145" s="15">
        <f>IF(ISNA(VLOOKUP(A145,'Données projet'!$A$97:$I$117,4,0)),0,VLOOKUP(A145,'Données projet'!$A$97:$I$117,4,0))</f>
        <v>0</v>
      </c>
      <c r="BM145" s="16">
        <f>IF(ISNA(VLOOKUP(A145,'Données projet'!$A$97:$I$117,5,0)),0%,VLOOKUP(A145,'Données projet'!$A$97:$I$117,5,0)*VLOOKUP('Données projet'!$B$11,Paramètres!$A$1:$I$89,7,0))</f>
        <v>0</v>
      </c>
      <c r="BN145" s="16">
        <f>IF(ISNA(VLOOKUP(A145,'Données projet'!$A$97:$I$117,6,0)),0%,VLOOKUP(A145,'Données projet'!$A$97:$I$117,6,0)*VLOOKUP('Données projet'!$B$11,Paramètres!$A$1:$I$89,7,0))</f>
        <v>0</v>
      </c>
      <c r="BO145" s="16">
        <f>IF(ISNA(VLOOKUP(A145,'Données projet'!$A$97:$I$117,7,0)),0%,VLOOKUP(A145,'Données projet'!$A$97:$I$117,7,0))</f>
        <v>0</v>
      </c>
      <c r="BP145" s="21">
        <f>EXP(-LN(2)/35)*BP144+(1-EXP(-LN(2)/35))/(LN(2)/35)*BL145*BM145*VLOOKUP('Données projet'!$B$11,Paramètres!$A$1:$I$89,3,0)*0.475*44/12</f>
        <v>31.99670034456927</v>
      </c>
      <c r="BQ145" s="21">
        <f>EXP(-LN(2)/25)*BQ144+(1-EXP(-LN(2)/25))/(LN(2)/25)*Calculateur!BL145*Calculateur!BN145*VLOOKUP('Données projet'!$B$11,Paramètres!$A$1:$I$89,3,0)*0.475*44/12</f>
        <v>4.0823145509258634</v>
      </c>
      <c r="BR145" s="21">
        <f>EXP(-LN(2)/2)*BR144+(1-EXP(-LN(2)/2))/(LN(2)/2)*BL145*BO145*VLOOKUP('Données projet'!$B$11,Paramètres!$A$1:$I$89,3,0)*0.475*44/12</f>
        <v>2.1714012839322413E-12</v>
      </c>
      <c r="BS145" s="22">
        <f t="shared" si="232"/>
        <v>36.079014895497309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projet'!$A$123:$I$143,2,0)</f>
        <v>#N/A</v>
      </c>
      <c r="BW145" s="12" t="e">
        <f>VLOOKUP(A145,'Données projet'!$A$123:$I$143,9,0)</f>
        <v>#N/A</v>
      </c>
      <c r="BX145" s="12">
        <f t="array" ref="BX145">INDEX(BW:BW,MIN(IF(ISNUMBER(BW145:BW341),ROW(BW145:BW341),"")))</f>
        <v>0</v>
      </c>
      <c r="BY145" s="12">
        <f>IF('Données projet'!$A$124&gt;35,BY144+BX145-CG144,IF(A145&lt;'Données projet'!$A$124,$BV$205^A145,IF(A145='Données projet'!$A$124,'Données projet'!$B$124,BY144+BX145-CG144)))</f>
        <v>0</v>
      </c>
      <c r="BZ145" s="13">
        <f>BY145*VLOOKUP('Données projet'!$B$12,Paramètres!$A$1:$I$89,3,0)*VLOOKUP('Données projet'!$B$12,Paramètres!$A$1:$I$89,5,0)</f>
        <v>0</v>
      </c>
      <c r="CA145" s="13" t="e">
        <f t="shared" si="292"/>
        <v>#NUM!</v>
      </c>
      <c r="CB145" s="20" t="e">
        <f t="shared" si="233"/>
        <v>#NUM!</v>
      </c>
      <c r="CC145" s="59" t="e">
        <f t="shared" si="234"/>
        <v>#NUM!</v>
      </c>
      <c r="CD145" s="59">
        <f ca="1">AVERAGE(OFFSET($CC$3,0,0,'Données projet'!$E$12+1,1))-AVERAGE(OFFSET($H$3,0,0,'Données projet'!$E$12+1,1))</f>
        <v>322.93502595881938</v>
      </c>
      <c r="CE145" s="59">
        <f t="shared" si="293"/>
        <v>302.67072119588164</v>
      </c>
      <c r="CF145" s="15">
        <f>IF(ISNA(VLOOKUP(A145,'Données projet'!$A$123:$I$143,3,0)),0,VLOOKUP(A145,'Données projet'!$A$123:$I$143,3,0))</f>
        <v>0</v>
      </c>
      <c r="CG145" s="15">
        <f>IF(ISNA(VLOOKUP(A145,'Données projet'!$A$123:$I$143,4,0)),0,VLOOKUP(A145,'Données projet'!$A$123:$I$143,4,0))</f>
        <v>0</v>
      </c>
      <c r="CH145" s="16">
        <f>IF(ISNA(VLOOKUP(A145,'Données projet'!$A$123:$I$143,5,0)),0%,VLOOKUP(A145,'Données projet'!$A$123:$I$143,5,0)*VLOOKUP('Données projet'!$B$12,Paramètres!$A$1:$I$89,7,0))</f>
        <v>0</v>
      </c>
      <c r="CI145" s="16">
        <f>IF(ISNA(VLOOKUP(A145,'Données projet'!$A$123:$I$143,6,0)),0%,VLOOKUP(A145,'Données projet'!$A$123:$I$143,6,0)*VLOOKUP('Données projet'!$B$12,Paramètres!$A$1:$I$89,7,0))</f>
        <v>0</v>
      </c>
      <c r="CJ145" s="16">
        <f>IF(ISNA(VLOOKUP(A145,'Données projet'!$A$123:$I$143,7,0)),0%,VLOOKUP(A145,'Données projet'!$A$123:$I$143,7,0))</f>
        <v>0</v>
      </c>
      <c r="CK145" s="21">
        <f>EXP(-LN(2)/35)*CK144+(1-EXP(-LN(2)/35))/(LN(2)/35)*CG145*CH145*VLOOKUP('Données projet'!$B$12,Paramètres!$A$1:$I$89,3,0)*0.475*44/12</f>
        <v>50.97847514637786</v>
      </c>
      <c r="CL145" s="21">
        <f>EXP(-LN(2)/25)*CL144+(1-EXP(-LN(2)/25))/(LN(2)/25)*Calculateur!CG145*Calculateur!CI145*VLOOKUP('Données projet'!$B$12,Paramètres!$A$1:$I$89,3,0)*0.475*44/12</f>
        <v>13.065876522349372</v>
      </c>
      <c r="CM145" s="21">
        <f>EXP(-LN(2)/2)*CM144+(1-EXP(-LN(2)/2))/(LN(2)/2)*CG145*CJ145*VLOOKUP('Données projet'!$B$12,Paramètres!$A$1:$I$89,3,0)*0.475*44/12</f>
        <v>0</v>
      </c>
      <c r="CN145" s="22">
        <f t="shared" si="235"/>
        <v>64.044351668727231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projet'!$A$149:$I$169,2,0)</f>
        <v>#N/A</v>
      </c>
      <c r="CR145" s="12" t="e">
        <f>VLOOKUP(A145,'Données projet'!$A$149:$I$169,9,0)</f>
        <v>#N/A</v>
      </c>
      <c r="CS145" s="12">
        <f t="array" ref="CS145">INDEX(CR:CR,MIN(IF(ISNUMBER(CR145:CR341),ROW(CR145:CR341),"")))</f>
        <v>5.1063034188034209</v>
      </c>
      <c r="CT145" s="12">
        <f>IF('Données projet'!$A$150&gt;35,CT144+CS145-DB144,IF(A145&lt;'Données projet'!$A$150,$CQ$205^A145,IF(A145='Données projet'!$A$150,'Données projet'!$B$150,CT144+CS145-DB144)))</f>
        <v>267.4417735042731</v>
      </c>
      <c r="CU145" s="17">
        <f>CT145*VLOOKUP('Données projet'!$B$13,Paramètres!$A$1:$I$89,3,0)*VLOOKUP('Données projet'!$B$13,Paramètres!$A$1:$I$89,5,0)</f>
        <v>271.18595833333296</v>
      </c>
      <c r="CV145" s="13">
        <f t="shared" si="294"/>
        <v>65.100895340597489</v>
      </c>
      <c r="CW145" s="20">
        <f t="shared" si="236"/>
        <v>585.69960348209554</v>
      </c>
      <c r="CX145" s="59">
        <f t="shared" si="237"/>
        <v>879.03293681542891</v>
      </c>
      <c r="CY145" s="59">
        <f ca="1">AVERAGE(OFFSET($CX$3,0,0,'Données projet'!$E$13+1,1))-AVERAGE(OFFSET($H$3,0,0,'Données projet'!$E$13+1,1))</f>
        <v>250.31277422753283</v>
      </c>
      <c r="CZ145" s="59">
        <f t="shared" si="295"/>
        <v>159.20429420478047</v>
      </c>
      <c r="DA145" s="15">
        <f>IF(ISNA(VLOOKUP(A145,'Données projet'!$A$149:$I$169,3,0)),0,VLOOKUP(A145,'Données projet'!$A$149:$I$169,3,0))</f>
        <v>0</v>
      </c>
      <c r="DB145" s="15">
        <f>IF(ISNA(VLOOKUP(A145,'Données projet'!$A$149:$I$169,4,0)),0,VLOOKUP(A145,'Données projet'!$A$149:$I$169,4,0))</f>
        <v>0</v>
      </c>
      <c r="DC145" s="16">
        <f>IF(ISNA(VLOOKUP(A145,'Données projet'!$A$149:$I$169,5,0)),0%,VLOOKUP(A145,'Données projet'!$A$149:$I$169,5,0)*VLOOKUP('Données projet'!$B$13,Paramètres!$A$1:$I$89,7,0))</f>
        <v>0</v>
      </c>
      <c r="DD145" s="16">
        <f>IF(ISNA(VLOOKUP(A145,'Données projet'!$A$149:$I$169,6,0)),0%,VLOOKUP(A145,'Données projet'!$A$149:$I$169,6,0)*VLOOKUP('Données projet'!$B$13,Paramètres!$A$1:$I$89,7,0))</f>
        <v>0</v>
      </c>
      <c r="DE145" s="16">
        <f>IF(ISNA(VLOOKUP(A145,'Données projet'!$A$149:$I$169,7,0)),0%,VLOOKUP(A145,'Données projet'!$A$149:$I$169,7,0))</f>
        <v>0</v>
      </c>
      <c r="DF145" s="21">
        <f>EXP(-LN(2)/35)*DF144+(1-EXP(-LN(2)/35))/(LN(2)/35)*DB145*DC145*VLOOKUP('Données projet'!$B$13,Paramètres!$A$1:$I$89,3,0)*0.475*44/12</f>
        <v>49.768123172742875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238"/>
        <v>49.768123172742875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projet'!$A$175:$I$195,2,0)</f>
        <v>#N/A</v>
      </c>
      <c r="DM145" s="12" t="e">
        <f>VLOOKUP(A145,'Données projet'!$A$175:$I$195,9,0)</f>
        <v>#N/A</v>
      </c>
      <c r="DN145" s="12">
        <f t="array" ref="DN145">INDEX(DM:DM,MIN(IF(ISNUMBER(DM145:DM341),ROW(DM145:DM341),"")))</f>
        <v>0</v>
      </c>
      <c r="DO145" s="12">
        <f>IF('Données projet'!$A$176&gt;35,DO144+DN145-DW144,IF(A145&lt;'Données projet'!$A$176,$DL$205^A145,IF(A145='Données projet'!$A$176,'Données projet'!$B$176,DO144+DN145-DW144)))</f>
        <v>-2.8421709430404007E-13</v>
      </c>
      <c r="DP145" s="17">
        <f>DO145*VLOOKUP('Données projet'!$B$14,Paramètres!$A$1:$I$89,3,0)*VLOOKUP('Données projet'!$B$14,Paramètres!$A$1:$I$89,5,0)</f>
        <v>-2.0838797354372215E-13</v>
      </c>
      <c r="DQ145" s="13" t="e">
        <f t="shared" si="296"/>
        <v>#NUM!</v>
      </c>
      <c r="DR145" s="20" t="e">
        <f t="shared" si="239"/>
        <v>#NUM!</v>
      </c>
      <c r="DS145" s="59" t="e">
        <f t="shared" si="240"/>
        <v>#NUM!</v>
      </c>
      <c r="DT145" s="59">
        <f ca="1">AVERAGE(OFFSET($DS$3,0,0,'Données projet'!$E$14+1,1))-AVERAGE(OFFSET($H$3,0,0,'Données projet'!$E$14+1,1))</f>
        <v>296.91321813251051</v>
      </c>
      <c r="DU145" s="59">
        <f t="shared" si="297"/>
        <v>291.0718079639509</v>
      </c>
      <c r="DV145" s="15">
        <f>IF(ISNA(VLOOKUP(A145,'Données projet'!$A$175:$I$195,3,0)),0,VLOOKUP(A145,'Données projet'!$A$175:$I$195,3,0))</f>
        <v>0</v>
      </c>
      <c r="DW145" s="15">
        <f>IF(ISNA(VLOOKUP(A145,'Données projet'!$A$175:$I$195,4,0)),0,VLOOKUP(A145,'Données projet'!$A$175:$I$195,4,0))</f>
        <v>0</v>
      </c>
      <c r="DX145" s="16">
        <f>IF(ISNA(VLOOKUP(A145,'Données projet'!$A$175:$I$195,5,0)),0%,VLOOKUP(A145,'Données projet'!$A$175:$I$195,5,0)*VLOOKUP('Données projet'!$B$14,Paramètres!$A$1:$I$89,7,0))</f>
        <v>0</v>
      </c>
      <c r="DY145" s="16">
        <f>IF(ISNA(VLOOKUP(A145,'Données projet'!$A$175:$I$195,6,0)),0%,VLOOKUP(A145,'Données projet'!$A$175:$I$195,6,0)*VLOOKUP('Données projet'!$B$14,Paramètres!$A$1:$I$89,7,0))</f>
        <v>0</v>
      </c>
      <c r="DZ145" s="16">
        <f>IF(ISNA(VLOOKUP(A145,'Données projet'!$A$175:$I$195,7,0)),0%,VLOOKUP(A145,'Données projet'!$A$175:$I$195,7,0))</f>
        <v>0</v>
      </c>
      <c r="EA145" s="21">
        <f>EXP(-LN(2)/35)*EA144+(1-EXP(-LN(2)/35))/(LN(2)/35)*DW145*DX145*VLOOKUP('Données projet'!$B$14,Paramètres!$A$1:$I$89,3,0)*0.475*44/12</f>
        <v>50.809173441062292</v>
      </c>
      <c r="EB145" s="21">
        <f>EXP(-LN(2)/25)*EB144+(1-EXP(-LN(2)/25))/(LN(2)/25)*Calculateur!DW145*Calculateur!DY145*VLOOKUP('Données projet'!$B$14,Paramètres!$A$1:$I$89,3,0)*0.475*44/12</f>
        <v>0.95983113937097853</v>
      </c>
      <c r="EC145" s="21">
        <f>EXP(-LN(2)/2)*EC144+(1-EXP(-LN(2)/2))/(LN(2)/2)*DW145*DZ145*VLOOKUP('Données projet'!$B$14,Paramètres!$A$1:$I$89,3,0)*0.475*44/12</f>
        <v>0</v>
      </c>
      <c r="ED145" s="22">
        <f t="shared" si="241"/>
        <v>51.769004580433268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projet'!$A$201:$I$221,2,0)</f>
        <v>#N/A</v>
      </c>
      <c r="EH145" s="12" t="e">
        <f>VLOOKUP(A145,'Données projet'!$A$201:$I$221,9,0)</f>
        <v>#N/A</v>
      </c>
      <c r="EI145" s="12">
        <f t="array" ref="EI145">INDEX(EH:EH,MIN(IF(ISNUMBER(EH145:EH341),ROW(EH145:EH341),"")))</f>
        <v>0</v>
      </c>
      <c r="EJ145" s="12">
        <f>IF('Données projet'!$A$202&gt;35,EJ144+EI145-ER144,IF(A145&lt;'Données projet'!$A$202,$EG$205^A145,IF(A145='Données projet'!$A$202,'Données projet'!$B$202,EJ144+EI145-ER144)))</f>
        <v>5.1159076974727213E-13</v>
      </c>
      <c r="EK145" s="17">
        <f>EJ145*VLOOKUP('Données projet'!$B$15,Paramètres!$A$1:$I$89,3,0)*VLOOKUP('Données projet'!$B$15,Paramètres!$A$1:$I$89,5,0)</f>
        <v>2.3942448024172334E-13</v>
      </c>
      <c r="EL145" s="13">
        <f t="shared" si="298"/>
        <v>3.2492669905861755E-12</v>
      </c>
      <c r="EM145" s="20">
        <f t="shared" si="242"/>
        <v>6.0761376450252565E-12</v>
      </c>
      <c r="EN145" s="59">
        <f t="shared" si="243"/>
        <v>293.3333333333394</v>
      </c>
      <c r="EO145" s="59">
        <f ca="1">AVERAGE(OFFSET($EN$3,0,0,'Données projet'!$E$15+1,1))-AVERAGE(OFFSET($H$3,0,0,'Données projet'!$E$15+1,1))</f>
        <v>147.64256291235483</v>
      </c>
      <c r="EP145" s="59">
        <f t="shared" si="299"/>
        <v>70.859031694091868</v>
      </c>
      <c r="EQ145" s="15">
        <f>IF(ISNA(VLOOKUP(A145,'Données projet'!$A$201:$I$221,3,0)),0,VLOOKUP(A145,'Données projet'!$A$201:$I$221,3,0))</f>
        <v>0</v>
      </c>
      <c r="ER145" s="15">
        <f>IF(ISNA(VLOOKUP(A145,'Données projet'!$A$201:$I$221,4,0)),0,VLOOKUP(A145,'Données projet'!$A$201:$I$221,4,0))</f>
        <v>0</v>
      </c>
      <c r="ES145" s="16">
        <f>IF(ISNA(VLOOKUP(A145,'Données projet'!$A$201:$I$221,5,0)),0%,VLOOKUP(A145,'Données projet'!$A$201:$I$221,5,0)*VLOOKUP('Données projet'!$B$15,Paramètres!$A$1:$I$89,7,0))</f>
        <v>0</v>
      </c>
      <c r="ET145" s="16">
        <f>IF(ISNA(VLOOKUP(A145,'Données projet'!$A$201:$I$221,6,0)),0%,VLOOKUP(A145,'Données projet'!$A$201:$I$221,6,0)*VLOOKUP('Données projet'!$B$15,Paramètres!$A$1:$I$89,7,0))</f>
        <v>0</v>
      </c>
      <c r="EU145" s="16">
        <f>IF(ISNA(VLOOKUP(A145,'Données projet'!$A$201:$I$221,7,0)),0%,VLOOKUP(A145,'Données projet'!$A$201:$I$221,7,0))</f>
        <v>0</v>
      </c>
      <c r="EV145" s="21">
        <f>EXP(-LN(2)/35)*EV144+(1-EXP(-LN(2)/35))/(LN(2)/35)*ER145*ES145*VLOOKUP('Données projet'!$B$15,Paramètres!$A$1:$I$89,3,0)*0.475*44/12</f>
        <v>69.558559337657059</v>
      </c>
      <c r="EW145" s="21">
        <f>EXP(-LN(2)/25)*EW144+(1-EXP(-LN(2)/25))/(LN(2)/25)*Calculateur!ER145*Calculateur!ET145*VLOOKUP('Données projet'!$B$15,Paramètres!$A$1:$I$89,3,0)*0.475*44/12</f>
        <v>13.316690045243309</v>
      </c>
      <c r="EX145" s="21">
        <f>EXP(-LN(2)/2)*EX144+(1-EXP(-LN(2)/2))/(LN(2)/2)*ER145*EU145*VLOOKUP('Données projet'!$B$15,Paramètres!$A$1:$I$89,3,0)*0.475*44/12</f>
        <v>1.9797489391159103E-4</v>
      </c>
      <c r="EY145" s="22">
        <f t="shared" si="244"/>
        <v>82.875447357794272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projet'!$A$227:$I$247,2,0)</f>
        <v>#N/A</v>
      </c>
      <c r="FC145" s="12" t="e">
        <f>VLOOKUP(A145,'Données projet'!$A$227:$I$247,9,0)</f>
        <v>#N/A</v>
      </c>
      <c r="FD145" s="12">
        <f t="array" ref="FD145">INDEX(FC:FC,MIN(IF(ISNUMBER(FC145:FC341),ROW(FC145:FC341),"")))</f>
        <v>0</v>
      </c>
      <c r="FE145" s="12">
        <f>IF('Données projet'!$A$228&gt;35,FE144+FD145-FM144,IF(A145&lt;'Données projet'!$A$228,$FB$205^A145,IF(A145='Données projet'!$A$228,'Données projet'!$B$228,FE144+FD145-FM144)))</f>
        <v>8.5265128291212022E-14</v>
      </c>
      <c r="FF145" s="17">
        <f>FE145*VLOOKUP('Données projet'!$B$16,Paramètres!$A$1:$I$89,3,0)*VLOOKUP('Données projet'!$B$16,Paramètres!$A$1:$I$89,5,0)</f>
        <v>8.9119112089974823E-14</v>
      </c>
      <c r="FG145" s="13">
        <f t="shared" si="300"/>
        <v>1.3568952080113142E-12</v>
      </c>
      <c r="FH145" s="20">
        <f t="shared" si="245"/>
        <v>2.5184749408430782E-12</v>
      </c>
      <c r="FI145" s="59">
        <f t="shared" si="246"/>
        <v>293.33333333333582</v>
      </c>
      <c r="FJ145" s="59">
        <f ca="1">AVERAGE(OFFSET($FI$3,0,0,'Données projet'!$E$16+1,1))-AVERAGE(OFFSET($H$3,0,0,'Données projet'!$E$16+1,1))</f>
        <v>259.03906550253788</v>
      </c>
      <c r="FK145" s="59">
        <f t="shared" si="301"/>
        <v>235.54542903570831</v>
      </c>
      <c r="FL145" s="15">
        <f>IF(ISNA(VLOOKUP(A145,'Données projet'!$A$227:$I$247,3,0)),0,VLOOKUP(A145,'Données projet'!$A$227:$I$247,3,0))</f>
        <v>0</v>
      </c>
      <c r="FM145" s="15">
        <f>IF(ISNA(VLOOKUP(A145,'Données projet'!$A$227:$I$247,4,0)),0,VLOOKUP(A145,'Données projet'!$A$227:$I$247,4,0))</f>
        <v>0</v>
      </c>
      <c r="FN145" s="16">
        <f>IF(ISNA(VLOOKUP(A145,'Données projet'!$A$227:$I$247,5,0)),0%,VLOOKUP(A145,'Données projet'!$A$227:$I$247,5,0)*VLOOKUP('Données projet'!$B$16,Paramètres!$A$1:$I$89,7,0))</f>
        <v>0</v>
      </c>
      <c r="FO145" s="16">
        <f>IF(ISNA(VLOOKUP(A145,'Données projet'!$A$227:$I$247,6,0)),0%,VLOOKUP(A145,'Données projet'!$A$227:$I$247,6,0)*VLOOKUP('Données projet'!$B$16,Paramètres!$A$1:$I$89,7,0))</f>
        <v>0</v>
      </c>
      <c r="FP145" s="16">
        <f>IF(ISNA(VLOOKUP(A145,'Données projet'!$A$227:$I$247,7,0)),0%,VLOOKUP(A145,'Données projet'!$A$227:$I$247,7,0))</f>
        <v>0</v>
      </c>
      <c r="FQ145" s="21">
        <f>EXP(-LN(2)/35)*FQ144+(1-EXP(-LN(2)/35))/(LN(2)/35)*FM145*FN145*VLOOKUP('Données projet'!$B$16,Paramètres!$A$1:$I$89,3,0)*0.475*44/12</f>
        <v>30.701257705527066</v>
      </c>
      <c r="FR145" s="21">
        <f>EXP(-LN(2)/25)*FR144+(1-EXP(-LN(2)/25))/(LN(2)/25)*Calculateur!FM145*Calculateur!FO145*VLOOKUP('Données projet'!$B$16,Paramètres!$A$1:$I$89,3,0)*0.475*44/12</f>
        <v>18.319433011572507</v>
      </c>
      <c r="FS145" s="21">
        <f>EXP(-LN(2)/2)*FS144+(1-EXP(-LN(2)/2))/(LN(2)/2)*FM145*FP145*VLOOKUP('Données projet'!$B$16,Paramètres!$A$1:$I$89,3,0)*0.475*44/12</f>
        <v>0</v>
      </c>
      <c r="FT145" s="22">
        <f t="shared" si="247"/>
        <v>49.020690717099569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projet'!$A$253:$I$273,2,0)</f>
        <v>#N/A</v>
      </c>
      <c r="FX145" s="12" t="e">
        <f>VLOOKUP(A145,'Données projet'!$A$253:$I$273,9,0)</f>
        <v>#N/A</v>
      </c>
      <c r="FY145" s="12">
        <f t="array" ref="FY145">INDEX(FX:FX,MIN(IF(ISNUMBER(FX145:FX341),ROW(FX145:FX341),"")))</f>
        <v>0</v>
      </c>
      <c r="FZ145" s="12">
        <f>IF('Données projet'!$A$254&gt;35,FZ144+FY145-GH144,IF(A145&lt;'Données projet'!$A$254,$FW$205^A145,IF(A145='Données projet'!$A$254,'Données projet'!$B$254,FZ144+FY145-GH144)))</f>
        <v>-1.7053025658242404E-13</v>
      </c>
      <c r="GA145" s="17">
        <f>FZ145*VLOOKUP('Données projet'!$B$17,Paramètres!$A$1:$I$89,3,0)*VLOOKUP('Données projet'!$B$17,Paramètres!$A$1:$I$89,5,0)</f>
        <v>-1.4897523215040567E-13</v>
      </c>
      <c r="GB145" s="13" t="e">
        <f t="shared" si="302"/>
        <v>#NUM!</v>
      </c>
      <c r="GC145" s="20" t="e">
        <f t="shared" si="248"/>
        <v>#NUM!</v>
      </c>
      <c r="GD145" s="59" t="e">
        <f t="shared" si="249"/>
        <v>#NUM!</v>
      </c>
      <c r="GE145" s="59">
        <f ca="1">AVERAGE(OFFSET($GD$3,0,0,'Données projet'!$E$17+1,1))-AVERAGE(OFFSET($H$3,0,0,'Données projet'!$E$17+1,1))</f>
        <v>245.1983232777614</v>
      </c>
      <c r="GF145" s="59">
        <f t="shared" si="303"/>
        <v>242.34010522344573</v>
      </c>
      <c r="GG145" s="15">
        <f>IF(ISNA(VLOOKUP(A145,'Données projet'!$A$253:$I$273,3,0)),0,VLOOKUP(A145,'Données projet'!$A$253:$I$273,3,0))</f>
        <v>0</v>
      </c>
      <c r="GH145" s="15">
        <f>IF(ISNA(VLOOKUP(A145,'Données projet'!$A$253:$I$273,4,0)),0,VLOOKUP(A145,'Données projet'!$A$253:$I$273,4,0))</f>
        <v>0</v>
      </c>
      <c r="GI145" s="16">
        <f>IF(ISNA(VLOOKUP(A145,'Données projet'!$A$253:$I$273,5,0)),0%,VLOOKUP(A145,'Données projet'!$A$253:$I$273,5,0)*VLOOKUP('Données projet'!$B$17,Paramètres!$A$1:$I$89,7,0))</f>
        <v>0</v>
      </c>
      <c r="GJ145" s="16">
        <f>IF(ISNA(VLOOKUP(A145,'Données projet'!$A$253:$I$273,6,0)),0%,VLOOKUP(A145,'Données projet'!$A$253:$I$273,6,0)*VLOOKUP('Données projet'!$B$17,Paramètres!$A$1:$I$89,7,0))</f>
        <v>0</v>
      </c>
      <c r="GK145" s="16">
        <f>IF(ISNA(VLOOKUP(A145,'Données projet'!$A$253:$I$273,7,0)),0%,VLOOKUP(A145,'Données projet'!$A$253:$I$273,7,0))</f>
        <v>0</v>
      </c>
      <c r="GL145" s="21">
        <f>EXP(-LN(2)/35)*GL144+(1-EXP(-LN(2)/35))/(LN(2)/35)*GH145*GI145*VLOOKUP('Données projet'!$B$17,Paramètres!$A$1:$I$89,3,0)*0.475*44/12</f>
        <v>36.093540715919751</v>
      </c>
      <c r="GM145" s="21">
        <f>EXP(-LN(2)/25)*GM144+(1-EXP(-LN(2)/25))/(LN(2)/25)*Calculateur!GH145*Calculateur!GJ145*VLOOKUP('Données projet'!$B$17,Paramètres!$A$1:$I$89,3,0)*0.475*44/12</f>
        <v>3.9034248834464824</v>
      </c>
      <c r="GN145" s="21">
        <f>EXP(-LN(2)/2)*GN144+(1-EXP(-LN(2)/2))/(LN(2)/2)*GH145*GK145*VLOOKUP('Données projet'!$B$17,Paramètres!$A$1:$I$89,3,0)*0.475*44/12</f>
        <v>0</v>
      </c>
      <c r="GO145" s="21">
        <f t="shared" si="250"/>
        <v>39.996965599366234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projet'!$A$279:$I$299,2,0)</f>
        <v>#N/A</v>
      </c>
      <c r="GS145" s="12" t="e">
        <f>VLOOKUP(A145,'Données projet'!$A$279:$I$299,9,0)</f>
        <v>#N/A</v>
      </c>
      <c r="GT145" s="12">
        <f t="array" ref="GT145">INDEX(GS:GS,MIN(IF(ISNUMBER(GS145:GS341),ROW(GS145:GS341),"")))</f>
        <v>0</v>
      </c>
      <c r="GU145" s="12">
        <f>IF('Données projet'!$A$280&gt;35,GU144+GT145-HC144,IF(A145&lt;'Données projet'!$A$280,$GR$205^A145,IF(A145='Données projet'!$A$280,'Données projet'!$B$280,GU144+GT145-HC144)))</f>
        <v>-1.1368683772161603E-13</v>
      </c>
      <c r="GV145" s="17">
        <f>GU145*VLOOKUP('Données projet'!$B$18,Paramètres!$A$1:$I$89,3,0)*VLOOKUP('Données projet'!$B$18,Paramètres!$A$1:$I$89,5,0)</f>
        <v>-4.5815795601811263E-14</v>
      </c>
      <c r="GW145" s="13" t="e">
        <f t="shared" si="304"/>
        <v>#NUM!</v>
      </c>
      <c r="GX145" s="20" t="e">
        <f t="shared" si="251"/>
        <v>#NUM!</v>
      </c>
      <c r="GY145" s="59" t="e">
        <f t="shared" si="252"/>
        <v>#NUM!</v>
      </c>
      <c r="GZ145" s="59">
        <f ca="1">AVERAGE(OFFSET($GY$3,0,0,'Données projet'!$E$18+1,1))-AVERAGE(OFFSET($H$3,0,0,'Données projet'!$E$18+1,1))</f>
        <v>324.36162935850876</v>
      </c>
      <c r="HA145" s="59">
        <f t="shared" si="305"/>
        <v>265.23571072429735</v>
      </c>
      <c r="HB145" s="15">
        <f>IF(ISNA(VLOOKUP(A145,'Données projet'!$A$279:$I$299,3,0)),0,VLOOKUP(A145,'Données projet'!$A$279:$I$299,3,0))</f>
        <v>0</v>
      </c>
      <c r="HC145" s="15">
        <f>IF(ISNA(VLOOKUP(A145,'Données projet'!$A$279:$I$299,4,0)),0,VLOOKUP(A145,'Données projet'!$A$279:$I$299,4,0))</f>
        <v>0</v>
      </c>
      <c r="HD145" s="16">
        <f>IF(ISNA(VLOOKUP(A145,'Données projet'!$A$279:$I$299,5,0)),0%,VLOOKUP(A145,'Données projet'!$A$279:$I$299,5,0)*VLOOKUP('Données projet'!$B$18,Paramètres!$A$1:$I$89,7,0))</f>
        <v>0</v>
      </c>
      <c r="HE145" s="16">
        <f>IF(ISNA(VLOOKUP(A145,'Données projet'!$A$279:$I$299,6,0)),0%,VLOOKUP(A145,'Données projet'!$A$279:$I$299,6,0)*VLOOKUP('Données projet'!$B$18,Paramètres!$A$1:$I$89,7,0))</f>
        <v>0</v>
      </c>
      <c r="HF145" s="16">
        <f>IF(ISNA(VLOOKUP($A145,'Données projet'!$A$279:$I$299,7,0)),0%,VLOOKUP($A145,'Données projet'!$A$279:$I$299,7,0))</f>
        <v>0</v>
      </c>
      <c r="HG145" s="21">
        <f>EXP(-LN(2)/35)*HG144+(1-EXP(-LN(2)/35))/(LN(2)/35)*HC145*HD145*VLOOKUP('Données projet'!$B$18,Paramètres!$A$1:$I$89,3,0)*0.475*44/12</f>
        <v>69.164659542170625</v>
      </c>
      <c r="HH145" s="21">
        <f>EXP(-LN(2)/25)*HH144+(1-EXP(-LN(2)/25))/(LN(2)/25)*Calculateur!HC145*Calculateur!HE145*VLOOKUP('Données projet'!$B$18,Paramètres!$A$1:$I$89,3,0)*0.475*44/12</f>
        <v>4.3413066606006563</v>
      </c>
      <c r="HI145" s="21">
        <f>EXP(-LN(2)/2)*HI144+(1-EXP(-LN(2)/2))/(LN(2)/2)*HC145*HF145*VLOOKUP('Données projet'!$B$18,Paramètres!$A$1:$I$89,3,0)*0.475*44/12</f>
        <v>3.9801046761590651E-9</v>
      </c>
      <c r="HJ145" s="22">
        <f t="shared" si="253"/>
        <v>73.505966206751381</v>
      </c>
      <c r="HK145" s="74">
        <f>('Scénario référence'!$F$8+'Scénario référence'!$F$9+'Scénario référence'!$B$17+'Scénario référence'!$B$9+'Scénario référence'!$B$10)*70+IF((45+25*(1-EXP(-0.0175*$A145)))&lt;70,'Scénario référence'!$B$16*(45+25*(1-EXP(-0.0175*$A145))),70*'Scénario référence'!$B$16)+IF((32+38*(1-EXP(-0.0175*$A145)))&lt;70,'Scénario référence'!$B$18*(32+38*(1-EXP(-0.0175*$A145))),70*'Scénario référence'!$B$18)</f>
        <v>70</v>
      </c>
      <c r="HL145" s="12">
        <f>IF($A145&gt;30,10,('Scénario référence'!$B$16+'Scénario référence'!$B$17+'Scénario référence'!$B$18+'Scénario référence'!$B$9+'Scénario référence'!$B$10)*$A145*10/30+('Scénario référence'!$F$8+'Scénario référence'!$F$9)*10)</f>
        <v>10</v>
      </c>
      <c r="HM145" s="12" t="e">
        <f>VLOOKUP($A145,'Données projet'!$A$304:$I$324,2,0)</f>
        <v>#N/A</v>
      </c>
      <c r="HN145" s="12" t="e">
        <f>VLOOKUP($A145,'Données projet'!$A$304:$I$324,9,0)</f>
        <v>#N/A</v>
      </c>
      <c r="HO145" s="12">
        <f t="array" ref="HO145">INDEX(HN:HN,MIN(IF(ISNUMBER(HN145:HN341),ROW(HN145:HN341),"")))</f>
        <v>0</v>
      </c>
      <c r="HP145" s="12">
        <f>IF('Données projet'!$A$304&gt;35,HP144+HO145-HX144,IF($A145&lt;'Données projet'!$A$304,$CQ$205^$A145,IF($A145='Données projet'!$A$304,'Données projet'!$B$304,HP144+HO145-HX144)))</f>
        <v>0</v>
      </c>
      <c r="HQ145" s="17">
        <f>HP145*VLOOKUP('Données projet'!$B$19,Paramètres!$A$1:$I$89,3,0)*VLOOKUP('Données projet'!$B$19,Paramètres!$A$1:$I$89,5,0)</f>
        <v>0</v>
      </c>
      <c r="HR145" s="13" t="e">
        <f t="shared" si="306"/>
        <v>#NUM!</v>
      </c>
      <c r="HS145" s="14" t="e">
        <f t="shared" si="254"/>
        <v>#NUM!</v>
      </c>
      <c r="HT145" s="59" t="e">
        <f t="shared" si="255"/>
        <v>#NUM!</v>
      </c>
      <c r="HU145" s="59">
        <f ca="1">AVERAGE(OFFSET(HT$3,0,0,'Données projet'!$E$19+1,1))-AVERAGE(OFFSET($H$3,0,0,'Données projet'!$E$19+1,1))</f>
        <v>91.60721429656013</v>
      </c>
      <c r="HV145" s="59">
        <f t="shared" si="307"/>
        <v>258.94957804210856</v>
      </c>
      <c r="HW145" s="15">
        <f>IF(ISNA(VLOOKUP($A145,'Données projet'!$A$304:$I$324,3,0)),0,VLOOKUP($A145,'Données projet'!$A$304:$I$324,3,0))</f>
        <v>0</v>
      </c>
      <c r="HX145" s="15">
        <f>IF(ISNA(VLOOKUP($A145,'Données projet'!$A$304:$I$324,4,0)),0,VLOOKUP($A145,'Données projet'!$A$304:$I$324,4,0))</f>
        <v>0</v>
      </c>
      <c r="HY145" s="16">
        <f>IF(ISNA(VLOOKUP($A145,'Données projet'!$A$304:$I$324,5,0)),0%,VLOOKUP($A145,'Données projet'!$A$304:$I$324,5,0)*VLOOKUP('Données projet'!$B$19,Paramètres!$A$1:$I$89,7,0))</f>
        <v>0</v>
      </c>
      <c r="HZ145" s="16">
        <f>IF(ISNA(VLOOKUP($A145,'Données projet'!$A$304:$I$324,6,0)),0%,VLOOKUP($A145,'Données projet'!$A$304:$I$324,6,0)*VLOOKUP('Données projet'!$B$19,Paramètres!$A$1:$I$89,7,0))</f>
        <v>0</v>
      </c>
      <c r="IA145" s="16">
        <f>IF(ISNA(VLOOKUP($A145,'Données projet'!$A$304:$I$324,7,0)),0%,VLOOKUP($A145,'Données projet'!$A$304:$I$324,7,0))</f>
        <v>0</v>
      </c>
      <c r="IB145" s="21">
        <f>EXP(-LN(2)/35)*IB144+(1-EXP(-LN(2)/35))/(LN(2)/35)*HX145*HY145*VLOOKUP('Données projet'!$B$19,Paramètres!$A$1:$I$89,3,0)*0.475*44/12</f>
        <v>5.3683267346504504</v>
      </c>
      <c r="IC145" s="21">
        <f>EXP(-LN(2)/25)*IC144+(1-EXP(-LN(2)/25))/(LN(2)/25)*Calculateur!HX145*Calculateur!HZ145*VLOOKUP('Données projet'!$B$19,Paramètres!$A$1:$I$89,3,0)*0.475*44/12</f>
        <v>0.43591014745357448</v>
      </c>
      <c r="ID145" s="21">
        <f>EXP(-LN(2)/2)*ID144+(1-EXP(-LN(2)/2))/(LN(2)/2)*HX145*IA145*VLOOKUP('Données projet'!$B$19,Paramètres!$A$1:$I$89,3,0)*0.475*44/12</f>
        <v>7.949922827598898E-18</v>
      </c>
      <c r="IE145" s="22">
        <f t="shared" si="256"/>
        <v>5.8042368821040249</v>
      </c>
      <c r="IF145" s="74">
        <f>('Scénario référence'!$F$8+'Scénario référence'!$F$9+'Scénario référence'!$B$17+'Scénario référence'!$B$9+'Scénario référence'!$B$10)*70+IF((45+25*(1-EXP(-0.0175*$A145)))&lt;70,'Scénario référence'!$B$16*(45+25*(1-EXP(-0.0175*$A145))),70*'Scénario référence'!$B$16)+IF((32+38*(1-EXP(-0.0175*$A145)))&lt;70,'Scénario référence'!$B$18*(32+38*(1-EXP(-0.0175*$A145))),70*'Scénario référence'!$B$18)</f>
        <v>70</v>
      </c>
      <c r="IG145" s="12">
        <f>IF($A145&gt;30,10,('Scénario référence'!$B$16+'Scénario référence'!$B$17+'Scénario référence'!$B$18+'Scénario référence'!$B$9+'Scénario référence'!$B$10)*$A145*10/30+('Scénario référence'!$F$8+'Scénario référence'!$F$9)*10)</f>
        <v>10</v>
      </c>
      <c r="IH145" s="12" t="e">
        <f>VLOOKUP($A145,'Données projet'!$A$330:$I$350,2,0)</f>
        <v>#N/A</v>
      </c>
      <c r="II145" s="12" t="e">
        <f>VLOOKUP($A145,'Données projet'!$A$330:$I$350,9,0)</f>
        <v>#N/A</v>
      </c>
      <c r="IJ145" s="12">
        <f t="array" ref="IJ145">INDEX(II:II,MIN(IF(ISNUMBER(II145:II341),ROW(II145:II341),"")))</f>
        <v>0</v>
      </c>
      <c r="IK145" s="12">
        <f>IF('Données projet'!$A$330&gt;35,IK144+IJ145-IS144,IF($A145&lt;'Données projet'!$A$330,$CQ$205^$A145,IF($A145='Données projet'!$A$330,'Données projet'!$B$330,IK144+IJ145-IS144)))</f>
        <v>0</v>
      </c>
      <c r="IL145" s="17">
        <f>IK145*VLOOKUP('Données projet'!$B$20,Paramètres!$A$1:$I$89,3,0)*VLOOKUP('Données projet'!$B$20,Paramètres!$A$1:$I$89,5,0)</f>
        <v>0</v>
      </c>
      <c r="IM145" s="13" t="e">
        <f t="shared" si="308"/>
        <v>#NUM!</v>
      </c>
      <c r="IN145" s="20" t="e">
        <f t="shared" si="257"/>
        <v>#NUM!</v>
      </c>
      <c r="IO145" s="59" t="e">
        <f t="shared" si="258"/>
        <v>#NUM!</v>
      </c>
      <c r="IP145" s="59">
        <f ca="1">AVERAGE(OFFSET(IO$3,0,0,'Données projet'!$E$20+1,1))-AVERAGE(OFFSET($H$3,0,0,'Données projet'!$E$20+1,1))</f>
        <v>91.60721429656013</v>
      </c>
      <c r="IQ145" s="59">
        <f t="shared" si="309"/>
        <v>258.94957804210856</v>
      </c>
      <c r="IR145" s="15">
        <f>IF(ISNA(VLOOKUP($A145,'Données projet'!$A$330:$I$350,3,0)),0,VLOOKUP($A145,'Données projet'!$A$330:$I$350,3,0))</f>
        <v>0</v>
      </c>
      <c r="IS145" s="15">
        <f>IF(ISNA(VLOOKUP($A145,'Données projet'!$A$330:$I$350,4,0)),0,VLOOKUP($A145,'Données projet'!$A$330:$I$350,4,0))</f>
        <v>0</v>
      </c>
      <c r="IT145" s="16">
        <f>IF(ISNA(VLOOKUP($A145,'Données projet'!$A$330:$I$350,5,0)),0%,VLOOKUP($A145,'Données projet'!$A$330:$I$350,5,0)*VLOOKUP('Données projet'!$B$20,Paramètres!$A$1:$I$89,7,0))</f>
        <v>0</v>
      </c>
      <c r="IU145" s="16">
        <f>IF(ISNA(VLOOKUP($A145,'Données projet'!$A$330:$I$350,6,0)),0%,VLOOKUP($A145,'Données projet'!$A$330:$I$350,6,0)*VLOOKUP('Données projet'!$B$20,Paramètres!$A$1:$I$89,7,0))</f>
        <v>0</v>
      </c>
      <c r="IV145" s="16">
        <f>IF(ISNA(VLOOKUP($A145,'Données projet'!$A$330:$I$350,7,0)),0%,VLOOKUP($A145,'Données projet'!$A$330:$I$350,7,0))</f>
        <v>0</v>
      </c>
      <c r="IW145" s="21">
        <f>EXP(-LN(2)/35)*IW144+(1-EXP(-LN(2)/35))/(LN(2)/35)*IS145*IT145*VLOOKUP('Données projet'!$B$20,Paramètres!$A$1:$I$89,3,0)*0.475*44/12</f>
        <v>5.3683267346504504</v>
      </c>
      <c r="IX145" s="21">
        <f>EXP(-LN(2)/25)*IX144+(1-EXP(-LN(2)/25))/(LN(2)/25)*Calculateur!IS145*Calculateur!IU145*VLOOKUP('Données projet'!$B$20,Paramètres!$A$1:$I$89,3,0)*0.475*44/12</f>
        <v>0.43591014745357448</v>
      </c>
      <c r="IY145" s="21">
        <f>EXP(-LN(2)/2)*IY144+(1-EXP(-LN(2)/2))/(LN(2)/2)*IS145*IV145*VLOOKUP('Données projet'!$B$20,Paramètres!$A$1:$I$89,3,0)*0.475*44/12</f>
        <v>7.949922827598898E-18</v>
      </c>
      <c r="IZ145" s="22">
        <f t="shared" si="259"/>
        <v>5.8042368821040249</v>
      </c>
      <c r="JA145" s="74">
        <f>('Scénario référence'!$F$8+'Scénario référence'!$F$9+'Scénario référence'!$B$17+'Scénario référence'!$B$9+'Scénario référence'!$B$10)*70+IF((45+25*(1-EXP(-0.0175*$A145)))&lt;70,'Scénario référence'!$B$16*(45+25*(1-EXP(-0.0175*$A145))),70*'Scénario référence'!$B$16)+IF((32+38*(1-EXP(-0.0175*$A145)))&lt;70,'Scénario référence'!$B$18*(32+38*(1-EXP(-0.0175*$A145))),70*'Scénario référence'!$B$18)</f>
        <v>70</v>
      </c>
      <c r="JB145" s="12">
        <f>IF($A145&gt;30,10,('Scénario référence'!$B$16+'Scénario référence'!$B$17+'Scénario référence'!$B$18+'Scénario référence'!$B$9+'Scénario référence'!$B$10)*$A145*10/30+('Scénario référence'!$F$8+'Scénario référence'!$F$9)*10)</f>
        <v>10</v>
      </c>
      <c r="JC145" s="12" t="e">
        <f>VLOOKUP($A145,'Données projet'!$A$356:$I$376,2,0)</f>
        <v>#N/A</v>
      </c>
      <c r="JD145" s="12" t="e">
        <f>VLOOKUP($A145,'Données projet'!$A$356:$I$376,9,0)</f>
        <v>#N/A</v>
      </c>
      <c r="JE145" s="12">
        <f t="array" ref="JE145">INDEX(JD:JD,MIN(IF(ISNUMBER(JD145:JD341),ROW(JD145:JD341),"")))</f>
        <v>1.4</v>
      </c>
      <c r="JF145" s="12">
        <f>IF('Données projet'!$A$356&gt;35,JF144+JE145-JN144,IF($A145&lt;'Données projet'!$A$356,$CQ$205^$A145,IF($A145='Données projet'!$A$356,'Données projet'!$B$356,JF144+JE145-JN144)))</f>
        <v>436.79999999999887</v>
      </c>
      <c r="JG145" s="17">
        <f>JF145*VLOOKUP('Données projet'!$B$21,Paramètres!$A$1:$I$89,3,0)*VLOOKUP('Données projet'!$B$21,Paramètres!$A$1:$I$89,5,0)</f>
        <v>354.33215999999913</v>
      </c>
      <c r="JH145" s="13">
        <f t="shared" si="310"/>
        <v>82.453908312287595</v>
      </c>
      <c r="JI145" s="20">
        <f t="shared" si="260"/>
        <v>760.73573564389926</v>
      </c>
      <c r="JJ145" s="59">
        <f t="shared" si="261"/>
        <v>1054.0690689772325</v>
      </c>
      <c r="JK145" s="59">
        <f ca="1">AVERAGE(OFFSET($JJ$3,0,0,'Données projet'!$E$22+1,1))-AVERAGE(OFFSET($H$3,0,0,'Données projet'!$E$22+1,1))</f>
        <v>353.35574633294613</v>
      </c>
      <c r="JL145" s="59">
        <f t="shared" si="311"/>
        <v>170.36796666474726</v>
      </c>
      <c r="JM145" s="15">
        <f>IF(ISNA(VLOOKUP($A145,'Données projet'!$A$356:$I$376,3,0)),0,VLOOKUP($A145,'Données projet'!$A$356:$I$376,3,0))</f>
        <v>0</v>
      </c>
      <c r="JN145" s="15">
        <f>IF(ISNA(VLOOKUP($A145,'Données projet'!$A$356:$I$376,4,0)),0,VLOOKUP($A145,'Données projet'!$A$356:$I$376,4,0))</f>
        <v>0</v>
      </c>
      <c r="JO145" s="16">
        <f>IF(ISNA(VLOOKUP($A145,'Données projet'!$A$356:$I$376,5,0)),0%,VLOOKUP($A145,'Données projet'!$A$356:$I$376,5,0)*VLOOKUP('Données projet'!$B$21,Paramètres!$A$1:$I$89,7,0))</f>
        <v>0</v>
      </c>
      <c r="JP145" s="16">
        <f>IF(ISNA(VLOOKUP($A145,'Données projet'!$A$356:$I$376,6,0)),0%,VLOOKUP($A145,'Données projet'!$A$356:$I$376,6,0)*VLOOKUP('Données projet'!$B$21,Paramètres!$A$1:$I$89,7,0))</f>
        <v>0</v>
      </c>
      <c r="JQ145" s="16">
        <f>IF(ISNA(VLOOKUP($A145,'Données projet'!$A$356:$I$376,7,0)),0%,VLOOKUP($A145,'Données projet'!$A$356:$I$376,7,0))</f>
        <v>0</v>
      </c>
      <c r="JR145" s="21">
        <f>EXP(-LN(2)/35)*JR144+(1-EXP(-LN(2)/35))/(LN(2)/35)*JN145*JO145*VLOOKUP('Données projet'!$B$21,Paramètres!$A$1:$I$89,3,0)*0.475*44/12</f>
        <v>5.0989510686572039</v>
      </c>
      <c r="JS145" s="21">
        <f>EXP(-LN(2)/25)*JS144+(1-EXP(-LN(2)/25))/(LN(2)/25)*Calculateur!JN145*Calculateur!JP145*VLOOKUP('Données projet'!$B$21,Paramètres!$A$1:$I$89,3,0)*0.475*44/12</f>
        <v>9.4853734551500661</v>
      </c>
      <c r="JT145" s="21">
        <f>EXP(-LN(2)/2)*JT144+(1-EXP(-LN(2)/2))/(LN(2)/2)*JN145*JQ145*VLOOKUP('Données projet'!$B$21,Paramètres!$A$1:$I$89,3,0)*0.475*44/12</f>
        <v>2.3971638922069986E-2</v>
      </c>
      <c r="JU145" s="18">
        <f t="shared" si="262"/>
        <v>14.60829616272934</v>
      </c>
      <c r="JV145" s="74">
        <f>('Scénario référence'!$F$8+'Scénario référence'!$F$9+'Scénario référence'!$B$17+'Scénario référence'!$B$9+'Scénario référence'!$B$10)*70+IF((45+25*(1-EXP(-0.0175*$A145)))&lt;70,'Scénario référence'!$B$16*(45+25*(1-EXP(-0.0175*$A145))),70*'Scénario référence'!$B$16)+IF((32+38*(1-EXP(-0.0175*$A145)))&lt;70,'Scénario référence'!$B$18*(32+38*(1-EXP(-0.0175*$A145))),70*'Scénario référence'!$B$18)</f>
        <v>70</v>
      </c>
      <c r="JW145" s="12">
        <f>IF($A145&gt;30,10,('Scénario référence'!$B$16+'Scénario référence'!$B$17+'Scénario référence'!$B$18+'Scénario référence'!$B$9+'Scénario référence'!$B$10)*$A145*10/30+('Scénario référence'!$F$8+'Scénario référence'!$F$9)*10)</f>
        <v>10</v>
      </c>
      <c r="JX145" s="12" t="e">
        <f>VLOOKUP($A145,'Données projet'!$A$382:$I$402,2,0)</f>
        <v>#N/A</v>
      </c>
      <c r="JY145" s="12" t="e">
        <f>VLOOKUP($A145,'Données projet'!$A$382:$I$402,9,0)</f>
        <v>#N/A</v>
      </c>
      <c r="JZ145" s="12">
        <f t="array" ref="JZ145">INDEX(JY:JY,MIN(IF(ISNUMBER(JY145:JY341),ROW(JY145:JY341),"")))</f>
        <v>0</v>
      </c>
      <c r="KA145" s="12">
        <f>IF('Données projet'!$A$382&gt;35,KA144+JZ145-KI144,IF($A145&lt;'Données projet'!$A$382,$CQ$205^$A145,IF($A145='Données projet'!$A$382,'Données projet'!$B$382,KA144+JZ145-KI144)))</f>
        <v>5.6843418860808015E-13</v>
      </c>
      <c r="KB145" s="17">
        <f>KA145*VLOOKUP('Données projet'!$B$22,Paramètres!$A$1:$I$89,3,0)*VLOOKUP('Données projet'!$B$22,Paramètres!$A$1:$I$89,5,0)</f>
        <v>3.8130565371830017E-13</v>
      </c>
      <c r="KC145" s="13">
        <f t="shared" si="312"/>
        <v>4.9019074112354236E-12</v>
      </c>
      <c r="KD145" s="20">
        <f t="shared" si="263"/>
        <v>9.2015960881277352E-12</v>
      </c>
      <c r="KE145" s="59">
        <f t="shared" si="264"/>
        <v>293.33333333334252</v>
      </c>
      <c r="KF145" s="59">
        <f ca="1">AVERAGE(OFFSET($KE$3,0,0,'Données projet'!$E$22+1,1))-AVERAGE(OFFSET($H$3,0,0,'Données projet'!$E$22+1,1))</f>
        <v>193.91714772848269</v>
      </c>
      <c r="KG145" s="59">
        <f t="shared" si="313"/>
        <v>159.20429420478047</v>
      </c>
      <c r="KH145" s="15">
        <f>IF(ISNA(VLOOKUP($A145,'Données projet'!$A$382:$I$402,3,0)),0,VLOOKUP($A145,'Données projet'!$A$382:$I$402,3,0))</f>
        <v>0</v>
      </c>
      <c r="KI145" s="15">
        <f>IF(ISNA(VLOOKUP($A145,'Données projet'!$A$382:$I$402,4,0)),0,VLOOKUP($A145,'Données projet'!$A$382:$I$402,4,0))</f>
        <v>0</v>
      </c>
      <c r="KJ145" s="16">
        <f>IF(ISNA(VLOOKUP($A145,'Données projet'!$A$382:$I$402,5,0)),0%,VLOOKUP($A145,'Données projet'!$A$382:$I$402,5,0)*VLOOKUP('Données projet'!$B$22,Paramètres!$A$1:$I$89,7,0))</f>
        <v>0</v>
      </c>
      <c r="KK145" s="16">
        <f>IF(ISNA(VLOOKUP($A145,'Données projet'!$A$382:$I$402,6,0)),0%,VLOOKUP($A145,'Données projet'!$A$382:$I$402,6,0)*VLOOKUP('Données projet'!$B$22,Paramètres!$A$1:$I$89,7,0))</f>
        <v>0</v>
      </c>
      <c r="KL145" s="16">
        <f>IF(ISNA(VLOOKUP($A145,'Données projet'!$A$382:$I$402,7,0)),0%,VLOOKUP($A145,'Données projet'!$A$382:$I$402,7,0))</f>
        <v>0</v>
      </c>
      <c r="KM145" s="21">
        <f>EXP(-LN(2)/35)*KM144+(1-EXP(-LN(2)/35))/(LN(2)/35)*KI145*KJ145*VLOOKUP('Données projet'!$B$22,Paramètres!$A$1:$I$89,3,0)*0.475*44/12</f>
        <v>125.66043093289943</v>
      </c>
      <c r="KN145" s="21">
        <f>EXP(-LN(2)/25)*KN144+(1-EXP(-LN(2)/25))/(LN(2)/25)*Calculateur!KI145*Calculateur!KK145*VLOOKUP('Données projet'!$B$22,Paramètres!$A$1:$I$89,3,0)*0.475*44/12</f>
        <v>0</v>
      </c>
      <c r="KO145" s="21">
        <f>EXP(-LN(2)/2)*KO144+(1-EXP(-LN(2)/2))/(LN(2)/2)*KI145*KL145*VLOOKUP('Données projet'!$B$22,Paramètres!$A$1:$I$89,3,0)*0.475*44/12</f>
        <v>0</v>
      </c>
      <c r="KP145" s="22">
        <f t="shared" si="265"/>
        <v>125.66043093289943</v>
      </c>
      <c r="KQ145" s="74">
        <f>('Scénario référence'!$F$8+'Scénario référence'!$F$9+'Scénario référence'!$B$17+'Scénario référence'!$B$9+'Scénario référence'!$B$10)*70+IF((45+25*(1-EXP(-0.0175*$A145)))&lt;70,'Scénario référence'!$B$16*(45+25*(1-EXP(-0.0175*$A145))),70*'Scénario référence'!$B$16)+IF((32+38*(1-EXP(-0.0175*$A145)))&lt;70,'Scénario référence'!$B$18*(32+38*(1-EXP(-0.0175*$A145))),70*'Scénario référence'!$B$18)</f>
        <v>70</v>
      </c>
      <c r="KR145" s="12">
        <f>IF($A145&gt;30,10,('Scénario référence'!$B$16+'Scénario référence'!$B$17+'Scénario référence'!$B$18+'Scénario référence'!$B$9+'Scénario référence'!$B$10)*$A145*10/30+('Scénario référence'!$F$8+'Scénario référence'!$F$9)*10)</f>
        <v>10</v>
      </c>
      <c r="KS145" s="12" t="e">
        <f>VLOOKUP($A145,'Données projet'!$A$408:$I$428,2,0)</f>
        <v>#N/A</v>
      </c>
      <c r="KT145" s="12" t="e">
        <f>VLOOKUP($A145,'Données projet'!$A$408:$I$428,9,0)</f>
        <v>#N/A</v>
      </c>
      <c r="KU145" s="12">
        <f t="array" ref="KU145">INDEX(KT:KT,MIN(IF(ISNUMBER(KT145:KT341),ROW(KT145:KT341),"")))</f>
        <v>0</v>
      </c>
      <c r="KV145" s="12">
        <f>IF('Données projet'!$A$408&gt;35,KV144+KU145-LD144,IF($A145&lt;'Données projet'!$A$408,$CQ$205^$A145,IF($A145='Données projet'!$A$408,'Données projet'!$B$408,KV144+KU145-LD144)))</f>
        <v>-1.1368683772161603E-13</v>
      </c>
      <c r="KW145" s="17">
        <f>KV145*VLOOKUP('Données projet'!$B$23,Paramètres!$A$1:$I$89,3,0)*VLOOKUP('Données projet'!$B$23,Paramètres!$A$1:$I$89,5,0)</f>
        <v>-9.9316821433603781E-14</v>
      </c>
      <c r="KX145" s="13" t="e">
        <f t="shared" si="314"/>
        <v>#NUM!</v>
      </c>
      <c r="KY145" s="14" t="e">
        <f t="shared" si="266"/>
        <v>#NUM!</v>
      </c>
      <c r="KZ145" s="59" t="e">
        <f t="shared" si="267"/>
        <v>#NUM!</v>
      </c>
      <c r="LA145" s="59">
        <f ca="1">AVERAGE(OFFSET($KZ$3,0,0,'Données projet'!$E$23+1,1))-AVERAGE(OFFSET($H$3,0,0,'Données projet'!$E$23+1,1))</f>
        <v>248.33596943633819</v>
      </c>
      <c r="LB145" s="59">
        <f t="shared" si="315"/>
        <v>242.34010522344573</v>
      </c>
      <c r="LC145" s="15">
        <f>IF(ISNA(VLOOKUP($A145,'Données projet'!$A$408:$I$428,3,0)),0,VLOOKUP($A145,'Données projet'!$A$408:$I$428,3,0))</f>
        <v>0</v>
      </c>
      <c r="LD145" s="15">
        <f>IF(ISNA(VLOOKUP($A145,'Données projet'!$A$408:$I$428,4,0)),0,VLOOKUP($A145,'Données projet'!$A$408:$I$428,4,0))</f>
        <v>0</v>
      </c>
      <c r="LE145" s="16">
        <f>IF(ISNA(VLOOKUP($A145,'Données projet'!$A$408:$I$428,5,0)),0%,VLOOKUP($A145,'Données projet'!$A$408:$I$428,5,0)*VLOOKUP('Données projet'!$B$23,Paramètres!$A$1:$I$89,7,0))</f>
        <v>0</v>
      </c>
      <c r="LF145" s="16">
        <f>IF(ISNA(VLOOKUP($A145,'Données projet'!$A$408:$I$428,6,0)),0%,VLOOKUP($A145,'Données projet'!$A$408:$I$428,6,0)*VLOOKUP('Données projet'!$B$23,Paramètres!$A$1:$I$89,7,0))</f>
        <v>0</v>
      </c>
      <c r="LG145" s="16">
        <f>IF(ISNA(VLOOKUP($A145,'Données projet'!$A$408:$I$428,7,0)),0%,VLOOKUP($A145,'Données projet'!$A$408:$I$428,7,0))</f>
        <v>0</v>
      </c>
      <c r="LH145" s="21">
        <f>EXP(-LN(2)/35)*LH144+(1-EXP(-LN(2)/35))/(LN(2)/35)*LD145*LE145*VLOOKUP('Données projet'!$B$23,Paramètres!$A$1:$I$89,3,0)*0.475*44/12</f>
        <v>36.093540715919751</v>
      </c>
      <c r="LI145" s="21">
        <f>EXP(-LN(2)/25)*LI144+(1-EXP(-LN(2)/25))/(LN(2)/25)*Calculateur!LD145*Calculateur!LF145*VLOOKUP('Données projet'!$B$23,Paramètres!$A$1:$I$89,3,0)*0.475*44/12</f>
        <v>3.9034248834464824</v>
      </c>
      <c r="LJ145" s="21">
        <f>EXP(-LN(2)/2)*LJ144+(1-EXP(-LN(2)/2))/(LN(2)/2)*LD145*LG145*VLOOKUP('Données projet'!$B$23,Paramètres!$A$1:$I$89,3,0)*0.475*44/12</f>
        <v>0</v>
      </c>
      <c r="LK145" s="22">
        <f t="shared" si="268"/>
        <v>39.996965599366234</v>
      </c>
      <c r="LL145" s="74">
        <f>('Scénario référence'!$F$8+'Scénario référence'!$F$9+'Scénario référence'!$B$17+'Scénario référence'!$B$9+'Scénario référence'!$B$10)*70+IF((45+25*(1-EXP(-0.0175*$A145)))&lt;70,'Scénario référence'!$B$16*(45+25*(1-EXP(-0.0175*$A145))),70*'Scénario référence'!$B$16)+IF((32+38*(1-EXP(-0.0175*$A145)))&lt;70,'Scénario référence'!$B$18*(32+38*(1-EXP(-0.0175*$A145))),70*'Scénario référence'!$B$18)</f>
        <v>70</v>
      </c>
      <c r="LM145" s="12">
        <f>IF($A145&gt;30,10,('Scénario référence'!$B$16+'Scénario référence'!$B$17+'Scénario référence'!$B$18+'Scénario référence'!$B$9+'Scénario référence'!$B$10)*$A145*10/30+('Scénario référence'!$F$8+'Scénario référence'!$F$9)*10)</f>
        <v>10</v>
      </c>
      <c r="LN145" s="12" t="e">
        <f>VLOOKUP($A145,'Données projet'!$A$434:$I$454,2,0)</f>
        <v>#N/A</v>
      </c>
      <c r="LO145" s="12" t="e">
        <f>VLOOKUP($A145,'Données projet'!$A$434:$I$454,9,0)</f>
        <v>#N/A</v>
      </c>
      <c r="LP145" s="12">
        <f t="array" ref="LP145">INDEX(LO:LO,MIN(IF(ISNUMBER(LO145:LO341),ROW(LO145:LO341),"")))</f>
        <v>5.1063034188034209</v>
      </c>
      <c r="LQ145" s="12">
        <f>IF('Données projet'!$A$434&gt;35,LQ144+LP145-LY144,IF($A145&lt;'Données projet'!$A$434,$CQ$205^$A145,IF($A145='Données projet'!$A$434,'Données projet'!$B$434,LQ144+LP145-LY144)))</f>
        <v>267.4417735042731</v>
      </c>
      <c r="LR145" s="17">
        <f>LQ145*VLOOKUP('Données projet'!$B$24,Paramètres!$A$1:$I$89,3,0)*VLOOKUP('Données projet'!$B$24,Paramètres!$A$1:$I$89,5,0)</f>
        <v>271.18595833333296</v>
      </c>
      <c r="LS145" s="13">
        <f t="shared" si="316"/>
        <v>65.100895340597489</v>
      </c>
      <c r="LT145" s="14">
        <f t="shared" si="269"/>
        <v>585.69960348209554</v>
      </c>
      <c r="LU145" s="59">
        <f t="shared" si="270"/>
        <v>879.03293681542891</v>
      </c>
      <c r="LV145" s="59">
        <f ca="1">AVERAGE(OFFSET($LU$3,0,0,'Données projet'!$E$24+1,1))-AVERAGE(OFFSET($H$3,0,0,'Données projet'!$E$24+1,1))</f>
        <v>260.52627655062872</v>
      </c>
      <c r="LW145" s="59">
        <f t="shared" si="317"/>
        <v>159.20429420478047</v>
      </c>
      <c r="LX145" s="15">
        <f>IF(ISNA(VLOOKUP($A145,'Données projet'!$A$434:$I$454,3,0)),0,VLOOKUP($A145,'Données projet'!$A$434:$I$454,3,0))</f>
        <v>0</v>
      </c>
      <c r="LY145" s="15">
        <f>IF(ISNA(VLOOKUP($A145,'Données projet'!$A$434:$I$454,4,0)),0,VLOOKUP($A145,'Données projet'!$A$434:$I$454,4,0))</f>
        <v>0</v>
      </c>
      <c r="LZ145" s="16">
        <f>IF(ISNA(VLOOKUP($A145,'Données projet'!$A$434:$I$454,5,0)),0%,VLOOKUP($A145,'Données projet'!$A$434:$I$454,5,0)*VLOOKUP('Données projet'!$B$24,Paramètres!$A$1:$I$89,7,0))</f>
        <v>0</v>
      </c>
      <c r="MA145" s="16">
        <f>IF(ISNA(VLOOKUP($A145,'Données projet'!$A$434:$I$454,6,0)),0%,VLOOKUP($A145,'Données projet'!$A$434:$I$454,6,0)*VLOOKUP('Données projet'!$B$24,Paramètres!$A$1:$I$89,7,0))</f>
        <v>0</v>
      </c>
      <c r="MB145" s="16">
        <f>IF(ISNA(VLOOKUP($A145,'Données projet'!$A$434:$I$454,7,0)),0%,VLOOKUP($A145,'Données projet'!$A$434:$I$454,7,0))</f>
        <v>0</v>
      </c>
      <c r="MC145" s="21">
        <f>EXP(-LN(2)/35)*MC144+(1-EXP(-LN(2)/35))/(LN(2)/35)*LY145*LZ145*VLOOKUP('Données projet'!$B$24,Paramètres!$A$1:$I$89,3,0)*0.475*44/12</f>
        <v>49.768123172742875</v>
      </c>
      <c r="MD145" s="21">
        <f>EXP(-LN(2)/25)*MD144+(1-EXP(-LN(2)/25))/(LN(2)/25)*Calculateur!LY145*Calculateur!MA145*VLOOKUP('Données projet'!$B$24,Paramètres!$A$1:$I$89,3,0)*0.475*44/12</f>
        <v>0</v>
      </c>
      <c r="ME145" s="21">
        <f>EXP(-LN(2)/2)*ME144+(1-EXP(-LN(2)/2))/(LN(2)/2)*LY145*MB145*VLOOKUP('Données projet'!$B$24,Paramètres!$A$1:$I$89,3,0)*0.475*44/12</f>
        <v>0</v>
      </c>
      <c r="MF145" s="22">
        <f t="shared" si="271"/>
        <v>49.768123172742875</v>
      </c>
      <c r="MG145" s="74">
        <f>('Scénario référence'!$F$8+'Scénario référence'!$F$9+'Scénario référence'!$B$17+'Scénario référence'!$B$9+'Scénario référence'!$B$10)*70+IF((45+25*(1-EXP(-0.0175*$A145)))&lt;70,'Scénario référence'!$B$16*(45+25*(1-EXP(-0.0175*$A145))),70*'Scénario référence'!$B$16)+IF((32+38*(1-EXP(-0.0175*$A145)))&lt;70,'Scénario référence'!$B$18*(32+38*(1-EXP(-0.0175*$A145))),70*'Scénario référence'!$B$18)</f>
        <v>70</v>
      </c>
      <c r="MH145" s="12">
        <f>IF($A145&gt;30,10,('Scénario référence'!$B$16+'Scénario référence'!$B$17+'Scénario référence'!$B$18+'Scénario référence'!$B$9+'Scénario référence'!$B$10)*$A145*10/30+('Scénario référence'!$F$8+'Scénario référence'!$F$9)*10)</f>
        <v>10</v>
      </c>
      <c r="MI145" s="12" t="e">
        <f>VLOOKUP($A145,'Données projet'!$A$460:$I$480,2,0)</f>
        <v>#N/A</v>
      </c>
      <c r="MJ145" s="12" t="e">
        <f>VLOOKUP($A145,'Données projet'!$A$460:$I$480,9,0)</f>
        <v>#N/A</v>
      </c>
      <c r="MK145" s="12">
        <f t="array" ref="MK145">INDEX(MJ:MJ,MIN(IF(ISNUMBER(MJ145:MJ341),ROW(MJ145:MJ341),"")))</f>
        <v>0</v>
      </c>
      <c r="ML145" s="12">
        <f>IF('Données projet'!$A$460&gt;35,ML144+MK145-MT144,IF($A145&lt;'Données projet'!$A$460,$CQ$205^$A145,IF($A145='Données projet'!$A$460,'Données projet'!$B$460,ML144+MK145-MT144)))</f>
        <v>0</v>
      </c>
      <c r="MM145" s="17" t="e">
        <f>ML145*VLOOKUP('Données projet'!$B$25,Paramètres!$A$1:$I$89,3,0)*VLOOKUP('Données projet'!$B$25,Paramètres!$A$1:$I$89,5,0)</f>
        <v>#N/A</v>
      </c>
      <c r="MN145" s="13" t="e">
        <f t="shared" si="318"/>
        <v>#N/A</v>
      </c>
      <c r="MO145" s="14" t="e">
        <f t="shared" si="272"/>
        <v>#N/A</v>
      </c>
      <c r="MP145" s="59" t="e">
        <f t="shared" si="273"/>
        <v>#N/A</v>
      </c>
      <c r="MQ145" s="20" t="e">
        <f ca="1">AVERAGE(OFFSET($MP$3,0,0,'Données projet'!$E$25+1,1))-AVERAGE(OFFSET($H$3,0,0,'Données projet'!$E$25+1,1))</f>
        <v>#N/A</v>
      </c>
      <c r="MR145" s="59" t="e">
        <f t="shared" si="319"/>
        <v>#N/A</v>
      </c>
      <c r="MS145" s="15">
        <f>IF(ISNA(VLOOKUP($A145,'Données projet'!$A$460:$I$480,3,0)),0,VLOOKUP($A145,'Données projet'!$A$460:$I$480,3,0))</f>
        <v>0</v>
      </c>
      <c r="MT145" s="15">
        <f>IF(ISNA(VLOOKUP($A145,'Données projet'!$A$460:$I$480,4,0)),0,VLOOKUP($A145,'Données projet'!$A$460:$I$480,4,0))</f>
        <v>0</v>
      </c>
      <c r="MU145" s="16">
        <f>IF(ISNA(VLOOKUP($A145,'Données projet'!$A$460:$I$480,5,0)),0%,VLOOKUP($A145,'Données projet'!$A$460:$I$480,5,0)*VLOOKUP('Données projet'!$B$25,Paramètres!$A$1:$I$89,7,0))</f>
        <v>0</v>
      </c>
      <c r="MV145" s="16">
        <f>IF(ISNA(VLOOKUP($A145,'Données projet'!$A$460:$I$480,6,0)),0%,VLOOKUP($A145,'Données projet'!$A$460:$I$480,6,0)*VLOOKUP('Données projet'!$B$25,Paramètres!$A$1:$I$89,7,0))</f>
        <v>0</v>
      </c>
      <c r="MW145" s="16">
        <f>IF(ISNA(VLOOKUP($A145,'Données projet'!$A$460:$I$480,7,0)),0%,VLOOKUP($A145,'Données projet'!$A$460:$I$480,7,0))</f>
        <v>0</v>
      </c>
      <c r="MX145" s="21" t="e">
        <f>EXP(-LN(2)/35)*MX144+(1-EXP(-LN(2)/35))/(LN(2)/35)*MT145*MU145*VLOOKUP('Données projet'!$B$25,Paramètres!$A$1:$I$89,3,0)*0.475*44/12</f>
        <v>#N/A</v>
      </c>
      <c r="MY145" s="21" t="e">
        <f>EXP(-LN(2)/25)*MY144+(1-EXP(-LN(2)/25))/(LN(2)/25)*Calculateur!MT145*Calculateur!MV145*VLOOKUP('Données projet'!$B$25,Paramètres!$A$1:$I$89,3,0)*0.475*44/12</f>
        <v>#N/A</v>
      </c>
      <c r="MZ145" s="21" t="e">
        <f>EXP(-LN(2)/2)*MZ144+(1-EXP(-LN(2)/2))/(LN(2)/2)*MT145*MW145*VLOOKUP('Données projet'!$B$25,Paramètres!$A$1:$I$89,3,0)*0.475*44/12</f>
        <v>#N/A</v>
      </c>
      <c r="NA145" s="22" t="e">
        <f t="shared" si="274"/>
        <v>#N/A</v>
      </c>
      <c r="NB145" s="74">
        <f>('Scénario référence'!$F$8+'Scénario référence'!$F$9+'Scénario référence'!$B$17+'Scénario référence'!$B$9+'Scénario référence'!$B$10)*70+IF((45+25*(1-EXP(-0.0175*$A145)))&lt;70,'Scénario référence'!$B$16*(45+25*(1-EXP(-0.0175*$A145))),70*'Scénario référence'!$B$16)+IF((32+38*(1-EXP(-0.0175*$A145)))&lt;70,'Scénario référence'!$B$18*(32+38*(1-EXP(-0.0175*$A145))),70*'Scénario référence'!$B$18)</f>
        <v>70</v>
      </c>
      <c r="NC145" s="12">
        <f>IF($A145&gt;30,10,('Scénario référence'!$B$16+'Scénario référence'!$B$17+'Scénario référence'!$B$18+'Scénario référence'!$B$9+'Scénario référence'!$B$10)*$A145*10/30+('Scénario référence'!$F$8+'Scénario référence'!$F$9)*10)</f>
        <v>10</v>
      </c>
      <c r="ND145" s="12" t="e">
        <f>VLOOKUP($A145,'Données projet'!$A$486:$I$506,2,0)</f>
        <v>#N/A</v>
      </c>
      <c r="NE145" s="12" t="e">
        <f>VLOOKUP($A145,'Données projet'!$A$486:$I$506,9,0)</f>
        <v>#N/A</v>
      </c>
      <c r="NF145" s="12">
        <f t="array" ref="NF145">INDEX(NE:NE,MIN(IF(ISNUMBER(NE145:NE341),ROW(NE145:NE341),"")))</f>
        <v>0</v>
      </c>
      <c r="NG145" s="12">
        <f>IF('Données projet'!$A$486&gt;35,NG144+NF145-NO144,IF($A145&lt;'Données projet'!$A$486,$CQ$205^$A145,IF($A145='Données projet'!$A$486,'Données projet'!$B$486,NG144+NF145-NO144)))</f>
        <v>0</v>
      </c>
      <c r="NH145" s="17" t="e">
        <f>NG145*VLOOKUP('Données projet'!$B$26,Paramètres!$A$1:$I$89,3,0)*VLOOKUP('Données projet'!$B$26,Paramètres!$A$1:$I$89,5,0)</f>
        <v>#N/A</v>
      </c>
      <c r="NI145" s="13" t="e">
        <f t="shared" si="320"/>
        <v>#N/A</v>
      </c>
      <c r="NJ145" s="14" t="e">
        <f t="shared" si="275"/>
        <v>#N/A</v>
      </c>
      <c r="NK145" s="59" t="e">
        <f t="shared" si="276"/>
        <v>#N/A</v>
      </c>
      <c r="NL145" s="20" t="e">
        <f ca="1">AVERAGE(OFFSET($NK$3,0,0,'Données projet'!$E$26+1,1))-AVERAGE(OFFSET($H$3,0,0,'Données projet'!$E$26+1,1))</f>
        <v>#N/A</v>
      </c>
      <c r="NM145" s="59" t="e">
        <f t="shared" si="321"/>
        <v>#N/A</v>
      </c>
      <c r="NN145" s="15">
        <f>IF(ISNA(VLOOKUP($A145,'Données projet'!$A$486:$I$506,3,0)),0,VLOOKUP($A145,'Données projet'!$A$486:$I$506,3,0))</f>
        <v>0</v>
      </c>
      <c r="NO145" s="15">
        <f>IF(ISNA(VLOOKUP($A145,'Données projet'!$A$486:$I$506,4,0)),0,VLOOKUP($A145,'Données projet'!$A$486:$I$506,4,0))</f>
        <v>0</v>
      </c>
      <c r="NP145" s="16">
        <f>IF(ISNA(VLOOKUP($A145,'Données projet'!$A$486:$I$506,5,0)),0%,VLOOKUP($A145,'Données projet'!$A$486:$I$506,5,0)*VLOOKUP('Données projet'!$B$26,Paramètres!$A$1:$I$89,7,0))</f>
        <v>0</v>
      </c>
      <c r="NQ145" s="16">
        <f>IF(ISNA(VLOOKUP($A145,'Données projet'!$A$486:$I$506,6,0)),0%,VLOOKUP($A145,'Données projet'!$A$486:$I$506,6,0)*VLOOKUP('Données projet'!$B$26,Paramètres!$A$1:$I$89,7,0))</f>
        <v>0</v>
      </c>
      <c r="NR145" s="16">
        <f>IF(ISNA(VLOOKUP($A145,'Données projet'!$A$486:$I$506,7,0)),0%,VLOOKUP($A145,'Données projet'!$A$486:$I$506,7,0))</f>
        <v>0</v>
      </c>
      <c r="NS145" s="21" t="e">
        <f>EXP(-LN(2)/35)*NS144+(1-EXP(-LN(2)/35))/(LN(2)/35)*NO145*NP145*VLOOKUP('Données projet'!$B$26,Paramètres!$A$1:$I$89,3,0)*0.475*44/12</f>
        <v>#N/A</v>
      </c>
      <c r="NT145" s="21" t="e">
        <f>EXP(-LN(2)/25)*NT144+(1-EXP(-LN(2)/25))/(LN(2)/25)*Calculateur!NO145*Calculateur!NQ145*VLOOKUP('Données projet'!$B$26,Paramètres!$A$1:$I$89,3,0)*0.475*44/12</f>
        <v>#N/A</v>
      </c>
      <c r="NU145" s="21" t="e">
        <f>EXP(-LN(2)/2)*NU144+(1-EXP(-LN(2)/2))/(LN(2)/2)*NO145*NR145*VLOOKUP('Données projet'!$B$26,Paramètres!$A$1:$I$89,3,0)*0.475*44/12</f>
        <v>#N/A</v>
      </c>
      <c r="NV145" s="22" t="e">
        <f t="shared" si="277"/>
        <v>#N/A</v>
      </c>
      <c r="NW145" s="74">
        <f>('Scénario référence'!$F$8+'Scénario référence'!$F$9+'Scénario référence'!$B$17+'Scénario référence'!$B$9+'Scénario référence'!$B$10)*70+IF((45+25*(1-EXP(-0.0175*$A145)))&lt;70,'Scénario référence'!$B$16*(45+25*(1-EXP(-0.0175*$A145))),70*'Scénario référence'!$B$16)+IF((32+38*(1-EXP(-0.0175*$A145)))&lt;70,'Scénario référence'!$B$18*(32+38*(1-EXP(-0.0175*$A145))),70*'Scénario référence'!$B$18)</f>
        <v>70</v>
      </c>
      <c r="NX145" s="12">
        <f>IF($A145&gt;30,10,('Scénario référence'!$B$16+'Scénario référence'!$B$17+'Scénario référence'!$B$18+'Scénario référence'!$B$9+'Scénario référence'!$B$10)*$A145*10/30+('Scénario référence'!$F$8+'Scénario référence'!$F$9)*10)</f>
        <v>10</v>
      </c>
      <c r="NY145" s="12" t="e">
        <f>VLOOKUP($A145,'Données projet'!$A$512:$I$532,2,0)</f>
        <v>#N/A</v>
      </c>
      <c r="NZ145" s="12" t="e">
        <f>VLOOKUP($A145,'Données projet'!$A$512:$I$532,9,0)</f>
        <v>#N/A</v>
      </c>
      <c r="OA145" s="12">
        <f t="array" ref="OA145">INDEX(NZ:NZ,MIN(IF(ISNUMBER(NZ145:NZ341),ROW(NZ145:NZ341),"")))</f>
        <v>0</v>
      </c>
      <c r="OB145" s="12">
        <f>IF('Données projet'!$A$512&gt;35,OB144+OA145-OJ144,IF($A145&lt;'Données projet'!$A$512,$CQ$205^$A145,IF($A145='Données projet'!$A$512,'Données projet'!$B$512,OB144+OA145-OJ144)))</f>
        <v>0</v>
      </c>
      <c r="OC145" s="17" t="e">
        <f>OB145*VLOOKUP('Données projet'!$B$27,Paramètres!$A$1:$I$89,3,0)*VLOOKUP('Données projet'!$B$27,Paramètres!$A$1:$I$89,5,0)</f>
        <v>#N/A</v>
      </c>
      <c r="OD145" s="13" t="e">
        <f t="shared" si="322"/>
        <v>#N/A</v>
      </c>
      <c r="OE145" s="14" t="e">
        <f t="shared" si="278"/>
        <v>#N/A</v>
      </c>
      <c r="OF145" s="59" t="e">
        <f t="shared" si="279"/>
        <v>#N/A</v>
      </c>
      <c r="OG145" s="20" t="e">
        <f ca="1">AVERAGE(OFFSET($OF$3,0,0,'Données projet'!$E$27+1,1))-AVERAGE(OFFSET($H$3,0,0,'Données projet'!$E$27+1,1))</f>
        <v>#N/A</v>
      </c>
      <c r="OH145" s="59" t="e">
        <f t="shared" si="323"/>
        <v>#N/A</v>
      </c>
      <c r="OI145" s="15">
        <f>IF(ISNA(VLOOKUP($A145,'Données projet'!$A$512:$I$532,3,0)),0,VLOOKUP($A145,'Données projet'!$A$512:$I$532,3,0))</f>
        <v>0</v>
      </c>
      <c r="OJ145" s="15">
        <f>IF(ISNA(VLOOKUP($A145,'Données projet'!$A$512:$I$532,4,0)),0,VLOOKUP($A145,'Données projet'!$A$512:$I$532,4,0))</f>
        <v>0</v>
      </c>
      <c r="OK145" s="16">
        <f>IF(ISNA(VLOOKUP($A145,'Données projet'!$A$512:$I$532,5,0)),0%,VLOOKUP($A145,'Données projet'!$A$512:$I$532,5,0)*VLOOKUP('Données projet'!$B$27,Paramètres!$A$1:$I$89,7,0))</f>
        <v>0</v>
      </c>
      <c r="OL145" s="16">
        <f>IF(ISNA(VLOOKUP($A145,'Données projet'!$A$512:$I$532,6,0)),0%,VLOOKUP($A145,'Données projet'!$A$512:$I$532,6,0)*VLOOKUP('Données projet'!$B$27,Paramètres!$A$1:$I$89,7,0))</f>
        <v>0</v>
      </c>
      <c r="OM145" s="16">
        <f>IF(ISNA(VLOOKUP($A145,'Données projet'!$A$512:$I$532,7,0)),0%,VLOOKUP($A145,'Données projet'!$A$512:$I$532,7,0))</f>
        <v>0</v>
      </c>
      <c r="ON145" s="21" t="e">
        <f>EXP(-LN(2)/35)*ON144+(1-EXP(-LN(2)/35))/(LN(2)/35)*OJ145*OK145*VLOOKUP('Données projet'!$B$27,Paramètres!$A$1:$I$89,3,0)*0.475*44/12</f>
        <v>#N/A</v>
      </c>
      <c r="OO145" s="21" t="e">
        <f>EXP(-LN(2)/25)*OO144+(1-EXP(-LN(2)/25))/(LN(2)/25)*Calculateur!OJ145*Calculateur!OL145*VLOOKUP('Données projet'!$B$27,Paramètres!$A$1:$I$89,3,0)*0.475*44/12</f>
        <v>#N/A</v>
      </c>
      <c r="OP145" s="21" t="e">
        <f>EXP(-LN(2)/2)*OP144+(1-EXP(-LN(2)/2))/(LN(2)/2)*OJ145*OM145*VLOOKUP('Données projet'!$B$27,Paramètres!$A$1:$I$89,3,0)*0.475*44/12</f>
        <v>#N/A</v>
      </c>
      <c r="OQ145" s="22" t="e">
        <f t="shared" si="280"/>
        <v>#N/A</v>
      </c>
      <c r="OR145" s="74">
        <f>('Scénario référence'!$F$8+'Scénario référence'!$F$9+'Scénario référence'!$B$17+'Scénario référence'!$B$9+'Scénario référence'!$B$10)*70+IF((45+25*(1-EXP(-0.0175*$A145)))&lt;70,'Scénario référence'!$B$16*(45+25*(1-EXP(-0.0175*$A145))),70*'Scénario référence'!$B$16)+IF((32+38*(1-EXP(-0.0175*$A145)))&lt;70,'Scénario référence'!$B$18*(32+38*(1-EXP(-0.0175*$A145))),70*'Scénario référence'!$B$18)</f>
        <v>70</v>
      </c>
      <c r="OS145" s="12">
        <f>IF($A145&gt;30,10,('Scénario référence'!$B$16+'Scénario référence'!$B$17+'Scénario référence'!$B$18+'Scénario référence'!$B$9+'Scénario référence'!$B$10)*$A145*10/30+('Scénario référence'!$F$8+'Scénario référence'!$F$9)*10)</f>
        <v>10</v>
      </c>
      <c r="OT145" s="12" t="e">
        <f>VLOOKUP($A145,'Données projet'!$A$538:$I$558,2,0)</f>
        <v>#N/A</v>
      </c>
      <c r="OU145" s="12" t="e">
        <f>VLOOKUP($A145,'Données projet'!$A$538:$I$558,9,0)</f>
        <v>#N/A</v>
      </c>
      <c r="OV145" s="12">
        <f t="array" ref="OV145">INDEX(OU:OU,MIN(IF(ISNUMBER(OU145:OU341),ROW(OU145:OU341),"")))</f>
        <v>0</v>
      </c>
      <c r="OW145" s="12">
        <f>IF('Données projet'!$A$538&gt;35,OW144+OV145-PE144,IF($A145&lt;'Données projet'!$A$538,$CQ$205^$A145,IF($A145='Données projet'!$A$538,'Données projet'!$B$538,OW144+OV145-PE144)))</f>
        <v>0</v>
      </c>
      <c r="OX145" s="17" t="e">
        <f>OW145*VLOOKUP('Données projet'!$B$28,Paramètres!$A$1:$I$89,3,0)*VLOOKUP('Données projet'!$B$28,Paramètres!$A$1:$I$89,5,0)</f>
        <v>#N/A</v>
      </c>
      <c r="OY145" s="13" t="e">
        <f t="shared" si="324"/>
        <v>#N/A</v>
      </c>
      <c r="OZ145" s="14" t="e">
        <f t="shared" si="281"/>
        <v>#N/A</v>
      </c>
      <c r="PA145" s="59" t="e">
        <f t="shared" si="282"/>
        <v>#N/A</v>
      </c>
      <c r="PB145" s="20" t="e">
        <f ca="1">AVERAGE(OFFSET($PA$3,0,0,'Données projet'!$E$28+1,1))-AVERAGE(OFFSET($H$3,0,0,'Données projet'!$E$28+1,1))</f>
        <v>#N/A</v>
      </c>
      <c r="PC145" s="59" t="e">
        <f t="shared" si="325"/>
        <v>#N/A</v>
      </c>
      <c r="PD145" s="15">
        <f>IF(ISNA(VLOOKUP($A145,'Données projet'!$A$538:$I$558,3,0)),0,VLOOKUP($A145,'Données projet'!$A$538:$I$558,3,0))</f>
        <v>0</v>
      </c>
      <c r="PE145" s="15">
        <f>IF(ISNA(VLOOKUP($A145,'Données projet'!$A$538:$I$558,4,0)),0,VLOOKUP($A145,'Données projet'!$A$538:$I$558,4,0))</f>
        <v>0</v>
      </c>
      <c r="PF145" s="16">
        <f>IF(ISNA(VLOOKUP($A145,'Données projet'!$A$538:$I$558,5,0)),0%,VLOOKUP($A145,'Données projet'!$A$538:$I$558,5,0)*VLOOKUP('Données projet'!$B$28,Paramètres!$A$1:$I$89,7,0))</f>
        <v>0</v>
      </c>
      <c r="PG145" s="16">
        <f>IF(ISNA(VLOOKUP($A145,'Données projet'!$A$538:$I$558,6,0)),0%,VLOOKUP($A145,'Données projet'!$A$538:$I$558,6,0)*VLOOKUP('Données projet'!$B$28,Paramètres!$A$1:$I$89,7,0))</f>
        <v>0</v>
      </c>
      <c r="PH145" s="16">
        <f>IF(ISNA(VLOOKUP($A145,'Données projet'!$A$538:$I$558,7,0)),0%,VLOOKUP($A145,'Données projet'!$A$538:$I$558,7,0))</f>
        <v>0</v>
      </c>
      <c r="PI145" s="21" t="e">
        <f>EXP(-LN(2)/35)*PI144+(1-EXP(-LN(2)/35))/(LN(2)/35)*PE145*PF145*VLOOKUP('Données projet'!$B$28,Paramètres!$A$1:$I$89,3,0)*0.475*44/12</f>
        <v>#N/A</v>
      </c>
      <c r="PJ145" s="21" t="e">
        <f>EXP(-LN(2)/25)*PJ144+(1-EXP(-LN(2)/25))/(LN(2)/25)*Calculateur!PE145*Calculateur!PG145*VLOOKUP('Données projet'!$B$28,Paramètres!$A$1:$I$89,3,0)*0.475*44/12</f>
        <v>#N/A</v>
      </c>
      <c r="PK145" s="21" t="e">
        <f>EXP(-LN(2)/2)*PK144+(1-EXP(-LN(2)/2))/(LN(2)/2)*PE145*PH145*VLOOKUP('Données projet'!$B$28,Paramètres!$A$1:$I$89,3,0)*0.475*44/12</f>
        <v>#N/A</v>
      </c>
      <c r="PL145" s="22" t="e">
        <f t="shared" si="283"/>
        <v>#N/A</v>
      </c>
    </row>
    <row r="146" spans="1:428" x14ac:dyDescent="0.35">
      <c r="A146" s="10">
        <f t="shared" si="284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285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225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projet'!$A$45:$I$65,2,0)</f>
        <v>#N/A</v>
      </c>
      <c r="L146" s="12" t="e">
        <f>VLOOKUP(A146,'Données projet'!$A$45:$I$65,9,0)</f>
        <v>#N/A</v>
      </c>
      <c r="M146" s="12">
        <f t="array" ref="M146">INDEX(L:L,MIN(IF(ISNUMBER(L146:L342),ROW(L146:L342),"")))</f>
        <v>0</v>
      </c>
      <c r="N146" s="13">
        <f>IF('Données projet'!$A$46&gt;35,N145+M146-V145,IF(A146&lt;'Données projet'!$A$46,$K$205^A146,IF(A146='Données projet'!$A$46,'Données projet'!$B$46,N145+M146-V145)))</f>
        <v>-1.1368683772161603E-13</v>
      </c>
      <c r="O146" s="13">
        <f>N146*VLOOKUP('Données projet'!$B$9,Paramètres!$A$1:$I$89,3,0)*VLOOKUP('Données projet'!$B$9,Paramètres!$A$1:$I$89,5,0)</f>
        <v>-6.3550942286383367E-14</v>
      </c>
      <c r="P146" s="13" t="e">
        <f t="shared" si="286"/>
        <v>#NUM!</v>
      </c>
      <c r="Q146" s="20" t="e">
        <f t="shared" si="223"/>
        <v>#NUM!</v>
      </c>
      <c r="R146" s="59" t="e">
        <f t="shared" si="224"/>
        <v>#NUM!</v>
      </c>
      <c r="S146" s="59">
        <f ca="1">AVERAGE(OFFSET($R$3,0,0,'Données projet'!$E$9+1,1))-AVERAGE(OFFSET($H$3,0,0,'Données projet'!$E$9+1,1))</f>
        <v>274.57619581652199</v>
      </c>
      <c r="T146" s="59">
        <f t="shared" si="287"/>
        <v>366.15117322598775</v>
      </c>
      <c r="U146" s="15">
        <f>IF(ISNA(VLOOKUP(A146,'Données projet'!$A$45:$I$65,3,0)),0,VLOOKUP(A146,'Données projet'!$A$45:$I$65,3,0))</f>
        <v>0</v>
      </c>
      <c r="V146" s="15">
        <f>IF(ISNA(VLOOKUP(A146,'Données projet'!$A$45:$I$65,4,0)),0,VLOOKUP(A146,'Données projet'!$A$45:$I$65,4,0))</f>
        <v>0</v>
      </c>
      <c r="W146" s="16">
        <f>IF(ISNA(VLOOKUP(A146,'Données projet'!$A$45:$I$65,5,0)),0%,VLOOKUP(A146,'Données projet'!$A$45:$I$65,5,0)*VLOOKUP('Données projet'!$B$9,Paramètres!$A$1:$I$89,7,0))</f>
        <v>0</v>
      </c>
      <c r="X146" s="16">
        <f>IF(ISNA(VLOOKUP(A146,'Données projet'!$A$45:$I$65,6,0)),0%,VLOOKUP(A146,'Données projet'!$A$45:$I$65,6,0)*VLOOKUP('Données projet'!$B$9,Paramètres!$A$1:$I$89,7,0))</f>
        <v>0</v>
      </c>
      <c r="Y146" s="16">
        <f>IF(ISNA(VLOOKUP(A146,'Données projet'!$A$45:$I$65,7,0)),0%,VLOOKUP(A146,'Données projet'!$A$45:$I$65,7,0))</f>
        <v>0</v>
      </c>
      <c r="Z146" s="21">
        <f>EXP(-LN(2)/35)*Z145+(1-EXP(-LN(2)/35))/(LN(2)/35)*V146*W146*VLOOKUP('Données projet'!$B$9,Paramètres!$A$1:$I$89,3,0)*0.475*44/12</f>
        <v>39.672893422809217</v>
      </c>
      <c r="AA146" s="21">
        <f>EXP(-LN(2)/25)*AA145+(1-EXP(-LN(2)/25))/(LN(2)/25)*Calculateur!V146*Calculateur!X146*VLOOKUP('Données projet'!$B$9,Paramètres!$A$1:$I$89,3,0)*0.475*44/12</f>
        <v>5.0217467096647592</v>
      </c>
      <c r="AB146" s="21">
        <f>EXP(-LN(2)/2)*AB145+(1-EXP(-LN(2)/2))/(LN(2)/2)*V146*Y146*VLOOKUP('Données projet'!$B$9,Paramètres!$A$1:$I$89,3,0)*0.475*44/12</f>
        <v>1.9418453123371633E-12</v>
      </c>
      <c r="AC146" s="22">
        <f t="shared" si="226"/>
        <v>44.694640132475918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projet'!$A$71:$I$91,2,0)</f>
        <v>#N/A</v>
      </c>
      <c r="AG146" s="12" t="e">
        <f>VLOOKUP(A146,'Données projet'!$A$71:$I$91,9,0)</f>
        <v>#N/A</v>
      </c>
      <c r="AH146" s="12">
        <f t="array" ref="AH146">INDEX(AG:AG,MIN(IF(ISNUMBER(AG146:AG342),ROW(AG146:AG342),"")))</f>
        <v>0</v>
      </c>
      <c r="AI146" s="13">
        <f>IF('Données projet'!$A$72&gt;35,AI145+AH146-AQ145,IF(A146&lt;'Données projet'!$A$72,$AF$205^A146,IF(A146='Données projet'!$A$72,'Données projet'!$B$72,AI145+AH146-AQ145)))</f>
        <v>5.6843418860808015E-13</v>
      </c>
      <c r="AJ146" s="13">
        <f>AI146*VLOOKUP('Données projet'!$B$10,Paramètres!$A$1:$I$89,3,0)*VLOOKUP('Données projet'!$B$10,Paramètres!$A$1:$I$89,5,0)</f>
        <v>5.1431925385259092E-13</v>
      </c>
      <c r="AK146" s="13">
        <f t="shared" si="288"/>
        <v>6.3855359115685756E-12</v>
      </c>
      <c r="AL146" s="20">
        <f t="shared" si="227"/>
        <v>1.2017247746441865E-11</v>
      </c>
      <c r="AM146" s="59">
        <f t="shared" si="228"/>
        <v>293.33333333334531</v>
      </c>
      <c r="AN146" s="59">
        <f ca="1">AVERAGE(OFFSET($AM$3,0,0,'Données projet'!$E$10+1,1))-AVERAGE(OFFSET($H$3,0,0,'Données projet'!$E$10+1,1))</f>
        <v>270.87836509222456</v>
      </c>
      <c r="AO146" s="59">
        <f t="shared" si="289"/>
        <v>205.24998237949734</v>
      </c>
      <c r="AP146" s="15">
        <f>IF(ISNA(VLOOKUP(A146,'Données projet'!$A$71:$I$91,3,0)),0,VLOOKUP(A146,'Données projet'!$A$71:$I$91,3,0))</f>
        <v>0</v>
      </c>
      <c r="AQ146" s="15">
        <f>IF(ISNA(VLOOKUP(A146,'Données projet'!$A$71:$I$91,4,0)),0,VLOOKUP(A146,'Données projet'!$A$71:$I$91,4,0))</f>
        <v>0</v>
      </c>
      <c r="AR146" s="16">
        <f>IF(ISNA(VLOOKUP(A146,'Données projet'!$A$71:$I$91,5,0)),0%,VLOOKUP(A146,'Données projet'!$A$71:$I$91,5,0)*VLOOKUP('Données projet'!$B$10,Paramètres!$A$1:$I$89,7,0))</f>
        <v>0</v>
      </c>
      <c r="AS146" s="16">
        <f>IF(ISNA(VLOOKUP(A146,'Données projet'!$A$71:$I$91,6,0)),0%,VLOOKUP(A146,'Données projet'!$A$71:$I$91,6,0)*VLOOKUP('Données projet'!$B$10,Paramètres!$A$1:$I$89,7,0))</f>
        <v>0</v>
      </c>
      <c r="AT146" s="16">
        <f>IF(ISNA(VLOOKUP(A146,'Données projet'!$A$71:$I$91,7,0)),0%,VLOOKUP(A146,'Données projet'!$A$71:$I$91,7,0))</f>
        <v>0</v>
      </c>
      <c r="AU146" s="21">
        <f>EXP(-LN(2)/35)*AU145+(1-EXP(-LN(2)/35))/(LN(2)/35)*AQ146*AR146*VLOOKUP('Données projet'!$B$10,Paramètres!$A$1:$I$89,3,0)*0.475*44/12</f>
        <v>134.81859959624157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229"/>
        <v>134.81859959624157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projet'!$A$97:$I$117,2,0)</f>
        <v>#N/A</v>
      </c>
      <c r="BB146" s="12" t="e">
        <f>VLOOKUP(A146,'Données projet'!$A$97:$I$117,9,0)</f>
        <v>#N/A</v>
      </c>
      <c r="BC146" s="12">
        <f t="array" ref="BC146">INDEX(BB:BB,MIN(IF(ISNUMBER(BB146:BB342),ROW(BB146:BB342),"")))</f>
        <v>0</v>
      </c>
      <c r="BD146" s="12">
        <f>IF('Données projet'!$A$98&gt;35,BD145+BC146-BL145,IF(A146&lt;'Données projet'!$A$98,$BA$205^A146,IF(A146='Données projet'!$A$98,'Données projet'!$B$98,BD145+BC146-BL145)))</f>
        <v>-1.1368683772161603E-13</v>
      </c>
      <c r="BE146" s="13">
        <f>BD146*VLOOKUP('Données projet'!$B$11,Paramètres!$A$1:$I$89,3,0)*VLOOKUP('Données projet'!$B$11,Paramètres!$A$1:$I$89,5,0)</f>
        <v>-5.0249582272954292E-14</v>
      </c>
      <c r="BF146" s="13" t="e">
        <f t="shared" si="290"/>
        <v>#NUM!</v>
      </c>
      <c r="BG146" s="20" t="e">
        <f t="shared" si="230"/>
        <v>#NUM!</v>
      </c>
      <c r="BH146" s="59" t="e">
        <f t="shared" si="231"/>
        <v>#NUM!</v>
      </c>
      <c r="BI146" s="59">
        <f ca="1">AVERAGE(OFFSET($BH$3,0,0,'Données projet'!$E$11+1,1))-AVERAGE(OFFSET($H$3,0,0,'Données projet'!$E$11+1,1))</f>
        <v>211.31057120485542</v>
      </c>
      <c r="BJ146" s="59">
        <f t="shared" si="291"/>
        <v>283.33292006714777</v>
      </c>
      <c r="BK146" s="15">
        <f>IF(ISNA(VLOOKUP(A146,'Données projet'!$A$97:$I$117,3,0)),0,VLOOKUP(A146,'Données projet'!$A$97:$I$117,3,0))</f>
        <v>0</v>
      </c>
      <c r="BL146" s="15">
        <f>IF(ISNA(VLOOKUP(A146,'Données projet'!$A$97:$I$117,4,0)),0,VLOOKUP(A146,'Données projet'!$A$97:$I$117,4,0))</f>
        <v>0</v>
      </c>
      <c r="BM146" s="16">
        <f>IF(ISNA(VLOOKUP(A146,'Données projet'!$A$97:$I$117,5,0)),0%,VLOOKUP(A146,'Données projet'!$A$97:$I$117,5,0)*VLOOKUP('Données projet'!$B$11,Paramètres!$A$1:$I$89,7,0))</f>
        <v>0</v>
      </c>
      <c r="BN146" s="16">
        <f>IF(ISNA(VLOOKUP(A146,'Données projet'!$A$97:$I$117,6,0)),0%,VLOOKUP(A146,'Données projet'!$A$97:$I$117,6,0)*VLOOKUP('Données projet'!$B$11,Paramètres!$A$1:$I$89,7,0))</f>
        <v>0</v>
      </c>
      <c r="BO146" s="16">
        <f>IF(ISNA(VLOOKUP(A146,'Données projet'!$A$97:$I$117,7,0)),0%,VLOOKUP(A146,'Données projet'!$A$97:$I$117,7,0))</f>
        <v>0</v>
      </c>
      <c r="BP146" s="21">
        <f>EXP(-LN(2)/35)*BP145+(1-EXP(-LN(2)/35))/(LN(2)/35)*BL146*BM146*VLOOKUP('Données projet'!$B$11,Paramètres!$A$1:$I$89,3,0)*0.475*44/12</f>
        <v>31.369264566872424</v>
      </c>
      <c r="BQ146" s="21">
        <f>EXP(-LN(2)/25)*BQ145+(1-EXP(-LN(2)/25))/(LN(2)/25)*Calculateur!BL146*Calculateur!BN146*VLOOKUP('Données projet'!$B$11,Paramètres!$A$1:$I$89,3,0)*0.475*44/12</f>
        <v>3.9706834448512036</v>
      </c>
      <c r="BR146" s="21">
        <f>EXP(-LN(2)/2)*BR145+(1-EXP(-LN(2)/2))/(LN(2)/2)*BL146*BO146*VLOOKUP('Données projet'!$B$11,Paramètres!$A$1:$I$89,3,0)*0.475*44/12</f>
        <v>1.5354125725456637E-12</v>
      </c>
      <c r="BS146" s="22">
        <f t="shared" si="232"/>
        <v>35.339948011725163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projet'!$A$123:$I$143,2,0)</f>
        <v>#N/A</v>
      </c>
      <c r="BW146" s="12" t="e">
        <f>VLOOKUP(A146,'Données projet'!$A$123:$I$143,9,0)</f>
        <v>#N/A</v>
      </c>
      <c r="BX146" s="12">
        <f t="array" ref="BX146">INDEX(BW:BW,MIN(IF(ISNUMBER(BW146:BW342),ROW(BW146:BW342),"")))</f>
        <v>0</v>
      </c>
      <c r="BY146" s="12">
        <f>IF('Données projet'!$A$124&gt;35,BY145+BX146-CG145,IF(A146&lt;'Données projet'!$A$124,$BV$205^A146,IF(A146='Données projet'!$A$124,'Données projet'!$B$124,BY145+BX146-CG145)))</f>
        <v>0</v>
      </c>
      <c r="BZ146" s="13">
        <f>BY146*VLOOKUP('Données projet'!$B$12,Paramètres!$A$1:$I$89,3,0)*VLOOKUP('Données projet'!$B$12,Paramètres!$A$1:$I$89,5,0)</f>
        <v>0</v>
      </c>
      <c r="CA146" s="13" t="e">
        <f t="shared" si="292"/>
        <v>#NUM!</v>
      </c>
      <c r="CB146" s="20" t="e">
        <f t="shared" si="233"/>
        <v>#NUM!</v>
      </c>
      <c r="CC146" s="59" t="e">
        <f t="shared" si="234"/>
        <v>#NUM!</v>
      </c>
      <c r="CD146" s="59">
        <f ca="1">AVERAGE(OFFSET($CC$3,0,0,'Données projet'!$E$12+1,1))-AVERAGE(OFFSET($H$3,0,0,'Données projet'!$E$12+1,1))</f>
        <v>322.93502595881938</v>
      </c>
      <c r="CE146" s="59">
        <f t="shared" si="293"/>
        <v>302.67072119588164</v>
      </c>
      <c r="CF146" s="15">
        <f>IF(ISNA(VLOOKUP(A146,'Données projet'!$A$123:$I$143,3,0)),0,VLOOKUP(A146,'Données projet'!$A$123:$I$143,3,0))</f>
        <v>0</v>
      </c>
      <c r="CG146" s="15">
        <f>IF(ISNA(VLOOKUP(A146,'Données projet'!$A$123:$I$143,4,0)),0,VLOOKUP(A146,'Données projet'!$A$123:$I$143,4,0))</f>
        <v>0</v>
      </c>
      <c r="CH146" s="16">
        <f>IF(ISNA(VLOOKUP(A146,'Données projet'!$A$123:$I$143,5,0)),0%,VLOOKUP(A146,'Données projet'!$A$123:$I$143,5,0)*VLOOKUP('Données projet'!$B$12,Paramètres!$A$1:$I$89,7,0))</f>
        <v>0</v>
      </c>
      <c r="CI146" s="16">
        <f>IF(ISNA(VLOOKUP(A146,'Données projet'!$A$123:$I$143,6,0)),0%,VLOOKUP(A146,'Données projet'!$A$123:$I$143,6,0)*VLOOKUP('Données projet'!$B$12,Paramètres!$A$1:$I$89,7,0))</f>
        <v>0</v>
      </c>
      <c r="CJ146" s="16">
        <f>IF(ISNA(VLOOKUP(A146,'Données projet'!$A$123:$I$143,7,0)),0%,VLOOKUP(A146,'Données projet'!$A$123:$I$143,7,0))</f>
        <v>0</v>
      </c>
      <c r="CK146" s="21">
        <f>EXP(-LN(2)/35)*CK145+(1-EXP(-LN(2)/35))/(LN(2)/35)*CG146*CH146*VLOOKUP('Données projet'!$B$12,Paramètres!$A$1:$I$89,3,0)*0.475*44/12</f>
        <v>49.97881834255697</v>
      </c>
      <c r="CL146" s="21">
        <f>EXP(-LN(2)/25)*CL145+(1-EXP(-LN(2)/25))/(LN(2)/25)*Calculateur!CG146*Calculateur!CI146*VLOOKUP('Données projet'!$B$12,Paramètres!$A$1:$I$89,3,0)*0.475*44/12</f>
        <v>12.708589441741145</v>
      </c>
      <c r="CM146" s="21">
        <f>EXP(-LN(2)/2)*CM145+(1-EXP(-LN(2)/2))/(LN(2)/2)*CG146*CJ146*VLOOKUP('Données projet'!$B$12,Paramètres!$A$1:$I$89,3,0)*0.475*44/12</f>
        <v>0</v>
      </c>
      <c r="CN146" s="22">
        <f t="shared" si="235"/>
        <v>62.687407784298117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projet'!$A$149:$I$169,2,0)</f>
        <v>#N/A</v>
      </c>
      <c r="CR146" s="12" t="e">
        <f>VLOOKUP(A146,'Données projet'!$A$149:$I$169,9,0)</f>
        <v>#N/A</v>
      </c>
      <c r="CS146" s="12">
        <f t="array" ref="CS146">INDEX(CR:CR,MIN(IF(ISNUMBER(CR146:CR342),ROW(CR146:CR342),"")))</f>
        <v>5.1063034188034209</v>
      </c>
      <c r="CT146" s="12">
        <f>IF('Données projet'!$A$150&gt;35,CT145+CS146-DB145,IF(A146&lt;'Données projet'!$A$150,$CQ$205^A146,IF(A146='Données projet'!$A$150,'Données projet'!$B$150,CT145+CS146-DB145)))</f>
        <v>272.54807692307651</v>
      </c>
      <c r="CU146" s="17">
        <f>CT146*VLOOKUP('Données projet'!$B$13,Paramètres!$A$1:$I$89,3,0)*VLOOKUP('Données projet'!$B$13,Paramètres!$A$1:$I$89,5,0)</f>
        <v>276.36374999999958</v>
      </c>
      <c r="CV146" s="13">
        <f t="shared" si="294"/>
        <v>66.19798109408589</v>
      </c>
      <c r="CW146" s="20">
        <f t="shared" si="236"/>
        <v>596.6283483221988</v>
      </c>
      <c r="CX146" s="59">
        <f t="shared" si="237"/>
        <v>889.96168165553217</v>
      </c>
      <c r="CY146" s="59">
        <f ca="1">AVERAGE(OFFSET($CX$3,0,0,'Données projet'!$E$13+1,1))-AVERAGE(OFFSET($H$3,0,0,'Données projet'!$E$13+1,1))</f>
        <v>250.31277422753283</v>
      </c>
      <c r="CZ146" s="59">
        <f t="shared" si="295"/>
        <v>159.20429420478047</v>
      </c>
      <c r="DA146" s="15">
        <f>IF(ISNA(VLOOKUP(A146,'Données projet'!$A$149:$I$169,3,0)),0,VLOOKUP(A146,'Données projet'!$A$149:$I$169,3,0))</f>
        <v>0</v>
      </c>
      <c r="DB146" s="15">
        <f>IF(ISNA(VLOOKUP(A146,'Données projet'!$A$149:$I$169,4,0)),0,VLOOKUP(A146,'Données projet'!$A$149:$I$169,4,0))</f>
        <v>0</v>
      </c>
      <c r="DC146" s="16">
        <f>IF(ISNA(VLOOKUP(A146,'Données projet'!$A$149:$I$169,5,0)),0%,VLOOKUP(A146,'Données projet'!$A$149:$I$169,5,0)*VLOOKUP('Données projet'!$B$13,Paramètres!$A$1:$I$89,7,0))</f>
        <v>0</v>
      </c>
      <c r="DD146" s="16">
        <f>IF(ISNA(VLOOKUP(A146,'Données projet'!$A$149:$I$169,6,0)),0%,VLOOKUP(A146,'Données projet'!$A$149:$I$169,6,0)*VLOOKUP('Données projet'!$B$13,Paramètres!$A$1:$I$89,7,0))</f>
        <v>0</v>
      </c>
      <c r="DE146" s="16">
        <f>IF(ISNA(VLOOKUP(A146,'Données projet'!$A$149:$I$169,7,0)),0%,VLOOKUP(A146,'Données projet'!$A$149:$I$169,7,0))</f>
        <v>0</v>
      </c>
      <c r="DF146" s="21">
        <f>EXP(-LN(2)/35)*DF145+(1-EXP(-LN(2)/35))/(LN(2)/35)*DB146*DC146*VLOOKUP('Données projet'!$B$13,Paramètres!$A$1:$I$89,3,0)*0.475*44/12</f>
        <v>48.792200632883159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238"/>
        <v>48.792200632883159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projet'!$A$175:$I$195,2,0)</f>
        <v>#N/A</v>
      </c>
      <c r="DM146" s="12" t="e">
        <f>VLOOKUP(A146,'Données projet'!$A$175:$I$195,9,0)</f>
        <v>#N/A</v>
      </c>
      <c r="DN146" s="12">
        <f t="array" ref="DN146">INDEX(DM:DM,MIN(IF(ISNUMBER(DM146:DM342),ROW(DM146:DM342),"")))</f>
        <v>0</v>
      </c>
      <c r="DO146" s="12">
        <f>IF('Données projet'!$A$176&gt;35,DO145+DN146-DW145,IF(A146&lt;'Données projet'!$A$176,$DL$205^A146,IF(A146='Données projet'!$A$176,'Données projet'!$B$176,DO145+DN146-DW145)))</f>
        <v>-2.8421709430404007E-13</v>
      </c>
      <c r="DP146" s="17">
        <f>DO146*VLOOKUP('Données projet'!$B$14,Paramètres!$A$1:$I$89,3,0)*VLOOKUP('Données projet'!$B$14,Paramètres!$A$1:$I$89,5,0)</f>
        <v>-2.0838797354372215E-13</v>
      </c>
      <c r="DQ146" s="13" t="e">
        <f t="shared" si="296"/>
        <v>#NUM!</v>
      </c>
      <c r="DR146" s="20" t="e">
        <f t="shared" si="239"/>
        <v>#NUM!</v>
      </c>
      <c r="DS146" s="59" t="e">
        <f t="shared" si="240"/>
        <v>#NUM!</v>
      </c>
      <c r="DT146" s="59">
        <f ca="1">AVERAGE(OFFSET($DS$3,0,0,'Données projet'!$E$14+1,1))-AVERAGE(OFFSET($H$3,0,0,'Données projet'!$E$14+1,1))</f>
        <v>296.91321813251051</v>
      </c>
      <c r="DU146" s="59">
        <f t="shared" si="297"/>
        <v>291.0718079639509</v>
      </c>
      <c r="DV146" s="15">
        <f>IF(ISNA(VLOOKUP(A146,'Données projet'!$A$175:$I$195,3,0)),0,VLOOKUP(A146,'Données projet'!$A$175:$I$195,3,0))</f>
        <v>0</v>
      </c>
      <c r="DW146" s="15">
        <f>IF(ISNA(VLOOKUP(A146,'Données projet'!$A$175:$I$195,4,0)),0,VLOOKUP(A146,'Données projet'!$A$175:$I$195,4,0))</f>
        <v>0</v>
      </c>
      <c r="DX146" s="16">
        <f>IF(ISNA(VLOOKUP(A146,'Données projet'!$A$175:$I$195,5,0)),0%,VLOOKUP(A146,'Données projet'!$A$175:$I$195,5,0)*VLOOKUP('Données projet'!$B$14,Paramètres!$A$1:$I$89,7,0))</f>
        <v>0</v>
      </c>
      <c r="DY146" s="16">
        <f>IF(ISNA(VLOOKUP(A146,'Données projet'!$A$175:$I$195,6,0)),0%,VLOOKUP(A146,'Données projet'!$A$175:$I$195,6,0)*VLOOKUP('Données projet'!$B$14,Paramètres!$A$1:$I$89,7,0))</f>
        <v>0</v>
      </c>
      <c r="DZ146" s="16">
        <f>IF(ISNA(VLOOKUP(A146,'Données projet'!$A$175:$I$195,7,0)),0%,VLOOKUP(A146,'Données projet'!$A$175:$I$195,7,0))</f>
        <v>0</v>
      </c>
      <c r="EA146" s="21">
        <f>EXP(-LN(2)/35)*EA145+(1-EXP(-LN(2)/35))/(LN(2)/35)*DW146*DX146*VLOOKUP('Données projet'!$B$14,Paramètres!$A$1:$I$89,3,0)*0.475*44/12</f>
        <v>49.8128365404188</v>
      </c>
      <c r="EB146" s="21">
        <f>EXP(-LN(2)/25)*EB145+(1-EXP(-LN(2)/25))/(LN(2)/25)*Calculateur!DW146*Calculateur!DY146*VLOOKUP('Données projet'!$B$14,Paramètres!$A$1:$I$89,3,0)*0.475*44/12</f>
        <v>0.93358450638955326</v>
      </c>
      <c r="EC146" s="21">
        <f>EXP(-LN(2)/2)*EC145+(1-EXP(-LN(2)/2))/(LN(2)/2)*DW146*DZ146*VLOOKUP('Données projet'!$B$14,Paramètres!$A$1:$I$89,3,0)*0.475*44/12</f>
        <v>0</v>
      </c>
      <c r="ED146" s="22">
        <f t="shared" si="241"/>
        <v>50.746421046808351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projet'!$A$201:$I$221,2,0)</f>
        <v>#N/A</v>
      </c>
      <c r="EH146" s="12" t="e">
        <f>VLOOKUP(A146,'Données projet'!$A$201:$I$221,9,0)</f>
        <v>#N/A</v>
      </c>
      <c r="EI146" s="12">
        <f t="array" ref="EI146">INDEX(EH:EH,MIN(IF(ISNUMBER(EH146:EH342),ROW(EH146:EH342),"")))</f>
        <v>0</v>
      </c>
      <c r="EJ146" s="12">
        <f>IF('Données projet'!$A$202&gt;35,EJ145+EI146-ER145,IF(A146&lt;'Données projet'!$A$202,$EG$205^A146,IF(A146='Données projet'!$A$202,'Données projet'!$B$202,EJ145+EI146-ER145)))</f>
        <v>5.1159076974727213E-13</v>
      </c>
      <c r="EK146" s="17">
        <f>EJ146*VLOOKUP('Données projet'!$B$15,Paramètres!$A$1:$I$89,3,0)*VLOOKUP('Données projet'!$B$15,Paramètres!$A$1:$I$89,5,0)</f>
        <v>2.3942448024172334E-13</v>
      </c>
      <c r="EL146" s="13">
        <f t="shared" si="298"/>
        <v>3.2492669905861755E-12</v>
      </c>
      <c r="EM146" s="20">
        <f t="shared" si="242"/>
        <v>6.0761376450252565E-12</v>
      </c>
      <c r="EN146" s="59">
        <f t="shared" si="243"/>
        <v>293.3333333333394</v>
      </c>
      <c r="EO146" s="59">
        <f ca="1">AVERAGE(OFFSET($EN$3,0,0,'Données projet'!$E$15+1,1))-AVERAGE(OFFSET($H$3,0,0,'Données projet'!$E$15+1,1))</f>
        <v>147.64256291235483</v>
      </c>
      <c r="EP146" s="59">
        <f t="shared" si="299"/>
        <v>70.859031694091868</v>
      </c>
      <c r="EQ146" s="15">
        <f>IF(ISNA(VLOOKUP(A146,'Données projet'!$A$201:$I$221,3,0)),0,VLOOKUP(A146,'Données projet'!$A$201:$I$221,3,0))</f>
        <v>0</v>
      </c>
      <c r="ER146" s="15">
        <f>IF(ISNA(VLOOKUP(A146,'Données projet'!$A$201:$I$221,4,0)),0,VLOOKUP(A146,'Données projet'!$A$201:$I$221,4,0))</f>
        <v>0</v>
      </c>
      <c r="ES146" s="16">
        <f>IF(ISNA(VLOOKUP(A146,'Données projet'!$A$201:$I$221,5,0)),0%,VLOOKUP(A146,'Données projet'!$A$201:$I$221,5,0)*VLOOKUP('Données projet'!$B$15,Paramètres!$A$1:$I$89,7,0))</f>
        <v>0</v>
      </c>
      <c r="ET146" s="16">
        <f>IF(ISNA(VLOOKUP(A146,'Données projet'!$A$201:$I$221,6,0)),0%,VLOOKUP(A146,'Données projet'!$A$201:$I$221,6,0)*VLOOKUP('Données projet'!$B$15,Paramètres!$A$1:$I$89,7,0))</f>
        <v>0</v>
      </c>
      <c r="EU146" s="16">
        <f>IF(ISNA(VLOOKUP(A146,'Données projet'!$A$201:$I$221,7,0)),0%,VLOOKUP(A146,'Données projet'!$A$201:$I$221,7,0))</f>
        <v>0</v>
      </c>
      <c r="EV146" s="21">
        <f>EXP(-LN(2)/35)*EV145+(1-EXP(-LN(2)/35))/(LN(2)/35)*ER146*ES146*VLOOKUP('Données projet'!$B$15,Paramètres!$A$1:$I$89,3,0)*0.475*44/12</f>
        <v>68.194558415577532</v>
      </c>
      <c r="EW146" s="21">
        <f>EXP(-LN(2)/25)*EW145+(1-EXP(-LN(2)/25))/(LN(2)/25)*Calculateur!ER146*Calculateur!ET146*VLOOKUP('Données projet'!$B$15,Paramètres!$A$1:$I$89,3,0)*0.475*44/12</f>
        <v>12.952544455661837</v>
      </c>
      <c r="EX146" s="21">
        <f>EXP(-LN(2)/2)*EX145+(1-EXP(-LN(2)/2))/(LN(2)/2)*ER146*EU146*VLOOKUP('Données projet'!$B$15,Paramètres!$A$1:$I$89,3,0)*0.475*44/12</f>
        <v>1.3998938998957335E-4</v>
      </c>
      <c r="EY146" s="22">
        <f t="shared" si="244"/>
        <v>81.147242860629362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projet'!$A$227:$I$247,2,0)</f>
        <v>#N/A</v>
      </c>
      <c r="FC146" s="12" t="e">
        <f>VLOOKUP(A146,'Données projet'!$A$227:$I$247,9,0)</f>
        <v>#N/A</v>
      </c>
      <c r="FD146" s="12">
        <f t="array" ref="FD146">INDEX(FC:FC,MIN(IF(ISNUMBER(FC146:FC342),ROW(FC146:FC342),"")))</f>
        <v>0</v>
      </c>
      <c r="FE146" s="12">
        <f>IF('Données projet'!$A$228&gt;35,FE145+FD146-FM145,IF(A146&lt;'Données projet'!$A$228,$FB$205^A146,IF(A146='Données projet'!$A$228,'Données projet'!$B$228,FE145+FD146-FM145)))</f>
        <v>8.5265128291212022E-14</v>
      </c>
      <c r="FF146" s="17">
        <f>FE146*VLOOKUP('Données projet'!$B$16,Paramètres!$A$1:$I$89,3,0)*VLOOKUP('Données projet'!$B$16,Paramètres!$A$1:$I$89,5,0)</f>
        <v>8.9119112089974823E-14</v>
      </c>
      <c r="FG146" s="13">
        <f t="shared" si="300"/>
        <v>1.3568952080113142E-12</v>
      </c>
      <c r="FH146" s="20">
        <f t="shared" si="245"/>
        <v>2.5184749408430782E-12</v>
      </c>
      <c r="FI146" s="59">
        <f t="shared" si="246"/>
        <v>293.33333333333582</v>
      </c>
      <c r="FJ146" s="59">
        <f ca="1">AVERAGE(OFFSET($FI$3,0,0,'Données projet'!$E$16+1,1))-AVERAGE(OFFSET($H$3,0,0,'Données projet'!$E$16+1,1))</f>
        <v>259.03906550253788</v>
      </c>
      <c r="FK146" s="59">
        <f t="shared" si="301"/>
        <v>235.54542903570831</v>
      </c>
      <c r="FL146" s="15">
        <f>IF(ISNA(VLOOKUP(A146,'Données projet'!$A$227:$I$247,3,0)),0,VLOOKUP(A146,'Données projet'!$A$227:$I$247,3,0))</f>
        <v>0</v>
      </c>
      <c r="FM146" s="15">
        <f>IF(ISNA(VLOOKUP(A146,'Données projet'!$A$227:$I$247,4,0)),0,VLOOKUP(A146,'Données projet'!$A$227:$I$247,4,0))</f>
        <v>0</v>
      </c>
      <c r="FN146" s="16">
        <f>IF(ISNA(VLOOKUP(A146,'Données projet'!$A$227:$I$247,5,0)),0%,VLOOKUP(A146,'Données projet'!$A$227:$I$247,5,0)*VLOOKUP('Données projet'!$B$16,Paramètres!$A$1:$I$89,7,0))</f>
        <v>0</v>
      </c>
      <c r="FO146" s="16">
        <f>IF(ISNA(VLOOKUP(A146,'Données projet'!$A$227:$I$247,6,0)),0%,VLOOKUP(A146,'Données projet'!$A$227:$I$247,6,0)*VLOOKUP('Données projet'!$B$16,Paramètres!$A$1:$I$89,7,0))</f>
        <v>0</v>
      </c>
      <c r="FP146" s="16">
        <f>IF(ISNA(VLOOKUP(A146,'Données projet'!$A$227:$I$247,7,0)),0%,VLOOKUP(A146,'Données projet'!$A$227:$I$247,7,0))</f>
        <v>0</v>
      </c>
      <c r="FQ146" s="21">
        <f>EXP(-LN(2)/35)*FQ145+(1-EXP(-LN(2)/35))/(LN(2)/35)*FM146*FN146*VLOOKUP('Données projet'!$B$16,Paramètres!$A$1:$I$89,3,0)*0.475*44/12</f>
        <v>30.09922476783985</v>
      </c>
      <c r="FR146" s="21">
        <f>EXP(-LN(2)/25)*FR145+(1-EXP(-LN(2)/25))/(LN(2)/25)*Calculateur!FM146*Calculateur!FO146*VLOOKUP('Données projet'!$B$16,Paramètres!$A$1:$I$89,3,0)*0.475*44/12</f>
        <v>17.818487152493944</v>
      </c>
      <c r="FS146" s="21">
        <f>EXP(-LN(2)/2)*FS145+(1-EXP(-LN(2)/2))/(LN(2)/2)*FM146*FP146*VLOOKUP('Données projet'!$B$16,Paramètres!$A$1:$I$89,3,0)*0.475*44/12</f>
        <v>0</v>
      </c>
      <c r="FT146" s="22">
        <f t="shared" si="247"/>
        <v>47.917711920333794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projet'!$A$253:$I$273,2,0)</f>
        <v>#N/A</v>
      </c>
      <c r="FX146" s="12" t="e">
        <f>VLOOKUP(A146,'Données projet'!$A$253:$I$273,9,0)</f>
        <v>#N/A</v>
      </c>
      <c r="FY146" s="12">
        <f t="array" ref="FY146">INDEX(FX:FX,MIN(IF(ISNUMBER(FX146:FX342),ROW(FX146:FX342),"")))</f>
        <v>0</v>
      </c>
      <c r="FZ146" s="12">
        <f>IF('Données projet'!$A$254&gt;35,FZ145+FY146-GH145,IF(A146&lt;'Données projet'!$A$254,$FW$205^A146,IF(A146='Données projet'!$A$254,'Données projet'!$B$254,FZ145+FY146-GH145)))</f>
        <v>-1.7053025658242404E-13</v>
      </c>
      <c r="GA146" s="17">
        <f>FZ146*VLOOKUP('Données projet'!$B$17,Paramètres!$A$1:$I$89,3,0)*VLOOKUP('Données projet'!$B$17,Paramètres!$A$1:$I$89,5,0)</f>
        <v>-1.4897523215040567E-13</v>
      </c>
      <c r="GB146" s="13" t="e">
        <f t="shared" si="302"/>
        <v>#NUM!</v>
      </c>
      <c r="GC146" s="20" t="e">
        <f t="shared" si="248"/>
        <v>#NUM!</v>
      </c>
      <c r="GD146" s="59" t="e">
        <f t="shared" si="249"/>
        <v>#NUM!</v>
      </c>
      <c r="GE146" s="59">
        <f ca="1">AVERAGE(OFFSET($GD$3,0,0,'Données projet'!$E$17+1,1))-AVERAGE(OFFSET($H$3,0,0,'Données projet'!$E$17+1,1))</f>
        <v>245.1983232777614</v>
      </c>
      <c r="GF146" s="59">
        <f t="shared" si="303"/>
        <v>242.34010522344573</v>
      </c>
      <c r="GG146" s="15">
        <f>IF(ISNA(VLOOKUP(A146,'Données projet'!$A$253:$I$273,3,0)),0,VLOOKUP(A146,'Données projet'!$A$253:$I$273,3,0))</f>
        <v>0</v>
      </c>
      <c r="GH146" s="15">
        <f>IF(ISNA(VLOOKUP(A146,'Données projet'!$A$253:$I$273,4,0)),0,VLOOKUP(A146,'Données projet'!$A$253:$I$273,4,0))</f>
        <v>0</v>
      </c>
      <c r="GI146" s="16">
        <f>IF(ISNA(VLOOKUP(A146,'Données projet'!$A$253:$I$273,5,0)),0%,VLOOKUP(A146,'Données projet'!$A$253:$I$273,5,0)*VLOOKUP('Données projet'!$B$17,Paramètres!$A$1:$I$89,7,0))</f>
        <v>0</v>
      </c>
      <c r="GJ146" s="16">
        <f>IF(ISNA(VLOOKUP(A146,'Données projet'!$A$253:$I$273,6,0)),0%,VLOOKUP(A146,'Données projet'!$A$253:$I$273,6,0)*VLOOKUP('Données projet'!$B$17,Paramètres!$A$1:$I$89,7,0))</f>
        <v>0</v>
      </c>
      <c r="GK146" s="16">
        <f>IF(ISNA(VLOOKUP(A146,'Données projet'!$A$253:$I$273,7,0)),0%,VLOOKUP(A146,'Données projet'!$A$253:$I$273,7,0))</f>
        <v>0</v>
      </c>
      <c r="GL146" s="21">
        <f>EXP(-LN(2)/35)*GL145+(1-EXP(-LN(2)/35))/(LN(2)/35)*GH146*GI146*VLOOKUP('Données projet'!$B$17,Paramètres!$A$1:$I$89,3,0)*0.475*44/12</f>
        <v>35.385768397366611</v>
      </c>
      <c r="GM146" s="21">
        <f>EXP(-LN(2)/25)*GM145+(1-EXP(-LN(2)/25))/(LN(2)/25)*Calculateur!GH146*Calculateur!GJ146*VLOOKUP('Données projet'!$B$17,Paramètres!$A$1:$I$89,3,0)*0.475*44/12</f>
        <v>3.796685524736445</v>
      </c>
      <c r="GN146" s="21">
        <f>EXP(-LN(2)/2)*GN145+(1-EXP(-LN(2)/2))/(LN(2)/2)*GH146*GK146*VLOOKUP('Données projet'!$B$17,Paramètres!$A$1:$I$89,3,0)*0.475*44/12</f>
        <v>0</v>
      </c>
      <c r="GO146" s="21">
        <f t="shared" si="250"/>
        <v>39.182453922103058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projet'!$A$279:$I$299,2,0)</f>
        <v>#N/A</v>
      </c>
      <c r="GS146" s="12" t="e">
        <f>VLOOKUP(A146,'Données projet'!$A$279:$I$299,9,0)</f>
        <v>#N/A</v>
      </c>
      <c r="GT146" s="12">
        <f t="array" ref="GT146">INDEX(GS:GS,MIN(IF(ISNUMBER(GS146:GS342),ROW(GS146:GS342),"")))</f>
        <v>0</v>
      </c>
      <c r="GU146" s="12">
        <f>IF('Données projet'!$A$280&gt;35,GU145+GT146-HC145,IF(A146&lt;'Données projet'!$A$280,$GR$205^A146,IF(A146='Données projet'!$A$280,'Données projet'!$B$280,GU145+GT146-HC145)))</f>
        <v>-1.1368683772161603E-13</v>
      </c>
      <c r="GV146" s="17">
        <f>GU146*VLOOKUP('Données projet'!$B$18,Paramètres!$A$1:$I$89,3,0)*VLOOKUP('Données projet'!$B$18,Paramètres!$A$1:$I$89,5,0)</f>
        <v>-4.5815795601811263E-14</v>
      </c>
      <c r="GW146" s="13" t="e">
        <f t="shared" si="304"/>
        <v>#NUM!</v>
      </c>
      <c r="GX146" s="20" t="e">
        <f t="shared" si="251"/>
        <v>#NUM!</v>
      </c>
      <c r="GY146" s="59" t="e">
        <f t="shared" si="252"/>
        <v>#NUM!</v>
      </c>
      <c r="GZ146" s="59">
        <f ca="1">AVERAGE(OFFSET($GY$3,0,0,'Données projet'!$E$18+1,1))-AVERAGE(OFFSET($H$3,0,0,'Données projet'!$E$18+1,1))</f>
        <v>324.36162935850876</v>
      </c>
      <c r="HA146" s="59">
        <f t="shared" si="305"/>
        <v>265.23571072429735</v>
      </c>
      <c r="HB146" s="15">
        <f>IF(ISNA(VLOOKUP(A146,'Données projet'!$A$279:$I$299,3,0)),0,VLOOKUP(A146,'Données projet'!$A$279:$I$299,3,0))</f>
        <v>0</v>
      </c>
      <c r="HC146" s="15">
        <f>IF(ISNA(VLOOKUP(A146,'Données projet'!$A$279:$I$299,4,0)),0,VLOOKUP(A146,'Données projet'!$A$279:$I$299,4,0))</f>
        <v>0</v>
      </c>
      <c r="HD146" s="16">
        <f>IF(ISNA(VLOOKUP(A146,'Données projet'!$A$279:$I$299,5,0)),0%,VLOOKUP(A146,'Données projet'!$A$279:$I$299,5,0)*VLOOKUP('Données projet'!$B$18,Paramètres!$A$1:$I$89,7,0))</f>
        <v>0</v>
      </c>
      <c r="HE146" s="16">
        <f>IF(ISNA(VLOOKUP(A146,'Données projet'!$A$279:$I$299,6,0)),0%,VLOOKUP(A146,'Données projet'!$A$279:$I$299,6,0)*VLOOKUP('Données projet'!$B$18,Paramètres!$A$1:$I$89,7,0))</f>
        <v>0</v>
      </c>
      <c r="HF146" s="16">
        <f>IF(ISNA(VLOOKUP($A146,'Données projet'!$A$279:$I$299,7,0)),0%,VLOOKUP($A146,'Données projet'!$A$279:$I$299,7,0))</f>
        <v>0</v>
      </c>
      <c r="HG146" s="21">
        <f>EXP(-LN(2)/35)*HG145+(1-EXP(-LN(2)/35))/(LN(2)/35)*HC146*HD146*VLOOKUP('Données projet'!$B$18,Paramètres!$A$1:$I$89,3,0)*0.475*44/12</f>
        <v>67.808382754825431</v>
      </c>
      <c r="HH146" s="21">
        <f>EXP(-LN(2)/25)*HH145+(1-EXP(-LN(2)/25))/(LN(2)/25)*Calculateur!HC146*Calculateur!HE146*VLOOKUP('Données projet'!$B$18,Paramètres!$A$1:$I$89,3,0)*0.475*44/12</f>
        <v>4.2225934016671358</v>
      </c>
      <c r="HI146" s="21">
        <f>EXP(-LN(2)/2)*HI145+(1-EXP(-LN(2)/2))/(LN(2)/2)*HC146*HF146*VLOOKUP('Données projet'!$B$18,Paramètres!$A$1:$I$89,3,0)*0.475*44/12</f>
        <v>2.8143590063443627E-9</v>
      </c>
      <c r="HJ146" s="22">
        <f t="shared" si="253"/>
        <v>72.030976159306931</v>
      </c>
      <c r="HK146" s="74">
        <f>('Scénario référence'!$F$8+'Scénario référence'!$F$9+'Scénario référence'!$B$17+'Scénario référence'!$B$9+'Scénario référence'!$B$10)*70+IF((45+25*(1-EXP(-0.0175*$A146)))&lt;70,'Scénario référence'!$B$16*(45+25*(1-EXP(-0.0175*$A146))),70*'Scénario référence'!$B$16)+IF((32+38*(1-EXP(-0.0175*$A146)))&lt;70,'Scénario référence'!$B$18*(32+38*(1-EXP(-0.0175*$A146))),70*'Scénario référence'!$B$18)</f>
        <v>70</v>
      </c>
      <c r="HL146" s="12">
        <f>IF($A146&gt;30,10,('Scénario référence'!$B$16+'Scénario référence'!$B$17+'Scénario référence'!$B$18+'Scénario référence'!$B$9+'Scénario référence'!$B$10)*$A146*10/30+('Scénario référence'!$F$8+'Scénario référence'!$F$9)*10)</f>
        <v>10</v>
      </c>
      <c r="HM146" s="12" t="e">
        <f>VLOOKUP($A146,'Données projet'!$A$304:$I$324,2,0)</f>
        <v>#N/A</v>
      </c>
      <c r="HN146" s="12" t="e">
        <f>VLOOKUP($A146,'Données projet'!$A$304:$I$324,9,0)</f>
        <v>#N/A</v>
      </c>
      <c r="HO146" s="12">
        <f t="array" ref="HO146">INDEX(HN:HN,MIN(IF(ISNUMBER(HN146:HN342),ROW(HN146:HN342),"")))</f>
        <v>0</v>
      </c>
      <c r="HP146" s="12">
        <f>IF('Données projet'!$A$304&gt;35,HP145+HO146-HX145,IF($A146&lt;'Données projet'!$A$304,$CQ$205^$A146,IF($A146='Données projet'!$A$304,'Données projet'!$B$304,HP145+HO146-HX145)))</f>
        <v>0</v>
      </c>
      <c r="HQ146" s="17">
        <f>HP146*VLOOKUP('Données projet'!$B$19,Paramètres!$A$1:$I$89,3,0)*VLOOKUP('Données projet'!$B$19,Paramètres!$A$1:$I$89,5,0)</f>
        <v>0</v>
      </c>
      <c r="HR146" s="13" t="e">
        <f t="shared" si="306"/>
        <v>#NUM!</v>
      </c>
      <c r="HS146" s="14" t="e">
        <f t="shared" si="254"/>
        <v>#NUM!</v>
      </c>
      <c r="HT146" s="59" t="e">
        <f t="shared" si="255"/>
        <v>#NUM!</v>
      </c>
      <c r="HU146" s="59">
        <f ca="1">AVERAGE(OFFSET(HT$3,0,0,'Données projet'!$E$19+1,1))-AVERAGE(OFFSET($H$3,0,0,'Données projet'!$E$19+1,1))</f>
        <v>91.60721429656013</v>
      </c>
      <c r="HV146" s="59">
        <f t="shared" si="307"/>
        <v>258.94957804210856</v>
      </c>
      <c r="HW146" s="15">
        <f>IF(ISNA(VLOOKUP($A146,'Données projet'!$A$304:$I$324,3,0)),0,VLOOKUP($A146,'Données projet'!$A$304:$I$324,3,0))</f>
        <v>0</v>
      </c>
      <c r="HX146" s="15">
        <f>IF(ISNA(VLOOKUP($A146,'Données projet'!$A$304:$I$324,4,0)),0,VLOOKUP($A146,'Données projet'!$A$304:$I$324,4,0))</f>
        <v>0</v>
      </c>
      <c r="HY146" s="16">
        <f>IF(ISNA(VLOOKUP($A146,'Données projet'!$A$304:$I$324,5,0)),0%,VLOOKUP($A146,'Données projet'!$A$304:$I$324,5,0)*VLOOKUP('Données projet'!$B$19,Paramètres!$A$1:$I$89,7,0))</f>
        <v>0</v>
      </c>
      <c r="HZ146" s="16">
        <f>IF(ISNA(VLOOKUP($A146,'Données projet'!$A$304:$I$324,6,0)),0%,VLOOKUP($A146,'Données projet'!$A$304:$I$324,6,0)*VLOOKUP('Données projet'!$B$19,Paramètres!$A$1:$I$89,7,0))</f>
        <v>0</v>
      </c>
      <c r="IA146" s="16">
        <f>IF(ISNA(VLOOKUP($A146,'Données projet'!$A$304:$I$324,7,0)),0%,VLOOKUP($A146,'Données projet'!$A$304:$I$324,7,0))</f>
        <v>0</v>
      </c>
      <c r="IB146" s="21">
        <f>EXP(-LN(2)/35)*IB145+(1-EXP(-LN(2)/35))/(LN(2)/35)*HX146*HY146*VLOOKUP('Données projet'!$B$19,Paramètres!$A$1:$I$89,3,0)*0.475*44/12</f>
        <v>5.2630571217399478</v>
      </c>
      <c r="IC146" s="21">
        <f>EXP(-LN(2)/25)*IC145+(1-EXP(-LN(2)/25))/(LN(2)/25)*Calculateur!HX146*Calculateur!HZ146*VLOOKUP('Données projet'!$B$19,Paramètres!$A$1:$I$89,3,0)*0.475*44/12</f>
        <v>0.42399016154793812</v>
      </c>
      <c r="ID146" s="21">
        <f>EXP(-LN(2)/2)*ID145+(1-EXP(-LN(2)/2))/(LN(2)/2)*HX146*IA146*VLOOKUP('Données projet'!$B$19,Paramètres!$A$1:$I$89,3,0)*0.475*44/12</f>
        <v>5.6214443413049132E-18</v>
      </c>
      <c r="IE146" s="22">
        <f t="shared" si="256"/>
        <v>5.6870472832878862</v>
      </c>
      <c r="IF146" s="74">
        <f>('Scénario référence'!$F$8+'Scénario référence'!$F$9+'Scénario référence'!$B$17+'Scénario référence'!$B$9+'Scénario référence'!$B$10)*70+IF((45+25*(1-EXP(-0.0175*$A146)))&lt;70,'Scénario référence'!$B$16*(45+25*(1-EXP(-0.0175*$A146))),70*'Scénario référence'!$B$16)+IF((32+38*(1-EXP(-0.0175*$A146)))&lt;70,'Scénario référence'!$B$18*(32+38*(1-EXP(-0.0175*$A146))),70*'Scénario référence'!$B$18)</f>
        <v>70</v>
      </c>
      <c r="IG146" s="12">
        <f>IF($A146&gt;30,10,('Scénario référence'!$B$16+'Scénario référence'!$B$17+'Scénario référence'!$B$18+'Scénario référence'!$B$9+'Scénario référence'!$B$10)*$A146*10/30+('Scénario référence'!$F$8+'Scénario référence'!$F$9)*10)</f>
        <v>10</v>
      </c>
      <c r="IH146" s="12" t="e">
        <f>VLOOKUP($A146,'Données projet'!$A$330:$I$350,2,0)</f>
        <v>#N/A</v>
      </c>
      <c r="II146" s="12" t="e">
        <f>VLOOKUP($A146,'Données projet'!$A$330:$I$350,9,0)</f>
        <v>#N/A</v>
      </c>
      <c r="IJ146" s="12">
        <f t="array" ref="IJ146">INDEX(II:II,MIN(IF(ISNUMBER(II146:II342),ROW(II146:II342),"")))</f>
        <v>0</v>
      </c>
      <c r="IK146" s="12">
        <f>IF('Données projet'!$A$330&gt;35,IK145+IJ146-IS145,IF($A146&lt;'Données projet'!$A$330,$CQ$205^$A146,IF($A146='Données projet'!$A$330,'Données projet'!$B$330,IK145+IJ146-IS145)))</f>
        <v>0</v>
      </c>
      <c r="IL146" s="17">
        <f>IK146*VLOOKUP('Données projet'!$B$20,Paramètres!$A$1:$I$89,3,0)*VLOOKUP('Données projet'!$B$20,Paramètres!$A$1:$I$89,5,0)</f>
        <v>0</v>
      </c>
      <c r="IM146" s="13" t="e">
        <f t="shared" si="308"/>
        <v>#NUM!</v>
      </c>
      <c r="IN146" s="20" t="e">
        <f t="shared" si="257"/>
        <v>#NUM!</v>
      </c>
      <c r="IO146" s="59" t="e">
        <f t="shared" si="258"/>
        <v>#NUM!</v>
      </c>
      <c r="IP146" s="59">
        <f ca="1">AVERAGE(OFFSET(IO$3,0,0,'Données projet'!$E$20+1,1))-AVERAGE(OFFSET($H$3,0,0,'Données projet'!$E$20+1,1))</f>
        <v>91.60721429656013</v>
      </c>
      <c r="IQ146" s="59">
        <f t="shared" si="309"/>
        <v>258.94957804210856</v>
      </c>
      <c r="IR146" s="15">
        <f>IF(ISNA(VLOOKUP($A146,'Données projet'!$A$330:$I$350,3,0)),0,VLOOKUP($A146,'Données projet'!$A$330:$I$350,3,0))</f>
        <v>0</v>
      </c>
      <c r="IS146" s="15">
        <f>IF(ISNA(VLOOKUP($A146,'Données projet'!$A$330:$I$350,4,0)),0,VLOOKUP($A146,'Données projet'!$A$330:$I$350,4,0))</f>
        <v>0</v>
      </c>
      <c r="IT146" s="16">
        <f>IF(ISNA(VLOOKUP($A146,'Données projet'!$A$330:$I$350,5,0)),0%,VLOOKUP($A146,'Données projet'!$A$330:$I$350,5,0)*VLOOKUP('Données projet'!$B$20,Paramètres!$A$1:$I$89,7,0))</f>
        <v>0</v>
      </c>
      <c r="IU146" s="16">
        <f>IF(ISNA(VLOOKUP($A146,'Données projet'!$A$330:$I$350,6,0)),0%,VLOOKUP($A146,'Données projet'!$A$330:$I$350,6,0)*VLOOKUP('Données projet'!$B$20,Paramètres!$A$1:$I$89,7,0))</f>
        <v>0</v>
      </c>
      <c r="IV146" s="16">
        <f>IF(ISNA(VLOOKUP($A146,'Données projet'!$A$330:$I$350,7,0)),0%,VLOOKUP($A146,'Données projet'!$A$330:$I$350,7,0))</f>
        <v>0</v>
      </c>
      <c r="IW146" s="21">
        <f>EXP(-LN(2)/35)*IW145+(1-EXP(-LN(2)/35))/(LN(2)/35)*IS146*IT146*VLOOKUP('Données projet'!$B$20,Paramètres!$A$1:$I$89,3,0)*0.475*44/12</f>
        <v>5.2630571217399478</v>
      </c>
      <c r="IX146" s="21">
        <f>EXP(-LN(2)/25)*IX145+(1-EXP(-LN(2)/25))/(LN(2)/25)*Calculateur!IS146*Calculateur!IU146*VLOOKUP('Données projet'!$B$20,Paramètres!$A$1:$I$89,3,0)*0.475*44/12</f>
        <v>0.42399016154793812</v>
      </c>
      <c r="IY146" s="21">
        <f>EXP(-LN(2)/2)*IY145+(1-EXP(-LN(2)/2))/(LN(2)/2)*IS146*IV146*VLOOKUP('Données projet'!$B$20,Paramètres!$A$1:$I$89,3,0)*0.475*44/12</f>
        <v>5.6214443413049132E-18</v>
      </c>
      <c r="IZ146" s="22">
        <f t="shared" si="259"/>
        <v>5.6870472832878862</v>
      </c>
      <c r="JA146" s="74">
        <f>('Scénario référence'!$F$8+'Scénario référence'!$F$9+'Scénario référence'!$B$17+'Scénario référence'!$B$9+'Scénario référence'!$B$10)*70+IF((45+25*(1-EXP(-0.0175*$A146)))&lt;70,'Scénario référence'!$B$16*(45+25*(1-EXP(-0.0175*$A146))),70*'Scénario référence'!$B$16)+IF((32+38*(1-EXP(-0.0175*$A146)))&lt;70,'Scénario référence'!$B$18*(32+38*(1-EXP(-0.0175*$A146))),70*'Scénario référence'!$B$18)</f>
        <v>70</v>
      </c>
      <c r="JB146" s="12">
        <f>IF($A146&gt;30,10,('Scénario référence'!$B$16+'Scénario référence'!$B$17+'Scénario référence'!$B$18+'Scénario référence'!$B$9+'Scénario référence'!$B$10)*$A146*10/30+('Scénario référence'!$F$8+'Scénario référence'!$F$9)*10)</f>
        <v>10</v>
      </c>
      <c r="JC146" s="12" t="e">
        <f>VLOOKUP($A146,'Données projet'!$A$356:$I$376,2,0)</f>
        <v>#N/A</v>
      </c>
      <c r="JD146" s="12" t="e">
        <f>VLOOKUP($A146,'Données projet'!$A$356:$I$376,9,0)</f>
        <v>#N/A</v>
      </c>
      <c r="JE146" s="12">
        <f t="array" ref="JE146">INDEX(JD:JD,MIN(IF(ISNUMBER(JD146:JD342),ROW(JD146:JD342),"")))</f>
        <v>1.4</v>
      </c>
      <c r="JF146" s="12">
        <f>IF('Données projet'!$A$356&gt;35,JF145+JE146-JN145,IF($A146&lt;'Données projet'!$A$356,$CQ$205^$A146,IF($A146='Données projet'!$A$356,'Données projet'!$B$356,JF145+JE146-JN145)))</f>
        <v>438.19999999999885</v>
      </c>
      <c r="JG146" s="17">
        <f>JF146*VLOOKUP('Données projet'!$B$21,Paramètres!$A$1:$I$89,3,0)*VLOOKUP('Données projet'!$B$21,Paramètres!$A$1:$I$89,5,0)</f>
        <v>355.46783999999911</v>
      </c>
      <c r="JH146" s="13">
        <f t="shared" si="310"/>
        <v>82.687378501614603</v>
      </c>
      <c r="JI146" s="20">
        <f t="shared" si="260"/>
        <v>763.12033889031045</v>
      </c>
      <c r="JJ146" s="59">
        <f t="shared" si="261"/>
        <v>1056.4536722236437</v>
      </c>
      <c r="JK146" s="59">
        <f ca="1">AVERAGE(OFFSET($JJ$3,0,0,'Données projet'!$E$22+1,1))-AVERAGE(OFFSET($H$3,0,0,'Données projet'!$E$22+1,1))</f>
        <v>353.35574633294613</v>
      </c>
      <c r="JL146" s="59">
        <f t="shared" si="311"/>
        <v>170.36796666474726</v>
      </c>
      <c r="JM146" s="15">
        <f>IF(ISNA(VLOOKUP($A146,'Données projet'!$A$356:$I$376,3,0)),0,VLOOKUP($A146,'Données projet'!$A$356:$I$376,3,0))</f>
        <v>0</v>
      </c>
      <c r="JN146" s="15">
        <f>IF(ISNA(VLOOKUP($A146,'Données projet'!$A$356:$I$376,4,0)),0,VLOOKUP($A146,'Données projet'!$A$356:$I$376,4,0))</f>
        <v>0</v>
      </c>
      <c r="JO146" s="16">
        <f>IF(ISNA(VLOOKUP($A146,'Données projet'!$A$356:$I$376,5,0)),0%,VLOOKUP($A146,'Données projet'!$A$356:$I$376,5,0)*VLOOKUP('Données projet'!$B$21,Paramètres!$A$1:$I$89,7,0))</f>
        <v>0</v>
      </c>
      <c r="JP146" s="16">
        <f>IF(ISNA(VLOOKUP($A146,'Données projet'!$A$356:$I$376,6,0)),0%,VLOOKUP($A146,'Données projet'!$A$356:$I$376,6,0)*VLOOKUP('Données projet'!$B$21,Paramètres!$A$1:$I$89,7,0))</f>
        <v>0</v>
      </c>
      <c r="JQ146" s="16">
        <f>IF(ISNA(VLOOKUP($A146,'Données projet'!$A$356:$I$376,7,0)),0%,VLOOKUP($A146,'Données projet'!$A$356:$I$376,7,0))</f>
        <v>0</v>
      </c>
      <c r="JR146" s="21">
        <f>EXP(-LN(2)/35)*JR145+(1-EXP(-LN(2)/35))/(LN(2)/35)*JN146*JO146*VLOOKUP('Données projet'!$B$21,Paramètres!$A$1:$I$89,3,0)*0.475*44/12</f>
        <v>4.998963748253896</v>
      </c>
      <c r="JS146" s="21">
        <f>EXP(-LN(2)/25)*JS145+(1-EXP(-LN(2)/25))/(LN(2)/25)*Calculateur!JN146*Calculateur!JP146*VLOOKUP('Données projet'!$B$21,Paramètres!$A$1:$I$89,3,0)*0.475*44/12</f>
        <v>9.2259954192048763</v>
      </c>
      <c r="JT146" s="21">
        <f>EXP(-LN(2)/2)*JT145+(1-EXP(-LN(2)/2))/(LN(2)/2)*JN146*JQ146*VLOOKUP('Données projet'!$B$21,Paramètres!$A$1:$I$89,3,0)*0.475*44/12</f>
        <v>1.6950508437951067E-2</v>
      </c>
      <c r="JU146" s="18">
        <f t="shared" si="262"/>
        <v>14.241909675896723</v>
      </c>
      <c r="JV146" s="74">
        <f>('Scénario référence'!$F$8+'Scénario référence'!$F$9+'Scénario référence'!$B$17+'Scénario référence'!$B$9+'Scénario référence'!$B$10)*70+IF((45+25*(1-EXP(-0.0175*$A146)))&lt;70,'Scénario référence'!$B$16*(45+25*(1-EXP(-0.0175*$A146))),70*'Scénario référence'!$B$16)+IF((32+38*(1-EXP(-0.0175*$A146)))&lt;70,'Scénario référence'!$B$18*(32+38*(1-EXP(-0.0175*$A146))),70*'Scénario référence'!$B$18)</f>
        <v>70</v>
      </c>
      <c r="JW146" s="12">
        <f>IF($A146&gt;30,10,('Scénario référence'!$B$16+'Scénario référence'!$B$17+'Scénario référence'!$B$18+'Scénario référence'!$B$9+'Scénario référence'!$B$10)*$A146*10/30+('Scénario référence'!$F$8+'Scénario référence'!$F$9)*10)</f>
        <v>10</v>
      </c>
      <c r="JX146" s="12" t="e">
        <f>VLOOKUP($A146,'Données projet'!$A$382:$I$402,2,0)</f>
        <v>#N/A</v>
      </c>
      <c r="JY146" s="12" t="e">
        <f>VLOOKUP($A146,'Données projet'!$A$382:$I$402,9,0)</f>
        <v>#N/A</v>
      </c>
      <c r="JZ146" s="12">
        <f t="array" ref="JZ146">INDEX(JY:JY,MIN(IF(ISNUMBER(JY146:JY342),ROW(JY146:JY342),"")))</f>
        <v>0</v>
      </c>
      <c r="KA146" s="12">
        <f>IF('Données projet'!$A$382&gt;35,KA145+JZ146-KI145,IF($A146&lt;'Données projet'!$A$382,$CQ$205^$A146,IF($A146='Données projet'!$A$382,'Données projet'!$B$382,KA145+JZ146-KI145)))</f>
        <v>5.6843418860808015E-13</v>
      </c>
      <c r="KB146" s="17">
        <f>KA146*VLOOKUP('Données projet'!$B$22,Paramètres!$A$1:$I$89,3,0)*VLOOKUP('Données projet'!$B$22,Paramètres!$A$1:$I$89,5,0)</f>
        <v>3.8130565371830017E-13</v>
      </c>
      <c r="KC146" s="13">
        <f t="shared" si="312"/>
        <v>4.9019074112354236E-12</v>
      </c>
      <c r="KD146" s="20">
        <f t="shared" si="263"/>
        <v>9.2015960881277352E-12</v>
      </c>
      <c r="KE146" s="59">
        <f t="shared" si="264"/>
        <v>293.33333333334252</v>
      </c>
      <c r="KF146" s="59">
        <f ca="1">AVERAGE(OFFSET($KE$3,0,0,'Données projet'!$E$22+1,1))-AVERAGE(OFFSET($H$3,0,0,'Données projet'!$E$22+1,1))</f>
        <v>193.91714772848269</v>
      </c>
      <c r="KG146" s="59">
        <f t="shared" si="313"/>
        <v>159.20429420478047</v>
      </c>
      <c r="KH146" s="15">
        <f>IF(ISNA(VLOOKUP($A146,'Données projet'!$A$382:$I$402,3,0)),0,VLOOKUP($A146,'Données projet'!$A$382:$I$402,3,0))</f>
        <v>0</v>
      </c>
      <c r="KI146" s="15">
        <f>IF(ISNA(VLOOKUP($A146,'Données projet'!$A$382:$I$402,4,0)),0,VLOOKUP($A146,'Données projet'!$A$382:$I$402,4,0))</f>
        <v>0</v>
      </c>
      <c r="KJ146" s="16">
        <f>IF(ISNA(VLOOKUP($A146,'Données projet'!$A$382:$I$402,5,0)),0%,VLOOKUP($A146,'Données projet'!$A$382:$I$402,5,0)*VLOOKUP('Données projet'!$B$22,Paramètres!$A$1:$I$89,7,0))</f>
        <v>0</v>
      </c>
      <c r="KK146" s="16">
        <f>IF(ISNA(VLOOKUP($A146,'Données projet'!$A$382:$I$402,6,0)),0%,VLOOKUP($A146,'Données projet'!$A$382:$I$402,6,0)*VLOOKUP('Données projet'!$B$22,Paramètres!$A$1:$I$89,7,0))</f>
        <v>0</v>
      </c>
      <c r="KL146" s="16">
        <f>IF(ISNA(VLOOKUP($A146,'Données projet'!$A$382:$I$402,7,0)),0%,VLOOKUP($A146,'Données projet'!$A$382:$I$402,7,0))</f>
        <v>0</v>
      </c>
      <c r="KM146" s="21">
        <f>EXP(-LN(2)/35)*KM145+(1-EXP(-LN(2)/35))/(LN(2)/35)*KI146*KJ146*VLOOKUP('Données projet'!$B$22,Paramètres!$A$1:$I$89,3,0)*0.475*44/12</f>
        <v>123.19630652760004</v>
      </c>
      <c r="KN146" s="21">
        <f>EXP(-LN(2)/25)*KN145+(1-EXP(-LN(2)/25))/(LN(2)/25)*Calculateur!KI146*Calculateur!KK146*VLOOKUP('Données projet'!$B$22,Paramètres!$A$1:$I$89,3,0)*0.475*44/12</f>
        <v>0</v>
      </c>
      <c r="KO146" s="21">
        <f>EXP(-LN(2)/2)*KO145+(1-EXP(-LN(2)/2))/(LN(2)/2)*KI146*KL146*VLOOKUP('Données projet'!$B$22,Paramètres!$A$1:$I$89,3,0)*0.475*44/12</f>
        <v>0</v>
      </c>
      <c r="KP146" s="22">
        <f t="shared" si="265"/>
        <v>123.19630652760004</v>
      </c>
      <c r="KQ146" s="74">
        <f>('Scénario référence'!$F$8+'Scénario référence'!$F$9+'Scénario référence'!$B$17+'Scénario référence'!$B$9+'Scénario référence'!$B$10)*70+IF((45+25*(1-EXP(-0.0175*$A146)))&lt;70,'Scénario référence'!$B$16*(45+25*(1-EXP(-0.0175*$A146))),70*'Scénario référence'!$B$16)+IF((32+38*(1-EXP(-0.0175*$A146)))&lt;70,'Scénario référence'!$B$18*(32+38*(1-EXP(-0.0175*$A146))),70*'Scénario référence'!$B$18)</f>
        <v>70</v>
      </c>
      <c r="KR146" s="12">
        <f>IF($A146&gt;30,10,('Scénario référence'!$B$16+'Scénario référence'!$B$17+'Scénario référence'!$B$18+'Scénario référence'!$B$9+'Scénario référence'!$B$10)*$A146*10/30+('Scénario référence'!$F$8+'Scénario référence'!$F$9)*10)</f>
        <v>10</v>
      </c>
      <c r="KS146" s="12" t="e">
        <f>VLOOKUP($A146,'Données projet'!$A$408:$I$428,2,0)</f>
        <v>#N/A</v>
      </c>
      <c r="KT146" s="12" t="e">
        <f>VLOOKUP($A146,'Données projet'!$A$408:$I$428,9,0)</f>
        <v>#N/A</v>
      </c>
      <c r="KU146" s="12">
        <f t="array" ref="KU146">INDEX(KT:KT,MIN(IF(ISNUMBER(KT146:KT342),ROW(KT146:KT342),"")))</f>
        <v>0</v>
      </c>
      <c r="KV146" s="12">
        <f>IF('Données projet'!$A$408&gt;35,KV145+KU146-LD145,IF($A146&lt;'Données projet'!$A$408,$CQ$205^$A146,IF($A146='Données projet'!$A$408,'Données projet'!$B$408,KV145+KU146-LD145)))</f>
        <v>-1.1368683772161603E-13</v>
      </c>
      <c r="KW146" s="17">
        <f>KV146*VLOOKUP('Données projet'!$B$23,Paramètres!$A$1:$I$89,3,0)*VLOOKUP('Données projet'!$B$23,Paramètres!$A$1:$I$89,5,0)</f>
        <v>-9.9316821433603781E-14</v>
      </c>
      <c r="KX146" s="13" t="e">
        <f t="shared" si="314"/>
        <v>#NUM!</v>
      </c>
      <c r="KY146" s="14" t="e">
        <f t="shared" si="266"/>
        <v>#NUM!</v>
      </c>
      <c r="KZ146" s="59" t="e">
        <f t="shared" si="267"/>
        <v>#NUM!</v>
      </c>
      <c r="LA146" s="59">
        <f ca="1">AVERAGE(OFFSET($KZ$3,0,0,'Données projet'!$E$23+1,1))-AVERAGE(OFFSET($H$3,0,0,'Données projet'!$E$23+1,1))</f>
        <v>248.33596943633819</v>
      </c>
      <c r="LB146" s="59">
        <f t="shared" si="315"/>
        <v>242.34010522344573</v>
      </c>
      <c r="LC146" s="15">
        <f>IF(ISNA(VLOOKUP($A146,'Données projet'!$A$408:$I$428,3,0)),0,VLOOKUP($A146,'Données projet'!$A$408:$I$428,3,0))</f>
        <v>0</v>
      </c>
      <c r="LD146" s="15">
        <f>IF(ISNA(VLOOKUP($A146,'Données projet'!$A$408:$I$428,4,0)),0,VLOOKUP($A146,'Données projet'!$A$408:$I$428,4,0))</f>
        <v>0</v>
      </c>
      <c r="LE146" s="16">
        <f>IF(ISNA(VLOOKUP($A146,'Données projet'!$A$408:$I$428,5,0)),0%,VLOOKUP($A146,'Données projet'!$A$408:$I$428,5,0)*VLOOKUP('Données projet'!$B$23,Paramètres!$A$1:$I$89,7,0))</f>
        <v>0</v>
      </c>
      <c r="LF146" s="16">
        <f>IF(ISNA(VLOOKUP($A146,'Données projet'!$A$408:$I$428,6,0)),0%,VLOOKUP($A146,'Données projet'!$A$408:$I$428,6,0)*VLOOKUP('Données projet'!$B$23,Paramètres!$A$1:$I$89,7,0))</f>
        <v>0</v>
      </c>
      <c r="LG146" s="16">
        <f>IF(ISNA(VLOOKUP($A146,'Données projet'!$A$408:$I$428,7,0)),0%,VLOOKUP($A146,'Données projet'!$A$408:$I$428,7,0))</f>
        <v>0</v>
      </c>
      <c r="LH146" s="21">
        <f>EXP(-LN(2)/35)*LH145+(1-EXP(-LN(2)/35))/(LN(2)/35)*LD146*LE146*VLOOKUP('Données projet'!$B$23,Paramètres!$A$1:$I$89,3,0)*0.475*44/12</f>
        <v>35.385768397366611</v>
      </c>
      <c r="LI146" s="21">
        <f>EXP(-LN(2)/25)*LI145+(1-EXP(-LN(2)/25))/(LN(2)/25)*Calculateur!LD146*Calculateur!LF146*VLOOKUP('Données projet'!$B$23,Paramètres!$A$1:$I$89,3,0)*0.475*44/12</f>
        <v>3.796685524736445</v>
      </c>
      <c r="LJ146" s="21">
        <f>EXP(-LN(2)/2)*LJ145+(1-EXP(-LN(2)/2))/(LN(2)/2)*LD146*LG146*VLOOKUP('Données projet'!$B$23,Paramètres!$A$1:$I$89,3,0)*0.475*44/12</f>
        <v>0</v>
      </c>
      <c r="LK146" s="22">
        <f t="shared" si="268"/>
        <v>39.182453922103058</v>
      </c>
      <c r="LL146" s="74">
        <f>('Scénario référence'!$F$8+'Scénario référence'!$F$9+'Scénario référence'!$B$17+'Scénario référence'!$B$9+'Scénario référence'!$B$10)*70+IF((45+25*(1-EXP(-0.0175*$A146)))&lt;70,'Scénario référence'!$B$16*(45+25*(1-EXP(-0.0175*$A146))),70*'Scénario référence'!$B$16)+IF((32+38*(1-EXP(-0.0175*$A146)))&lt;70,'Scénario référence'!$B$18*(32+38*(1-EXP(-0.0175*$A146))),70*'Scénario référence'!$B$18)</f>
        <v>70</v>
      </c>
      <c r="LM146" s="12">
        <f>IF($A146&gt;30,10,('Scénario référence'!$B$16+'Scénario référence'!$B$17+'Scénario référence'!$B$18+'Scénario référence'!$B$9+'Scénario référence'!$B$10)*$A146*10/30+('Scénario référence'!$F$8+'Scénario référence'!$F$9)*10)</f>
        <v>10</v>
      </c>
      <c r="LN146" s="12" t="e">
        <f>VLOOKUP($A146,'Données projet'!$A$434:$I$454,2,0)</f>
        <v>#N/A</v>
      </c>
      <c r="LO146" s="12" t="e">
        <f>VLOOKUP($A146,'Données projet'!$A$434:$I$454,9,0)</f>
        <v>#N/A</v>
      </c>
      <c r="LP146" s="12">
        <f t="array" ref="LP146">INDEX(LO:LO,MIN(IF(ISNUMBER(LO146:LO342),ROW(LO146:LO342),"")))</f>
        <v>5.1063034188034209</v>
      </c>
      <c r="LQ146" s="12">
        <f>IF('Données projet'!$A$434&gt;35,LQ145+LP146-LY145,IF($A146&lt;'Données projet'!$A$434,$CQ$205^$A146,IF($A146='Données projet'!$A$434,'Données projet'!$B$434,LQ145+LP146-LY145)))</f>
        <v>272.54807692307651</v>
      </c>
      <c r="LR146" s="17">
        <f>LQ146*VLOOKUP('Données projet'!$B$24,Paramètres!$A$1:$I$89,3,0)*VLOOKUP('Données projet'!$B$24,Paramètres!$A$1:$I$89,5,0)</f>
        <v>276.36374999999958</v>
      </c>
      <c r="LS146" s="13">
        <f t="shared" si="316"/>
        <v>66.19798109408589</v>
      </c>
      <c r="LT146" s="14">
        <f t="shared" si="269"/>
        <v>596.6283483221988</v>
      </c>
      <c r="LU146" s="59">
        <f t="shared" si="270"/>
        <v>889.96168165553217</v>
      </c>
      <c r="LV146" s="59">
        <f ca="1">AVERAGE(OFFSET($LU$3,0,0,'Données projet'!$E$24+1,1))-AVERAGE(OFFSET($H$3,0,0,'Données projet'!$E$24+1,1))</f>
        <v>260.52627655062872</v>
      </c>
      <c r="LW146" s="59">
        <f t="shared" si="317"/>
        <v>159.20429420478047</v>
      </c>
      <c r="LX146" s="15">
        <f>IF(ISNA(VLOOKUP($A146,'Données projet'!$A$434:$I$454,3,0)),0,VLOOKUP($A146,'Données projet'!$A$434:$I$454,3,0))</f>
        <v>0</v>
      </c>
      <c r="LY146" s="15">
        <f>IF(ISNA(VLOOKUP($A146,'Données projet'!$A$434:$I$454,4,0)),0,VLOOKUP($A146,'Données projet'!$A$434:$I$454,4,0))</f>
        <v>0</v>
      </c>
      <c r="LZ146" s="16">
        <f>IF(ISNA(VLOOKUP($A146,'Données projet'!$A$434:$I$454,5,0)),0%,VLOOKUP($A146,'Données projet'!$A$434:$I$454,5,0)*VLOOKUP('Données projet'!$B$24,Paramètres!$A$1:$I$89,7,0))</f>
        <v>0</v>
      </c>
      <c r="MA146" s="16">
        <f>IF(ISNA(VLOOKUP($A146,'Données projet'!$A$434:$I$454,6,0)),0%,VLOOKUP($A146,'Données projet'!$A$434:$I$454,6,0)*VLOOKUP('Données projet'!$B$24,Paramètres!$A$1:$I$89,7,0))</f>
        <v>0</v>
      </c>
      <c r="MB146" s="16">
        <f>IF(ISNA(VLOOKUP($A146,'Données projet'!$A$434:$I$454,7,0)),0%,VLOOKUP($A146,'Données projet'!$A$434:$I$454,7,0))</f>
        <v>0</v>
      </c>
      <c r="MC146" s="21">
        <f>EXP(-LN(2)/35)*MC145+(1-EXP(-LN(2)/35))/(LN(2)/35)*LY146*LZ146*VLOOKUP('Données projet'!$B$24,Paramètres!$A$1:$I$89,3,0)*0.475*44/12</f>
        <v>48.792200632883159</v>
      </c>
      <c r="MD146" s="21">
        <f>EXP(-LN(2)/25)*MD145+(1-EXP(-LN(2)/25))/(LN(2)/25)*Calculateur!LY146*Calculateur!MA146*VLOOKUP('Données projet'!$B$24,Paramètres!$A$1:$I$89,3,0)*0.475*44/12</f>
        <v>0</v>
      </c>
      <c r="ME146" s="21">
        <f>EXP(-LN(2)/2)*ME145+(1-EXP(-LN(2)/2))/(LN(2)/2)*LY146*MB146*VLOOKUP('Données projet'!$B$24,Paramètres!$A$1:$I$89,3,0)*0.475*44/12</f>
        <v>0</v>
      </c>
      <c r="MF146" s="22">
        <f t="shared" si="271"/>
        <v>48.792200632883159</v>
      </c>
      <c r="MG146" s="74">
        <f>('Scénario référence'!$F$8+'Scénario référence'!$F$9+'Scénario référence'!$B$17+'Scénario référence'!$B$9+'Scénario référence'!$B$10)*70+IF((45+25*(1-EXP(-0.0175*$A146)))&lt;70,'Scénario référence'!$B$16*(45+25*(1-EXP(-0.0175*$A146))),70*'Scénario référence'!$B$16)+IF((32+38*(1-EXP(-0.0175*$A146)))&lt;70,'Scénario référence'!$B$18*(32+38*(1-EXP(-0.0175*$A146))),70*'Scénario référence'!$B$18)</f>
        <v>70</v>
      </c>
      <c r="MH146" s="12">
        <f>IF($A146&gt;30,10,('Scénario référence'!$B$16+'Scénario référence'!$B$17+'Scénario référence'!$B$18+'Scénario référence'!$B$9+'Scénario référence'!$B$10)*$A146*10/30+('Scénario référence'!$F$8+'Scénario référence'!$F$9)*10)</f>
        <v>10</v>
      </c>
      <c r="MI146" s="12" t="e">
        <f>VLOOKUP($A146,'Données projet'!$A$460:$I$480,2,0)</f>
        <v>#N/A</v>
      </c>
      <c r="MJ146" s="12" t="e">
        <f>VLOOKUP($A146,'Données projet'!$A$460:$I$480,9,0)</f>
        <v>#N/A</v>
      </c>
      <c r="MK146" s="12">
        <f t="array" ref="MK146">INDEX(MJ:MJ,MIN(IF(ISNUMBER(MJ146:MJ342),ROW(MJ146:MJ342),"")))</f>
        <v>0</v>
      </c>
      <c r="ML146" s="12">
        <f>IF('Données projet'!$A$460&gt;35,ML145+MK146-MT145,IF($A146&lt;'Données projet'!$A$460,$CQ$205^$A146,IF($A146='Données projet'!$A$460,'Données projet'!$B$460,ML145+MK146-MT145)))</f>
        <v>0</v>
      </c>
      <c r="MM146" s="17" t="e">
        <f>ML146*VLOOKUP('Données projet'!$B$25,Paramètres!$A$1:$I$89,3,0)*VLOOKUP('Données projet'!$B$25,Paramètres!$A$1:$I$89,5,0)</f>
        <v>#N/A</v>
      </c>
      <c r="MN146" s="13" t="e">
        <f t="shared" si="318"/>
        <v>#N/A</v>
      </c>
      <c r="MO146" s="14" t="e">
        <f t="shared" si="272"/>
        <v>#N/A</v>
      </c>
      <c r="MP146" s="59" t="e">
        <f t="shared" si="273"/>
        <v>#N/A</v>
      </c>
      <c r="MQ146" s="20" t="e">
        <f ca="1">AVERAGE(OFFSET($MP$3,0,0,'Données projet'!$E$25+1,1))-AVERAGE(OFFSET($H$3,0,0,'Données projet'!$E$25+1,1))</f>
        <v>#N/A</v>
      </c>
      <c r="MR146" s="59" t="e">
        <f t="shared" si="319"/>
        <v>#N/A</v>
      </c>
      <c r="MS146" s="15">
        <f>IF(ISNA(VLOOKUP($A146,'Données projet'!$A$460:$I$480,3,0)),0,VLOOKUP($A146,'Données projet'!$A$460:$I$480,3,0))</f>
        <v>0</v>
      </c>
      <c r="MT146" s="15">
        <f>IF(ISNA(VLOOKUP($A146,'Données projet'!$A$460:$I$480,4,0)),0,VLOOKUP($A146,'Données projet'!$A$460:$I$480,4,0))</f>
        <v>0</v>
      </c>
      <c r="MU146" s="16">
        <f>IF(ISNA(VLOOKUP($A146,'Données projet'!$A$460:$I$480,5,0)),0%,VLOOKUP($A146,'Données projet'!$A$460:$I$480,5,0)*VLOOKUP('Données projet'!$B$25,Paramètres!$A$1:$I$89,7,0))</f>
        <v>0</v>
      </c>
      <c r="MV146" s="16">
        <f>IF(ISNA(VLOOKUP($A146,'Données projet'!$A$460:$I$480,6,0)),0%,VLOOKUP($A146,'Données projet'!$A$460:$I$480,6,0)*VLOOKUP('Données projet'!$B$25,Paramètres!$A$1:$I$89,7,0))</f>
        <v>0</v>
      </c>
      <c r="MW146" s="16">
        <f>IF(ISNA(VLOOKUP($A146,'Données projet'!$A$460:$I$480,7,0)),0%,VLOOKUP($A146,'Données projet'!$A$460:$I$480,7,0))</f>
        <v>0</v>
      </c>
      <c r="MX146" s="21" t="e">
        <f>EXP(-LN(2)/35)*MX145+(1-EXP(-LN(2)/35))/(LN(2)/35)*MT146*MU146*VLOOKUP('Données projet'!$B$25,Paramètres!$A$1:$I$89,3,0)*0.475*44/12</f>
        <v>#N/A</v>
      </c>
      <c r="MY146" s="21" t="e">
        <f>EXP(-LN(2)/25)*MY145+(1-EXP(-LN(2)/25))/(LN(2)/25)*Calculateur!MT146*Calculateur!MV146*VLOOKUP('Données projet'!$B$25,Paramètres!$A$1:$I$89,3,0)*0.475*44/12</f>
        <v>#N/A</v>
      </c>
      <c r="MZ146" s="21" t="e">
        <f>EXP(-LN(2)/2)*MZ145+(1-EXP(-LN(2)/2))/(LN(2)/2)*MT146*MW146*VLOOKUP('Données projet'!$B$25,Paramètres!$A$1:$I$89,3,0)*0.475*44/12</f>
        <v>#N/A</v>
      </c>
      <c r="NA146" s="22" t="e">
        <f t="shared" si="274"/>
        <v>#N/A</v>
      </c>
      <c r="NB146" s="74">
        <f>('Scénario référence'!$F$8+'Scénario référence'!$F$9+'Scénario référence'!$B$17+'Scénario référence'!$B$9+'Scénario référence'!$B$10)*70+IF((45+25*(1-EXP(-0.0175*$A146)))&lt;70,'Scénario référence'!$B$16*(45+25*(1-EXP(-0.0175*$A146))),70*'Scénario référence'!$B$16)+IF((32+38*(1-EXP(-0.0175*$A146)))&lt;70,'Scénario référence'!$B$18*(32+38*(1-EXP(-0.0175*$A146))),70*'Scénario référence'!$B$18)</f>
        <v>70</v>
      </c>
      <c r="NC146" s="12">
        <f>IF($A146&gt;30,10,('Scénario référence'!$B$16+'Scénario référence'!$B$17+'Scénario référence'!$B$18+'Scénario référence'!$B$9+'Scénario référence'!$B$10)*$A146*10/30+('Scénario référence'!$F$8+'Scénario référence'!$F$9)*10)</f>
        <v>10</v>
      </c>
      <c r="ND146" s="12" t="e">
        <f>VLOOKUP($A146,'Données projet'!$A$486:$I$506,2,0)</f>
        <v>#N/A</v>
      </c>
      <c r="NE146" s="12" t="e">
        <f>VLOOKUP($A146,'Données projet'!$A$486:$I$506,9,0)</f>
        <v>#N/A</v>
      </c>
      <c r="NF146" s="12">
        <f t="array" ref="NF146">INDEX(NE:NE,MIN(IF(ISNUMBER(NE146:NE342),ROW(NE146:NE342),"")))</f>
        <v>0</v>
      </c>
      <c r="NG146" s="12">
        <f>IF('Données projet'!$A$486&gt;35,NG145+NF146-NO145,IF($A146&lt;'Données projet'!$A$486,$CQ$205^$A146,IF($A146='Données projet'!$A$486,'Données projet'!$B$486,NG145+NF146-NO145)))</f>
        <v>0</v>
      </c>
      <c r="NH146" s="17" t="e">
        <f>NG146*VLOOKUP('Données projet'!$B$26,Paramètres!$A$1:$I$89,3,0)*VLOOKUP('Données projet'!$B$26,Paramètres!$A$1:$I$89,5,0)</f>
        <v>#N/A</v>
      </c>
      <c r="NI146" s="13" t="e">
        <f t="shared" si="320"/>
        <v>#N/A</v>
      </c>
      <c r="NJ146" s="14" t="e">
        <f t="shared" si="275"/>
        <v>#N/A</v>
      </c>
      <c r="NK146" s="59" t="e">
        <f t="shared" si="276"/>
        <v>#N/A</v>
      </c>
      <c r="NL146" s="20" t="e">
        <f ca="1">AVERAGE(OFFSET($NK$3,0,0,'Données projet'!$E$26+1,1))-AVERAGE(OFFSET($H$3,0,0,'Données projet'!$E$26+1,1))</f>
        <v>#N/A</v>
      </c>
      <c r="NM146" s="59" t="e">
        <f t="shared" si="321"/>
        <v>#N/A</v>
      </c>
      <c r="NN146" s="15">
        <f>IF(ISNA(VLOOKUP($A146,'Données projet'!$A$486:$I$506,3,0)),0,VLOOKUP($A146,'Données projet'!$A$486:$I$506,3,0))</f>
        <v>0</v>
      </c>
      <c r="NO146" s="15">
        <f>IF(ISNA(VLOOKUP($A146,'Données projet'!$A$486:$I$506,4,0)),0,VLOOKUP($A146,'Données projet'!$A$486:$I$506,4,0))</f>
        <v>0</v>
      </c>
      <c r="NP146" s="16">
        <f>IF(ISNA(VLOOKUP($A146,'Données projet'!$A$486:$I$506,5,0)),0%,VLOOKUP($A146,'Données projet'!$A$486:$I$506,5,0)*VLOOKUP('Données projet'!$B$26,Paramètres!$A$1:$I$89,7,0))</f>
        <v>0</v>
      </c>
      <c r="NQ146" s="16">
        <f>IF(ISNA(VLOOKUP($A146,'Données projet'!$A$486:$I$506,6,0)),0%,VLOOKUP($A146,'Données projet'!$A$486:$I$506,6,0)*VLOOKUP('Données projet'!$B$26,Paramètres!$A$1:$I$89,7,0))</f>
        <v>0</v>
      </c>
      <c r="NR146" s="16">
        <f>IF(ISNA(VLOOKUP($A146,'Données projet'!$A$486:$I$506,7,0)),0%,VLOOKUP($A146,'Données projet'!$A$486:$I$506,7,0))</f>
        <v>0</v>
      </c>
      <c r="NS146" s="21" t="e">
        <f>EXP(-LN(2)/35)*NS145+(1-EXP(-LN(2)/35))/(LN(2)/35)*NO146*NP146*VLOOKUP('Données projet'!$B$26,Paramètres!$A$1:$I$89,3,0)*0.475*44/12</f>
        <v>#N/A</v>
      </c>
      <c r="NT146" s="21" t="e">
        <f>EXP(-LN(2)/25)*NT145+(1-EXP(-LN(2)/25))/(LN(2)/25)*Calculateur!NO146*Calculateur!NQ146*VLOOKUP('Données projet'!$B$26,Paramètres!$A$1:$I$89,3,0)*0.475*44/12</f>
        <v>#N/A</v>
      </c>
      <c r="NU146" s="21" t="e">
        <f>EXP(-LN(2)/2)*NU145+(1-EXP(-LN(2)/2))/(LN(2)/2)*NO146*NR146*VLOOKUP('Données projet'!$B$26,Paramètres!$A$1:$I$89,3,0)*0.475*44/12</f>
        <v>#N/A</v>
      </c>
      <c r="NV146" s="22" t="e">
        <f t="shared" si="277"/>
        <v>#N/A</v>
      </c>
      <c r="NW146" s="74">
        <f>('Scénario référence'!$F$8+'Scénario référence'!$F$9+'Scénario référence'!$B$17+'Scénario référence'!$B$9+'Scénario référence'!$B$10)*70+IF((45+25*(1-EXP(-0.0175*$A146)))&lt;70,'Scénario référence'!$B$16*(45+25*(1-EXP(-0.0175*$A146))),70*'Scénario référence'!$B$16)+IF((32+38*(1-EXP(-0.0175*$A146)))&lt;70,'Scénario référence'!$B$18*(32+38*(1-EXP(-0.0175*$A146))),70*'Scénario référence'!$B$18)</f>
        <v>70</v>
      </c>
      <c r="NX146" s="12">
        <f>IF($A146&gt;30,10,('Scénario référence'!$B$16+'Scénario référence'!$B$17+'Scénario référence'!$B$18+'Scénario référence'!$B$9+'Scénario référence'!$B$10)*$A146*10/30+('Scénario référence'!$F$8+'Scénario référence'!$F$9)*10)</f>
        <v>10</v>
      </c>
      <c r="NY146" s="12" t="e">
        <f>VLOOKUP($A146,'Données projet'!$A$512:$I$532,2,0)</f>
        <v>#N/A</v>
      </c>
      <c r="NZ146" s="12" t="e">
        <f>VLOOKUP($A146,'Données projet'!$A$512:$I$532,9,0)</f>
        <v>#N/A</v>
      </c>
      <c r="OA146" s="12">
        <f t="array" ref="OA146">INDEX(NZ:NZ,MIN(IF(ISNUMBER(NZ146:NZ342),ROW(NZ146:NZ342),"")))</f>
        <v>0</v>
      </c>
      <c r="OB146" s="12">
        <f>IF('Données projet'!$A$512&gt;35,OB145+OA146-OJ145,IF($A146&lt;'Données projet'!$A$512,$CQ$205^$A146,IF($A146='Données projet'!$A$512,'Données projet'!$B$512,OB145+OA146-OJ145)))</f>
        <v>0</v>
      </c>
      <c r="OC146" s="17" t="e">
        <f>OB146*VLOOKUP('Données projet'!$B$27,Paramètres!$A$1:$I$89,3,0)*VLOOKUP('Données projet'!$B$27,Paramètres!$A$1:$I$89,5,0)</f>
        <v>#N/A</v>
      </c>
      <c r="OD146" s="13" t="e">
        <f t="shared" si="322"/>
        <v>#N/A</v>
      </c>
      <c r="OE146" s="14" t="e">
        <f t="shared" si="278"/>
        <v>#N/A</v>
      </c>
      <c r="OF146" s="59" t="e">
        <f t="shared" si="279"/>
        <v>#N/A</v>
      </c>
      <c r="OG146" s="20" t="e">
        <f ca="1">AVERAGE(OFFSET($OF$3,0,0,'Données projet'!$E$27+1,1))-AVERAGE(OFFSET($H$3,0,0,'Données projet'!$E$27+1,1))</f>
        <v>#N/A</v>
      </c>
      <c r="OH146" s="59" t="e">
        <f t="shared" si="323"/>
        <v>#N/A</v>
      </c>
      <c r="OI146" s="15">
        <f>IF(ISNA(VLOOKUP($A146,'Données projet'!$A$512:$I$532,3,0)),0,VLOOKUP($A146,'Données projet'!$A$512:$I$532,3,0))</f>
        <v>0</v>
      </c>
      <c r="OJ146" s="15">
        <f>IF(ISNA(VLOOKUP($A146,'Données projet'!$A$512:$I$532,4,0)),0,VLOOKUP($A146,'Données projet'!$A$512:$I$532,4,0))</f>
        <v>0</v>
      </c>
      <c r="OK146" s="16">
        <f>IF(ISNA(VLOOKUP($A146,'Données projet'!$A$512:$I$532,5,0)),0%,VLOOKUP($A146,'Données projet'!$A$512:$I$532,5,0)*VLOOKUP('Données projet'!$B$27,Paramètres!$A$1:$I$89,7,0))</f>
        <v>0</v>
      </c>
      <c r="OL146" s="16">
        <f>IF(ISNA(VLOOKUP($A146,'Données projet'!$A$512:$I$532,6,0)),0%,VLOOKUP($A146,'Données projet'!$A$512:$I$532,6,0)*VLOOKUP('Données projet'!$B$27,Paramètres!$A$1:$I$89,7,0))</f>
        <v>0</v>
      </c>
      <c r="OM146" s="16">
        <f>IF(ISNA(VLOOKUP($A146,'Données projet'!$A$512:$I$532,7,0)),0%,VLOOKUP($A146,'Données projet'!$A$512:$I$532,7,0))</f>
        <v>0</v>
      </c>
      <c r="ON146" s="21" t="e">
        <f>EXP(-LN(2)/35)*ON145+(1-EXP(-LN(2)/35))/(LN(2)/35)*OJ146*OK146*VLOOKUP('Données projet'!$B$27,Paramètres!$A$1:$I$89,3,0)*0.475*44/12</f>
        <v>#N/A</v>
      </c>
      <c r="OO146" s="21" t="e">
        <f>EXP(-LN(2)/25)*OO145+(1-EXP(-LN(2)/25))/(LN(2)/25)*Calculateur!OJ146*Calculateur!OL146*VLOOKUP('Données projet'!$B$27,Paramètres!$A$1:$I$89,3,0)*0.475*44/12</f>
        <v>#N/A</v>
      </c>
      <c r="OP146" s="21" t="e">
        <f>EXP(-LN(2)/2)*OP145+(1-EXP(-LN(2)/2))/(LN(2)/2)*OJ146*OM146*VLOOKUP('Données projet'!$B$27,Paramètres!$A$1:$I$89,3,0)*0.475*44/12</f>
        <v>#N/A</v>
      </c>
      <c r="OQ146" s="22" t="e">
        <f t="shared" si="280"/>
        <v>#N/A</v>
      </c>
      <c r="OR146" s="74">
        <f>('Scénario référence'!$F$8+'Scénario référence'!$F$9+'Scénario référence'!$B$17+'Scénario référence'!$B$9+'Scénario référence'!$B$10)*70+IF((45+25*(1-EXP(-0.0175*$A146)))&lt;70,'Scénario référence'!$B$16*(45+25*(1-EXP(-0.0175*$A146))),70*'Scénario référence'!$B$16)+IF((32+38*(1-EXP(-0.0175*$A146)))&lt;70,'Scénario référence'!$B$18*(32+38*(1-EXP(-0.0175*$A146))),70*'Scénario référence'!$B$18)</f>
        <v>70</v>
      </c>
      <c r="OS146" s="12">
        <f>IF($A146&gt;30,10,('Scénario référence'!$B$16+'Scénario référence'!$B$17+'Scénario référence'!$B$18+'Scénario référence'!$B$9+'Scénario référence'!$B$10)*$A146*10/30+('Scénario référence'!$F$8+'Scénario référence'!$F$9)*10)</f>
        <v>10</v>
      </c>
      <c r="OT146" s="12" t="e">
        <f>VLOOKUP($A146,'Données projet'!$A$538:$I$558,2,0)</f>
        <v>#N/A</v>
      </c>
      <c r="OU146" s="12" t="e">
        <f>VLOOKUP($A146,'Données projet'!$A$538:$I$558,9,0)</f>
        <v>#N/A</v>
      </c>
      <c r="OV146" s="12">
        <f t="array" ref="OV146">INDEX(OU:OU,MIN(IF(ISNUMBER(OU146:OU342),ROW(OU146:OU342),"")))</f>
        <v>0</v>
      </c>
      <c r="OW146" s="12">
        <f>IF('Données projet'!$A$538&gt;35,OW145+OV146-PE145,IF($A146&lt;'Données projet'!$A$538,$CQ$205^$A146,IF($A146='Données projet'!$A$538,'Données projet'!$B$538,OW145+OV146-PE145)))</f>
        <v>0</v>
      </c>
      <c r="OX146" s="17" t="e">
        <f>OW146*VLOOKUP('Données projet'!$B$28,Paramètres!$A$1:$I$89,3,0)*VLOOKUP('Données projet'!$B$28,Paramètres!$A$1:$I$89,5,0)</f>
        <v>#N/A</v>
      </c>
      <c r="OY146" s="13" t="e">
        <f t="shared" si="324"/>
        <v>#N/A</v>
      </c>
      <c r="OZ146" s="14" t="e">
        <f t="shared" si="281"/>
        <v>#N/A</v>
      </c>
      <c r="PA146" s="59" t="e">
        <f t="shared" si="282"/>
        <v>#N/A</v>
      </c>
      <c r="PB146" s="20" t="e">
        <f ca="1">AVERAGE(OFFSET($PA$3,0,0,'Données projet'!$E$28+1,1))-AVERAGE(OFFSET($H$3,0,0,'Données projet'!$E$28+1,1))</f>
        <v>#N/A</v>
      </c>
      <c r="PC146" s="59" t="e">
        <f t="shared" si="325"/>
        <v>#N/A</v>
      </c>
      <c r="PD146" s="15">
        <f>IF(ISNA(VLOOKUP($A146,'Données projet'!$A$538:$I$558,3,0)),0,VLOOKUP($A146,'Données projet'!$A$538:$I$558,3,0))</f>
        <v>0</v>
      </c>
      <c r="PE146" s="15">
        <f>IF(ISNA(VLOOKUP($A146,'Données projet'!$A$538:$I$558,4,0)),0,VLOOKUP($A146,'Données projet'!$A$538:$I$558,4,0))</f>
        <v>0</v>
      </c>
      <c r="PF146" s="16">
        <f>IF(ISNA(VLOOKUP($A146,'Données projet'!$A$538:$I$558,5,0)),0%,VLOOKUP($A146,'Données projet'!$A$538:$I$558,5,0)*VLOOKUP('Données projet'!$B$28,Paramètres!$A$1:$I$89,7,0))</f>
        <v>0</v>
      </c>
      <c r="PG146" s="16">
        <f>IF(ISNA(VLOOKUP($A146,'Données projet'!$A$538:$I$558,6,0)),0%,VLOOKUP($A146,'Données projet'!$A$538:$I$558,6,0)*VLOOKUP('Données projet'!$B$28,Paramètres!$A$1:$I$89,7,0))</f>
        <v>0</v>
      </c>
      <c r="PH146" s="16">
        <f>IF(ISNA(VLOOKUP($A146,'Données projet'!$A$538:$I$558,7,0)),0%,VLOOKUP($A146,'Données projet'!$A$538:$I$558,7,0))</f>
        <v>0</v>
      </c>
      <c r="PI146" s="21" t="e">
        <f>EXP(-LN(2)/35)*PI145+(1-EXP(-LN(2)/35))/(LN(2)/35)*PE146*PF146*VLOOKUP('Données projet'!$B$28,Paramètres!$A$1:$I$89,3,0)*0.475*44/12</f>
        <v>#N/A</v>
      </c>
      <c r="PJ146" s="21" t="e">
        <f>EXP(-LN(2)/25)*PJ145+(1-EXP(-LN(2)/25))/(LN(2)/25)*Calculateur!PE146*Calculateur!PG146*VLOOKUP('Données projet'!$B$28,Paramètres!$A$1:$I$89,3,0)*0.475*44/12</f>
        <v>#N/A</v>
      </c>
      <c r="PK146" s="21" t="e">
        <f>EXP(-LN(2)/2)*PK145+(1-EXP(-LN(2)/2))/(LN(2)/2)*PE146*PH146*VLOOKUP('Données projet'!$B$28,Paramètres!$A$1:$I$89,3,0)*0.475*44/12</f>
        <v>#N/A</v>
      </c>
      <c r="PL146" s="22" t="e">
        <f t="shared" si="283"/>
        <v>#N/A</v>
      </c>
    </row>
    <row r="147" spans="1:428" x14ac:dyDescent="0.35">
      <c r="A147" s="10">
        <f t="shared" si="284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285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225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projet'!$A$45:$I$65,2,0)</f>
        <v>#N/A</v>
      </c>
      <c r="L147" s="12" t="e">
        <f>VLOOKUP(A147,'Données projet'!$A$45:$I$65,9,0)</f>
        <v>#N/A</v>
      </c>
      <c r="M147" s="12">
        <f t="array" ref="M147">INDEX(L:L,MIN(IF(ISNUMBER(L147:L343),ROW(L147:L343),"")))</f>
        <v>0</v>
      </c>
      <c r="N147" s="13">
        <f>IF('Données projet'!$A$46&gt;35,N146+M147-V146,IF(A147&lt;'Données projet'!$A$46,$K$205^A147,IF(A147='Données projet'!$A$46,'Données projet'!$B$46,N146+M147-V146)))</f>
        <v>-1.1368683772161603E-13</v>
      </c>
      <c r="O147" s="13">
        <f>N147*VLOOKUP('Données projet'!$B$9,Paramètres!$A$1:$I$89,3,0)*VLOOKUP('Données projet'!$B$9,Paramètres!$A$1:$I$89,5,0)</f>
        <v>-6.3550942286383367E-14</v>
      </c>
      <c r="P147" s="13" t="e">
        <f t="shared" si="286"/>
        <v>#NUM!</v>
      </c>
      <c r="Q147" s="20" t="e">
        <f t="shared" si="223"/>
        <v>#NUM!</v>
      </c>
      <c r="R147" s="59" t="e">
        <f t="shared" si="224"/>
        <v>#NUM!</v>
      </c>
      <c r="S147" s="59">
        <f ca="1">AVERAGE(OFFSET($R$3,0,0,'Données projet'!$E$9+1,1))-AVERAGE(OFFSET($H$3,0,0,'Données projet'!$E$9+1,1))</f>
        <v>274.57619581652199</v>
      </c>
      <c r="T147" s="59">
        <f t="shared" si="287"/>
        <v>366.15117322598775</v>
      </c>
      <c r="U147" s="15">
        <f>IF(ISNA(VLOOKUP(A147,'Données projet'!$A$45:$I$65,3,0)),0,VLOOKUP(A147,'Données projet'!$A$45:$I$65,3,0))</f>
        <v>0</v>
      </c>
      <c r="V147" s="15">
        <f>IF(ISNA(VLOOKUP(A147,'Données projet'!$A$45:$I$65,4,0)),0,VLOOKUP(A147,'Données projet'!$A$45:$I$65,4,0))</f>
        <v>0</v>
      </c>
      <c r="W147" s="16">
        <f>IF(ISNA(VLOOKUP(A147,'Données projet'!$A$45:$I$65,5,0)),0%,VLOOKUP(A147,'Données projet'!$A$45:$I$65,5,0)*VLOOKUP('Données projet'!$B$9,Paramètres!$A$1:$I$89,7,0))</f>
        <v>0</v>
      </c>
      <c r="X147" s="16">
        <f>IF(ISNA(VLOOKUP(A147,'Données projet'!$A$45:$I$65,6,0)),0%,VLOOKUP(A147,'Données projet'!$A$45:$I$65,6,0)*VLOOKUP('Données projet'!$B$9,Paramètres!$A$1:$I$89,7,0))</f>
        <v>0</v>
      </c>
      <c r="Y147" s="16">
        <f>IF(ISNA(VLOOKUP(A147,'Données projet'!$A$45:$I$65,7,0)),0%,VLOOKUP(A147,'Données projet'!$A$45:$I$65,7,0))</f>
        <v>0</v>
      </c>
      <c r="Z147" s="21">
        <f>EXP(-LN(2)/35)*Z146+(1-EXP(-LN(2)/35))/(LN(2)/35)*V147*W147*VLOOKUP('Données projet'!$B$9,Paramètres!$A$1:$I$89,3,0)*0.475*44/12</f>
        <v>38.894932180863556</v>
      </c>
      <c r="AA147" s="21">
        <f>EXP(-LN(2)/25)*AA146+(1-EXP(-LN(2)/25))/(LN(2)/25)*Calculateur!V147*Calculateur!X147*VLOOKUP('Données projet'!$B$9,Paramètres!$A$1:$I$89,3,0)*0.475*44/12</f>
        <v>4.8844267818067939</v>
      </c>
      <c r="AB147" s="21">
        <f>EXP(-LN(2)/2)*AB146+(1-EXP(-LN(2)/2))/(LN(2)/2)*V147*Y147*VLOOKUP('Données projet'!$B$9,Paramètres!$A$1:$I$89,3,0)*0.475*44/12</f>
        <v>1.3730919883689176E-12</v>
      </c>
      <c r="AC147" s="22">
        <f t="shared" si="226"/>
        <v>43.779358962671722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projet'!$A$71:$I$91,2,0)</f>
        <v>#N/A</v>
      </c>
      <c r="AG147" s="12" t="e">
        <f>VLOOKUP(A147,'Données projet'!$A$71:$I$91,9,0)</f>
        <v>#N/A</v>
      </c>
      <c r="AH147" s="12">
        <f t="array" ref="AH147">INDEX(AG:AG,MIN(IF(ISNUMBER(AG147:AG343),ROW(AG147:AG343),"")))</f>
        <v>0</v>
      </c>
      <c r="AI147" s="13">
        <f>IF('Données projet'!$A$72&gt;35,AI146+AH147-AQ146,IF(A147&lt;'Données projet'!$A$72,$AF$205^A147,IF(A147='Données projet'!$A$72,'Données projet'!$B$72,AI146+AH147-AQ146)))</f>
        <v>5.6843418860808015E-13</v>
      </c>
      <c r="AJ147" s="13">
        <f>AI147*VLOOKUP('Données projet'!$B$10,Paramètres!$A$1:$I$89,3,0)*VLOOKUP('Données projet'!$B$10,Paramètres!$A$1:$I$89,5,0)</f>
        <v>5.1431925385259092E-13</v>
      </c>
      <c r="AK147" s="13">
        <f t="shared" si="288"/>
        <v>6.3855359115685756E-12</v>
      </c>
      <c r="AL147" s="20">
        <f t="shared" si="227"/>
        <v>1.2017247746441865E-11</v>
      </c>
      <c r="AM147" s="59">
        <f t="shared" si="228"/>
        <v>293.33333333334531</v>
      </c>
      <c r="AN147" s="59">
        <f ca="1">AVERAGE(OFFSET($AM$3,0,0,'Données projet'!$E$10+1,1))-AVERAGE(OFFSET($H$3,0,0,'Données projet'!$E$10+1,1))</f>
        <v>270.87836509222456</v>
      </c>
      <c r="AO147" s="59">
        <f t="shared" si="289"/>
        <v>205.24998237949734</v>
      </c>
      <c r="AP147" s="15">
        <f>IF(ISNA(VLOOKUP(A147,'Données projet'!$A$71:$I$91,3,0)),0,VLOOKUP(A147,'Données projet'!$A$71:$I$91,3,0))</f>
        <v>0</v>
      </c>
      <c r="AQ147" s="15">
        <f>IF(ISNA(VLOOKUP(A147,'Données projet'!$A$71:$I$91,4,0)),0,VLOOKUP(A147,'Données projet'!$A$71:$I$91,4,0))</f>
        <v>0</v>
      </c>
      <c r="AR147" s="16">
        <f>IF(ISNA(VLOOKUP(A147,'Données projet'!$A$71:$I$91,5,0)),0%,VLOOKUP(A147,'Données projet'!$A$71:$I$91,5,0)*VLOOKUP('Données projet'!$B$10,Paramètres!$A$1:$I$89,7,0))</f>
        <v>0</v>
      </c>
      <c r="AS147" s="16">
        <f>IF(ISNA(VLOOKUP(A147,'Données projet'!$A$71:$I$91,6,0)),0%,VLOOKUP(A147,'Données projet'!$A$71:$I$91,6,0)*VLOOKUP('Données projet'!$B$10,Paramètres!$A$1:$I$89,7,0))</f>
        <v>0</v>
      </c>
      <c r="AT147" s="16">
        <f>IF(ISNA(VLOOKUP(A147,'Données projet'!$A$71:$I$91,7,0)),0%,VLOOKUP(A147,'Données projet'!$A$71:$I$91,7,0))</f>
        <v>0</v>
      </c>
      <c r="AU147" s="21">
        <f>EXP(-LN(2)/35)*AU146+(1-EXP(-LN(2)/35))/(LN(2)/35)*AQ147*AR147*VLOOKUP('Données projet'!$B$10,Paramètres!$A$1:$I$89,3,0)*0.475*44/12</f>
        <v>132.17488908938537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229"/>
        <v>132.17488908938537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projet'!$A$97:$I$117,2,0)</f>
        <v>#N/A</v>
      </c>
      <c r="BB147" s="12" t="e">
        <f>VLOOKUP(A147,'Données projet'!$A$97:$I$117,9,0)</f>
        <v>#N/A</v>
      </c>
      <c r="BC147" s="12">
        <f t="array" ref="BC147">INDEX(BB:BB,MIN(IF(ISNUMBER(BB147:BB343),ROW(BB147:BB343),"")))</f>
        <v>0</v>
      </c>
      <c r="BD147" s="12">
        <f>IF('Données projet'!$A$98&gt;35,BD146+BC147-BL146,IF(A147&lt;'Données projet'!$A$98,$BA$205^A147,IF(A147='Données projet'!$A$98,'Données projet'!$B$98,BD146+BC147-BL146)))</f>
        <v>-1.1368683772161603E-13</v>
      </c>
      <c r="BE147" s="13">
        <f>BD147*VLOOKUP('Données projet'!$B$11,Paramètres!$A$1:$I$89,3,0)*VLOOKUP('Données projet'!$B$11,Paramètres!$A$1:$I$89,5,0)</f>
        <v>-5.0249582272954292E-14</v>
      </c>
      <c r="BF147" s="13" t="e">
        <f t="shared" si="290"/>
        <v>#NUM!</v>
      </c>
      <c r="BG147" s="20" t="e">
        <f t="shared" si="230"/>
        <v>#NUM!</v>
      </c>
      <c r="BH147" s="59" t="e">
        <f t="shared" si="231"/>
        <v>#NUM!</v>
      </c>
      <c r="BI147" s="59">
        <f ca="1">AVERAGE(OFFSET($BH$3,0,0,'Données projet'!$E$11+1,1))-AVERAGE(OFFSET($H$3,0,0,'Données projet'!$E$11+1,1))</f>
        <v>211.31057120485542</v>
      </c>
      <c r="BJ147" s="59">
        <f t="shared" si="291"/>
        <v>283.33292006714777</v>
      </c>
      <c r="BK147" s="15">
        <f>IF(ISNA(VLOOKUP(A147,'Données projet'!$A$97:$I$117,3,0)),0,VLOOKUP(A147,'Données projet'!$A$97:$I$117,3,0))</f>
        <v>0</v>
      </c>
      <c r="BL147" s="15">
        <f>IF(ISNA(VLOOKUP(A147,'Données projet'!$A$97:$I$117,4,0)),0,VLOOKUP(A147,'Données projet'!$A$97:$I$117,4,0))</f>
        <v>0</v>
      </c>
      <c r="BM147" s="16">
        <f>IF(ISNA(VLOOKUP(A147,'Données projet'!$A$97:$I$117,5,0)),0%,VLOOKUP(A147,'Données projet'!$A$97:$I$117,5,0)*VLOOKUP('Données projet'!$B$11,Paramètres!$A$1:$I$89,7,0))</f>
        <v>0</v>
      </c>
      <c r="BN147" s="16">
        <f>IF(ISNA(VLOOKUP(A147,'Données projet'!$A$97:$I$117,6,0)),0%,VLOOKUP(A147,'Données projet'!$A$97:$I$117,6,0)*VLOOKUP('Données projet'!$B$11,Paramètres!$A$1:$I$89,7,0))</f>
        <v>0</v>
      </c>
      <c r="BO147" s="16">
        <f>IF(ISNA(VLOOKUP(A147,'Données projet'!$A$97:$I$117,7,0)),0%,VLOOKUP(A147,'Données projet'!$A$97:$I$117,7,0))</f>
        <v>0</v>
      </c>
      <c r="BP147" s="21">
        <f>EXP(-LN(2)/35)*BP146+(1-EXP(-LN(2)/35))/(LN(2)/35)*BL147*BM147*VLOOKUP('Données projet'!$B$11,Paramètres!$A$1:$I$89,3,0)*0.475*44/12</f>
        <v>30.754132422078179</v>
      </c>
      <c r="BQ147" s="21">
        <f>EXP(-LN(2)/25)*BQ146+(1-EXP(-LN(2)/25))/(LN(2)/25)*Calculateur!BL147*Calculateur!BN147*VLOOKUP('Données projet'!$B$11,Paramètres!$A$1:$I$89,3,0)*0.475*44/12</f>
        <v>3.8621048972425802</v>
      </c>
      <c r="BR147" s="21">
        <f>EXP(-LN(2)/2)*BR146+(1-EXP(-LN(2)/2))/(LN(2)/2)*BL147*BO147*VLOOKUP('Données projet'!$B$11,Paramètres!$A$1:$I$89,3,0)*0.475*44/12</f>
        <v>1.0857006419661207E-12</v>
      </c>
      <c r="BS147" s="22">
        <f t="shared" si="232"/>
        <v>34.616237319321847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projet'!$A$123:$I$143,2,0)</f>
        <v>#N/A</v>
      </c>
      <c r="BW147" s="12" t="e">
        <f>VLOOKUP(A147,'Données projet'!$A$123:$I$143,9,0)</f>
        <v>#N/A</v>
      </c>
      <c r="BX147" s="12">
        <f t="array" ref="BX147">INDEX(BW:BW,MIN(IF(ISNUMBER(BW147:BW343),ROW(BW147:BW343),"")))</f>
        <v>0</v>
      </c>
      <c r="BY147" s="12">
        <f>IF('Données projet'!$A$124&gt;35,BY146+BX147-CG146,IF(A147&lt;'Données projet'!$A$124,$BV$205^A147,IF(A147='Données projet'!$A$124,'Données projet'!$B$124,BY146+BX147-CG146)))</f>
        <v>0</v>
      </c>
      <c r="BZ147" s="13">
        <f>BY147*VLOOKUP('Données projet'!$B$12,Paramètres!$A$1:$I$89,3,0)*VLOOKUP('Données projet'!$B$12,Paramètres!$A$1:$I$89,5,0)</f>
        <v>0</v>
      </c>
      <c r="CA147" s="13" t="e">
        <f t="shared" si="292"/>
        <v>#NUM!</v>
      </c>
      <c r="CB147" s="20" t="e">
        <f t="shared" si="233"/>
        <v>#NUM!</v>
      </c>
      <c r="CC147" s="59" t="e">
        <f t="shared" si="234"/>
        <v>#NUM!</v>
      </c>
      <c r="CD147" s="59">
        <f ca="1">AVERAGE(OFFSET($CC$3,0,0,'Données projet'!$E$12+1,1))-AVERAGE(OFFSET($H$3,0,0,'Données projet'!$E$12+1,1))</f>
        <v>322.93502595881938</v>
      </c>
      <c r="CE147" s="59">
        <f t="shared" si="293"/>
        <v>302.67072119588164</v>
      </c>
      <c r="CF147" s="15">
        <f>IF(ISNA(VLOOKUP(A147,'Données projet'!$A$123:$I$143,3,0)),0,VLOOKUP(A147,'Données projet'!$A$123:$I$143,3,0))</f>
        <v>0</v>
      </c>
      <c r="CG147" s="15">
        <f>IF(ISNA(VLOOKUP(A147,'Données projet'!$A$123:$I$143,4,0)),0,VLOOKUP(A147,'Données projet'!$A$123:$I$143,4,0))</f>
        <v>0</v>
      </c>
      <c r="CH147" s="16">
        <f>IF(ISNA(VLOOKUP(A147,'Données projet'!$A$123:$I$143,5,0)),0%,VLOOKUP(A147,'Données projet'!$A$123:$I$143,5,0)*VLOOKUP('Données projet'!$B$12,Paramètres!$A$1:$I$89,7,0))</f>
        <v>0</v>
      </c>
      <c r="CI147" s="16">
        <f>IF(ISNA(VLOOKUP(A147,'Données projet'!$A$123:$I$143,6,0)),0%,VLOOKUP(A147,'Données projet'!$A$123:$I$143,6,0)*VLOOKUP('Données projet'!$B$12,Paramètres!$A$1:$I$89,7,0))</f>
        <v>0</v>
      </c>
      <c r="CJ147" s="16">
        <f>IF(ISNA(VLOOKUP(A147,'Données projet'!$A$123:$I$143,7,0)),0%,VLOOKUP(A147,'Données projet'!$A$123:$I$143,7,0))</f>
        <v>0</v>
      </c>
      <c r="CK147" s="21">
        <f>EXP(-LN(2)/35)*CK146+(1-EXP(-LN(2)/35))/(LN(2)/35)*CG147*CH147*VLOOKUP('Données projet'!$B$12,Paramètres!$A$1:$I$89,3,0)*0.475*44/12</f>
        <v>48.998764198928562</v>
      </c>
      <c r="CL147" s="21">
        <f>EXP(-LN(2)/25)*CL146+(1-EXP(-LN(2)/25))/(LN(2)/25)*Calculateur!CG147*Calculateur!CI147*VLOOKUP('Données projet'!$B$12,Paramètres!$A$1:$I$89,3,0)*0.475*44/12</f>
        <v>12.361072395141061</v>
      </c>
      <c r="CM147" s="21">
        <f>EXP(-LN(2)/2)*CM146+(1-EXP(-LN(2)/2))/(LN(2)/2)*CG147*CJ147*VLOOKUP('Données projet'!$B$12,Paramètres!$A$1:$I$89,3,0)*0.475*44/12</f>
        <v>0</v>
      </c>
      <c r="CN147" s="22">
        <f t="shared" si="235"/>
        <v>61.35983659406962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projet'!$A$149:$I$169,2,0)</f>
        <v>#N/A</v>
      </c>
      <c r="CR147" s="12" t="e">
        <f>VLOOKUP(A147,'Données projet'!$A$149:$I$169,9,0)</f>
        <v>#N/A</v>
      </c>
      <c r="CS147" s="12">
        <f t="array" ref="CS147">INDEX(CR:CR,MIN(IF(ISNUMBER(CR147:CR343),ROW(CR147:CR343),"")))</f>
        <v>5.1063034188034209</v>
      </c>
      <c r="CT147" s="12">
        <f>IF('Données projet'!$A$150&gt;35,CT146+CS147-DB146,IF(A147&lt;'Données projet'!$A$150,$CQ$205^A147,IF(A147='Données projet'!$A$150,'Données projet'!$B$150,CT146+CS147-DB146)))</f>
        <v>277.65438034187991</v>
      </c>
      <c r="CU147" s="17">
        <f>CT147*VLOOKUP('Données projet'!$B$13,Paramètres!$A$1:$I$89,3,0)*VLOOKUP('Données projet'!$B$13,Paramètres!$A$1:$I$89,5,0)</f>
        <v>281.54154166666626</v>
      </c>
      <c r="CV147" s="13">
        <f t="shared" si="294"/>
        <v>67.292676778560462</v>
      </c>
      <c r="CW147" s="20">
        <f t="shared" si="236"/>
        <v>607.55293045876988</v>
      </c>
      <c r="CX147" s="59">
        <f t="shared" si="237"/>
        <v>900.88626379210314</v>
      </c>
      <c r="CY147" s="59">
        <f ca="1">AVERAGE(OFFSET($CX$3,0,0,'Données projet'!$E$13+1,1))-AVERAGE(OFFSET($H$3,0,0,'Données projet'!$E$13+1,1))</f>
        <v>250.31277422753283</v>
      </c>
      <c r="CZ147" s="59">
        <f t="shared" si="295"/>
        <v>159.20429420478047</v>
      </c>
      <c r="DA147" s="15">
        <f>IF(ISNA(VLOOKUP(A147,'Données projet'!$A$149:$I$169,3,0)),0,VLOOKUP(A147,'Données projet'!$A$149:$I$169,3,0))</f>
        <v>0</v>
      </c>
      <c r="DB147" s="15">
        <f>IF(ISNA(VLOOKUP(A147,'Données projet'!$A$149:$I$169,4,0)),0,VLOOKUP(A147,'Données projet'!$A$149:$I$169,4,0))</f>
        <v>0</v>
      </c>
      <c r="DC147" s="16">
        <f>IF(ISNA(VLOOKUP(A147,'Données projet'!$A$149:$I$169,5,0)),0%,VLOOKUP(A147,'Données projet'!$A$149:$I$169,5,0)*VLOOKUP('Données projet'!$B$13,Paramètres!$A$1:$I$89,7,0))</f>
        <v>0</v>
      </c>
      <c r="DD147" s="16">
        <f>IF(ISNA(VLOOKUP(A147,'Données projet'!$A$149:$I$169,6,0)),0%,VLOOKUP(A147,'Données projet'!$A$149:$I$169,6,0)*VLOOKUP('Données projet'!$B$13,Paramètres!$A$1:$I$89,7,0))</f>
        <v>0</v>
      </c>
      <c r="DE147" s="16">
        <f>IF(ISNA(VLOOKUP(A147,'Données projet'!$A$149:$I$169,7,0)),0%,VLOOKUP(A147,'Données projet'!$A$149:$I$169,7,0))</f>
        <v>0</v>
      </c>
      <c r="DF147" s="21">
        <f>EXP(-LN(2)/35)*DF146+(1-EXP(-LN(2)/35))/(LN(2)/35)*DB147*DC147*VLOOKUP('Données projet'!$B$13,Paramètres!$A$1:$I$89,3,0)*0.475*44/12</f>
        <v>47.835415338776123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238"/>
        <v>47.835415338776123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projet'!$A$175:$I$195,2,0)</f>
        <v>#N/A</v>
      </c>
      <c r="DM147" s="12" t="e">
        <f>VLOOKUP(A147,'Données projet'!$A$175:$I$195,9,0)</f>
        <v>#N/A</v>
      </c>
      <c r="DN147" s="12">
        <f t="array" ref="DN147">INDEX(DM:DM,MIN(IF(ISNUMBER(DM147:DM343),ROW(DM147:DM343),"")))</f>
        <v>0</v>
      </c>
      <c r="DO147" s="12">
        <f>IF('Données projet'!$A$176&gt;35,DO146+DN147-DW146,IF(A147&lt;'Données projet'!$A$176,$DL$205^A147,IF(A147='Données projet'!$A$176,'Données projet'!$B$176,DO146+DN147-DW146)))</f>
        <v>-2.8421709430404007E-13</v>
      </c>
      <c r="DP147" s="17">
        <f>DO147*VLOOKUP('Données projet'!$B$14,Paramètres!$A$1:$I$89,3,0)*VLOOKUP('Données projet'!$B$14,Paramètres!$A$1:$I$89,5,0)</f>
        <v>-2.0838797354372215E-13</v>
      </c>
      <c r="DQ147" s="13" t="e">
        <f t="shared" si="296"/>
        <v>#NUM!</v>
      </c>
      <c r="DR147" s="20" t="e">
        <f t="shared" si="239"/>
        <v>#NUM!</v>
      </c>
      <c r="DS147" s="59" t="e">
        <f t="shared" si="240"/>
        <v>#NUM!</v>
      </c>
      <c r="DT147" s="59">
        <f ca="1">AVERAGE(OFFSET($DS$3,0,0,'Données projet'!$E$14+1,1))-AVERAGE(OFFSET($H$3,0,0,'Données projet'!$E$14+1,1))</f>
        <v>296.91321813251051</v>
      </c>
      <c r="DU147" s="59">
        <f t="shared" si="297"/>
        <v>291.0718079639509</v>
      </c>
      <c r="DV147" s="15">
        <f>IF(ISNA(VLOOKUP(A147,'Données projet'!$A$175:$I$195,3,0)),0,VLOOKUP(A147,'Données projet'!$A$175:$I$195,3,0))</f>
        <v>0</v>
      </c>
      <c r="DW147" s="15">
        <f>IF(ISNA(VLOOKUP(A147,'Données projet'!$A$175:$I$195,4,0)),0,VLOOKUP(A147,'Données projet'!$A$175:$I$195,4,0))</f>
        <v>0</v>
      </c>
      <c r="DX147" s="16">
        <f>IF(ISNA(VLOOKUP(A147,'Données projet'!$A$175:$I$195,5,0)),0%,VLOOKUP(A147,'Données projet'!$A$175:$I$195,5,0)*VLOOKUP('Données projet'!$B$14,Paramètres!$A$1:$I$89,7,0))</f>
        <v>0</v>
      </c>
      <c r="DY147" s="16">
        <f>IF(ISNA(VLOOKUP(A147,'Données projet'!$A$175:$I$195,6,0)),0%,VLOOKUP(A147,'Données projet'!$A$175:$I$195,6,0)*VLOOKUP('Données projet'!$B$14,Paramètres!$A$1:$I$89,7,0))</f>
        <v>0</v>
      </c>
      <c r="DZ147" s="16">
        <f>IF(ISNA(VLOOKUP(A147,'Données projet'!$A$175:$I$195,7,0)),0%,VLOOKUP(A147,'Données projet'!$A$175:$I$195,7,0))</f>
        <v>0</v>
      </c>
      <c r="EA147" s="21">
        <f>EXP(-LN(2)/35)*EA146+(1-EXP(-LN(2)/35))/(LN(2)/35)*DW147*DX147*VLOOKUP('Données projet'!$B$14,Paramètres!$A$1:$I$89,3,0)*0.475*44/12</f>
        <v>48.836037198691422</v>
      </c>
      <c r="EB147" s="21">
        <f>EXP(-LN(2)/25)*EB146+(1-EXP(-LN(2)/25))/(LN(2)/25)*Calculateur!DW147*Calculateur!DY147*VLOOKUP('Données projet'!$B$14,Paramètres!$A$1:$I$89,3,0)*0.475*44/12</f>
        <v>0.90805558896725547</v>
      </c>
      <c r="EC147" s="21">
        <f>EXP(-LN(2)/2)*EC146+(1-EXP(-LN(2)/2))/(LN(2)/2)*DW147*DZ147*VLOOKUP('Données projet'!$B$14,Paramètres!$A$1:$I$89,3,0)*0.475*44/12</f>
        <v>0</v>
      </c>
      <c r="ED147" s="22">
        <f t="shared" si="241"/>
        <v>49.74409278765868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projet'!$A$201:$I$221,2,0)</f>
        <v>#N/A</v>
      </c>
      <c r="EH147" s="12" t="e">
        <f>VLOOKUP(A147,'Données projet'!$A$201:$I$221,9,0)</f>
        <v>#N/A</v>
      </c>
      <c r="EI147" s="12">
        <f t="array" ref="EI147">INDEX(EH:EH,MIN(IF(ISNUMBER(EH147:EH343),ROW(EH147:EH343),"")))</f>
        <v>0</v>
      </c>
      <c r="EJ147" s="12">
        <f>IF('Données projet'!$A$202&gt;35,EJ146+EI147-ER146,IF(A147&lt;'Données projet'!$A$202,$EG$205^A147,IF(A147='Données projet'!$A$202,'Données projet'!$B$202,EJ146+EI147-ER146)))</f>
        <v>5.1159076974727213E-13</v>
      </c>
      <c r="EK147" s="17">
        <f>EJ147*VLOOKUP('Données projet'!$B$15,Paramètres!$A$1:$I$89,3,0)*VLOOKUP('Données projet'!$B$15,Paramètres!$A$1:$I$89,5,0)</f>
        <v>2.3942448024172334E-13</v>
      </c>
      <c r="EL147" s="13">
        <f t="shared" si="298"/>
        <v>3.2492669905861755E-12</v>
      </c>
      <c r="EM147" s="20">
        <f t="shared" si="242"/>
        <v>6.0761376450252565E-12</v>
      </c>
      <c r="EN147" s="59">
        <f t="shared" si="243"/>
        <v>293.3333333333394</v>
      </c>
      <c r="EO147" s="59">
        <f ca="1">AVERAGE(OFFSET($EN$3,0,0,'Données projet'!$E$15+1,1))-AVERAGE(OFFSET($H$3,0,0,'Données projet'!$E$15+1,1))</f>
        <v>147.64256291235483</v>
      </c>
      <c r="EP147" s="59">
        <f t="shared" si="299"/>
        <v>70.859031694091868</v>
      </c>
      <c r="EQ147" s="15">
        <f>IF(ISNA(VLOOKUP(A147,'Données projet'!$A$201:$I$221,3,0)),0,VLOOKUP(A147,'Données projet'!$A$201:$I$221,3,0))</f>
        <v>0</v>
      </c>
      <c r="ER147" s="15">
        <f>IF(ISNA(VLOOKUP(A147,'Données projet'!$A$201:$I$221,4,0)),0,VLOOKUP(A147,'Données projet'!$A$201:$I$221,4,0))</f>
        <v>0</v>
      </c>
      <c r="ES147" s="16">
        <f>IF(ISNA(VLOOKUP(A147,'Données projet'!$A$201:$I$221,5,0)),0%,VLOOKUP(A147,'Données projet'!$A$201:$I$221,5,0)*VLOOKUP('Données projet'!$B$15,Paramètres!$A$1:$I$89,7,0))</f>
        <v>0</v>
      </c>
      <c r="ET147" s="16">
        <f>IF(ISNA(VLOOKUP(A147,'Données projet'!$A$201:$I$221,6,0)),0%,VLOOKUP(A147,'Données projet'!$A$201:$I$221,6,0)*VLOOKUP('Données projet'!$B$15,Paramètres!$A$1:$I$89,7,0))</f>
        <v>0</v>
      </c>
      <c r="EU147" s="16">
        <f>IF(ISNA(VLOOKUP(A147,'Données projet'!$A$201:$I$221,7,0)),0%,VLOOKUP(A147,'Données projet'!$A$201:$I$221,7,0))</f>
        <v>0</v>
      </c>
      <c r="EV147" s="21">
        <f>EXP(-LN(2)/35)*EV146+(1-EXP(-LN(2)/35))/(LN(2)/35)*ER147*ES147*VLOOKUP('Données projet'!$B$15,Paramètres!$A$1:$I$89,3,0)*0.475*44/12</f>
        <v>66.857304719621567</v>
      </c>
      <c r="EW147" s="21">
        <f>EXP(-LN(2)/25)*EW146+(1-EXP(-LN(2)/25))/(LN(2)/25)*Calculateur!ER147*Calculateur!ET147*VLOOKUP('Données projet'!$B$15,Paramètres!$A$1:$I$89,3,0)*0.475*44/12</f>
        <v>12.598356446377055</v>
      </c>
      <c r="EX147" s="21">
        <f>EXP(-LN(2)/2)*EX146+(1-EXP(-LN(2)/2))/(LN(2)/2)*ER147*EU147*VLOOKUP('Données projet'!$B$15,Paramètres!$A$1:$I$89,3,0)*0.475*44/12</f>
        <v>9.8987446955795514E-5</v>
      </c>
      <c r="EY147" s="22">
        <f t="shared" si="244"/>
        <v>79.455760153445581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projet'!$A$227:$I$247,2,0)</f>
        <v>#N/A</v>
      </c>
      <c r="FC147" s="12" t="e">
        <f>VLOOKUP(A147,'Données projet'!$A$227:$I$247,9,0)</f>
        <v>#N/A</v>
      </c>
      <c r="FD147" s="12">
        <f t="array" ref="FD147">INDEX(FC:FC,MIN(IF(ISNUMBER(FC147:FC343),ROW(FC147:FC343),"")))</f>
        <v>0</v>
      </c>
      <c r="FE147" s="12">
        <f>IF('Données projet'!$A$228&gt;35,FE146+FD147-FM146,IF(A147&lt;'Données projet'!$A$228,$FB$205^A147,IF(A147='Données projet'!$A$228,'Données projet'!$B$228,FE146+FD147-FM146)))</f>
        <v>8.5265128291212022E-14</v>
      </c>
      <c r="FF147" s="17">
        <f>FE147*VLOOKUP('Données projet'!$B$16,Paramètres!$A$1:$I$89,3,0)*VLOOKUP('Données projet'!$B$16,Paramètres!$A$1:$I$89,5,0)</f>
        <v>8.9119112089974823E-14</v>
      </c>
      <c r="FG147" s="13">
        <f t="shared" si="300"/>
        <v>1.3568952080113142E-12</v>
      </c>
      <c r="FH147" s="20">
        <f t="shared" si="245"/>
        <v>2.5184749408430782E-12</v>
      </c>
      <c r="FI147" s="59">
        <f t="shared" si="246"/>
        <v>293.33333333333582</v>
      </c>
      <c r="FJ147" s="59">
        <f ca="1">AVERAGE(OFFSET($FI$3,0,0,'Données projet'!$E$16+1,1))-AVERAGE(OFFSET($H$3,0,0,'Données projet'!$E$16+1,1))</f>
        <v>259.03906550253788</v>
      </c>
      <c r="FK147" s="59">
        <f t="shared" si="301"/>
        <v>235.54542903570831</v>
      </c>
      <c r="FL147" s="15">
        <f>IF(ISNA(VLOOKUP(A147,'Données projet'!$A$227:$I$247,3,0)),0,VLOOKUP(A147,'Données projet'!$A$227:$I$247,3,0))</f>
        <v>0</v>
      </c>
      <c r="FM147" s="15">
        <f>IF(ISNA(VLOOKUP(A147,'Données projet'!$A$227:$I$247,4,0)),0,VLOOKUP(A147,'Données projet'!$A$227:$I$247,4,0))</f>
        <v>0</v>
      </c>
      <c r="FN147" s="16">
        <f>IF(ISNA(VLOOKUP(A147,'Données projet'!$A$227:$I$247,5,0)),0%,VLOOKUP(A147,'Données projet'!$A$227:$I$247,5,0)*VLOOKUP('Données projet'!$B$16,Paramètres!$A$1:$I$89,7,0))</f>
        <v>0</v>
      </c>
      <c r="FO147" s="16">
        <f>IF(ISNA(VLOOKUP(A147,'Données projet'!$A$227:$I$247,6,0)),0%,VLOOKUP(A147,'Données projet'!$A$227:$I$247,6,0)*VLOOKUP('Données projet'!$B$16,Paramètres!$A$1:$I$89,7,0))</f>
        <v>0</v>
      </c>
      <c r="FP147" s="16">
        <f>IF(ISNA(VLOOKUP(A147,'Données projet'!$A$227:$I$247,7,0)),0%,VLOOKUP(A147,'Données projet'!$A$227:$I$247,7,0))</f>
        <v>0</v>
      </c>
      <c r="FQ147" s="21">
        <f>EXP(-LN(2)/35)*FQ146+(1-EXP(-LN(2)/35))/(LN(2)/35)*FM147*FN147*VLOOKUP('Données projet'!$B$16,Paramètres!$A$1:$I$89,3,0)*0.475*44/12</f>
        <v>29.508997328856847</v>
      </c>
      <c r="FR147" s="21">
        <f>EXP(-LN(2)/25)*FR146+(1-EXP(-LN(2)/25))/(LN(2)/25)*Calculateur!FM147*Calculateur!FO147*VLOOKUP('Données projet'!$B$16,Paramètres!$A$1:$I$89,3,0)*0.475*44/12</f>
        <v>17.331239684275481</v>
      </c>
      <c r="FS147" s="21">
        <f>EXP(-LN(2)/2)*FS146+(1-EXP(-LN(2)/2))/(LN(2)/2)*FM147*FP147*VLOOKUP('Données projet'!$B$16,Paramètres!$A$1:$I$89,3,0)*0.475*44/12</f>
        <v>0</v>
      </c>
      <c r="FT147" s="22">
        <f t="shared" si="247"/>
        <v>46.840237013132324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projet'!$A$253:$I$273,2,0)</f>
        <v>#N/A</v>
      </c>
      <c r="FX147" s="12" t="e">
        <f>VLOOKUP(A147,'Données projet'!$A$253:$I$273,9,0)</f>
        <v>#N/A</v>
      </c>
      <c r="FY147" s="12">
        <f t="array" ref="FY147">INDEX(FX:FX,MIN(IF(ISNUMBER(FX147:FX343),ROW(FX147:FX343),"")))</f>
        <v>0</v>
      </c>
      <c r="FZ147" s="12">
        <f>IF('Données projet'!$A$254&gt;35,FZ146+FY147-GH146,IF(A147&lt;'Données projet'!$A$254,$FW$205^A147,IF(A147='Données projet'!$A$254,'Données projet'!$B$254,FZ146+FY147-GH146)))</f>
        <v>-1.7053025658242404E-13</v>
      </c>
      <c r="GA147" s="17">
        <f>FZ147*VLOOKUP('Données projet'!$B$17,Paramètres!$A$1:$I$89,3,0)*VLOOKUP('Données projet'!$B$17,Paramètres!$A$1:$I$89,5,0)</f>
        <v>-1.4897523215040567E-13</v>
      </c>
      <c r="GB147" s="13" t="e">
        <f t="shared" si="302"/>
        <v>#NUM!</v>
      </c>
      <c r="GC147" s="20" t="e">
        <f t="shared" si="248"/>
        <v>#NUM!</v>
      </c>
      <c r="GD147" s="59" t="e">
        <f t="shared" si="249"/>
        <v>#NUM!</v>
      </c>
      <c r="GE147" s="59">
        <f ca="1">AVERAGE(OFFSET($GD$3,0,0,'Données projet'!$E$17+1,1))-AVERAGE(OFFSET($H$3,0,0,'Données projet'!$E$17+1,1))</f>
        <v>245.1983232777614</v>
      </c>
      <c r="GF147" s="59">
        <f t="shared" si="303"/>
        <v>242.34010522344573</v>
      </c>
      <c r="GG147" s="15">
        <f>IF(ISNA(VLOOKUP(A147,'Données projet'!$A$253:$I$273,3,0)),0,VLOOKUP(A147,'Données projet'!$A$253:$I$273,3,0))</f>
        <v>0</v>
      </c>
      <c r="GH147" s="15">
        <f>IF(ISNA(VLOOKUP(A147,'Données projet'!$A$253:$I$273,4,0)),0,VLOOKUP(A147,'Données projet'!$A$253:$I$273,4,0))</f>
        <v>0</v>
      </c>
      <c r="GI147" s="16">
        <f>IF(ISNA(VLOOKUP(A147,'Données projet'!$A$253:$I$273,5,0)),0%,VLOOKUP(A147,'Données projet'!$A$253:$I$273,5,0)*VLOOKUP('Données projet'!$B$17,Paramètres!$A$1:$I$89,7,0))</f>
        <v>0</v>
      </c>
      <c r="GJ147" s="16">
        <f>IF(ISNA(VLOOKUP(A147,'Données projet'!$A$253:$I$273,6,0)),0%,VLOOKUP(A147,'Données projet'!$A$253:$I$273,6,0)*VLOOKUP('Données projet'!$B$17,Paramètres!$A$1:$I$89,7,0))</f>
        <v>0</v>
      </c>
      <c r="GK147" s="16">
        <f>IF(ISNA(VLOOKUP(A147,'Données projet'!$A$253:$I$273,7,0)),0%,VLOOKUP(A147,'Données projet'!$A$253:$I$273,7,0))</f>
        <v>0</v>
      </c>
      <c r="GL147" s="21">
        <f>EXP(-LN(2)/35)*GL146+(1-EXP(-LN(2)/35))/(LN(2)/35)*GH147*GI147*VLOOKUP('Données projet'!$B$17,Paramètres!$A$1:$I$89,3,0)*0.475*44/12</f>
        <v>34.69187506228181</v>
      </c>
      <c r="GM147" s="21">
        <f>EXP(-LN(2)/25)*GM146+(1-EXP(-LN(2)/25))/(LN(2)/25)*Calculateur!GH147*Calculateur!GJ147*VLOOKUP('Données projet'!$B$17,Paramètres!$A$1:$I$89,3,0)*0.475*44/12</f>
        <v>3.6928649594035128</v>
      </c>
      <c r="GN147" s="21">
        <f>EXP(-LN(2)/2)*GN146+(1-EXP(-LN(2)/2))/(LN(2)/2)*GH147*GK147*VLOOKUP('Données projet'!$B$17,Paramètres!$A$1:$I$89,3,0)*0.475*44/12</f>
        <v>0</v>
      </c>
      <c r="GO147" s="21">
        <f t="shared" si="250"/>
        <v>38.384740021685325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projet'!$A$279:$I$299,2,0)</f>
        <v>#N/A</v>
      </c>
      <c r="GS147" s="12" t="e">
        <f>VLOOKUP(A147,'Données projet'!$A$279:$I$299,9,0)</f>
        <v>#N/A</v>
      </c>
      <c r="GT147" s="12">
        <f t="array" ref="GT147">INDEX(GS:GS,MIN(IF(ISNUMBER(GS147:GS343),ROW(GS147:GS343),"")))</f>
        <v>0</v>
      </c>
      <c r="GU147" s="12">
        <f>IF('Données projet'!$A$280&gt;35,GU146+GT147-HC146,IF(A147&lt;'Données projet'!$A$280,$GR$205^A147,IF(A147='Données projet'!$A$280,'Données projet'!$B$280,GU146+GT147-HC146)))</f>
        <v>-1.1368683772161603E-13</v>
      </c>
      <c r="GV147" s="17">
        <f>GU147*VLOOKUP('Données projet'!$B$18,Paramètres!$A$1:$I$89,3,0)*VLOOKUP('Données projet'!$B$18,Paramètres!$A$1:$I$89,5,0)</f>
        <v>-4.5815795601811263E-14</v>
      </c>
      <c r="GW147" s="13" t="e">
        <f t="shared" si="304"/>
        <v>#NUM!</v>
      </c>
      <c r="GX147" s="20" t="e">
        <f t="shared" si="251"/>
        <v>#NUM!</v>
      </c>
      <c r="GY147" s="59" t="e">
        <f t="shared" si="252"/>
        <v>#NUM!</v>
      </c>
      <c r="GZ147" s="59">
        <f ca="1">AVERAGE(OFFSET($GY$3,0,0,'Données projet'!$E$18+1,1))-AVERAGE(OFFSET($H$3,0,0,'Données projet'!$E$18+1,1))</f>
        <v>324.36162935850876</v>
      </c>
      <c r="HA147" s="59">
        <f t="shared" si="305"/>
        <v>265.23571072429735</v>
      </c>
      <c r="HB147" s="15">
        <f>IF(ISNA(VLOOKUP(A147,'Données projet'!$A$279:$I$299,3,0)),0,VLOOKUP(A147,'Données projet'!$A$279:$I$299,3,0))</f>
        <v>0</v>
      </c>
      <c r="HC147" s="15">
        <f>IF(ISNA(VLOOKUP(A147,'Données projet'!$A$279:$I$299,4,0)),0,VLOOKUP(A147,'Données projet'!$A$279:$I$299,4,0))</f>
        <v>0</v>
      </c>
      <c r="HD147" s="16">
        <f>IF(ISNA(VLOOKUP(A147,'Données projet'!$A$279:$I$299,5,0)),0%,VLOOKUP(A147,'Données projet'!$A$279:$I$299,5,0)*VLOOKUP('Données projet'!$B$18,Paramètres!$A$1:$I$89,7,0))</f>
        <v>0</v>
      </c>
      <c r="HE147" s="16">
        <f>IF(ISNA(VLOOKUP(A147,'Données projet'!$A$279:$I$299,6,0)),0%,VLOOKUP(A147,'Données projet'!$A$279:$I$299,6,0)*VLOOKUP('Données projet'!$B$18,Paramètres!$A$1:$I$89,7,0))</f>
        <v>0</v>
      </c>
      <c r="HF147" s="16">
        <f>IF(ISNA(VLOOKUP($A147,'Données projet'!$A$279:$I$299,7,0)),0%,VLOOKUP($A147,'Données projet'!$A$279:$I$299,7,0))</f>
        <v>0</v>
      </c>
      <c r="HG147" s="21">
        <f>EXP(-LN(2)/35)*HG146+(1-EXP(-LN(2)/35))/(LN(2)/35)*HC147*HD147*VLOOKUP('Données projet'!$B$18,Paramètres!$A$1:$I$89,3,0)*0.475*44/12</f>
        <v>66.478701728032917</v>
      </c>
      <c r="HH147" s="21">
        <f>EXP(-LN(2)/25)*HH146+(1-EXP(-LN(2)/25))/(LN(2)/25)*Calculateur!HC147*Calculateur!HE147*VLOOKUP('Données projet'!$B$18,Paramètres!$A$1:$I$89,3,0)*0.475*44/12</f>
        <v>4.1071263630420116</v>
      </c>
      <c r="HI147" s="21">
        <f>EXP(-LN(2)/2)*HI146+(1-EXP(-LN(2)/2))/(LN(2)/2)*HC147*HF147*VLOOKUP('Données projet'!$B$18,Paramètres!$A$1:$I$89,3,0)*0.475*44/12</f>
        <v>1.9900523380795325E-9</v>
      </c>
      <c r="HJ147" s="22">
        <f t="shared" si="253"/>
        <v>70.585828093064976</v>
      </c>
      <c r="HK147" s="74">
        <f>('Scénario référence'!$F$8+'Scénario référence'!$F$9+'Scénario référence'!$B$17+'Scénario référence'!$B$9+'Scénario référence'!$B$10)*70+IF((45+25*(1-EXP(-0.0175*$A147)))&lt;70,'Scénario référence'!$B$16*(45+25*(1-EXP(-0.0175*$A147))),70*'Scénario référence'!$B$16)+IF((32+38*(1-EXP(-0.0175*$A147)))&lt;70,'Scénario référence'!$B$18*(32+38*(1-EXP(-0.0175*$A147))),70*'Scénario référence'!$B$18)</f>
        <v>70</v>
      </c>
      <c r="HL147" s="12">
        <f>IF($A147&gt;30,10,('Scénario référence'!$B$16+'Scénario référence'!$B$17+'Scénario référence'!$B$18+'Scénario référence'!$B$9+'Scénario référence'!$B$10)*$A147*10/30+('Scénario référence'!$F$8+'Scénario référence'!$F$9)*10)</f>
        <v>10</v>
      </c>
      <c r="HM147" s="12" t="e">
        <f>VLOOKUP($A147,'Données projet'!$A$304:$I$324,2,0)</f>
        <v>#N/A</v>
      </c>
      <c r="HN147" s="12" t="e">
        <f>VLOOKUP($A147,'Données projet'!$A$304:$I$324,9,0)</f>
        <v>#N/A</v>
      </c>
      <c r="HO147" s="12">
        <f t="array" ref="HO147">INDEX(HN:HN,MIN(IF(ISNUMBER(HN147:HN343),ROW(HN147:HN343),"")))</f>
        <v>0</v>
      </c>
      <c r="HP147" s="12">
        <f>IF('Données projet'!$A$304&gt;35,HP146+HO147-HX146,IF($A147&lt;'Données projet'!$A$304,$CQ$205^$A147,IF($A147='Données projet'!$A$304,'Données projet'!$B$304,HP146+HO147-HX146)))</f>
        <v>0</v>
      </c>
      <c r="HQ147" s="17">
        <f>HP147*VLOOKUP('Données projet'!$B$19,Paramètres!$A$1:$I$89,3,0)*VLOOKUP('Données projet'!$B$19,Paramètres!$A$1:$I$89,5,0)</f>
        <v>0</v>
      </c>
      <c r="HR147" s="13" t="e">
        <f t="shared" si="306"/>
        <v>#NUM!</v>
      </c>
      <c r="HS147" s="14" t="e">
        <f t="shared" si="254"/>
        <v>#NUM!</v>
      </c>
      <c r="HT147" s="59" t="e">
        <f t="shared" si="255"/>
        <v>#NUM!</v>
      </c>
      <c r="HU147" s="59">
        <f ca="1">AVERAGE(OFFSET(HT$3,0,0,'Données projet'!$E$19+1,1))-AVERAGE(OFFSET($H$3,0,0,'Données projet'!$E$19+1,1))</f>
        <v>91.60721429656013</v>
      </c>
      <c r="HV147" s="59">
        <f t="shared" si="307"/>
        <v>258.94957804210856</v>
      </c>
      <c r="HW147" s="15">
        <f>IF(ISNA(VLOOKUP($A147,'Données projet'!$A$304:$I$324,3,0)),0,VLOOKUP($A147,'Données projet'!$A$304:$I$324,3,0))</f>
        <v>0</v>
      </c>
      <c r="HX147" s="15">
        <f>IF(ISNA(VLOOKUP($A147,'Données projet'!$A$304:$I$324,4,0)),0,VLOOKUP($A147,'Données projet'!$A$304:$I$324,4,0))</f>
        <v>0</v>
      </c>
      <c r="HY147" s="16">
        <f>IF(ISNA(VLOOKUP($A147,'Données projet'!$A$304:$I$324,5,0)),0%,VLOOKUP($A147,'Données projet'!$A$304:$I$324,5,0)*VLOOKUP('Données projet'!$B$19,Paramètres!$A$1:$I$89,7,0))</f>
        <v>0</v>
      </c>
      <c r="HZ147" s="16">
        <f>IF(ISNA(VLOOKUP($A147,'Données projet'!$A$304:$I$324,6,0)),0%,VLOOKUP($A147,'Données projet'!$A$304:$I$324,6,0)*VLOOKUP('Données projet'!$B$19,Paramètres!$A$1:$I$89,7,0))</f>
        <v>0</v>
      </c>
      <c r="IA147" s="16">
        <f>IF(ISNA(VLOOKUP($A147,'Données projet'!$A$304:$I$324,7,0)),0%,VLOOKUP($A147,'Données projet'!$A$304:$I$324,7,0))</f>
        <v>0</v>
      </c>
      <c r="IB147" s="21">
        <f>EXP(-LN(2)/35)*IB146+(1-EXP(-LN(2)/35))/(LN(2)/35)*HX147*HY147*VLOOKUP('Données projet'!$B$19,Paramètres!$A$1:$I$89,3,0)*0.475*44/12</f>
        <v>5.1598517817304961</v>
      </c>
      <c r="IC147" s="21">
        <f>EXP(-LN(2)/25)*IC146+(1-EXP(-LN(2)/25))/(LN(2)/25)*Calculateur!HX147*Calculateur!HZ147*VLOOKUP('Données projet'!$B$19,Paramètres!$A$1:$I$89,3,0)*0.475*44/12</f>
        <v>0.41239612828373617</v>
      </c>
      <c r="ID147" s="21">
        <f>EXP(-LN(2)/2)*ID146+(1-EXP(-LN(2)/2))/(LN(2)/2)*HX147*IA147*VLOOKUP('Données projet'!$B$19,Paramètres!$A$1:$I$89,3,0)*0.475*44/12</f>
        <v>3.974961413799449E-18</v>
      </c>
      <c r="IE147" s="22">
        <f t="shared" si="256"/>
        <v>5.5722479100142319</v>
      </c>
      <c r="IF147" s="74">
        <f>('Scénario référence'!$F$8+'Scénario référence'!$F$9+'Scénario référence'!$B$17+'Scénario référence'!$B$9+'Scénario référence'!$B$10)*70+IF((45+25*(1-EXP(-0.0175*$A147)))&lt;70,'Scénario référence'!$B$16*(45+25*(1-EXP(-0.0175*$A147))),70*'Scénario référence'!$B$16)+IF((32+38*(1-EXP(-0.0175*$A147)))&lt;70,'Scénario référence'!$B$18*(32+38*(1-EXP(-0.0175*$A147))),70*'Scénario référence'!$B$18)</f>
        <v>70</v>
      </c>
      <c r="IG147" s="12">
        <f>IF($A147&gt;30,10,('Scénario référence'!$B$16+'Scénario référence'!$B$17+'Scénario référence'!$B$18+'Scénario référence'!$B$9+'Scénario référence'!$B$10)*$A147*10/30+('Scénario référence'!$F$8+'Scénario référence'!$F$9)*10)</f>
        <v>10</v>
      </c>
      <c r="IH147" s="12" t="e">
        <f>VLOOKUP($A147,'Données projet'!$A$330:$I$350,2,0)</f>
        <v>#N/A</v>
      </c>
      <c r="II147" s="12" t="e">
        <f>VLOOKUP($A147,'Données projet'!$A$330:$I$350,9,0)</f>
        <v>#N/A</v>
      </c>
      <c r="IJ147" s="12">
        <f t="array" ref="IJ147">INDEX(II:II,MIN(IF(ISNUMBER(II147:II343),ROW(II147:II343),"")))</f>
        <v>0</v>
      </c>
      <c r="IK147" s="12">
        <f>IF('Données projet'!$A$330&gt;35,IK146+IJ147-IS146,IF($A147&lt;'Données projet'!$A$330,$CQ$205^$A147,IF($A147='Données projet'!$A$330,'Données projet'!$B$330,IK146+IJ147-IS146)))</f>
        <v>0</v>
      </c>
      <c r="IL147" s="17">
        <f>IK147*VLOOKUP('Données projet'!$B$20,Paramètres!$A$1:$I$89,3,0)*VLOOKUP('Données projet'!$B$20,Paramètres!$A$1:$I$89,5,0)</f>
        <v>0</v>
      </c>
      <c r="IM147" s="13" t="e">
        <f t="shared" si="308"/>
        <v>#NUM!</v>
      </c>
      <c r="IN147" s="20" t="e">
        <f t="shared" si="257"/>
        <v>#NUM!</v>
      </c>
      <c r="IO147" s="59" t="e">
        <f t="shared" si="258"/>
        <v>#NUM!</v>
      </c>
      <c r="IP147" s="59">
        <f ca="1">AVERAGE(OFFSET(IO$3,0,0,'Données projet'!$E$20+1,1))-AVERAGE(OFFSET($H$3,0,0,'Données projet'!$E$20+1,1))</f>
        <v>91.60721429656013</v>
      </c>
      <c r="IQ147" s="59">
        <f t="shared" si="309"/>
        <v>258.94957804210856</v>
      </c>
      <c r="IR147" s="15">
        <f>IF(ISNA(VLOOKUP($A147,'Données projet'!$A$330:$I$350,3,0)),0,VLOOKUP($A147,'Données projet'!$A$330:$I$350,3,0))</f>
        <v>0</v>
      </c>
      <c r="IS147" s="15">
        <f>IF(ISNA(VLOOKUP($A147,'Données projet'!$A$330:$I$350,4,0)),0,VLOOKUP($A147,'Données projet'!$A$330:$I$350,4,0))</f>
        <v>0</v>
      </c>
      <c r="IT147" s="16">
        <f>IF(ISNA(VLOOKUP($A147,'Données projet'!$A$330:$I$350,5,0)),0%,VLOOKUP($A147,'Données projet'!$A$330:$I$350,5,0)*VLOOKUP('Données projet'!$B$20,Paramètres!$A$1:$I$89,7,0))</f>
        <v>0</v>
      </c>
      <c r="IU147" s="16">
        <f>IF(ISNA(VLOOKUP($A147,'Données projet'!$A$330:$I$350,6,0)),0%,VLOOKUP($A147,'Données projet'!$A$330:$I$350,6,0)*VLOOKUP('Données projet'!$B$20,Paramètres!$A$1:$I$89,7,0))</f>
        <v>0</v>
      </c>
      <c r="IV147" s="16">
        <f>IF(ISNA(VLOOKUP($A147,'Données projet'!$A$330:$I$350,7,0)),0%,VLOOKUP($A147,'Données projet'!$A$330:$I$350,7,0))</f>
        <v>0</v>
      </c>
      <c r="IW147" s="21">
        <f>EXP(-LN(2)/35)*IW146+(1-EXP(-LN(2)/35))/(LN(2)/35)*IS147*IT147*VLOOKUP('Données projet'!$B$20,Paramètres!$A$1:$I$89,3,0)*0.475*44/12</f>
        <v>5.1598517817304961</v>
      </c>
      <c r="IX147" s="21">
        <f>EXP(-LN(2)/25)*IX146+(1-EXP(-LN(2)/25))/(LN(2)/25)*Calculateur!IS147*Calculateur!IU147*VLOOKUP('Données projet'!$B$20,Paramètres!$A$1:$I$89,3,0)*0.475*44/12</f>
        <v>0.41239612828373617</v>
      </c>
      <c r="IY147" s="21">
        <f>EXP(-LN(2)/2)*IY146+(1-EXP(-LN(2)/2))/(LN(2)/2)*IS147*IV147*VLOOKUP('Données projet'!$B$20,Paramètres!$A$1:$I$89,3,0)*0.475*44/12</f>
        <v>3.974961413799449E-18</v>
      </c>
      <c r="IZ147" s="22">
        <f t="shared" si="259"/>
        <v>5.5722479100142319</v>
      </c>
      <c r="JA147" s="74">
        <f>('Scénario référence'!$F$8+'Scénario référence'!$F$9+'Scénario référence'!$B$17+'Scénario référence'!$B$9+'Scénario référence'!$B$10)*70+IF((45+25*(1-EXP(-0.0175*$A147)))&lt;70,'Scénario référence'!$B$16*(45+25*(1-EXP(-0.0175*$A147))),70*'Scénario référence'!$B$16)+IF((32+38*(1-EXP(-0.0175*$A147)))&lt;70,'Scénario référence'!$B$18*(32+38*(1-EXP(-0.0175*$A147))),70*'Scénario référence'!$B$18)</f>
        <v>70</v>
      </c>
      <c r="JB147" s="12">
        <f>IF($A147&gt;30,10,('Scénario référence'!$B$16+'Scénario référence'!$B$17+'Scénario référence'!$B$18+'Scénario référence'!$B$9+'Scénario référence'!$B$10)*$A147*10/30+('Scénario référence'!$F$8+'Scénario référence'!$F$9)*10)</f>
        <v>10</v>
      </c>
      <c r="JC147" s="12" t="e">
        <f>VLOOKUP($A147,'Données projet'!$A$356:$I$376,2,0)</f>
        <v>#N/A</v>
      </c>
      <c r="JD147" s="12" t="e">
        <f>VLOOKUP($A147,'Données projet'!$A$356:$I$376,9,0)</f>
        <v>#N/A</v>
      </c>
      <c r="JE147" s="12">
        <f t="array" ref="JE147">INDEX(JD:JD,MIN(IF(ISNUMBER(JD147:JD343),ROW(JD147:JD343),"")))</f>
        <v>1.4</v>
      </c>
      <c r="JF147" s="12">
        <f>IF('Données projet'!$A$356&gt;35,JF146+JE147-JN146,IF($A147&lt;'Données projet'!$A$356,$CQ$205^$A147,IF($A147='Données projet'!$A$356,'Données projet'!$B$356,JF146+JE147-JN146)))</f>
        <v>439.59999999999883</v>
      </c>
      <c r="JG147" s="17">
        <f>JF147*VLOOKUP('Données projet'!$B$21,Paramètres!$A$1:$I$89,3,0)*VLOOKUP('Données projet'!$B$21,Paramètres!$A$1:$I$89,5,0)</f>
        <v>356.60351999999904</v>
      </c>
      <c r="JH147" s="13">
        <f t="shared" si="310"/>
        <v>82.920761882869897</v>
      </c>
      <c r="JI147" s="20">
        <f t="shared" si="260"/>
        <v>765.50479094599666</v>
      </c>
      <c r="JJ147" s="59">
        <f t="shared" si="261"/>
        <v>1058.83812427933</v>
      </c>
      <c r="JK147" s="59">
        <f ca="1">AVERAGE(OFFSET($JJ$3,0,0,'Données projet'!$E$22+1,1))-AVERAGE(OFFSET($H$3,0,0,'Données projet'!$E$22+1,1))</f>
        <v>353.35574633294613</v>
      </c>
      <c r="JL147" s="59">
        <f t="shared" si="311"/>
        <v>170.36796666474726</v>
      </c>
      <c r="JM147" s="15">
        <f>IF(ISNA(VLOOKUP($A147,'Données projet'!$A$356:$I$376,3,0)),0,VLOOKUP($A147,'Données projet'!$A$356:$I$376,3,0))</f>
        <v>0</v>
      </c>
      <c r="JN147" s="15">
        <f>IF(ISNA(VLOOKUP($A147,'Données projet'!$A$356:$I$376,4,0)),0,VLOOKUP($A147,'Données projet'!$A$356:$I$376,4,0))</f>
        <v>0</v>
      </c>
      <c r="JO147" s="16">
        <f>IF(ISNA(VLOOKUP($A147,'Données projet'!$A$356:$I$376,5,0)),0%,VLOOKUP($A147,'Données projet'!$A$356:$I$376,5,0)*VLOOKUP('Données projet'!$B$21,Paramètres!$A$1:$I$89,7,0))</f>
        <v>0</v>
      </c>
      <c r="JP147" s="16">
        <f>IF(ISNA(VLOOKUP($A147,'Données projet'!$A$356:$I$376,6,0)),0%,VLOOKUP($A147,'Données projet'!$A$356:$I$376,6,0)*VLOOKUP('Données projet'!$B$21,Paramètres!$A$1:$I$89,7,0))</f>
        <v>0</v>
      </c>
      <c r="JQ147" s="16">
        <f>IF(ISNA(VLOOKUP($A147,'Données projet'!$A$356:$I$376,7,0)),0%,VLOOKUP($A147,'Données projet'!$A$356:$I$376,7,0))</f>
        <v>0</v>
      </c>
      <c r="JR147" s="21">
        <f>EXP(-LN(2)/35)*JR146+(1-EXP(-LN(2)/35))/(LN(2)/35)*JN147*JO147*VLOOKUP('Données projet'!$B$21,Paramètres!$A$1:$I$89,3,0)*0.475*44/12</f>
        <v>4.9009371182174535</v>
      </c>
      <c r="JS147" s="21">
        <f>EXP(-LN(2)/25)*JS146+(1-EXP(-LN(2)/25))/(LN(2)/25)*Calculateur!JN147*Calculateur!JP147*VLOOKUP('Données projet'!$B$21,Paramètres!$A$1:$I$89,3,0)*0.475*44/12</f>
        <v>8.9737100892927053</v>
      </c>
      <c r="JT147" s="21">
        <f>EXP(-LN(2)/2)*JT146+(1-EXP(-LN(2)/2))/(LN(2)/2)*JN147*JQ147*VLOOKUP('Données projet'!$B$21,Paramètres!$A$1:$I$89,3,0)*0.475*44/12</f>
        <v>1.1985819461034993E-2</v>
      </c>
      <c r="JU147" s="18">
        <f t="shared" si="262"/>
        <v>13.886633026971193</v>
      </c>
      <c r="JV147" s="74">
        <f>('Scénario référence'!$F$8+'Scénario référence'!$F$9+'Scénario référence'!$B$17+'Scénario référence'!$B$9+'Scénario référence'!$B$10)*70+IF((45+25*(1-EXP(-0.0175*$A147)))&lt;70,'Scénario référence'!$B$16*(45+25*(1-EXP(-0.0175*$A147))),70*'Scénario référence'!$B$16)+IF((32+38*(1-EXP(-0.0175*$A147)))&lt;70,'Scénario référence'!$B$18*(32+38*(1-EXP(-0.0175*$A147))),70*'Scénario référence'!$B$18)</f>
        <v>70</v>
      </c>
      <c r="JW147" s="12">
        <f>IF($A147&gt;30,10,('Scénario référence'!$B$16+'Scénario référence'!$B$17+'Scénario référence'!$B$18+'Scénario référence'!$B$9+'Scénario référence'!$B$10)*$A147*10/30+('Scénario référence'!$F$8+'Scénario référence'!$F$9)*10)</f>
        <v>10</v>
      </c>
      <c r="JX147" s="12" t="e">
        <f>VLOOKUP($A147,'Données projet'!$A$382:$I$402,2,0)</f>
        <v>#N/A</v>
      </c>
      <c r="JY147" s="12" t="e">
        <f>VLOOKUP($A147,'Données projet'!$A$382:$I$402,9,0)</f>
        <v>#N/A</v>
      </c>
      <c r="JZ147" s="12">
        <f t="array" ref="JZ147">INDEX(JY:JY,MIN(IF(ISNUMBER(JY147:JY343),ROW(JY147:JY343),"")))</f>
        <v>0</v>
      </c>
      <c r="KA147" s="12">
        <f>IF('Données projet'!$A$382&gt;35,KA146+JZ147-KI146,IF($A147&lt;'Données projet'!$A$382,$CQ$205^$A147,IF($A147='Données projet'!$A$382,'Données projet'!$B$382,KA146+JZ147-KI146)))</f>
        <v>5.6843418860808015E-13</v>
      </c>
      <c r="KB147" s="17">
        <f>KA147*VLOOKUP('Données projet'!$B$22,Paramètres!$A$1:$I$89,3,0)*VLOOKUP('Données projet'!$B$22,Paramètres!$A$1:$I$89,5,0)</f>
        <v>3.8130565371830017E-13</v>
      </c>
      <c r="KC147" s="13">
        <f t="shared" si="312"/>
        <v>4.9019074112354236E-12</v>
      </c>
      <c r="KD147" s="20">
        <f t="shared" si="263"/>
        <v>9.2015960881277352E-12</v>
      </c>
      <c r="KE147" s="59">
        <f t="shared" si="264"/>
        <v>293.33333333334252</v>
      </c>
      <c r="KF147" s="59">
        <f ca="1">AVERAGE(OFFSET($KE$3,0,0,'Données projet'!$E$22+1,1))-AVERAGE(OFFSET($H$3,0,0,'Données projet'!$E$22+1,1))</f>
        <v>193.91714772848269</v>
      </c>
      <c r="KG147" s="59">
        <f t="shared" si="313"/>
        <v>159.20429420478047</v>
      </c>
      <c r="KH147" s="15">
        <f>IF(ISNA(VLOOKUP($A147,'Données projet'!$A$382:$I$402,3,0)),0,VLOOKUP($A147,'Données projet'!$A$382:$I$402,3,0))</f>
        <v>0</v>
      </c>
      <c r="KI147" s="15">
        <f>IF(ISNA(VLOOKUP($A147,'Données projet'!$A$382:$I$402,4,0)),0,VLOOKUP($A147,'Données projet'!$A$382:$I$402,4,0))</f>
        <v>0</v>
      </c>
      <c r="KJ147" s="16">
        <f>IF(ISNA(VLOOKUP($A147,'Données projet'!$A$382:$I$402,5,0)),0%,VLOOKUP($A147,'Données projet'!$A$382:$I$402,5,0)*VLOOKUP('Données projet'!$B$22,Paramètres!$A$1:$I$89,7,0))</f>
        <v>0</v>
      </c>
      <c r="KK147" s="16">
        <f>IF(ISNA(VLOOKUP($A147,'Données projet'!$A$382:$I$402,6,0)),0%,VLOOKUP($A147,'Données projet'!$A$382:$I$402,6,0)*VLOOKUP('Données projet'!$B$22,Paramètres!$A$1:$I$89,7,0))</f>
        <v>0</v>
      </c>
      <c r="KL147" s="16">
        <f>IF(ISNA(VLOOKUP($A147,'Données projet'!$A$382:$I$402,7,0)),0%,VLOOKUP($A147,'Données projet'!$A$382:$I$402,7,0))</f>
        <v>0</v>
      </c>
      <c r="KM147" s="21">
        <f>EXP(-LN(2)/35)*KM146+(1-EXP(-LN(2)/35))/(LN(2)/35)*KI147*KJ147*VLOOKUP('Données projet'!$B$22,Paramètres!$A$1:$I$89,3,0)*0.475*44/12</f>
        <v>120.7805020989211</v>
      </c>
      <c r="KN147" s="21">
        <f>EXP(-LN(2)/25)*KN146+(1-EXP(-LN(2)/25))/(LN(2)/25)*Calculateur!KI147*Calculateur!KK147*VLOOKUP('Données projet'!$B$22,Paramètres!$A$1:$I$89,3,0)*0.475*44/12</f>
        <v>0</v>
      </c>
      <c r="KO147" s="21">
        <f>EXP(-LN(2)/2)*KO146+(1-EXP(-LN(2)/2))/(LN(2)/2)*KI147*KL147*VLOOKUP('Données projet'!$B$22,Paramètres!$A$1:$I$89,3,0)*0.475*44/12</f>
        <v>0</v>
      </c>
      <c r="KP147" s="22">
        <f t="shared" si="265"/>
        <v>120.7805020989211</v>
      </c>
      <c r="KQ147" s="74">
        <f>('Scénario référence'!$F$8+'Scénario référence'!$F$9+'Scénario référence'!$B$17+'Scénario référence'!$B$9+'Scénario référence'!$B$10)*70+IF((45+25*(1-EXP(-0.0175*$A147)))&lt;70,'Scénario référence'!$B$16*(45+25*(1-EXP(-0.0175*$A147))),70*'Scénario référence'!$B$16)+IF((32+38*(1-EXP(-0.0175*$A147)))&lt;70,'Scénario référence'!$B$18*(32+38*(1-EXP(-0.0175*$A147))),70*'Scénario référence'!$B$18)</f>
        <v>70</v>
      </c>
      <c r="KR147" s="12">
        <f>IF($A147&gt;30,10,('Scénario référence'!$B$16+'Scénario référence'!$B$17+'Scénario référence'!$B$18+'Scénario référence'!$B$9+'Scénario référence'!$B$10)*$A147*10/30+('Scénario référence'!$F$8+'Scénario référence'!$F$9)*10)</f>
        <v>10</v>
      </c>
      <c r="KS147" s="12" t="e">
        <f>VLOOKUP($A147,'Données projet'!$A$408:$I$428,2,0)</f>
        <v>#N/A</v>
      </c>
      <c r="KT147" s="12" t="e">
        <f>VLOOKUP($A147,'Données projet'!$A$408:$I$428,9,0)</f>
        <v>#N/A</v>
      </c>
      <c r="KU147" s="12">
        <f t="array" ref="KU147">INDEX(KT:KT,MIN(IF(ISNUMBER(KT147:KT343),ROW(KT147:KT343),"")))</f>
        <v>0</v>
      </c>
      <c r="KV147" s="12">
        <f>IF('Données projet'!$A$408&gt;35,KV146+KU147-LD146,IF($A147&lt;'Données projet'!$A$408,$CQ$205^$A147,IF($A147='Données projet'!$A$408,'Données projet'!$B$408,KV146+KU147-LD146)))</f>
        <v>-1.1368683772161603E-13</v>
      </c>
      <c r="KW147" s="17">
        <f>KV147*VLOOKUP('Données projet'!$B$23,Paramètres!$A$1:$I$89,3,0)*VLOOKUP('Données projet'!$B$23,Paramètres!$A$1:$I$89,5,0)</f>
        <v>-9.9316821433603781E-14</v>
      </c>
      <c r="KX147" s="13" t="e">
        <f t="shared" si="314"/>
        <v>#NUM!</v>
      </c>
      <c r="KY147" s="14" t="e">
        <f t="shared" si="266"/>
        <v>#NUM!</v>
      </c>
      <c r="KZ147" s="59" t="e">
        <f t="shared" si="267"/>
        <v>#NUM!</v>
      </c>
      <c r="LA147" s="59">
        <f ca="1">AVERAGE(OFFSET($KZ$3,0,0,'Données projet'!$E$23+1,1))-AVERAGE(OFFSET($H$3,0,0,'Données projet'!$E$23+1,1))</f>
        <v>248.33596943633819</v>
      </c>
      <c r="LB147" s="59">
        <f t="shared" si="315"/>
        <v>242.34010522344573</v>
      </c>
      <c r="LC147" s="15">
        <f>IF(ISNA(VLOOKUP($A147,'Données projet'!$A$408:$I$428,3,0)),0,VLOOKUP($A147,'Données projet'!$A$408:$I$428,3,0))</f>
        <v>0</v>
      </c>
      <c r="LD147" s="15">
        <f>IF(ISNA(VLOOKUP($A147,'Données projet'!$A$408:$I$428,4,0)),0,VLOOKUP($A147,'Données projet'!$A$408:$I$428,4,0))</f>
        <v>0</v>
      </c>
      <c r="LE147" s="16">
        <f>IF(ISNA(VLOOKUP($A147,'Données projet'!$A$408:$I$428,5,0)),0%,VLOOKUP($A147,'Données projet'!$A$408:$I$428,5,0)*VLOOKUP('Données projet'!$B$23,Paramètres!$A$1:$I$89,7,0))</f>
        <v>0</v>
      </c>
      <c r="LF147" s="16">
        <f>IF(ISNA(VLOOKUP($A147,'Données projet'!$A$408:$I$428,6,0)),0%,VLOOKUP($A147,'Données projet'!$A$408:$I$428,6,0)*VLOOKUP('Données projet'!$B$23,Paramètres!$A$1:$I$89,7,0))</f>
        <v>0</v>
      </c>
      <c r="LG147" s="16">
        <f>IF(ISNA(VLOOKUP($A147,'Données projet'!$A$408:$I$428,7,0)),0%,VLOOKUP($A147,'Données projet'!$A$408:$I$428,7,0))</f>
        <v>0</v>
      </c>
      <c r="LH147" s="21">
        <f>EXP(-LN(2)/35)*LH146+(1-EXP(-LN(2)/35))/(LN(2)/35)*LD147*LE147*VLOOKUP('Données projet'!$B$23,Paramètres!$A$1:$I$89,3,0)*0.475*44/12</f>
        <v>34.69187506228181</v>
      </c>
      <c r="LI147" s="21">
        <f>EXP(-LN(2)/25)*LI146+(1-EXP(-LN(2)/25))/(LN(2)/25)*Calculateur!LD147*Calculateur!LF147*VLOOKUP('Données projet'!$B$23,Paramètres!$A$1:$I$89,3,0)*0.475*44/12</f>
        <v>3.6928649594035128</v>
      </c>
      <c r="LJ147" s="21">
        <f>EXP(-LN(2)/2)*LJ146+(1-EXP(-LN(2)/2))/(LN(2)/2)*LD147*LG147*VLOOKUP('Données projet'!$B$23,Paramètres!$A$1:$I$89,3,0)*0.475*44/12</f>
        <v>0</v>
      </c>
      <c r="LK147" s="22">
        <f t="shared" si="268"/>
        <v>38.384740021685325</v>
      </c>
      <c r="LL147" s="74">
        <f>('Scénario référence'!$F$8+'Scénario référence'!$F$9+'Scénario référence'!$B$17+'Scénario référence'!$B$9+'Scénario référence'!$B$10)*70+IF((45+25*(1-EXP(-0.0175*$A147)))&lt;70,'Scénario référence'!$B$16*(45+25*(1-EXP(-0.0175*$A147))),70*'Scénario référence'!$B$16)+IF((32+38*(1-EXP(-0.0175*$A147)))&lt;70,'Scénario référence'!$B$18*(32+38*(1-EXP(-0.0175*$A147))),70*'Scénario référence'!$B$18)</f>
        <v>70</v>
      </c>
      <c r="LM147" s="12">
        <f>IF($A147&gt;30,10,('Scénario référence'!$B$16+'Scénario référence'!$B$17+'Scénario référence'!$B$18+'Scénario référence'!$B$9+'Scénario référence'!$B$10)*$A147*10/30+('Scénario référence'!$F$8+'Scénario référence'!$F$9)*10)</f>
        <v>10</v>
      </c>
      <c r="LN147" s="12" t="e">
        <f>VLOOKUP($A147,'Données projet'!$A$434:$I$454,2,0)</f>
        <v>#N/A</v>
      </c>
      <c r="LO147" s="12" t="e">
        <f>VLOOKUP($A147,'Données projet'!$A$434:$I$454,9,0)</f>
        <v>#N/A</v>
      </c>
      <c r="LP147" s="12">
        <f t="array" ref="LP147">INDEX(LO:LO,MIN(IF(ISNUMBER(LO147:LO343),ROW(LO147:LO343),"")))</f>
        <v>5.1063034188034209</v>
      </c>
      <c r="LQ147" s="12">
        <f>IF('Données projet'!$A$434&gt;35,LQ146+LP147-LY146,IF($A147&lt;'Données projet'!$A$434,$CQ$205^$A147,IF($A147='Données projet'!$A$434,'Données projet'!$B$434,LQ146+LP147-LY146)))</f>
        <v>277.65438034187991</v>
      </c>
      <c r="LR147" s="17">
        <f>LQ147*VLOOKUP('Données projet'!$B$24,Paramètres!$A$1:$I$89,3,0)*VLOOKUP('Données projet'!$B$24,Paramètres!$A$1:$I$89,5,0)</f>
        <v>281.54154166666626</v>
      </c>
      <c r="LS147" s="13">
        <f t="shared" si="316"/>
        <v>67.292676778560462</v>
      </c>
      <c r="LT147" s="14">
        <f t="shared" si="269"/>
        <v>607.55293045876988</v>
      </c>
      <c r="LU147" s="59">
        <f t="shared" si="270"/>
        <v>900.88626379210314</v>
      </c>
      <c r="LV147" s="59">
        <f ca="1">AVERAGE(OFFSET($LU$3,0,0,'Données projet'!$E$24+1,1))-AVERAGE(OFFSET($H$3,0,0,'Données projet'!$E$24+1,1))</f>
        <v>260.52627655062872</v>
      </c>
      <c r="LW147" s="59">
        <f t="shared" si="317"/>
        <v>159.20429420478047</v>
      </c>
      <c r="LX147" s="15">
        <f>IF(ISNA(VLOOKUP($A147,'Données projet'!$A$434:$I$454,3,0)),0,VLOOKUP($A147,'Données projet'!$A$434:$I$454,3,0))</f>
        <v>0</v>
      </c>
      <c r="LY147" s="15">
        <f>IF(ISNA(VLOOKUP($A147,'Données projet'!$A$434:$I$454,4,0)),0,VLOOKUP($A147,'Données projet'!$A$434:$I$454,4,0))</f>
        <v>0</v>
      </c>
      <c r="LZ147" s="16">
        <f>IF(ISNA(VLOOKUP($A147,'Données projet'!$A$434:$I$454,5,0)),0%,VLOOKUP($A147,'Données projet'!$A$434:$I$454,5,0)*VLOOKUP('Données projet'!$B$24,Paramètres!$A$1:$I$89,7,0))</f>
        <v>0</v>
      </c>
      <c r="MA147" s="16">
        <f>IF(ISNA(VLOOKUP($A147,'Données projet'!$A$434:$I$454,6,0)),0%,VLOOKUP($A147,'Données projet'!$A$434:$I$454,6,0)*VLOOKUP('Données projet'!$B$24,Paramètres!$A$1:$I$89,7,0))</f>
        <v>0</v>
      </c>
      <c r="MB147" s="16">
        <f>IF(ISNA(VLOOKUP($A147,'Données projet'!$A$434:$I$454,7,0)),0%,VLOOKUP($A147,'Données projet'!$A$434:$I$454,7,0))</f>
        <v>0</v>
      </c>
      <c r="MC147" s="21">
        <f>EXP(-LN(2)/35)*MC146+(1-EXP(-LN(2)/35))/(LN(2)/35)*LY147*LZ147*VLOOKUP('Données projet'!$B$24,Paramètres!$A$1:$I$89,3,0)*0.475*44/12</f>
        <v>47.835415338776123</v>
      </c>
      <c r="MD147" s="21">
        <f>EXP(-LN(2)/25)*MD146+(1-EXP(-LN(2)/25))/(LN(2)/25)*Calculateur!LY147*Calculateur!MA147*VLOOKUP('Données projet'!$B$24,Paramètres!$A$1:$I$89,3,0)*0.475*44/12</f>
        <v>0</v>
      </c>
      <c r="ME147" s="21">
        <f>EXP(-LN(2)/2)*ME146+(1-EXP(-LN(2)/2))/(LN(2)/2)*LY147*MB147*VLOOKUP('Données projet'!$B$24,Paramètres!$A$1:$I$89,3,0)*0.475*44/12</f>
        <v>0</v>
      </c>
      <c r="MF147" s="22">
        <f t="shared" si="271"/>
        <v>47.835415338776123</v>
      </c>
      <c r="MG147" s="74">
        <f>('Scénario référence'!$F$8+'Scénario référence'!$F$9+'Scénario référence'!$B$17+'Scénario référence'!$B$9+'Scénario référence'!$B$10)*70+IF((45+25*(1-EXP(-0.0175*$A147)))&lt;70,'Scénario référence'!$B$16*(45+25*(1-EXP(-0.0175*$A147))),70*'Scénario référence'!$B$16)+IF((32+38*(1-EXP(-0.0175*$A147)))&lt;70,'Scénario référence'!$B$18*(32+38*(1-EXP(-0.0175*$A147))),70*'Scénario référence'!$B$18)</f>
        <v>70</v>
      </c>
      <c r="MH147" s="12">
        <f>IF($A147&gt;30,10,('Scénario référence'!$B$16+'Scénario référence'!$B$17+'Scénario référence'!$B$18+'Scénario référence'!$B$9+'Scénario référence'!$B$10)*$A147*10/30+('Scénario référence'!$F$8+'Scénario référence'!$F$9)*10)</f>
        <v>10</v>
      </c>
      <c r="MI147" s="12" t="e">
        <f>VLOOKUP($A147,'Données projet'!$A$460:$I$480,2,0)</f>
        <v>#N/A</v>
      </c>
      <c r="MJ147" s="12" t="e">
        <f>VLOOKUP($A147,'Données projet'!$A$460:$I$480,9,0)</f>
        <v>#N/A</v>
      </c>
      <c r="MK147" s="12">
        <f t="array" ref="MK147">INDEX(MJ:MJ,MIN(IF(ISNUMBER(MJ147:MJ343),ROW(MJ147:MJ343),"")))</f>
        <v>0</v>
      </c>
      <c r="ML147" s="12">
        <f>IF('Données projet'!$A$460&gt;35,ML146+MK147-MT146,IF($A147&lt;'Données projet'!$A$460,$CQ$205^$A147,IF($A147='Données projet'!$A$460,'Données projet'!$B$460,ML146+MK147-MT146)))</f>
        <v>0</v>
      </c>
      <c r="MM147" s="17" t="e">
        <f>ML147*VLOOKUP('Données projet'!$B$25,Paramètres!$A$1:$I$89,3,0)*VLOOKUP('Données projet'!$B$25,Paramètres!$A$1:$I$89,5,0)</f>
        <v>#N/A</v>
      </c>
      <c r="MN147" s="13" t="e">
        <f t="shared" si="318"/>
        <v>#N/A</v>
      </c>
      <c r="MO147" s="14" t="e">
        <f t="shared" si="272"/>
        <v>#N/A</v>
      </c>
      <c r="MP147" s="59" t="e">
        <f t="shared" si="273"/>
        <v>#N/A</v>
      </c>
      <c r="MQ147" s="20" t="e">
        <f ca="1">AVERAGE(OFFSET($MP$3,0,0,'Données projet'!$E$25+1,1))-AVERAGE(OFFSET($H$3,0,0,'Données projet'!$E$25+1,1))</f>
        <v>#N/A</v>
      </c>
      <c r="MR147" s="59" t="e">
        <f t="shared" si="319"/>
        <v>#N/A</v>
      </c>
      <c r="MS147" s="15">
        <f>IF(ISNA(VLOOKUP($A147,'Données projet'!$A$460:$I$480,3,0)),0,VLOOKUP($A147,'Données projet'!$A$460:$I$480,3,0))</f>
        <v>0</v>
      </c>
      <c r="MT147" s="15">
        <f>IF(ISNA(VLOOKUP($A147,'Données projet'!$A$460:$I$480,4,0)),0,VLOOKUP($A147,'Données projet'!$A$460:$I$480,4,0))</f>
        <v>0</v>
      </c>
      <c r="MU147" s="16">
        <f>IF(ISNA(VLOOKUP($A147,'Données projet'!$A$460:$I$480,5,0)),0%,VLOOKUP($A147,'Données projet'!$A$460:$I$480,5,0)*VLOOKUP('Données projet'!$B$25,Paramètres!$A$1:$I$89,7,0))</f>
        <v>0</v>
      </c>
      <c r="MV147" s="16">
        <f>IF(ISNA(VLOOKUP($A147,'Données projet'!$A$460:$I$480,6,0)),0%,VLOOKUP($A147,'Données projet'!$A$460:$I$480,6,0)*VLOOKUP('Données projet'!$B$25,Paramètres!$A$1:$I$89,7,0))</f>
        <v>0</v>
      </c>
      <c r="MW147" s="16">
        <f>IF(ISNA(VLOOKUP($A147,'Données projet'!$A$460:$I$480,7,0)),0%,VLOOKUP($A147,'Données projet'!$A$460:$I$480,7,0))</f>
        <v>0</v>
      </c>
      <c r="MX147" s="21" t="e">
        <f>EXP(-LN(2)/35)*MX146+(1-EXP(-LN(2)/35))/(LN(2)/35)*MT147*MU147*VLOOKUP('Données projet'!$B$25,Paramètres!$A$1:$I$89,3,0)*0.475*44/12</f>
        <v>#N/A</v>
      </c>
      <c r="MY147" s="21" t="e">
        <f>EXP(-LN(2)/25)*MY146+(1-EXP(-LN(2)/25))/(LN(2)/25)*Calculateur!MT147*Calculateur!MV147*VLOOKUP('Données projet'!$B$25,Paramètres!$A$1:$I$89,3,0)*0.475*44/12</f>
        <v>#N/A</v>
      </c>
      <c r="MZ147" s="21" t="e">
        <f>EXP(-LN(2)/2)*MZ146+(1-EXP(-LN(2)/2))/(LN(2)/2)*MT147*MW147*VLOOKUP('Données projet'!$B$25,Paramètres!$A$1:$I$89,3,0)*0.475*44/12</f>
        <v>#N/A</v>
      </c>
      <c r="NA147" s="22" t="e">
        <f t="shared" si="274"/>
        <v>#N/A</v>
      </c>
      <c r="NB147" s="74">
        <f>('Scénario référence'!$F$8+'Scénario référence'!$F$9+'Scénario référence'!$B$17+'Scénario référence'!$B$9+'Scénario référence'!$B$10)*70+IF((45+25*(1-EXP(-0.0175*$A147)))&lt;70,'Scénario référence'!$B$16*(45+25*(1-EXP(-0.0175*$A147))),70*'Scénario référence'!$B$16)+IF((32+38*(1-EXP(-0.0175*$A147)))&lt;70,'Scénario référence'!$B$18*(32+38*(1-EXP(-0.0175*$A147))),70*'Scénario référence'!$B$18)</f>
        <v>70</v>
      </c>
      <c r="NC147" s="12">
        <f>IF($A147&gt;30,10,('Scénario référence'!$B$16+'Scénario référence'!$B$17+'Scénario référence'!$B$18+'Scénario référence'!$B$9+'Scénario référence'!$B$10)*$A147*10/30+('Scénario référence'!$F$8+'Scénario référence'!$F$9)*10)</f>
        <v>10</v>
      </c>
      <c r="ND147" s="12" t="e">
        <f>VLOOKUP($A147,'Données projet'!$A$486:$I$506,2,0)</f>
        <v>#N/A</v>
      </c>
      <c r="NE147" s="12" t="e">
        <f>VLOOKUP($A147,'Données projet'!$A$486:$I$506,9,0)</f>
        <v>#N/A</v>
      </c>
      <c r="NF147" s="12">
        <f t="array" ref="NF147">INDEX(NE:NE,MIN(IF(ISNUMBER(NE147:NE343),ROW(NE147:NE343),"")))</f>
        <v>0</v>
      </c>
      <c r="NG147" s="12">
        <f>IF('Données projet'!$A$486&gt;35,NG146+NF147-NO146,IF($A147&lt;'Données projet'!$A$486,$CQ$205^$A147,IF($A147='Données projet'!$A$486,'Données projet'!$B$486,NG146+NF147-NO146)))</f>
        <v>0</v>
      </c>
      <c r="NH147" s="17" t="e">
        <f>NG147*VLOOKUP('Données projet'!$B$26,Paramètres!$A$1:$I$89,3,0)*VLOOKUP('Données projet'!$B$26,Paramètres!$A$1:$I$89,5,0)</f>
        <v>#N/A</v>
      </c>
      <c r="NI147" s="13" t="e">
        <f t="shared" si="320"/>
        <v>#N/A</v>
      </c>
      <c r="NJ147" s="14" t="e">
        <f t="shared" si="275"/>
        <v>#N/A</v>
      </c>
      <c r="NK147" s="59" t="e">
        <f t="shared" si="276"/>
        <v>#N/A</v>
      </c>
      <c r="NL147" s="20" t="e">
        <f ca="1">AVERAGE(OFFSET($NK$3,0,0,'Données projet'!$E$26+1,1))-AVERAGE(OFFSET($H$3,0,0,'Données projet'!$E$26+1,1))</f>
        <v>#N/A</v>
      </c>
      <c r="NM147" s="59" t="e">
        <f t="shared" si="321"/>
        <v>#N/A</v>
      </c>
      <c r="NN147" s="15">
        <f>IF(ISNA(VLOOKUP($A147,'Données projet'!$A$486:$I$506,3,0)),0,VLOOKUP($A147,'Données projet'!$A$486:$I$506,3,0))</f>
        <v>0</v>
      </c>
      <c r="NO147" s="15">
        <f>IF(ISNA(VLOOKUP($A147,'Données projet'!$A$486:$I$506,4,0)),0,VLOOKUP($A147,'Données projet'!$A$486:$I$506,4,0))</f>
        <v>0</v>
      </c>
      <c r="NP147" s="16">
        <f>IF(ISNA(VLOOKUP($A147,'Données projet'!$A$486:$I$506,5,0)),0%,VLOOKUP($A147,'Données projet'!$A$486:$I$506,5,0)*VLOOKUP('Données projet'!$B$26,Paramètres!$A$1:$I$89,7,0))</f>
        <v>0</v>
      </c>
      <c r="NQ147" s="16">
        <f>IF(ISNA(VLOOKUP($A147,'Données projet'!$A$486:$I$506,6,0)),0%,VLOOKUP($A147,'Données projet'!$A$486:$I$506,6,0)*VLOOKUP('Données projet'!$B$26,Paramètres!$A$1:$I$89,7,0))</f>
        <v>0</v>
      </c>
      <c r="NR147" s="16">
        <f>IF(ISNA(VLOOKUP($A147,'Données projet'!$A$486:$I$506,7,0)),0%,VLOOKUP($A147,'Données projet'!$A$486:$I$506,7,0))</f>
        <v>0</v>
      </c>
      <c r="NS147" s="21" t="e">
        <f>EXP(-LN(2)/35)*NS146+(1-EXP(-LN(2)/35))/(LN(2)/35)*NO147*NP147*VLOOKUP('Données projet'!$B$26,Paramètres!$A$1:$I$89,3,0)*0.475*44/12</f>
        <v>#N/A</v>
      </c>
      <c r="NT147" s="21" t="e">
        <f>EXP(-LN(2)/25)*NT146+(1-EXP(-LN(2)/25))/(LN(2)/25)*Calculateur!NO147*Calculateur!NQ147*VLOOKUP('Données projet'!$B$26,Paramètres!$A$1:$I$89,3,0)*0.475*44/12</f>
        <v>#N/A</v>
      </c>
      <c r="NU147" s="21" t="e">
        <f>EXP(-LN(2)/2)*NU146+(1-EXP(-LN(2)/2))/(LN(2)/2)*NO147*NR147*VLOOKUP('Données projet'!$B$26,Paramètres!$A$1:$I$89,3,0)*0.475*44/12</f>
        <v>#N/A</v>
      </c>
      <c r="NV147" s="22" t="e">
        <f t="shared" si="277"/>
        <v>#N/A</v>
      </c>
      <c r="NW147" s="74">
        <f>('Scénario référence'!$F$8+'Scénario référence'!$F$9+'Scénario référence'!$B$17+'Scénario référence'!$B$9+'Scénario référence'!$B$10)*70+IF((45+25*(1-EXP(-0.0175*$A147)))&lt;70,'Scénario référence'!$B$16*(45+25*(1-EXP(-0.0175*$A147))),70*'Scénario référence'!$B$16)+IF((32+38*(1-EXP(-0.0175*$A147)))&lt;70,'Scénario référence'!$B$18*(32+38*(1-EXP(-0.0175*$A147))),70*'Scénario référence'!$B$18)</f>
        <v>70</v>
      </c>
      <c r="NX147" s="12">
        <f>IF($A147&gt;30,10,('Scénario référence'!$B$16+'Scénario référence'!$B$17+'Scénario référence'!$B$18+'Scénario référence'!$B$9+'Scénario référence'!$B$10)*$A147*10/30+('Scénario référence'!$F$8+'Scénario référence'!$F$9)*10)</f>
        <v>10</v>
      </c>
      <c r="NY147" s="12" t="e">
        <f>VLOOKUP($A147,'Données projet'!$A$512:$I$532,2,0)</f>
        <v>#N/A</v>
      </c>
      <c r="NZ147" s="12" t="e">
        <f>VLOOKUP($A147,'Données projet'!$A$512:$I$532,9,0)</f>
        <v>#N/A</v>
      </c>
      <c r="OA147" s="12">
        <f t="array" ref="OA147">INDEX(NZ:NZ,MIN(IF(ISNUMBER(NZ147:NZ343),ROW(NZ147:NZ343),"")))</f>
        <v>0</v>
      </c>
      <c r="OB147" s="12">
        <f>IF('Données projet'!$A$512&gt;35,OB146+OA147-OJ146,IF($A147&lt;'Données projet'!$A$512,$CQ$205^$A147,IF($A147='Données projet'!$A$512,'Données projet'!$B$512,OB146+OA147-OJ146)))</f>
        <v>0</v>
      </c>
      <c r="OC147" s="17" t="e">
        <f>OB147*VLOOKUP('Données projet'!$B$27,Paramètres!$A$1:$I$89,3,0)*VLOOKUP('Données projet'!$B$27,Paramètres!$A$1:$I$89,5,0)</f>
        <v>#N/A</v>
      </c>
      <c r="OD147" s="13" t="e">
        <f t="shared" si="322"/>
        <v>#N/A</v>
      </c>
      <c r="OE147" s="14" t="e">
        <f t="shared" si="278"/>
        <v>#N/A</v>
      </c>
      <c r="OF147" s="59" t="e">
        <f t="shared" si="279"/>
        <v>#N/A</v>
      </c>
      <c r="OG147" s="20" t="e">
        <f ca="1">AVERAGE(OFFSET($OF$3,0,0,'Données projet'!$E$27+1,1))-AVERAGE(OFFSET($H$3,0,0,'Données projet'!$E$27+1,1))</f>
        <v>#N/A</v>
      </c>
      <c r="OH147" s="59" t="e">
        <f t="shared" si="323"/>
        <v>#N/A</v>
      </c>
      <c r="OI147" s="15">
        <f>IF(ISNA(VLOOKUP($A147,'Données projet'!$A$512:$I$532,3,0)),0,VLOOKUP($A147,'Données projet'!$A$512:$I$532,3,0))</f>
        <v>0</v>
      </c>
      <c r="OJ147" s="15">
        <f>IF(ISNA(VLOOKUP($A147,'Données projet'!$A$512:$I$532,4,0)),0,VLOOKUP($A147,'Données projet'!$A$512:$I$532,4,0))</f>
        <v>0</v>
      </c>
      <c r="OK147" s="16">
        <f>IF(ISNA(VLOOKUP($A147,'Données projet'!$A$512:$I$532,5,0)),0%,VLOOKUP($A147,'Données projet'!$A$512:$I$532,5,0)*VLOOKUP('Données projet'!$B$27,Paramètres!$A$1:$I$89,7,0))</f>
        <v>0</v>
      </c>
      <c r="OL147" s="16">
        <f>IF(ISNA(VLOOKUP($A147,'Données projet'!$A$512:$I$532,6,0)),0%,VLOOKUP($A147,'Données projet'!$A$512:$I$532,6,0)*VLOOKUP('Données projet'!$B$27,Paramètres!$A$1:$I$89,7,0))</f>
        <v>0</v>
      </c>
      <c r="OM147" s="16">
        <f>IF(ISNA(VLOOKUP($A147,'Données projet'!$A$512:$I$532,7,0)),0%,VLOOKUP($A147,'Données projet'!$A$512:$I$532,7,0))</f>
        <v>0</v>
      </c>
      <c r="ON147" s="21" t="e">
        <f>EXP(-LN(2)/35)*ON146+(1-EXP(-LN(2)/35))/(LN(2)/35)*OJ147*OK147*VLOOKUP('Données projet'!$B$27,Paramètres!$A$1:$I$89,3,0)*0.475*44/12</f>
        <v>#N/A</v>
      </c>
      <c r="OO147" s="21" t="e">
        <f>EXP(-LN(2)/25)*OO146+(1-EXP(-LN(2)/25))/(LN(2)/25)*Calculateur!OJ147*Calculateur!OL147*VLOOKUP('Données projet'!$B$27,Paramètres!$A$1:$I$89,3,0)*0.475*44/12</f>
        <v>#N/A</v>
      </c>
      <c r="OP147" s="21" t="e">
        <f>EXP(-LN(2)/2)*OP146+(1-EXP(-LN(2)/2))/(LN(2)/2)*OJ147*OM147*VLOOKUP('Données projet'!$B$27,Paramètres!$A$1:$I$89,3,0)*0.475*44/12</f>
        <v>#N/A</v>
      </c>
      <c r="OQ147" s="22" t="e">
        <f t="shared" si="280"/>
        <v>#N/A</v>
      </c>
      <c r="OR147" s="74">
        <f>('Scénario référence'!$F$8+'Scénario référence'!$F$9+'Scénario référence'!$B$17+'Scénario référence'!$B$9+'Scénario référence'!$B$10)*70+IF((45+25*(1-EXP(-0.0175*$A147)))&lt;70,'Scénario référence'!$B$16*(45+25*(1-EXP(-0.0175*$A147))),70*'Scénario référence'!$B$16)+IF((32+38*(1-EXP(-0.0175*$A147)))&lt;70,'Scénario référence'!$B$18*(32+38*(1-EXP(-0.0175*$A147))),70*'Scénario référence'!$B$18)</f>
        <v>70</v>
      </c>
      <c r="OS147" s="12">
        <f>IF($A147&gt;30,10,('Scénario référence'!$B$16+'Scénario référence'!$B$17+'Scénario référence'!$B$18+'Scénario référence'!$B$9+'Scénario référence'!$B$10)*$A147*10/30+('Scénario référence'!$F$8+'Scénario référence'!$F$9)*10)</f>
        <v>10</v>
      </c>
      <c r="OT147" s="12" t="e">
        <f>VLOOKUP($A147,'Données projet'!$A$538:$I$558,2,0)</f>
        <v>#N/A</v>
      </c>
      <c r="OU147" s="12" t="e">
        <f>VLOOKUP($A147,'Données projet'!$A$538:$I$558,9,0)</f>
        <v>#N/A</v>
      </c>
      <c r="OV147" s="12">
        <f t="array" ref="OV147">INDEX(OU:OU,MIN(IF(ISNUMBER(OU147:OU343),ROW(OU147:OU343),"")))</f>
        <v>0</v>
      </c>
      <c r="OW147" s="12">
        <f>IF('Données projet'!$A$538&gt;35,OW146+OV147-PE146,IF($A147&lt;'Données projet'!$A$538,$CQ$205^$A147,IF($A147='Données projet'!$A$538,'Données projet'!$B$538,OW146+OV147-PE146)))</f>
        <v>0</v>
      </c>
      <c r="OX147" s="17" t="e">
        <f>OW147*VLOOKUP('Données projet'!$B$28,Paramètres!$A$1:$I$89,3,0)*VLOOKUP('Données projet'!$B$28,Paramètres!$A$1:$I$89,5,0)</f>
        <v>#N/A</v>
      </c>
      <c r="OY147" s="13" t="e">
        <f t="shared" si="324"/>
        <v>#N/A</v>
      </c>
      <c r="OZ147" s="14" t="e">
        <f t="shared" si="281"/>
        <v>#N/A</v>
      </c>
      <c r="PA147" s="59" t="e">
        <f t="shared" si="282"/>
        <v>#N/A</v>
      </c>
      <c r="PB147" s="20" t="e">
        <f ca="1">AVERAGE(OFFSET($PA$3,0,0,'Données projet'!$E$28+1,1))-AVERAGE(OFFSET($H$3,0,0,'Données projet'!$E$28+1,1))</f>
        <v>#N/A</v>
      </c>
      <c r="PC147" s="59" t="e">
        <f t="shared" si="325"/>
        <v>#N/A</v>
      </c>
      <c r="PD147" s="15">
        <f>IF(ISNA(VLOOKUP($A147,'Données projet'!$A$538:$I$558,3,0)),0,VLOOKUP($A147,'Données projet'!$A$538:$I$558,3,0))</f>
        <v>0</v>
      </c>
      <c r="PE147" s="15">
        <f>IF(ISNA(VLOOKUP($A147,'Données projet'!$A$538:$I$558,4,0)),0,VLOOKUP($A147,'Données projet'!$A$538:$I$558,4,0))</f>
        <v>0</v>
      </c>
      <c r="PF147" s="16">
        <f>IF(ISNA(VLOOKUP($A147,'Données projet'!$A$538:$I$558,5,0)),0%,VLOOKUP($A147,'Données projet'!$A$538:$I$558,5,0)*VLOOKUP('Données projet'!$B$28,Paramètres!$A$1:$I$89,7,0))</f>
        <v>0</v>
      </c>
      <c r="PG147" s="16">
        <f>IF(ISNA(VLOOKUP($A147,'Données projet'!$A$538:$I$558,6,0)),0%,VLOOKUP($A147,'Données projet'!$A$538:$I$558,6,0)*VLOOKUP('Données projet'!$B$28,Paramètres!$A$1:$I$89,7,0))</f>
        <v>0</v>
      </c>
      <c r="PH147" s="16">
        <f>IF(ISNA(VLOOKUP($A147,'Données projet'!$A$538:$I$558,7,0)),0%,VLOOKUP($A147,'Données projet'!$A$538:$I$558,7,0))</f>
        <v>0</v>
      </c>
      <c r="PI147" s="21" t="e">
        <f>EXP(-LN(2)/35)*PI146+(1-EXP(-LN(2)/35))/(LN(2)/35)*PE147*PF147*VLOOKUP('Données projet'!$B$28,Paramètres!$A$1:$I$89,3,0)*0.475*44/12</f>
        <v>#N/A</v>
      </c>
      <c r="PJ147" s="21" t="e">
        <f>EXP(-LN(2)/25)*PJ146+(1-EXP(-LN(2)/25))/(LN(2)/25)*Calculateur!PE147*Calculateur!PG147*VLOOKUP('Données projet'!$B$28,Paramètres!$A$1:$I$89,3,0)*0.475*44/12</f>
        <v>#N/A</v>
      </c>
      <c r="PK147" s="21" t="e">
        <f>EXP(-LN(2)/2)*PK146+(1-EXP(-LN(2)/2))/(LN(2)/2)*PE147*PH147*VLOOKUP('Données projet'!$B$28,Paramètres!$A$1:$I$89,3,0)*0.475*44/12</f>
        <v>#N/A</v>
      </c>
      <c r="PL147" s="22" t="e">
        <f t="shared" si="283"/>
        <v>#N/A</v>
      </c>
    </row>
    <row r="148" spans="1:428" x14ac:dyDescent="0.35">
      <c r="A148" s="10">
        <f t="shared" si="284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285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225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projet'!$A$45:$I$65,2,0)</f>
        <v>#N/A</v>
      </c>
      <c r="L148" s="12" t="e">
        <f>VLOOKUP(A148,'Données projet'!$A$45:$I$65,9,0)</f>
        <v>#N/A</v>
      </c>
      <c r="M148" s="12">
        <f t="array" ref="M148">INDEX(L:L,MIN(IF(ISNUMBER(L148:L344),ROW(L148:L344),"")))</f>
        <v>0</v>
      </c>
      <c r="N148" s="13">
        <f>IF('Données projet'!$A$46&gt;35,N147+M148-V147,IF(A148&lt;'Données projet'!$A$46,$K$205^A148,IF(A148='Données projet'!$A$46,'Données projet'!$B$46,N147+M148-V147)))</f>
        <v>-1.1368683772161603E-13</v>
      </c>
      <c r="O148" s="13">
        <f>N148*VLOOKUP('Données projet'!$B$9,Paramètres!$A$1:$I$89,3,0)*VLOOKUP('Données projet'!$B$9,Paramètres!$A$1:$I$89,5,0)</f>
        <v>-6.3550942286383367E-14</v>
      </c>
      <c r="P148" s="13" t="e">
        <f t="shared" si="286"/>
        <v>#NUM!</v>
      </c>
      <c r="Q148" s="20" t="e">
        <f t="shared" si="223"/>
        <v>#NUM!</v>
      </c>
      <c r="R148" s="59" t="e">
        <f t="shared" si="224"/>
        <v>#NUM!</v>
      </c>
      <c r="S148" s="59">
        <f ca="1">AVERAGE(OFFSET($R$3,0,0,'Données projet'!$E$9+1,1))-AVERAGE(OFFSET($H$3,0,0,'Données projet'!$E$9+1,1))</f>
        <v>274.57619581652199</v>
      </c>
      <c r="T148" s="59">
        <f t="shared" si="287"/>
        <v>366.15117322598775</v>
      </c>
      <c r="U148" s="15">
        <f>IF(ISNA(VLOOKUP(A148,'Données projet'!$A$45:$I$65,3,0)),0,VLOOKUP(A148,'Données projet'!$A$45:$I$65,3,0))</f>
        <v>0</v>
      </c>
      <c r="V148" s="15">
        <f>IF(ISNA(VLOOKUP(A148,'Données projet'!$A$45:$I$65,4,0)),0,VLOOKUP(A148,'Données projet'!$A$45:$I$65,4,0))</f>
        <v>0</v>
      </c>
      <c r="W148" s="16">
        <f>IF(ISNA(VLOOKUP(A148,'Données projet'!$A$45:$I$65,5,0)),0%,VLOOKUP(A148,'Données projet'!$A$45:$I$65,5,0)*VLOOKUP('Données projet'!$B$9,Paramètres!$A$1:$I$89,7,0))</f>
        <v>0</v>
      </c>
      <c r="X148" s="16">
        <f>IF(ISNA(VLOOKUP(A148,'Données projet'!$A$45:$I$65,6,0)),0%,VLOOKUP(A148,'Données projet'!$A$45:$I$65,6,0)*VLOOKUP('Données projet'!$B$9,Paramètres!$A$1:$I$89,7,0))</f>
        <v>0</v>
      </c>
      <c r="Y148" s="16">
        <f>IF(ISNA(VLOOKUP(A148,'Données projet'!$A$45:$I$65,7,0)),0%,VLOOKUP(A148,'Données projet'!$A$45:$I$65,7,0))</f>
        <v>0</v>
      </c>
      <c r="Z148" s="21">
        <f>EXP(-LN(2)/35)*Z147+(1-EXP(-LN(2)/35))/(LN(2)/35)*V148*W148*VLOOKUP('Données projet'!$B$9,Paramètres!$A$1:$I$89,3,0)*0.475*44/12</f>
        <v>38.132226284362943</v>
      </c>
      <c r="AA148" s="21">
        <f>EXP(-LN(2)/25)*AA147+(1-EXP(-LN(2)/25))/(LN(2)/25)*Calculateur!V148*Calculateur!X148*VLOOKUP('Données projet'!$B$9,Paramètres!$A$1:$I$89,3,0)*0.475*44/12</f>
        <v>4.7508618745974465</v>
      </c>
      <c r="AB148" s="21">
        <f>EXP(-LN(2)/2)*AB147+(1-EXP(-LN(2)/2))/(LN(2)/2)*V148*Y148*VLOOKUP('Données projet'!$B$9,Paramètres!$A$1:$I$89,3,0)*0.475*44/12</f>
        <v>9.7092265616858166E-13</v>
      </c>
      <c r="AC148" s="22">
        <f t="shared" si="226"/>
        <v>42.883088158961364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projet'!$A$71:$I$91,2,0)</f>
        <v>#N/A</v>
      </c>
      <c r="AG148" s="12" t="e">
        <f>VLOOKUP(A148,'Données projet'!$A$71:$I$91,9,0)</f>
        <v>#N/A</v>
      </c>
      <c r="AH148" s="12">
        <f t="array" ref="AH148">INDEX(AG:AG,MIN(IF(ISNUMBER(AG148:AG344),ROW(AG148:AG344),"")))</f>
        <v>0</v>
      </c>
      <c r="AI148" s="13">
        <f>IF('Données projet'!$A$72&gt;35,AI147+AH148-AQ147,IF(A148&lt;'Données projet'!$A$72,$AF$205^A148,IF(A148='Données projet'!$A$72,'Données projet'!$B$72,AI147+AH148-AQ147)))</f>
        <v>5.6843418860808015E-13</v>
      </c>
      <c r="AJ148" s="13">
        <f>AI148*VLOOKUP('Données projet'!$B$10,Paramètres!$A$1:$I$89,3,0)*VLOOKUP('Données projet'!$B$10,Paramètres!$A$1:$I$89,5,0)</f>
        <v>5.1431925385259092E-13</v>
      </c>
      <c r="AK148" s="13">
        <f t="shared" si="288"/>
        <v>6.3855359115685756E-12</v>
      </c>
      <c r="AL148" s="20">
        <f t="shared" si="227"/>
        <v>1.2017247746441865E-11</v>
      </c>
      <c r="AM148" s="59">
        <f t="shared" si="228"/>
        <v>293.33333333334531</v>
      </c>
      <c r="AN148" s="59">
        <f ca="1">AVERAGE(OFFSET($AM$3,0,0,'Données projet'!$E$10+1,1))-AVERAGE(OFFSET($H$3,0,0,'Données projet'!$E$10+1,1))</f>
        <v>270.87836509222456</v>
      </c>
      <c r="AO148" s="59">
        <f t="shared" si="289"/>
        <v>205.24998237949734</v>
      </c>
      <c r="AP148" s="15">
        <f>IF(ISNA(VLOOKUP(A148,'Données projet'!$A$71:$I$91,3,0)),0,VLOOKUP(A148,'Données projet'!$A$71:$I$91,3,0))</f>
        <v>0</v>
      </c>
      <c r="AQ148" s="15">
        <f>IF(ISNA(VLOOKUP(A148,'Données projet'!$A$71:$I$91,4,0)),0,VLOOKUP(A148,'Données projet'!$A$71:$I$91,4,0))</f>
        <v>0</v>
      </c>
      <c r="AR148" s="16">
        <f>IF(ISNA(VLOOKUP(A148,'Données projet'!$A$71:$I$91,5,0)),0%,VLOOKUP(A148,'Données projet'!$A$71:$I$91,5,0)*VLOOKUP('Données projet'!$B$10,Paramètres!$A$1:$I$89,7,0))</f>
        <v>0</v>
      </c>
      <c r="AS148" s="16">
        <f>IF(ISNA(VLOOKUP(A148,'Données projet'!$A$71:$I$91,6,0)),0%,VLOOKUP(A148,'Données projet'!$A$71:$I$91,6,0)*VLOOKUP('Données projet'!$B$10,Paramètres!$A$1:$I$89,7,0))</f>
        <v>0</v>
      </c>
      <c r="AT148" s="16">
        <f>IF(ISNA(VLOOKUP(A148,'Données projet'!$A$71:$I$91,7,0)),0%,VLOOKUP(A148,'Données projet'!$A$71:$I$91,7,0))</f>
        <v>0</v>
      </c>
      <c r="AU148" s="21">
        <f>EXP(-LN(2)/35)*AU147+(1-EXP(-LN(2)/35))/(LN(2)/35)*AQ148*AR148*VLOOKUP('Données projet'!$B$10,Paramètres!$A$1:$I$89,3,0)*0.475*44/12</f>
        <v>129.58302013306442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229"/>
        <v>129.58302013306442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projet'!$A$97:$I$117,2,0)</f>
        <v>#N/A</v>
      </c>
      <c r="BB148" s="12" t="e">
        <f>VLOOKUP(A148,'Données projet'!$A$97:$I$117,9,0)</f>
        <v>#N/A</v>
      </c>
      <c r="BC148" s="12">
        <f t="array" ref="BC148">INDEX(BB:BB,MIN(IF(ISNUMBER(BB148:BB344),ROW(BB148:BB344),"")))</f>
        <v>0</v>
      </c>
      <c r="BD148" s="12">
        <f>IF('Données projet'!$A$98&gt;35,BD147+BC148-BL147,IF(A148&lt;'Données projet'!$A$98,$BA$205^A148,IF(A148='Données projet'!$A$98,'Données projet'!$B$98,BD147+BC148-BL147)))</f>
        <v>-1.1368683772161603E-13</v>
      </c>
      <c r="BE148" s="13">
        <f>BD148*VLOOKUP('Données projet'!$B$11,Paramètres!$A$1:$I$89,3,0)*VLOOKUP('Données projet'!$B$11,Paramètres!$A$1:$I$89,5,0)</f>
        <v>-5.0249582272954292E-14</v>
      </c>
      <c r="BF148" s="13" t="e">
        <f t="shared" si="290"/>
        <v>#NUM!</v>
      </c>
      <c r="BG148" s="20" t="e">
        <f t="shared" si="230"/>
        <v>#NUM!</v>
      </c>
      <c r="BH148" s="59" t="e">
        <f t="shared" si="231"/>
        <v>#NUM!</v>
      </c>
      <c r="BI148" s="59">
        <f ca="1">AVERAGE(OFFSET($BH$3,0,0,'Données projet'!$E$11+1,1))-AVERAGE(OFFSET($H$3,0,0,'Données projet'!$E$11+1,1))</f>
        <v>211.31057120485542</v>
      </c>
      <c r="BJ148" s="59">
        <f t="shared" si="291"/>
        <v>283.33292006714777</v>
      </c>
      <c r="BK148" s="15">
        <f>IF(ISNA(VLOOKUP(A148,'Données projet'!$A$97:$I$117,3,0)),0,VLOOKUP(A148,'Données projet'!$A$97:$I$117,3,0))</f>
        <v>0</v>
      </c>
      <c r="BL148" s="15">
        <f>IF(ISNA(VLOOKUP(A148,'Données projet'!$A$97:$I$117,4,0)),0,VLOOKUP(A148,'Données projet'!$A$97:$I$117,4,0))</f>
        <v>0</v>
      </c>
      <c r="BM148" s="16">
        <f>IF(ISNA(VLOOKUP(A148,'Données projet'!$A$97:$I$117,5,0)),0%,VLOOKUP(A148,'Données projet'!$A$97:$I$117,5,0)*VLOOKUP('Données projet'!$B$11,Paramètres!$A$1:$I$89,7,0))</f>
        <v>0</v>
      </c>
      <c r="BN148" s="16">
        <f>IF(ISNA(VLOOKUP(A148,'Données projet'!$A$97:$I$117,6,0)),0%,VLOOKUP(A148,'Données projet'!$A$97:$I$117,6,0)*VLOOKUP('Données projet'!$B$11,Paramètres!$A$1:$I$89,7,0))</f>
        <v>0</v>
      </c>
      <c r="BO148" s="16">
        <f>IF(ISNA(VLOOKUP(A148,'Données projet'!$A$97:$I$117,7,0)),0%,VLOOKUP(A148,'Données projet'!$A$97:$I$117,7,0))</f>
        <v>0</v>
      </c>
      <c r="BP148" s="21">
        <f>EXP(-LN(2)/35)*BP147+(1-EXP(-LN(2)/35))/(LN(2)/35)*BL148*BM148*VLOOKUP('Données projet'!$B$11,Paramètres!$A$1:$I$89,3,0)*0.475*44/12</f>
        <v>30.151062643449787</v>
      </c>
      <c r="BQ148" s="21">
        <f>EXP(-LN(2)/25)*BQ147+(1-EXP(-LN(2)/25))/(LN(2)/25)*Calculateur!BL148*Calculateur!BN148*VLOOKUP('Données projet'!$B$11,Paramètres!$A$1:$I$89,3,0)*0.475*44/12</f>
        <v>3.7564954357282123</v>
      </c>
      <c r="BR148" s="21">
        <f>EXP(-LN(2)/2)*BR147+(1-EXP(-LN(2)/2))/(LN(2)/2)*BL148*BO148*VLOOKUP('Données projet'!$B$11,Paramètres!$A$1:$I$89,3,0)*0.475*44/12</f>
        <v>7.6770628627283187E-13</v>
      </c>
      <c r="BS148" s="22">
        <f t="shared" si="232"/>
        <v>33.90755807917877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projet'!$A$123:$I$143,2,0)</f>
        <v>#N/A</v>
      </c>
      <c r="BW148" s="12" t="e">
        <f>VLOOKUP(A148,'Données projet'!$A$123:$I$143,9,0)</f>
        <v>#N/A</v>
      </c>
      <c r="BX148" s="12">
        <f t="array" ref="BX148">INDEX(BW:BW,MIN(IF(ISNUMBER(BW148:BW344),ROW(BW148:BW344),"")))</f>
        <v>0</v>
      </c>
      <c r="BY148" s="12">
        <f>IF('Données projet'!$A$124&gt;35,BY147+BX148-CG147,IF(A148&lt;'Données projet'!$A$124,$BV$205^A148,IF(A148='Données projet'!$A$124,'Données projet'!$B$124,BY147+BX148-CG147)))</f>
        <v>0</v>
      </c>
      <c r="BZ148" s="13">
        <f>BY148*VLOOKUP('Données projet'!$B$12,Paramètres!$A$1:$I$89,3,0)*VLOOKUP('Données projet'!$B$12,Paramètres!$A$1:$I$89,5,0)</f>
        <v>0</v>
      </c>
      <c r="CA148" s="13" t="e">
        <f t="shared" si="292"/>
        <v>#NUM!</v>
      </c>
      <c r="CB148" s="20" t="e">
        <f t="shared" si="233"/>
        <v>#NUM!</v>
      </c>
      <c r="CC148" s="59" t="e">
        <f t="shared" si="234"/>
        <v>#NUM!</v>
      </c>
      <c r="CD148" s="59">
        <f ca="1">AVERAGE(OFFSET($CC$3,0,0,'Données projet'!$E$12+1,1))-AVERAGE(OFFSET($H$3,0,0,'Données projet'!$E$12+1,1))</f>
        <v>322.93502595881938</v>
      </c>
      <c r="CE148" s="59">
        <f t="shared" si="293"/>
        <v>302.67072119588164</v>
      </c>
      <c r="CF148" s="15">
        <f>IF(ISNA(VLOOKUP(A148,'Données projet'!$A$123:$I$143,3,0)),0,VLOOKUP(A148,'Données projet'!$A$123:$I$143,3,0))</f>
        <v>0</v>
      </c>
      <c r="CG148" s="15">
        <f>IF(ISNA(VLOOKUP(A148,'Données projet'!$A$123:$I$143,4,0)),0,VLOOKUP(A148,'Données projet'!$A$123:$I$143,4,0))</f>
        <v>0</v>
      </c>
      <c r="CH148" s="16">
        <f>IF(ISNA(VLOOKUP(A148,'Données projet'!$A$123:$I$143,5,0)),0%,VLOOKUP(A148,'Données projet'!$A$123:$I$143,5,0)*VLOOKUP('Données projet'!$B$12,Paramètres!$A$1:$I$89,7,0))</f>
        <v>0</v>
      </c>
      <c r="CI148" s="16">
        <f>IF(ISNA(VLOOKUP(A148,'Données projet'!$A$123:$I$143,6,0)),0%,VLOOKUP(A148,'Données projet'!$A$123:$I$143,6,0)*VLOOKUP('Données projet'!$B$12,Paramètres!$A$1:$I$89,7,0))</f>
        <v>0</v>
      </c>
      <c r="CJ148" s="16">
        <f>IF(ISNA(VLOOKUP(A148,'Données projet'!$A$123:$I$143,7,0)),0%,VLOOKUP(A148,'Données projet'!$A$123:$I$143,7,0))</f>
        <v>0</v>
      </c>
      <c r="CK148" s="21">
        <f>EXP(-LN(2)/35)*CK147+(1-EXP(-LN(2)/35))/(LN(2)/35)*CG148*CH148*VLOOKUP('Données projet'!$B$12,Paramètres!$A$1:$I$89,3,0)*0.475*44/12</f>
        <v>48.037928319282706</v>
      </c>
      <c r="CL148" s="21">
        <f>EXP(-LN(2)/25)*CL147+(1-EXP(-LN(2)/25))/(LN(2)/25)*Calculateur!CG148*Calculateur!CI148*VLOOKUP('Données projet'!$B$12,Paramètres!$A$1:$I$89,3,0)*0.475*44/12</f>
        <v>12.023058220455383</v>
      </c>
      <c r="CM148" s="21">
        <f>EXP(-LN(2)/2)*CM147+(1-EXP(-LN(2)/2))/(LN(2)/2)*CG148*CJ148*VLOOKUP('Données projet'!$B$12,Paramètres!$A$1:$I$89,3,0)*0.475*44/12</f>
        <v>0</v>
      </c>
      <c r="CN148" s="22">
        <f t="shared" si="235"/>
        <v>60.060986539738089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projet'!$A$149:$I$169,2,0)</f>
        <v>#N/A</v>
      </c>
      <c r="CR148" s="12" t="e">
        <f>VLOOKUP(A148,'Données projet'!$A$149:$I$169,9,0)</f>
        <v>#N/A</v>
      </c>
      <c r="CS148" s="12">
        <f t="array" ref="CS148">INDEX(CR:CR,MIN(IF(ISNUMBER(CR148:CR344),ROW(CR148:CR344),"")))</f>
        <v>5.1063034188034209</v>
      </c>
      <c r="CT148" s="12">
        <f>IF('Données projet'!$A$150&gt;35,CT147+CS148-DB147,IF(A148&lt;'Données projet'!$A$150,$CQ$205^A148,IF(A148='Données projet'!$A$150,'Données projet'!$B$150,CT147+CS148-DB147)))</f>
        <v>282.76068376068332</v>
      </c>
      <c r="CU148" s="17">
        <f>CT148*VLOOKUP('Données projet'!$B$13,Paramètres!$A$1:$I$89,3,0)*VLOOKUP('Données projet'!$B$13,Paramètres!$A$1:$I$89,5,0)</f>
        <v>286.71933333333288</v>
      </c>
      <c r="CV148" s="13">
        <f t="shared" si="294"/>
        <v>68.38503141894958</v>
      </c>
      <c r="CW148" s="20">
        <f t="shared" si="236"/>
        <v>618.47343527689191</v>
      </c>
      <c r="CX148" s="59">
        <f t="shared" si="237"/>
        <v>911.80676861022516</v>
      </c>
      <c r="CY148" s="59">
        <f ca="1">AVERAGE(OFFSET($CX$3,0,0,'Données projet'!$E$13+1,1))-AVERAGE(OFFSET($H$3,0,0,'Données projet'!$E$13+1,1))</f>
        <v>250.31277422753283</v>
      </c>
      <c r="CZ148" s="59">
        <f t="shared" si="295"/>
        <v>159.20429420478047</v>
      </c>
      <c r="DA148" s="15">
        <f>IF(ISNA(VLOOKUP(A148,'Données projet'!$A$149:$I$169,3,0)),0,VLOOKUP(A148,'Données projet'!$A$149:$I$169,3,0))</f>
        <v>0</v>
      </c>
      <c r="DB148" s="15">
        <f>IF(ISNA(VLOOKUP(A148,'Données projet'!$A$149:$I$169,4,0)),0,VLOOKUP(A148,'Données projet'!$A$149:$I$169,4,0))</f>
        <v>0</v>
      </c>
      <c r="DC148" s="16">
        <f>IF(ISNA(VLOOKUP(A148,'Données projet'!$A$149:$I$169,5,0)),0%,VLOOKUP(A148,'Données projet'!$A$149:$I$169,5,0)*VLOOKUP('Données projet'!$B$13,Paramètres!$A$1:$I$89,7,0))</f>
        <v>0</v>
      </c>
      <c r="DD148" s="16">
        <f>IF(ISNA(VLOOKUP(A148,'Données projet'!$A$149:$I$169,6,0)),0%,VLOOKUP(A148,'Données projet'!$A$149:$I$169,6,0)*VLOOKUP('Données projet'!$B$13,Paramètres!$A$1:$I$89,7,0))</f>
        <v>0</v>
      </c>
      <c r="DE148" s="16">
        <f>IF(ISNA(VLOOKUP(A148,'Données projet'!$A$149:$I$169,7,0)),0%,VLOOKUP(A148,'Données projet'!$A$149:$I$169,7,0))</f>
        <v>0</v>
      </c>
      <c r="DF148" s="21">
        <f>EXP(-LN(2)/35)*DF147+(1-EXP(-LN(2)/35))/(LN(2)/35)*DB148*DC148*VLOOKUP('Données projet'!$B$13,Paramètres!$A$1:$I$89,3,0)*0.475*44/12</f>
        <v>46.897392020705119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238"/>
        <v>46.897392020705119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projet'!$A$175:$I$195,2,0)</f>
        <v>#N/A</v>
      </c>
      <c r="DM148" s="12" t="e">
        <f>VLOOKUP(A148,'Données projet'!$A$175:$I$195,9,0)</f>
        <v>#N/A</v>
      </c>
      <c r="DN148" s="12">
        <f t="array" ref="DN148">INDEX(DM:DM,MIN(IF(ISNUMBER(DM148:DM344),ROW(DM148:DM344),"")))</f>
        <v>0</v>
      </c>
      <c r="DO148" s="12">
        <f>IF('Données projet'!$A$176&gt;35,DO147+DN148-DW147,IF(A148&lt;'Données projet'!$A$176,$DL$205^A148,IF(A148='Données projet'!$A$176,'Données projet'!$B$176,DO147+DN148-DW147)))</f>
        <v>-2.8421709430404007E-13</v>
      </c>
      <c r="DP148" s="17">
        <f>DO148*VLOOKUP('Données projet'!$B$14,Paramètres!$A$1:$I$89,3,0)*VLOOKUP('Données projet'!$B$14,Paramètres!$A$1:$I$89,5,0)</f>
        <v>-2.0838797354372215E-13</v>
      </c>
      <c r="DQ148" s="13" t="e">
        <f t="shared" si="296"/>
        <v>#NUM!</v>
      </c>
      <c r="DR148" s="20" t="e">
        <f t="shared" si="239"/>
        <v>#NUM!</v>
      </c>
      <c r="DS148" s="59" t="e">
        <f t="shared" si="240"/>
        <v>#NUM!</v>
      </c>
      <c r="DT148" s="59">
        <f ca="1">AVERAGE(OFFSET($DS$3,0,0,'Données projet'!$E$14+1,1))-AVERAGE(OFFSET($H$3,0,0,'Données projet'!$E$14+1,1))</f>
        <v>296.91321813251051</v>
      </c>
      <c r="DU148" s="59">
        <f t="shared" si="297"/>
        <v>291.0718079639509</v>
      </c>
      <c r="DV148" s="15">
        <f>IF(ISNA(VLOOKUP(A148,'Données projet'!$A$175:$I$195,3,0)),0,VLOOKUP(A148,'Données projet'!$A$175:$I$195,3,0))</f>
        <v>0</v>
      </c>
      <c r="DW148" s="15">
        <f>IF(ISNA(VLOOKUP(A148,'Données projet'!$A$175:$I$195,4,0)),0,VLOOKUP(A148,'Données projet'!$A$175:$I$195,4,0))</f>
        <v>0</v>
      </c>
      <c r="DX148" s="16">
        <f>IF(ISNA(VLOOKUP(A148,'Données projet'!$A$175:$I$195,5,0)),0%,VLOOKUP(A148,'Données projet'!$A$175:$I$195,5,0)*VLOOKUP('Données projet'!$B$14,Paramètres!$A$1:$I$89,7,0))</f>
        <v>0</v>
      </c>
      <c r="DY148" s="16">
        <f>IF(ISNA(VLOOKUP(A148,'Données projet'!$A$175:$I$195,6,0)),0%,VLOOKUP(A148,'Données projet'!$A$175:$I$195,6,0)*VLOOKUP('Données projet'!$B$14,Paramètres!$A$1:$I$89,7,0))</f>
        <v>0</v>
      </c>
      <c r="DZ148" s="16">
        <f>IF(ISNA(VLOOKUP(A148,'Données projet'!$A$175:$I$195,7,0)),0%,VLOOKUP(A148,'Données projet'!$A$175:$I$195,7,0))</f>
        <v>0</v>
      </c>
      <c r="EA148" s="21">
        <f>EXP(-LN(2)/35)*EA147+(1-EXP(-LN(2)/35))/(LN(2)/35)*DW148*DX148*VLOOKUP('Données projet'!$B$14,Paramètres!$A$1:$I$89,3,0)*0.475*44/12</f>
        <v>47.878392296266547</v>
      </c>
      <c r="EB148" s="21">
        <f>EXP(-LN(2)/25)*EB147+(1-EXP(-LN(2)/25))/(LN(2)/25)*Calculateur!DW148*Calculateur!DY148*VLOOKUP('Données projet'!$B$14,Paramètres!$A$1:$I$89,3,0)*0.475*44/12</f>
        <v>0.88322476113437787</v>
      </c>
      <c r="EC148" s="21">
        <f>EXP(-LN(2)/2)*EC147+(1-EXP(-LN(2)/2))/(LN(2)/2)*DW148*DZ148*VLOOKUP('Données projet'!$B$14,Paramètres!$A$1:$I$89,3,0)*0.475*44/12</f>
        <v>0</v>
      </c>
      <c r="ED148" s="22">
        <f t="shared" si="241"/>
        <v>48.761617057400926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projet'!$A$201:$I$221,2,0)</f>
        <v>#N/A</v>
      </c>
      <c r="EH148" s="12" t="e">
        <f>VLOOKUP(A148,'Données projet'!$A$201:$I$221,9,0)</f>
        <v>#N/A</v>
      </c>
      <c r="EI148" s="12">
        <f t="array" ref="EI148">INDEX(EH:EH,MIN(IF(ISNUMBER(EH148:EH344),ROW(EH148:EH344),"")))</f>
        <v>0</v>
      </c>
      <c r="EJ148" s="12">
        <f>IF('Données projet'!$A$202&gt;35,EJ147+EI148-ER147,IF(A148&lt;'Données projet'!$A$202,$EG$205^A148,IF(A148='Données projet'!$A$202,'Données projet'!$B$202,EJ147+EI148-ER147)))</f>
        <v>5.1159076974727213E-13</v>
      </c>
      <c r="EK148" s="17">
        <f>EJ148*VLOOKUP('Données projet'!$B$15,Paramètres!$A$1:$I$89,3,0)*VLOOKUP('Données projet'!$B$15,Paramètres!$A$1:$I$89,5,0)</f>
        <v>2.3942448024172334E-13</v>
      </c>
      <c r="EL148" s="13">
        <f t="shared" si="298"/>
        <v>3.2492669905861755E-12</v>
      </c>
      <c r="EM148" s="20">
        <f t="shared" si="242"/>
        <v>6.0761376450252565E-12</v>
      </c>
      <c r="EN148" s="59">
        <f t="shared" si="243"/>
        <v>293.3333333333394</v>
      </c>
      <c r="EO148" s="59">
        <f ca="1">AVERAGE(OFFSET($EN$3,0,0,'Données projet'!$E$15+1,1))-AVERAGE(OFFSET($H$3,0,0,'Données projet'!$E$15+1,1))</f>
        <v>147.64256291235483</v>
      </c>
      <c r="EP148" s="59">
        <f t="shared" si="299"/>
        <v>70.859031694091868</v>
      </c>
      <c r="EQ148" s="15">
        <f>IF(ISNA(VLOOKUP(A148,'Données projet'!$A$201:$I$221,3,0)),0,VLOOKUP(A148,'Données projet'!$A$201:$I$221,3,0))</f>
        <v>0</v>
      </c>
      <c r="ER148" s="15">
        <f>IF(ISNA(VLOOKUP(A148,'Données projet'!$A$201:$I$221,4,0)),0,VLOOKUP(A148,'Données projet'!$A$201:$I$221,4,0))</f>
        <v>0</v>
      </c>
      <c r="ES148" s="16">
        <f>IF(ISNA(VLOOKUP(A148,'Données projet'!$A$201:$I$221,5,0)),0%,VLOOKUP(A148,'Données projet'!$A$201:$I$221,5,0)*VLOOKUP('Données projet'!$B$15,Paramètres!$A$1:$I$89,7,0))</f>
        <v>0</v>
      </c>
      <c r="ET148" s="16">
        <f>IF(ISNA(VLOOKUP(A148,'Données projet'!$A$201:$I$221,6,0)),0%,VLOOKUP(A148,'Données projet'!$A$201:$I$221,6,0)*VLOOKUP('Données projet'!$B$15,Paramètres!$A$1:$I$89,7,0))</f>
        <v>0</v>
      </c>
      <c r="EU148" s="16">
        <f>IF(ISNA(VLOOKUP(A148,'Données projet'!$A$201:$I$221,7,0)),0%,VLOOKUP(A148,'Données projet'!$A$201:$I$221,7,0))</f>
        <v>0</v>
      </c>
      <c r="EV148" s="21">
        <f>EXP(-LN(2)/35)*EV147+(1-EXP(-LN(2)/35))/(LN(2)/35)*ER148*ES148*VLOOKUP('Données projet'!$B$15,Paramètres!$A$1:$I$89,3,0)*0.475*44/12</f>
        <v>65.546273752999085</v>
      </c>
      <c r="EW148" s="21">
        <f>EXP(-LN(2)/25)*EW147+(1-EXP(-LN(2)/25))/(LN(2)/25)*Calculateur!ER148*Calculateur!ET148*VLOOKUP('Données projet'!$B$15,Paramètres!$A$1:$I$89,3,0)*0.475*44/12</f>
        <v>12.253853726832103</v>
      </c>
      <c r="EX148" s="21">
        <f>EXP(-LN(2)/2)*EX147+(1-EXP(-LN(2)/2))/(LN(2)/2)*ER148*EU148*VLOOKUP('Données projet'!$B$15,Paramètres!$A$1:$I$89,3,0)*0.475*44/12</f>
        <v>6.9994694994786677E-5</v>
      </c>
      <c r="EY148" s="22">
        <f t="shared" si="244"/>
        <v>77.800197474526186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projet'!$A$227:$I$247,2,0)</f>
        <v>#N/A</v>
      </c>
      <c r="FC148" s="12" t="e">
        <f>VLOOKUP(A148,'Données projet'!$A$227:$I$247,9,0)</f>
        <v>#N/A</v>
      </c>
      <c r="FD148" s="12">
        <f t="array" ref="FD148">INDEX(FC:FC,MIN(IF(ISNUMBER(FC148:FC344),ROW(FC148:FC344),"")))</f>
        <v>0</v>
      </c>
      <c r="FE148" s="12">
        <f>IF('Données projet'!$A$228&gt;35,FE147+FD148-FM147,IF(A148&lt;'Données projet'!$A$228,$FB$205^A148,IF(A148='Données projet'!$A$228,'Données projet'!$B$228,FE147+FD148-FM147)))</f>
        <v>8.5265128291212022E-14</v>
      </c>
      <c r="FF148" s="17">
        <f>FE148*VLOOKUP('Données projet'!$B$16,Paramètres!$A$1:$I$89,3,0)*VLOOKUP('Données projet'!$B$16,Paramètres!$A$1:$I$89,5,0)</f>
        <v>8.9119112089974823E-14</v>
      </c>
      <c r="FG148" s="13">
        <f t="shared" si="300"/>
        <v>1.3568952080113142E-12</v>
      </c>
      <c r="FH148" s="20">
        <f t="shared" si="245"/>
        <v>2.5184749408430782E-12</v>
      </c>
      <c r="FI148" s="59">
        <f t="shared" si="246"/>
        <v>293.33333333333582</v>
      </c>
      <c r="FJ148" s="59">
        <f ca="1">AVERAGE(OFFSET($FI$3,0,0,'Données projet'!$E$16+1,1))-AVERAGE(OFFSET($H$3,0,0,'Données projet'!$E$16+1,1))</f>
        <v>259.03906550253788</v>
      </c>
      <c r="FK148" s="59">
        <f t="shared" si="301"/>
        <v>235.54542903570831</v>
      </c>
      <c r="FL148" s="15">
        <f>IF(ISNA(VLOOKUP(A148,'Données projet'!$A$227:$I$247,3,0)),0,VLOOKUP(A148,'Données projet'!$A$227:$I$247,3,0))</f>
        <v>0</v>
      </c>
      <c r="FM148" s="15">
        <f>IF(ISNA(VLOOKUP(A148,'Données projet'!$A$227:$I$247,4,0)),0,VLOOKUP(A148,'Données projet'!$A$227:$I$247,4,0))</f>
        <v>0</v>
      </c>
      <c r="FN148" s="16">
        <f>IF(ISNA(VLOOKUP(A148,'Données projet'!$A$227:$I$247,5,0)),0%,VLOOKUP(A148,'Données projet'!$A$227:$I$247,5,0)*VLOOKUP('Données projet'!$B$16,Paramètres!$A$1:$I$89,7,0))</f>
        <v>0</v>
      </c>
      <c r="FO148" s="16">
        <f>IF(ISNA(VLOOKUP(A148,'Données projet'!$A$227:$I$247,6,0)),0%,VLOOKUP(A148,'Données projet'!$A$227:$I$247,6,0)*VLOOKUP('Données projet'!$B$16,Paramètres!$A$1:$I$89,7,0))</f>
        <v>0</v>
      </c>
      <c r="FP148" s="16">
        <f>IF(ISNA(VLOOKUP(A148,'Données projet'!$A$227:$I$247,7,0)),0%,VLOOKUP(A148,'Données projet'!$A$227:$I$247,7,0))</f>
        <v>0</v>
      </c>
      <c r="FQ148" s="21">
        <f>EXP(-LN(2)/35)*FQ147+(1-EXP(-LN(2)/35))/(LN(2)/35)*FM148*FN148*VLOOKUP('Données projet'!$B$16,Paramètres!$A$1:$I$89,3,0)*0.475*44/12</f>
        <v>28.930343889949111</v>
      </c>
      <c r="FR148" s="21">
        <f>EXP(-LN(2)/25)*FR147+(1-EXP(-LN(2)/25))/(LN(2)/25)*Calculateur!FM148*Calculateur!FO148*VLOOKUP('Données projet'!$B$16,Paramètres!$A$1:$I$89,3,0)*0.475*44/12</f>
        <v>16.857316023698683</v>
      </c>
      <c r="FS148" s="21">
        <f>EXP(-LN(2)/2)*FS147+(1-EXP(-LN(2)/2))/(LN(2)/2)*FM148*FP148*VLOOKUP('Données projet'!$B$16,Paramètres!$A$1:$I$89,3,0)*0.475*44/12</f>
        <v>0</v>
      </c>
      <c r="FT148" s="22">
        <f t="shared" si="247"/>
        <v>45.787659913647794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projet'!$A$253:$I$273,2,0)</f>
        <v>#N/A</v>
      </c>
      <c r="FX148" s="12" t="e">
        <f>VLOOKUP(A148,'Données projet'!$A$253:$I$273,9,0)</f>
        <v>#N/A</v>
      </c>
      <c r="FY148" s="12">
        <f t="array" ref="FY148">INDEX(FX:FX,MIN(IF(ISNUMBER(FX148:FX344),ROW(FX148:FX344),"")))</f>
        <v>0</v>
      </c>
      <c r="FZ148" s="12">
        <f>IF('Données projet'!$A$254&gt;35,FZ147+FY148-GH147,IF(A148&lt;'Données projet'!$A$254,$FW$205^A148,IF(A148='Données projet'!$A$254,'Données projet'!$B$254,FZ147+FY148-GH147)))</f>
        <v>-1.7053025658242404E-13</v>
      </c>
      <c r="GA148" s="17">
        <f>FZ148*VLOOKUP('Données projet'!$B$17,Paramètres!$A$1:$I$89,3,0)*VLOOKUP('Données projet'!$B$17,Paramètres!$A$1:$I$89,5,0)</f>
        <v>-1.4897523215040567E-13</v>
      </c>
      <c r="GB148" s="13" t="e">
        <f t="shared" si="302"/>
        <v>#NUM!</v>
      </c>
      <c r="GC148" s="20" t="e">
        <f t="shared" si="248"/>
        <v>#NUM!</v>
      </c>
      <c r="GD148" s="59" t="e">
        <f t="shared" si="249"/>
        <v>#NUM!</v>
      </c>
      <c r="GE148" s="59">
        <f ca="1">AVERAGE(OFFSET($GD$3,0,0,'Données projet'!$E$17+1,1))-AVERAGE(OFFSET($H$3,0,0,'Données projet'!$E$17+1,1))</f>
        <v>245.1983232777614</v>
      </c>
      <c r="GF148" s="59">
        <f t="shared" si="303"/>
        <v>242.34010522344573</v>
      </c>
      <c r="GG148" s="15">
        <f>IF(ISNA(VLOOKUP(A148,'Données projet'!$A$253:$I$273,3,0)),0,VLOOKUP(A148,'Données projet'!$A$253:$I$273,3,0))</f>
        <v>0</v>
      </c>
      <c r="GH148" s="15">
        <f>IF(ISNA(VLOOKUP(A148,'Données projet'!$A$253:$I$273,4,0)),0,VLOOKUP(A148,'Données projet'!$A$253:$I$273,4,0))</f>
        <v>0</v>
      </c>
      <c r="GI148" s="16">
        <f>IF(ISNA(VLOOKUP(A148,'Données projet'!$A$253:$I$273,5,0)),0%,VLOOKUP(A148,'Données projet'!$A$253:$I$273,5,0)*VLOOKUP('Données projet'!$B$17,Paramètres!$A$1:$I$89,7,0))</f>
        <v>0</v>
      </c>
      <c r="GJ148" s="16">
        <f>IF(ISNA(VLOOKUP(A148,'Données projet'!$A$253:$I$273,6,0)),0%,VLOOKUP(A148,'Données projet'!$A$253:$I$273,6,0)*VLOOKUP('Données projet'!$B$17,Paramètres!$A$1:$I$89,7,0))</f>
        <v>0</v>
      </c>
      <c r="GK148" s="16">
        <f>IF(ISNA(VLOOKUP(A148,'Données projet'!$A$253:$I$273,7,0)),0%,VLOOKUP(A148,'Données projet'!$A$253:$I$273,7,0))</f>
        <v>0</v>
      </c>
      <c r="GL148" s="21">
        <f>EXP(-LN(2)/35)*GL147+(1-EXP(-LN(2)/35))/(LN(2)/35)*GH148*GI148*VLOOKUP('Données projet'!$B$17,Paramètres!$A$1:$I$89,3,0)*0.475*44/12</f>
        <v>34.011588552264882</v>
      </c>
      <c r="GM148" s="21">
        <f>EXP(-LN(2)/25)*GM147+(1-EXP(-LN(2)/25))/(LN(2)/25)*Calculateur!GH148*Calculateur!GJ148*VLOOKUP('Données projet'!$B$17,Paramètres!$A$1:$I$89,3,0)*0.475*44/12</f>
        <v>3.5918833728892956</v>
      </c>
      <c r="GN148" s="21">
        <f>EXP(-LN(2)/2)*GN147+(1-EXP(-LN(2)/2))/(LN(2)/2)*GH148*GK148*VLOOKUP('Données projet'!$B$17,Paramètres!$A$1:$I$89,3,0)*0.475*44/12</f>
        <v>0</v>
      </c>
      <c r="GO148" s="21">
        <f t="shared" si="250"/>
        <v>37.603471925154182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projet'!$A$279:$I$299,2,0)</f>
        <v>#N/A</v>
      </c>
      <c r="GS148" s="12" t="e">
        <f>VLOOKUP(A148,'Données projet'!$A$279:$I$299,9,0)</f>
        <v>#N/A</v>
      </c>
      <c r="GT148" s="12">
        <f t="array" ref="GT148">INDEX(GS:GS,MIN(IF(ISNUMBER(GS148:GS344),ROW(GS148:GS344),"")))</f>
        <v>0</v>
      </c>
      <c r="GU148" s="12">
        <f>IF('Données projet'!$A$280&gt;35,GU147+GT148-HC147,IF(A148&lt;'Données projet'!$A$280,$GR$205^A148,IF(A148='Données projet'!$A$280,'Données projet'!$B$280,GU147+GT148-HC147)))</f>
        <v>-1.1368683772161603E-13</v>
      </c>
      <c r="GV148" s="17">
        <f>GU148*VLOOKUP('Données projet'!$B$18,Paramètres!$A$1:$I$89,3,0)*VLOOKUP('Données projet'!$B$18,Paramètres!$A$1:$I$89,5,0)</f>
        <v>-4.5815795601811263E-14</v>
      </c>
      <c r="GW148" s="13" t="e">
        <f t="shared" si="304"/>
        <v>#NUM!</v>
      </c>
      <c r="GX148" s="20" t="e">
        <f t="shared" si="251"/>
        <v>#NUM!</v>
      </c>
      <c r="GY148" s="59" t="e">
        <f t="shared" si="252"/>
        <v>#NUM!</v>
      </c>
      <c r="GZ148" s="59">
        <f ca="1">AVERAGE(OFFSET($GY$3,0,0,'Données projet'!$E$18+1,1))-AVERAGE(OFFSET($H$3,0,0,'Données projet'!$E$18+1,1))</f>
        <v>324.36162935850876</v>
      </c>
      <c r="HA148" s="59">
        <f t="shared" si="305"/>
        <v>265.23571072429735</v>
      </c>
      <c r="HB148" s="15">
        <f>IF(ISNA(VLOOKUP(A148,'Données projet'!$A$279:$I$299,3,0)),0,VLOOKUP(A148,'Données projet'!$A$279:$I$299,3,0))</f>
        <v>0</v>
      </c>
      <c r="HC148" s="15">
        <f>IF(ISNA(VLOOKUP(A148,'Données projet'!$A$279:$I$299,4,0)),0,VLOOKUP(A148,'Données projet'!$A$279:$I$299,4,0))</f>
        <v>0</v>
      </c>
      <c r="HD148" s="16">
        <f>IF(ISNA(VLOOKUP(A148,'Données projet'!$A$279:$I$299,5,0)),0%,VLOOKUP(A148,'Données projet'!$A$279:$I$299,5,0)*VLOOKUP('Données projet'!$B$18,Paramètres!$A$1:$I$89,7,0))</f>
        <v>0</v>
      </c>
      <c r="HE148" s="16">
        <f>IF(ISNA(VLOOKUP(A148,'Données projet'!$A$279:$I$299,6,0)),0%,VLOOKUP(A148,'Données projet'!$A$279:$I$299,6,0)*VLOOKUP('Données projet'!$B$18,Paramètres!$A$1:$I$89,7,0))</f>
        <v>0</v>
      </c>
      <c r="HF148" s="16">
        <f>IF(ISNA(VLOOKUP($A148,'Données projet'!$A$279:$I$299,7,0)),0%,VLOOKUP($A148,'Données projet'!$A$279:$I$299,7,0))</f>
        <v>0</v>
      </c>
      <c r="HG148" s="21">
        <f>EXP(-LN(2)/35)*HG147+(1-EXP(-LN(2)/35))/(LN(2)/35)*HC148*HD148*VLOOKUP('Données projet'!$B$18,Paramètres!$A$1:$I$89,3,0)*0.475*44/12</f>
        <v>65.175094935150469</v>
      </c>
      <c r="HH148" s="21">
        <f>EXP(-LN(2)/25)*HH147+(1-EXP(-LN(2)/25))/(LN(2)/25)*Calculateur!HC148*Calculateur!HE148*VLOOKUP('Données projet'!$B$18,Paramètres!$A$1:$I$89,3,0)*0.475*44/12</f>
        <v>3.9948167766602394</v>
      </c>
      <c r="HI148" s="21">
        <f>EXP(-LN(2)/2)*HI147+(1-EXP(-LN(2)/2))/(LN(2)/2)*HC148*HF148*VLOOKUP('Données projet'!$B$18,Paramètres!$A$1:$I$89,3,0)*0.475*44/12</f>
        <v>1.4071795031721813E-9</v>
      </c>
      <c r="HJ148" s="22">
        <f t="shared" si="253"/>
        <v>69.169911713217886</v>
      </c>
      <c r="HK148" s="74">
        <f>('Scénario référence'!$F$8+'Scénario référence'!$F$9+'Scénario référence'!$B$17+'Scénario référence'!$B$9+'Scénario référence'!$B$10)*70+IF((45+25*(1-EXP(-0.0175*$A148)))&lt;70,'Scénario référence'!$B$16*(45+25*(1-EXP(-0.0175*$A148))),70*'Scénario référence'!$B$16)+IF((32+38*(1-EXP(-0.0175*$A148)))&lt;70,'Scénario référence'!$B$18*(32+38*(1-EXP(-0.0175*$A148))),70*'Scénario référence'!$B$18)</f>
        <v>70</v>
      </c>
      <c r="HL148" s="12">
        <f>IF($A148&gt;30,10,('Scénario référence'!$B$16+'Scénario référence'!$B$17+'Scénario référence'!$B$18+'Scénario référence'!$B$9+'Scénario référence'!$B$10)*$A148*10/30+('Scénario référence'!$F$8+'Scénario référence'!$F$9)*10)</f>
        <v>10</v>
      </c>
      <c r="HM148" s="12" t="e">
        <f>VLOOKUP($A148,'Données projet'!$A$304:$I$324,2,0)</f>
        <v>#N/A</v>
      </c>
      <c r="HN148" s="12" t="e">
        <f>VLOOKUP($A148,'Données projet'!$A$304:$I$324,9,0)</f>
        <v>#N/A</v>
      </c>
      <c r="HO148" s="12">
        <f t="array" ref="HO148">INDEX(HN:HN,MIN(IF(ISNUMBER(HN148:HN344),ROW(HN148:HN344),"")))</f>
        <v>0</v>
      </c>
      <c r="HP148" s="12">
        <f>IF('Données projet'!$A$304&gt;35,HP147+HO148-HX147,IF($A148&lt;'Données projet'!$A$304,$CQ$205^$A148,IF($A148='Données projet'!$A$304,'Données projet'!$B$304,HP147+HO148-HX147)))</f>
        <v>0</v>
      </c>
      <c r="HQ148" s="17">
        <f>HP148*VLOOKUP('Données projet'!$B$19,Paramètres!$A$1:$I$89,3,0)*VLOOKUP('Données projet'!$B$19,Paramètres!$A$1:$I$89,5,0)</f>
        <v>0</v>
      </c>
      <c r="HR148" s="13" t="e">
        <f t="shared" si="306"/>
        <v>#NUM!</v>
      </c>
      <c r="HS148" s="14" t="e">
        <f t="shared" si="254"/>
        <v>#NUM!</v>
      </c>
      <c r="HT148" s="59" t="e">
        <f t="shared" si="255"/>
        <v>#NUM!</v>
      </c>
      <c r="HU148" s="59">
        <f ca="1">AVERAGE(OFFSET(HT$3,0,0,'Données projet'!$E$19+1,1))-AVERAGE(OFFSET($H$3,0,0,'Données projet'!$E$19+1,1))</f>
        <v>91.60721429656013</v>
      </c>
      <c r="HV148" s="59">
        <f t="shared" si="307"/>
        <v>258.94957804210856</v>
      </c>
      <c r="HW148" s="15">
        <f>IF(ISNA(VLOOKUP($A148,'Données projet'!$A$304:$I$324,3,0)),0,VLOOKUP($A148,'Données projet'!$A$304:$I$324,3,0))</f>
        <v>0</v>
      </c>
      <c r="HX148" s="15">
        <f>IF(ISNA(VLOOKUP($A148,'Données projet'!$A$304:$I$324,4,0)),0,VLOOKUP($A148,'Données projet'!$A$304:$I$324,4,0))</f>
        <v>0</v>
      </c>
      <c r="HY148" s="16">
        <f>IF(ISNA(VLOOKUP($A148,'Données projet'!$A$304:$I$324,5,0)),0%,VLOOKUP($A148,'Données projet'!$A$304:$I$324,5,0)*VLOOKUP('Données projet'!$B$19,Paramètres!$A$1:$I$89,7,0))</f>
        <v>0</v>
      </c>
      <c r="HZ148" s="16">
        <f>IF(ISNA(VLOOKUP($A148,'Données projet'!$A$304:$I$324,6,0)),0%,VLOOKUP($A148,'Données projet'!$A$304:$I$324,6,0)*VLOOKUP('Données projet'!$B$19,Paramètres!$A$1:$I$89,7,0))</f>
        <v>0</v>
      </c>
      <c r="IA148" s="16">
        <f>IF(ISNA(VLOOKUP($A148,'Données projet'!$A$304:$I$324,7,0)),0%,VLOOKUP($A148,'Données projet'!$A$304:$I$324,7,0))</f>
        <v>0</v>
      </c>
      <c r="IB148" s="21">
        <f>EXP(-LN(2)/35)*IB147+(1-EXP(-LN(2)/35))/(LN(2)/35)*HX148*HY148*VLOOKUP('Données projet'!$B$19,Paramètres!$A$1:$I$89,3,0)*0.475*44/12</f>
        <v>5.0586702354895881</v>
      </c>
      <c r="IC148" s="21">
        <f>EXP(-LN(2)/25)*IC147+(1-EXP(-LN(2)/25))/(LN(2)/25)*Calculateur!HX148*Calculateur!HZ148*VLOOKUP('Données projet'!$B$19,Paramètres!$A$1:$I$89,3,0)*0.475*44/12</f>
        <v>0.40111913446884756</v>
      </c>
      <c r="ID148" s="21">
        <f>EXP(-LN(2)/2)*ID147+(1-EXP(-LN(2)/2))/(LN(2)/2)*HX148*IA148*VLOOKUP('Données projet'!$B$19,Paramètres!$A$1:$I$89,3,0)*0.475*44/12</f>
        <v>2.8107221706524566E-18</v>
      </c>
      <c r="IE148" s="22">
        <f t="shared" si="256"/>
        <v>5.4597893699584352</v>
      </c>
      <c r="IF148" s="74">
        <f>('Scénario référence'!$F$8+'Scénario référence'!$F$9+'Scénario référence'!$B$17+'Scénario référence'!$B$9+'Scénario référence'!$B$10)*70+IF((45+25*(1-EXP(-0.0175*$A148)))&lt;70,'Scénario référence'!$B$16*(45+25*(1-EXP(-0.0175*$A148))),70*'Scénario référence'!$B$16)+IF((32+38*(1-EXP(-0.0175*$A148)))&lt;70,'Scénario référence'!$B$18*(32+38*(1-EXP(-0.0175*$A148))),70*'Scénario référence'!$B$18)</f>
        <v>70</v>
      </c>
      <c r="IG148" s="12">
        <f>IF($A148&gt;30,10,('Scénario référence'!$B$16+'Scénario référence'!$B$17+'Scénario référence'!$B$18+'Scénario référence'!$B$9+'Scénario référence'!$B$10)*$A148*10/30+('Scénario référence'!$F$8+'Scénario référence'!$F$9)*10)</f>
        <v>10</v>
      </c>
      <c r="IH148" s="12" t="e">
        <f>VLOOKUP($A148,'Données projet'!$A$330:$I$350,2,0)</f>
        <v>#N/A</v>
      </c>
      <c r="II148" s="12" t="e">
        <f>VLOOKUP($A148,'Données projet'!$A$330:$I$350,9,0)</f>
        <v>#N/A</v>
      </c>
      <c r="IJ148" s="12">
        <f t="array" ref="IJ148">INDEX(II:II,MIN(IF(ISNUMBER(II148:II344),ROW(II148:II344),"")))</f>
        <v>0</v>
      </c>
      <c r="IK148" s="12">
        <f>IF('Données projet'!$A$330&gt;35,IK147+IJ148-IS147,IF($A148&lt;'Données projet'!$A$330,$CQ$205^$A148,IF($A148='Données projet'!$A$330,'Données projet'!$B$330,IK147+IJ148-IS147)))</f>
        <v>0</v>
      </c>
      <c r="IL148" s="17">
        <f>IK148*VLOOKUP('Données projet'!$B$20,Paramètres!$A$1:$I$89,3,0)*VLOOKUP('Données projet'!$B$20,Paramètres!$A$1:$I$89,5,0)</f>
        <v>0</v>
      </c>
      <c r="IM148" s="13" t="e">
        <f t="shared" si="308"/>
        <v>#NUM!</v>
      </c>
      <c r="IN148" s="20" t="e">
        <f t="shared" si="257"/>
        <v>#NUM!</v>
      </c>
      <c r="IO148" s="59" t="e">
        <f t="shared" si="258"/>
        <v>#NUM!</v>
      </c>
      <c r="IP148" s="59">
        <f ca="1">AVERAGE(OFFSET(IO$3,0,0,'Données projet'!$E$20+1,1))-AVERAGE(OFFSET($H$3,0,0,'Données projet'!$E$20+1,1))</f>
        <v>91.60721429656013</v>
      </c>
      <c r="IQ148" s="59">
        <f t="shared" si="309"/>
        <v>258.94957804210856</v>
      </c>
      <c r="IR148" s="15">
        <f>IF(ISNA(VLOOKUP($A148,'Données projet'!$A$330:$I$350,3,0)),0,VLOOKUP($A148,'Données projet'!$A$330:$I$350,3,0))</f>
        <v>0</v>
      </c>
      <c r="IS148" s="15">
        <f>IF(ISNA(VLOOKUP($A148,'Données projet'!$A$330:$I$350,4,0)),0,VLOOKUP($A148,'Données projet'!$A$330:$I$350,4,0))</f>
        <v>0</v>
      </c>
      <c r="IT148" s="16">
        <f>IF(ISNA(VLOOKUP($A148,'Données projet'!$A$330:$I$350,5,0)),0%,VLOOKUP($A148,'Données projet'!$A$330:$I$350,5,0)*VLOOKUP('Données projet'!$B$20,Paramètres!$A$1:$I$89,7,0))</f>
        <v>0</v>
      </c>
      <c r="IU148" s="16">
        <f>IF(ISNA(VLOOKUP($A148,'Données projet'!$A$330:$I$350,6,0)),0%,VLOOKUP($A148,'Données projet'!$A$330:$I$350,6,0)*VLOOKUP('Données projet'!$B$20,Paramètres!$A$1:$I$89,7,0))</f>
        <v>0</v>
      </c>
      <c r="IV148" s="16">
        <f>IF(ISNA(VLOOKUP($A148,'Données projet'!$A$330:$I$350,7,0)),0%,VLOOKUP($A148,'Données projet'!$A$330:$I$350,7,0))</f>
        <v>0</v>
      </c>
      <c r="IW148" s="21">
        <f>EXP(-LN(2)/35)*IW147+(1-EXP(-LN(2)/35))/(LN(2)/35)*IS148*IT148*VLOOKUP('Données projet'!$B$20,Paramètres!$A$1:$I$89,3,0)*0.475*44/12</f>
        <v>5.0586702354895881</v>
      </c>
      <c r="IX148" s="21">
        <f>EXP(-LN(2)/25)*IX147+(1-EXP(-LN(2)/25))/(LN(2)/25)*Calculateur!IS148*Calculateur!IU148*VLOOKUP('Données projet'!$B$20,Paramètres!$A$1:$I$89,3,0)*0.475*44/12</f>
        <v>0.40111913446884756</v>
      </c>
      <c r="IY148" s="21">
        <f>EXP(-LN(2)/2)*IY147+(1-EXP(-LN(2)/2))/(LN(2)/2)*IS148*IV148*VLOOKUP('Données projet'!$B$20,Paramètres!$A$1:$I$89,3,0)*0.475*44/12</f>
        <v>2.8107221706524566E-18</v>
      </c>
      <c r="IZ148" s="22">
        <f t="shared" si="259"/>
        <v>5.4597893699584352</v>
      </c>
      <c r="JA148" s="74">
        <f>('Scénario référence'!$F$8+'Scénario référence'!$F$9+'Scénario référence'!$B$17+'Scénario référence'!$B$9+'Scénario référence'!$B$10)*70+IF((45+25*(1-EXP(-0.0175*$A148)))&lt;70,'Scénario référence'!$B$16*(45+25*(1-EXP(-0.0175*$A148))),70*'Scénario référence'!$B$16)+IF((32+38*(1-EXP(-0.0175*$A148)))&lt;70,'Scénario référence'!$B$18*(32+38*(1-EXP(-0.0175*$A148))),70*'Scénario référence'!$B$18)</f>
        <v>70</v>
      </c>
      <c r="JB148" s="12">
        <f>IF($A148&gt;30,10,('Scénario référence'!$B$16+'Scénario référence'!$B$17+'Scénario référence'!$B$18+'Scénario référence'!$B$9+'Scénario référence'!$B$10)*$A148*10/30+('Scénario référence'!$F$8+'Scénario référence'!$F$9)*10)</f>
        <v>10</v>
      </c>
      <c r="JC148" s="12" t="e">
        <f>VLOOKUP($A148,'Données projet'!$A$356:$I$376,2,0)</f>
        <v>#N/A</v>
      </c>
      <c r="JD148" s="12" t="e">
        <f>VLOOKUP($A148,'Données projet'!$A$356:$I$376,9,0)</f>
        <v>#N/A</v>
      </c>
      <c r="JE148" s="12">
        <f t="array" ref="JE148">INDEX(JD:JD,MIN(IF(ISNUMBER(JD148:JD344),ROW(JD148:JD344),"")))</f>
        <v>1.4</v>
      </c>
      <c r="JF148" s="12">
        <f>IF('Données projet'!$A$356&gt;35,JF147+JE148-JN147,IF($A148&lt;'Données projet'!$A$356,$CQ$205^$A148,IF($A148='Données projet'!$A$356,'Données projet'!$B$356,JF147+JE148-JN147)))</f>
        <v>440.99999999999881</v>
      </c>
      <c r="JG148" s="17">
        <f>JF148*VLOOKUP('Données projet'!$B$21,Paramètres!$A$1:$I$89,3,0)*VLOOKUP('Données projet'!$B$21,Paramètres!$A$1:$I$89,5,0)</f>
        <v>357.73919999999907</v>
      </c>
      <c r="JH148" s="13">
        <f t="shared" si="310"/>
        <v>83.154058764636176</v>
      </c>
      <c r="JI148" s="20">
        <f t="shared" si="260"/>
        <v>767.88909234840628</v>
      </c>
      <c r="JJ148" s="59">
        <f t="shared" si="261"/>
        <v>1061.2224256817397</v>
      </c>
      <c r="JK148" s="59">
        <f ca="1">AVERAGE(OFFSET($JJ$3,0,0,'Données projet'!$E$22+1,1))-AVERAGE(OFFSET($H$3,0,0,'Données projet'!$E$22+1,1))</f>
        <v>353.35574633294613</v>
      </c>
      <c r="JL148" s="59">
        <f t="shared" si="311"/>
        <v>170.36796666474726</v>
      </c>
      <c r="JM148" s="15">
        <f>IF(ISNA(VLOOKUP($A148,'Données projet'!$A$356:$I$376,3,0)),0,VLOOKUP($A148,'Données projet'!$A$356:$I$376,3,0))</f>
        <v>0</v>
      </c>
      <c r="JN148" s="15">
        <f>IF(ISNA(VLOOKUP($A148,'Données projet'!$A$356:$I$376,4,0)),0,VLOOKUP($A148,'Données projet'!$A$356:$I$376,4,0))</f>
        <v>0</v>
      </c>
      <c r="JO148" s="16">
        <f>IF(ISNA(VLOOKUP($A148,'Données projet'!$A$356:$I$376,5,0)),0%,VLOOKUP($A148,'Données projet'!$A$356:$I$376,5,0)*VLOOKUP('Données projet'!$B$21,Paramètres!$A$1:$I$89,7,0))</f>
        <v>0</v>
      </c>
      <c r="JP148" s="16">
        <f>IF(ISNA(VLOOKUP($A148,'Données projet'!$A$356:$I$376,6,0)),0%,VLOOKUP($A148,'Données projet'!$A$356:$I$376,6,0)*VLOOKUP('Données projet'!$B$21,Paramètres!$A$1:$I$89,7,0))</f>
        <v>0</v>
      </c>
      <c r="JQ148" s="16">
        <f>IF(ISNA(VLOOKUP($A148,'Données projet'!$A$356:$I$376,7,0)),0%,VLOOKUP($A148,'Données projet'!$A$356:$I$376,7,0))</f>
        <v>0</v>
      </c>
      <c r="JR148" s="21">
        <f>EXP(-LN(2)/35)*JR147+(1-EXP(-LN(2)/35))/(LN(2)/35)*JN148*JO148*VLOOKUP('Données projet'!$B$21,Paramètres!$A$1:$I$89,3,0)*0.475*44/12</f>
        <v>4.8048327306056846</v>
      </c>
      <c r="JS148" s="21">
        <f>EXP(-LN(2)/25)*JS147+(1-EXP(-LN(2)/25))/(LN(2)/25)*Calculateur!JN148*Calculateur!JP148*VLOOKUP('Données projet'!$B$21,Paramètres!$A$1:$I$89,3,0)*0.475*44/12</f>
        <v>8.7283235149940932</v>
      </c>
      <c r="JT148" s="21">
        <f>EXP(-LN(2)/2)*JT147+(1-EXP(-LN(2)/2))/(LN(2)/2)*JN148*JQ148*VLOOKUP('Données projet'!$B$21,Paramètres!$A$1:$I$89,3,0)*0.475*44/12</f>
        <v>8.4752542189755337E-3</v>
      </c>
      <c r="JU148" s="18">
        <f t="shared" si="262"/>
        <v>13.541631499818752</v>
      </c>
      <c r="JV148" s="74">
        <f>('Scénario référence'!$F$8+'Scénario référence'!$F$9+'Scénario référence'!$B$17+'Scénario référence'!$B$9+'Scénario référence'!$B$10)*70+IF((45+25*(1-EXP(-0.0175*$A148)))&lt;70,'Scénario référence'!$B$16*(45+25*(1-EXP(-0.0175*$A148))),70*'Scénario référence'!$B$16)+IF((32+38*(1-EXP(-0.0175*$A148)))&lt;70,'Scénario référence'!$B$18*(32+38*(1-EXP(-0.0175*$A148))),70*'Scénario référence'!$B$18)</f>
        <v>70</v>
      </c>
      <c r="JW148" s="12">
        <f>IF($A148&gt;30,10,('Scénario référence'!$B$16+'Scénario référence'!$B$17+'Scénario référence'!$B$18+'Scénario référence'!$B$9+'Scénario référence'!$B$10)*$A148*10/30+('Scénario référence'!$F$8+'Scénario référence'!$F$9)*10)</f>
        <v>10</v>
      </c>
      <c r="JX148" s="12" t="e">
        <f>VLOOKUP($A148,'Données projet'!$A$382:$I$402,2,0)</f>
        <v>#N/A</v>
      </c>
      <c r="JY148" s="12" t="e">
        <f>VLOOKUP($A148,'Données projet'!$A$382:$I$402,9,0)</f>
        <v>#N/A</v>
      </c>
      <c r="JZ148" s="12">
        <f t="array" ref="JZ148">INDEX(JY:JY,MIN(IF(ISNUMBER(JY148:JY344),ROW(JY148:JY344),"")))</f>
        <v>0</v>
      </c>
      <c r="KA148" s="12">
        <f>IF('Données projet'!$A$382&gt;35,KA147+JZ148-KI147,IF($A148&lt;'Données projet'!$A$382,$CQ$205^$A148,IF($A148='Données projet'!$A$382,'Données projet'!$B$382,KA147+JZ148-KI147)))</f>
        <v>5.6843418860808015E-13</v>
      </c>
      <c r="KB148" s="17">
        <f>KA148*VLOOKUP('Données projet'!$B$22,Paramètres!$A$1:$I$89,3,0)*VLOOKUP('Données projet'!$B$22,Paramètres!$A$1:$I$89,5,0)</f>
        <v>3.8130565371830017E-13</v>
      </c>
      <c r="KC148" s="13">
        <f t="shared" si="312"/>
        <v>4.9019074112354236E-12</v>
      </c>
      <c r="KD148" s="20">
        <f t="shared" si="263"/>
        <v>9.2015960881277352E-12</v>
      </c>
      <c r="KE148" s="59">
        <f t="shared" si="264"/>
        <v>293.33333333334252</v>
      </c>
      <c r="KF148" s="59">
        <f ca="1">AVERAGE(OFFSET($KE$3,0,0,'Données projet'!$E$22+1,1))-AVERAGE(OFFSET($H$3,0,0,'Données projet'!$E$22+1,1))</f>
        <v>193.91714772848269</v>
      </c>
      <c r="KG148" s="59">
        <f t="shared" si="313"/>
        <v>159.20429420478047</v>
      </c>
      <c r="KH148" s="15">
        <f>IF(ISNA(VLOOKUP($A148,'Données projet'!$A$382:$I$402,3,0)),0,VLOOKUP($A148,'Données projet'!$A$382:$I$402,3,0))</f>
        <v>0</v>
      </c>
      <c r="KI148" s="15">
        <f>IF(ISNA(VLOOKUP($A148,'Données projet'!$A$382:$I$402,4,0)),0,VLOOKUP($A148,'Données projet'!$A$382:$I$402,4,0))</f>
        <v>0</v>
      </c>
      <c r="KJ148" s="16">
        <f>IF(ISNA(VLOOKUP($A148,'Données projet'!$A$382:$I$402,5,0)),0%,VLOOKUP($A148,'Données projet'!$A$382:$I$402,5,0)*VLOOKUP('Données projet'!$B$22,Paramètres!$A$1:$I$89,7,0))</f>
        <v>0</v>
      </c>
      <c r="KK148" s="16">
        <f>IF(ISNA(VLOOKUP($A148,'Données projet'!$A$382:$I$402,6,0)),0%,VLOOKUP($A148,'Données projet'!$A$382:$I$402,6,0)*VLOOKUP('Données projet'!$B$22,Paramètres!$A$1:$I$89,7,0))</f>
        <v>0</v>
      </c>
      <c r="KL148" s="16">
        <f>IF(ISNA(VLOOKUP($A148,'Données projet'!$A$382:$I$402,7,0)),0%,VLOOKUP($A148,'Données projet'!$A$382:$I$402,7,0))</f>
        <v>0</v>
      </c>
      <c r="KM148" s="21">
        <f>EXP(-LN(2)/35)*KM147+(1-EXP(-LN(2)/35))/(LN(2)/35)*KI148*KJ148*VLOOKUP('Données projet'!$B$22,Paramètres!$A$1:$I$89,3,0)*0.475*44/12</f>
        <v>118.41207012159335</v>
      </c>
      <c r="KN148" s="21">
        <f>EXP(-LN(2)/25)*KN147+(1-EXP(-LN(2)/25))/(LN(2)/25)*Calculateur!KI148*Calculateur!KK148*VLOOKUP('Données projet'!$B$22,Paramètres!$A$1:$I$89,3,0)*0.475*44/12</f>
        <v>0</v>
      </c>
      <c r="KO148" s="21">
        <f>EXP(-LN(2)/2)*KO147+(1-EXP(-LN(2)/2))/(LN(2)/2)*KI148*KL148*VLOOKUP('Données projet'!$B$22,Paramètres!$A$1:$I$89,3,0)*0.475*44/12</f>
        <v>0</v>
      </c>
      <c r="KP148" s="22">
        <f t="shared" si="265"/>
        <v>118.41207012159335</v>
      </c>
      <c r="KQ148" s="74">
        <f>('Scénario référence'!$F$8+'Scénario référence'!$F$9+'Scénario référence'!$B$17+'Scénario référence'!$B$9+'Scénario référence'!$B$10)*70+IF((45+25*(1-EXP(-0.0175*$A148)))&lt;70,'Scénario référence'!$B$16*(45+25*(1-EXP(-0.0175*$A148))),70*'Scénario référence'!$B$16)+IF((32+38*(1-EXP(-0.0175*$A148)))&lt;70,'Scénario référence'!$B$18*(32+38*(1-EXP(-0.0175*$A148))),70*'Scénario référence'!$B$18)</f>
        <v>70</v>
      </c>
      <c r="KR148" s="12">
        <f>IF($A148&gt;30,10,('Scénario référence'!$B$16+'Scénario référence'!$B$17+'Scénario référence'!$B$18+'Scénario référence'!$B$9+'Scénario référence'!$B$10)*$A148*10/30+('Scénario référence'!$F$8+'Scénario référence'!$F$9)*10)</f>
        <v>10</v>
      </c>
      <c r="KS148" s="12" t="e">
        <f>VLOOKUP($A148,'Données projet'!$A$408:$I$428,2,0)</f>
        <v>#N/A</v>
      </c>
      <c r="KT148" s="12" t="e">
        <f>VLOOKUP($A148,'Données projet'!$A$408:$I$428,9,0)</f>
        <v>#N/A</v>
      </c>
      <c r="KU148" s="12">
        <f t="array" ref="KU148">INDEX(KT:KT,MIN(IF(ISNUMBER(KT148:KT344),ROW(KT148:KT344),"")))</f>
        <v>0</v>
      </c>
      <c r="KV148" s="12">
        <f>IF('Données projet'!$A$408&gt;35,KV147+KU148-LD147,IF($A148&lt;'Données projet'!$A$408,$CQ$205^$A148,IF($A148='Données projet'!$A$408,'Données projet'!$B$408,KV147+KU148-LD147)))</f>
        <v>-1.1368683772161603E-13</v>
      </c>
      <c r="KW148" s="17">
        <f>KV148*VLOOKUP('Données projet'!$B$23,Paramètres!$A$1:$I$89,3,0)*VLOOKUP('Données projet'!$B$23,Paramètres!$A$1:$I$89,5,0)</f>
        <v>-9.9316821433603781E-14</v>
      </c>
      <c r="KX148" s="13" t="e">
        <f t="shared" si="314"/>
        <v>#NUM!</v>
      </c>
      <c r="KY148" s="14" t="e">
        <f t="shared" si="266"/>
        <v>#NUM!</v>
      </c>
      <c r="KZ148" s="59" t="e">
        <f t="shared" si="267"/>
        <v>#NUM!</v>
      </c>
      <c r="LA148" s="59">
        <f ca="1">AVERAGE(OFFSET($KZ$3,0,0,'Données projet'!$E$23+1,1))-AVERAGE(OFFSET($H$3,0,0,'Données projet'!$E$23+1,1))</f>
        <v>248.33596943633819</v>
      </c>
      <c r="LB148" s="59">
        <f t="shared" si="315"/>
        <v>242.34010522344573</v>
      </c>
      <c r="LC148" s="15">
        <f>IF(ISNA(VLOOKUP($A148,'Données projet'!$A$408:$I$428,3,0)),0,VLOOKUP($A148,'Données projet'!$A$408:$I$428,3,0))</f>
        <v>0</v>
      </c>
      <c r="LD148" s="15">
        <f>IF(ISNA(VLOOKUP($A148,'Données projet'!$A$408:$I$428,4,0)),0,VLOOKUP($A148,'Données projet'!$A$408:$I$428,4,0))</f>
        <v>0</v>
      </c>
      <c r="LE148" s="16">
        <f>IF(ISNA(VLOOKUP($A148,'Données projet'!$A$408:$I$428,5,0)),0%,VLOOKUP($A148,'Données projet'!$A$408:$I$428,5,0)*VLOOKUP('Données projet'!$B$23,Paramètres!$A$1:$I$89,7,0))</f>
        <v>0</v>
      </c>
      <c r="LF148" s="16">
        <f>IF(ISNA(VLOOKUP($A148,'Données projet'!$A$408:$I$428,6,0)),0%,VLOOKUP($A148,'Données projet'!$A$408:$I$428,6,0)*VLOOKUP('Données projet'!$B$23,Paramètres!$A$1:$I$89,7,0))</f>
        <v>0</v>
      </c>
      <c r="LG148" s="16">
        <f>IF(ISNA(VLOOKUP($A148,'Données projet'!$A$408:$I$428,7,0)),0%,VLOOKUP($A148,'Données projet'!$A$408:$I$428,7,0))</f>
        <v>0</v>
      </c>
      <c r="LH148" s="21">
        <f>EXP(-LN(2)/35)*LH147+(1-EXP(-LN(2)/35))/(LN(2)/35)*LD148*LE148*VLOOKUP('Données projet'!$B$23,Paramètres!$A$1:$I$89,3,0)*0.475*44/12</f>
        <v>34.011588552264882</v>
      </c>
      <c r="LI148" s="21">
        <f>EXP(-LN(2)/25)*LI147+(1-EXP(-LN(2)/25))/(LN(2)/25)*Calculateur!LD148*Calculateur!LF148*VLOOKUP('Données projet'!$B$23,Paramètres!$A$1:$I$89,3,0)*0.475*44/12</f>
        <v>3.5918833728892956</v>
      </c>
      <c r="LJ148" s="21">
        <f>EXP(-LN(2)/2)*LJ147+(1-EXP(-LN(2)/2))/(LN(2)/2)*LD148*LG148*VLOOKUP('Données projet'!$B$23,Paramètres!$A$1:$I$89,3,0)*0.475*44/12</f>
        <v>0</v>
      </c>
      <c r="LK148" s="22">
        <f t="shared" si="268"/>
        <v>37.603471925154182</v>
      </c>
      <c r="LL148" s="74">
        <f>('Scénario référence'!$F$8+'Scénario référence'!$F$9+'Scénario référence'!$B$17+'Scénario référence'!$B$9+'Scénario référence'!$B$10)*70+IF((45+25*(1-EXP(-0.0175*$A148)))&lt;70,'Scénario référence'!$B$16*(45+25*(1-EXP(-0.0175*$A148))),70*'Scénario référence'!$B$16)+IF((32+38*(1-EXP(-0.0175*$A148)))&lt;70,'Scénario référence'!$B$18*(32+38*(1-EXP(-0.0175*$A148))),70*'Scénario référence'!$B$18)</f>
        <v>70</v>
      </c>
      <c r="LM148" s="12">
        <f>IF($A148&gt;30,10,('Scénario référence'!$B$16+'Scénario référence'!$B$17+'Scénario référence'!$B$18+'Scénario référence'!$B$9+'Scénario référence'!$B$10)*$A148*10/30+('Scénario référence'!$F$8+'Scénario référence'!$F$9)*10)</f>
        <v>10</v>
      </c>
      <c r="LN148" s="12" t="e">
        <f>VLOOKUP($A148,'Données projet'!$A$434:$I$454,2,0)</f>
        <v>#N/A</v>
      </c>
      <c r="LO148" s="12" t="e">
        <f>VLOOKUP($A148,'Données projet'!$A$434:$I$454,9,0)</f>
        <v>#N/A</v>
      </c>
      <c r="LP148" s="12">
        <f t="array" ref="LP148">INDEX(LO:LO,MIN(IF(ISNUMBER(LO148:LO344),ROW(LO148:LO344),"")))</f>
        <v>5.1063034188034209</v>
      </c>
      <c r="LQ148" s="12">
        <f>IF('Données projet'!$A$434&gt;35,LQ147+LP148-LY147,IF($A148&lt;'Données projet'!$A$434,$CQ$205^$A148,IF($A148='Données projet'!$A$434,'Données projet'!$B$434,LQ147+LP148-LY147)))</f>
        <v>282.76068376068332</v>
      </c>
      <c r="LR148" s="17">
        <f>LQ148*VLOOKUP('Données projet'!$B$24,Paramètres!$A$1:$I$89,3,0)*VLOOKUP('Données projet'!$B$24,Paramètres!$A$1:$I$89,5,0)</f>
        <v>286.71933333333288</v>
      </c>
      <c r="LS148" s="13">
        <f t="shared" si="316"/>
        <v>68.38503141894958</v>
      </c>
      <c r="LT148" s="14">
        <f t="shared" si="269"/>
        <v>618.47343527689191</v>
      </c>
      <c r="LU148" s="59">
        <f t="shared" si="270"/>
        <v>911.80676861022516</v>
      </c>
      <c r="LV148" s="59">
        <f ca="1">AVERAGE(OFFSET($LU$3,0,0,'Données projet'!$E$24+1,1))-AVERAGE(OFFSET($H$3,0,0,'Données projet'!$E$24+1,1))</f>
        <v>260.52627655062872</v>
      </c>
      <c r="LW148" s="59">
        <f t="shared" si="317"/>
        <v>159.20429420478047</v>
      </c>
      <c r="LX148" s="15">
        <f>IF(ISNA(VLOOKUP($A148,'Données projet'!$A$434:$I$454,3,0)),0,VLOOKUP($A148,'Données projet'!$A$434:$I$454,3,0))</f>
        <v>0</v>
      </c>
      <c r="LY148" s="15">
        <f>IF(ISNA(VLOOKUP($A148,'Données projet'!$A$434:$I$454,4,0)),0,VLOOKUP($A148,'Données projet'!$A$434:$I$454,4,0))</f>
        <v>0</v>
      </c>
      <c r="LZ148" s="16">
        <f>IF(ISNA(VLOOKUP($A148,'Données projet'!$A$434:$I$454,5,0)),0%,VLOOKUP($A148,'Données projet'!$A$434:$I$454,5,0)*VLOOKUP('Données projet'!$B$24,Paramètres!$A$1:$I$89,7,0))</f>
        <v>0</v>
      </c>
      <c r="MA148" s="16">
        <f>IF(ISNA(VLOOKUP($A148,'Données projet'!$A$434:$I$454,6,0)),0%,VLOOKUP($A148,'Données projet'!$A$434:$I$454,6,0)*VLOOKUP('Données projet'!$B$24,Paramètres!$A$1:$I$89,7,0))</f>
        <v>0</v>
      </c>
      <c r="MB148" s="16">
        <f>IF(ISNA(VLOOKUP($A148,'Données projet'!$A$434:$I$454,7,0)),0%,VLOOKUP($A148,'Données projet'!$A$434:$I$454,7,0))</f>
        <v>0</v>
      </c>
      <c r="MC148" s="21">
        <f>EXP(-LN(2)/35)*MC147+(1-EXP(-LN(2)/35))/(LN(2)/35)*LY148*LZ148*VLOOKUP('Données projet'!$B$24,Paramètres!$A$1:$I$89,3,0)*0.475*44/12</f>
        <v>46.897392020705119</v>
      </c>
      <c r="MD148" s="21">
        <f>EXP(-LN(2)/25)*MD147+(1-EXP(-LN(2)/25))/(LN(2)/25)*Calculateur!LY148*Calculateur!MA148*VLOOKUP('Données projet'!$B$24,Paramètres!$A$1:$I$89,3,0)*0.475*44/12</f>
        <v>0</v>
      </c>
      <c r="ME148" s="21">
        <f>EXP(-LN(2)/2)*ME147+(1-EXP(-LN(2)/2))/(LN(2)/2)*LY148*MB148*VLOOKUP('Données projet'!$B$24,Paramètres!$A$1:$I$89,3,0)*0.475*44/12</f>
        <v>0</v>
      </c>
      <c r="MF148" s="22">
        <f t="shared" si="271"/>
        <v>46.897392020705119</v>
      </c>
      <c r="MG148" s="74">
        <f>('Scénario référence'!$F$8+'Scénario référence'!$F$9+'Scénario référence'!$B$17+'Scénario référence'!$B$9+'Scénario référence'!$B$10)*70+IF((45+25*(1-EXP(-0.0175*$A148)))&lt;70,'Scénario référence'!$B$16*(45+25*(1-EXP(-0.0175*$A148))),70*'Scénario référence'!$B$16)+IF((32+38*(1-EXP(-0.0175*$A148)))&lt;70,'Scénario référence'!$B$18*(32+38*(1-EXP(-0.0175*$A148))),70*'Scénario référence'!$B$18)</f>
        <v>70</v>
      </c>
      <c r="MH148" s="12">
        <f>IF($A148&gt;30,10,('Scénario référence'!$B$16+'Scénario référence'!$B$17+'Scénario référence'!$B$18+'Scénario référence'!$B$9+'Scénario référence'!$B$10)*$A148*10/30+('Scénario référence'!$F$8+'Scénario référence'!$F$9)*10)</f>
        <v>10</v>
      </c>
      <c r="MI148" s="12" t="e">
        <f>VLOOKUP($A148,'Données projet'!$A$460:$I$480,2,0)</f>
        <v>#N/A</v>
      </c>
      <c r="MJ148" s="12" t="e">
        <f>VLOOKUP($A148,'Données projet'!$A$460:$I$480,9,0)</f>
        <v>#N/A</v>
      </c>
      <c r="MK148" s="12">
        <f t="array" ref="MK148">INDEX(MJ:MJ,MIN(IF(ISNUMBER(MJ148:MJ344),ROW(MJ148:MJ344),"")))</f>
        <v>0</v>
      </c>
      <c r="ML148" s="12">
        <f>IF('Données projet'!$A$460&gt;35,ML147+MK148-MT147,IF($A148&lt;'Données projet'!$A$460,$CQ$205^$A148,IF($A148='Données projet'!$A$460,'Données projet'!$B$460,ML147+MK148-MT147)))</f>
        <v>0</v>
      </c>
      <c r="MM148" s="17" t="e">
        <f>ML148*VLOOKUP('Données projet'!$B$25,Paramètres!$A$1:$I$89,3,0)*VLOOKUP('Données projet'!$B$25,Paramètres!$A$1:$I$89,5,0)</f>
        <v>#N/A</v>
      </c>
      <c r="MN148" s="13" t="e">
        <f t="shared" si="318"/>
        <v>#N/A</v>
      </c>
      <c r="MO148" s="14" t="e">
        <f t="shared" si="272"/>
        <v>#N/A</v>
      </c>
      <c r="MP148" s="59" t="e">
        <f t="shared" si="273"/>
        <v>#N/A</v>
      </c>
      <c r="MQ148" s="20" t="e">
        <f ca="1">AVERAGE(OFFSET($MP$3,0,0,'Données projet'!$E$25+1,1))-AVERAGE(OFFSET($H$3,0,0,'Données projet'!$E$25+1,1))</f>
        <v>#N/A</v>
      </c>
      <c r="MR148" s="59" t="e">
        <f t="shared" si="319"/>
        <v>#N/A</v>
      </c>
      <c r="MS148" s="15">
        <f>IF(ISNA(VLOOKUP($A148,'Données projet'!$A$460:$I$480,3,0)),0,VLOOKUP($A148,'Données projet'!$A$460:$I$480,3,0))</f>
        <v>0</v>
      </c>
      <c r="MT148" s="15">
        <f>IF(ISNA(VLOOKUP($A148,'Données projet'!$A$460:$I$480,4,0)),0,VLOOKUP($A148,'Données projet'!$A$460:$I$480,4,0))</f>
        <v>0</v>
      </c>
      <c r="MU148" s="16">
        <f>IF(ISNA(VLOOKUP($A148,'Données projet'!$A$460:$I$480,5,0)),0%,VLOOKUP($A148,'Données projet'!$A$460:$I$480,5,0)*VLOOKUP('Données projet'!$B$25,Paramètres!$A$1:$I$89,7,0))</f>
        <v>0</v>
      </c>
      <c r="MV148" s="16">
        <f>IF(ISNA(VLOOKUP($A148,'Données projet'!$A$460:$I$480,6,0)),0%,VLOOKUP($A148,'Données projet'!$A$460:$I$480,6,0)*VLOOKUP('Données projet'!$B$25,Paramètres!$A$1:$I$89,7,0))</f>
        <v>0</v>
      </c>
      <c r="MW148" s="16">
        <f>IF(ISNA(VLOOKUP($A148,'Données projet'!$A$460:$I$480,7,0)),0%,VLOOKUP($A148,'Données projet'!$A$460:$I$480,7,0))</f>
        <v>0</v>
      </c>
      <c r="MX148" s="21" t="e">
        <f>EXP(-LN(2)/35)*MX147+(1-EXP(-LN(2)/35))/(LN(2)/35)*MT148*MU148*VLOOKUP('Données projet'!$B$25,Paramètres!$A$1:$I$89,3,0)*0.475*44/12</f>
        <v>#N/A</v>
      </c>
      <c r="MY148" s="21" t="e">
        <f>EXP(-LN(2)/25)*MY147+(1-EXP(-LN(2)/25))/(LN(2)/25)*Calculateur!MT148*Calculateur!MV148*VLOOKUP('Données projet'!$B$25,Paramètres!$A$1:$I$89,3,0)*0.475*44/12</f>
        <v>#N/A</v>
      </c>
      <c r="MZ148" s="21" t="e">
        <f>EXP(-LN(2)/2)*MZ147+(1-EXP(-LN(2)/2))/(LN(2)/2)*MT148*MW148*VLOOKUP('Données projet'!$B$25,Paramètres!$A$1:$I$89,3,0)*0.475*44/12</f>
        <v>#N/A</v>
      </c>
      <c r="NA148" s="22" t="e">
        <f t="shared" si="274"/>
        <v>#N/A</v>
      </c>
      <c r="NB148" s="74">
        <f>('Scénario référence'!$F$8+'Scénario référence'!$F$9+'Scénario référence'!$B$17+'Scénario référence'!$B$9+'Scénario référence'!$B$10)*70+IF((45+25*(1-EXP(-0.0175*$A148)))&lt;70,'Scénario référence'!$B$16*(45+25*(1-EXP(-0.0175*$A148))),70*'Scénario référence'!$B$16)+IF((32+38*(1-EXP(-0.0175*$A148)))&lt;70,'Scénario référence'!$B$18*(32+38*(1-EXP(-0.0175*$A148))),70*'Scénario référence'!$B$18)</f>
        <v>70</v>
      </c>
      <c r="NC148" s="12">
        <f>IF($A148&gt;30,10,('Scénario référence'!$B$16+'Scénario référence'!$B$17+'Scénario référence'!$B$18+'Scénario référence'!$B$9+'Scénario référence'!$B$10)*$A148*10/30+('Scénario référence'!$F$8+'Scénario référence'!$F$9)*10)</f>
        <v>10</v>
      </c>
      <c r="ND148" s="12" t="e">
        <f>VLOOKUP($A148,'Données projet'!$A$486:$I$506,2,0)</f>
        <v>#N/A</v>
      </c>
      <c r="NE148" s="12" t="e">
        <f>VLOOKUP($A148,'Données projet'!$A$486:$I$506,9,0)</f>
        <v>#N/A</v>
      </c>
      <c r="NF148" s="12">
        <f t="array" ref="NF148">INDEX(NE:NE,MIN(IF(ISNUMBER(NE148:NE344),ROW(NE148:NE344),"")))</f>
        <v>0</v>
      </c>
      <c r="NG148" s="12">
        <f>IF('Données projet'!$A$486&gt;35,NG147+NF148-NO147,IF($A148&lt;'Données projet'!$A$486,$CQ$205^$A148,IF($A148='Données projet'!$A$486,'Données projet'!$B$486,NG147+NF148-NO147)))</f>
        <v>0</v>
      </c>
      <c r="NH148" s="17" t="e">
        <f>NG148*VLOOKUP('Données projet'!$B$26,Paramètres!$A$1:$I$89,3,0)*VLOOKUP('Données projet'!$B$26,Paramètres!$A$1:$I$89,5,0)</f>
        <v>#N/A</v>
      </c>
      <c r="NI148" s="13" t="e">
        <f t="shared" si="320"/>
        <v>#N/A</v>
      </c>
      <c r="NJ148" s="14" t="e">
        <f t="shared" si="275"/>
        <v>#N/A</v>
      </c>
      <c r="NK148" s="59" t="e">
        <f t="shared" si="276"/>
        <v>#N/A</v>
      </c>
      <c r="NL148" s="20" t="e">
        <f ca="1">AVERAGE(OFFSET($NK$3,0,0,'Données projet'!$E$26+1,1))-AVERAGE(OFFSET($H$3,0,0,'Données projet'!$E$26+1,1))</f>
        <v>#N/A</v>
      </c>
      <c r="NM148" s="59" t="e">
        <f t="shared" si="321"/>
        <v>#N/A</v>
      </c>
      <c r="NN148" s="15">
        <f>IF(ISNA(VLOOKUP($A148,'Données projet'!$A$486:$I$506,3,0)),0,VLOOKUP($A148,'Données projet'!$A$486:$I$506,3,0))</f>
        <v>0</v>
      </c>
      <c r="NO148" s="15">
        <f>IF(ISNA(VLOOKUP($A148,'Données projet'!$A$486:$I$506,4,0)),0,VLOOKUP($A148,'Données projet'!$A$486:$I$506,4,0))</f>
        <v>0</v>
      </c>
      <c r="NP148" s="16">
        <f>IF(ISNA(VLOOKUP($A148,'Données projet'!$A$486:$I$506,5,0)),0%,VLOOKUP($A148,'Données projet'!$A$486:$I$506,5,0)*VLOOKUP('Données projet'!$B$26,Paramètres!$A$1:$I$89,7,0))</f>
        <v>0</v>
      </c>
      <c r="NQ148" s="16">
        <f>IF(ISNA(VLOOKUP($A148,'Données projet'!$A$486:$I$506,6,0)),0%,VLOOKUP($A148,'Données projet'!$A$486:$I$506,6,0)*VLOOKUP('Données projet'!$B$26,Paramètres!$A$1:$I$89,7,0))</f>
        <v>0</v>
      </c>
      <c r="NR148" s="16">
        <f>IF(ISNA(VLOOKUP($A148,'Données projet'!$A$486:$I$506,7,0)),0%,VLOOKUP($A148,'Données projet'!$A$486:$I$506,7,0))</f>
        <v>0</v>
      </c>
      <c r="NS148" s="21" t="e">
        <f>EXP(-LN(2)/35)*NS147+(1-EXP(-LN(2)/35))/(LN(2)/35)*NO148*NP148*VLOOKUP('Données projet'!$B$26,Paramètres!$A$1:$I$89,3,0)*0.475*44/12</f>
        <v>#N/A</v>
      </c>
      <c r="NT148" s="21" t="e">
        <f>EXP(-LN(2)/25)*NT147+(1-EXP(-LN(2)/25))/(LN(2)/25)*Calculateur!NO148*Calculateur!NQ148*VLOOKUP('Données projet'!$B$26,Paramètres!$A$1:$I$89,3,0)*0.475*44/12</f>
        <v>#N/A</v>
      </c>
      <c r="NU148" s="21" t="e">
        <f>EXP(-LN(2)/2)*NU147+(1-EXP(-LN(2)/2))/(LN(2)/2)*NO148*NR148*VLOOKUP('Données projet'!$B$26,Paramètres!$A$1:$I$89,3,0)*0.475*44/12</f>
        <v>#N/A</v>
      </c>
      <c r="NV148" s="22" t="e">
        <f t="shared" si="277"/>
        <v>#N/A</v>
      </c>
      <c r="NW148" s="74">
        <f>('Scénario référence'!$F$8+'Scénario référence'!$F$9+'Scénario référence'!$B$17+'Scénario référence'!$B$9+'Scénario référence'!$B$10)*70+IF((45+25*(1-EXP(-0.0175*$A148)))&lt;70,'Scénario référence'!$B$16*(45+25*(1-EXP(-0.0175*$A148))),70*'Scénario référence'!$B$16)+IF((32+38*(1-EXP(-0.0175*$A148)))&lt;70,'Scénario référence'!$B$18*(32+38*(1-EXP(-0.0175*$A148))),70*'Scénario référence'!$B$18)</f>
        <v>70</v>
      </c>
      <c r="NX148" s="12">
        <f>IF($A148&gt;30,10,('Scénario référence'!$B$16+'Scénario référence'!$B$17+'Scénario référence'!$B$18+'Scénario référence'!$B$9+'Scénario référence'!$B$10)*$A148*10/30+('Scénario référence'!$F$8+'Scénario référence'!$F$9)*10)</f>
        <v>10</v>
      </c>
      <c r="NY148" s="12" t="e">
        <f>VLOOKUP($A148,'Données projet'!$A$512:$I$532,2,0)</f>
        <v>#N/A</v>
      </c>
      <c r="NZ148" s="12" t="e">
        <f>VLOOKUP($A148,'Données projet'!$A$512:$I$532,9,0)</f>
        <v>#N/A</v>
      </c>
      <c r="OA148" s="12">
        <f t="array" ref="OA148">INDEX(NZ:NZ,MIN(IF(ISNUMBER(NZ148:NZ344),ROW(NZ148:NZ344),"")))</f>
        <v>0</v>
      </c>
      <c r="OB148" s="12">
        <f>IF('Données projet'!$A$512&gt;35,OB147+OA148-OJ147,IF($A148&lt;'Données projet'!$A$512,$CQ$205^$A148,IF($A148='Données projet'!$A$512,'Données projet'!$B$512,OB147+OA148-OJ147)))</f>
        <v>0</v>
      </c>
      <c r="OC148" s="17" t="e">
        <f>OB148*VLOOKUP('Données projet'!$B$27,Paramètres!$A$1:$I$89,3,0)*VLOOKUP('Données projet'!$B$27,Paramètres!$A$1:$I$89,5,0)</f>
        <v>#N/A</v>
      </c>
      <c r="OD148" s="13" t="e">
        <f t="shared" si="322"/>
        <v>#N/A</v>
      </c>
      <c r="OE148" s="14" t="e">
        <f t="shared" si="278"/>
        <v>#N/A</v>
      </c>
      <c r="OF148" s="59" t="e">
        <f t="shared" si="279"/>
        <v>#N/A</v>
      </c>
      <c r="OG148" s="20" t="e">
        <f ca="1">AVERAGE(OFFSET($OF$3,0,0,'Données projet'!$E$27+1,1))-AVERAGE(OFFSET($H$3,0,0,'Données projet'!$E$27+1,1))</f>
        <v>#N/A</v>
      </c>
      <c r="OH148" s="59" t="e">
        <f t="shared" si="323"/>
        <v>#N/A</v>
      </c>
      <c r="OI148" s="15">
        <f>IF(ISNA(VLOOKUP($A148,'Données projet'!$A$512:$I$532,3,0)),0,VLOOKUP($A148,'Données projet'!$A$512:$I$532,3,0))</f>
        <v>0</v>
      </c>
      <c r="OJ148" s="15">
        <f>IF(ISNA(VLOOKUP($A148,'Données projet'!$A$512:$I$532,4,0)),0,VLOOKUP($A148,'Données projet'!$A$512:$I$532,4,0))</f>
        <v>0</v>
      </c>
      <c r="OK148" s="16">
        <f>IF(ISNA(VLOOKUP($A148,'Données projet'!$A$512:$I$532,5,0)),0%,VLOOKUP($A148,'Données projet'!$A$512:$I$532,5,0)*VLOOKUP('Données projet'!$B$27,Paramètres!$A$1:$I$89,7,0))</f>
        <v>0</v>
      </c>
      <c r="OL148" s="16">
        <f>IF(ISNA(VLOOKUP($A148,'Données projet'!$A$512:$I$532,6,0)),0%,VLOOKUP($A148,'Données projet'!$A$512:$I$532,6,0)*VLOOKUP('Données projet'!$B$27,Paramètres!$A$1:$I$89,7,0))</f>
        <v>0</v>
      </c>
      <c r="OM148" s="16">
        <f>IF(ISNA(VLOOKUP($A148,'Données projet'!$A$512:$I$532,7,0)),0%,VLOOKUP($A148,'Données projet'!$A$512:$I$532,7,0))</f>
        <v>0</v>
      </c>
      <c r="ON148" s="21" t="e">
        <f>EXP(-LN(2)/35)*ON147+(1-EXP(-LN(2)/35))/(LN(2)/35)*OJ148*OK148*VLOOKUP('Données projet'!$B$27,Paramètres!$A$1:$I$89,3,0)*0.475*44/12</f>
        <v>#N/A</v>
      </c>
      <c r="OO148" s="21" t="e">
        <f>EXP(-LN(2)/25)*OO147+(1-EXP(-LN(2)/25))/(LN(2)/25)*Calculateur!OJ148*Calculateur!OL148*VLOOKUP('Données projet'!$B$27,Paramètres!$A$1:$I$89,3,0)*0.475*44/12</f>
        <v>#N/A</v>
      </c>
      <c r="OP148" s="21" t="e">
        <f>EXP(-LN(2)/2)*OP147+(1-EXP(-LN(2)/2))/(LN(2)/2)*OJ148*OM148*VLOOKUP('Données projet'!$B$27,Paramètres!$A$1:$I$89,3,0)*0.475*44/12</f>
        <v>#N/A</v>
      </c>
      <c r="OQ148" s="22" t="e">
        <f t="shared" si="280"/>
        <v>#N/A</v>
      </c>
      <c r="OR148" s="74">
        <f>('Scénario référence'!$F$8+'Scénario référence'!$F$9+'Scénario référence'!$B$17+'Scénario référence'!$B$9+'Scénario référence'!$B$10)*70+IF((45+25*(1-EXP(-0.0175*$A148)))&lt;70,'Scénario référence'!$B$16*(45+25*(1-EXP(-0.0175*$A148))),70*'Scénario référence'!$B$16)+IF((32+38*(1-EXP(-0.0175*$A148)))&lt;70,'Scénario référence'!$B$18*(32+38*(1-EXP(-0.0175*$A148))),70*'Scénario référence'!$B$18)</f>
        <v>70</v>
      </c>
      <c r="OS148" s="12">
        <f>IF($A148&gt;30,10,('Scénario référence'!$B$16+'Scénario référence'!$B$17+'Scénario référence'!$B$18+'Scénario référence'!$B$9+'Scénario référence'!$B$10)*$A148*10/30+('Scénario référence'!$F$8+'Scénario référence'!$F$9)*10)</f>
        <v>10</v>
      </c>
      <c r="OT148" s="12" t="e">
        <f>VLOOKUP($A148,'Données projet'!$A$538:$I$558,2,0)</f>
        <v>#N/A</v>
      </c>
      <c r="OU148" s="12" t="e">
        <f>VLOOKUP($A148,'Données projet'!$A$538:$I$558,9,0)</f>
        <v>#N/A</v>
      </c>
      <c r="OV148" s="12">
        <f t="array" ref="OV148">INDEX(OU:OU,MIN(IF(ISNUMBER(OU148:OU344),ROW(OU148:OU344),"")))</f>
        <v>0</v>
      </c>
      <c r="OW148" s="12">
        <f>IF('Données projet'!$A$538&gt;35,OW147+OV148-PE147,IF($A148&lt;'Données projet'!$A$538,$CQ$205^$A148,IF($A148='Données projet'!$A$538,'Données projet'!$B$538,OW147+OV148-PE147)))</f>
        <v>0</v>
      </c>
      <c r="OX148" s="17" t="e">
        <f>OW148*VLOOKUP('Données projet'!$B$28,Paramètres!$A$1:$I$89,3,0)*VLOOKUP('Données projet'!$B$28,Paramètres!$A$1:$I$89,5,0)</f>
        <v>#N/A</v>
      </c>
      <c r="OY148" s="13" t="e">
        <f t="shared" si="324"/>
        <v>#N/A</v>
      </c>
      <c r="OZ148" s="14" t="e">
        <f t="shared" si="281"/>
        <v>#N/A</v>
      </c>
      <c r="PA148" s="59" t="e">
        <f t="shared" si="282"/>
        <v>#N/A</v>
      </c>
      <c r="PB148" s="20" t="e">
        <f ca="1">AVERAGE(OFFSET($PA$3,0,0,'Données projet'!$E$28+1,1))-AVERAGE(OFFSET($H$3,0,0,'Données projet'!$E$28+1,1))</f>
        <v>#N/A</v>
      </c>
      <c r="PC148" s="59" t="e">
        <f t="shared" si="325"/>
        <v>#N/A</v>
      </c>
      <c r="PD148" s="15">
        <f>IF(ISNA(VLOOKUP($A148,'Données projet'!$A$538:$I$558,3,0)),0,VLOOKUP($A148,'Données projet'!$A$538:$I$558,3,0))</f>
        <v>0</v>
      </c>
      <c r="PE148" s="15">
        <f>IF(ISNA(VLOOKUP($A148,'Données projet'!$A$538:$I$558,4,0)),0,VLOOKUP($A148,'Données projet'!$A$538:$I$558,4,0))</f>
        <v>0</v>
      </c>
      <c r="PF148" s="16">
        <f>IF(ISNA(VLOOKUP($A148,'Données projet'!$A$538:$I$558,5,0)),0%,VLOOKUP($A148,'Données projet'!$A$538:$I$558,5,0)*VLOOKUP('Données projet'!$B$28,Paramètres!$A$1:$I$89,7,0))</f>
        <v>0</v>
      </c>
      <c r="PG148" s="16">
        <f>IF(ISNA(VLOOKUP($A148,'Données projet'!$A$538:$I$558,6,0)),0%,VLOOKUP($A148,'Données projet'!$A$538:$I$558,6,0)*VLOOKUP('Données projet'!$B$28,Paramètres!$A$1:$I$89,7,0))</f>
        <v>0</v>
      </c>
      <c r="PH148" s="16">
        <f>IF(ISNA(VLOOKUP($A148,'Données projet'!$A$538:$I$558,7,0)),0%,VLOOKUP($A148,'Données projet'!$A$538:$I$558,7,0))</f>
        <v>0</v>
      </c>
      <c r="PI148" s="21" t="e">
        <f>EXP(-LN(2)/35)*PI147+(1-EXP(-LN(2)/35))/(LN(2)/35)*PE148*PF148*VLOOKUP('Données projet'!$B$28,Paramètres!$A$1:$I$89,3,0)*0.475*44/12</f>
        <v>#N/A</v>
      </c>
      <c r="PJ148" s="21" t="e">
        <f>EXP(-LN(2)/25)*PJ147+(1-EXP(-LN(2)/25))/(LN(2)/25)*Calculateur!PE148*Calculateur!PG148*VLOOKUP('Données projet'!$B$28,Paramètres!$A$1:$I$89,3,0)*0.475*44/12</f>
        <v>#N/A</v>
      </c>
      <c r="PK148" s="21" t="e">
        <f>EXP(-LN(2)/2)*PK147+(1-EXP(-LN(2)/2))/(LN(2)/2)*PE148*PH148*VLOOKUP('Données projet'!$B$28,Paramètres!$A$1:$I$89,3,0)*0.475*44/12</f>
        <v>#N/A</v>
      </c>
      <c r="PL148" s="22" t="e">
        <f t="shared" si="283"/>
        <v>#N/A</v>
      </c>
    </row>
    <row r="149" spans="1:428" x14ac:dyDescent="0.35">
      <c r="A149" s="10">
        <f t="shared" si="284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285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225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projet'!$A$45:$I$65,2,0)</f>
        <v>#N/A</v>
      </c>
      <c r="L149" s="12" t="e">
        <f>VLOOKUP(A149,'Données projet'!$A$45:$I$65,9,0)</f>
        <v>#N/A</v>
      </c>
      <c r="M149" s="12">
        <f t="array" ref="M149">INDEX(L:L,MIN(IF(ISNUMBER(L149:L345),ROW(L149:L345),"")))</f>
        <v>0</v>
      </c>
      <c r="N149" s="13">
        <f>IF('Données projet'!$A$46&gt;35,N148+M149-V148,IF(A149&lt;'Données projet'!$A$46,$K$205^A149,IF(A149='Données projet'!$A$46,'Données projet'!$B$46,N148+M149-V148)))</f>
        <v>-1.1368683772161603E-13</v>
      </c>
      <c r="O149" s="13">
        <f>N149*VLOOKUP('Données projet'!$B$9,Paramètres!$A$1:$I$89,3,0)*VLOOKUP('Données projet'!$B$9,Paramètres!$A$1:$I$89,5,0)</f>
        <v>-6.3550942286383367E-14</v>
      </c>
      <c r="P149" s="13" t="e">
        <f t="shared" si="286"/>
        <v>#NUM!</v>
      </c>
      <c r="Q149" s="20" t="e">
        <f t="shared" si="223"/>
        <v>#NUM!</v>
      </c>
      <c r="R149" s="59" t="e">
        <f t="shared" si="224"/>
        <v>#NUM!</v>
      </c>
      <c r="S149" s="59">
        <f ca="1">AVERAGE(OFFSET($R$3,0,0,'Données projet'!$E$9+1,1))-AVERAGE(OFFSET($H$3,0,0,'Données projet'!$E$9+1,1))</f>
        <v>274.57619581652199</v>
      </c>
      <c r="T149" s="59">
        <f t="shared" si="287"/>
        <v>366.15117322598775</v>
      </c>
      <c r="U149" s="15">
        <f>IF(ISNA(VLOOKUP(A149,'Données projet'!$A$45:$I$65,3,0)),0,VLOOKUP(A149,'Données projet'!$A$45:$I$65,3,0))</f>
        <v>0</v>
      </c>
      <c r="V149" s="15">
        <f>IF(ISNA(VLOOKUP(A149,'Données projet'!$A$45:$I$65,4,0)),0,VLOOKUP(A149,'Données projet'!$A$45:$I$65,4,0))</f>
        <v>0</v>
      </c>
      <c r="W149" s="16">
        <f>IF(ISNA(VLOOKUP(A149,'Données projet'!$A$45:$I$65,5,0)),0%,VLOOKUP(A149,'Données projet'!$A$45:$I$65,5,0)*VLOOKUP('Données projet'!$B$9,Paramètres!$A$1:$I$89,7,0))</f>
        <v>0</v>
      </c>
      <c r="X149" s="16">
        <f>IF(ISNA(VLOOKUP(A149,'Données projet'!$A$45:$I$65,6,0)),0%,VLOOKUP(A149,'Données projet'!$A$45:$I$65,6,0)*VLOOKUP('Données projet'!$B$9,Paramètres!$A$1:$I$89,7,0))</f>
        <v>0</v>
      </c>
      <c r="Y149" s="16">
        <f>IF(ISNA(VLOOKUP(A149,'Données projet'!$A$45:$I$65,7,0)),0%,VLOOKUP(A149,'Données projet'!$A$45:$I$65,7,0))</f>
        <v>0</v>
      </c>
      <c r="Z149" s="21">
        <f>EXP(-LN(2)/35)*Z148+(1-EXP(-LN(2)/35))/(LN(2)/35)*V149*W149*VLOOKUP('Données projet'!$B$9,Paramètres!$A$1:$I$89,3,0)*0.475*44/12</f>
        <v>37.384476585288049</v>
      </c>
      <c r="AA149" s="21">
        <f>EXP(-LN(2)/25)*AA148+(1-EXP(-LN(2)/25))/(LN(2)/25)*Calculateur!V149*Calculateur!X149*VLOOKUP('Données projet'!$B$9,Paramètres!$A$1:$I$89,3,0)*0.475*44/12</f>
        <v>4.6209493067996119</v>
      </c>
      <c r="AB149" s="21">
        <f>EXP(-LN(2)/2)*AB148+(1-EXP(-LN(2)/2))/(LN(2)/2)*V149*Y149*VLOOKUP('Données projet'!$B$9,Paramètres!$A$1:$I$89,3,0)*0.475*44/12</f>
        <v>6.8654599418445879E-13</v>
      </c>
      <c r="AC149" s="22">
        <f t="shared" si="226"/>
        <v>42.005425892088347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projet'!$A$71:$I$91,2,0)</f>
        <v>#N/A</v>
      </c>
      <c r="AG149" s="12" t="e">
        <f>VLOOKUP(A149,'Données projet'!$A$71:$I$91,9,0)</f>
        <v>#N/A</v>
      </c>
      <c r="AH149" s="12">
        <f t="array" ref="AH149">INDEX(AG:AG,MIN(IF(ISNUMBER(AG149:AG345),ROW(AG149:AG345),"")))</f>
        <v>0</v>
      </c>
      <c r="AI149" s="13">
        <f>IF('Données projet'!$A$72&gt;35,AI148+AH149-AQ148,IF(A149&lt;'Données projet'!$A$72,$AF$205^A149,IF(A149='Données projet'!$A$72,'Données projet'!$B$72,AI148+AH149-AQ148)))</f>
        <v>5.6843418860808015E-13</v>
      </c>
      <c r="AJ149" s="13">
        <f>AI149*VLOOKUP('Données projet'!$B$10,Paramètres!$A$1:$I$89,3,0)*VLOOKUP('Données projet'!$B$10,Paramètres!$A$1:$I$89,5,0)</f>
        <v>5.1431925385259092E-13</v>
      </c>
      <c r="AK149" s="13">
        <f t="shared" si="288"/>
        <v>6.3855359115685756E-12</v>
      </c>
      <c r="AL149" s="20">
        <f t="shared" si="227"/>
        <v>1.2017247746441865E-11</v>
      </c>
      <c r="AM149" s="59">
        <f t="shared" si="228"/>
        <v>293.33333333334531</v>
      </c>
      <c r="AN149" s="59">
        <f ca="1">AVERAGE(OFFSET($AM$3,0,0,'Données projet'!$E$10+1,1))-AVERAGE(OFFSET($H$3,0,0,'Données projet'!$E$10+1,1))</f>
        <v>270.87836509222456</v>
      </c>
      <c r="AO149" s="59">
        <f t="shared" si="289"/>
        <v>205.24998237949734</v>
      </c>
      <c r="AP149" s="15">
        <f>IF(ISNA(VLOOKUP(A149,'Données projet'!$A$71:$I$91,3,0)),0,VLOOKUP(A149,'Données projet'!$A$71:$I$91,3,0))</f>
        <v>0</v>
      </c>
      <c r="AQ149" s="15">
        <f>IF(ISNA(VLOOKUP(A149,'Données projet'!$A$71:$I$91,4,0)),0,VLOOKUP(A149,'Données projet'!$A$71:$I$91,4,0))</f>
        <v>0</v>
      </c>
      <c r="AR149" s="16">
        <f>IF(ISNA(VLOOKUP(A149,'Données projet'!$A$71:$I$91,5,0)),0%,VLOOKUP(A149,'Données projet'!$A$71:$I$91,5,0)*VLOOKUP('Données projet'!$B$10,Paramètres!$A$1:$I$89,7,0))</f>
        <v>0</v>
      </c>
      <c r="AS149" s="16">
        <f>IF(ISNA(VLOOKUP(A149,'Données projet'!$A$71:$I$91,6,0)),0%,VLOOKUP(A149,'Données projet'!$A$71:$I$91,6,0)*VLOOKUP('Données projet'!$B$10,Paramètres!$A$1:$I$89,7,0))</f>
        <v>0</v>
      </c>
      <c r="AT149" s="16">
        <f>IF(ISNA(VLOOKUP(A149,'Données projet'!$A$71:$I$91,7,0)),0%,VLOOKUP(A149,'Données projet'!$A$71:$I$91,7,0))</f>
        <v>0</v>
      </c>
      <c r="AU149" s="21">
        <f>EXP(-LN(2)/35)*AU148+(1-EXP(-LN(2)/35))/(LN(2)/35)*AQ149*AR149*VLOOKUP('Données projet'!$B$10,Paramètres!$A$1:$I$89,3,0)*0.475*44/12</f>
        <v>127.04197614609298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229"/>
        <v>127.04197614609298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projet'!$A$97:$I$117,2,0)</f>
        <v>#N/A</v>
      </c>
      <c r="BB149" s="12" t="e">
        <f>VLOOKUP(A149,'Données projet'!$A$97:$I$117,9,0)</f>
        <v>#N/A</v>
      </c>
      <c r="BC149" s="12">
        <f t="array" ref="BC149">INDEX(BB:BB,MIN(IF(ISNUMBER(BB149:BB345),ROW(BB149:BB345),"")))</f>
        <v>0</v>
      </c>
      <c r="BD149" s="12">
        <f>IF('Données projet'!$A$98&gt;35,BD148+BC149-BL148,IF(A149&lt;'Données projet'!$A$98,$BA$205^A149,IF(A149='Données projet'!$A$98,'Données projet'!$B$98,BD148+BC149-BL148)))</f>
        <v>-1.1368683772161603E-13</v>
      </c>
      <c r="BE149" s="13">
        <f>BD149*VLOOKUP('Données projet'!$B$11,Paramètres!$A$1:$I$89,3,0)*VLOOKUP('Données projet'!$B$11,Paramètres!$A$1:$I$89,5,0)</f>
        <v>-5.0249582272954292E-14</v>
      </c>
      <c r="BF149" s="13" t="e">
        <f t="shared" si="290"/>
        <v>#NUM!</v>
      </c>
      <c r="BG149" s="20" t="e">
        <f t="shared" si="230"/>
        <v>#NUM!</v>
      </c>
      <c r="BH149" s="59" t="e">
        <f t="shared" si="231"/>
        <v>#NUM!</v>
      </c>
      <c r="BI149" s="59">
        <f ca="1">AVERAGE(OFFSET($BH$3,0,0,'Données projet'!$E$11+1,1))-AVERAGE(OFFSET($H$3,0,0,'Données projet'!$E$11+1,1))</f>
        <v>211.31057120485542</v>
      </c>
      <c r="BJ149" s="59">
        <f t="shared" si="291"/>
        <v>283.33292006714777</v>
      </c>
      <c r="BK149" s="15">
        <f>IF(ISNA(VLOOKUP(A149,'Données projet'!$A$97:$I$117,3,0)),0,VLOOKUP(A149,'Données projet'!$A$97:$I$117,3,0))</f>
        <v>0</v>
      </c>
      <c r="BL149" s="15">
        <f>IF(ISNA(VLOOKUP(A149,'Données projet'!$A$97:$I$117,4,0)),0,VLOOKUP(A149,'Données projet'!$A$97:$I$117,4,0))</f>
        <v>0</v>
      </c>
      <c r="BM149" s="16">
        <f>IF(ISNA(VLOOKUP(A149,'Données projet'!$A$97:$I$117,5,0)),0%,VLOOKUP(A149,'Données projet'!$A$97:$I$117,5,0)*VLOOKUP('Données projet'!$B$11,Paramètres!$A$1:$I$89,7,0))</f>
        <v>0</v>
      </c>
      <c r="BN149" s="16">
        <f>IF(ISNA(VLOOKUP(A149,'Données projet'!$A$97:$I$117,6,0)),0%,VLOOKUP(A149,'Données projet'!$A$97:$I$117,6,0)*VLOOKUP('Données projet'!$B$11,Paramètres!$A$1:$I$89,7,0))</f>
        <v>0</v>
      </c>
      <c r="BO149" s="16">
        <f>IF(ISNA(VLOOKUP(A149,'Données projet'!$A$97:$I$117,7,0)),0%,VLOOKUP(A149,'Données projet'!$A$97:$I$117,7,0))</f>
        <v>0</v>
      </c>
      <c r="BP149" s="21">
        <f>EXP(-LN(2)/35)*BP148+(1-EXP(-LN(2)/35))/(LN(2)/35)*BL149*BM149*VLOOKUP('Données projet'!$B$11,Paramètres!$A$1:$I$89,3,0)*0.475*44/12</f>
        <v>29.559818695344056</v>
      </c>
      <c r="BQ149" s="21">
        <f>EXP(-LN(2)/25)*BQ148+(1-EXP(-LN(2)/25))/(LN(2)/25)*Calculateur!BL149*Calculateur!BN149*VLOOKUP('Données projet'!$B$11,Paramètres!$A$1:$I$89,3,0)*0.475*44/12</f>
        <v>3.653773870492715</v>
      </c>
      <c r="BR149" s="21">
        <f>EXP(-LN(2)/2)*BR148+(1-EXP(-LN(2)/2))/(LN(2)/2)*BL149*BO149*VLOOKUP('Données projet'!$B$11,Paramètres!$A$1:$I$89,3,0)*0.475*44/12</f>
        <v>5.4285032098306033E-13</v>
      </c>
      <c r="BS149" s="22">
        <f t="shared" si="232"/>
        <v>33.21359256583731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projet'!$A$123:$I$143,2,0)</f>
        <v>#N/A</v>
      </c>
      <c r="BW149" s="12" t="e">
        <f>VLOOKUP(A149,'Données projet'!$A$123:$I$143,9,0)</f>
        <v>#N/A</v>
      </c>
      <c r="BX149" s="12">
        <f t="array" ref="BX149">INDEX(BW:BW,MIN(IF(ISNUMBER(BW149:BW345),ROW(BW149:BW345),"")))</f>
        <v>0</v>
      </c>
      <c r="BY149" s="12">
        <f>IF('Données projet'!$A$124&gt;35,BY148+BX149-CG148,IF(A149&lt;'Données projet'!$A$124,$BV$205^A149,IF(A149='Données projet'!$A$124,'Données projet'!$B$124,BY148+BX149-CG148)))</f>
        <v>0</v>
      </c>
      <c r="BZ149" s="13">
        <f>BY149*VLOOKUP('Données projet'!$B$12,Paramètres!$A$1:$I$89,3,0)*VLOOKUP('Données projet'!$B$12,Paramètres!$A$1:$I$89,5,0)</f>
        <v>0</v>
      </c>
      <c r="CA149" s="13" t="e">
        <f t="shared" si="292"/>
        <v>#NUM!</v>
      </c>
      <c r="CB149" s="20" t="e">
        <f t="shared" si="233"/>
        <v>#NUM!</v>
      </c>
      <c r="CC149" s="59" t="e">
        <f t="shared" si="234"/>
        <v>#NUM!</v>
      </c>
      <c r="CD149" s="59">
        <f ca="1">AVERAGE(OFFSET($CC$3,0,0,'Données projet'!$E$12+1,1))-AVERAGE(OFFSET($H$3,0,0,'Données projet'!$E$12+1,1))</f>
        <v>322.93502595881938</v>
      </c>
      <c r="CE149" s="59">
        <f t="shared" si="293"/>
        <v>302.67072119588164</v>
      </c>
      <c r="CF149" s="15">
        <f>IF(ISNA(VLOOKUP(A149,'Données projet'!$A$123:$I$143,3,0)),0,VLOOKUP(A149,'Données projet'!$A$123:$I$143,3,0))</f>
        <v>0</v>
      </c>
      <c r="CG149" s="15">
        <f>IF(ISNA(VLOOKUP(A149,'Données projet'!$A$123:$I$143,4,0)),0,VLOOKUP(A149,'Données projet'!$A$123:$I$143,4,0))</f>
        <v>0</v>
      </c>
      <c r="CH149" s="16">
        <f>IF(ISNA(VLOOKUP(A149,'Données projet'!$A$123:$I$143,5,0)),0%,VLOOKUP(A149,'Données projet'!$A$123:$I$143,5,0)*VLOOKUP('Données projet'!$B$12,Paramètres!$A$1:$I$89,7,0))</f>
        <v>0</v>
      </c>
      <c r="CI149" s="16">
        <f>IF(ISNA(VLOOKUP(A149,'Données projet'!$A$123:$I$143,6,0)),0%,VLOOKUP(A149,'Données projet'!$A$123:$I$143,6,0)*VLOOKUP('Données projet'!$B$12,Paramètres!$A$1:$I$89,7,0))</f>
        <v>0</v>
      </c>
      <c r="CJ149" s="16">
        <f>IF(ISNA(VLOOKUP(A149,'Données projet'!$A$123:$I$143,7,0)),0%,VLOOKUP(A149,'Données projet'!$A$123:$I$143,7,0))</f>
        <v>0</v>
      </c>
      <c r="CK149" s="21">
        <f>EXP(-LN(2)/35)*CK148+(1-EXP(-LN(2)/35))/(LN(2)/35)*CG149*CH149*VLOOKUP('Données projet'!$B$12,Paramètres!$A$1:$I$89,3,0)*0.475*44/12</f>
        <v>47.095933845184689</v>
      </c>
      <c r="CL149" s="21">
        <f>EXP(-LN(2)/25)*CL148+(1-EXP(-LN(2)/25))/(LN(2)/25)*Calculateur!CG149*Calculateur!CI149*VLOOKUP('Données projet'!$B$12,Paramètres!$A$1:$I$89,3,0)*0.475*44/12</f>
        <v>11.694287061151877</v>
      </c>
      <c r="CM149" s="21">
        <f>EXP(-LN(2)/2)*CM148+(1-EXP(-LN(2)/2))/(LN(2)/2)*CG149*CJ149*VLOOKUP('Données projet'!$B$12,Paramètres!$A$1:$I$89,3,0)*0.475*44/12</f>
        <v>0</v>
      </c>
      <c r="CN149" s="22">
        <f t="shared" si="235"/>
        <v>58.790220906336565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projet'!$A$149:$I$169,2,0)</f>
        <v>#N/A</v>
      </c>
      <c r="CR149" s="12" t="e">
        <f>VLOOKUP(A149,'Données projet'!$A$149:$I$169,9,0)</f>
        <v>#N/A</v>
      </c>
      <c r="CS149" s="12">
        <f t="array" ref="CS149">INDEX(CR:CR,MIN(IF(ISNUMBER(CR149:CR345),ROW(CR149:CR345),"")))</f>
        <v>5.1063034188034209</v>
      </c>
      <c r="CT149" s="12">
        <f>IF('Données projet'!$A$150&gt;35,CT148+CS149-DB148,IF(A149&lt;'Données projet'!$A$150,$CQ$205^A149,IF(A149='Données projet'!$A$150,'Données projet'!$B$150,CT148+CS149-DB148)))</f>
        <v>287.86698717948673</v>
      </c>
      <c r="CU149" s="17">
        <f>CT149*VLOOKUP('Données projet'!$B$13,Paramètres!$A$1:$I$89,3,0)*VLOOKUP('Données projet'!$B$13,Paramètres!$A$1:$I$89,5,0)</f>
        <v>291.89712499999956</v>
      </c>
      <c r="CV149" s="13">
        <f t="shared" si="294"/>
        <v>69.47509216813539</v>
      </c>
      <c r="CW149" s="20">
        <f t="shared" si="236"/>
        <v>629.38994490116841</v>
      </c>
      <c r="CX149" s="59">
        <f t="shared" si="237"/>
        <v>922.72327823450178</v>
      </c>
      <c r="CY149" s="59">
        <f ca="1">AVERAGE(OFFSET($CX$3,0,0,'Données projet'!$E$13+1,1))-AVERAGE(OFFSET($H$3,0,0,'Données projet'!$E$13+1,1))</f>
        <v>250.31277422753283</v>
      </c>
      <c r="CZ149" s="59">
        <f t="shared" si="295"/>
        <v>159.20429420478047</v>
      </c>
      <c r="DA149" s="15">
        <f>IF(ISNA(VLOOKUP(A149,'Données projet'!$A$149:$I$169,3,0)),0,VLOOKUP(A149,'Données projet'!$A$149:$I$169,3,0))</f>
        <v>0</v>
      </c>
      <c r="DB149" s="15">
        <f>IF(ISNA(VLOOKUP(A149,'Données projet'!$A$149:$I$169,4,0)),0,VLOOKUP(A149,'Données projet'!$A$149:$I$169,4,0))</f>
        <v>0</v>
      </c>
      <c r="DC149" s="16">
        <f>IF(ISNA(VLOOKUP(A149,'Données projet'!$A$149:$I$169,5,0)),0%,VLOOKUP(A149,'Données projet'!$A$149:$I$169,5,0)*VLOOKUP('Données projet'!$B$13,Paramètres!$A$1:$I$89,7,0))</f>
        <v>0</v>
      </c>
      <c r="DD149" s="16">
        <f>IF(ISNA(VLOOKUP(A149,'Données projet'!$A$149:$I$169,6,0)),0%,VLOOKUP(A149,'Données projet'!$A$149:$I$169,6,0)*VLOOKUP('Données projet'!$B$13,Paramètres!$A$1:$I$89,7,0))</f>
        <v>0</v>
      </c>
      <c r="DE149" s="16">
        <f>IF(ISNA(VLOOKUP(A149,'Données projet'!$A$149:$I$169,7,0)),0%,VLOOKUP(A149,'Données projet'!$A$149:$I$169,7,0))</f>
        <v>0</v>
      </c>
      <c r="DF149" s="21">
        <f>EXP(-LN(2)/35)*DF148+(1-EXP(-LN(2)/35))/(LN(2)/35)*DB149*DC149*VLOOKUP('Données projet'!$B$13,Paramètres!$A$1:$I$89,3,0)*0.475*44/12</f>
        <v>45.977762767763757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238"/>
        <v>45.977762767763757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projet'!$A$175:$I$195,2,0)</f>
        <v>#N/A</v>
      </c>
      <c r="DM149" s="12" t="e">
        <f>VLOOKUP(A149,'Données projet'!$A$175:$I$195,9,0)</f>
        <v>#N/A</v>
      </c>
      <c r="DN149" s="12">
        <f t="array" ref="DN149">INDEX(DM:DM,MIN(IF(ISNUMBER(DM149:DM345),ROW(DM149:DM345),"")))</f>
        <v>0</v>
      </c>
      <c r="DO149" s="12">
        <f>IF('Données projet'!$A$176&gt;35,DO148+DN149-DW148,IF(A149&lt;'Données projet'!$A$176,$DL$205^A149,IF(A149='Données projet'!$A$176,'Données projet'!$B$176,DO148+DN149-DW148)))</f>
        <v>-2.8421709430404007E-13</v>
      </c>
      <c r="DP149" s="17">
        <f>DO149*VLOOKUP('Données projet'!$B$14,Paramètres!$A$1:$I$89,3,0)*VLOOKUP('Données projet'!$B$14,Paramètres!$A$1:$I$89,5,0)</f>
        <v>-2.0838797354372215E-13</v>
      </c>
      <c r="DQ149" s="13" t="e">
        <f t="shared" si="296"/>
        <v>#NUM!</v>
      </c>
      <c r="DR149" s="20" t="e">
        <f t="shared" si="239"/>
        <v>#NUM!</v>
      </c>
      <c r="DS149" s="59" t="e">
        <f t="shared" si="240"/>
        <v>#NUM!</v>
      </c>
      <c r="DT149" s="59">
        <f ca="1">AVERAGE(OFFSET($DS$3,0,0,'Données projet'!$E$14+1,1))-AVERAGE(OFFSET($H$3,0,0,'Données projet'!$E$14+1,1))</f>
        <v>296.91321813251051</v>
      </c>
      <c r="DU149" s="59">
        <f t="shared" si="297"/>
        <v>291.0718079639509</v>
      </c>
      <c r="DV149" s="15">
        <f>IF(ISNA(VLOOKUP(A149,'Données projet'!$A$175:$I$195,3,0)),0,VLOOKUP(A149,'Données projet'!$A$175:$I$195,3,0))</f>
        <v>0</v>
      </c>
      <c r="DW149" s="15">
        <f>IF(ISNA(VLOOKUP(A149,'Données projet'!$A$175:$I$195,4,0)),0,VLOOKUP(A149,'Données projet'!$A$175:$I$195,4,0))</f>
        <v>0</v>
      </c>
      <c r="DX149" s="16">
        <f>IF(ISNA(VLOOKUP(A149,'Données projet'!$A$175:$I$195,5,0)),0%,VLOOKUP(A149,'Données projet'!$A$175:$I$195,5,0)*VLOOKUP('Données projet'!$B$14,Paramètres!$A$1:$I$89,7,0))</f>
        <v>0</v>
      </c>
      <c r="DY149" s="16">
        <f>IF(ISNA(VLOOKUP(A149,'Données projet'!$A$175:$I$195,6,0)),0%,VLOOKUP(A149,'Données projet'!$A$175:$I$195,6,0)*VLOOKUP('Données projet'!$B$14,Paramètres!$A$1:$I$89,7,0))</f>
        <v>0</v>
      </c>
      <c r="DZ149" s="16">
        <f>IF(ISNA(VLOOKUP(A149,'Données projet'!$A$175:$I$195,7,0)),0%,VLOOKUP(A149,'Données projet'!$A$175:$I$195,7,0))</f>
        <v>0</v>
      </c>
      <c r="EA149" s="21">
        <f>EXP(-LN(2)/35)*EA148+(1-EXP(-LN(2)/35))/(LN(2)/35)*DW149*DX149*VLOOKUP('Données projet'!$B$14,Paramètres!$A$1:$I$89,3,0)*0.475*44/12</f>
        <v>46.939526226272513</v>
      </c>
      <c r="EB149" s="21">
        <f>EXP(-LN(2)/25)*EB148+(1-EXP(-LN(2)/25))/(LN(2)/25)*Calculateur!DW149*Calculateur!DY149*VLOOKUP('Données projet'!$B$14,Paramètres!$A$1:$I$89,3,0)*0.475*44/12</f>
        <v>0.85907293359438675</v>
      </c>
      <c r="EC149" s="21">
        <f>EXP(-LN(2)/2)*EC148+(1-EXP(-LN(2)/2))/(LN(2)/2)*DW149*DZ149*VLOOKUP('Données projet'!$B$14,Paramètres!$A$1:$I$89,3,0)*0.475*44/12</f>
        <v>0</v>
      </c>
      <c r="ED149" s="22">
        <f t="shared" si="241"/>
        <v>47.798599159866896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projet'!$A$201:$I$221,2,0)</f>
        <v>#N/A</v>
      </c>
      <c r="EH149" s="12" t="e">
        <f>VLOOKUP(A149,'Données projet'!$A$201:$I$221,9,0)</f>
        <v>#N/A</v>
      </c>
      <c r="EI149" s="12">
        <f t="array" ref="EI149">INDEX(EH:EH,MIN(IF(ISNUMBER(EH149:EH345),ROW(EH149:EH345),"")))</f>
        <v>0</v>
      </c>
      <c r="EJ149" s="12">
        <f>IF('Données projet'!$A$202&gt;35,EJ148+EI149-ER148,IF(A149&lt;'Données projet'!$A$202,$EG$205^A149,IF(A149='Données projet'!$A$202,'Données projet'!$B$202,EJ148+EI149-ER148)))</f>
        <v>5.1159076974727213E-13</v>
      </c>
      <c r="EK149" s="17">
        <f>EJ149*VLOOKUP('Données projet'!$B$15,Paramètres!$A$1:$I$89,3,0)*VLOOKUP('Données projet'!$B$15,Paramètres!$A$1:$I$89,5,0)</f>
        <v>2.3942448024172334E-13</v>
      </c>
      <c r="EL149" s="13">
        <f t="shared" si="298"/>
        <v>3.2492669905861755E-12</v>
      </c>
      <c r="EM149" s="20">
        <f t="shared" si="242"/>
        <v>6.0761376450252565E-12</v>
      </c>
      <c r="EN149" s="59">
        <f t="shared" si="243"/>
        <v>293.3333333333394</v>
      </c>
      <c r="EO149" s="59">
        <f ca="1">AVERAGE(OFFSET($EN$3,0,0,'Données projet'!$E$15+1,1))-AVERAGE(OFFSET($H$3,0,0,'Données projet'!$E$15+1,1))</f>
        <v>147.64256291235483</v>
      </c>
      <c r="EP149" s="59">
        <f t="shared" si="299"/>
        <v>70.859031694091868</v>
      </c>
      <c r="EQ149" s="15">
        <f>IF(ISNA(VLOOKUP(A149,'Données projet'!$A$201:$I$221,3,0)),0,VLOOKUP(A149,'Données projet'!$A$201:$I$221,3,0))</f>
        <v>0</v>
      </c>
      <c r="ER149" s="15">
        <f>IF(ISNA(VLOOKUP(A149,'Données projet'!$A$201:$I$221,4,0)),0,VLOOKUP(A149,'Données projet'!$A$201:$I$221,4,0))</f>
        <v>0</v>
      </c>
      <c r="ES149" s="16">
        <f>IF(ISNA(VLOOKUP(A149,'Données projet'!$A$201:$I$221,5,0)),0%,VLOOKUP(A149,'Données projet'!$A$201:$I$221,5,0)*VLOOKUP('Données projet'!$B$15,Paramètres!$A$1:$I$89,7,0))</f>
        <v>0</v>
      </c>
      <c r="ET149" s="16">
        <f>IF(ISNA(VLOOKUP(A149,'Données projet'!$A$201:$I$221,6,0)),0%,VLOOKUP(A149,'Données projet'!$A$201:$I$221,6,0)*VLOOKUP('Données projet'!$B$15,Paramètres!$A$1:$I$89,7,0))</f>
        <v>0</v>
      </c>
      <c r="EU149" s="16">
        <f>IF(ISNA(VLOOKUP(A149,'Données projet'!$A$201:$I$221,7,0)),0%,VLOOKUP(A149,'Données projet'!$A$201:$I$221,7,0))</f>
        <v>0</v>
      </c>
      <c r="EV149" s="21">
        <f>EXP(-LN(2)/35)*EV148+(1-EXP(-LN(2)/35))/(LN(2)/35)*ER149*ES149*VLOOKUP('Données projet'!$B$15,Paramètres!$A$1:$I$89,3,0)*0.475*44/12</f>
        <v>64.260951303982139</v>
      </c>
      <c r="EW149" s="21">
        <f>EXP(-LN(2)/25)*EW148+(1-EXP(-LN(2)/25))/(LN(2)/25)*Calculateur!ER149*Calculateur!ET149*VLOOKUP('Données projet'!$B$15,Paramètres!$A$1:$I$89,3,0)*0.475*44/12</f>
        <v>11.918771452269718</v>
      </c>
      <c r="EX149" s="21">
        <f>EXP(-LN(2)/2)*EX148+(1-EXP(-LN(2)/2))/(LN(2)/2)*ER149*EU149*VLOOKUP('Données projet'!$B$15,Paramètres!$A$1:$I$89,3,0)*0.475*44/12</f>
        <v>4.9493723477897757E-5</v>
      </c>
      <c r="EY149" s="22">
        <f t="shared" si="244"/>
        <v>76.179772249975343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projet'!$A$227:$I$247,2,0)</f>
        <v>#N/A</v>
      </c>
      <c r="FC149" s="12" t="e">
        <f>VLOOKUP(A149,'Données projet'!$A$227:$I$247,9,0)</f>
        <v>#N/A</v>
      </c>
      <c r="FD149" s="12">
        <f t="array" ref="FD149">INDEX(FC:FC,MIN(IF(ISNUMBER(FC149:FC345),ROW(FC149:FC345),"")))</f>
        <v>0</v>
      </c>
      <c r="FE149" s="12">
        <f>IF('Données projet'!$A$228&gt;35,FE148+FD149-FM148,IF(A149&lt;'Données projet'!$A$228,$FB$205^A149,IF(A149='Données projet'!$A$228,'Données projet'!$B$228,FE148+FD149-FM148)))</f>
        <v>8.5265128291212022E-14</v>
      </c>
      <c r="FF149" s="17">
        <f>FE149*VLOOKUP('Données projet'!$B$16,Paramètres!$A$1:$I$89,3,0)*VLOOKUP('Données projet'!$B$16,Paramètres!$A$1:$I$89,5,0)</f>
        <v>8.9119112089974823E-14</v>
      </c>
      <c r="FG149" s="13">
        <f t="shared" si="300"/>
        <v>1.3568952080113142E-12</v>
      </c>
      <c r="FH149" s="20">
        <f t="shared" si="245"/>
        <v>2.5184749408430782E-12</v>
      </c>
      <c r="FI149" s="59">
        <f t="shared" si="246"/>
        <v>293.33333333333582</v>
      </c>
      <c r="FJ149" s="59">
        <f ca="1">AVERAGE(OFFSET($FI$3,0,0,'Données projet'!$E$16+1,1))-AVERAGE(OFFSET($H$3,0,0,'Données projet'!$E$16+1,1))</f>
        <v>259.03906550253788</v>
      </c>
      <c r="FK149" s="59">
        <f t="shared" si="301"/>
        <v>235.54542903570831</v>
      </c>
      <c r="FL149" s="15">
        <f>IF(ISNA(VLOOKUP(A149,'Données projet'!$A$227:$I$247,3,0)),0,VLOOKUP(A149,'Données projet'!$A$227:$I$247,3,0))</f>
        <v>0</v>
      </c>
      <c r="FM149" s="15">
        <f>IF(ISNA(VLOOKUP(A149,'Données projet'!$A$227:$I$247,4,0)),0,VLOOKUP(A149,'Données projet'!$A$227:$I$247,4,0))</f>
        <v>0</v>
      </c>
      <c r="FN149" s="16">
        <f>IF(ISNA(VLOOKUP(A149,'Données projet'!$A$227:$I$247,5,0)),0%,VLOOKUP(A149,'Données projet'!$A$227:$I$247,5,0)*VLOOKUP('Données projet'!$B$16,Paramètres!$A$1:$I$89,7,0))</f>
        <v>0</v>
      </c>
      <c r="FO149" s="16">
        <f>IF(ISNA(VLOOKUP(A149,'Données projet'!$A$227:$I$247,6,0)),0%,VLOOKUP(A149,'Données projet'!$A$227:$I$247,6,0)*VLOOKUP('Données projet'!$B$16,Paramètres!$A$1:$I$89,7,0))</f>
        <v>0</v>
      </c>
      <c r="FP149" s="16">
        <f>IF(ISNA(VLOOKUP(A149,'Données projet'!$A$227:$I$247,7,0)),0%,VLOOKUP(A149,'Données projet'!$A$227:$I$247,7,0))</f>
        <v>0</v>
      </c>
      <c r="FQ149" s="21">
        <f>EXP(-LN(2)/35)*FQ148+(1-EXP(-LN(2)/35))/(LN(2)/35)*FM149*FN149*VLOOKUP('Données projet'!$B$16,Paramètres!$A$1:$I$89,3,0)*0.475*44/12</f>
        <v>28.363037492034607</v>
      </c>
      <c r="FR149" s="21">
        <f>EXP(-LN(2)/25)*FR148+(1-EXP(-LN(2)/25))/(LN(2)/25)*Calculateur!FM149*Calculateur!FO149*VLOOKUP('Données projet'!$B$16,Paramètres!$A$1:$I$89,3,0)*0.475*44/12</f>
        <v>16.396351830542919</v>
      </c>
      <c r="FS149" s="21">
        <f>EXP(-LN(2)/2)*FS148+(1-EXP(-LN(2)/2))/(LN(2)/2)*FM149*FP149*VLOOKUP('Données projet'!$B$16,Paramètres!$A$1:$I$89,3,0)*0.475*44/12</f>
        <v>0</v>
      </c>
      <c r="FT149" s="22">
        <f t="shared" si="247"/>
        <v>44.759389322577526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projet'!$A$253:$I$273,2,0)</f>
        <v>#N/A</v>
      </c>
      <c r="FX149" s="12" t="e">
        <f>VLOOKUP(A149,'Données projet'!$A$253:$I$273,9,0)</f>
        <v>#N/A</v>
      </c>
      <c r="FY149" s="12">
        <f t="array" ref="FY149">INDEX(FX:FX,MIN(IF(ISNUMBER(FX149:FX345),ROW(FX149:FX345),"")))</f>
        <v>0</v>
      </c>
      <c r="FZ149" s="12">
        <f>IF('Données projet'!$A$254&gt;35,FZ148+FY149-GH148,IF(A149&lt;'Données projet'!$A$254,$FW$205^A149,IF(A149='Données projet'!$A$254,'Données projet'!$B$254,FZ148+FY149-GH148)))</f>
        <v>-1.7053025658242404E-13</v>
      </c>
      <c r="GA149" s="17">
        <f>FZ149*VLOOKUP('Données projet'!$B$17,Paramètres!$A$1:$I$89,3,0)*VLOOKUP('Données projet'!$B$17,Paramètres!$A$1:$I$89,5,0)</f>
        <v>-1.4897523215040567E-13</v>
      </c>
      <c r="GB149" s="13" t="e">
        <f t="shared" si="302"/>
        <v>#NUM!</v>
      </c>
      <c r="GC149" s="20" t="e">
        <f t="shared" si="248"/>
        <v>#NUM!</v>
      </c>
      <c r="GD149" s="59" t="e">
        <f t="shared" si="249"/>
        <v>#NUM!</v>
      </c>
      <c r="GE149" s="59">
        <f ca="1">AVERAGE(OFFSET($GD$3,0,0,'Données projet'!$E$17+1,1))-AVERAGE(OFFSET($H$3,0,0,'Données projet'!$E$17+1,1))</f>
        <v>245.1983232777614</v>
      </c>
      <c r="GF149" s="59">
        <f t="shared" si="303"/>
        <v>242.34010522344573</v>
      </c>
      <c r="GG149" s="15">
        <f>IF(ISNA(VLOOKUP(A149,'Données projet'!$A$253:$I$273,3,0)),0,VLOOKUP(A149,'Données projet'!$A$253:$I$273,3,0))</f>
        <v>0</v>
      </c>
      <c r="GH149" s="15">
        <f>IF(ISNA(VLOOKUP(A149,'Données projet'!$A$253:$I$273,4,0)),0,VLOOKUP(A149,'Données projet'!$A$253:$I$273,4,0))</f>
        <v>0</v>
      </c>
      <c r="GI149" s="16">
        <f>IF(ISNA(VLOOKUP(A149,'Données projet'!$A$253:$I$273,5,0)),0%,VLOOKUP(A149,'Données projet'!$A$253:$I$273,5,0)*VLOOKUP('Données projet'!$B$17,Paramètres!$A$1:$I$89,7,0))</f>
        <v>0</v>
      </c>
      <c r="GJ149" s="16">
        <f>IF(ISNA(VLOOKUP(A149,'Données projet'!$A$253:$I$273,6,0)),0%,VLOOKUP(A149,'Données projet'!$A$253:$I$273,6,0)*VLOOKUP('Données projet'!$B$17,Paramètres!$A$1:$I$89,7,0))</f>
        <v>0</v>
      </c>
      <c r="GK149" s="16">
        <f>IF(ISNA(VLOOKUP(A149,'Données projet'!$A$253:$I$273,7,0)),0%,VLOOKUP(A149,'Données projet'!$A$253:$I$273,7,0))</f>
        <v>0</v>
      </c>
      <c r="GL149" s="21">
        <f>EXP(-LN(2)/35)*GL148+(1-EXP(-LN(2)/35))/(LN(2)/35)*GH149*GI149*VLOOKUP('Données projet'!$B$17,Paramètres!$A$1:$I$89,3,0)*0.475*44/12</f>
        <v>33.344642045775586</v>
      </c>
      <c r="GM149" s="21">
        <f>EXP(-LN(2)/25)*GM148+(1-EXP(-LN(2)/25))/(LN(2)/25)*Calculateur!GH149*Calculateur!GJ149*VLOOKUP('Données projet'!$B$17,Paramètres!$A$1:$I$89,3,0)*0.475*44/12</f>
        <v>3.4936631331687007</v>
      </c>
      <c r="GN149" s="21">
        <f>EXP(-LN(2)/2)*GN148+(1-EXP(-LN(2)/2))/(LN(2)/2)*GH149*GK149*VLOOKUP('Données projet'!$B$17,Paramètres!$A$1:$I$89,3,0)*0.475*44/12</f>
        <v>0</v>
      </c>
      <c r="GO149" s="21">
        <f t="shared" si="250"/>
        <v>36.838305178944289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projet'!$A$279:$I$299,2,0)</f>
        <v>#N/A</v>
      </c>
      <c r="GS149" s="12" t="e">
        <f>VLOOKUP(A149,'Données projet'!$A$279:$I$299,9,0)</f>
        <v>#N/A</v>
      </c>
      <c r="GT149" s="12">
        <f t="array" ref="GT149">INDEX(GS:GS,MIN(IF(ISNUMBER(GS149:GS345),ROW(GS149:GS345),"")))</f>
        <v>0</v>
      </c>
      <c r="GU149" s="12">
        <f>IF('Données projet'!$A$280&gt;35,GU148+GT149-HC148,IF(A149&lt;'Données projet'!$A$280,$GR$205^A149,IF(A149='Données projet'!$A$280,'Données projet'!$B$280,GU148+GT149-HC148)))</f>
        <v>-1.1368683772161603E-13</v>
      </c>
      <c r="GV149" s="17">
        <f>GU149*VLOOKUP('Données projet'!$B$18,Paramètres!$A$1:$I$89,3,0)*VLOOKUP('Données projet'!$B$18,Paramètres!$A$1:$I$89,5,0)</f>
        <v>-4.5815795601811263E-14</v>
      </c>
      <c r="GW149" s="13" t="e">
        <f t="shared" si="304"/>
        <v>#NUM!</v>
      </c>
      <c r="GX149" s="20" t="e">
        <f t="shared" si="251"/>
        <v>#NUM!</v>
      </c>
      <c r="GY149" s="59" t="e">
        <f t="shared" si="252"/>
        <v>#NUM!</v>
      </c>
      <c r="GZ149" s="59">
        <f ca="1">AVERAGE(OFFSET($GY$3,0,0,'Données projet'!$E$18+1,1))-AVERAGE(OFFSET($H$3,0,0,'Données projet'!$E$18+1,1))</f>
        <v>324.36162935850876</v>
      </c>
      <c r="HA149" s="59">
        <f t="shared" si="305"/>
        <v>265.23571072429735</v>
      </c>
      <c r="HB149" s="15">
        <f>IF(ISNA(VLOOKUP(A149,'Données projet'!$A$279:$I$299,3,0)),0,VLOOKUP(A149,'Données projet'!$A$279:$I$299,3,0))</f>
        <v>0</v>
      </c>
      <c r="HC149" s="15">
        <f>IF(ISNA(VLOOKUP(A149,'Données projet'!$A$279:$I$299,4,0)),0,VLOOKUP(A149,'Données projet'!$A$279:$I$299,4,0))</f>
        <v>0</v>
      </c>
      <c r="HD149" s="16">
        <f>IF(ISNA(VLOOKUP(A149,'Données projet'!$A$279:$I$299,5,0)),0%,VLOOKUP(A149,'Données projet'!$A$279:$I$299,5,0)*VLOOKUP('Données projet'!$B$18,Paramètres!$A$1:$I$89,7,0))</f>
        <v>0</v>
      </c>
      <c r="HE149" s="16">
        <f>IF(ISNA(VLOOKUP(A149,'Données projet'!$A$279:$I$299,6,0)),0%,VLOOKUP(A149,'Données projet'!$A$279:$I$299,6,0)*VLOOKUP('Données projet'!$B$18,Paramètres!$A$1:$I$89,7,0))</f>
        <v>0</v>
      </c>
      <c r="HF149" s="16">
        <f>IF(ISNA(VLOOKUP($A149,'Données projet'!$A$279:$I$299,7,0)),0%,VLOOKUP($A149,'Données projet'!$A$279:$I$299,7,0))</f>
        <v>0</v>
      </c>
      <c r="HG149" s="21">
        <f>EXP(-LN(2)/35)*HG148+(1-EXP(-LN(2)/35))/(LN(2)/35)*HC149*HD149*VLOOKUP('Données projet'!$B$18,Paramètres!$A$1:$I$89,3,0)*0.475*44/12</f>
        <v>63.897051076354806</v>
      </c>
      <c r="HH149" s="21">
        <f>EXP(-LN(2)/25)*HH148+(1-EXP(-LN(2)/25))/(LN(2)/25)*Calculateur!HC149*Calculateur!HE149*VLOOKUP('Données projet'!$B$18,Paramètres!$A$1:$I$89,3,0)*0.475*44/12</f>
        <v>3.885578301824181</v>
      </c>
      <c r="HI149" s="21">
        <f>EXP(-LN(2)/2)*HI148+(1-EXP(-LN(2)/2))/(LN(2)/2)*HC149*HF149*VLOOKUP('Données projet'!$B$18,Paramètres!$A$1:$I$89,3,0)*0.475*44/12</f>
        <v>9.9502616903976627E-10</v>
      </c>
      <c r="HJ149" s="22">
        <f t="shared" si="253"/>
        <v>67.782629379174011</v>
      </c>
      <c r="HK149" s="74">
        <f>('Scénario référence'!$F$8+'Scénario référence'!$F$9+'Scénario référence'!$B$17+'Scénario référence'!$B$9+'Scénario référence'!$B$10)*70+IF((45+25*(1-EXP(-0.0175*$A149)))&lt;70,'Scénario référence'!$B$16*(45+25*(1-EXP(-0.0175*$A149))),70*'Scénario référence'!$B$16)+IF((32+38*(1-EXP(-0.0175*$A149)))&lt;70,'Scénario référence'!$B$18*(32+38*(1-EXP(-0.0175*$A149))),70*'Scénario référence'!$B$18)</f>
        <v>70</v>
      </c>
      <c r="HL149" s="12">
        <f>IF($A149&gt;30,10,('Scénario référence'!$B$16+'Scénario référence'!$B$17+'Scénario référence'!$B$18+'Scénario référence'!$B$9+'Scénario référence'!$B$10)*$A149*10/30+('Scénario référence'!$F$8+'Scénario référence'!$F$9)*10)</f>
        <v>10</v>
      </c>
      <c r="HM149" s="12" t="e">
        <f>VLOOKUP($A149,'Données projet'!$A$304:$I$324,2,0)</f>
        <v>#N/A</v>
      </c>
      <c r="HN149" s="12" t="e">
        <f>VLOOKUP($A149,'Données projet'!$A$304:$I$324,9,0)</f>
        <v>#N/A</v>
      </c>
      <c r="HO149" s="12">
        <f t="array" ref="HO149">INDEX(HN:HN,MIN(IF(ISNUMBER(HN149:HN345),ROW(HN149:HN345),"")))</f>
        <v>0</v>
      </c>
      <c r="HP149" s="12">
        <f>IF('Données projet'!$A$304&gt;35,HP148+HO149-HX148,IF($A149&lt;'Données projet'!$A$304,$CQ$205^$A149,IF($A149='Données projet'!$A$304,'Données projet'!$B$304,HP148+HO149-HX148)))</f>
        <v>0</v>
      </c>
      <c r="HQ149" s="17">
        <f>HP149*VLOOKUP('Données projet'!$B$19,Paramètres!$A$1:$I$89,3,0)*VLOOKUP('Données projet'!$B$19,Paramètres!$A$1:$I$89,5,0)</f>
        <v>0</v>
      </c>
      <c r="HR149" s="13" t="e">
        <f t="shared" si="306"/>
        <v>#NUM!</v>
      </c>
      <c r="HS149" s="14" t="e">
        <f t="shared" si="254"/>
        <v>#NUM!</v>
      </c>
      <c r="HT149" s="59" t="e">
        <f t="shared" si="255"/>
        <v>#NUM!</v>
      </c>
      <c r="HU149" s="59">
        <f ca="1">AVERAGE(OFFSET(HT$3,0,0,'Données projet'!$E$19+1,1))-AVERAGE(OFFSET($H$3,0,0,'Données projet'!$E$19+1,1))</f>
        <v>91.60721429656013</v>
      </c>
      <c r="HV149" s="59">
        <f t="shared" si="307"/>
        <v>258.94957804210856</v>
      </c>
      <c r="HW149" s="15">
        <f>IF(ISNA(VLOOKUP($A149,'Données projet'!$A$304:$I$324,3,0)),0,VLOOKUP($A149,'Données projet'!$A$304:$I$324,3,0))</f>
        <v>0</v>
      </c>
      <c r="HX149" s="15">
        <f>IF(ISNA(VLOOKUP($A149,'Données projet'!$A$304:$I$324,4,0)),0,VLOOKUP($A149,'Données projet'!$A$304:$I$324,4,0))</f>
        <v>0</v>
      </c>
      <c r="HY149" s="16">
        <f>IF(ISNA(VLOOKUP($A149,'Données projet'!$A$304:$I$324,5,0)),0%,VLOOKUP($A149,'Données projet'!$A$304:$I$324,5,0)*VLOOKUP('Données projet'!$B$19,Paramètres!$A$1:$I$89,7,0))</f>
        <v>0</v>
      </c>
      <c r="HZ149" s="16">
        <f>IF(ISNA(VLOOKUP($A149,'Données projet'!$A$304:$I$324,6,0)),0%,VLOOKUP($A149,'Données projet'!$A$304:$I$324,6,0)*VLOOKUP('Données projet'!$B$19,Paramètres!$A$1:$I$89,7,0))</f>
        <v>0</v>
      </c>
      <c r="IA149" s="16">
        <f>IF(ISNA(VLOOKUP($A149,'Données projet'!$A$304:$I$324,7,0)),0%,VLOOKUP($A149,'Données projet'!$A$304:$I$324,7,0))</f>
        <v>0</v>
      </c>
      <c r="IB149" s="21">
        <f>EXP(-LN(2)/35)*IB148+(1-EXP(-LN(2)/35))/(LN(2)/35)*HX149*HY149*VLOOKUP('Données projet'!$B$19,Paramètres!$A$1:$I$89,3,0)*0.475*44/12</f>
        <v>4.9594727976558151</v>
      </c>
      <c r="IC149" s="21">
        <f>EXP(-LN(2)/25)*IC148+(1-EXP(-LN(2)/25))/(LN(2)/25)*Calculateur!HX149*Calculateur!HZ149*VLOOKUP('Données projet'!$B$19,Paramètres!$A$1:$I$89,3,0)*0.475*44/12</f>
        <v>0.39015051064285844</v>
      </c>
      <c r="ID149" s="21">
        <f>EXP(-LN(2)/2)*ID148+(1-EXP(-LN(2)/2))/(LN(2)/2)*HX149*IA149*VLOOKUP('Données projet'!$B$19,Paramètres!$A$1:$I$89,3,0)*0.475*44/12</f>
        <v>1.9874807068997245E-18</v>
      </c>
      <c r="IE149" s="22">
        <f t="shared" si="256"/>
        <v>5.3496233082986731</v>
      </c>
      <c r="IF149" s="74">
        <f>('Scénario référence'!$F$8+'Scénario référence'!$F$9+'Scénario référence'!$B$17+'Scénario référence'!$B$9+'Scénario référence'!$B$10)*70+IF((45+25*(1-EXP(-0.0175*$A149)))&lt;70,'Scénario référence'!$B$16*(45+25*(1-EXP(-0.0175*$A149))),70*'Scénario référence'!$B$16)+IF((32+38*(1-EXP(-0.0175*$A149)))&lt;70,'Scénario référence'!$B$18*(32+38*(1-EXP(-0.0175*$A149))),70*'Scénario référence'!$B$18)</f>
        <v>70</v>
      </c>
      <c r="IG149" s="12">
        <f>IF($A149&gt;30,10,('Scénario référence'!$B$16+'Scénario référence'!$B$17+'Scénario référence'!$B$18+'Scénario référence'!$B$9+'Scénario référence'!$B$10)*$A149*10/30+('Scénario référence'!$F$8+'Scénario référence'!$F$9)*10)</f>
        <v>10</v>
      </c>
      <c r="IH149" s="12" t="e">
        <f>VLOOKUP($A149,'Données projet'!$A$330:$I$350,2,0)</f>
        <v>#N/A</v>
      </c>
      <c r="II149" s="12" t="e">
        <f>VLOOKUP($A149,'Données projet'!$A$330:$I$350,9,0)</f>
        <v>#N/A</v>
      </c>
      <c r="IJ149" s="12">
        <f t="array" ref="IJ149">INDEX(II:II,MIN(IF(ISNUMBER(II149:II345),ROW(II149:II345),"")))</f>
        <v>0</v>
      </c>
      <c r="IK149" s="12">
        <f>IF('Données projet'!$A$330&gt;35,IK148+IJ149-IS148,IF($A149&lt;'Données projet'!$A$330,$CQ$205^$A149,IF($A149='Données projet'!$A$330,'Données projet'!$B$330,IK148+IJ149-IS148)))</f>
        <v>0</v>
      </c>
      <c r="IL149" s="17">
        <f>IK149*VLOOKUP('Données projet'!$B$20,Paramètres!$A$1:$I$89,3,0)*VLOOKUP('Données projet'!$B$20,Paramètres!$A$1:$I$89,5,0)</f>
        <v>0</v>
      </c>
      <c r="IM149" s="13" t="e">
        <f t="shared" si="308"/>
        <v>#NUM!</v>
      </c>
      <c r="IN149" s="20" t="e">
        <f t="shared" si="257"/>
        <v>#NUM!</v>
      </c>
      <c r="IO149" s="59" t="e">
        <f t="shared" si="258"/>
        <v>#NUM!</v>
      </c>
      <c r="IP149" s="59">
        <f ca="1">AVERAGE(OFFSET(IO$3,0,0,'Données projet'!$E$20+1,1))-AVERAGE(OFFSET($H$3,0,0,'Données projet'!$E$20+1,1))</f>
        <v>91.60721429656013</v>
      </c>
      <c r="IQ149" s="59">
        <f t="shared" si="309"/>
        <v>258.94957804210856</v>
      </c>
      <c r="IR149" s="15">
        <f>IF(ISNA(VLOOKUP($A149,'Données projet'!$A$330:$I$350,3,0)),0,VLOOKUP($A149,'Données projet'!$A$330:$I$350,3,0))</f>
        <v>0</v>
      </c>
      <c r="IS149" s="15">
        <f>IF(ISNA(VLOOKUP($A149,'Données projet'!$A$330:$I$350,4,0)),0,VLOOKUP($A149,'Données projet'!$A$330:$I$350,4,0))</f>
        <v>0</v>
      </c>
      <c r="IT149" s="16">
        <f>IF(ISNA(VLOOKUP($A149,'Données projet'!$A$330:$I$350,5,0)),0%,VLOOKUP($A149,'Données projet'!$A$330:$I$350,5,0)*VLOOKUP('Données projet'!$B$20,Paramètres!$A$1:$I$89,7,0))</f>
        <v>0</v>
      </c>
      <c r="IU149" s="16">
        <f>IF(ISNA(VLOOKUP($A149,'Données projet'!$A$330:$I$350,6,0)),0%,VLOOKUP($A149,'Données projet'!$A$330:$I$350,6,0)*VLOOKUP('Données projet'!$B$20,Paramètres!$A$1:$I$89,7,0))</f>
        <v>0</v>
      </c>
      <c r="IV149" s="16">
        <f>IF(ISNA(VLOOKUP($A149,'Données projet'!$A$330:$I$350,7,0)),0%,VLOOKUP($A149,'Données projet'!$A$330:$I$350,7,0))</f>
        <v>0</v>
      </c>
      <c r="IW149" s="21">
        <f>EXP(-LN(2)/35)*IW148+(1-EXP(-LN(2)/35))/(LN(2)/35)*IS149*IT149*VLOOKUP('Données projet'!$B$20,Paramètres!$A$1:$I$89,3,0)*0.475*44/12</f>
        <v>4.9594727976558151</v>
      </c>
      <c r="IX149" s="21">
        <f>EXP(-LN(2)/25)*IX148+(1-EXP(-LN(2)/25))/(LN(2)/25)*Calculateur!IS149*Calculateur!IU149*VLOOKUP('Données projet'!$B$20,Paramètres!$A$1:$I$89,3,0)*0.475*44/12</f>
        <v>0.39015051064285844</v>
      </c>
      <c r="IY149" s="21">
        <f>EXP(-LN(2)/2)*IY148+(1-EXP(-LN(2)/2))/(LN(2)/2)*IS149*IV149*VLOOKUP('Données projet'!$B$20,Paramètres!$A$1:$I$89,3,0)*0.475*44/12</f>
        <v>1.9874807068997245E-18</v>
      </c>
      <c r="IZ149" s="22">
        <f t="shared" si="259"/>
        <v>5.3496233082986731</v>
      </c>
      <c r="JA149" s="74">
        <f>('Scénario référence'!$F$8+'Scénario référence'!$F$9+'Scénario référence'!$B$17+'Scénario référence'!$B$9+'Scénario référence'!$B$10)*70+IF((45+25*(1-EXP(-0.0175*$A149)))&lt;70,'Scénario référence'!$B$16*(45+25*(1-EXP(-0.0175*$A149))),70*'Scénario référence'!$B$16)+IF((32+38*(1-EXP(-0.0175*$A149)))&lt;70,'Scénario référence'!$B$18*(32+38*(1-EXP(-0.0175*$A149))),70*'Scénario référence'!$B$18)</f>
        <v>70</v>
      </c>
      <c r="JB149" s="12">
        <f>IF($A149&gt;30,10,('Scénario référence'!$B$16+'Scénario référence'!$B$17+'Scénario référence'!$B$18+'Scénario référence'!$B$9+'Scénario référence'!$B$10)*$A149*10/30+('Scénario référence'!$F$8+'Scénario référence'!$F$9)*10)</f>
        <v>10</v>
      </c>
      <c r="JC149" s="12" t="e">
        <f>VLOOKUP($A149,'Données projet'!$A$356:$I$376,2,0)</f>
        <v>#N/A</v>
      </c>
      <c r="JD149" s="12" t="e">
        <f>VLOOKUP($A149,'Données projet'!$A$356:$I$376,9,0)</f>
        <v>#N/A</v>
      </c>
      <c r="JE149" s="12">
        <f t="array" ref="JE149">INDEX(JD:JD,MIN(IF(ISNUMBER(JD149:JD345),ROW(JD149:JD345),"")))</f>
        <v>1.4</v>
      </c>
      <c r="JF149" s="12">
        <f>IF('Données projet'!$A$356&gt;35,JF148+JE149-JN148,IF($A149&lt;'Données projet'!$A$356,$CQ$205^$A149,IF($A149='Données projet'!$A$356,'Données projet'!$B$356,JF148+JE149-JN148)))</f>
        <v>442.39999999999878</v>
      </c>
      <c r="JG149" s="17">
        <f>JF149*VLOOKUP('Données projet'!$B$21,Paramètres!$A$1:$I$89,3,0)*VLOOKUP('Données projet'!$B$21,Paramètres!$A$1:$I$89,5,0)</f>
        <v>358.87487999999905</v>
      </c>
      <c r="JH149" s="13">
        <f t="shared" si="310"/>
        <v>83.387269453422917</v>
      </c>
      <c r="JI149" s="20">
        <f t="shared" si="260"/>
        <v>770.27324363137643</v>
      </c>
      <c r="JJ149" s="59">
        <f t="shared" si="261"/>
        <v>1063.6065769647098</v>
      </c>
      <c r="JK149" s="59">
        <f ca="1">AVERAGE(OFFSET($JJ$3,0,0,'Données projet'!$E$22+1,1))-AVERAGE(OFFSET($H$3,0,0,'Données projet'!$E$22+1,1))</f>
        <v>353.35574633294613</v>
      </c>
      <c r="JL149" s="59">
        <f t="shared" si="311"/>
        <v>170.36796666474726</v>
      </c>
      <c r="JM149" s="15">
        <f>IF(ISNA(VLOOKUP($A149,'Données projet'!$A$356:$I$376,3,0)),0,VLOOKUP($A149,'Données projet'!$A$356:$I$376,3,0))</f>
        <v>0</v>
      </c>
      <c r="JN149" s="15">
        <f>IF(ISNA(VLOOKUP($A149,'Données projet'!$A$356:$I$376,4,0)),0,VLOOKUP($A149,'Données projet'!$A$356:$I$376,4,0))</f>
        <v>0</v>
      </c>
      <c r="JO149" s="16">
        <f>IF(ISNA(VLOOKUP($A149,'Données projet'!$A$356:$I$376,5,0)),0%,VLOOKUP($A149,'Données projet'!$A$356:$I$376,5,0)*VLOOKUP('Données projet'!$B$21,Paramètres!$A$1:$I$89,7,0))</f>
        <v>0</v>
      </c>
      <c r="JP149" s="16">
        <f>IF(ISNA(VLOOKUP($A149,'Données projet'!$A$356:$I$376,6,0)),0%,VLOOKUP($A149,'Données projet'!$A$356:$I$376,6,0)*VLOOKUP('Données projet'!$B$21,Paramètres!$A$1:$I$89,7,0))</f>
        <v>0</v>
      </c>
      <c r="JQ149" s="16">
        <f>IF(ISNA(VLOOKUP($A149,'Données projet'!$A$356:$I$376,7,0)),0%,VLOOKUP($A149,'Données projet'!$A$356:$I$376,7,0))</f>
        <v>0</v>
      </c>
      <c r="JR149" s="21">
        <f>EXP(-LN(2)/35)*JR148+(1-EXP(-LN(2)/35))/(LN(2)/35)*JN149*JO149*VLOOKUP('Données projet'!$B$21,Paramètres!$A$1:$I$89,3,0)*0.475*44/12</f>
        <v>4.7106128914170942</v>
      </c>
      <c r="JS149" s="21">
        <f>EXP(-LN(2)/25)*JS148+(1-EXP(-LN(2)/25))/(LN(2)/25)*Calculateur!JN149*Calculateur!JP149*VLOOKUP('Données projet'!$B$21,Paramètres!$A$1:$I$89,3,0)*0.475*44/12</f>
        <v>8.4896470494739944</v>
      </c>
      <c r="JT149" s="21">
        <f>EXP(-LN(2)/2)*JT148+(1-EXP(-LN(2)/2))/(LN(2)/2)*JN149*JQ149*VLOOKUP('Données projet'!$B$21,Paramètres!$A$1:$I$89,3,0)*0.475*44/12</f>
        <v>5.9929097305174966E-3</v>
      </c>
      <c r="JU149" s="18">
        <f t="shared" si="262"/>
        <v>13.206252850621606</v>
      </c>
      <c r="JV149" s="74">
        <f>('Scénario référence'!$F$8+'Scénario référence'!$F$9+'Scénario référence'!$B$17+'Scénario référence'!$B$9+'Scénario référence'!$B$10)*70+IF((45+25*(1-EXP(-0.0175*$A149)))&lt;70,'Scénario référence'!$B$16*(45+25*(1-EXP(-0.0175*$A149))),70*'Scénario référence'!$B$16)+IF((32+38*(1-EXP(-0.0175*$A149)))&lt;70,'Scénario référence'!$B$18*(32+38*(1-EXP(-0.0175*$A149))),70*'Scénario référence'!$B$18)</f>
        <v>70</v>
      </c>
      <c r="JW149" s="12">
        <f>IF($A149&gt;30,10,('Scénario référence'!$B$16+'Scénario référence'!$B$17+'Scénario référence'!$B$18+'Scénario référence'!$B$9+'Scénario référence'!$B$10)*$A149*10/30+('Scénario référence'!$F$8+'Scénario référence'!$F$9)*10)</f>
        <v>10</v>
      </c>
      <c r="JX149" s="12" t="e">
        <f>VLOOKUP($A149,'Données projet'!$A$382:$I$402,2,0)</f>
        <v>#N/A</v>
      </c>
      <c r="JY149" s="12" t="e">
        <f>VLOOKUP($A149,'Données projet'!$A$382:$I$402,9,0)</f>
        <v>#N/A</v>
      </c>
      <c r="JZ149" s="12">
        <f t="array" ref="JZ149">INDEX(JY:JY,MIN(IF(ISNUMBER(JY149:JY345),ROW(JY149:JY345),"")))</f>
        <v>0</v>
      </c>
      <c r="KA149" s="12">
        <f>IF('Données projet'!$A$382&gt;35,KA148+JZ149-KI148,IF($A149&lt;'Données projet'!$A$382,$CQ$205^$A149,IF($A149='Données projet'!$A$382,'Données projet'!$B$382,KA148+JZ149-KI148)))</f>
        <v>5.6843418860808015E-13</v>
      </c>
      <c r="KB149" s="17">
        <f>KA149*VLOOKUP('Données projet'!$B$22,Paramètres!$A$1:$I$89,3,0)*VLOOKUP('Données projet'!$B$22,Paramètres!$A$1:$I$89,5,0)</f>
        <v>3.8130565371830017E-13</v>
      </c>
      <c r="KC149" s="13">
        <f t="shared" si="312"/>
        <v>4.9019074112354236E-12</v>
      </c>
      <c r="KD149" s="20">
        <f t="shared" si="263"/>
        <v>9.2015960881277352E-12</v>
      </c>
      <c r="KE149" s="59">
        <f t="shared" si="264"/>
        <v>293.33333333334252</v>
      </c>
      <c r="KF149" s="59">
        <f ca="1">AVERAGE(OFFSET($KE$3,0,0,'Données projet'!$E$22+1,1))-AVERAGE(OFFSET($H$3,0,0,'Données projet'!$E$22+1,1))</f>
        <v>193.91714772848269</v>
      </c>
      <c r="KG149" s="59">
        <f t="shared" si="313"/>
        <v>159.20429420478047</v>
      </c>
      <c r="KH149" s="15">
        <f>IF(ISNA(VLOOKUP($A149,'Données projet'!$A$382:$I$402,3,0)),0,VLOOKUP($A149,'Données projet'!$A$382:$I$402,3,0))</f>
        <v>0</v>
      </c>
      <c r="KI149" s="15">
        <f>IF(ISNA(VLOOKUP($A149,'Données projet'!$A$382:$I$402,4,0)),0,VLOOKUP($A149,'Données projet'!$A$382:$I$402,4,0))</f>
        <v>0</v>
      </c>
      <c r="KJ149" s="16">
        <f>IF(ISNA(VLOOKUP($A149,'Données projet'!$A$382:$I$402,5,0)),0%,VLOOKUP($A149,'Données projet'!$A$382:$I$402,5,0)*VLOOKUP('Données projet'!$B$22,Paramètres!$A$1:$I$89,7,0))</f>
        <v>0</v>
      </c>
      <c r="KK149" s="16">
        <f>IF(ISNA(VLOOKUP($A149,'Données projet'!$A$382:$I$402,6,0)),0%,VLOOKUP($A149,'Données projet'!$A$382:$I$402,6,0)*VLOOKUP('Données projet'!$B$22,Paramètres!$A$1:$I$89,7,0))</f>
        <v>0</v>
      </c>
      <c r="KL149" s="16">
        <f>IF(ISNA(VLOOKUP($A149,'Données projet'!$A$382:$I$402,7,0)),0%,VLOOKUP($A149,'Données projet'!$A$382:$I$402,7,0))</f>
        <v>0</v>
      </c>
      <c r="KM149" s="21">
        <f>EXP(-LN(2)/35)*KM148+(1-EXP(-LN(2)/35))/(LN(2)/35)*KI149*KJ149*VLOOKUP('Données projet'!$B$22,Paramètres!$A$1:$I$89,3,0)*0.475*44/12</f>
        <v>116.09008165074012</v>
      </c>
      <c r="KN149" s="21">
        <f>EXP(-LN(2)/25)*KN148+(1-EXP(-LN(2)/25))/(LN(2)/25)*Calculateur!KI149*Calculateur!KK149*VLOOKUP('Données projet'!$B$22,Paramètres!$A$1:$I$89,3,0)*0.475*44/12</f>
        <v>0</v>
      </c>
      <c r="KO149" s="21">
        <f>EXP(-LN(2)/2)*KO148+(1-EXP(-LN(2)/2))/(LN(2)/2)*KI149*KL149*VLOOKUP('Données projet'!$B$22,Paramètres!$A$1:$I$89,3,0)*0.475*44/12</f>
        <v>0</v>
      </c>
      <c r="KP149" s="22">
        <f t="shared" si="265"/>
        <v>116.09008165074012</v>
      </c>
      <c r="KQ149" s="74">
        <f>('Scénario référence'!$F$8+'Scénario référence'!$F$9+'Scénario référence'!$B$17+'Scénario référence'!$B$9+'Scénario référence'!$B$10)*70+IF((45+25*(1-EXP(-0.0175*$A149)))&lt;70,'Scénario référence'!$B$16*(45+25*(1-EXP(-0.0175*$A149))),70*'Scénario référence'!$B$16)+IF((32+38*(1-EXP(-0.0175*$A149)))&lt;70,'Scénario référence'!$B$18*(32+38*(1-EXP(-0.0175*$A149))),70*'Scénario référence'!$B$18)</f>
        <v>70</v>
      </c>
      <c r="KR149" s="12">
        <f>IF($A149&gt;30,10,('Scénario référence'!$B$16+'Scénario référence'!$B$17+'Scénario référence'!$B$18+'Scénario référence'!$B$9+'Scénario référence'!$B$10)*$A149*10/30+('Scénario référence'!$F$8+'Scénario référence'!$F$9)*10)</f>
        <v>10</v>
      </c>
      <c r="KS149" s="12" t="e">
        <f>VLOOKUP($A149,'Données projet'!$A$408:$I$428,2,0)</f>
        <v>#N/A</v>
      </c>
      <c r="KT149" s="12" t="e">
        <f>VLOOKUP($A149,'Données projet'!$A$408:$I$428,9,0)</f>
        <v>#N/A</v>
      </c>
      <c r="KU149" s="12">
        <f t="array" ref="KU149">INDEX(KT:KT,MIN(IF(ISNUMBER(KT149:KT345),ROW(KT149:KT345),"")))</f>
        <v>0</v>
      </c>
      <c r="KV149" s="12">
        <f>IF('Données projet'!$A$408&gt;35,KV148+KU149-LD148,IF($A149&lt;'Données projet'!$A$408,$CQ$205^$A149,IF($A149='Données projet'!$A$408,'Données projet'!$B$408,KV148+KU149-LD148)))</f>
        <v>-1.1368683772161603E-13</v>
      </c>
      <c r="KW149" s="17">
        <f>KV149*VLOOKUP('Données projet'!$B$23,Paramètres!$A$1:$I$89,3,0)*VLOOKUP('Données projet'!$B$23,Paramètres!$A$1:$I$89,5,0)</f>
        <v>-9.9316821433603781E-14</v>
      </c>
      <c r="KX149" s="13" t="e">
        <f t="shared" si="314"/>
        <v>#NUM!</v>
      </c>
      <c r="KY149" s="14" t="e">
        <f t="shared" si="266"/>
        <v>#NUM!</v>
      </c>
      <c r="KZ149" s="59" t="e">
        <f t="shared" si="267"/>
        <v>#NUM!</v>
      </c>
      <c r="LA149" s="59">
        <f ca="1">AVERAGE(OFFSET($KZ$3,0,0,'Données projet'!$E$23+1,1))-AVERAGE(OFFSET($H$3,0,0,'Données projet'!$E$23+1,1))</f>
        <v>248.33596943633819</v>
      </c>
      <c r="LB149" s="59">
        <f t="shared" si="315"/>
        <v>242.34010522344573</v>
      </c>
      <c r="LC149" s="15">
        <f>IF(ISNA(VLOOKUP($A149,'Données projet'!$A$408:$I$428,3,0)),0,VLOOKUP($A149,'Données projet'!$A$408:$I$428,3,0))</f>
        <v>0</v>
      </c>
      <c r="LD149" s="15">
        <f>IF(ISNA(VLOOKUP($A149,'Données projet'!$A$408:$I$428,4,0)),0,VLOOKUP($A149,'Données projet'!$A$408:$I$428,4,0))</f>
        <v>0</v>
      </c>
      <c r="LE149" s="16">
        <f>IF(ISNA(VLOOKUP($A149,'Données projet'!$A$408:$I$428,5,0)),0%,VLOOKUP($A149,'Données projet'!$A$408:$I$428,5,0)*VLOOKUP('Données projet'!$B$23,Paramètres!$A$1:$I$89,7,0))</f>
        <v>0</v>
      </c>
      <c r="LF149" s="16">
        <f>IF(ISNA(VLOOKUP($A149,'Données projet'!$A$408:$I$428,6,0)),0%,VLOOKUP($A149,'Données projet'!$A$408:$I$428,6,0)*VLOOKUP('Données projet'!$B$23,Paramètres!$A$1:$I$89,7,0))</f>
        <v>0</v>
      </c>
      <c r="LG149" s="16">
        <f>IF(ISNA(VLOOKUP($A149,'Données projet'!$A$408:$I$428,7,0)),0%,VLOOKUP($A149,'Données projet'!$A$408:$I$428,7,0))</f>
        <v>0</v>
      </c>
      <c r="LH149" s="21">
        <f>EXP(-LN(2)/35)*LH148+(1-EXP(-LN(2)/35))/(LN(2)/35)*LD149*LE149*VLOOKUP('Données projet'!$B$23,Paramètres!$A$1:$I$89,3,0)*0.475*44/12</f>
        <v>33.344642045775586</v>
      </c>
      <c r="LI149" s="21">
        <f>EXP(-LN(2)/25)*LI148+(1-EXP(-LN(2)/25))/(LN(2)/25)*Calculateur!LD149*Calculateur!LF149*VLOOKUP('Données projet'!$B$23,Paramètres!$A$1:$I$89,3,0)*0.475*44/12</f>
        <v>3.4936631331687007</v>
      </c>
      <c r="LJ149" s="21">
        <f>EXP(-LN(2)/2)*LJ148+(1-EXP(-LN(2)/2))/(LN(2)/2)*LD149*LG149*VLOOKUP('Données projet'!$B$23,Paramètres!$A$1:$I$89,3,0)*0.475*44/12</f>
        <v>0</v>
      </c>
      <c r="LK149" s="22">
        <f t="shared" si="268"/>
        <v>36.838305178944289</v>
      </c>
      <c r="LL149" s="74">
        <f>('Scénario référence'!$F$8+'Scénario référence'!$F$9+'Scénario référence'!$B$17+'Scénario référence'!$B$9+'Scénario référence'!$B$10)*70+IF((45+25*(1-EXP(-0.0175*$A149)))&lt;70,'Scénario référence'!$B$16*(45+25*(1-EXP(-0.0175*$A149))),70*'Scénario référence'!$B$16)+IF((32+38*(1-EXP(-0.0175*$A149)))&lt;70,'Scénario référence'!$B$18*(32+38*(1-EXP(-0.0175*$A149))),70*'Scénario référence'!$B$18)</f>
        <v>70</v>
      </c>
      <c r="LM149" s="12">
        <f>IF($A149&gt;30,10,('Scénario référence'!$B$16+'Scénario référence'!$B$17+'Scénario référence'!$B$18+'Scénario référence'!$B$9+'Scénario référence'!$B$10)*$A149*10/30+('Scénario référence'!$F$8+'Scénario référence'!$F$9)*10)</f>
        <v>10</v>
      </c>
      <c r="LN149" s="12" t="e">
        <f>VLOOKUP($A149,'Données projet'!$A$434:$I$454,2,0)</f>
        <v>#N/A</v>
      </c>
      <c r="LO149" s="12" t="e">
        <f>VLOOKUP($A149,'Données projet'!$A$434:$I$454,9,0)</f>
        <v>#N/A</v>
      </c>
      <c r="LP149" s="12">
        <f t="array" ref="LP149">INDEX(LO:LO,MIN(IF(ISNUMBER(LO149:LO345),ROW(LO149:LO345),"")))</f>
        <v>5.1063034188034209</v>
      </c>
      <c r="LQ149" s="12">
        <f>IF('Données projet'!$A$434&gt;35,LQ148+LP149-LY148,IF($A149&lt;'Données projet'!$A$434,$CQ$205^$A149,IF($A149='Données projet'!$A$434,'Données projet'!$B$434,LQ148+LP149-LY148)))</f>
        <v>287.86698717948673</v>
      </c>
      <c r="LR149" s="17">
        <f>LQ149*VLOOKUP('Données projet'!$B$24,Paramètres!$A$1:$I$89,3,0)*VLOOKUP('Données projet'!$B$24,Paramètres!$A$1:$I$89,5,0)</f>
        <v>291.89712499999956</v>
      </c>
      <c r="LS149" s="13">
        <f t="shared" si="316"/>
        <v>69.47509216813539</v>
      </c>
      <c r="LT149" s="14">
        <f t="shared" si="269"/>
        <v>629.38994490116841</v>
      </c>
      <c r="LU149" s="59">
        <f t="shared" si="270"/>
        <v>922.72327823450178</v>
      </c>
      <c r="LV149" s="59">
        <f ca="1">AVERAGE(OFFSET($LU$3,0,0,'Données projet'!$E$24+1,1))-AVERAGE(OFFSET($H$3,0,0,'Données projet'!$E$24+1,1))</f>
        <v>260.52627655062872</v>
      </c>
      <c r="LW149" s="59">
        <f t="shared" si="317"/>
        <v>159.20429420478047</v>
      </c>
      <c r="LX149" s="15">
        <f>IF(ISNA(VLOOKUP($A149,'Données projet'!$A$434:$I$454,3,0)),0,VLOOKUP($A149,'Données projet'!$A$434:$I$454,3,0))</f>
        <v>0</v>
      </c>
      <c r="LY149" s="15">
        <f>IF(ISNA(VLOOKUP($A149,'Données projet'!$A$434:$I$454,4,0)),0,VLOOKUP($A149,'Données projet'!$A$434:$I$454,4,0))</f>
        <v>0</v>
      </c>
      <c r="LZ149" s="16">
        <f>IF(ISNA(VLOOKUP($A149,'Données projet'!$A$434:$I$454,5,0)),0%,VLOOKUP($A149,'Données projet'!$A$434:$I$454,5,0)*VLOOKUP('Données projet'!$B$24,Paramètres!$A$1:$I$89,7,0))</f>
        <v>0</v>
      </c>
      <c r="MA149" s="16">
        <f>IF(ISNA(VLOOKUP($A149,'Données projet'!$A$434:$I$454,6,0)),0%,VLOOKUP($A149,'Données projet'!$A$434:$I$454,6,0)*VLOOKUP('Données projet'!$B$24,Paramètres!$A$1:$I$89,7,0))</f>
        <v>0</v>
      </c>
      <c r="MB149" s="16">
        <f>IF(ISNA(VLOOKUP($A149,'Données projet'!$A$434:$I$454,7,0)),0%,VLOOKUP($A149,'Données projet'!$A$434:$I$454,7,0))</f>
        <v>0</v>
      </c>
      <c r="MC149" s="21">
        <f>EXP(-LN(2)/35)*MC148+(1-EXP(-LN(2)/35))/(LN(2)/35)*LY149*LZ149*VLOOKUP('Données projet'!$B$24,Paramètres!$A$1:$I$89,3,0)*0.475*44/12</f>
        <v>45.977762767763757</v>
      </c>
      <c r="MD149" s="21">
        <f>EXP(-LN(2)/25)*MD148+(1-EXP(-LN(2)/25))/(LN(2)/25)*Calculateur!LY149*Calculateur!MA149*VLOOKUP('Données projet'!$B$24,Paramètres!$A$1:$I$89,3,0)*0.475*44/12</f>
        <v>0</v>
      </c>
      <c r="ME149" s="21">
        <f>EXP(-LN(2)/2)*ME148+(1-EXP(-LN(2)/2))/(LN(2)/2)*LY149*MB149*VLOOKUP('Données projet'!$B$24,Paramètres!$A$1:$I$89,3,0)*0.475*44/12</f>
        <v>0</v>
      </c>
      <c r="MF149" s="22">
        <f t="shared" si="271"/>
        <v>45.977762767763757</v>
      </c>
      <c r="MG149" s="74">
        <f>('Scénario référence'!$F$8+'Scénario référence'!$F$9+'Scénario référence'!$B$17+'Scénario référence'!$B$9+'Scénario référence'!$B$10)*70+IF((45+25*(1-EXP(-0.0175*$A149)))&lt;70,'Scénario référence'!$B$16*(45+25*(1-EXP(-0.0175*$A149))),70*'Scénario référence'!$B$16)+IF((32+38*(1-EXP(-0.0175*$A149)))&lt;70,'Scénario référence'!$B$18*(32+38*(1-EXP(-0.0175*$A149))),70*'Scénario référence'!$B$18)</f>
        <v>70</v>
      </c>
      <c r="MH149" s="12">
        <f>IF($A149&gt;30,10,('Scénario référence'!$B$16+'Scénario référence'!$B$17+'Scénario référence'!$B$18+'Scénario référence'!$B$9+'Scénario référence'!$B$10)*$A149*10/30+('Scénario référence'!$F$8+'Scénario référence'!$F$9)*10)</f>
        <v>10</v>
      </c>
      <c r="MI149" s="12" t="e">
        <f>VLOOKUP($A149,'Données projet'!$A$460:$I$480,2,0)</f>
        <v>#N/A</v>
      </c>
      <c r="MJ149" s="12" t="e">
        <f>VLOOKUP($A149,'Données projet'!$A$460:$I$480,9,0)</f>
        <v>#N/A</v>
      </c>
      <c r="MK149" s="12">
        <f t="array" ref="MK149">INDEX(MJ:MJ,MIN(IF(ISNUMBER(MJ149:MJ345),ROW(MJ149:MJ345),"")))</f>
        <v>0</v>
      </c>
      <c r="ML149" s="12">
        <f>IF('Données projet'!$A$460&gt;35,ML148+MK149-MT148,IF($A149&lt;'Données projet'!$A$460,$CQ$205^$A149,IF($A149='Données projet'!$A$460,'Données projet'!$B$460,ML148+MK149-MT148)))</f>
        <v>0</v>
      </c>
      <c r="MM149" s="17" t="e">
        <f>ML149*VLOOKUP('Données projet'!$B$25,Paramètres!$A$1:$I$89,3,0)*VLOOKUP('Données projet'!$B$25,Paramètres!$A$1:$I$89,5,0)</f>
        <v>#N/A</v>
      </c>
      <c r="MN149" s="13" t="e">
        <f t="shared" si="318"/>
        <v>#N/A</v>
      </c>
      <c r="MO149" s="14" t="e">
        <f t="shared" si="272"/>
        <v>#N/A</v>
      </c>
      <c r="MP149" s="59" t="e">
        <f t="shared" si="273"/>
        <v>#N/A</v>
      </c>
      <c r="MQ149" s="20" t="e">
        <f ca="1">AVERAGE(OFFSET($MP$3,0,0,'Données projet'!$E$25+1,1))-AVERAGE(OFFSET($H$3,0,0,'Données projet'!$E$25+1,1))</f>
        <v>#N/A</v>
      </c>
      <c r="MR149" s="59" t="e">
        <f t="shared" si="319"/>
        <v>#N/A</v>
      </c>
      <c r="MS149" s="15">
        <f>IF(ISNA(VLOOKUP($A149,'Données projet'!$A$460:$I$480,3,0)),0,VLOOKUP($A149,'Données projet'!$A$460:$I$480,3,0))</f>
        <v>0</v>
      </c>
      <c r="MT149" s="15">
        <f>IF(ISNA(VLOOKUP($A149,'Données projet'!$A$460:$I$480,4,0)),0,VLOOKUP($A149,'Données projet'!$A$460:$I$480,4,0))</f>
        <v>0</v>
      </c>
      <c r="MU149" s="16">
        <f>IF(ISNA(VLOOKUP($A149,'Données projet'!$A$460:$I$480,5,0)),0%,VLOOKUP($A149,'Données projet'!$A$460:$I$480,5,0)*VLOOKUP('Données projet'!$B$25,Paramètres!$A$1:$I$89,7,0))</f>
        <v>0</v>
      </c>
      <c r="MV149" s="16">
        <f>IF(ISNA(VLOOKUP($A149,'Données projet'!$A$460:$I$480,6,0)),0%,VLOOKUP($A149,'Données projet'!$A$460:$I$480,6,0)*VLOOKUP('Données projet'!$B$25,Paramètres!$A$1:$I$89,7,0))</f>
        <v>0</v>
      </c>
      <c r="MW149" s="16">
        <f>IF(ISNA(VLOOKUP($A149,'Données projet'!$A$460:$I$480,7,0)),0%,VLOOKUP($A149,'Données projet'!$A$460:$I$480,7,0))</f>
        <v>0</v>
      </c>
      <c r="MX149" s="21" t="e">
        <f>EXP(-LN(2)/35)*MX148+(1-EXP(-LN(2)/35))/(LN(2)/35)*MT149*MU149*VLOOKUP('Données projet'!$B$25,Paramètres!$A$1:$I$89,3,0)*0.475*44/12</f>
        <v>#N/A</v>
      </c>
      <c r="MY149" s="21" t="e">
        <f>EXP(-LN(2)/25)*MY148+(1-EXP(-LN(2)/25))/(LN(2)/25)*Calculateur!MT149*Calculateur!MV149*VLOOKUP('Données projet'!$B$25,Paramètres!$A$1:$I$89,3,0)*0.475*44/12</f>
        <v>#N/A</v>
      </c>
      <c r="MZ149" s="21" t="e">
        <f>EXP(-LN(2)/2)*MZ148+(1-EXP(-LN(2)/2))/(LN(2)/2)*MT149*MW149*VLOOKUP('Données projet'!$B$25,Paramètres!$A$1:$I$89,3,0)*0.475*44/12</f>
        <v>#N/A</v>
      </c>
      <c r="NA149" s="22" t="e">
        <f t="shared" si="274"/>
        <v>#N/A</v>
      </c>
      <c r="NB149" s="74">
        <f>('Scénario référence'!$F$8+'Scénario référence'!$F$9+'Scénario référence'!$B$17+'Scénario référence'!$B$9+'Scénario référence'!$B$10)*70+IF((45+25*(1-EXP(-0.0175*$A149)))&lt;70,'Scénario référence'!$B$16*(45+25*(1-EXP(-0.0175*$A149))),70*'Scénario référence'!$B$16)+IF((32+38*(1-EXP(-0.0175*$A149)))&lt;70,'Scénario référence'!$B$18*(32+38*(1-EXP(-0.0175*$A149))),70*'Scénario référence'!$B$18)</f>
        <v>70</v>
      </c>
      <c r="NC149" s="12">
        <f>IF($A149&gt;30,10,('Scénario référence'!$B$16+'Scénario référence'!$B$17+'Scénario référence'!$B$18+'Scénario référence'!$B$9+'Scénario référence'!$B$10)*$A149*10/30+('Scénario référence'!$F$8+'Scénario référence'!$F$9)*10)</f>
        <v>10</v>
      </c>
      <c r="ND149" s="12" t="e">
        <f>VLOOKUP($A149,'Données projet'!$A$486:$I$506,2,0)</f>
        <v>#N/A</v>
      </c>
      <c r="NE149" s="12" t="e">
        <f>VLOOKUP($A149,'Données projet'!$A$486:$I$506,9,0)</f>
        <v>#N/A</v>
      </c>
      <c r="NF149" s="12">
        <f t="array" ref="NF149">INDEX(NE:NE,MIN(IF(ISNUMBER(NE149:NE345),ROW(NE149:NE345),"")))</f>
        <v>0</v>
      </c>
      <c r="NG149" s="12">
        <f>IF('Données projet'!$A$486&gt;35,NG148+NF149-NO148,IF($A149&lt;'Données projet'!$A$486,$CQ$205^$A149,IF($A149='Données projet'!$A$486,'Données projet'!$B$486,NG148+NF149-NO148)))</f>
        <v>0</v>
      </c>
      <c r="NH149" s="17" t="e">
        <f>NG149*VLOOKUP('Données projet'!$B$26,Paramètres!$A$1:$I$89,3,0)*VLOOKUP('Données projet'!$B$26,Paramètres!$A$1:$I$89,5,0)</f>
        <v>#N/A</v>
      </c>
      <c r="NI149" s="13" t="e">
        <f t="shared" si="320"/>
        <v>#N/A</v>
      </c>
      <c r="NJ149" s="14" t="e">
        <f t="shared" si="275"/>
        <v>#N/A</v>
      </c>
      <c r="NK149" s="59" t="e">
        <f t="shared" si="276"/>
        <v>#N/A</v>
      </c>
      <c r="NL149" s="20" t="e">
        <f ca="1">AVERAGE(OFFSET($NK$3,0,0,'Données projet'!$E$26+1,1))-AVERAGE(OFFSET($H$3,0,0,'Données projet'!$E$26+1,1))</f>
        <v>#N/A</v>
      </c>
      <c r="NM149" s="59" t="e">
        <f t="shared" si="321"/>
        <v>#N/A</v>
      </c>
      <c r="NN149" s="15">
        <f>IF(ISNA(VLOOKUP($A149,'Données projet'!$A$486:$I$506,3,0)),0,VLOOKUP($A149,'Données projet'!$A$486:$I$506,3,0))</f>
        <v>0</v>
      </c>
      <c r="NO149" s="15">
        <f>IF(ISNA(VLOOKUP($A149,'Données projet'!$A$486:$I$506,4,0)),0,VLOOKUP($A149,'Données projet'!$A$486:$I$506,4,0))</f>
        <v>0</v>
      </c>
      <c r="NP149" s="16">
        <f>IF(ISNA(VLOOKUP($A149,'Données projet'!$A$486:$I$506,5,0)),0%,VLOOKUP($A149,'Données projet'!$A$486:$I$506,5,0)*VLOOKUP('Données projet'!$B$26,Paramètres!$A$1:$I$89,7,0))</f>
        <v>0</v>
      </c>
      <c r="NQ149" s="16">
        <f>IF(ISNA(VLOOKUP($A149,'Données projet'!$A$486:$I$506,6,0)),0%,VLOOKUP($A149,'Données projet'!$A$486:$I$506,6,0)*VLOOKUP('Données projet'!$B$26,Paramètres!$A$1:$I$89,7,0))</f>
        <v>0</v>
      </c>
      <c r="NR149" s="16">
        <f>IF(ISNA(VLOOKUP($A149,'Données projet'!$A$486:$I$506,7,0)),0%,VLOOKUP($A149,'Données projet'!$A$486:$I$506,7,0))</f>
        <v>0</v>
      </c>
      <c r="NS149" s="21" t="e">
        <f>EXP(-LN(2)/35)*NS148+(1-EXP(-LN(2)/35))/(LN(2)/35)*NO149*NP149*VLOOKUP('Données projet'!$B$26,Paramètres!$A$1:$I$89,3,0)*0.475*44/12</f>
        <v>#N/A</v>
      </c>
      <c r="NT149" s="21" t="e">
        <f>EXP(-LN(2)/25)*NT148+(1-EXP(-LN(2)/25))/(LN(2)/25)*Calculateur!NO149*Calculateur!NQ149*VLOOKUP('Données projet'!$B$26,Paramètres!$A$1:$I$89,3,0)*0.475*44/12</f>
        <v>#N/A</v>
      </c>
      <c r="NU149" s="21" t="e">
        <f>EXP(-LN(2)/2)*NU148+(1-EXP(-LN(2)/2))/(LN(2)/2)*NO149*NR149*VLOOKUP('Données projet'!$B$26,Paramètres!$A$1:$I$89,3,0)*0.475*44/12</f>
        <v>#N/A</v>
      </c>
      <c r="NV149" s="22" t="e">
        <f t="shared" si="277"/>
        <v>#N/A</v>
      </c>
      <c r="NW149" s="74">
        <f>('Scénario référence'!$F$8+'Scénario référence'!$F$9+'Scénario référence'!$B$17+'Scénario référence'!$B$9+'Scénario référence'!$B$10)*70+IF((45+25*(1-EXP(-0.0175*$A149)))&lt;70,'Scénario référence'!$B$16*(45+25*(1-EXP(-0.0175*$A149))),70*'Scénario référence'!$B$16)+IF((32+38*(1-EXP(-0.0175*$A149)))&lt;70,'Scénario référence'!$B$18*(32+38*(1-EXP(-0.0175*$A149))),70*'Scénario référence'!$B$18)</f>
        <v>70</v>
      </c>
      <c r="NX149" s="12">
        <f>IF($A149&gt;30,10,('Scénario référence'!$B$16+'Scénario référence'!$B$17+'Scénario référence'!$B$18+'Scénario référence'!$B$9+'Scénario référence'!$B$10)*$A149*10/30+('Scénario référence'!$F$8+'Scénario référence'!$F$9)*10)</f>
        <v>10</v>
      </c>
      <c r="NY149" s="12" t="e">
        <f>VLOOKUP($A149,'Données projet'!$A$512:$I$532,2,0)</f>
        <v>#N/A</v>
      </c>
      <c r="NZ149" s="12" t="e">
        <f>VLOOKUP($A149,'Données projet'!$A$512:$I$532,9,0)</f>
        <v>#N/A</v>
      </c>
      <c r="OA149" s="12">
        <f t="array" ref="OA149">INDEX(NZ:NZ,MIN(IF(ISNUMBER(NZ149:NZ345),ROW(NZ149:NZ345),"")))</f>
        <v>0</v>
      </c>
      <c r="OB149" s="12">
        <f>IF('Données projet'!$A$512&gt;35,OB148+OA149-OJ148,IF($A149&lt;'Données projet'!$A$512,$CQ$205^$A149,IF($A149='Données projet'!$A$512,'Données projet'!$B$512,OB148+OA149-OJ148)))</f>
        <v>0</v>
      </c>
      <c r="OC149" s="17" t="e">
        <f>OB149*VLOOKUP('Données projet'!$B$27,Paramètres!$A$1:$I$89,3,0)*VLOOKUP('Données projet'!$B$27,Paramètres!$A$1:$I$89,5,0)</f>
        <v>#N/A</v>
      </c>
      <c r="OD149" s="13" t="e">
        <f t="shared" si="322"/>
        <v>#N/A</v>
      </c>
      <c r="OE149" s="14" t="e">
        <f t="shared" si="278"/>
        <v>#N/A</v>
      </c>
      <c r="OF149" s="59" t="e">
        <f t="shared" si="279"/>
        <v>#N/A</v>
      </c>
      <c r="OG149" s="20" t="e">
        <f ca="1">AVERAGE(OFFSET($OF$3,0,0,'Données projet'!$E$27+1,1))-AVERAGE(OFFSET($H$3,0,0,'Données projet'!$E$27+1,1))</f>
        <v>#N/A</v>
      </c>
      <c r="OH149" s="59" t="e">
        <f t="shared" si="323"/>
        <v>#N/A</v>
      </c>
      <c r="OI149" s="15">
        <f>IF(ISNA(VLOOKUP($A149,'Données projet'!$A$512:$I$532,3,0)),0,VLOOKUP($A149,'Données projet'!$A$512:$I$532,3,0))</f>
        <v>0</v>
      </c>
      <c r="OJ149" s="15">
        <f>IF(ISNA(VLOOKUP($A149,'Données projet'!$A$512:$I$532,4,0)),0,VLOOKUP($A149,'Données projet'!$A$512:$I$532,4,0))</f>
        <v>0</v>
      </c>
      <c r="OK149" s="16">
        <f>IF(ISNA(VLOOKUP($A149,'Données projet'!$A$512:$I$532,5,0)),0%,VLOOKUP($A149,'Données projet'!$A$512:$I$532,5,0)*VLOOKUP('Données projet'!$B$27,Paramètres!$A$1:$I$89,7,0))</f>
        <v>0</v>
      </c>
      <c r="OL149" s="16">
        <f>IF(ISNA(VLOOKUP($A149,'Données projet'!$A$512:$I$532,6,0)),0%,VLOOKUP($A149,'Données projet'!$A$512:$I$532,6,0)*VLOOKUP('Données projet'!$B$27,Paramètres!$A$1:$I$89,7,0))</f>
        <v>0</v>
      </c>
      <c r="OM149" s="16">
        <f>IF(ISNA(VLOOKUP($A149,'Données projet'!$A$512:$I$532,7,0)),0%,VLOOKUP($A149,'Données projet'!$A$512:$I$532,7,0))</f>
        <v>0</v>
      </c>
      <c r="ON149" s="21" t="e">
        <f>EXP(-LN(2)/35)*ON148+(1-EXP(-LN(2)/35))/(LN(2)/35)*OJ149*OK149*VLOOKUP('Données projet'!$B$27,Paramètres!$A$1:$I$89,3,0)*0.475*44/12</f>
        <v>#N/A</v>
      </c>
      <c r="OO149" s="21" t="e">
        <f>EXP(-LN(2)/25)*OO148+(1-EXP(-LN(2)/25))/(LN(2)/25)*Calculateur!OJ149*Calculateur!OL149*VLOOKUP('Données projet'!$B$27,Paramètres!$A$1:$I$89,3,0)*0.475*44/12</f>
        <v>#N/A</v>
      </c>
      <c r="OP149" s="21" t="e">
        <f>EXP(-LN(2)/2)*OP148+(1-EXP(-LN(2)/2))/(LN(2)/2)*OJ149*OM149*VLOOKUP('Données projet'!$B$27,Paramètres!$A$1:$I$89,3,0)*0.475*44/12</f>
        <v>#N/A</v>
      </c>
      <c r="OQ149" s="22" t="e">
        <f t="shared" si="280"/>
        <v>#N/A</v>
      </c>
      <c r="OR149" s="74">
        <f>('Scénario référence'!$F$8+'Scénario référence'!$F$9+'Scénario référence'!$B$17+'Scénario référence'!$B$9+'Scénario référence'!$B$10)*70+IF((45+25*(1-EXP(-0.0175*$A149)))&lt;70,'Scénario référence'!$B$16*(45+25*(1-EXP(-0.0175*$A149))),70*'Scénario référence'!$B$16)+IF((32+38*(1-EXP(-0.0175*$A149)))&lt;70,'Scénario référence'!$B$18*(32+38*(1-EXP(-0.0175*$A149))),70*'Scénario référence'!$B$18)</f>
        <v>70</v>
      </c>
      <c r="OS149" s="12">
        <f>IF($A149&gt;30,10,('Scénario référence'!$B$16+'Scénario référence'!$B$17+'Scénario référence'!$B$18+'Scénario référence'!$B$9+'Scénario référence'!$B$10)*$A149*10/30+('Scénario référence'!$F$8+'Scénario référence'!$F$9)*10)</f>
        <v>10</v>
      </c>
      <c r="OT149" s="12" t="e">
        <f>VLOOKUP($A149,'Données projet'!$A$538:$I$558,2,0)</f>
        <v>#N/A</v>
      </c>
      <c r="OU149" s="12" t="e">
        <f>VLOOKUP($A149,'Données projet'!$A$538:$I$558,9,0)</f>
        <v>#N/A</v>
      </c>
      <c r="OV149" s="12">
        <f t="array" ref="OV149">INDEX(OU:OU,MIN(IF(ISNUMBER(OU149:OU345),ROW(OU149:OU345),"")))</f>
        <v>0</v>
      </c>
      <c r="OW149" s="12">
        <f>IF('Données projet'!$A$538&gt;35,OW148+OV149-PE148,IF($A149&lt;'Données projet'!$A$538,$CQ$205^$A149,IF($A149='Données projet'!$A$538,'Données projet'!$B$538,OW148+OV149-PE148)))</f>
        <v>0</v>
      </c>
      <c r="OX149" s="17" t="e">
        <f>OW149*VLOOKUP('Données projet'!$B$28,Paramètres!$A$1:$I$89,3,0)*VLOOKUP('Données projet'!$B$28,Paramètres!$A$1:$I$89,5,0)</f>
        <v>#N/A</v>
      </c>
      <c r="OY149" s="13" t="e">
        <f t="shared" si="324"/>
        <v>#N/A</v>
      </c>
      <c r="OZ149" s="14" t="e">
        <f t="shared" si="281"/>
        <v>#N/A</v>
      </c>
      <c r="PA149" s="59" t="e">
        <f t="shared" si="282"/>
        <v>#N/A</v>
      </c>
      <c r="PB149" s="20" t="e">
        <f ca="1">AVERAGE(OFFSET($PA$3,0,0,'Données projet'!$E$28+1,1))-AVERAGE(OFFSET($H$3,0,0,'Données projet'!$E$28+1,1))</f>
        <v>#N/A</v>
      </c>
      <c r="PC149" s="59" t="e">
        <f t="shared" si="325"/>
        <v>#N/A</v>
      </c>
      <c r="PD149" s="15">
        <f>IF(ISNA(VLOOKUP($A149,'Données projet'!$A$538:$I$558,3,0)),0,VLOOKUP($A149,'Données projet'!$A$538:$I$558,3,0))</f>
        <v>0</v>
      </c>
      <c r="PE149" s="15">
        <f>IF(ISNA(VLOOKUP($A149,'Données projet'!$A$538:$I$558,4,0)),0,VLOOKUP($A149,'Données projet'!$A$538:$I$558,4,0))</f>
        <v>0</v>
      </c>
      <c r="PF149" s="16">
        <f>IF(ISNA(VLOOKUP($A149,'Données projet'!$A$538:$I$558,5,0)),0%,VLOOKUP($A149,'Données projet'!$A$538:$I$558,5,0)*VLOOKUP('Données projet'!$B$28,Paramètres!$A$1:$I$89,7,0))</f>
        <v>0</v>
      </c>
      <c r="PG149" s="16">
        <f>IF(ISNA(VLOOKUP($A149,'Données projet'!$A$538:$I$558,6,0)),0%,VLOOKUP($A149,'Données projet'!$A$538:$I$558,6,0)*VLOOKUP('Données projet'!$B$28,Paramètres!$A$1:$I$89,7,0))</f>
        <v>0</v>
      </c>
      <c r="PH149" s="16">
        <f>IF(ISNA(VLOOKUP($A149,'Données projet'!$A$538:$I$558,7,0)),0%,VLOOKUP($A149,'Données projet'!$A$538:$I$558,7,0))</f>
        <v>0</v>
      </c>
      <c r="PI149" s="21" t="e">
        <f>EXP(-LN(2)/35)*PI148+(1-EXP(-LN(2)/35))/(LN(2)/35)*PE149*PF149*VLOOKUP('Données projet'!$B$28,Paramètres!$A$1:$I$89,3,0)*0.475*44/12</f>
        <v>#N/A</v>
      </c>
      <c r="PJ149" s="21" t="e">
        <f>EXP(-LN(2)/25)*PJ148+(1-EXP(-LN(2)/25))/(LN(2)/25)*Calculateur!PE149*Calculateur!PG149*VLOOKUP('Données projet'!$B$28,Paramètres!$A$1:$I$89,3,0)*0.475*44/12</f>
        <v>#N/A</v>
      </c>
      <c r="PK149" s="21" t="e">
        <f>EXP(-LN(2)/2)*PK148+(1-EXP(-LN(2)/2))/(LN(2)/2)*PE149*PH149*VLOOKUP('Données projet'!$B$28,Paramètres!$A$1:$I$89,3,0)*0.475*44/12</f>
        <v>#N/A</v>
      </c>
      <c r="PL149" s="22" t="e">
        <f t="shared" si="283"/>
        <v>#N/A</v>
      </c>
    </row>
    <row r="150" spans="1:428" x14ac:dyDescent="0.35">
      <c r="A150" s="10">
        <f t="shared" si="284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285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225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projet'!$A$45:$I$65,2,0)</f>
        <v>#N/A</v>
      </c>
      <c r="L150" s="12" t="e">
        <f>VLOOKUP(A150,'Données projet'!$A$45:$I$65,9,0)</f>
        <v>#N/A</v>
      </c>
      <c r="M150" s="12">
        <f t="array" ref="M150">INDEX(L:L,MIN(IF(ISNUMBER(L150:L346),ROW(L150:L346),"")))</f>
        <v>0</v>
      </c>
      <c r="N150" s="13">
        <f>IF('Données projet'!$A$46&gt;35,N149+M150-V149,IF(A150&lt;'Données projet'!$A$46,$K$205^A150,IF(A150='Données projet'!$A$46,'Données projet'!$B$46,N149+M150-V149)))</f>
        <v>-1.1368683772161603E-13</v>
      </c>
      <c r="O150" s="13">
        <f>N150*VLOOKUP('Données projet'!$B$9,Paramètres!$A$1:$I$89,3,0)*VLOOKUP('Données projet'!$B$9,Paramètres!$A$1:$I$89,5,0)</f>
        <v>-6.3550942286383367E-14</v>
      </c>
      <c r="P150" s="13" t="e">
        <f t="shared" si="286"/>
        <v>#NUM!</v>
      </c>
      <c r="Q150" s="20" t="e">
        <f t="shared" si="223"/>
        <v>#NUM!</v>
      </c>
      <c r="R150" s="59" t="e">
        <f t="shared" si="224"/>
        <v>#NUM!</v>
      </c>
      <c r="S150" s="59">
        <f ca="1">AVERAGE(OFFSET($R$3,0,0,'Données projet'!$E$9+1,1))-AVERAGE(OFFSET($H$3,0,0,'Données projet'!$E$9+1,1))</f>
        <v>274.57619581652199</v>
      </c>
      <c r="T150" s="59">
        <f t="shared" si="287"/>
        <v>366.15117322598775</v>
      </c>
      <c r="U150" s="15">
        <f>IF(ISNA(VLOOKUP(A150,'Données projet'!$A$45:$I$65,3,0)),0,VLOOKUP(A150,'Données projet'!$A$45:$I$65,3,0))</f>
        <v>0</v>
      </c>
      <c r="V150" s="15">
        <f>IF(ISNA(VLOOKUP(A150,'Données projet'!$A$45:$I$65,4,0)),0,VLOOKUP(A150,'Données projet'!$A$45:$I$65,4,0))</f>
        <v>0</v>
      </c>
      <c r="W150" s="16">
        <f>IF(ISNA(VLOOKUP(A150,'Données projet'!$A$45:$I$65,5,0)),0%,VLOOKUP(A150,'Données projet'!$A$45:$I$65,5,0)*VLOOKUP('Données projet'!$B$9,Paramètres!$A$1:$I$89,7,0))</f>
        <v>0</v>
      </c>
      <c r="X150" s="16">
        <f>IF(ISNA(VLOOKUP(A150,'Données projet'!$A$45:$I$65,6,0)),0%,VLOOKUP(A150,'Données projet'!$A$45:$I$65,6,0)*VLOOKUP('Données projet'!$B$9,Paramètres!$A$1:$I$89,7,0))</f>
        <v>0</v>
      </c>
      <c r="Y150" s="16">
        <f>IF(ISNA(VLOOKUP(A150,'Données projet'!$A$45:$I$65,7,0)),0%,VLOOKUP(A150,'Données projet'!$A$45:$I$65,7,0))</f>
        <v>0</v>
      </c>
      <c r="Z150" s="21">
        <f>EXP(-LN(2)/35)*Z149+(1-EXP(-LN(2)/35))/(LN(2)/35)*V150*W150*VLOOKUP('Données projet'!$B$9,Paramètres!$A$1:$I$89,3,0)*0.475*44/12</f>
        <v>36.651389801729728</v>
      </c>
      <c r="AA150" s="21">
        <f>EXP(-LN(2)/25)*AA149+(1-EXP(-LN(2)/25))/(LN(2)/25)*Calculateur!V150*Calculateur!X150*VLOOKUP('Données projet'!$B$9,Paramètres!$A$1:$I$89,3,0)*0.475*44/12</f>
        <v>4.4945892050000138</v>
      </c>
      <c r="AB150" s="21">
        <f>EXP(-LN(2)/2)*AB149+(1-EXP(-LN(2)/2))/(LN(2)/2)*V150*Y150*VLOOKUP('Données projet'!$B$9,Paramètres!$A$1:$I$89,3,0)*0.475*44/12</f>
        <v>4.8546132808429083E-13</v>
      </c>
      <c r="AC150" s="22">
        <f t="shared" si="226"/>
        <v>41.145979006730222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projet'!$A$71:$I$91,2,0)</f>
        <v>#N/A</v>
      </c>
      <c r="AG150" s="12" t="e">
        <f>VLOOKUP(A150,'Données projet'!$A$71:$I$91,9,0)</f>
        <v>#N/A</v>
      </c>
      <c r="AH150" s="12">
        <f t="array" ref="AH150">INDEX(AG:AG,MIN(IF(ISNUMBER(AG150:AG346),ROW(AG150:AG346),"")))</f>
        <v>0</v>
      </c>
      <c r="AI150" s="13">
        <f>IF('Données projet'!$A$72&gt;35,AI149+AH150-AQ149,IF(A150&lt;'Données projet'!$A$72,$AF$205^A150,IF(A150='Données projet'!$A$72,'Données projet'!$B$72,AI149+AH150-AQ149)))</f>
        <v>5.6843418860808015E-13</v>
      </c>
      <c r="AJ150" s="13">
        <f>AI150*VLOOKUP('Données projet'!$B$10,Paramètres!$A$1:$I$89,3,0)*VLOOKUP('Données projet'!$B$10,Paramètres!$A$1:$I$89,5,0)</f>
        <v>5.1431925385259092E-13</v>
      </c>
      <c r="AK150" s="13">
        <f t="shared" si="288"/>
        <v>6.3855359115685756E-12</v>
      </c>
      <c r="AL150" s="20">
        <f t="shared" si="227"/>
        <v>1.2017247746441865E-11</v>
      </c>
      <c r="AM150" s="59">
        <f t="shared" si="228"/>
        <v>293.33333333334531</v>
      </c>
      <c r="AN150" s="59">
        <f ca="1">AVERAGE(OFFSET($AM$3,0,0,'Données projet'!$E$10+1,1))-AVERAGE(OFFSET($H$3,0,0,'Données projet'!$E$10+1,1))</f>
        <v>270.87836509222456</v>
      </c>
      <c r="AO150" s="59">
        <f t="shared" si="289"/>
        <v>205.24998237949734</v>
      </c>
      <c r="AP150" s="15">
        <f>IF(ISNA(VLOOKUP(A150,'Données projet'!$A$71:$I$91,3,0)),0,VLOOKUP(A150,'Données projet'!$A$71:$I$91,3,0))</f>
        <v>0</v>
      </c>
      <c r="AQ150" s="15">
        <f>IF(ISNA(VLOOKUP(A150,'Données projet'!$A$71:$I$91,4,0)),0,VLOOKUP(A150,'Données projet'!$A$71:$I$91,4,0))</f>
        <v>0</v>
      </c>
      <c r="AR150" s="16">
        <f>IF(ISNA(VLOOKUP(A150,'Données projet'!$A$71:$I$91,5,0)),0%,VLOOKUP(A150,'Données projet'!$A$71:$I$91,5,0)*VLOOKUP('Données projet'!$B$10,Paramètres!$A$1:$I$89,7,0))</f>
        <v>0</v>
      </c>
      <c r="AS150" s="16">
        <f>IF(ISNA(VLOOKUP(A150,'Données projet'!$A$71:$I$91,6,0)),0%,VLOOKUP(A150,'Données projet'!$A$71:$I$91,6,0)*VLOOKUP('Données projet'!$B$10,Paramètres!$A$1:$I$89,7,0))</f>
        <v>0</v>
      </c>
      <c r="AT150" s="16">
        <f>IF(ISNA(VLOOKUP(A150,'Données projet'!$A$71:$I$91,7,0)),0%,VLOOKUP(A150,'Données projet'!$A$71:$I$91,7,0))</f>
        <v>0</v>
      </c>
      <c r="AU150" s="21">
        <f>EXP(-LN(2)/35)*AU149+(1-EXP(-LN(2)/35))/(LN(2)/35)*AQ150*AR150*VLOOKUP('Données projet'!$B$10,Paramètres!$A$1:$I$89,3,0)*0.475*44/12</f>
        <v>124.55076048182224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229"/>
        <v>124.55076048182224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projet'!$A$97:$I$117,2,0)</f>
        <v>#N/A</v>
      </c>
      <c r="BB150" s="12" t="e">
        <f>VLOOKUP(A150,'Données projet'!$A$97:$I$117,9,0)</f>
        <v>#N/A</v>
      </c>
      <c r="BC150" s="12">
        <f t="array" ref="BC150">INDEX(BB:BB,MIN(IF(ISNUMBER(BB150:BB346),ROW(BB150:BB346),"")))</f>
        <v>0</v>
      </c>
      <c r="BD150" s="12">
        <f>IF('Données projet'!$A$98&gt;35,BD149+BC150-BL149,IF(A150&lt;'Données projet'!$A$98,$BA$205^A150,IF(A150='Données projet'!$A$98,'Données projet'!$B$98,BD149+BC150-BL149)))</f>
        <v>-1.1368683772161603E-13</v>
      </c>
      <c r="BE150" s="13">
        <f>BD150*VLOOKUP('Données projet'!$B$11,Paramètres!$A$1:$I$89,3,0)*VLOOKUP('Données projet'!$B$11,Paramètres!$A$1:$I$89,5,0)</f>
        <v>-5.0249582272954292E-14</v>
      </c>
      <c r="BF150" s="13" t="e">
        <f t="shared" si="290"/>
        <v>#NUM!</v>
      </c>
      <c r="BG150" s="20" t="e">
        <f t="shared" si="230"/>
        <v>#NUM!</v>
      </c>
      <c r="BH150" s="59" t="e">
        <f t="shared" si="231"/>
        <v>#NUM!</v>
      </c>
      <c r="BI150" s="59">
        <f ca="1">AVERAGE(OFFSET($BH$3,0,0,'Données projet'!$E$11+1,1))-AVERAGE(OFFSET($H$3,0,0,'Données projet'!$E$11+1,1))</f>
        <v>211.31057120485542</v>
      </c>
      <c r="BJ150" s="59">
        <f t="shared" si="291"/>
        <v>283.33292006714777</v>
      </c>
      <c r="BK150" s="15">
        <f>IF(ISNA(VLOOKUP(A150,'Données projet'!$A$97:$I$117,3,0)),0,VLOOKUP(A150,'Données projet'!$A$97:$I$117,3,0))</f>
        <v>0</v>
      </c>
      <c r="BL150" s="15">
        <f>IF(ISNA(VLOOKUP(A150,'Données projet'!$A$97:$I$117,4,0)),0,VLOOKUP(A150,'Données projet'!$A$97:$I$117,4,0))</f>
        <v>0</v>
      </c>
      <c r="BM150" s="16">
        <f>IF(ISNA(VLOOKUP(A150,'Données projet'!$A$97:$I$117,5,0)),0%,VLOOKUP(A150,'Données projet'!$A$97:$I$117,5,0)*VLOOKUP('Données projet'!$B$11,Paramètres!$A$1:$I$89,7,0))</f>
        <v>0</v>
      </c>
      <c r="BN150" s="16">
        <f>IF(ISNA(VLOOKUP(A150,'Données projet'!$A$97:$I$117,6,0)),0%,VLOOKUP(A150,'Données projet'!$A$97:$I$117,6,0)*VLOOKUP('Données projet'!$B$11,Paramètres!$A$1:$I$89,7,0))</f>
        <v>0</v>
      </c>
      <c r="BO150" s="16">
        <f>IF(ISNA(VLOOKUP(A150,'Données projet'!$A$97:$I$117,7,0)),0%,VLOOKUP(A150,'Données projet'!$A$97:$I$117,7,0))</f>
        <v>0</v>
      </c>
      <c r="BP150" s="21">
        <f>EXP(-LN(2)/35)*BP149+(1-EXP(-LN(2)/35))/(LN(2)/35)*BL150*BM150*VLOOKUP('Données projet'!$B$11,Paramètres!$A$1:$I$89,3,0)*0.475*44/12</f>
        <v>28.980168680437476</v>
      </c>
      <c r="BQ150" s="21">
        <f>EXP(-LN(2)/25)*BQ149+(1-EXP(-LN(2)/25))/(LN(2)/25)*Calculateur!BL150*Calculateur!BN150*VLOOKUP('Données projet'!$B$11,Paramètres!$A$1:$I$89,3,0)*0.475*44/12</f>
        <v>3.5538612318604748</v>
      </c>
      <c r="BR150" s="21">
        <f>EXP(-LN(2)/2)*BR149+(1-EXP(-LN(2)/2))/(LN(2)/2)*BL150*BO150*VLOOKUP('Données projet'!$B$11,Paramètres!$A$1:$I$89,3,0)*0.475*44/12</f>
        <v>3.8385314313641593E-13</v>
      </c>
      <c r="BS150" s="22">
        <f t="shared" si="232"/>
        <v>32.534029912298337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projet'!$A$123:$I$143,2,0)</f>
        <v>#N/A</v>
      </c>
      <c r="BW150" s="12" t="e">
        <f>VLOOKUP(A150,'Données projet'!$A$123:$I$143,9,0)</f>
        <v>#N/A</v>
      </c>
      <c r="BX150" s="12">
        <f t="array" ref="BX150">INDEX(BW:BW,MIN(IF(ISNUMBER(BW150:BW346),ROW(BW150:BW346),"")))</f>
        <v>0</v>
      </c>
      <c r="BY150" s="12">
        <f>IF('Données projet'!$A$124&gt;35,BY149+BX150-CG149,IF(A150&lt;'Données projet'!$A$124,$BV$205^A150,IF(A150='Données projet'!$A$124,'Données projet'!$B$124,BY149+BX150-CG149)))</f>
        <v>0</v>
      </c>
      <c r="BZ150" s="13">
        <f>BY150*VLOOKUP('Données projet'!$B$12,Paramètres!$A$1:$I$89,3,0)*VLOOKUP('Données projet'!$B$12,Paramètres!$A$1:$I$89,5,0)</f>
        <v>0</v>
      </c>
      <c r="CA150" s="13" t="e">
        <f t="shared" si="292"/>
        <v>#NUM!</v>
      </c>
      <c r="CB150" s="20" t="e">
        <f t="shared" si="233"/>
        <v>#NUM!</v>
      </c>
      <c r="CC150" s="59" t="e">
        <f t="shared" si="234"/>
        <v>#NUM!</v>
      </c>
      <c r="CD150" s="59">
        <f ca="1">AVERAGE(OFFSET($CC$3,0,0,'Données projet'!$E$12+1,1))-AVERAGE(OFFSET($H$3,0,0,'Données projet'!$E$12+1,1))</f>
        <v>322.93502595881938</v>
      </c>
      <c r="CE150" s="59">
        <f t="shared" si="293"/>
        <v>302.67072119588164</v>
      </c>
      <c r="CF150" s="15">
        <f>IF(ISNA(VLOOKUP(A150,'Données projet'!$A$123:$I$143,3,0)),0,VLOOKUP(A150,'Données projet'!$A$123:$I$143,3,0))</f>
        <v>0</v>
      </c>
      <c r="CG150" s="15">
        <f>IF(ISNA(VLOOKUP(A150,'Données projet'!$A$123:$I$143,4,0)),0,VLOOKUP(A150,'Données projet'!$A$123:$I$143,4,0))</f>
        <v>0</v>
      </c>
      <c r="CH150" s="16">
        <f>IF(ISNA(VLOOKUP(A150,'Données projet'!$A$123:$I$143,5,0)),0%,VLOOKUP(A150,'Données projet'!$A$123:$I$143,5,0)*VLOOKUP('Données projet'!$B$12,Paramètres!$A$1:$I$89,7,0))</f>
        <v>0</v>
      </c>
      <c r="CI150" s="16">
        <f>IF(ISNA(VLOOKUP(A150,'Données projet'!$A$123:$I$143,6,0)),0%,VLOOKUP(A150,'Données projet'!$A$123:$I$143,6,0)*VLOOKUP('Données projet'!$B$12,Paramètres!$A$1:$I$89,7,0))</f>
        <v>0</v>
      </c>
      <c r="CJ150" s="16">
        <f>IF(ISNA(VLOOKUP(A150,'Données projet'!$A$123:$I$143,7,0)),0%,VLOOKUP(A150,'Données projet'!$A$123:$I$143,7,0))</f>
        <v>0</v>
      </c>
      <c r="CK150" s="21">
        <f>EXP(-LN(2)/35)*CK149+(1-EXP(-LN(2)/35))/(LN(2)/35)*CG150*CH150*VLOOKUP('Données projet'!$B$12,Paramètres!$A$1:$I$89,3,0)*0.475*44/12</f>
        <v>46.172411308163838</v>
      </c>
      <c r="CL150" s="21">
        <f>EXP(-LN(2)/25)*CL149+(1-EXP(-LN(2)/25))/(LN(2)/25)*Calculateur!CG150*Calculateur!CI150*VLOOKUP('Données projet'!$B$12,Paramètres!$A$1:$I$89,3,0)*0.475*44/12</f>
        <v>11.37450616648885</v>
      </c>
      <c r="CM150" s="21">
        <f>EXP(-LN(2)/2)*CM149+(1-EXP(-LN(2)/2))/(LN(2)/2)*CG150*CJ150*VLOOKUP('Données projet'!$B$12,Paramètres!$A$1:$I$89,3,0)*0.475*44/12</f>
        <v>0</v>
      </c>
      <c r="CN150" s="22">
        <f t="shared" si="235"/>
        <v>57.546917474652687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projet'!$A$149:$I$169,2,0)</f>
        <v>#N/A</v>
      </c>
      <c r="CR150" s="12" t="e">
        <f>VLOOKUP(A150,'Données projet'!$A$149:$I$169,9,0)</f>
        <v>#N/A</v>
      </c>
      <c r="CS150" s="12">
        <f t="array" ref="CS150">INDEX(CR:CR,MIN(IF(ISNUMBER(CR150:CR346),ROW(CR150:CR346),"")))</f>
        <v>5.1063034188034209</v>
      </c>
      <c r="CT150" s="12">
        <f>IF('Données projet'!$A$150&gt;35,CT149+CS150-DB149,IF(A150&lt;'Données projet'!$A$150,$CQ$205^A150,IF(A150='Données projet'!$A$150,'Données projet'!$B$150,CT149+CS150-DB149)))</f>
        <v>292.97329059829013</v>
      </c>
      <c r="CU150" s="17">
        <f>CT150*VLOOKUP('Données projet'!$B$13,Paramètres!$A$1:$I$89,3,0)*VLOOKUP('Données projet'!$B$13,Paramètres!$A$1:$I$89,5,0)</f>
        <v>297.07491666666618</v>
      </c>
      <c r="CV150" s="13">
        <f t="shared" si="294"/>
        <v>70.562904410355046</v>
      </c>
      <c r="CW150" s="20">
        <f t="shared" si="236"/>
        <v>640.30253837581188</v>
      </c>
      <c r="CX150" s="59">
        <f t="shared" si="237"/>
        <v>933.63587170914525</v>
      </c>
      <c r="CY150" s="59">
        <f ca="1">AVERAGE(OFFSET($CX$3,0,0,'Données projet'!$E$13+1,1))-AVERAGE(OFFSET($H$3,0,0,'Données projet'!$E$13+1,1))</f>
        <v>250.31277422753283</v>
      </c>
      <c r="CZ150" s="59">
        <f t="shared" si="295"/>
        <v>159.20429420478047</v>
      </c>
      <c r="DA150" s="15">
        <f>IF(ISNA(VLOOKUP(A150,'Données projet'!$A$149:$I$169,3,0)),0,VLOOKUP(A150,'Données projet'!$A$149:$I$169,3,0))</f>
        <v>0</v>
      </c>
      <c r="DB150" s="15">
        <f>IF(ISNA(VLOOKUP(A150,'Données projet'!$A$149:$I$169,4,0)),0,VLOOKUP(A150,'Données projet'!$A$149:$I$169,4,0))</f>
        <v>0</v>
      </c>
      <c r="DC150" s="16">
        <f>IF(ISNA(VLOOKUP(A150,'Données projet'!$A$149:$I$169,5,0)),0%,VLOOKUP(A150,'Données projet'!$A$149:$I$169,5,0)*VLOOKUP('Données projet'!$B$13,Paramètres!$A$1:$I$89,7,0))</f>
        <v>0</v>
      </c>
      <c r="DD150" s="16">
        <f>IF(ISNA(VLOOKUP(A150,'Données projet'!$A$149:$I$169,6,0)),0%,VLOOKUP(A150,'Données projet'!$A$149:$I$169,6,0)*VLOOKUP('Données projet'!$B$13,Paramètres!$A$1:$I$89,7,0))</f>
        <v>0</v>
      </c>
      <c r="DE150" s="16">
        <f>IF(ISNA(VLOOKUP(A150,'Données projet'!$A$149:$I$169,7,0)),0%,VLOOKUP(A150,'Données projet'!$A$149:$I$169,7,0))</f>
        <v>0</v>
      </c>
      <c r="DF150" s="21">
        <f>EXP(-LN(2)/35)*DF149+(1-EXP(-LN(2)/35))/(LN(2)/35)*DB150*DC150*VLOOKUP('Données projet'!$B$13,Paramètres!$A$1:$I$89,3,0)*0.475*44/12</f>
        <v>45.076166883554116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238"/>
        <v>45.076166883554116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projet'!$A$175:$I$195,2,0)</f>
        <v>#N/A</v>
      </c>
      <c r="DM150" s="12" t="e">
        <f>VLOOKUP(A150,'Données projet'!$A$175:$I$195,9,0)</f>
        <v>#N/A</v>
      </c>
      <c r="DN150" s="12">
        <f t="array" ref="DN150">INDEX(DM:DM,MIN(IF(ISNUMBER(DM150:DM346),ROW(DM150:DM346),"")))</f>
        <v>0</v>
      </c>
      <c r="DO150" s="12">
        <f>IF('Données projet'!$A$176&gt;35,DO149+DN150-DW149,IF(A150&lt;'Données projet'!$A$176,$DL$205^A150,IF(A150='Données projet'!$A$176,'Données projet'!$B$176,DO149+DN150-DW149)))</f>
        <v>-2.8421709430404007E-13</v>
      </c>
      <c r="DP150" s="17">
        <f>DO150*VLOOKUP('Données projet'!$B$14,Paramètres!$A$1:$I$89,3,0)*VLOOKUP('Données projet'!$B$14,Paramètres!$A$1:$I$89,5,0)</f>
        <v>-2.0838797354372215E-13</v>
      </c>
      <c r="DQ150" s="13" t="e">
        <f t="shared" si="296"/>
        <v>#NUM!</v>
      </c>
      <c r="DR150" s="20" t="e">
        <f t="shared" si="239"/>
        <v>#NUM!</v>
      </c>
      <c r="DS150" s="59" t="e">
        <f t="shared" si="240"/>
        <v>#NUM!</v>
      </c>
      <c r="DT150" s="59">
        <f ca="1">AVERAGE(OFFSET($DS$3,0,0,'Données projet'!$E$14+1,1))-AVERAGE(OFFSET($H$3,0,0,'Données projet'!$E$14+1,1))</f>
        <v>296.91321813251051</v>
      </c>
      <c r="DU150" s="59">
        <f t="shared" si="297"/>
        <v>291.0718079639509</v>
      </c>
      <c r="DV150" s="15">
        <f>IF(ISNA(VLOOKUP(A150,'Données projet'!$A$175:$I$195,3,0)),0,VLOOKUP(A150,'Données projet'!$A$175:$I$195,3,0))</f>
        <v>0</v>
      </c>
      <c r="DW150" s="15">
        <f>IF(ISNA(VLOOKUP(A150,'Données projet'!$A$175:$I$195,4,0)),0,VLOOKUP(A150,'Données projet'!$A$175:$I$195,4,0))</f>
        <v>0</v>
      </c>
      <c r="DX150" s="16">
        <f>IF(ISNA(VLOOKUP(A150,'Données projet'!$A$175:$I$195,5,0)),0%,VLOOKUP(A150,'Données projet'!$A$175:$I$195,5,0)*VLOOKUP('Données projet'!$B$14,Paramètres!$A$1:$I$89,7,0))</f>
        <v>0</v>
      </c>
      <c r="DY150" s="16">
        <f>IF(ISNA(VLOOKUP(A150,'Données projet'!$A$175:$I$195,6,0)),0%,VLOOKUP(A150,'Données projet'!$A$175:$I$195,6,0)*VLOOKUP('Données projet'!$B$14,Paramètres!$A$1:$I$89,7,0))</f>
        <v>0</v>
      </c>
      <c r="DZ150" s="16">
        <f>IF(ISNA(VLOOKUP(A150,'Données projet'!$A$175:$I$195,7,0)),0%,VLOOKUP(A150,'Données projet'!$A$175:$I$195,7,0))</f>
        <v>0</v>
      </c>
      <c r="EA150" s="21">
        <f>EXP(-LN(2)/35)*EA149+(1-EXP(-LN(2)/35))/(LN(2)/35)*DW150*DX150*VLOOKUP('Données projet'!$B$14,Paramètres!$A$1:$I$89,3,0)*0.475*44/12</f>
        <v>46.019070747259299</v>
      </c>
      <c r="EB150" s="21">
        <f>EXP(-LN(2)/25)*EB149+(1-EXP(-LN(2)/25))/(LN(2)/25)*Calculateur!DW150*Calculateur!DY150*VLOOKUP('Données projet'!$B$14,Paramètres!$A$1:$I$89,3,0)*0.475*44/12</f>
        <v>0.83558153904856614</v>
      </c>
      <c r="EC150" s="21">
        <f>EXP(-LN(2)/2)*EC149+(1-EXP(-LN(2)/2))/(LN(2)/2)*DW150*DZ150*VLOOKUP('Données projet'!$B$14,Paramètres!$A$1:$I$89,3,0)*0.475*44/12</f>
        <v>0</v>
      </c>
      <c r="ED150" s="22">
        <f t="shared" si="241"/>
        <v>46.854652286307868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projet'!$A$201:$I$221,2,0)</f>
        <v>#N/A</v>
      </c>
      <c r="EH150" s="12" t="e">
        <f>VLOOKUP(A150,'Données projet'!$A$201:$I$221,9,0)</f>
        <v>#N/A</v>
      </c>
      <c r="EI150" s="12">
        <f t="array" ref="EI150">INDEX(EH:EH,MIN(IF(ISNUMBER(EH150:EH346),ROW(EH150:EH346),"")))</f>
        <v>0</v>
      </c>
      <c r="EJ150" s="12">
        <f>IF('Données projet'!$A$202&gt;35,EJ149+EI150-ER149,IF(A150&lt;'Données projet'!$A$202,$EG$205^A150,IF(A150='Données projet'!$A$202,'Données projet'!$B$202,EJ149+EI150-ER149)))</f>
        <v>5.1159076974727213E-13</v>
      </c>
      <c r="EK150" s="17">
        <f>EJ150*VLOOKUP('Données projet'!$B$15,Paramètres!$A$1:$I$89,3,0)*VLOOKUP('Données projet'!$B$15,Paramètres!$A$1:$I$89,5,0)</f>
        <v>2.3942448024172334E-13</v>
      </c>
      <c r="EL150" s="13">
        <f t="shared" si="298"/>
        <v>3.2492669905861755E-12</v>
      </c>
      <c r="EM150" s="20">
        <f t="shared" si="242"/>
        <v>6.0761376450252565E-12</v>
      </c>
      <c r="EN150" s="59">
        <f t="shared" si="243"/>
        <v>293.3333333333394</v>
      </c>
      <c r="EO150" s="59">
        <f ca="1">AVERAGE(OFFSET($EN$3,0,0,'Données projet'!$E$15+1,1))-AVERAGE(OFFSET($H$3,0,0,'Données projet'!$E$15+1,1))</f>
        <v>147.64256291235483</v>
      </c>
      <c r="EP150" s="59">
        <f t="shared" si="299"/>
        <v>70.859031694091868</v>
      </c>
      <c r="EQ150" s="15">
        <f>IF(ISNA(VLOOKUP(A150,'Données projet'!$A$201:$I$221,3,0)),0,VLOOKUP(A150,'Données projet'!$A$201:$I$221,3,0))</f>
        <v>0</v>
      </c>
      <c r="ER150" s="15">
        <f>IF(ISNA(VLOOKUP(A150,'Données projet'!$A$201:$I$221,4,0)),0,VLOOKUP(A150,'Données projet'!$A$201:$I$221,4,0))</f>
        <v>0</v>
      </c>
      <c r="ES150" s="16">
        <f>IF(ISNA(VLOOKUP(A150,'Données projet'!$A$201:$I$221,5,0)),0%,VLOOKUP(A150,'Données projet'!$A$201:$I$221,5,0)*VLOOKUP('Données projet'!$B$15,Paramètres!$A$1:$I$89,7,0))</f>
        <v>0</v>
      </c>
      <c r="ET150" s="16">
        <f>IF(ISNA(VLOOKUP(A150,'Données projet'!$A$201:$I$221,6,0)),0%,VLOOKUP(A150,'Données projet'!$A$201:$I$221,6,0)*VLOOKUP('Données projet'!$B$15,Paramètres!$A$1:$I$89,7,0))</f>
        <v>0</v>
      </c>
      <c r="EU150" s="16">
        <f>IF(ISNA(VLOOKUP(A150,'Données projet'!$A$201:$I$221,7,0)),0%,VLOOKUP(A150,'Données projet'!$A$201:$I$221,7,0))</f>
        <v>0</v>
      </c>
      <c r="EV150" s="21">
        <f>EXP(-LN(2)/35)*EV149+(1-EXP(-LN(2)/35))/(LN(2)/35)*ER150*ES150*VLOOKUP('Données projet'!$B$15,Paramètres!$A$1:$I$89,3,0)*0.475*44/12</f>
        <v>63.000833244221127</v>
      </c>
      <c r="EW150" s="21">
        <f>EXP(-LN(2)/25)*EW149+(1-EXP(-LN(2)/25))/(LN(2)/25)*Calculateur!ER150*Calculateur!ET150*VLOOKUP('Données projet'!$B$15,Paramètres!$A$1:$I$89,3,0)*0.475*44/12</f>
        <v>11.592852020126452</v>
      </c>
      <c r="EX150" s="21">
        <f>EXP(-LN(2)/2)*EX149+(1-EXP(-LN(2)/2))/(LN(2)/2)*ER150*EU150*VLOOKUP('Données projet'!$B$15,Paramètres!$A$1:$I$89,3,0)*0.475*44/12</f>
        <v>3.4997347497393339E-5</v>
      </c>
      <c r="EY150" s="22">
        <f t="shared" si="244"/>
        <v>74.593720261695083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projet'!$A$227:$I$247,2,0)</f>
        <v>#N/A</v>
      </c>
      <c r="FC150" s="12" t="e">
        <f>VLOOKUP(A150,'Données projet'!$A$227:$I$247,9,0)</f>
        <v>#N/A</v>
      </c>
      <c r="FD150" s="12">
        <f t="array" ref="FD150">INDEX(FC:FC,MIN(IF(ISNUMBER(FC150:FC346),ROW(FC150:FC346),"")))</f>
        <v>0</v>
      </c>
      <c r="FE150" s="12">
        <f>IF('Données projet'!$A$228&gt;35,FE149+FD150-FM149,IF(A150&lt;'Données projet'!$A$228,$FB$205^A150,IF(A150='Données projet'!$A$228,'Données projet'!$B$228,FE149+FD150-FM149)))</f>
        <v>8.5265128291212022E-14</v>
      </c>
      <c r="FF150" s="17">
        <f>FE150*VLOOKUP('Données projet'!$B$16,Paramètres!$A$1:$I$89,3,0)*VLOOKUP('Données projet'!$B$16,Paramètres!$A$1:$I$89,5,0)</f>
        <v>8.9119112089974823E-14</v>
      </c>
      <c r="FG150" s="13">
        <f t="shared" si="300"/>
        <v>1.3568952080113142E-12</v>
      </c>
      <c r="FH150" s="20">
        <f t="shared" si="245"/>
        <v>2.5184749408430782E-12</v>
      </c>
      <c r="FI150" s="59">
        <f t="shared" si="246"/>
        <v>293.33333333333582</v>
      </c>
      <c r="FJ150" s="59">
        <f ca="1">AVERAGE(OFFSET($FI$3,0,0,'Données projet'!$E$16+1,1))-AVERAGE(OFFSET($H$3,0,0,'Données projet'!$E$16+1,1))</f>
        <v>259.03906550253788</v>
      </c>
      <c r="FK150" s="59">
        <f t="shared" si="301"/>
        <v>235.54542903570831</v>
      </c>
      <c r="FL150" s="15">
        <f>IF(ISNA(VLOOKUP(A150,'Données projet'!$A$227:$I$247,3,0)),0,VLOOKUP(A150,'Données projet'!$A$227:$I$247,3,0))</f>
        <v>0</v>
      </c>
      <c r="FM150" s="15">
        <f>IF(ISNA(VLOOKUP(A150,'Données projet'!$A$227:$I$247,4,0)),0,VLOOKUP(A150,'Données projet'!$A$227:$I$247,4,0))</f>
        <v>0</v>
      </c>
      <c r="FN150" s="16">
        <f>IF(ISNA(VLOOKUP(A150,'Données projet'!$A$227:$I$247,5,0)),0%,VLOOKUP(A150,'Données projet'!$A$227:$I$247,5,0)*VLOOKUP('Données projet'!$B$16,Paramètres!$A$1:$I$89,7,0))</f>
        <v>0</v>
      </c>
      <c r="FO150" s="16">
        <f>IF(ISNA(VLOOKUP(A150,'Données projet'!$A$227:$I$247,6,0)),0%,VLOOKUP(A150,'Données projet'!$A$227:$I$247,6,0)*VLOOKUP('Données projet'!$B$16,Paramètres!$A$1:$I$89,7,0))</f>
        <v>0</v>
      </c>
      <c r="FP150" s="16">
        <f>IF(ISNA(VLOOKUP(A150,'Données projet'!$A$227:$I$247,7,0)),0%,VLOOKUP(A150,'Données projet'!$A$227:$I$247,7,0))</f>
        <v>0</v>
      </c>
      <c r="FQ150" s="21">
        <f>EXP(-LN(2)/35)*FQ149+(1-EXP(-LN(2)/35))/(LN(2)/35)*FM150*FN150*VLOOKUP('Données projet'!$B$16,Paramètres!$A$1:$I$89,3,0)*0.475*44/12</f>
        <v>27.80685562656047</v>
      </c>
      <c r="FR150" s="21">
        <f>EXP(-LN(2)/25)*FR149+(1-EXP(-LN(2)/25))/(LN(2)/25)*Calculateur!FM150*Calculateur!FO150*VLOOKUP('Données projet'!$B$16,Paramètres!$A$1:$I$89,3,0)*0.475*44/12</f>
        <v>15.947992727490055</v>
      </c>
      <c r="FS150" s="21">
        <f>EXP(-LN(2)/2)*FS149+(1-EXP(-LN(2)/2))/(LN(2)/2)*FM150*FP150*VLOOKUP('Données projet'!$B$16,Paramètres!$A$1:$I$89,3,0)*0.475*44/12</f>
        <v>0</v>
      </c>
      <c r="FT150" s="22">
        <f t="shared" si="247"/>
        <v>43.754848354050523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projet'!$A$253:$I$273,2,0)</f>
        <v>#N/A</v>
      </c>
      <c r="FX150" s="12" t="e">
        <f>VLOOKUP(A150,'Données projet'!$A$253:$I$273,9,0)</f>
        <v>#N/A</v>
      </c>
      <c r="FY150" s="12">
        <f t="array" ref="FY150">INDEX(FX:FX,MIN(IF(ISNUMBER(FX150:FX346),ROW(FX150:FX346),"")))</f>
        <v>0</v>
      </c>
      <c r="FZ150" s="12">
        <f>IF('Données projet'!$A$254&gt;35,FZ149+FY150-GH149,IF(A150&lt;'Données projet'!$A$254,$FW$205^A150,IF(A150='Données projet'!$A$254,'Données projet'!$B$254,FZ149+FY150-GH149)))</f>
        <v>-1.7053025658242404E-13</v>
      </c>
      <c r="GA150" s="17">
        <f>FZ150*VLOOKUP('Données projet'!$B$17,Paramètres!$A$1:$I$89,3,0)*VLOOKUP('Données projet'!$B$17,Paramètres!$A$1:$I$89,5,0)</f>
        <v>-1.4897523215040567E-13</v>
      </c>
      <c r="GB150" s="13" t="e">
        <f t="shared" si="302"/>
        <v>#NUM!</v>
      </c>
      <c r="GC150" s="20" t="e">
        <f t="shared" si="248"/>
        <v>#NUM!</v>
      </c>
      <c r="GD150" s="59" t="e">
        <f t="shared" si="249"/>
        <v>#NUM!</v>
      </c>
      <c r="GE150" s="59">
        <f ca="1">AVERAGE(OFFSET($GD$3,0,0,'Données projet'!$E$17+1,1))-AVERAGE(OFFSET($H$3,0,0,'Données projet'!$E$17+1,1))</f>
        <v>245.1983232777614</v>
      </c>
      <c r="GF150" s="59">
        <f t="shared" si="303"/>
        <v>242.34010522344573</v>
      </c>
      <c r="GG150" s="15">
        <f>IF(ISNA(VLOOKUP(A150,'Données projet'!$A$253:$I$273,3,0)),0,VLOOKUP(A150,'Données projet'!$A$253:$I$273,3,0))</f>
        <v>0</v>
      </c>
      <c r="GH150" s="15">
        <f>IF(ISNA(VLOOKUP(A150,'Données projet'!$A$253:$I$273,4,0)),0,VLOOKUP(A150,'Données projet'!$A$253:$I$273,4,0))</f>
        <v>0</v>
      </c>
      <c r="GI150" s="16">
        <f>IF(ISNA(VLOOKUP(A150,'Données projet'!$A$253:$I$273,5,0)),0%,VLOOKUP(A150,'Données projet'!$A$253:$I$273,5,0)*VLOOKUP('Données projet'!$B$17,Paramètres!$A$1:$I$89,7,0))</f>
        <v>0</v>
      </c>
      <c r="GJ150" s="16">
        <f>IF(ISNA(VLOOKUP(A150,'Données projet'!$A$253:$I$273,6,0)),0%,VLOOKUP(A150,'Données projet'!$A$253:$I$273,6,0)*VLOOKUP('Données projet'!$B$17,Paramètres!$A$1:$I$89,7,0))</f>
        <v>0</v>
      </c>
      <c r="GK150" s="16">
        <f>IF(ISNA(VLOOKUP(A150,'Données projet'!$A$253:$I$273,7,0)),0%,VLOOKUP(A150,'Données projet'!$A$253:$I$273,7,0))</f>
        <v>0</v>
      </c>
      <c r="GL150" s="21">
        <f>EXP(-LN(2)/35)*GL149+(1-EXP(-LN(2)/35))/(LN(2)/35)*GH150*GI150*VLOOKUP('Données projet'!$B$17,Paramètres!$A$1:$I$89,3,0)*0.475*44/12</f>
        <v>32.69077395348134</v>
      </c>
      <c r="GM150" s="21">
        <f>EXP(-LN(2)/25)*GM149+(1-EXP(-LN(2)/25))/(LN(2)/25)*Calculateur!GH150*Calculateur!GJ150*VLOOKUP('Données projet'!$B$17,Paramètres!$A$1:$I$89,3,0)*0.475*44/12</f>
        <v>3.3981287310684434</v>
      </c>
      <c r="GN150" s="21">
        <f>EXP(-LN(2)/2)*GN149+(1-EXP(-LN(2)/2))/(LN(2)/2)*GH150*GK150*VLOOKUP('Données projet'!$B$17,Paramètres!$A$1:$I$89,3,0)*0.475*44/12</f>
        <v>0</v>
      </c>
      <c r="GO150" s="21">
        <f t="shared" si="250"/>
        <v>36.088902684549787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projet'!$A$279:$I$299,2,0)</f>
        <v>#N/A</v>
      </c>
      <c r="GS150" s="12" t="e">
        <f>VLOOKUP(A150,'Données projet'!$A$279:$I$299,9,0)</f>
        <v>#N/A</v>
      </c>
      <c r="GT150" s="12">
        <f t="array" ref="GT150">INDEX(GS:GS,MIN(IF(ISNUMBER(GS150:GS346),ROW(GS150:GS346),"")))</f>
        <v>0</v>
      </c>
      <c r="GU150" s="12">
        <f>IF('Données projet'!$A$280&gt;35,GU149+GT150-HC149,IF(A150&lt;'Données projet'!$A$280,$GR$205^A150,IF(A150='Données projet'!$A$280,'Données projet'!$B$280,GU149+GT150-HC149)))</f>
        <v>-1.1368683772161603E-13</v>
      </c>
      <c r="GV150" s="17">
        <f>GU150*VLOOKUP('Données projet'!$B$18,Paramètres!$A$1:$I$89,3,0)*VLOOKUP('Données projet'!$B$18,Paramètres!$A$1:$I$89,5,0)</f>
        <v>-4.5815795601811263E-14</v>
      </c>
      <c r="GW150" s="13" t="e">
        <f t="shared" si="304"/>
        <v>#NUM!</v>
      </c>
      <c r="GX150" s="20" t="e">
        <f t="shared" si="251"/>
        <v>#NUM!</v>
      </c>
      <c r="GY150" s="59" t="e">
        <f t="shared" si="252"/>
        <v>#NUM!</v>
      </c>
      <c r="GZ150" s="59">
        <f ca="1">AVERAGE(OFFSET($GY$3,0,0,'Données projet'!$E$18+1,1))-AVERAGE(OFFSET($H$3,0,0,'Données projet'!$E$18+1,1))</f>
        <v>324.36162935850876</v>
      </c>
      <c r="HA150" s="59">
        <f t="shared" si="305"/>
        <v>265.23571072429735</v>
      </c>
      <c r="HB150" s="15">
        <f>IF(ISNA(VLOOKUP(A150,'Données projet'!$A$279:$I$299,3,0)),0,VLOOKUP(A150,'Données projet'!$A$279:$I$299,3,0))</f>
        <v>0</v>
      </c>
      <c r="HC150" s="15">
        <f>IF(ISNA(VLOOKUP(A150,'Données projet'!$A$279:$I$299,4,0)),0,VLOOKUP(A150,'Données projet'!$A$279:$I$299,4,0))</f>
        <v>0</v>
      </c>
      <c r="HD150" s="16">
        <f>IF(ISNA(VLOOKUP(A150,'Données projet'!$A$279:$I$299,5,0)),0%,VLOOKUP(A150,'Données projet'!$A$279:$I$299,5,0)*VLOOKUP('Données projet'!$B$18,Paramètres!$A$1:$I$89,7,0))</f>
        <v>0</v>
      </c>
      <c r="HE150" s="16">
        <f>IF(ISNA(VLOOKUP(A150,'Données projet'!$A$279:$I$299,6,0)),0%,VLOOKUP(A150,'Données projet'!$A$279:$I$299,6,0)*VLOOKUP('Données projet'!$B$18,Paramètres!$A$1:$I$89,7,0))</f>
        <v>0</v>
      </c>
      <c r="HF150" s="16">
        <f>IF(ISNA(VLOOKUP($A150,'Données projet'!$A$279:$I$299,7,0)),0%,VLOOKUP($A150,'Données projet'!$A$279:$I$299,7,0))</f>
        <v>0</v>
      </c>
      <c r="HG150" s="21">
        <f>EXP(-LN(2)/35)*HG149+(1-EXP(-LN(2)/35))/(LN(2)/35)*HC150*HD150*VLOOKUP('Données projet'!$B$18,Paramètres!$A$1:$I$89,3,0)*0.475*44/12</f>
        <v>62.644068878100349</v>
      </c>
      <c r="HH150" s="21">
        <f>EXP(-LN(2)/25)*HH149+(1-EXP(-LN(2)/25))/(LN(2)/25)*Calculateur!HC150*Calculateur!HE150*VLOOKUP('Données projet'!$B$18,Paramètres!$A$1:$I$89,3,0)*0.475*44/12</f>
        <v>3.7793269588271166</v>
      </c>
      <c r="HI150" s="21">
        <f>EXP(-LN(2)/2)*HI149+(1-EXP(-LN(2)/2))/(LN(2)/2)*HC150*HF150*VLOOKUP('Données projet'!$B$18,Paramètres!$A$1:$I$89,3,0)*0.475*44/12</f>
        <v>7.0358975158609067E-10</v>
      </c>
      <c r="HJ150" s="22">
        <f t="shared" si="253"/>
        <v>66.423395837631062</v>
      </c>
      <c r="HK150" s="74">
        <f>('Scénario référence'!$F$8+'Scénario référence'!$F$9+'Scénario référence'!$B$17+'Scénario référence'!$B$9+'Scénario référence'!$B$10)*70+IF((45+25*(1-EXP(-0.0175*$A150)))&lt;70,'Scénario référence'!$B$16*(45+25*(1-EXP(-0.0175*$A150))),70*'Scénario référence'!$B$16)+IF((32+38*(1-EXP(-0.0175*$A150)))&lt;70,'Scénario référence'!$B$18*(32+38*(1-EXP(-0.0175*$A150))),70*'Scénario référence'!$B$18)</f>
        <v>70</v>
      </c>
      <c r="HL150" s="12">
        <f>IF($A150&gt;30,10,('Scénario référence'!$B$16+'Scénario référence'!$B$17+'Scénario référence'!$B$18+'Scénario référence'!$B$9+'Scénario référence'!$B$10)*$A150*10/30+('Scénario référence'!$F$8+'Scénario référence'!$F$9)*10)</f>
        <v>10</v>
      </c>
      <c r="HM150" s="12" t="e">
        <f>VLOOKUP($A150,'Données projet'!$A$304:$I$324,2,0)</f>
        <v>#N/A</v>
      </c>
      <c r="HN150" s="12" t="e">
        <f>VLOOKUP($A150,'Données projet'!$A$304:$I$324,9,0)</f>
        <v>#N/A</v>
      </c>
      <c r="HO150" s="12">
        <f t="array" ref="HO150">INDEX(HN:HN,MIN(IF(ISNUMBER(HN150:HN346),ROW(HN150:HN346),"")))</f>
        <v>0</v>
      </c>
      <c r="HP150" s="12">
        <f>IF('Données projet'!$A$304&gt;35,HP149+HO150-HX149,IF($A150&lt;'Données projet'!$A$304,$CQ$205^$A150,IF($A150='Données projet'!$A$304,'Données projet'!$B$304,HP149+HO150-HX149)))</f>
        <v>0</v>
      </c>
      <c r="HQ150" s="17">
        <f>HP150*VLOOKUP('Données projet'!$B$19,Paramètres!$A$1:$I$89,3,0)*VLOOKUP('Données projet'!$B$19,Paramètres!$A$1:$I$89,5,0)</f>
        <v>0</v>
      </c>
      <c r="HR150" s="13" t="e">
        <f t="shared" si="306"/>
        <v>#NUM!</v>
      </c>
      <c r="HS150" s="14" t="e">
        <f t="shared" si="254"/>
        <v>#NUM!</v>
      </c>
      <c r="HT150" s="59" t="e">
        <f t="shared" si="255"/>
        <v>#NUM!</v>
      </c>
      <c r="HU150" s="59">
        <f ca="1">AVERAGE(OFFSET(HT$3,0,0,'Données projet'!$E$19+1,1))-AVERAGE(OFFSET($H$3,0,0,'Données projet'!$E$19+1,1))</f>
        <v>91.60721429656013</v>
      </c>
      <c r="HV150" s="59">
        <f t="shared" si="307"/>
        <v>258.94957804210856</v>
      </c>
      <c r="HW150" s="15">
        <f>IF(ISNA(VLOOKUP($A150,'Données projet'!$A$304:$I$324,3,0)),0,VLOOKUP($A150,'Données projet'!$A$304:$I$324,3,0))</f>
        <v>0</v>
      </c>
      <c r="HX150" s="15">
        <f>IF(ISNA(VLOOKUP($A150,'Données projet'!$A$304:$I$324,4,0)),0,VLOOKUP($A150,'Données projet'!$A$304:$I$324,4,0))</f>
        <v>0</v>
      </c>
      <c r="HY150" s="16">
        <f>IF(ISNA(VLOOKUP($A150,'Données projet'!$A$304:$I$324,5,0)),0%,VLOOKUP($A150,'Données projet'!$A$304:$I$324,5,0)*VLOOKUP('Données projet'!$B$19,Paramètres!$A$1:$I$89,7,0))</f>
        <v>0</v>
      </c>
      <c r="HZ150" s="16">
        <f>IF(ISNA(VLOOKUP($A150,'Données projet'!$A$304:$I$324,6,0)),0%,VLOOKUP($A150,'Données projet'!$A$304:$I$324,6,0)*VLOOKUP('Données projet'!$B$19,Paramètres!$A$1:$I$89,7,0))</f>
        <v>0</v>
      </c>
      <c r="IA150" s="16">
        <f>IF(ISNA(VLOOKUP($A150,'Données projet'!$A$304:$I$324,7,0)),0%,VLOOKUP($A150,'Données projet'!$A$304:$I$324,7,0))</f>
        <v>0</v>
      </c>
      <c r="IB150" s="21">
        <f>EXP(-LN(2)/35)*IB149+(1-EXP(-LN(2)/35))/(LN(2)/35)*HX150*HY150*VLOOKUP('Données projet'!$B$19,Paramètres!$A$1:$I$89,3,0)*0.475*44/12</f>
        <v>4.8622205610734994</v>
      </c>
      <c r="IC150" s="21">
        <f>EXP(-LN(2)/25)*IC149+(1-EXP(-LN(2)/25))/(LN(2)/25)*Calculateur!HX150*Calculateur!HZ150*VLOOKUP('Données projet'!$B$19,Paramètres!$A$1:$I$89,3,0)*0.475*44/12</f>
        <v>0.37948182441220585</v>
      </c>
      <c r="ID150" s="21">
        <f>EXP(-LN(2)/2)*ID149+(1-EXP(-LN(2)/2))/(LN(2)/2)*HX150*IA150*VLOOKUP('Données projet'!$B$19,Paramètres!$A$1:$I$89,3,0)*0.475*44/12</f>
        <v>1.4053610853262283E-18</v>
      </c>
      <c r="IE150" s="22">
        <f t="shared" si="256"/>
        <v>5.2417023854857057</v>
      </c>
      <c r="IF150" s="74">
        <f>('Scénario référence'!$F$8+'Scénario référence'!$F$9+'Scénario référence'!$B$17+'Scénario référence'!$B$9+'Scénario référence'!$B$10)*70+IF((45+25*(1-EXP(-0.0175*$A150)))&lt;70,'Scénario référence'!$B$16*(45+25*(1-EXP(-0.0175*$A150))),70*'Scénario référence'!$B$16)+IF((32+38*(1-EXP(-0.0175*$A150)))&lt;70,'Scénario référence'!$B$18*(32+38*(1-EXP(-0.0175*$A150))),70*'Scénario référence'!$B$18)</f>
        <v>70</v>
      </c>
      <c r="IG150" s="12">
        <f>IF($A150&gt;30,10,('Scénario référence'!$B$16+'Scénario référence'!$B$17+'Scénario référence'!$B$18+'Scénario référence'!$B$9+'Scénario référence'!$B$10)*$A150*10/30+('Scénario référence'!$F$8+'Scénario référence'!$F$9)*10)</f>
        <v>10</v>
      </c>
      <c r="IH150" s="12" t="e">
        <f>VLOOKUP($A150,'Données projet'!$A$330:$I$350,2,0)</f>
        <v>#N/A</v>
      </c>
      <c r="II150" s="12" t="e">
        <f>VLOOKUP($A150,'Données projet'!$A$330:$I$350,9,0)</f>
        <v>#N/A</v>
      </c>
      <c r="IJ150" s="12">
        <f t="array" ref="IJ150">INDEX(II:II,MIN(IF(ISNUMBER(II150:II346),ROW(II150:II346),"")))</f>
        <v>0</v>
      </c>
      <c r="IK150" s="12">
        <f>IF('Données projet'!$A$330&gt;35,IK149+IJ150-IS149,IF($A150&lt;'Données projet'!$A$330,$CQ$205^$A150,IF($A150='Données projet'!$A$330,'Données projet'!$B$330,IK149+IJ150-IS149)))</f>
        <v>0</v>
      </c>
      <c r="IL150" s="17">
        <f>IK150*VLOOKUP('Données projet'!$B$20,Paramètres!$A$1:$I$89,3,0)*VLOOKUP('Données projet'!$B$20,Paramètres!$A$1:$I$89,5,0)</f>
        <v>0</v>
      </c>
      <c r="IM150" s="13" t="e">
        <f t="shared" si="308"/>
        <v>#NUM!</v>
      </c>
      <c r="IN150" s="20" t="e">
        <f t="shared" si="257"/>
        <v>#NUM!</v>
      </c>
      <c r="IO150" s="59" t="e">
        <f t="shared" si="258"/>
        <v>#NUM!</v>
      </c>
      <c r="IP150" s="59">
        <f ca="1">AVERAGE(OFFSET(IO$3,0,0,'Données projet'!$E$20+1,1))-AVERAGE(OFFSET($H$3,0,0,'Données projet'!$E$20+1,1))</f>
        <v>91.60721429656013</v>
      </c>
      <c r="IQ150" s="59">
        <f t="shared" si="309"/>
        <v>258.94957804210856</v>
      </c>
      <c r="IR150" s="15">
        <f>IF(ISNA(VLOOKUP($A150,'Données projet'!$A$330:$I$350,3,0)),0,VLOOKUP($A150,'Données projet'!$A$330:$I$350,3,0))</f>
        <v>0</v>
      </c>
      <c r="IS150" s="15">
        <f>IF(ISNA(VLOOKUP($A150,'Données projet'!$A$330:$I$350,4,0)),0,VLOOKUP($A150,'Données projet'!$A$330:$I$350,4,0))</f>
        <v>0</v>
      </c>
      <c r="IT150" s="16">
        <f>IF(ISNA(VLOOKUP($A150,'Données projet'!$A$330:$I$350,5,0)),0%,VLOOKUP($A150,'Données projet'!$A$330:$I$350,5,0)*VLOOKUP('Données projet'!$B$20,Paramètres!$A$1:$I$89,7,0))</f>
        <v>0</v>
      </c>
      <c r="IU150" s="16">
        <f>IF(ISNA(VLOOKUP($A150,'Données projet'!$A$330:$I$350,6,0)),0%,VLOOKUP($A150,'Données projet'!$A$330:$I$350,6,0)*VLOOKUP('Données projet'!$B$20,Paramètres!$A$1:$I$89,7,0))</f>
        <v>0</v>
      </c>
      <c r="IV150" s="16">
        <f>IF(ISNA(VLOOKUP($A150,'Données projet'!$A$330:$I$350,7,0)),0%,VLOOKUP($A150,'Données projet'!$A$330:$I$350,7,0))</f>
        <v>0</v>
      </c>
      <c r="IW150" s="21">
        <f>EXP(-LN(2)/35)*IW149+(1-EXP(-LN(2)/35))/(LN(2)/35)*IS150*IT150*VLOOKUP('Données projet'!$B$20,Paramètres!$A$1:$I$89,3,0)*0.475*44/12</f>
        <v>4.8622205610734994</v>
      </c>
      <c r="IX150" s="21">
        <f>EXP(-LN(2)/25)*IX149+(1-EXP(-LN(2)/25))/(LN(2)/25)*Calculateur!IS150*Calculateur!IU150*VLOOKUP('Données projet'!$B$20,Paramètres!$A$1:$I$89,3,0)*0.475*44/12</f>
        <v>0.37948182441220585</v>
      </c>
      <c r="IY150" s="21">
        <f>EXP(-LN(2)/2)*IY149+(1-EXP(-LN(2)/2))/(LN(2)/2)*IS150*IV150*VLOOKUP('Données projet'!$B$20,Paramètres!$A$1:$I$89,3,0)*0.475*44/12</f>
        <v>1.4053610853262283E-18</v>
      </c>
      <c r="IZ150" s="22">
        <f t="shared" si="259"/>
        <v>5.2417023854857057</v>
      </c>
      <c r="JA150" s="74">
        <f>('Scénario référence'!$F$8+'Scénario référence'!$F$9+'Scénario référence'!$B$17+'Scénario référence'!$B$9+'Scénario référence'!$B$10)*70+IF((45+25*(1-EXP(-0.0175*$A150)))&lt;70,'Scénario référence'!$B$16*(45+25*(1-EXP(-0.0175*$A150))),70*'Scénario référence'!$B$16)+IF((32+38*(1-EXP(-0.0175*$A150)))&lt;70,'Scénario référence'!$B$18*(32+38*(1-EXP(-0.0175*$A150))),70*'Scénario référence'!$B$18)</f>
        <v>70</v>
      </c>
      <c r="JB150" s="12">
        <f>IF($A150&gt;30,10,('Scénario référence'!$B$16+'Scénario référence'!$B$17+'Scénario référence'!$B$18+'Scénario référence'!$B$9+'Scénario référence'!$B$10)*$A150*10/30+('Scénario référence'!$F$8+'Scénario référence'!$F$9)*10)</f>
        <v>10</v>
      </c>
      <c r="JC150" s="12" t="e">
        <f>VLOOKUP($A150,'Données projet'!$A$356:$I$376,2,0)</f>
        <v>#N/A</v>
      </c>
      <c r="JD150" s="12" t="e">
        <f>VLOOKUP($A150,'Données projet'!$A$356:$I$376,9,0)</f>
        <v>#N/A</v>
      </c>
      <c r="JE150" s="12">
        <f t="array" ref="JE150">INDEX(JD:JD,MIN(IF(ISNUMBER(JD150:JD346),ROW(JD150:JD346),"")))</f>
        <v>1.4</v>
      </c>
      <c r="JF150" s="12">
        <f>IF('Données projet'!$A$356&gt;35,JF149+JE150-JN149,IF($A150&lt;'Données projet'!$A$356,$CQ$205^$A150,IF($A150='Données projet'!$A$356,'Données projet'!$B$356,JF149+JE150-JN149)))</f>
        <v>443.79999999999876</v>
      </c>
      <c r="JG150" s="17">
        <f>JF150*VLOOKUP('Données projet'!$B$21,Paramètres!$A$1:$I$89,3,0)*VLOOKUP('Données projet'!$B$21,Paramètres!$A$1:$I$89,5,0)</f>
        <v>360.01055999999903</v>
      </c>
      <c r="JH150" s="13">
        <f t="shared" si="310"/>
        <v>83.620394253687223</v>
      </c>
      <c r="JI150" s="20">
        <f t="shared" si="260"/>
        <v>772.65724532517015</v>
      </c>
      <c r="JJ150" s="59">
        <f t="shared" si="261"/>
        <v>1065.9905786585034</v>
      </c>
      <c r="JK150" s="59">
        <f ca="1">AVERAGE(OFFSET($JJ$3,0,0,'Données projet'!$E$22+1,1))-AVERAGE(OFFSET($H$3,0,0,'Données projet'!$E$22+1,1))</f>
        <v>353.35574633294613</v>
      </c>
      <c r="JL150" s="59">
        <f t="shared" si="311"/>
        <v>170.36796666474726</v>
      </c>
      <c r="JM150" s="15">
        <f>IF(ISNA(VLOOKUP($A150,'Données projet'!$A$356:$I$376,3,0)),0,VLOOKUP($A150,'Données projet'!$A$356:$I$376,3,0))</f>
        <v>0</v>
      </c>
      <c r="JN150" s="15">
        <f>IF(ISNA(VLOOKUP($A150,'Données projet'!$A$356:$I$376,4,0)),0,VLOOKUP($A150,'Données projet'!$A$356:$I$376,4,0))</f>
        <v>0</v>
      </c>
      <c r="JO150" s="16">
        <f>IF(ISNA(VLOOKUP($A150,'Données projet'!$A$356:$I$376,5,0)),0%,VLOOKUP($A150,'Données projet'!$A$356:$I$376,5,0)*VLOOKUP('Données projet'!$B$21,Paramètres!$A$1:$I$89,7,0))</f>
        <v>0</v>
      </c>
      <c r="JP150" s="16">
        <f>IF(ISNA(VLOOKUP($A150,'Données projet'!$A$356:$I$376,6,0)),0%,VLOOKUP($A150,'Données projet'!$A$356:$I$376,6,0)*VLOOKUP('Données projet'!$B$21,Paramètres!$A$1:$I$89,7,0))</f>
        <v>0</v>
      </c>
      <c r="JQ150" s="16">
        <f>IF(ISNA(VLOOKUP($A150,'Données projet'!$A$356:$I$376,7,0)),0%,VLOOKUP($A150,'Données projet'!$A$356:$I$376,7,0))</f>
        <v>0</v>
      </c>
      <c r="JR150" s="21">
        <f>EXP(-LN(2)/35)*JR149+(1-EXP(-LN(2)/35))/(LN(2)/35)*JN150*JO150*VLOOKUP('Données projet'!$B$21,Paramètres!$A$1:$I$89,3,0)*0.475*44/12</f>
        <v>4.6182406458065648</v>
      </c>
      <c r="JS150" s="21">
        <f>EXP(-LN(2)/25)*JS149+(1-EXP(-LN(2)/25))/(LN(2)/25)*Calculateur!JN150*Calculateur!JP150*VLOOKUP('Données projet'!$B$21,Paramètres!$A$1:$I$89,3,0)*0.475*44/12</f>
        <v>8.2574972044549924</v>
      </c>
      <c r="JT150" s="21">
        <f>EXP(-LN(2)/2)*JT149+(1-EXP(-LN(2)/2))/(LN(2)/2)*JN150*JQ150*VLOOKUP('Données projet'!$B$21,Paramètres!$A$1:$I$89,3,0)*0.475*44/12</f>
        <v>4.2376271094877668E-3</v>
      </c>
      <c r="JU150" s="18">
        <f t="shared" si="262"/>
        <v>12.879975477371046</v>
      </c>
      <c r="JV150" s="74">
        <f>('Scénario référence'!$F$8+'Scénario référence'!$F$9+'Scénario référence'!$B$17+'Scénario référence'!$B$9+'Scénario référence'!$B$10)*70+IF((45+25*(1-EXP(-0.0175*$A150)))&lt;70,'Scénario référence'!$B$16*(45+25*(1-EXP(-0.0175*$A150))),70*'Scénario référence'!$B$16)+IF((32+38*(1-EXP(-0.0175*$A150)))&lt;70,'Scénario référence'!$B$18*(32+38*(1-EXP(-0.0175*$A150))),70*'Scénario référence'!$B$18)</f>
        <v>70</v>
      </c>
      <c r="JW150" s="12">
        <f>IF($A150&gt;30,10,('Scénario référence'!$B$16+'Scénario référence'!$B$17+'Scénario référence'!$B$18+'Scénario référence'!$B$9+'Scénario référence'!$B$10)*$A150*10/30+('Scénario référence'!$F$8+'Scénario référence'!$F$9)*10)</f>
        <v>10</v>
      </c>
      <c r="JX150" s="12" t="e">
        <f>VLOOKUP($A150,'Données projet'!$A$382:$I$402,2,0)</f>
        <v>#N/A</v>
      </c>
      <c r="JY150" s="12" t="e">
        <f>VLOOKUP($A150,'Données projet'!$A$382:$I$402,9,0)</f>
        <v>#N/A</v>
      </c>
      <c r="JZ150" s="12">
        <f t="array" ref="JZ150">INDEX(JY:JY,MIN(IF(ISNUMBER(JY150:JY346),ROW(JY150:JY346),"")))</f>
        <v>0</v>
      </c>
      <c r="KA150" s="12">
        <f>IF('Données projet'!$A$382&gt;35,KA149+JZ150-KI149,IF($A150&lt;'Données projet'!$A$382,$CQ$205^$A150,IF($A150='Données projet'!$A$382,'Données projet'!$B$382,KA149+JZ150-KI149)))</f>
        <v>5.6843418860808015E-13</v>
      </c>
      <c r="KB150" s="17">
        <f>KA150*VLOOKUP('Données projet'!$B$22,Paramètres!$A$1:$I$89,3,0)*VLOOKUP('Données projet'!$B$22,Paramètres!$A$1:$I$89,5,0)</f>
        <v>3.8130565371830017E-13</v>
      </c>
      <c r="KC150" s="13">
        <f t="shared" si="312"/>
        <v>4.9019074112354236E-12</v>
      </c>
      <c r="KD150" s="20">
        <f t="shared" si="263"/>
        <v>9.2015960881277352E-12</v>
      </c>
      <c r="KE150" s="59">
        <f t="shared" si="264"/>
        <v>293.33333333334252</v>
      </c>
      <c r="KF150" s="59">
        <f ca="1">AVERAGE(OFFSET($KE$3,0,0,'Données projet'!$E$22+1,1))-AVERAGE(OFFSET($H$3,0,0,'Données projet'!$E$22+1,1))</f>
        <v>193.91714772848269</v>
      </c>
      <c r="KG150" s="59">
        <f t="shared" si="313"/>
        <v>159.20429420478047</v>
      </c>
      <c r="KH150" s="15">
        <f>IF(ISNA(VLOOKUP($A150,'Données projet'!$A$382:$I$402,3,0)),0,VLOOKUP($A150,'Données projet'!$A$382:$I$402,3,0))</f>
        <v>0</v>
      </c>
      <c r="KI150" s="15">
        <f>IF(ISNA(VLOOKUP($A150,'Données projet'!$A$382:$I$402,4,0)),0,VLOOKUP($A150,'Données projet'!$A$382:$I$402,4,0))</f>
        <v>0</v>
      </c>
      <c r="KJ150" s="16">
        <f>IF(ISNA(VLOOKUP($A150,'Données projet'!$A$382:$I$402,5,0)),0%,VLOOKUP($A150,'Données projet'!$A$382:$I$402,5,0)*VLOOKUP('Données projet'!$B$22,Paramètres!$A$1:$I$89,7,0))</f>
        <v>0</v>
      </c>
      <c r="KK150" s="16">
        <f>IF(ISNA(VLOOKUP($A150,'Données projet'!$A$382:$I$402,6,0)),0%,VLOOKUP($A150,'Données projet'!$A$382:$I$402,6,0)*VLOOKUP('Données projet'!$B$22,Paramètres!$A$1:$I$89,7,0))</f>
        <v>0</v>
      </c>
      <c r="KL150" s="16">
        <f>IF(ISNA(VLOOKUP($A150,'Données projet'!$A$382:$I$402,7,0)),0%,VLOOKUP($A150,'Données projet'!$A$382:$I$402,7,0))</f>
        <v>0</v>
      </c>
      <c r="KM150" s="21">
        <f>EXP(-LN(2)/35)*KM149+(1-EXP(-LN(2)/35))/(LN(2)/35)*KI150*KJ150*VLOOKUP('Données projet'!$B$22,Paramètres!$A$1:$I$89,3,0)*0.475*44/12</f>
        <v>113.81362595752721</v>
      </c>
      <c r="KN150" s="21">
        <f>EXP(-LN(2)/25)*KN149+(1-EXP(-LN(2)/25))/(LN(2)/25)*Calculateur!KI150*Calculateur!KK150*VLOOKUP('Données projet'!$B$22,Paramètres!$A$1:$I$89,3,0)*0.475*44/12</f>
        <v>0</v>
      </c>
      <c r="KO150" s="21">
        <f>EXP(-LN(2)/2)*KO149+(1-EXP(-LN(2)/2))/(LN(2)/2)*KI150*KL150*VLOOKUP('Données projet'!$B$22,Paramètres!$A$1:$I$89,3,0)*0.475*44/12</f>
        <v>0</v>
      </c>
      <c r="KP150" s="22">
        <f t="shared" si="265"/>
        <v>113.81362595752721</v>
      </c>
      <c r="KQ150" s="74">
        <f>('Scénario référence'!$F$8+'Scénario référence'!$F$9+'Scénario référence'!$B$17+'Scénario référence'!$B$9+'Scénario référence'!$B$10)*70+IF((45+25*(1-EXP(-0.0175*$A150)))&lt;70,'Scénario référence'!$B$16*(45+25*(1-EXP(-0.0175*$A150))),70*'Scénario référence'!$B$16)+IF((32+38*(1-EXP(-0.0175*$A150)))&lt;70,'Scénario référence'!$B$18*(32+38*(1-EXP(-0.0175*$A150))),70*'Scénario référence'!$B$18)</f>
        <v>70</v>
      </c>
      <c r="KR150" s="12">
        <f>IF($A150&gt;30,10,('Scénario référence'!$B$16+'Scénario référence'!$B$17+'Scénario référence'!$B$18+'Scénario référence'!$B$9+'Scénario référence'!$B$10)*$A150*10/30+('Scénario référence'!$F$8+'Scénario référence'!$F$9)*10)</f>
        <v>10</v>
      </c>
      <c r="KS150" s="12" t="e">
        <f>VLOOKUP($A150,'Données projet'!$A$408:$I$428,2,0)</f>
        <v>#N/A</v>
      </c>
      <c r="KT150" s="12" t="e">
        <f>VLOOKUP($A150,'Données projet'!$A$408:$I$428,9,0)</f>
        <v>#N/A</v>
      </c>
      <c r="KU150" s="12">
        <f t="array" ref="KU150">INDEX(KT:KT,MIN(IF(ISNUMBER(KT150:KT346),ROW(KT150:KT346),"")))</f>
        <v>0</v>
      </c>
      <c r="KV150" s="12">
        <f>IF('Données projet'!$A$408&gt;35,KV149+KU150-LD149,IF($A150&lt;'Données projet'!$A$408,$CQ$205^$A150,IF($A150='Données projet'!$A$408,'Données projet'!$B$408,KV149+KU150-LD149)))</f>
        <v>-1.1368683772161603E-13</v>
      </c>
      <c r="KW150" s="17">
        <f>KV150*VLOOKUP('Données projet'!$B$23,Paramètres!$A$1:$I$89,3,0)*VLOOKUP('Données projet'!$B$23,Paramètres!$A$1:$I$89,5,0)</f>
        <v>-9.9316821433603781E-14</v>
      </c>
      <c r="KX150" s="13" t="e">
        <f t="shared" si="314"/>
        <v>#NUM!</v>
      </c>
      <c r="KY150" s="14" t="e">
        <f t="shared" si="266"/>
        <v>#NUM!</v>
      </c>
      <c r="KZ150" s="59" t="e">
        <f t="shared" si="267"/>
        <v>#NUM!</v>
      </c>
      <c r="LA150" s="59">
        <f ca="1">AVERAGE(OFFSET($KZ$3,0,0,'Données projet'!$E$23+1,1))-AVERAGE(OFFSET($H$3,0,0,'Données projet'!$E$23+1,1))</f>
        <v>248.33596943633819</v>
      </c>
      <c r="LB150" s="59">
        <f t="shared" si="315"/>
        <v>242.34010522344573</v>
      </c>
      <c r="LC150" s="15">
        <f>IF(ISNA(VLOOKUP($A150,'Données projet'!$A$408:$I$428,3,0)),0,VLOOKUP($A150,'Données projet'!$A$408:$I$428,3,0))</f>
        <v>0</v>
      </c>
      <c r="LD150" s="15">
        <f>IF(ISNA(VLOOKUP($A150,'Données projet'!$A$408:$I$428,4,0)),0,VLOOKUP($A150,'Données projet'!$A$408:$I$428,4,0))</f>
        <v>0</v>
      </c>
      <c r="LE150" s="16">
        <f>IF(ISNA(VLOOKUP($A150,'Données projet'!$A$408:$I$428,5,0)),0%,VLOOKUP($A150,'Données projet'!$A$408:$I$428,5,0)*VLOOKUP('Données projet'!$B$23,Paramètres!$A$1:$I$89,7,0))</f>
        <v>0</v>
      </c>
      <c r="LF150" s="16">
        <f>IF(ISNA(VLOOKUP($A150,'Données projet'!$A$408:$I$428,6,0)),0%,VLOOKUP($A150,'Données projet'!$A$408:$I$428,6,0)*VLOOKUP('Données projet'!$B$23,Paramètres!$A$1:$I$89,7,0))</f>
        <v>0</v>
      </c>
      <c r="LG150" s="16">
        <f>IF(ISNA(VLOOKUP($A150,'Données projet'!$A$408:$I$428,7,0)),0%,VLOOKUP($A150,'Données projet'!$A$408:$I$428,7,0))</f>
        <v>0</v>
      </c>
      <c r="LH150" s="21">
        <f>EXP(-LN(2)/35)*LH149+(1-EXP(-LN(2)/35))/(LN(2)/35)*LD150*LE150*VLOOKUP('Données projet'!$B$23,Paramètres!$A$1:$I$89,3,0)*0.475*44/12</f>
        <v>32.69077395348134</v>
      </c>
      <c r="LI150" s="21">
        <f>EXP(-LN(2)/25)*LI149+(1-EXP(-LN(2)/25))/(LN(2)/25)*Calculateur!LD150*Calculateur!LF150*VLOOKUP('Données projet'!$B$23,Paramètres!$A$1:$I$89,3,0)*0.475*44/12</f>
        <v>3.3981287310684434</v>
      </c>
      <c r="LJ150" s="21">
        <f>EXP(-LN(2)/2)*LJ149+(1-EXP(-LN(2)/2))/(LN(2)/2)*LD150*LG150*VLOOKUP('Données projet'!$B$23,Paramètres!$A$1:$I$89,3,0)*0.475*44/12</f>
        <v>0</v>
      </c>
      <c r="LK150" s="22">
        <f t="shared" si="268"/>
        <v>36.088902684549787</v>
      </c>
      <c r="LL150" s="74">
        <f>('Scénario référence'!$F$8+'Scénario référence'!$F$9+'Scénario référence'!$B$17+'Scénario référence'!$B$9+'Scénario référence'!$B$10)*70+IF((45+25*(1-EXP(-0.0175*$A150)))&lt;70,'Scénario référence'!$B$16*(45+25*(1-EXP(-0.0175*$A150))),70*'Scénario référence'!$B$16)+IF((32+38*(1-EXP(-0.0175*$A150)))&lt;70,'Scénario référence'!$B$18*(32+38*(1-EXP(-0.0175*$A150))),70*'Scénario référence'!$B$18)</f>
        <v>70</v>
      </c>
      <c r="LM150" s="12">
        <f>IF($A150&gt;30,10,('Scénario référence'!$B$16+'Scénario référence'!$B$17+'Scénario référence'!$B$18+'Scénario référence'!$B$9+'Scénario référence'!$B$10)*$A150*10/30+('Scénario référence'!$F$8+'Scénario référence'!$F$9)*10)</f>
        <v>10</v>
      </c>
      <c r="LN150" s="12" t="e">
        <f>VLOOKUP($A150,'Données projet'!$A$434:$I$454,2,0)</f>
        <v>#N/A</v>
      </c>
      <c r="LO150" s="12" t="e">
        <f>VLOOKUP($A150,'Données projet'!$A$434:$I$454,9,0)</f>
        <v>#N/A</v>
      </c>
      <c r="LP150" s="12">
        <f t="array" ref="LP150">INDEX(LO:LO,MIN(IF(ISNUMBER(LO150:LO346),ROW(LO150:LO346),"")))</f>
        <v>5.1063034188034209</v>
      </c>
      <c r="LQ150" s="12">
        <f>IF('Données projet'!$A$434&gt;35,LQ149+LP150-LY149,IF($A150&lt;'Données projet'!$A$434,$CQ$205^$A150,IF($A150='Données projet'!$A$434,'Données projet'!$B$434,LQ149+LP150-LY149)))</f>
        <v>292.97329059829013</v>
      </c>
      <c r="LR150" s="17">
        <f>LQ150*VLOOKUP('Données projet'!$B$24,Paramètres!$A$1:$I$89,3,0)*VLOOKUP('Données projet'!$B$24,Paramètres!$A$1:$I$89,5,0)</f>
        <v>297.07491666666618</v>
      </c>
      <c r="LS150" s="13">
        <f t="shared" si="316"/>
        <v>70.562904410355046</v>
      </c>
      <c r="LT150" s="14">
        <f t="shared" si="269"/>
        <v>640.30253837581188</v>
      </c>
      <c r="LU150" s="59">
        <f t="shared" si="270"/>
        <v>933.63587170914525</v>
      </c>
      <c r="LV150" s="59">
        <f ca="1">AVERAGE(OFFSET($LU$3,0,0,'Données projet'!$E$24+1,1))-AVERAGE(OFFSET($H$3,0,0,'Données projet'!$E$24+1,1))</f>
        <v>260.52627655062872</v>
      </c>
      <c r="LW150" s="59">
        <f t="shared" si="317"/>
        <v>159.20429420478047</v>
      </c>
      <c r="LX150" s="15">
        <f>IF(ISNA(VLOOKUP($A150,'Données projet'!$A$434:$I$454,3,0)),0,VLOOKUP($A150,'Données projet'!$A$434:$I$454,3,0))</f>
        <v>0</v>
      </c>
      <c r="LY150" s="15">
        <f>IF(ISNA(VLOOKUP($A150,'Données projet'!$A$434:$I$454,4,0)),0,VLOOKUP($A150,'Données projet'!$A$434:$I$454,4,0))</f>
        <v>0</v>
      </c>
      <c r="LZ150" s="16">
        <f>IF(ISNA(VLOOKUP($A150,'Données projet'!$A$434:$I$454,5,0)),0%,VLOOKUP($A150,'Données projet'!$A$434:$I$454,5,0)*VLOOKUP('Données projet'!$B$24,Paramètres!$A$1:$I$89,7,0))</f>
        <v>0</v>
      </c>
      <c r="MA150" s="16">
        <f>IF(ISNA(VLOOKUP($A150,'Données projet'!$A$434:$I$454,6,0)),0%,VLOOKUP($A150,'Données projet'!$A$434:$I$454,6,0)*VLOOKUP('Données projet'!$B$24,Paramètres!$A$1:$I$89,7,0))</f>
        <v>0</v>
      </c>
      <c r="MB150" s="16">
        <f>IF(ISNA(VLOOKUP($A150,'Données projet'!$A$434:$I$454,7,0)),0%,VLOOKUP($A150,'Données projet'!$A$434:$I$454,7,0))</f>
        <v>0</v>
      </c>
      <c r="MC150" s="21">
        <f>EXP(-LN(2)/35)*MC149+(1-EXP(-LN(2)/35))/(LN(2)/35)*LY150*LZ150*VLOOKUP('Données projet'!$B$24,Paramètres!$A$1:$I$89,3,0)*0.475*44/12</f>
        <v>45.076166883554116</v>
      </c>
      <c r="MD150" s="21">
        <f>EXP(-LN(2)/25)*MD149+(1-EXP(-LN(2)/25))/(LN(2)/25)*Calculateur!LY150*Calculateur!MA150*VLOOKUP('Données projet'!$B$24,Paramètres!$A$1:$I$89,3,0)*0.475*44/12</f>
        <v>0</v>
      </c>
      <c r="ME150" s="21">
        <f>EXP(-LN(2)/2)*ME149+(1-EXP(-LN(2)/2))/(LN(2)/2)*LY150*MB150*VLOOKUP('Données projet'!$B$24,Paramètres!$A$1:$I$89,3,0)*0.475*44/12</f>
        <v>0</v>
      </c>
      <c r="MF150" s="22">
        <f t="shared" si="271"/>
        <v>45.076166883554116</v>
      </c>
      <c r="MG150" s="74">
        <f>('Scénario référence'!$F$8+'Scénario référence'!$F$9+'Scénario référence'!$B$17+'Scénario référence'!$B$9+'Scénario référence'!$B$10)*70+IF((45+25*(1-EXP(-0.0175*$A150)))&lt;70,'Scénario référence'!$B$16*(45+25*(1-EXP(-0.0175*$A150))),70*'Scénario référence'!$B$16)+IF((32+38*(1-EXP(-0.0175*$A150)))&lt;70,'Scénario référence'!$B$18*(32+38*(1-EXP(-0.0175*$A150))),70*'Scénario référence'!$B$18)</f>
        <v>70</v>
      </c>
      <c r="MH150" s="12">
        <f>IF($A150&gt;30,10,('Scénario référence'!$B$16+'Scénario référence'!$B$17+'Scénario référence'!$B$18+'Scénario référence'!$B$9+'Scénario référence'!$B$10)*$A150*10/30+('Scénario référence'!$F$8+'Scénario référence'!$F$9)*10)</f>
        <v>10</v>
      </c>
      <c r="MI150" s="12" t="e">
        <f>VLOOKUP($A150,'Données projet'!$A$460:$I$480,2,0)</f>
        <v>#N/A</v>
      </c>
      <c r="MJ150" s="12" t="e">
        <f>VLOOKUP($A150,'Données projet'!$A$460:$I$480,9,0)</f>
        <v>#N/A</v>
      </c>
      <c r="MK150" s="12">
        <f t="array" ref="MK150">INDEX(MJ:MJ,MIN(IF(ISNUMBER(MJ150:MJ346),ROW(MJ150:MJ346),"")))</f>
        <v>0</v>
      </c>
      <c r="ML150" s="12">
        <f>IF('Données projet'!$A$460&gt;35,ML149+MK150-MT149,IF($A150&lt;'Données projet'!$A$460,$CQ$205^$A150,IF($A150='Données projet'!$A$460,'Données projet'!$B$460,ML149+MK150-MT149)))</f>
        <v>0</v>
      </c>
      <c r="MM150" s="17" t="e">
        <f>ML150*VLOOKUP('Données projet'!$B$25,Paramètres!$A$1:$I$89,3,0)*VLOOKUP('Données projet'!$B$25,Paramètres!$A$1:$I$89,5,0)</f>
        <v>#N/A</v>
      </c>
      <c r="MN150" s="13" t="e">
        <f t="shared" si="318"/>
        <v>#N/A</v>
      </c>
      <c r="MO150" s="14" t="e">
        <f t="shared" si="272"/>
        <v>#N/A</v>
      </c>
      <c r="MP150" s="59" t="e">
        <f t="shared" si="273"/>
        <v>#N/A</v>
      </c>
      <c r="MQ150" s="20" t="e">
        <f ca="1">AVERAGE(OFFSET($MP$3,0,0,'Données projet'!$E$25+1,1))-AVERAGE(OFFSET($H$3,0,0,'Données projet'!$E$25+1,1))</f>
        <v>#N/A</v>
      </c>
      <c r="MR150" s="59" t="e">
        <f t="shared" si="319"/>
        <v>#N/A</v>
      </c>
      <c r="MS150" s="15">
        <f>IF(ISNA(VLOOKUP($A150,'Données projet'!$A$460:$I$480,3,0)),0,VLOOKUP($A150,'Données projet'!$A$460:$I$480,3,0))</f>
        <v>0</v>
      </c>
      <c r="MT150" s="15">
        <f>IF(ISNA(VLOOKUP($A150,'Données projet'!$A$460:$I$480,4,0)),0,VLOOKUP($A150,'Données projet'!$A$460:$I$480,4,0))</f>
        <v>0</v>
      </c>
      <c r="MU150" s="16">
        <f>IF(ISNA(VLOOKUP($A150,'Données projet'!$A$460:$I$480,5,0)),0%,VLOOKUP($A150,'Données projet'!$A$460:$I$480,5,0)*VLOOKUP('Données projet'!$B$25,Paramètres!$A$1:$I$89,7,0))</f>
        <v>0</v>
      </c>
      <c r="MV150" s="16">
        <f>IF(ISNA(VLOOKUP($A150,'Données projet'!$A$460:$I$480,6,0)),0%,VLOOKUP($A150,'Données projet'!$A$460:$I$480,6,0)*VLOOKUP('Données projet'!$B$25,Paramètres!$A$1:$I$89,7,0))</f>
        <v>0</v>
      </c>
      <c r="MW150" s="16">
        <f>IF(ISNA(VLOOKUP($A150,'Données projet'!$A$460:$I$480,7,0)),0%,VLOOKUP($A150,'Données projet'!$A$460:$I$480,7,0))</f>
        <v>0</v>
      </c>
      <c r="MX150" s="21" t="e">
        <f>EXP(-LN(2)/35)*MX149+(1-EXP(-LN(2)/35))/(LN(2)/35)*MT150*MU150*VLOOKUP('Données projet'!$B$25,Paramètres!$A$1:$I$89,3,0)*0.475*44/12</f>
        <v>#N/A</v>
      </c>
      <c r="MY150" s="21" t="e">
        <f>EXP(-LN(2)/25)*MY149+(1-EXP(-LN(2)/25))/(LN(2)/25)*Calculateur!MT150*Calculateur!MV150*VLOOKUP('Données projet'!$B$25,Paramètres!$A$1:$I$89,3,0)*0.475*44/12</f>
        <v>#N/A</v>
      </c>
      <c r="MZ150" s="21" t="e">
        <f>EXP(-LN(2)/2)*MZ149+(1-EXP(-LN(2)/2))/(LN(2)/2)*MT150*MW150*VLOOKUP('Données projet'!$B$25,Paramètres!$A$1:$I$89,3,0)*0.475*44/12</f>
        <v>#N/A</v>
      </c>
      <c r="NA150" s="22" t="e">
        <f t="shared" si="274"/>
        <v>#N/A</v>
      </c>
      <c r="NB150" s="74">
        <f>('Scénario référence'!$F$8+'Scénario référence'!$F$9+'Scénario référence'!$B$17+'Scénario référence'!$B$9+'Scénario référence'!$B$10)*70+IF((45+25*(1-EXP(-0.0175*$A150)))&lt;70,'Scénario référence'!$B$16*(45+25*(1-EXP(-0.0175*$A150))),70*'Scénario référence'!$B$16)+IF((32+38*(1-EXP(-0.0175*$A150)))&lt;70,'Scénario référence'!$B$18*(32+38*(1-EXP(-0.0175*$A150))),70*'Scénario référence'!$B$18)</f>
        <v>70</v>
      </c>
      <c r="NC150" s="12">
        <f>IF($A150&gt;30,10,('Scénario référence'!$B$16+'Scénario référence'!$B$17+'Scénario référence'!$B$18+'Scénario référence'!$B$9+'Scénario référence'!$B$10)*$A150*10/30+('Scénario référence'!$F$8+'Scénario référence'!$F$9)*10)</f>
        <v>10</v>
      </c>
      <c r="ND150" s="12" t="e">
        <f>VLOOKUP($A150,'Données projet'!$A$486:$I$506,2,0)</f>
        <v>#N/A</v>
      </c>
      <c r="NE150" s="12" t="e">
        <f>VLOOKUP($A150,'Données projet'!$A$486:$I$506,9,0)</f>
        <v>#N/A</v>
      </c>
      <c r="NF150" s="12">
        <f t="array" ref="NF150">INDEX(NE:NE,MIN(IF(ISNUMBER(NE150:NE346),ROW(NE150:NE346),"")))</f>
        <v>0</v>
      </c>
      <c r="NG150" s="12">
        <f>IF('Données projet'!$A$486&gt;35,NG149+NF150-NO149,IF($A150&lt;'Données projet'!$A$486,$CQ$205^$A150,IF($A150='Données projet'!$A$486,'Données projet'!$B$486,NG149+NF150-NO149)))</f>
        <v>0</v>
      </c>
      <c r="NH150" s="17" t="e">
        <f>NG150*VLOOKUP('Données projet'!$B$26,Paramètres!$A$1:$I$89,3,0)*VLOOKUP('Données projet'!$B$26,Paramètres!$A$1:$I$89,5,0)</f>
        <v>#N/A</v>
      </c>
      <c r="NI150" s="13" t="e">
        <f t="shared" si="320"/>
        <v>#N/A</v>
      </c>
      <c r="NJ150" s="14" t="e">
        <f t="shared" si="275"/>
        <v>#N/A</v>
      </c>
      <c r="NK150" s="59" t="e">
        <f t="shared" si="276"/>
        <v>#N/A</v>
      </c>
      <c r="NL150" s="20" t="e">
        <f ca="1">AVERAGE(OFFSET($NK$3,0,0,'Données projet'!$E$26+1,1))-AVERAGE(OFFSET($H$3,0,0,'Données projet'!$E$26+1,1))</f>
        <v>#N/A</v>
      </c>
      <c r="NM150" s="59" t="e">
        <f t="shared" si="321"/>
        <v>#N/A</v>
      </c>
      <c r="NN150" s="15">
        <f>IF(ISNA(VLOOKUP($A150,'Données projet'!$A$486:$I$506,3,0)),0,VLOOKUP($A150,'Données projet'!$A$486:$I$506,3,0))</f>
        <v>0</v>
      </c>
      <c r="NO150" s="15">
        <f>IF(ISNA(VLOOKUP($A150,'Données projet'!$A$486:$I$506,4,0)),0,VLOOKUP($A150,'Données projet'!$A$486:$I$506,4,0))</f>
        <v>0</v>
      </c>
      <c r="NP150" s="16">
        <f>IF(ISNA(VLOOKUP($A150,'Données projet'!$A$486:$I$506,5,0)),0%,VLOOKUP($A150,'Données projet'!$A$486:$I$506,5,0)*VLOOKUP('Données projet'!$B$26,Paramètres!$A$1:$I$89,7,0))</f>
        <v>0</v>
      </c>
      <c r="NQ150" s="16">
        <f>IF(ISNA(VLOOKUP($A150,'Données projet'!$A$486:$I$506,6,0)),0%,VLOOKUP($A150,'Données projet'!$A$486:$I$506,6,0)*VLOOKUP('Données projet'!$B$26,Paramètres!$A$1:$I$89,7,0))</f>
        <v>0</v>
      </c>
      <c r="NR150" s="16">
        <f>IF(ISNA(VLOOKUP($A150,'Données projet'!$A$486:$I$506,7,0)),0%,VLOOKUP($A150,'Données projet'!$A$486:$I$506,7,0))</f>
        <v>0</v>
      </c>
      <c r="NS150" s="21" t="e">
        <f>EXP(-LN(2)/35)*NS149+(1-EXP(-LN(2)/35))/(LN(2)/35)*NO150*NP150*VLOOKUP('Données projet'!$B$26,Paramètres!$A$1:$I$89,3,0)*0.475*44/12</f>
        <v>#N/A</v>
      </c>
      <c r="NT150" s="21" t="e">
        <f>EXP(-LN(2)/25)*NT149+(1-EXP(-LN(2)/25))/(LN(2)/25)*Calculateur!NO150*Calculateur!NQ150*VLOOKUP('Données projet'!$B$26,Paramètres!$A$1:$I$89,3,0)*0.475*44/12</f>
        <v>#N/A</v>
      </c>
      <c r="NU150" s="21" t="e">
        <f>EXP(-LN(2)/2)*NU149+(1-EXP(-LN(2)/2))/(LN(2)/2)*NO150*NR150*VLOOKUP('Données projet'!$B$26,Paramètres!$A$1:$I$89,3,0)*0.475*44/12</f>
        <v>#N/A</v>
      </c>
      <c r="NV150" s="22" t="e">
        <f t="shared" si="277"/>
        <v>#N/A</v>
      </c>
      <c r="NW150" s="74">
        <f>('Scénario référence'!$F$8+'Scénario référence'!$F$9+'Scénario référence'!$B$17+'Scénario référence'!$B$9+'Scénario référence'!$B$10)*70+IF((45+25*(1-EXP(-0.0175*$A150)))&lt;70,'Scénario référence'!$B$16*(45+25*(1-EXP(-0.0175*$A150))),70*'Scénario référence'!$B$16)+IF((32+38*(1-EXP(-0.0175*$A150)))&lt;70,'Scénario référence'!$B$18*(32+38*(1-EXP(-0.0175*$A150))),70*'Scénario référence'!$B$18)</f>
        <v>70</v>
      </c>
      <c r="NX150" s="12">
        <f>IF($A150&gt;30,10,('Scénario référence'!$B$16+'Scénario référence'!$B$17+'Scénario référence'!$B$18+'Scénario référence'!$B$9+'Scénario référence'!$B$10)*$A150*10/30+('Scénario référence'!$F$8+'Scénario référence'!$F$9)*10)</f>
        <v>10</v>
      </c>
      <c r="NY150" s="12" t="e">
        <f>VLOOKUP($A150,'Données projet'!$A$512:$I$532,2,0)</f>
        <v>#N/A</v>
      </c>
      <c r="NZ150" s="12" t="e">
        <f>VLOOKUP($A150,'Données projet'!$A$512:$I$532,9,0)</f>
        <v>#N/A</v>
      </c>
      <c r="OA150" s="12">
        <f t="array" ref="OA150">INDEX(NZ:NZ,MIN(IF(ISNUMBER(NZ150:NZ346),ROW(NZ150:NZ346),"")))</f>
        <v>0</v>
      </c>
      <c r="OB150" s="12">
        <f>IF('Données projet'!$A$512&gt;35,OB149+OA150-OJ149,IF($A150&lt;'Données projet'!$A$512,$CQ$205^$A150,IF($A150='Données projet'!$A$512,'Données projet'!$B$512,OB149+OA150-OJ149)))</f>
        <v>0</v>
      </c>
      <c r="OC150" s="17" t="e">
        <f>OB150*VLOOKUP('Données projet'!$B$27,Paramètres!$A$1:$I$89,3,0)*VLOOKUP('Données projet'!$B$27,Paramètres!$A$1:$I$89,5,0)</f>
        <v>#N/A</v>
      </c>
      <c r="OD150" s="13" t="e">
        <f t="shared" si="322"/>
        <v>#N/A</v>
      </c>
      <c r="OE150" s="14" t="e">
        <f t="shared" si="278"/>
        <v>#N/A</v>
      </c>
      <c r="OF150" s="59" t="e">
        <f t="shared" si="279"/>
        <v>#N/A</v>
      </c>
      <c r="OG150" s="20" t="e">
        <f ca="1">AVERAGE(OFFSET($OF$3,0,0,'Données projet'!$E$27+1,1))-AVERAGE(OFFSET($H$3,0,0,'Données projet'!$E$27+1,1))</f>
        <v>#N/A</v>
      </c>
      <c r="OH150" s="59" t="e">
        <f t="shared" si="323"/>
        <v>#N/A</v>
      </c>
      <c r="OI150" s="15">
        <f>IF(ISNA(VLOOKUP($A150,'Données projet'!$A$512:$I$532,3,0)),0,VLOOKUP($A150,'Données projet'!$A$512:$I$532,3,0))</f>
        <v>0</v>
      </c>
      <c r="OJ150" s="15">
        <f>IF(ISNA(VLOOKUP($A150,'Données projet'!$A$512:$I$532,4,0)),0,VLOOKUP($A150,'Données projet'!$A$512:$I$532,4,0))</f>
        <v>0</v>
      </c>
      <c r="OK150" s="16">
        <f>IF(ISNA(VLOOKUP($A150,'Données projet'!$A$512:$I$532,5,0)),0%,VLOOKUP($A150,'Données projet'!$A$512:$I$532,5,0)*VLOOKUP('Données projet'!$B$27,Paramètres!$A$1:$I$89,7,0))</f>
        <v>0</v>
      </c>
      <c r="OL150" s="16">
        <f>IF(ISNA(VLOOKUP($A150,'Données projet'!$A$512:$I$532,6,0)),0%,VLOOKUP($A150,'Données projet'!$A$512:$I$532,6,0)*VLOOKUP('Données projet'!$B$27,Paramètres!$A$1:$I$89,7,0))</f>
        <v>0</v>
      </c>
      <c r="OM150" s="16">
        <f>IF(ISNA(VLOOKUP($A150,'Données projet'!$A$512:$I$532,7,0)),0%,VLOOKUP($A150,'Données projet'!$A$512:$I$532,7,0))</f>
        <v>0</v>
      </c>
      <c r="ON150" s="21" t="e">
        <f>EXP(-LN(2)/35)*ON149+(1-EXP(-LN(2)/35))/(LN(2)/35)*OJ150*OK150*VLOOKUP('Données projet'!$B$27,Paramètres!$A$1:$I$89,3,0)*0.475*44/12</f>
        <v>#N/A</v>
      </c>
      <c r="OO150" s="21" t="e">
        <f>EXP(-LN(2)/25)*OO149+(1-EXP(-LN(2)/25))/(LN(2)/25)*Calculateur!OJ150*Calculateur!OL150*VLOOKUP('Données projet'!$B$27,Paramètres!$A$1:$I$89,3,0)*0.475*44/12</f>
        <v>#N/A</v>
      </c>
      <c r="OP150" s="21" t="e">
        <f>EXP(-LN(2)/2)*OP149+(1-EXP(-LN(2)/2))/(LN(2)/2)*OJ150*OM150*VLOOKUP('Données projet'!$B$27,Paramètres!$A$1:$I$89,3,0)*0.475*44/12</f>
        <v>#N/A</v>
      </c>
      <c r="OQ150" s="22" t="e">
        <f t="shared" si="280"/>
        <v>#N/A</v>
      </c>
      <c r="OR150" s="74">
        <f>('Scénario référence'!$F$8+'Scénario référence'!$F$9+'Scénario référence'!$B$17+'Scénario référence'!$B$9+'Scénario référence'!$B$10)*70+IF((45+25*(1-EXP(-0.0175*$A150)))&lt;70,'Scénario référence'!$B$16*(45+25*(1-EXP(-0.0175*$A150))),70*'Scénario référence'!$B$16)+IF((32+38*(1-EXP(-0.0175*$A150)))&lt;70,'Scénario référence'!$B$18*(32+38*(1-EXP(-0.0175*$A150))),70*'Scénario référence'!$B$18)</f>
        <v>70</v>
      </c>
      <c r="OS150" s="12">
        <f>IF($A150&gt;30,10,('Scénario référence'!$B$16+'Scénario référence'!$B$17+'Scénario référence'!$B$18+'Scénario référence'!$B$9+'Scénario référence'!$B$10)*$A150*10/30+('Scénario référence'!$F$8+'Scénario référence'!$F$9)*10)</f>
        <v>10</v>
      </c>
      <c r="OT150" s="12" t="e">
        <f>VLOOKUP($A150,'Données projet'!$A$538:$I$558,2,0)</f>
        <v>#N/A</v>
      </c>
      <c r="OU150" s="12" t="e">
        <f>VLOOKUP($A150,'Données projet'!$A$538:$I$558,9,0)</f>
        <v>#N/A</v>
      </c>
      <c r="OV150" s="12">
        <f t="array" ref="OV150">INDEX(OU:OU,MIN(IF(ISNUMBER(OU150:OU346),ROW(OU150:OU346),"")))</f>
        <v>0</v>
      </c>
      <c r="OW150" s="12">
        <f>IF('Données projet'!$A$538&gt;35,OW149+OV150-PE149,IF($A150&lt;'Données projet'!$A$538,$CQ$205^$A150,IF($A150='Données projet'!$A$538,'Données projet'!$B$538,OW149+OV150-PE149)))</f>
        <v>0</v>
      </c>
      <c r="OX150" s="17" t="e">
        <f>OW150*VLOOKUP('Données projet'!$B$28,Paramètres!$A$1:$I$89,3,0)*VLOOKUP('Données projet'!$B$28,Paramètres!$A$1:$I$89,5,0)</f>
        <v>#N/A</v>
      </c>
      <c r="OY150" s="13" t="e">
        <f t="shared" si="324"/>
        <v>#N/A</v>
      </c>
      <c r="OZ150" s="14" t="e">
        <f t="shared" si="281"/>
        <v>#N/A</v>
      </c>
      <c r="PA150" s="59" t="e">
        <f t="shared" si="282"/>
        <v>#N/A</v>
      </c>
      <c r="PB150" s="20" t="e">
        <f ca="1">AVERAGE(OFFSET($PA$3,0,0,'Données projet'!$E$28+1,1))-AVERAGE(OFFSET($H$3,0,0,'Données projet'!$E$28+1,1))</f>
        <v>#N/A</v>
      </c>
      <c r="PC150" s="59" t="e">
        <f t="shared" si="325"/>
        <v>#N/A</v>
      </c>
      <c r="PD150" s="15">
        <f>IF(ISNA(VLOOKUP($A150,'Données projet'!$A$538:$I$558,3,0)),0,VLOOKUP($A150,'Données projet'!$A$538:$I$558,3,0))</f>
        <v>0</v>
      </c>
      <c r="PE150" s="15">
        <f>IF(ISNA(VLOOKUP($A150,'Données projet'!$A$538:$I$558,4,0)),0,VLOOKUP($A150,'Données projet'!$A$538:$I$558,4,0))</f>
        <v>0</v>
      </c>
      <c r="PF150" s="16">
        <f>IF(ISNA(VLOOKUP($A150,'Données projet'!$A$538:$I$558,5,0)),0%,VLOOKUP($A150,'Données projet'!$A$538:$I$558,5,0)*VLOOKUP('Données projet'!$B$28,Paramètres!$A$1:$I$89,7,0))</f>
        <v>0</v>
      </c>
      <c r="PG150" s="16">
        <f>IF(ISNA(VLOOKUP($A150,'Données projet'!$A$538:$I$558,6,0)),0%,VLOOKUP($A150,'Données projet'!$A$538:$I$558,6,0)*VLOOKUP('Données projet'!$B$28,Paramètres!$A$1:$I$89,7,0))</f>
        <v>0</v>
      </c>
      <c r="PH150" s="16">
        <f>IF(ISNA(VLOOKUP($A150,'Données projet'!$A$538:$I$558,7,0)),0%,VLOOKUP($A150,'Données projet'!$A$538:$I$558,7,0))</f>
        <v>0</v>
      </c>
      <c r="PI150" s="21" t="e">
        <f>EXP(-LN(2)/35)*PI149+(1-EXP(-LN(2)/35))/(LN(2)/35)*PE150*PF150*VLOOKUP('Données projet'!$B$28,Paramètres!$A$1:$I$89,3,0)*0.475*44/12</f>
        <v>#N/A</v>
      </c>
      <c r="PJ150" s="21" t="e">
        <f>EXP(-LN(2)/25)*PJ149+(1-EXP(-LN(2)/25))/(LN(2)/25)*Calculateur!PE150*Calculateur!PG150*VLOOKUP('Données projet'!$B$28,Paramètres!$A$1:$I$89,3,0)*0.475*44/12</f>
        <v>#N/A</v>
      </c>
      <c r="PK150" s="21" t="e">
        <f>EXP(-LN(2)/2)*PK149+(1-EXP(-LN(2)/2))/(LN(2)/2)*PE150*PH150*VLOOKUP('Données projet'!$B$28,Paramètres!$A$1:$I$89,3,0)*0.475*44/12</f>
        <v>#N/A</v>
      </c>
      <c r="PL150" s="22" t="e">
        <f t="shared" si="283"/>
        <v>#N/A</v>
      </c>
    </row>
    <row r="151" spans="1:428" x14ac:dyDescent="0.35">
      <c r="A151" s="10">
        <f t="shared" si="284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285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225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projet'!$A$45:$I$65,2,0)</f>
        <v>#N/A</v>
      </c>
      <c r="L151" s="12" t="e">
        <f>VLOOKUP(A151,'Données projet'!$A$45:$I$65,9,0)</f>
        <v>#N/A</v>
      </c>
      <c r="M151" s="12">
        <f t="array" ref="M151">INDEX(L:L,MIN(IF(ISNUMBER(L151:L347),ROW(L151:L347),"")))</f>
        <v>0</v>
      </c>
      <c r="N151" s="13">
        <f>IF('Données projet'!$A$46&gt;35,N150+M151-V150,IF(A151&lt;'Données projet'!$A$46,$K$205^A151,IF(A151='Données projet'!$A$46,'Données projet'!$B$46,N150+M151-V150)))</f>
        <v>-1.1368683772161603E-13</v>
      </c>
      <c r="O151" s="13">
        <f>N151*VLOOKUP('Données projet'!$B$9,Paramètres!$A$1:$I$89,3,0)*VLOOKUP('Données projet'!$B$9,Paramètres!$A$1:$I$89,5,0)</f>
        <v>-6.3550942286383367E-14</v>
      </c>
      <c r="P151" s="13" t="e">
        <f t="shared" si="286"/>
        <v>#NUM!</v>
      </c>
      <c r="Q151" s="20" t="e">
        <f t="shared" si="223"/>
        <v>#NUM!</v>
      </c>
      <c r="R151" s="59" t="e">
        <f t="shared" si="224"/>
        <v>#NUM!</v>
      </c>
      <c r="S151" s="59">
        <f ca="1">AVERAGE(OFFSET($R$3,0,0,'Données projet'!$E$9+1,1))-AVERAGE(OFFSET($H$3,0,0,'Données projet'!$E$9+1,1))</f>
        <v>274.57619581652199</v>
      </c>
      <c r="T151" s="59">
        <f t="shared" si="287"/>
        <v>366.15117322598775</v>
      </c>
      <c r="U151" s="15">
        <f>IF(ISNA(VLOOKUP(A151,'Données projet'!$A$45:$I$65,3,0)),0,VLOOKUP(A151,'Données projet'!$A$45:$I$65,3,0))</f>
        <v>0</v>
      </c>
      <c r="V151" s="15">
        <f>IF(ISNA(VLOOKUP(A151,'Données projet'!$A$45:$I$65,4,0)),0,VLOOKUP(A151,'Données projet'!$A$45:$I$65,4,0))</f>
        <v>0</v>
      </c>
      <c r="W151" s="16">
        <f>IF(ISNA(VLOOKUP(A151,'Données projet'!$A$45:$I$65,5,0)),0%,VLOOKUP(A151,'Données projet'!$A$45:$I$65,5,0)*VLOOKUP('Données projet'!$B$9,Paramètres!$A$1:$I$89,7,0))</f>
        <v>0</v>
      </c>
      <c r="X151" s="16">
        <f>IF(ISNA(VLOOKUP(A151,'Données projet'!$A$45:$I$65,6,0)),0%,VLOOKUP(A151,'Données projet'!$A$45:$I$65,6,0)*VLOOKUP('Données projet'!$B$9,Paramètres!$A$1:$I$89,7,0))</f>
        <v>0</v>
      </c>
      <c r="Y151" s="16">
        <f>IF(ISNA(VLOOKUP(A151,'Données projet'!$A$45:$I$65,7,0)),0%,VLOOKUP(A151,'Données projet'!$A$45:$I$65,7,0))</f>
        <v>0</v>
      </c>
      <c r="Z151" s="21">
        <f>EXP(-LN(2)/35)*Z150+(1-EXP(-LN(2)/35))/(LN(2)/35)*V151*W151*VLOOKUP('Données projet'!$B$9,Paramètres!$A$1:$I$89,3,0)*0.475*44/12</f>
        <v>35.932678402858201</v>
      </c>
      <c r="AA151" s="21">
        <f>EXP(-LN(2)/25)*AA150+(1-EXP(-LN(2)/25))/(LN(2)/25)*Calculateur!V151*Calculateur!X151*VLOOKUP('Données projet'!$B$9,Paramètres!$A$1:$I$89,3,0)*0.475*44/12</f>
        <v>4.3716844268291144</v>
      </c>
      <c r="AB151" s="21">
        <f>EXP(-LN(2)/2)*AB150+(1-EXP(-LN(2)/2))/(LN(2)/2)*V151*Y151*VLOOKUP('Données projet'!$B$9,Paramètres!$A$1:$I$89,3,0)*0.475*44/12</f>
        <v>3.432729970922294E-13</v>
      </c>
      <c r="AC151" s="22">
        <f t="shared" si="226"/>
        <v>40.304362829687655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projet'!$A$71:$I$91,2,0)</f>
        <v>#N/A</v>
      </c>
      <c r="AG151" s="12" t="e">
        <f>VLOOKUP(A151,'Données projet'!$A$71:$I$91,9,0)</f>
        <v>#N/A</v>
      </c>
      <c r="AH151" s="12">
        <f t="array" ref="AH151">INDEX(AG:AG,MIN(IF(ISNUMBER(AG151:AG347),ROW(AG151:AG347),"")))</f>
        <v>0</v>
      </c>
      <c r="AI151" s="13">
        <f>IF('Données projet'!$A$72&gt;35,AI150+AH151-AQ150,IF(A151&lt;'Données projet'!$A$72,$AF$205^A151,IF(A151='Données projet'!$A$72,'Données projet'!$B$72,AI150+AH151-AQ150)))</f>
        <v>5.6843418860808015E-13</v>
      </c>
      <c r="AJ151" s="13">
        <f>AI151*VLOOKUP('Données projet'!$B$10,Paramètres!$A$1:$I$89,3,0)*VLOOKUP('Données projet'!$B$10,Paramètres!$A$1:$I$89,5,0)</f>
        <v>5.1431925385259092E-13</v>
      </c>
      <c r="AK151" s="13">
        <f t="shared" si="288"/>
        <v>6.3855359115685756E-12</v>
      </c>
      <c r="AL151" s="20">
        <f t="shared" si="227"/>
        <v>1.2017247746441865E-11</v>
      </c>
      <c r="AM151" s="59">
        <f t="shared" si="228"/>
        <v>293.33333333334531</v>
      </c>
      <c r="AN151" s="59">
        <f ca="1">AVERAGE(OFFSET($AM$3,0,0,'Données projet'!$E$10+1,1))-AVERAGE(OFFSET($H$3,0,0,'Données projet'!$E$10+1,1))</f>
        <v>270.87836509222456</v>
      </c>
      <c r="AO151" s="59">
        <f t="shared" si="289"/>
        <v>205.24998237949734</v>
      </c>
      <c r="AP151" s="15">
        <f>IF(ISNA(VLOOKUP(A151,'Données projet'!$A$71:$I$91,3,0)),0,VLOOKUP(A151,'Données projet'!$A$71:$I$91,3,0))</f>
        <v>0</v>
      </c>
      <c r="AQ151" s="15">
        <f>IF(ISNA(VLOOKUP(A151,'Données projet'!$A$71:$I$91,4,0)),0,VLOOKUP(A151,'Données projet'!$A$71:$I$91,4,0))</f>
        <v>0</v>
      </c>
      <c r="AR151" s="16">
        <f>IF(ISNA(VLOOKUP(A151,'Données projet'!$A$71:$I$91,5,0)),0%,VLOOKUP(A151,'Données projet'!$A$71:$I$91,5,0)*VLOOKUP('Données projet'!$B$10,Paramètres!$A$1:$I$89,7,0))</f>
        <v>0</v>
      </c>
      <c r="AS151" s="16">
        <f>IF(ISNA(VLOOKUP(A151,'Données projet'!$A$71:$I$91,6,0)),0%,VLOOKUP(A151,'Données projet'!$A$71:$I$91,6,0)*VLOOKUP('Données projet'!$B$10,Paramètres!$A$1:$I$89,7,0))</f>
        <v>0</v>
      </c>
      <c r="AT151" s="16">
        <f>IF(ISNA(VLOOKUP(A151,'Données projet'!$A$71:$I$91,7,0)),0%,VLOOKUP(A151,'Données projet'!$A$71:$I$91,7,0))</f>
        <v>0</v>
      </c>
      <c r="AU151" s="21">
        <f>EXP(-LN(2)/35)*AU150+(1-EXP(-LN(2)/35))/(LN(2)/35)*AQ151*AR151*VLOOKUP('Données projet'!$B$10,Paramètres!$A$1:$I$89,3,0)*0.475*44/12</f>
        <v>122.10839603723633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229"/>
        <v>122.10839603723633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projet'!$A$97:$I$117,2,0)</f>
        <v>#N/A</v>
      </c>
      <c r="BB151" s="12" t="e">
        <f>VLOOKUP(A151,'Données projet'!$A$97:$I$117,9,0)</f>
        <v>#N/A</v>
      </c>
      <c r="BC151" s="12">
        <f t="array" ref="BC151">INDEX(BB:BB,MIN(IF(ISNUMBER(BB151:BB347),ROW(BB151:BB347),"")))</f>
        <v>0</v>
      </c>
      <c r="BD151" s="12">
        <f>IF('Données projet'!$A$98&gt;35,BD150+BC151-BL150,IF(A151&lt;'Données projet'!$A$98,$BA$205^A151,IF(A151='Données projet'!$A$98,'Données projet'!$B$98,BD150+BC151-BL150)))</f>
        <v>-1.1368683772161603E-13</v>
      </c>
      <c r="BE151" s="13">
        <f>BD151*VLOOKUP('Données projet'!$B$11,Paramètres!$A$1:$I$89,3,0)*VLOOKUP('Données projet'!$B$11,Paramètres!$A$1:$I$89,5,0)</f>
        <v>-5.0249582272954292E-14</v>
      </c>
      <c r="BF151" s="13" t="e">
        <f t="shared" si="290"/>
        <v>#NUM!</v>
      </c>
      <c r="BG151" s="20" t="e">
        <f t="shared" si="230"/>
        <v>#NUM!</v>
      </c>
      <c r="BH151" s="59" t="e">
        <f t="shared" si="231"/>
        <v>#NUM!</v>
      </c>
      <c r="BI151" s="59">
        <f ca="1">AVERAGE(OFFSET($BH$3,0,0,'Données projet'!$E$11+1,1))-AVERAGE(OFFSET($H$3,0,0,'Données projet'!$E$11+1,1))</f>
        <v>211.31057120485542</v>
      </c>
      <c r="BJ151" s="59">
        <f t="shared" si="291"/>
        <v>283.33292006714777</v>
      </c>
      <c r="BK151" s="15">
        <f>IF(ISNA(VLOOKUP(A151,'Données projet'!$A$97:$I$117,3,0)),0,VLOOKUP(A151,'Données projet'!$A$97:$I$117,3,0))</f>
        <v>0</v>
      </c>
      <c r="BL151" s="15">
        <f>IF(ISNA(VLOOKUP(A151,'Données projet'!$A$97:$I$117,4,0)),0,VLOOKUP(A151,'Données projet'!$A$97:$I$117,4,0))</f>
        <v>0</v>
      </c>
      <c r="BM151" s="16">
        <f>IF(ISNA(VLOOKUP(A151,'Données projet'!$A$97:$I$117,5,0)),0%,VLOOKUP(A151,'Données projet'!$A$97:$I$117,5,0)*VLOOKUP('Données projet'!$B$11,Paramètres!$A$1:$I$89,7,0))</f>
        <v>0</v>
      </c>
      <c r="BN151" s="16">
        <f>IF(ISNA(VLOOKUP(A151,'Données projet'!$A$97:$I$117,6,0)),0%,VLOOKUP(A151,'Données projet'!$A$97:$I$117,6,0)*VLOOKUP('Données projet'!$B$11,Paramètres!$A$1:$I$89,7,0))</f>
        <v>0</v>
      </c>
      <c r="BO151" s="16">
        <f>IF(ISNA(VLOOKUP(A151,'Données projet'!$A$97:$I$117,7,0)),0%,VLOOKUP(A151,'Données projet'!$A$97:$I$117,7,0))</f>
        <v>0</v>
      </c>
      <c r="BP151" s="21">
        <f>EXP(-LN(2)/35)*BP150+(1-EXP(-LN(2)/35))/(LN(2)/35)*BL151*BM151*VLOOKUP('Données projet'!$B$11,Paramètres!$A$1:$I$89,3,0)*0.475*44/12</f>
        <v>28.411885248771618</v>
      </c>
      <c r="BQ151" s="21">
        <f>EXP(-LN(2)/25)*BQ150+(1-EXP(-LN(2)/25))/(LN(2)/25)*Calculateur!BL151*Calculateur!BN151*VLOOKUP('Données projet'!$B$11,Paramètres!$A$1:$I$89,3,0)*0.475*44/12</f>
        <v>3.4566807095858105</v>
      </c>
      <c r="BR151" s="21">
        <f>EXP(-LN(2)/2)*BR150+(1-EXP(-LN(2)/2))/(LN(2)/2)*BL151*BO151*VLOOKUP('Données projet'!$B$11,Paramètres!$A$1:$I$89,3,0)*0.475*44/12</f>
        <v>2.7142516049153017E-13</v>
      </c>
      <c r="BS151" s="22">
        <f t="shared" si="232"/>
        <v>31.868565958357699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projet'!$A$123:$I$143,2,0)</f>
        <v>#N/A</v>
      </c>
      <c r="BW151" s="12" t="e">
        <f>VLOOKUP(A151,'Données projet'!$A$123:$I$143,9,0)</f>
        <v>#N/A</v>
      </c>
      <c r="BX151" s="12">
        <f t="array" ref="BX151">INDEX(BW:BW,MIN(IF(ISNUMBER(BW151:BW347),ROW(BW151:BW347),"")))</f>
        <v>0</v>
      </c>
      <c r="BY151" s="12">
        <f>IF('Données projet'!$A$124&gt;35,BY150+BX151-CG150,IF(A151&lt;'Données projet'!$A$124,$BV$205^A151,IF(A151='Données projet'!$A$124,'Données projet'!$B$124,BY150+BX151-CG150)))</f>
        <v>0</v>
      </c>
      <c r="BZ151" s="13">
        <f>BY151*VLOOKUP('Données projet'!$B$12,Paramètres!$A$1:$I$89,3,0)*VLOOKUP('Données projet'!$B$12,Paramètres!$A$1:$I$89,5,0)</f>
        <v>0</v>
      </c>
      <c r="CA151" s="13" t="e">
        <f t="shared" si="292"/>
        <v>#NUM!</v>
      </c>
      <c r="CB151" s="20" t="e">
        <f t="shared" si="233"/>
        <v>#NUM!</v>
      </c>
      <c r="CC151" s="59" t="e">
        <f t="shared" si="234"/>
        <v>#NUM!</v>
      </c>
      <c r="CD151" s="59">
        <f ca="1">AVERAGE(OFFSET($CC$3,0,0,'Données projet'!$E$12+1,1))-AVERAGE(OFFSET($H$3,0,0,'Données projet'!$E$12+1,1))</f>
        <v>322.93502595881938</v>
      </c>
      <c r="CE151" s="59">
        <f t="shared" si="293"/>
        <v>302.67072119588164</v>
      </c>
      <c r="CF151" s="15">
        <f>IF(ISNA(VLOOKUP(A151,'Données projet'!$A$123:$I$143,3,0)),0,VLOOKUP(A151,'Données projet'!$A$123:$I$143,3,0))</f>
        <v>0</v>
      </c>
      <c r="CG151" s="15">
        <f>IF(ISNA(VLOOKUP(A151,'Données projet'!$A$123:$I$143,4,0)),0,VLOOKUP(A151,'Données projet'!$A$123:$I$143,4,0))</f>
        <v>0</v>
      </c>
      <c r="CH151" s="16">
        <f>IF(ISNA(VLOOKUP(A151,'Données projet'!$A$123:$I$143,5,0)),0%,VLOOKUP(A151,'Données projet'!$A$123:$I$143,5,0)*VLOOKUP('Données projet'!$B$12,Paramètres!$A$1:$I$89,7,0))</f>
        <v>0</v>
      </c>
      <c r="CI151" s="16">
        <f>IF(ISNA(VLOOKUP(A151,'Données projet'!$A$123:$I$143,6,0)),0%,VLOOKUP(A151,'Données projet'!$A$123:$I$143,6,0)*VLOOKUP('Données projet'!$B$12,Paramètres!$A$1:$I$89,7,0))</f>
        <v>0</v>
      </c>
      <c r="CJ151" s="16">
        <f>IF(ISNA(VLOOKUP(A151,'Données projet'!$A$123:$I$143,7,0)),0%,VLOOKUP(A151,'Données projet'!$A$123:$I$143,7,0))</f>
        <v>0</v>
      </c>
      <c r="CK151" s="21">
        <f>EXP(-LN(2)/35)*CK150+(1-EXP(-LN(2)/35))/(LN(2)/35)*CG151*CH151*VLOOKUP('Données projet'!$B$12,Paramètres!$A$1:$I$89,3,0)*0.475*44/12</f>
        <v>45.266998484800837</v>
      </c>
      <c r="CL151" s="21">
        <f>EXP(-LN(2)/25)*CL150+(1-EXP(-LN(2)/25))/(LN(2)/25)*Calculateur!CG151*Calculateur!CI151*VLOOKUP('Données projet'!$B$12,Paramètres!$A$1:$I$89,3,0)*0.475*44/12</f>
        <v>11.06346969720693</v>
      </c>
      <c r="CM151" s="21">
        <f>EXP(-LN(2)/2)*CM150+(1-EXP(-LN(2)/2))/(LN(2)/2)*CG151*CJ151*VLOOKUP('Données projet'!$B$12,Paramètres!$A$1:$I$89,3,0)*0.475*44/12</f>
        <v>0</v>
      </c>
      <c r="CN151" s="22">
        <f t="shared" si="235"/>
        <v>56.330468182007763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projet'!$A$149:$I$169,2,0)</f>
        <v>#N/A</v>
      </c>
      <c r="CR151" s="12" t="e">
        <f>VLOOKUP(A151,'Données projet'!$A$149:$I$169,9,0)</f>
        <v>#N/A</v>
      </c>
      <c r="CS151" s="12">
        <f t="array" ref="CS151">INDEX(CR:CR,MIN(IF(ISNUMBER(CR151:CR347),ROW(CR151:CR347),"")))</f>
        <v>5.1063034188034209</v>
      </c>
      <c r="CT151" s="12">
        <f>IF('Données projet'!$A$150&gt;35,CT150+CS151-DB150,IF(A151&lt;'Données projet'!$A$150,$CQ$205^A151,IF(A151='Données projet'!$A$150,'Données projet'!$B$150,CT150+CS151-DB150)))</f>
        <v>298.07959401709354</v>
      </c>
      <c r="CU151" s="17">
        <f>CT151*VLOOKUP('Données projet'!$B$13,Paramètres!$A$1:$I$89,3,0)*VLOOKUP('Données projet'!$B$13,Paramètres!$A$1:$I$89,5,0)</f>
        <v>302.25270833333286</v>
      </c>
      <c r="CV151" s="13">
        <f t="shared" si="294"/>
        <v>71.648511857189575</v>
      </c>
      <c r="CW151" s="20">
        <f t="shared" si="236"/>
        <v>651.21129183182666</v>
      </c>
      <c r="CX151" s="59">
        <f t="shared" si="237"/>
        <v>944.54462516515991</v>
      </c>
      <c r="CY151" s="59">
        <f ca="1">AVERAGE(OFFSET($CX$3,0,0,'Données projet'!$E$13+1,1))-AVERAGE(OFFSET($H$3,0,0,'Données projet'!$E$13+1,1))</f>
        <v>250.31277422753283</v>
      </c>
      <c r="CZ151" s="59">
        <f t="shared" si="295"/>
        <v>159.20429420478047</v>
      </c>
      <c r="DA151" s="15">
        <f>IF(ISNA(VLOOKUP(A151,'Données projet'!$A$149:$I$169,3,0)),0,VLOOKUP(A151,'Données projet'!$A$149:$I$169,3,0))</f>
        <v>0</v>
      </c>
      <c r="DB151" s="15">
        <f>IF(ISNA(VLOOKUP(A151,'Données projet'!$A$149:$I$169,4,0)),0,VLOOKUP(A151,'Données projet'!$A$149:$I$169,4,0))</f>
        <v>0</v>
      </c>
      <c r="DC151" s="16">
        <f>IF(ISNA(VLOOKUP(A151,'Données projet'!$A$149:$I$169,5,0)),0%,VLOOKUP(A151,'Données projet'!$A$149:$I$169,5,0)*VLOOKUP('Données projet'!$B$13,Paramètres!$A$1:$I$89,7,0))</f>
        <v>0</v>
      </c>
      <c r="DD151" s="16">
        <f>IF(ISNA(VLOOKUP(A151,'Données projet'!$A$149:$I$169,6,0)),0%,VLOOKUP(A151,'Données projet'!$A$149:$I$169,6,0)*VLOOKUP('Données projet'!$B$13,Paramètres!$A$1:$I$89,7,0))</f>
        <v>0</v>
      </c>
      <c r="DE151" s="16">
        <f>IF(ISNA(VLOOKUP(A151,'Données projet'!$A$149:$I$169,7,0)),0%,VLOOKUP(A151,'Données projet'!$A$149:$I$169,7,0))</f>
        <v>0</v>
      </c>
      <c r="DF151" s="21">
        <f>EXP(-LN(2)/35)*DF150+(1-EXP(-LN(2)/35))/(LN(2)/35)*DB151*DC151*VLOOKUP('Données projet'!$B$13,Paramètres!$A$1:$I$89,3,0)*0.475*44/12</f>
        <v>44.192250744714634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238"/>
        <v>44.192250744714634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projet'!$A$175:$I$195,2,0)</f>
        <v>#N/A</v>
      </c>
      <c r="DM151" s="12" t="e">
        <f>VLOOKUP(A151,'Données projet'!$A$175:$I$195,9,0)</f>
        <v>#N/A</v>
      </c>
      <c r="DN151" s="12">
        <f t="array" ref="DN151">INDEX(DM:DM,MIN(IF(ISNUMBER(DM151:DM347),ROW(DM151:DM347),"")))</f>
        <v>0</v>
      </c>
      <c r="DO151" s="12">
        <f>IF('Données projet'!$A$176&gt;35,DO150+DN151-DW150,IF(A151&lt;'Données projet'!$A$176,$DL$205^A151,IF(A151='Données projet'!$A$176,'Données projet'!$B$176,DO150+DN151-DW150)))</f>
        <v>-2.8421709430404007E-13</v>
      </c>
      <c r="DP151" s="17">
        <f>DO151*VLOOKUP('Données projet'!$B$14,Paramètres!$A$1:$I$89,3,0)*VLOOKUP('Données projet'!$B$14,Paramètres!$A$1:$I$89,5,0)</f>
        <v>-2.0838797354372215E-13</v>
      </c>
      <c r="DQ151" s="13" t="e">
        <f t="shared" si="296"/>
        <v>#NUM!</v>
      </c>
      <c r="DR151" s="20" t="e">
        <f t="shared" si="239"/>
        <v>#NUM!</v>
      </c>
      <c r="DS151" s="59" t="e">
        <f t="shared" si="240"/>
        <v>#NUM!</v>
      </c>
      <c r="DT151" s="59">
        <f ca="1">AVERAGE(OFFSET($DS$3,0,0,'Données projet'!$E$14+1,1))-AVERAGE(OFFSET($H$3,0,0,'Données projet'!$E$14+1,1))</f>
        <v>296.91321813251051</v>
      </c>
      <c r="DU151" s="59">
        <f t="shared" si="297"/>
        <v>291.0718079639509</v>
      </c>
      <c r="DV151" s="15">
        <f>IF(ISNA(VLOOKUP(A151,'Données projet'!$A$175:$I$195,3,0)),0,VLOOKUP(A151,'Données projet'!$A$175:$I$195,3,0))</f>
        <v>0</v>
      </c>
      <c r="DW151" s="15">
        <f>IF(ISNA(VLOOKUP(A151,'Données projet'!$A$175:$I$195,4,0)),0,VLOOKUP(A151,'Données projet'!$A$175:$I$195,4,0))</f>
        <v>0</v>
      </c>
      <c r="DX151" s="16">
        <f>IF(ISNA(VLOOKUP(A151,'Données projet'!$A$175:$I$195,5,0)),0%,VLOOKUP(A151,'Données projet'!$A$175:$I$195,5,0)*VLOOKUP('Données projet'!$B$14,Paramètres!$A$1:$I$89,7,0))</f>
        <v>0</v>
      </c>
      <c r="DY151" s="16">
        <f>IF(ISNA(VLOOKUP(A151,'Données projet'!$A$175:$I$195,6,0)),0%,VLOOKUP(A151,'Données projet'!$A$175:$I$195,6,0)*VLOOKUP('Données projet'!$B$14,Paramètres!$A$1:$I$89,7,0))</f>
        <v>0</v>
      </c>
      <c r="DZ151" s="16">
        <f>IF(ISNA(VLOOKUP(A151,'Données projet'!$A$175:$I$195,7,0)),0%,VLOOKUP(A151,'Données projet'!$A$175:$I$195,7,0))</f>
        <v>0</v>
      </c>
      <c r="EA151" s="21">
        <f>EXP(-LN(2)/35)*EA150+(1-EXP(-LN(2)/35))/(LN(2)/35)*DW151*DX151*VLOOKUP('Données projet'!$B$14,Paramètres!$A$1:$I$89,3,0)*0.475*44/12</f>
        <v>45.116664838767129</v>
      </c>
      <c r="EB151" s="21">
        <f>EXP(-LN(2)/25)*EB150+(1-EXP(-LN(2)/25))/(LN(2)/25)*Calculateur!DW151*Calculateur!DY151*VLOOKUP('Données projet'!$B$14,Paramètres!$A$1:$I$89,3,0)*0.475*44/12</f>
        <v>0.81273251792195966</v>
      </c>
      <c r="EC151" s="21">
        <f>EXP(-LN(2)/2)*EC150+(1-EXP(-LN(2)/2))/(LN(2)/2)*DW151*DZ151*VLOOKUP('Données projet'!$B$14,Paramètres!$A$1:$I$89,3,0)*0.475*44/12</f>
        <v>0</v>
      </c>
      <c r="ED151" s="22">
        <f t="shared" si="241"/>
        <v>45.929397356689087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projet'!$A$201:$I$221,2,0)</f>
        <v>#N/A</v>
      </c>
      <c r="EH151" s="12" t="e">
        <f>VLOOKUP(A151,'Données projet'!$A$201:$I$221,9,0)</f>
        <v>#N/A</v>
      </c>
      <c r="EI151" s="12">
        <f t="array" ref="EI151">INDEX(EH:EH,MIN(IF(ISNUMBER(EH151:EH347),ROW(EH151:EH347),"")))</f>
        <v>0</v>
      </c>
      <c r="EJ151" s="12">
        <f>IF('Données projet'!$A$202&gt;35,EJ150+EI151-ER150,IF(A151&lt;'Données projet'!$A$202,$EG$205^A151,IF(A151='Données projet'!$A$202,'Données projet'!$B$202,EJ150+EI151-ER150)))</f>
        <v>5.1159076974727213E-13</v>
      </c>
      <c r="EK151" s="17">
        <f>EJ151*VLOOKUP('Données projet'!$B$15,Paramètres!$A$1:$I$89,3,0)*VLOOKUP('Données projet'!$B$15,Paramètres!$A$1:$I$89,5,0)</f>
        <v>2.3942448024172334E-13</v>
      </c>
      <c r="EL151" s="13">
        <f t="shared" si="298"/>
        <v>3.2492669905861755E-12</v>
      </c>
      <c r="EM151" s="20">
        <f t="shared" si="242"/>
        <v>6.0761376450252565E-12</v>
      </c>
      <c r="EN151" s="59">
        <f t="shared" si="243"/>
        <v>293.3333333333394</v>
      </c>
      <c r="EO151" s="59">
        <f ca="1">AVERAGE(OFFSET($EN$3,0,0,'Données projet'!$E$15+1,1))-AVERAGE(OFFSET($H$3,0,0,'Données projet'!$E$15+1,1))</f>
        <v>147.64256291235483</v>
      </c>
      <c r="EP151" s="59">
        <f t="shared" si="299"/>
        <v>70.859031694091868</v>
      </c>
      <c r="EQ151" s="15">
        <f>IF(ISNA(VLOOKUP(A151,'Données projet'!$A$201:$I$221,3,0)),0,VLOOKUP(A151,'Données projet'!$A$201:$I$221,3,0))</f>
        <v>0</v>
      </c>
      <c r="ER151" s="15">
        <f>IF(ISNA(VLOOKUP(A151,'Données projet'!$A$201:$I$221,4,0)),0,VLOOKUP(A151,'Données projet'!$A$201:$I$221,4,0))</f>
        <v>0</v>
      </c>
      <c r="ES151" s="16">
        <f>IF(ISNA(VLOOKUP(A151,'Données projet'!$A$201:$I$221,5,0)),0%,VLOOKUP(A151,'Données projet'!$A$201:$I$221,5,0)*VLOOKUP('Données projet'!$B$15,Paramètres!$A$1:$I$89,7,0))</f>
        <v>0</v>
      </c>
      <c r="ET151" s="16">
        <f>IF(ISNA(VLOOKUP(A151,'Données projet'!$A$201:$I$221,6,0)),0%,VLOOKUP(A151,'Données projet'!$A$201:$I$221,6,0)*VLOOKUP('Données projet'!$B$15,Paramètres!$A$1:$I$89,7,0))</f>
        <v>0</v>
      </c>
      <c r="EU151" s="16">
        <f>IF(ISNA(VLOOKUP(A151,'Données projet'!$A$201:$I$221,7,0)),0%,VLOOKUP(A151,'Données projet'!$A$201:$I$221,7,0))</f>
        <v>0</v>
      </c>
      <c r="EV151" s="21">
        <f>EXP(-LN(2)/35)*EV150+(1-EXP(-LN(2)/35))/(LN(2)/35)*ER151*ES151*VLOOKUP('Données projet'!$B$15,Paramètres!$A$1:$I$89,3,0)*0.475*44/12</f>
        <v>61.765425331015905</v>
      </c>
      <c r="EW151" s="21">
        <f>EXP(-LN(2)/25)*EW150+(1-EXP(-LN(2)/25))/(LN(2)/25)*Calculateur!ER151*Calculateur!ET151*VLOOKUP('Données projet'!$B$15,Paramètres!$A$1:$I$89,3,0)*0.475*44/12</f>
        <v>11.275844871994503</v>
      </c>
      <c r="EX151" s="21">
        <f>EXP(-LN(2)/2)*EX150+(1-EXP(-LN(2)/2))/(LN(2)/2)*ER151*EU151*VLOOKUP('Données projet'!$B$15,Paramètres!$A$1:$I$89,3,0)*0.475*44/12</f>
        <v>2.4746861738948879E-5</v>
      </c>
      <c r="EY151" s="22">
        <f t="shared" si="244"/>
        <v>73.041294949872153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projet'!$A$227:$I$247,2,0)</f>
        <v>#N/A</v>
      </c>
      <c r="FC151" s="12" t="e">
        <f>VLOOKUP(A151,'Données projet'!$A$227:$I$247,9,0)</f>
        <v>#N/A</v>
      </c>
      <c r="FD151" s="12">
        <f t="array" ref="FD151">INDEX(FC:FC,MIN(IF(ISNUMBER(FC151:FC347),ROW(FC151:FC347),"")))</f>
        <v>0</v>
      </c>
      <c r="FE151" s="12">
        <f>IF('Données projet'!$A$228&gt;35,FE150+FD151-FM150,IF(A151&lt;'Données projet'!$A$228,$FB$205^A151,IF(A151='Données projet'!$A$228,'Données projet'!$B$228,FE150+FD151-FM150)))</f>
        <v>8.5265128291212022E-14</v>
      </c>
      <c r="FF151" s="17">
        <f>FE151*VLOOKUP('Données projet'!$B$16,Paramètres!$A$1:$I$89,3,0)*VLOOKUP('Données projet'!$B$16,Paramètres!$A$1:$I$89,5,0)</f>
        <v>8.9119112089974823E-14</v>
      </c>
      <c r="FG151" s="13">
        <f t="shared" si="300"/>
        <v>1.3568952080113142E-12</v>
      </c>
      <c r="FH151" s="20">
        <f t="shared" si="245"/>
        <v>2.5184749408430782E-12</v>
      </c>
      <c r="FI151" s="59">
        <f t="shared" si="246"/>
        <v>293.33333333333582</v>
      </c>
      <c r="FJ151" s="59">
        <f ca="1">AVERAGE(OFFSET($FI$3,0,0,'Données projet'!$E$16+1,1))-AVERAGE(OFFSET($H$3,0,0,'Données projet'!$E$16+1,1))</f>
        <v>259.03906550253788</v>
      </c>
      <c r="FK151" s="59">
        <f t="shared" si="301"/>
        <v>235.54542903570831</v>
      </c>
      <c r="FL151" s="15">
        <f>IF(ISNA(VLOOKUP(A151,'Données projet'!$A$227:$I$247,3,0)),0,VLOOKUP(A151,'Données projet'!$A$227:$I$247,3,0))</f>
        <v>0</v>
      </c>
      <c r="FM151" s="15">
        <f>IF(ISNA(VLOOKUP(A151,'Données projet'!$A$227:$I$247,4,0)),0,VLOOKUP(A151,'Données projet'!$A$227:$I$247,4,0))</f>
        <v>0</v>
      </c>
      <c r="FN151" s="16">
        <f>IF(ISNA(VLOOKUP(A151,'Données projet'!$A$227:$I$247,5,0)),0%,VLOOKUP(A151,'Données projet'!$A$227:$I$247,5,0)*VLOOKUP('Données projet'!$B$16,Paramètres!$A$1:$I$89,7,0))</f>
        <v>0</v>
      </c>
      <c r="FO151" s="16">
        <f>IF(ISNA(VLOOKUP(A151,'Données projet'!$A$227:$I$247,6,0)),0%,VLOOKUP(A151,'Données projet'!$A$227:$I$247,6,0)*VLOOKUP('Données projet'!$B$16,Paramètres!$A$1:$I$89,7,0))</f>
        <v>0</v>
      </c>
      <c r="FP151" s="16">
        <f>IF(ISNA(VLOOKUP(A151,'Données projet'!$A$227:$I$247,7,0)),0%,VLOOKUP(A151,'Données projet'!$A$227:$I$247,7,0))</f>
        <v>0</v>
      </c>
      <c r="FQ151" s="21">
        <f>EXP(-LN(2)/35)*FQ150+(1-EXP(-LN(2)/35))/(LN(2)/35)*FM151*FN151*VLOOKUP('Données projet'!$B$16,Paramètres!$A$1:$I$89,3,0)*0.475*44/12</f>
        <v>27.261580148230841</v>
      </c>
      <c r="FR151" s="21">
        <f>EXP(-LN(2)/25)*FR150+(1-EXP(-LN(2)/25))/(LN(2)/25)*Calculateur!FM151*Calculateur!FO151*VLOOKUP('Données projet'!$B$16,Paramètres!$A$1:$I$89,3,0)*0.475*44/12</f>
        <v>15.511894027688351</v>
      </c>
      <c r="FS151" s="21">
        <f>EXP(-LN(2)/2)*FS150+(1-EXP(-LN(2)/2))/(LN(2)/2)*FM151*FP151*VLOOKUP('Données projet'!$B$16,Paramètres!$A$1:$I$89,3,0)*0.475*44/12</f>
        <v>0</v>
      </c>
      <c r="FT151" s="22">
        <f t="shared" si="247"/>
        <v>42.773474175919191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projet'!$A$253:$I$273,2,0)</f>
        <v>#N/A</v>
      </c>
      <c r="FX151" s="12" t="e">
        <f>VLOOKUP(A151,'Données projet'!$A$253:$I$273,9,0)</f>
        <v>#N/A</v>
      </c>
      <c r="FY151" s="12">
        <f t="array" ref="FY151">INDEX(FX:FX,MIN(IF(ISNUMBER(FX151:FX347),ROW(FX151:FX347),"")))</f>
        <v>0</v>
      </c>
      <c r="FZ151" s="12">
        <f>IF('Données projet'!$A$254&gt;35,FZ150+FY151-GH150,IF(A151&lt;'Données projet'!$A$254,$FW$205^A151,IF(A151='Données projet'!$A$254,'Données projet'!$B$254,FZ150+FY151-GH150)))</f>
        <v>-1.7053025658242404E-13</v>
      </c>
      <c r="GA151" s="17">
        <f>FZ151*VLOOKUP('Données projet'!$B$17,Paramètres!$A$1:$I$89,3,0)*VLOOKUP('Données projet'!$B$17,Paramètres!$A$1:$I$89,5,0)</f>
        <v>-1.4897523215040567E-13</v>
      </c>
      <c r="GB151" s="13" t="e">
        <f t="shared" si="302"/>
        <v>#NUM!</v>
      </c>
      <c r="GC151" s="20" t="e">
        <f t="shared" si="248"/>
        <v>#NUM!</v>
      </c>
      <c r="GD151" s="59" t="e">
        <f t="shared" si="249"/>
        <v>#NUM!</v>
      </c>
      <c r="GE151" s="59">
        <f ca="1">AVERAGE(OFFSET($GD$3,0,0,'Données projet'!$E$17+1,1))-AVERAGE(OFFSET($H$3,0,0,'Données projet'!$E$17+1,1))</f>
        <v>245.1983232777614</v>
      </c>
      <c r="GF151" s="59">
        <f t="shared" si="303"/>
        <v>242.34010522344573</v>
      </c>
      <c r="GG151" s="15">
        <f>IF(ISNA(VLOOKUP(A151,'Données projet'!$A$253:$I$273,3,0)),0,VLOOKUP(A151,'Données projet'!$A$253:$I$273,3,0))</f>
        <v>0</v>
      </c>
      <c r="GH151" s="15">
        <f>IF(ISNA(VLOOKUP(A151,'Données projet'!$A$253:$I$273,4,0)),0,VLOOKUP(A151,'Données projet'!$A$253:$I$273,4,0))</f>
        <v>0</v>
      </c>
      <c r="GI151" s="16">
        <f>IF(ISNA(VLOOKUP(A151,'Données projet'!$A$253:$I$273,5,0)),0%,VLOOKUP(A151,'Données projet'!$A$253:$I$273,5,0)*VLOOKUP('Données projet'!$B$17,Paramètres!$A$1:$I$89,7,0))</f>
        <v>0</v>
      </c>
      <c r="GJ151" s="16">
        <f>IF(ISNA(VLOOKUP(A151,'Données projet'!$A$253:$I$273,6,0)),0%,VLOOKUP(A151,'Données projet'!$A$253:$I$273,6,0)*VLOOKUP('Données projet'!$B$17,Paramètres!$A$1:$I$89,7,0))</f>
        <v>0</v>
      </c>
      <c r="GK151" s="16">
        <f>IF(ISNA(VLOOKUP(A151,'Données projet'!$A$253:$I$273,7,0)),0%,VLOOKUP(A151,'Données projet'!$A$253:$I$273,7,0))</f>
        <v>0</v>
      </c>
      <c r="GL151" s="21">
        <f>EXP(-LN(2)/35)*GL150+(1-EXP(-LN(2)/35))/(LN(2)/35)*GH151*GI151*VLOOKUP('Données projet'!$B$17,Paramètres!$A$1:$I$89,3,0)*0.475*44/12</f>
        <v>32.04972781565683</v>
      </c>
      <c r="GM151" s="21">
        <f>EXP(-LN(2)/25)*GM150+(1-EXP(-LN(2)/25))/(LN(2)/25)*Calculateur!GH151*Calculateur!GJ151*VLOOKUP('Données projet'!$B$17,Paramètres!$A$1:$I$89,3,0)*0.475*44/12</f>
        <v>3.3052067222175534</v>
      </c>
      <c r="GN151" s="21">
        <f>EXP(-LN(2)/2)*GN150+(1-EXP(-LN(2)/2))/(LN(2)/2)*GH151*GK151*VLOOKUP('Données projet'!$B$17,Paramètres!$A$1:$I$89,3,0)*0.475*44/12</f>
        <v>0</v>
      </c>
      <c r="GO151" s="21">
        <f t="shared" si="250"/>
        <v>35.354934537874385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projet'!$A$279:$I$299,2,0)</f>
        <v>#N/A</v>
      </c>
      <c r="GS151" s="12" t="e">
        <f>VLOOKUP(A151,'Données projet'!$A$279:$I$299,9,0)</f>
        <v>#N/A</v>
      </c>
      <c r="GT151" s="12">
        <f t="array" ref="GT151">INDEX(GS:GS,MIN(IF(ISNUMBER(GS151:GS347),ROW(GS151:GS347),"")))</f>
        <v>0</v>
      </c>
      <c r="GU151" s="12">
        <f>IF('Données projet'!$A$280&gt;35,GU150+GT151-HC150,IF(A151&lt;'Données projet'!$A$280,$GR$205^A151,IF(A151='Données projet'!$A$280,'Données projet'!$B$280,GU150+GT151-HC150)))</f>
        <v>-1.1368683772161603E-13</v>
      </c>
      <c r="GV151" s="17">
        <f>GU151*VLOOKUP('Données projet'!$B$18,Paramètres!$A$1:$I$89,3,0)*VLOOKUP('Données projet'!$B$18,Paramètres!$A$1:$I$89,5,0)</f>
        <v>-4.5815795601811263E-14</v>
      </c>
      <c r="GW151" s="13" t="e">
        <f t="shared" si="304"/>
        <v>#NUM!</v>
      </c>
      <c r="GX151" s="20" t="e">
        <f t="shared" si="251"/>
        <v>#NUM!</v>
      </c>
      <c r="GY151" s="59" t="e">
        <f t="shared" si="252"/>
        <v>#NUM!</v>
      </c>
      <c r="GZ151" s="59">
        <f ca="1">AVERAGE(OFFSET($GY$3,0,0,'Données projet'!$E$18+1,1))-AVERAGE(OFFSET($H$3,0,0,'Données projet'!$E$18+1,1))</f>
        <v>324.36162935850876</v>
      </c>
      <c r="HA151" s="59">
        <f t="shared" si="305"/>
        <v>265.23571072429735</v>
      </c>
      <c r="HB151" s="15">
        <f>IF(ISNA(VLOOKUP(A151,'Données projet'!$A$279:$I$299,3,0)),0,VLOOKUP(A151,'Données projet'!$A$279:$I$299,3,0))</f>
        <v>0</v>
      </c>
      <c r="HC151" s="15">
        <f>IF(ISNA(VLOOKUP(A151,'Données projet'!$A$279:$I$299,4,0)),0,VLOOKUP(A151,'Données projet'!$A$279:$I$299,4,0))</f>
        <v>0</v>
      </c>
      <c r="HD151" s="16">
        <f>IF(ISNA(VLOOKUP(A151,'Données projet'!$A$279:$I$299,5,0)),0%,VLOOKUP(A151,'Données projet'!$A$279:$I$299,5,0)*VLOOKUP('Données projet'!$B$18,Paramètres!$A$1:$I$89,7,0))</f>
        <v>0</v>
      </c>
      <c r="HE151" s="16">
        <f>IF(ISNA(VLOOKUP(A151,'Données projet'!$A$279:$I$299,6,0)),0%,VLOOKUP(A151,'Données projet'!$A$279:$I$299,6,0)*VLOOKUP('Données projet'!$B$18,Paramètres!$A$1:$I$89,7,0))</f>
        <v>0</v>
      </c>
      <c r="HF151" s="16">
        <f>IF(ISNA(VLOOKUP($A151,'Données projet'!$A$279:$I$299,7,0)),0%,VLOOKUP($A151,'Données projet'!$A$279:$I$299,7,0))</f>
        <v>0</v>
      </c>
      <c r="HG151" s="21">
        <f>EXP(-LN(2)/35)*HG150+(1-EXP(-LN(2)/35))/(LN(2)/35)*HC151*HD151*VLOOKUP('Données projet'!$B$18,Paramètres!$A$1:$I$89,3,0)*0.475*44/12</f>
        <v>61.415656896509979</v>
      </c>
      <c r="HH151" s="21">
        <f>EXP(-LN(2)/25)*HH150+(1-EXP(-LN(2)/25))/(LN(2)/25)*Calculateur!HC151*Calculateur!HE151*VLOOKUP('Données projet'!$B$18,Paramètres!$A$1:$I$89,3,0)*0.475*44/12</f>
        <v>3.6759810643918223</v>
      </c>
      <c r="HI151" s="21">
        <f>EXP(-LN(2)/2)*HI150+(1-EXP(-LN(2)/2))/(LN(2)/2)*HC151*HF151*VLOOKUP('Données projet'!$B$18,Paramètres!$A$1:$I$89,3,0)*0.475*44/12</f>
        <v>4.9751308451988314E-10</v>
      </c>
      <c r="HJ151" s="22">
        <f t="shared" si="253"/>
        <v>65.091637961399314</v>
      </c>
      <c r="HK151" s="74">
        <f>('Scénario référence'!$F$8+'Scénario référence'!$F$9+'Scénario référence'!$B$17+'Scénario référence'!$B$9+'Scénario référence'!$B$10)*70+IF((45+25*(1-EXP(-0.0175*$A151)))&lt;70,'Scénario référence'!$B$16*(45+25*(1-EXP(-0.0175*$A151))),70*'Scénario référence'!$B$16)+IF((32+38*(1-EXP(-0.0175*$A151)))&lt;70,'Scénario référence'!$B$18*(32+38*(1-EXP(-0.0175*$A151))),70*'Scénario référence'!$B$18)</f>
        <v>70</v>
      </c>
      <c r="HL151" s="12">
        <f>IF($A151&gt;30,10,('Scénario référence'!$B$16+'Scénario référence'!$B$17+'Scénario référence'!$B$18+'Scénario référence'!$B$9+'Scénario référence'!$B$10)*$A151*10/30+('Scénario référence'!$F$8+'Scénario référence'!$F$9)*10)</f>
        <v>10</v>
      </c>
      <c r="HM151" s="12" t="e">
        <f>VLOOKUP($A151,'Données projet'!$A$304:$I$324,2,0)</f>
        <v>#N/A</v>
      </c>
      <c r="HN151" s="12" t="e">
        <f>VLOOKUP($A151,'Données projet'!$A$304:$I$324,9,0)</f>
        <v>#N/A</v>
      </c>
      <c r="HO151" s="12">
        <f t="array" ref="HO151">INDEX(HN:HN,MIN(IF(ISNUMBER(HN151:HN347),ROW(HN151:HN347),"")))</f>
        <v>0</v>
      </c>
      <c r="HP151" s="12">
        <f>IF('Données projet'!$A$304&gt;35,HP150+HO151-HX150,IF($A151&lt;'Données projet'!$A$304,$CQ$205^$A151,IF($A151='Données projet'!$A$304,'Données projet'!$B$304,HP150+HO151-HX150)))</f>
        <v>0</v>
      </c>
      <c r="HQ151" s="17">
        <f>HP151*VLOOKUP('Données projet'!$B$19,Paramètres!$A$1:$I$89,3,0)*VLOOKUP('Données projet'!$B$19,Paramètres!$A$1:$I$89,5,0)</f>
        <v>0</v>
      </c>
      <c r="HR151" s="13" t="e">
        <f t="shared" si="306"/>
        <v>#NUM!</v>
      </c>
      <c r="HS151" s="14" t="e">
        <f t="shared" si="254"/>
        <v>#NUM!</v>
      </c>
      <c r="HT151" s="59" t="e">
        <f t="shared" si="255"/>
        <v>#NUM!</v>
      </c>
      <c r="HU151" s="59">
        <f ca="1">AVERAGE(OFFSET(HT$3,0,0,'Données projet'!$E$19+1,1))-AVERAGE(OFFSET($H$3,0,0,'Données projet'!$E$19+1,1))</f>
        <v>91.60721429656013</v>
      </c>
      <c r="HV151" s="59">
        <f t="shared" si="307"/>
        <v>258.94957804210856</v>
      </c>
      <c r="HW151" s="15">
        <f>IF(ISNA(VLOOKUP($A151,'Données projet'!$A$304:$I$324,3,0)),0,VLOOKUP($A151,'Données projet'!$A$304:$I$324,3,0))</f>
        <v>0</v>
      </c>
      <c r="HX151" s="15">
        <f>IF(ISNA(VLOOKUP($A151,'Données projet'!$A$304:$I$324,4,0)),0,VLOOKUP($A151,'Données projet'!$A$304:$I$324,4,0))</f>
        <v>0</v>
      </c>
      <c r="HY151" s="16">
        <f>IF(ISNA(VLOOKUP($A151,'Données projet'!$A$304:$I$324,5,0)),0%,VLOOKUP($A151,'Données projet'!$A$304:$I$324,5,0)*VLOOKUP('Données projet'!$B$19,Paramètres!$A$1:$I$89,7,0))</f>
        <v>0</v>
      </c>
      <c r="HZ151" s="16">
        <f>IF(ISNA(VLOOKUP($A151,'Données projet'!$A$304:$I$324,6,0)),0%,VLOOKUP($A151,'Données projet'!$A$304:$I$324,6,0)*VLOOKUP('Données projet'!$B$19,Paramètres!$A$1:$I$89,7,0))</f>
        <v>0</v>
      </c>
      <c r="IA151" s="16">
        <f>IF(ISNA(VLOOKUP($A151,'Données projet'!$A$304:$I$324,7,0)),0%,VLOOKUP($A151,'Données projet'!$A$304:$I$324,7,0))</f>
        <v>0</v>
      </c>
      <c r="IB151" s="21">
        <f>EXP(-LN(2)/35)*IB150+(1-EXP(-LN(2)/35))/(LN(2)/35)*HX151*HY151*VLOOKUP('Données projet'!$B$19,Paramètres!$A$1:$I$89,3,0)*0.475*44/12</f>
        <v>4.7668753815325555</v>
      </c>
      <c r="IC151" s="21">
        <f>EXP(-LN(2)/25)*IC150+(1-EXP(-LN(2)/25))/(LN(2)/25)*Calculateur!HX151*Calculateur!HZ151*VLOOKUP('Données projet'!$B$19,Paramètres!$A$1:$I$89,3,0)*0.475*44/12</f>
        <v>0.36910487396757224</v>
      </c>
      <c r="ID151" s="21">
        <f>EXP(-LN(2)/2)*ID150+(1-EXP(-LN(2)/2))/(LN(2)/2)*HX151*IA151*VLOOKUP('Données projet'!$B$19,Paramètres!$A$1:$I$89,3,0)*0.475*44/12</f>
        <v>9.9374035344986225E-19</v>
      </c>
      <c r="IE151" s="22">
        <f t="shared" si="256"/>
        <v>5.1359802555001277</v>
      </c>
      <c r="IF151" s="74">
        <f>('Scénario référence'!$F$8+'Scénario référence'!$F$9+'Scénario référence'!$B$17+'Scénario référence'!$B$9+'Scénario référence'!$B$10)*70+IF((45+25*(1-EXP(-0.0175*$A151)))&lt;70,'Scénario référence'!$B$16*(45+25*(1-EXP(-0.0175*$A151))),70*'Scénario référence'!$B$16)+IF((32+38*(1-EXP(-0.0175*$A151)))&lt;70,'Scénario référence'!$B$18*(32+38*(1-EXP(-0.0175*$A151))),70*'Scénario référence'!$B$18)</f>
        <v>70</v>
      </c>
      <c r="IG151" s="12">
        <f>IF($A151&gt;30,10,('Scénario référence'!$B$16+'Scénario référence'!$B$17+'Scénario référence'!$B$18+'Scénario référence'!$B$9+'Scénario référence'!$B$10)*$A151*10/30+('Scénario référence'!$F$8+'Scénario référence'!$F$9)*10)</f>
        <v>10</v>
      </c>
      <c r="IH151" s="12" t="e">
        <f>VLOOKUP($A151,'Données projet'!$A$330:$I$350,2,0)</f>
        <v>#N/A</v>
      </c>
      <c r="II151" s="12" t="e">
        <f>VLOOKUP($A151,'Données projet'!$A$330:$I$350,9,0)</f>
        <v>#N/A</v>
      </c>
      <c r="IJ151" s="12">
        <f t="array" ref="IJ151">INDEX(II:II,MIN(IF(ISNUMBER(II151:II347),ROW(II151:II347),"")))</f>
        <v>0</v>
      </c>
      <c r="IK151" s="12">
        <f>IF('Données projet'!$A$330&gt;35,IK150+IJ151-IS150,IF($A151&lt;'Données projet'!$A$330,$CQ$205^$A151,IF($A151='Données projet'!$A$330,'Données projet'!$B$330,IK150+IJ151-IS150)))</f>
        <v>0</v>
      </c>
      <c r="IL151" s="17">
        <f>IK151*VLOOKUP('Données projet'!$B$20,Paramètres!$A$1:$I$89,3,0)*VLOOKUP('Données projet'!$B$20,Paramètres!$A$1:$I$89,5,0)</f>
        <v>0</v>
      </c>
      <c r="IM151" s="13" t="e">
        <f t="shared" si="308"/>
        <v>#NUM!</v>
      </c>
      <c r="IN151" s="20" t="e">
        <f t="shared" si="257"/>
        <v>#NUM!</v>
      </c>
      <c r="IO151" s="59" t="e">
        <f t="shared" si="258"/>
        <v>#NUM!</v>
      </c>
      <c r="IP151" s="59">
        <f ca="1">AVERAGE(OFFSET(IO$3,0,0,'Données projet'!$E$20+1,1))-AVERAGE(OFFSET($H$3,0,0,'Données projet'!$E$20+1,1))</f>
        <v>91.60721429656013</v>
      </c>
      <c r="IQ151" s="59">
        <f t="shared" si="309"/>
        <v>258.94957804210856</v>
      </c>
      <c r="IR151" s="15">
        <f>IF(ISNA(VLOOKUP($A151,'Données projet'!$A$330:$I$350,3,0)),0,VLOOKUP($A151,'Données projet'!$A$330:$I$350,3,0))</f>
        <v>0</v>
      </c>
      <c r="IS151" s="15">
        <f>IF(ISNA(VLOOKUP($A151,'Données projet'!$A$330:$I$350,4,0)),0,VLOOKUP($A151,'Données projet'!$A$330:$I$350,4,0))</f>
        <v>0</v>
      </c>
      <c r="IT151" s="16">
        <f>IF(ISNA(VLOOKUP($A151,'Données projet'!$A$330:$I$350,5,0)),0%,VLOOKUP($A151,'Données projet'!$A$330:$I$350,5,0)*VLOOKUP('Données projet'!$B$20,Paramètres!$A$1:$I$89,7,0))</f>
        <v>0</v>
      </c>
      <c r="IU151" s="16">
        <f>IF(ISNA(VLOOKUP($A151,'Données projet'!$A$330:$I$350,6,0)),0%,VLOOKUP($A151,'Données projet'!$A$330:$I$350,6,0)*VLOOKUP('Données projet'!$B$20,Paramètres!$A$1:$I$89,7,0))</f>
        <v>0</v>
      </c>
      <c r="IV151" s="16">
        <f>IF(ISNA(VLOOKUP($A151,'Données projet'!$A$330:$I$350,7,0)),0%,VLOOKUP($A151,'Données projet'!$A$330:$I$350,7,0))</f>
        <v>0</v>
      </c>
      <c r="IW151" s="21">
        <f>EXP(-LN(2)/35)*IW150+(1-EXP(-LN(2)/35))/(LN(2)/35)*IS151*IT151*VLOOKUP('Données projet'!$B$20,Paramètres!$A$1:$I$89,3,0)*0.475*44/12</f>
        <v>4.7668753815325555</v>
      </c>
      <c r="IX151" s="21">
        <f>EXP(-LN(2)/25)*IX150+(1-EXP(-LN(2)/25))/(LN(2)/25)*Calculateur!IS151*Calculateur!IU151*VLOOKUP('Données projet'!$B$20,Paramètres!$A$1:$I$89,3,0)*0.475*44/12</f>
        <v>0.36910487396757224</v>
      </c>
      <c r="IY151" s="21">
        <f>EXP(-LN(2)/2)*IY150+(1-EXP(-LN(2)/2))/(LN(2)/2)*IS151*IV151*VLOOKUP('Données projet'!$B$20,Paramètres!$A$1:$I$89,3,0)*0.475*44/12</f>
        <v>9.9374035344986225E-19</v>
      </c>
      <c r="IZ151" s="22">
        <f t="shared" si="259"/>
        <v>5.1359802555001277</v>
      </c>
      <c r="JA151" s="74">
        <f>('Scénario référence'!$F$8+'Scénario référence'!$F$9+'Scénario référence'!$B$17+'Scénario référence'!$B$9+'Scénario référence'!$B$10)*70+IF((45+25*(1-EXP(-0.0175*$A151)))&lt;70,'Scénario référence'!$B$16*(45+25*(1-EXP(-0.0175*$A151))),70*'Scénario référence'!$B$16)+IF((32+38*(1-EXP(-0.0175*$A151)))&lt;70,'Scénario référence'!$B$18*(32+38*(1-EXP(-0.0175*$A151))),70*'Scénario référence'!$B$18)</f>
        <v>70</v>
      </c>
      <c r="JB151" s="12">
        <f>IF($A151&gt;30,10,('Scénario référence'!$B$16+'Scénario référence'!$B$17+'Scénario référence'!$B$18+'Scénario référence'!$B$9+'Scénario référence'!$B$10)*$A151*10/30+('Scénario référence'!$F$8+'Scénario référence'!$F$9)*10)</f>
        <v>10</v>
      </c>
      <c r="JC151" s="12" t="e">
        <f>VLOOKUP($A151,'Données projet'!$A$356:$I$376,2,0)</f>
        <v>#N/A</v>
      </c>
      <c r="JD151" s="12" t="e">
        <f>VLOOKUP($A151,'Données projet'!$A$356:$I$376,9,0)</f>
        <v>#N/A</v>
      </c>
      <c r="JE151" s="12">
        <f t="array" ref="JE151">INDEX(JD:JD,MIN(IF(ISNUMBER(JD151:JD347),ROW(JD151:JD347),"")))</f>
        <v>1.4</v>
      </c>
      <c r="JF151" s="12">
        <f>IF('Données projet'!$A$356&gt;35,JF150+JE151-JN150,IF($A151&lt;'Données projet'!$A$356,$CQ$205^$A151,IF($A151='Données projet'!$A$356,'Données projet'!$B$356,JF150+JE151-JN150)))</f>
        <v>445.19999999999874</v>
      </c>
      <c r="JG151" s="17">
        <f>JF151*VLOOKUP('Données projet'!$B$21,Paramètres!$A$1:$I$89,3,0)*VLOOKUP('Données projet'!$B$21,Paramètres!$A$1:$I$89,5,0)</f>
        <v>361.14623999999901</v>
      </c>
      <c r="JH151" s="13">
        <f t="shared" si="310"/>
        <v>83.853433467853833</v>
      </c>
      <c r="JI151" s="20">
        <f t="shared" si="260"/>
        <v>775.04109795651038</v>
      </c>
      <c r="JJ151" s="59">
        <f t="shared" si="261"/>
        <v>1068.3744312898436</v>
      </c>
      <c r="JK151" s="59">
        <f ca="1">AVERAGE(OFFSET($JJ$3,0,0,'Données projet'!$E$22+1,1))-AVERAGE(OFFSET($H$3,0,0,'Données projet'!$E$22+1,1))</f>
        <v>353.35574633294613</v>
      </c>
      <c r="JL151" s="59">
        <f t="shared" si="311"/>
        <v>170.36796666474726</v>
      </c>
      <c r="JM151" s="15">
        <f>IF(ISNA(VLOOKUP($A151,'Données projet'!$A$356:$I$376,3,0)),0,VLOOKUP($A151,'Données projet'!$A$356:$I$376,3,0))</f>
        <v>0</v>
      </c>
      <c r="JN151" s="15">
        <f>IF(ISNA(VLOOKUP($A151,'Données projet'!$A$356:$I$376,4,0)),0,VLOOKUP($A151,'Données projet'!$A$356:$I$376,4,0))</f>
        <v>0</v>
      </c>
      <c r="JO151" s="16">
        <f>IF(ISNA(VLOOKUP($A151,'Données projet'!$A$356:$I$376,5,0)),0%,VLOOKUP($A151,'Données projet'!$A$356:$I$376,5,0)*VLOOKUP('Données projet'!$B$21,Paramètres!$A$1:$I$89,7,0))</f>
        <v>0</v>
      </c>
      <c r="JP151" s="16">
        <f>IF(ISNA(VLOOKUP($A151,'Données projet'!$A$356:$I$376,6,0)),0%,VLOOKUP($A151,'Données projet'!$A$356:$I$376,6,0)*VLOOKUP('Données projet'!$B$21,Paramètres!$A$1:$I$89,7,0))</f>
        <v>0</v>
      </c>
      <c r="JQ151" s="16">
        <f>IF(ISNA(VLOOKUP($A151,'Données projet'!$A$356:$I$376,7,0)),0%,VLOOKUP($A151,'Données projet'!$A$356:$I$376,7,0))</f>
        <v>0</v>
      </c>
      <c r="JR151" s="21">
        <f>EXP(-LN(2)/35)*JR150+(1-EXP(-LN(2)/35))/(LN(2)/35)*JN151*JO151*VLOOKUP('Données projet'!$B$21,Paramètres!$A$1:$I$89,3,0)*0.475*44/12</f>
        <v>4.5276797635909514</v>
      </c>
      <c r="JS151" s="21">
        <f>EXP(-LN(2)/25)*JS150+(1-EXP(-LN(2)/25))/(LN(2)/25)*Calculateur!JN151*Calculateur!JP151*VLOOKUP('Données projet'!$B$21,Paramètres!$A$1:$I$89,3,0)*0.475*44/12</f>
        <v>8.0316955091562647</v>
      </c>
      <c r="JT151" s="21">
        <f>EXP(-LN(2)/2)*JT150+(1-EXP(-LN(2)/2))/(LN(2)/2)*JN151*JQ151*VLOOKUP('Données projet'!$B$21,Paramètres!$A$1:$I$89,3,0)*0.475*44/12</f>
        <v>2.9964548652587483E-3</v>
      </c>
      <c r="JU151" s="18">
        <f t="shared" si="262"/>
        <v>12.562371727612474</v>
      </c>
      <c r="JV151" s="74">
        <f>('Scénario référence'!$F$8+'Scénario référence'!$F$9+'Scénario référence'!$B$17+'Scénario référence'!$B$9+'Scénario référence'!$B$10)*70+IF((45+25*(1-EXP(-0.0175*$A151)))&lt;70,'Scénario référence'!$B$16*(45+25*(1-EXP(-0.0175*$A151))),70*'Scénario référence'!$B$16)+IF((32+38*(1-EXP(-0.0175*$A151)))&lt;70,'Scénario référence'!$B$18*(32+38*(1-EXP(-0.0175*$A151))),70*'Scénario référence'!$B$18)</f>
        <v>70</v>
      </c>
      <c r="JW151" s="12">
        <f>IF($A151&gt;30,10,('Scénario référence'!$B$16+'Scénario référence'!$B$17+'Scénario référence'!$B$18+'Scénario référence'!$B$9+'Scénario référence'!$B$10)*$A151*10/30+('Scénario référence'!$F$8+'Scénario référence'!$F$9)*10)</f>
        <v>10</v>
      </c>
      <c r="JX151" s="12" t="e">
        <f>VLOOKUP($A151,'Données projet'!$A$382:$I$402,2,0)</f>
        <v>#N/A</v>
      </c>
      <c r="JY151" s="12" t="e">
        <f>VLOOKUP($A151,'Données projet'!$A$382:$I$402,9,0)</f>
        <v>#N/A</v>
      </c>
      <c r="JZ151" s="12">
        <f t="array" ref="JZ151">INDEX(JY:JY,MIN(IF(ISNUMBER(JY151:JY347),ROW(JY151:JY347),"")))</f>
        <v>0</v>
      </c>
      <c r="KA151" s="12">
        <f>IF('Données projet'!$A$382&gt;35,KA150+JZ151-KI150,IF($A151&lt;'Données projet'!$A$382,$CQ$205^$A151,IF($A151='Données projet'!$A$382,'Données projet'!$B$382,KA150+JZ151-KI150)))</f>
        <v>5.6843418860808015E-13</v>
      </c>
      <c r="KB151" s="17">
        <f>KA151*VLOOKUP('Données projet'!$B$22,Paramètres!$A$1:$I$89,3,0)*VLOOKUP('Données projet'!$B$22,Paramètres!$A$1:$I$89,5,0)</f>
        <v>3.8130565371830017E-13</v>
      </c>
      <c r="KC151" s="13">
        <f t="shared" si="312"/>
        <v>4.9019074112354236E-12</v>
      </c>
      <c r="KD151" s="20">
        <f t="shared" si="263"/>
        <v>9.2015960881277352E-12</v>
      </c>
      <c r="KE151" s="59">
        <f t="shared" si="264"/>
        <v>293.33333333334252</v>
      </c>
      <c r="KF151" s="59">
        <f ca="1">AVERAGE(OFFSET($KE$3,0,0,'Données projet'!$E$22+1,1))-AVERAGE(OFFSET($H$3,0,0,'Données projet'!$E$22+1,1))</f>
        <v>193.91714772848269</v>
      </c>
      <c r="KG151" s="59">
        <f t="shared" si="313"/>
        <v>159.20429420478047</v>
      </c>
      <c r="KH151" s="15">
        <f>IF(ISNA(VLOOKUP($A151,'Données projet'!$A$382:$I$402,3,0)),0,VLOOKUP($A151,'Données projet'!$A$382:$I$402,3,0))</f>
        <v>0</v>
      </c>
      <c r="KI151" s="15">
        <f>IF(ISNA(VLOOKUP($A151,'Données projet'!$A$382:$I$402,4,0)),0,VLOOKUP($A151,'Données projet'!$A$382:$I$402,4,0))</f>
        <v>0</v>
      </c>
      <c r="KJ151" s="16">
        <f>IF(ISNA(VLOOKUP($A151,'Données projet'!$A$382:$I$402,5,0)),0%,VLOOKUP($A151,'Données projet'!$A$382:$I$402,5,0)*VLOOKUP('Données projet'!$B$22,Paramètres!$A$1:$I$89,7,0))</f>
        <v>0</v>
      </c>
      <c r="KK151" s="16">
        <f>IF(ISNA(VLOOKUP($A151,'Données projet'!$A$382:$I$402,6,0)),0%,VLOOKUP($A151,'Données projet'!$A$382:$I$402,6,0)*VLOOKUP('Données projet'!$B$22,Paramètres!$A$1:$I$89,7,0))</f>
        <v>0</v>
      </c>
      <c r="KL151" s="16">
        <f>IF(ISNA(VLOOKUP($A151,'Données projet'!$A$382:$I$402,7,0)),0%,VLOOKUP($A151,'Données projet'!$A$382:$I$402,7,0))</f>
        <v>0</v>
      </c>
      <c r="KM151" s="21">
        <f>EXP(-LN(2)/35)*KM150+(1-EXP(-LN(2)/35))/(LN(2)/35)*KI151*KJ151*VLOOKUP('Données projet'!$B$22,Paramètres!$A$1:$I$89,3,0)*0.475*44/12</f>
        <v>111.58181017195733</v>
      </c>
      <c r="KN151" s="21">
        <f>EXP(-LN(2)/25)*KN150+(1-EXP(-LN(2)/25))/(LN(2)/25)*Calculateur!KI151*Calculateur!KK151*VLOOKUP('Données projet'!$B$22,Paramètres!$A$1:$I$89,3,0)*0.475*44/12</f>
        <v>0</v>
      </c>
      <c r="KO151" s="21">
        <f>EXP(-LN(2)/2)*KO150+(1-EXP(-LN(2)/2))/(LN(2)/2)*KI151*KL151*VLOOKUP('Données projet'!$B$22,Paramètres!$A$1:$I$89,3,0)*0.475*44/12</f>
        <v>0</v>
      </c>
      <c r="KP151" s="22">
        <f t="shared" si="265"/>
        <v>111.58181017195733</v>
      </c>
      <c r="KQ151" s="74">
        <f>('Scénario référence'!$F$8+'Scénario référence'!$F$9+'Scénario référence'!$B$17+'Scénario référence'!$B$9+'Scénario référence'!$B$10)*70+IF((45+25*(1-EXP(-0.0175*$A151)))&lt;70,'Scénario référence'!$B$16*(45+25*(1-EXP(-0.0175*$A151))),70*'Scénario référence'!$B$16)+IF((32+38*(1-EXP(-0.0175*$A151)))&lt;70,'Scénario référence'!$B$18*(32+38*(1-EXP(-0.0175*$A151))),70*'Scénario référence'!$B$18)</f>
        <v>70</v>
      </c>
      <c r="KR151" s="12">
        <f>IF($A151&gt;30,10,('Scénario référence'!$B$16+'Scénario référence'!$B$17+'Scénario référence'!$B$18+'Scénario référence'!$B$9+'Scénario référence'!$B$10)*$A151*10/30+('Scénario référence'!$F$8+'Scénario référence'!$F$9)*10)</f>
        <v>10</v>
      </c>
      <c r="KS151" s="12" t="e">
        <f>VLOOKUP($A151,'Données projet'!$A$408:$I$428,2,0)</f>
        <v>#N/A</v>
      </c>
      <c r="KT151" s="12" t="e">
        <f>VLOOKUP($A151,'Données projet'!$A$408:$I$428,9,0)</f>
        <v>#N/A</v>
      </c>
      <c r="KU151" s="12">
        <f t="array" ref="KU151">INDEX(KT:KT,MIN(IF(ISNUMBER(KT151:KT347),ROW(KT151:KT347),"")))</f>
        <v>0</v>
      </c>
      <c r="KV151" s="12">
        <f>IF('Données projet'!$A$408&gt;35,KV150+KU151-LD150,IF($A151&lt;'Données projet'!$A$408,$CQ$205^$A151,IF($A151='Données projet'!$A$408,'Données projet'!$B$408,KV150+KU151-LD150)))</f>
        <v>-1.1368683772161603E-13</v>
      </c>
      <c r="KW151" s="17">
        <f>KV151*VLOOKUP('Données projet'!$B$23,Paramètres!$A$1:$I$89,3,0)*VLOOKUP('Données projet'!$B$23,Paramètres!$A$1:$I$89,5,0)</f>
        <v>-9.9316821433603781E-14</v>
      </c>
      <c r="KX151" s="13" t="e">
        <f t="shared" si="314"/>
        <v>#NUM!</v>
      </c>
      <c r="KY151" s="14" t="e">
        <f t="shared" si="266"/>
        <v>#NUM!</v>
      </c>
      <c r="KZ151" s="59" t="e">
        <f t="shared" si="267"/>
        <v>#NUM!</v>
      </c>
      <c r="LA151" s="59">
        <f ca="1">AVERAGE(OFFSET($KZ$3,0,0,'Données projet'!$E$23+1,1))-AVERAGE(OFFSET($H$3,0,0,'Données projet'!$E$23+1,1))</f>
        <v>248.33596943633819</v>
      </c>
      <c r="LB151" s="59">
        <f t="shared" si="315"/>
        <v>242.34010522344573</v>
      </c>
      <c r="LC151" s="15">
        <f>IF(ISNA(VLOOKUP($A151,'Données projet'!$A$408:$I$428,3,0)),0,VLOOKUP($A151,'Données projet'!$A$408:$I$428,3,0))</f>
        <v>0</v>
      </c>
      <c r="LD151" s="15">
        <f>IF(ISNA(VLOOKUP($A151,'Données projet'!$A$408:$I$428,4,0)),0,VLOOKUP($A151,'Données projet'!$A$408:$I$428,4,0))</f>
        <v>0</v>
      </c>
      <c r="LE151" s="16">
        <f>IF(ISNA(VLOOKUP($A151,'Données projet'!$A$408:$I$428,5,0)),0%,VLOOKUP($A151,'Données projet'!$A$408:$I$428,5,0)*VLOOKUP('Données projet'!$B$23,Paramètres!$A$1:$I$89,7,0))</f>
        <v>0</v>
      </c>
      <c r="LF151" s="16">
        <f>IF(ISNA(VLOOKUP($A151,'Données projet'!$A$408:$I$428,6,0)),0%,VLOOKUP($A151,'Données projet'!$A$408:$I$428,6,0)*VLOOKUP('Données projet'!$B$23,Paramètres!$A$1:$I$89,7,0))</f>
        <v>0</v>
      </c>
      <c r="LG151" s="16">
        <f>IF(ISNA(VLOOKUP($A151,'Données projet'!$A$408:$I$428,7,0)),0%,VLOOKUP($A151,'Données projet'!$A$408:$I$428,7,0))</f>
        <v>0</v>
      </c>
      <c r="LH151" s="21">
        <f>EXP(-LN(2)/35)*LH150+(1-EXP(-LN(2)/35))/(LN(2)/35)*LD151*LE151*VLOOKUP('Données projet'!$B$23,Paramètres!$A$1:$I$89,3,0)*0.475*44/12</f>
        <v>32.04972781565683</v>
      </c>
      <c r="LI151" s="21">
        <f>EXP(-LN(2)/25)*LI150+(1-EXP(-LN(2)/25))/(LN(2)/25)*Calculateur!LD151*Calculateur!LF151*VLOOKUP('Données projet'!$B$23,Paramètres!$A$1:$I$89,3,0)*0.475*44/12</f>
        <v>3.3052067222175534</v>
      </c>
      <c r="LJ151" s="21">
        <f>EXP(-LN(2)/2)*LJ150+(1-EXP(-LN(2)/2))/(LN(2)/2)*LD151*LG151*VLOOKUP('Données projet'!$B$23,Paramètres!$A$1:$I$89,3,0)*0.475*44/12</f>
        <v>0</v>
      </c>
      <c r="LK151" s="22">
        <f t="shared" si="268"/>
        <v>35.354934537874385</v>
      </c>
      <c r="LL151" s="74">
        <f>('Scénario référence'!$F$8+'Scénario référence'!$F$9+'Scénario référence'!$B$17+'Scénario référence'!$B$9+'Scénario référence'!$B$10)*70+IF((45+25*(1-EXP(-0.0175*$A151)))&lt;70,'Scénario référence'!$B$16*(45+25*(1-EXP(-0.0175*$A151))),70*'Scénario référence'!$B$16)+IF((32+38*(1-EXP(-0.0175*$A151)))&lt;70,'Scénario référence'!$B$18*(32+38*(1-EXP(-0.0175*$A151))),70*'Scénario référence'!$B$18)</f>
        <v>70</v>
      </c>
      <c r="LM151" s="12">
        <f>IF($A151&gt;30,10,('Scénario référence'!$B$16+'Scénario référence'!$B$17+'Scénario référence'!$B$18+'Scénario référence'!$B$9+'Scénario référence'!$B$10)*$A151*10/30+('Scénario référence'!$F$8+'Scénario référence'!$F$9)*10)</f>
        <v>10</v>
      </c>
      <c r="LN151" s="12" t="e">
        <f>VLOOKUP($A151,'Données projet'!$A$434:$I$454,2,0)</f>
        <v>#N/A</v>
      </c>
      <c r="LO151" s="12" t="e">
        <f>VLOOKUP($A151,'Données projet'!$A$434:$I$454,9,0)</f>
        <v>#N/A</v>
      </c>
      <c r="LP151" s="12">
        <f t="array" ref="LP151">INDEX(LO:LO,MIN(IF(ISNUMBER(LO151:LO347),ROW(LO151:LO347),"")))</f>
        <v>5.1063034188034209</v>
      </c>
      <c r="LQ151" s="12">
        <f>IF('Données projet'!$A$434&gt;35,LQ150+LP151-LY150,IF($A151&lt;'Données projet'!$A$434,$CQ$205^$A151,IF($A151='Données projet'!$A$434,'Données projet'!$B$434,LQ150+LP151-LY150)))</f>
        <v>298.07959401709354</v>
      </c>
      <c r="LR151" s="17">
        <f>LQ151*VLOOKUP('Données projet'!$B$24,Paramètres!$A$1:$I$89,3,0)*VLOOKUP('Données projet'!$B$24,Paramètres!$A$1:$I$89,5,0)</f>
        <v>302.25270833333286</v>
      </c>
      <c r="LS151" s="13">
        <f t="shared" si="316"/>
        <v>71.648511857189575</v>
      </c>
      <c r="LT151" s="14">
        <f t="shared" si="269"/>
        <v>651.21129183182666</v>
      </c>
      <c r="LU151" s="59">
        <f t="shared" si="270"/>
        <v>944.54462516515991</v>
      </c>
      <c r="LV151" s="59">
        <f ca="1">AVERAGE(OFFSET($LU$3,0,0,'Données projet'!$E$24+1,1))-AVERAGE(OFFSET($H$3,0,0,'Données projet'!$E$24+1,1))</f>
        <v>260.52627655062872</v>
      </c>
      <c r="LW151" s="59">
        <f t="shared" si="317"/>
        <v>159.20429420478047</v>
      </c>
      <c r="LX151" s="15">
        <f>IF(ISNA(VLOOKUP($A151,'Données projet'!$A$434:$I$454,3,0)),0,VLOOKUP($A151,'Données projet'!$A$434:$I$454,3,0))</f>
        <v>0</v>
      </c>
      <c r="LY151" s="15">
        <f>IF(ISNA(VLOOKUP($A151,'Données projet'!$A$434:$I$454,4,0)),0,VLOOKUP($A151,'Données projet'!$A$434:$I$454,4,0))</f>
        <v>0</v>
      </c>
      <c r="LZ151" s="16">
        <f>IF(ISNA(VLOOKUP($A151,'Données projet'!$A$434:$I$454,5,0)),0%,VLOOKUP($A151,'Données projet'!$A$434:$I$454,5,0)*VLOOKUP('Données projet'!$B$24,Paramètres!$A$1:$I$89,7,0))</f>
        <v>0</v>
      </c>
      <c r="MA151" s="16">
        <f>IF(ISNA(VLOOKUP($A151,'Données projet'!$A$434:$I$454,6,0)),0%,VLOOKUP($A151,'Données projet'!$A$434:$I$454,6,0)*VLOOKUP('Données projet'!$B$24,Paramètres!$A$1:$I$89,7,0))</f>
        <v>0</v>
      </c>
      <c r="MB151" s="16">
        <f>IF(ISNA(VLOOKUP($A151,'Données projet'!$A$434:$I$454,7,0)),0%,VLOOKUP($A151,'Données projet'!$A$434:$I$454,7,0))</f>
        <v>0</v>
      </c>
      <c r="MC151" s="21">
        <f>EXP(-LN(2)/35)*MC150+(1-EXP(-LN(2)/35))/(LN(2)/35)*LY151*LZ151*VLOOKUP('Données projet'!$B$24,Paramètres!$A$1:$I$89,3,0)*0.475*44/12</f>
        <v>44.192250744714634</v>
      </c>
      <c r="MD151" s="21">
        <f>EXP(-LN(2)/25)*MD150+(1-EXP(-LN(2)/25))/(LN(2)/25)*Calculateur!LY151*Calculateur!MA151*VLOOKUP('Données projet'!$B$24,Paramètres!$A$1:$I$89,3,0)*0.475*44/12</f>
        <v>0</v>
      </c>
      <c r="ME151" s="21">
        <f>EXP(-LN(2)/2)*ME150+(1-EXP(-LN(2)/2))/(LN(2)/2)*LY151*MB151*VLOOKUP('Données projet'!$B$24,Paramètres!$A$1:$I$89,3,0)*0.475*44/12</f>
        <v>0</v>
      </c>
      <c r="MF151" s="22">
        <f t="shared" si="271"/>
        <v>44.192250744714634</v>
      </c>
      <c r="MG151" s="74">
        <f>('Scénario référence'!$F$8+'Scénario référence'!$F$9+'Scénario référence'!$B$17+'Scénario référence'!$B$9+'Scénario référence'!$B$10)*70+IF((45+25*(1-EXP(-0.0175*$A151)))&lt;70,'Scénario référence'!$B$16*(45+25*(1-EXP(-0.0175*$A151))),70*'Scénario référence'!$B$16)+IF((32+38*(1-EXP(-0.0175*$A151)))&lt;70,'Scénario référence'!$B$18*(32+38*(1-EXP(-0.0175*$A151))),70*'Scénario référence'!$B$18)</f>
        <v>70</v>
      </c>
      <c r="MH151" s="12">
        <f>IF($A151&gt;30,10,('Scénario référence'!$B$16+'Scénario référence'!$B$17+'Scénario référence'!$B$18+'Scénario référence'!$B$9+'Scénario référence'!$B$10)*$A151*10/30+('Scénario référence'!$F$8+'Scénario référence'!$F$9)*10)</f>
        <v>10</v>
      </c>
      <c r="MI151" s="12" t="e">
        <f>VLOOKUP($A151,'Données projet'!$A$460:$I$480,2,0)</f>
        <v>#N/A</v>
      </c>
      <c r="MJ151" s="12" t="e">
        <f>VLOOKUP($A151,'Données projet'!$A$460:$I$480,9,0)</f>
        <v>#N/A</v>
      </c>
      <c r="MK151" s="12">
        <f t="array" ref="MK151">INDEX(MJ:MJ,MIN(IF(ISNUMBER(MJ151:MJ347),ROW(MJ151:MJ347),"")))</f>
        <v>0</v>
      </c>
      <c r="ML151" s="12">
        <f>IF('Données projet'!$A$460&gt;35,ML150+MK151-MT150,IF($A151&lt;'Données projet'!$A$460,$CQ$205^$A151,IF($A151='Données projet'!$A$460,'Données projet'!$B$460,ML150+MK151-MT150)))</f>
        <v>0</v>
      </c>
      <c r="MM151" s="17" t="e">
        <f>ML151*VLOOKUP('Données projet'!$B$25,Paramètres!$A$1:$I$89,3,0)*VLOOKUP('Données projet'!$B$25,Paramètres!$A$1:$I$89,5,0)</f>
        <v>#N/A</v>
      </c>
      <c r="MN151" s="13" t="e">
        <f t="shared" si="318"/>
        <v>#N/A</v>
      </c>
      <c r="MO151" s="14" t="e">
        <f t="shared" si="272"/>
        <v>#N/A</v>
      </c>
      <c r="MP151" s="59" t="e">
        <f t="shared" si="273"/>
        <v>#N/A</v>
      </c>
      <c r="MQ151" s="20" t="e">
        <f ca="1">AVERAGE(OFFSET($MP$3,0,0,'Données projet'!$E$25+1,1))-AVERAGE(OFFSET($H$3,0,0,'Données projet'!$E$25+1,1))</f>
        <v>#N/A</v>
      </c>
      <c r="MR151" s="59" t="e">
        <f t="shared" si="319"/>
        <v>#N/A</v>
      </c>
      <c r="MS151" s="15">
        <f>IF(ISNA(VLOOKUP($A151,'Données projet'!$A$460:$I$480,3,0)),0,VLOOKUP($A151,'Données projet'!$A$460:$I$480,3,0))</f>
        <v>0</v>
      </c>
      <c r="MT151" s="15">
        <f>IF(ISNA(VLOOKUP($A151,'Données projet'!$A$460:$I$480,4,0)),0,VLOOKUP($A151,'Données projet'!$A$460:$I$480,4,0))</f>
        <v>0</v>
      </c>
      <c r="MU151" s="16">
        <f>IF(ISNA(VLOOKUP($A151,'Données projet'!$A$460:$I$480,5,0)),0%,VLOOKUP($A151,'Données projet'!$A$460:$I$480,5,0)*VLOOKUP('Données projet'!$B$25,Paramètres!$A$1:$I$89,7,0))</f>
        <v>0</v>
      </c>
      <c r="MV151" s="16">
        <f>IF(ISNA(VLOOKUP($A151,'Données projet'!$A$460:$I$480,6,0)),0%,VLOOKUP($A151,'Données projet'!$A$460:$I$480,6,0)*VLOOKUP('Données projet'!$B$25,Paramètres!$A$1:$I$89,7,0))</f>
        <v>0</v>
      </c>
      <c r="MW151" s="16">
        <f>IF(ISNA(VLOOKUP($A151,'Données projet'!$A$460:$I$480,7,0)),0%,VLOOKUP($A151,'Données projet'!$A$460:$I$480,7,0))</f>
        <v>0</v>
      </c>
      <c r="MX151" s="21" t="e">
        <f>EXP(-LN(2)/35)*MX150+(1-EXP(-LN(2)/35))/(LN(2)/35)*MT151*MU151*VLOOKUP('Données projet'!$B$25,Paramètres!$A$1:$I$89,3,0)*0.475*44/12</f>
        <v>#N/A</v>
      </c>
      <c r="MY151" s="21" t="e">
        <f>EXP(-LN(2)/25)*MY150+(1-EXP(-LN(2)/25))/(LN(2)/25)*Calculateur!MT151*Calculateur!MV151*VLOOKUP('Données projet'!$B$25,Paramètres!$A$1:$I$89,3,0)*0.475*44/12</f>
        <v>#N/A</v>
      </c>
      <c r="MZ151" s="21" t="e">
        <f>EXP(-LN(2)/2)*MZ150+(1-EXP(-LN(2)/2))/(LN(2)/2)*MT151*MW151*VLOOKUP('Données projet'!$B$25,Paramètres!$A$1:$I$89,3,0)*0.475*44/12</f>
        <v>#N/A</v>
      </c>
      <c r="NA151" s="22" t="e">
        <f t="shared" si="274"/>
        <v>#N/A</v>
      </c>
      <c r="NB151" s="74">
        <f>('Scénario référence'!$F$8+'Scénario référence'!$F$9+'Scénario référence'!$B$17+'Scénario référence'!$B$9+'Scénario référence'!$B$10)*70+IF((45+25*(1-EXP(-0.0175*$A151)))&lt;70,'Scénario référence'!$B$16*(45+25*(1-EXP(-0.0175*$A151))),70*'Scénario référence'!$B$16)+IF((32+38*(1-EXP(-0.0175*$A151)))&lt;70,'Scénario référence'!$B$18*(32+38*(1-EXP(-0.0175*$A151))),70*'Scénario référence'!$B$18)</f>
        <v>70</v>
      </c>
      <c r="NC151" s="12">
        <f>IF($A151&gt;30,10,('Scénario référence'!$B$16+'Scénario référence'!$B$17+'Scénario référence'!$B$18+'Scénario référence'!$B$9+'Scénario référence'!$B$10)*$A151*10/30+('Scénario référence'!$F$8+'Scénario référence'!$F$9)*10)</f>
        <v>10</v>
      </c>
      <c r="ND151" s="12" t="e">
        <f>VLOOKUP($A151,'Données projet'!$A$486:$I$506,2,0)</f>
        <v>#N/A</v>
      </c>
      <c r="NE151" s="12" t="e">
        <f>VLOOKUP($A151,'Données projet'!$A$486:$I$506,9,0)</f>
        <v>#N/A</v>
      </c>
      <c r="NF151" s="12">
        <f t="array" ref="NF151">INDEX(NE:NE,MIN(IF(ISNUMBER(NE151:NE347),ROW(NE151:NE347),"")))</f>
        <v>0</v>
      </c>
      <c r="NG151" s="12">
        <f>IF('Données projet'!$A$486&gt;35,NG150+NF151-NO150,IF($A151&lt;'Données projet'!$A$486,$CQ$205^$A151,IF($A151='Données projet'!$A$486,'Données projet'!$B$486,NG150+NF151-NO150)))</f>
        <v>0</v>
      </c>
      <c r="NH151" s="17" t="e">
        <f>NG151*VLOOKUP('Données projet'!$B$26,Paramètres!$A$1:$I$89,3,0)*VLOOKUP('Données projet'!$B$26,Paramètres!$A$1:$I$89,5,0)</f>
        <v>#N/A</v>
      </c>
      <c r="NI151" s="13" t="e">
        <f t="shared" si="320"/>
        <v>#N/A</v>
      </c>
      <c r="NJ151" s="14" t="e">
        <f t="shared" si="275"/>
        <v>#N/A</v>
      </c>
      <c r="NK151" s="59" t="e">
        <f t="shared" si="276"/>
        <v>#N/A</v>
      </c>
      <c r="NL151" s="20" t="e">
        <f ca="1">AVERAGE(OFFSET($NK$3,0,0,'Données projet'!$E$26+1,1))-AVERAGE(OFFSET($H$3,0,0,'Données projet'!$E$26+1,1))</f>
        <v>#N/A</v>
      </c>
      <c r="NM151" s="59" t="e">
        <f t="shared" si="321"/>
        <v>#N/A</v>
      </c>
      <c r="NN151" s="15">
        <f>IF(ISNA(VLOOKUP($A151,'Données projet'!$A$486:$I$506,3,0)),0,VLOOKUP($A151,'Données projet'!$A$486:$I$506,3,0))</f>
        <v>0</v>
      </c>
      <c r="NO151" s="15">
        <f>IF(ISNA(VLOOKUP($A151,'Données projet'!$A$486:$I$506,4,0)),0,VLOOKUP($A151,'Données projet'!$A$486:$I$506,4,0))</f>
        <v>0</v>
      </c>
      <c r="NP151" s="16">
        <f>IF(ISNA(VLOOKUP($A151,'Données projet'!$A$486:$I$506,5,0)),0%,VLOOKUP($A151,'Données projet'!$A$486:$I$506,5,0)*VLOOKUP('Données projet'!$B$26,Paramètres!$A$1:$I$89,7,0))</f>
        <v>0</v>
      </c>
      <c r="NQ151" s="16">
        <f>IF(ISNA(VLOOKUP($A151,'Données projet'!$A$486:$I$506,6,0)),0%,VLOOKUP($A151,'Données projet'!$A$486:$I$506,6,0)*VLOOKUP('Données projet'!$B$26,Paramètres!$A$1:$I$89,7,0))</f>
        <v>0</v>
      </c>
      <c r="NR151" s="16">
        <f>IF(ISNA(VLOOKUP($A151,'Données projet'!$A$486:$I$506,7,0)),0%,VLOOKUP($A151,'Données projet'!$A$486:$I$506,7,0))</f>
        <v>0</v>
      </c>
      <c r="NS151" s="21" t="e">
        <f>EXP(-LN(2)/35)*NS150+(1-EXP(-LN(2)/35))/(LN(2)/35)*NO151*NP151*VLOOKUP('Données projet'!$B$26,Paramètres!$A$1:$I$89,3,0)*0.475*44/12</f>
        <v>#N/A</v>
      </c>
      <c r="NT151" s="21" t="e">
        <f>EXP(-LN(2)/25)*NT150+(1-EXP(-LN(2)/25))/(LN(2)/25)*Calculateur!NO151*Calculateur!NQ151*VLOOKUP('Données projet'!$B$26,Paramètres!$A$1:$I$89,3,0)*0.475*44/12</f>
        <v>#N/A</v>
      </c>
      <c r="NU151" s="21" t="e">
        <f>EXP(-LN(2)/2)*NU150+(1-EXP(-LN(2)/2))/(LN(2)/2)*NO151*NR151*VLOOKUP('Données projet'!$B$26,Paramètres!$A$1:$I$89,3,0)*0.475*44/12</f>
        <v>#N/A</v>
      </c>
      <c r="NV151" s="22" t="e">
        <f t="shared" si="277"/>
        <v>#N/A</v>
      </c>
      <c r="NW151" s="74">
        <f>('Scénario référence'!$F$8+'Scénario référence'!$F$9+'Scénario référence'!$B$17+'Scénario référence'!$B$9+'Scénario référence'!$B$10)*70+IF((45+25*(1-EXP(-0.0175*$A151)))&lt;70,'Scénario référence'!$B$16*(45+25*(1-EXP(-0.0175*$A151))),70*'Scénario référence'!$B$16)+IF((32+38*(1-EXP(-0.0175*$A151)))&lt;70,'Scénario référence'!$B$18*(32+38*(1-EXP(-0.0175*$A151))),70*'Scénario référence'!$B$18)</f>
        <v>70</v>
      </c>
      <c r="NX151" s="12">
        <f>IF($A151&gt;30,10,('Scénario référence'!$B$16+'Scénario référence'!$B$17+'Scénario référence'!$B$18+'Scénario référence'!$B$9+'Scénario référence'!$B$10)*$A151*10/30+('Scénario référence'!$F$8+'Scénario référence'!$F$9)*10)</f>
        <v>10</v>
      </c>
      <c r="NY151" s="12" t="e">
        <f>VLOOKUP($A151,'Données projet'!$A$512:$I$532,2,0)</f>
        <v>#N/A</v>
      </c>
      <c r="NZ151" s="12" t="e">
        <f>VLOOKUP($A151,'Données projet'!$A$512:$I$532,9,0)</f>
        <v>#N/A</v>
      </c>
      <c r="OA151" s="12">
        <f t="array" ref="OA151">INDEX(NZ:NZ,MIN(IF(ISNUMBER(NZ151:NZ347),ROW(NZ151:NZ347),"")))</f>
        <v>0</v>
      </c>
      <c r="OB151" s="12">
        <f>IF('Données projet'!$A$512&gt;35,OB150+OA151-OJ150,IF($A151&lt;'Données projet'!$A$512,$CQ$205^$A151,IF($A151='Données projet'!$A$512,'Données projet'!$B$512,OB150+OA151-OJ150)))</f>
        <v>0</v>
      </c>
      <c r="OC151" s="17" t="e">
        <f>OB151*VLOOKUP('Données projet'!$B$27,Paramètres!$A$1:$I$89,3,0)*VLOOKUP('Données projet'!$B$27,Paramètres!$A$1:$I$89,5,0)</f>
        <v>#N/A</v>
      </c>
      <c r="OD151" s="13" t="e">
        <f t="shared" si="322"/>
        <v>#N/A</v>
      </c>
      <c r="OE151" s="14" t="e">
        <f t="shared" si="278"/>
        <v>#N/A</v>
      </c>
      <c r="OF151" s="59" t="e">
        <f t="shared" si="279"/>
        <v>#N/A</v>
      </c>
      <c r="OG151" s="20" t="e">
        <f ca="1">AVERAGE(OFFSET($OF$3,0,0,'Données projet'!$E$27+1,1))-AVERAGE(OFFSET($H$3,0,0,'Données projet'!$E$27+1,1))</f>
        <v>#N/A</v>
      </c>
      <c r="OH151" s="59" t="e">
        <f t="shared" si="323"/>
        <v>#N/A</v>
      </c>
      <c r="OI151" s="15">
        <f>IF(ISNA(VLOOKUP($A151,'Données projet'!$A$512:$I$532,3,0)),0,VLOOKUP($A151,'Données projet'!$A$512:$I$532,3,0))</f>
        <v>0</v>
      </c>
      <c r="OJ151" s="15">
        <f>IF(ISNA(VLOOKUP($A151,'Données projet'!$A$512:$I$532,4,0)),0,VLOOKUP($A151,'Données projet'!$A$512:$I$532,4,0))</f>
        <v>0</v>
      </c>
      <c r="OK151" s="16">
        <f>IF(ISNA(VLOOKUP($A151,'Données projet'!$A$512:$I$532,5,0)),0%,VLOOKUP($A151,'Données projet'!$A$512:$I$532,5,0)*VLOOKUP('Données projet'!$B$27,Paramètres!$A$1:$I$89,7,0))</f>
        <v>0</v>
      </c>
      <c r="OL151" s="16">
        <f>IF(ISNA(VLOOKUP($A151,'Données projet'!$A$512:$I$532,6,0)),0%,VLOOKUP($A151,'Données projet'!$A$512:$I$532,6,0)*VLOOKUP('Données projet'!$B$27,Paramètres!$A$1:$I$89,7,0))</f>
        <v>0</v>
      </c>
      <c r="OM151" s="16">
        <f>IF(ISNA(VLOOKUP($A151,'Données projet'!$A$512:$I$532,7,0)),0%,VLOOKUP($A151,'Données projet'!$A$512:$I$532,7,0))</f>
        <v>0</v>
      </c>
      <c r="ON151" s="21" t="e">
        <f>EXP(-LN(2)/35)*ON150+(1-EXP(-LN(2)/35))/(LN(2)/35)*OJ151*OK151*VLOOKUP('Données projet'!$B$27,Paramètres!$A$1:$I$89,3,0)*0.475*44/12</f>
        <v>#N/A</v>
      </c>
      <c r="OO151" s="21" t="e">
        <f>EXP(-LN(2)/25)*OO150+(1-EXP(-LN(2)/25))/(LN(2)/25)*Calculateur!OJ151*Calculateur!OL151*VLOOKUP('Données projet'!$B$27,Paramètres!$A$1:$I$89,3,0)*0.475*44/12</f>
        <v>#N/A</v>
      </c>
      <c r="OP151" s="21" t="e">
        <f>EXP(-LN(2)/2)*OP150+(1-EXP(-LN(2)/2))/(LN(2)/2)*OJ151*OM151*VLOOKUP('Données projet'!$B$27,Paramètres!$A$1:$I$89,3,0)*0.475*44/12</f>
        <v>#N/A</v>
      </c>
      <c r="OQ151" s="22" t="e">
        <f t="shared" si="280"/>
        <v>#N/A</v>
      </c>
      <c r="OR151" s="74">
        <f>('Scénario référence'!$F$8+'Scénario référence'!$F$9+'Scénario référence'!$B$17+'Scénario référence'!$B$9+'Scénario référence'!$B$10)*70+IF((45+25*(1-EXP(-0.0175*$A151)))&lt;70,'Scénario référence'!$B$16*(45+25*(1-EXP(-0.0175*$A151))),70*'Scénario référence'!$B$16)+IF((32+38*(1-EXP(-0.0175*$A151)))&lt;70,'Scénario référence'!$B$18*(32+38*(1-EXP(-0.0175*$A151))),70*'Scénario référence'!$B$18)</f>
        <v>70</v>
      </c>
      <c r="OS151" s="12">
        <f>IF($A151&gt;30,10,('Scénario référence'!$B$16+'Scénario référence'!$B$17+'Scénario référence'!$B$18+'Scénario référence'!$B$9+'Scénario référence'!$B$10)*$A151*10/30+('Scénario référence'!$F$8+'Scénario référence'!$F$9)*10)</f>
        <v>10</v>
      </c>
      <c r="OT151" s="12" t="e">
        <f>VLOOKUP($A151,'Données projet'!$A$538:$I$558,2,0)</f>
        <v>#N/A</v>
      </c>
      <c r="OU151" s="12" t="e">
        <f>VLOOKUP($A151,'Données projet'!$A$538:$I$558,9,0)</f>
        <v>#N/A</v>
      </c>
      <c r="OV151" s="12">
        <f t="array" ref="OV151">INDEX(OU:OU,MIN(IF(ISNUMBER(OU151:OU347),ROW(OU151:OU347),"")))</f>
        <v>0</v>
      </c>
      <c r="OW151" s="12">
        <f>IF('Données projet'!$A$538&gt;35,OW150+OV151-PE150,IF($A151&lt;'Données projet'!$A$538,$CQ$205^$A151,IF($A151='Données projet'!$A$538,'Données projet'!$B$538,OW150+OV151-PE150)))</f>
        <v>0</v>
      </c>
      <c r="OX151" s="17" t="e">
        <f>OW151*VLOOKUP('Données projet'!$B$28,Paramètres!$A$1:$I$89,3,0)*VLOOKUP('Données projet'!$B$28,Paramètres!$A$1:$I$89,5,0)</f>
        <v>#N/A</v>
      </c>
      <c r="OY151" s="13" t="e">
        <f t="shared" si="324"/>
        <v>#N/A</v>
      </c>
      <c r="OZ151" s="14" t="e">
        <f t="shared" si="281"/>
        <v>#N/A</v>
      </c>
      <c r="PA151" s="59" t="e">
        <f t="shared" si="282"/>
        <v>#N/A</v>
      </c>
      <c r="PB151" s="20" t="e">
        <f ca="1">AVERAGE(OFFSET($PA$3,0,0,'Données projet'!$E$28+1,1))-AVERAGE(OFFSET($H$3,0,0,'Données projet'!$E$28+1,1))</f>
        <v>#N/A</v>
      </c>
      <c r="PC151" s="59" t="e">
        <f t="shared" si="325"/>
        <v>#N/A</v>
      </c>
      <c r="PD151" s="15">
        <f>IF(ISNA(VLOOKUP($A151,'Données projet'!$A$538:$I$558,3,0)),0,VLOOKUP($A151,'Données projet'!$A$538:$I$558,3,0))</f>
        <v>0</v>
      </c>
      <c r="PE151" s="15">
        <f>IF(ISNA(VLOOKUP($A151,'Données projet'!$A$538:$I$558,4,0)),0,VLOOKUP($A151,'Données projet'!$A$538:$I$558,4,0))</f>
        <v>0</v>
      </c>
      <c r="PF151" s="16">
        <f>IF(ISNA(VLOOKUP($A151,'Données projet'!$A$538:$I$558,5,0)),0%,VLOOKUP($A151,'Données projet'!$A$538:$I$558,5,0)*VLOOKUP('Données projet'!$B$28,Paramètres!$A$1:$I$89,7,0))</f>
        <v>0</v>
      </c>
      <c r="PG151" s="16">
        <f>IF(ISNA(VLOOKUP($A151,'Données projet'!$A$538:$I$558,6,0)),0%,VLOOKUP($A151,'Données projet'!$A$538:$I$558,6,0)*VLOOKUP('Données projet'!$B$28,Paramètres!$A$1:$I$89,7,0))</f>
        <v>0</v>
      </c>
      <c r="PH151" s="16">
        <f>IF(ISNA(VLOOKUP($A151,'Données projet'!$A$538:$I$558,7,0)),0%,VLOOKUP($A151,'Données projet'!$A$538:$I$558,7,0))</f>
        <v>0</v>
      </c>
      <c r="PI151" s="21" t="e">
        <f>EXP(-LN(2)/35)*PI150+(1-EXP(-LN(2)/35))/(LN(2)/35)*PE151*PF151*VLOOKUP('Données projet'!$B$28,Paramètres!$A$1:$I$89,3,0)*0.475*44/12</f>
        <v>#N/A</v>
      </c>
      <c r="PJ151" s="21" t="e">
        <f>EXP(-LN(2)/25)*PJ150+(1-EXP(-LN(2)/25))/(LN(2)/25)*Calculateur!PE151*Calculateur!PG151*VLOOKUP('Données projet'!$B$28,Paramètres!$A$1:$I$89,3,0)*0.475*44/12</f>
        <v>#N/A</v>
      </c>
      <c r="PK151" s="21" t="e">
        <f>EXP(-LN(2)/2)*PK150+(1-EXP(-LN(2)/2))/(LN(2)/2)*PE151*PH151*VLOOKUP('Données projet'!$B$28,Paramètres!$A$1:$I$89,3,0)*0.475*44/12</f>
        <v>#N/A</v>
      </c>
      <c r="PL151" s="22" t="e">
        <f t="shared" si="283"/>
        <v>#N/A</v>
      </c>
    </row>
    <row r="152" spans="1:428" x14ac:dyDescent="0.35">
      <c r="A152" s="10">
        <f t="shared" si="284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285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225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projet'!$A$45:$I$65,2,0)</f>
        <v>#N/A</v>
      </c>
      <c r="L152" s="12" t="e">
        <f>VLOOKUP(A152,'Données projet'!$A$45:$I$65,9,0)</f>
        <v>#N/A</v>
      </c>
      <c r="M152" s="12">
        <f t="array" ref="M152">INDEX(L:L,MIN(IF(ISNUMBER(L152:L348),ROW(L152:L348),"")))</f>
        <v>0</v>
      </c>
      <c r="N152" s="13">
        <f>IF('Données projet'!$A$46&gt;35,N151+M152-V151,IF(A152&lt;'Données projet'!$A$46,$K$205^A152,IF(A152='Données projet'!$A$46,'Données projet'!$B$46,N151+M152-V151)))</f>
        <v>-1.1368683772161603E-13</v>
      </c>
      <c r="O152" s="13">
        <f>N152*VLOOKUP('Données projet'!$B$9,Paramètres!$A$1:$I$89,3,0)*VLOOKUP('Données projet'!$B$9,Paramètres!$A$1:$I$89,5,0)</f>
        <v>-6.3550942286383367E-14</v>
      </c>
      <c r="P152" s="13" t="e">
        <f t="shared" si="286"/>
        <v>#NUM!</v>
      </c>
      <c r="Q152" s="20" t="e">
        <f t="shared" si="223"/>
        <v>#NUM!</v>
      </c>
      <c r="R152" s="59" t="e">
        <f t="shared" si="224"/>
        <v>#NUM!</v>
      </c>
      <c r="S152" s="59">
        <f ca="1">AVERAGE(OFFSET($R$3,0,0,'Données projet'!$E$9+1,1))-AVERAGE(OFFSET($H$3,0,0,'Données projet'!$E$9+1,1))</f>
        <v>274.57619581652199</v>
      </c>
      <c r="T152" s="59">
        <f t="shared" si="287"/>
        <v>366.15117322598775</v>
      </c>
      <c r="U152" s="15">
        <f>IF(ISNA(VLOOKUP(A152,'Données projet'!$A$45:$I$65,3,0)),0,VLOOKUP(A152,'Données projet'!$A$45:$I$65,3,0))</f>
        <v>0</v>
      </c>
      <c r="V152" s="15">
        <f>IF(ISNA(VLOOKUP(A152,'Données projet'!$A$45:$I$65,4,0)),0,VLOOKUP(A152,'Données projet'!$A$45:$I$65,4,0))</f>
        <v>0</v>
      </c>
      <c r="W152" s="16">
        <f>IF(ISNA(VLOOKUP(A152,'Données projet'!$A$45:$I$65,5,0)),0%,VLOOKUP(A152,'Données projet'!$A$45:$I$65,5,0)*VLOOKUP('Données projet'!$B$9,Paramètres!$A$1:$I$89,7,0))</f>
        <v>0</v>
      </c>
      <c r="X152" s="16">
        <f>IF(ISNA(VLOOKUP(A152,'Données projet'!$A$45:$I$65,6,0)),0%,VLOOKUP(A152,'Données projet'!$A$45:$I$65,6,0)*VLOOKUP('Données projet'!$B$9,Paramètres!$A$1:$I$89,7,0))</f>
        <v>0</v>
      </c>
      <c r="Y152" s="16">
        <f>IF(ISNA(VLOOKUP(A152,'Données projet'!$A$45:$I$65,7,0)),0%,VLOOKUP(A152,'Données projet'!$A$45:$I$65,7,0))</f>
        <v>0</v>
      </c>
      <c r="Z152" s="21">
        <f>EXP(-LN(2)/35)*Z151+(1-EXP(-LN(2)/35))/(LN(2)/35)*V152*W152*VLOOKUP('Données projet'!$B$9,Paramètres!$A$1:$I$89,3,0)*0.475*44/12</f>
        <v>35.228060496147876</v>
      </c>
      <c r="AA152" s="21">
        <f>EXP(-LN(2)/25)*AA151+(1-EXP(-LN(2)/25))/(LN(2)/25)*Calculateur!V152*Calculateur!X152*VLOOKUP('Données projet'!$B$9,Paramètres!$A$1:$I$89,3,0)*0.475*44/12</f>
        <v>4.2521404862805801</v>
      </c>
      <c r="AB152" s="21">
        <f>EXP(-LN(2)/2)*AB151+(1-EXP(-LN(2)/2))/(LN(2)/2)*V152*Y152*VLOOKUP('Données projet'!$B$9,Paramètres!$A$1:$I$89,3,0)*0.475*44/12</f>
        <v>2.4273066404214542E-13</v>
      </c>
      <c r="AC152" s="22">
        <f t="shared" si="226"/>
        <v>39.480200982428698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projet'!$A$71:$I$91,2,0)</f>
        <v>#N/A</v>
      </c>
      <c r="AG152" s="12" t="e">
        <f>VLOOKUP(A152,'Données projet'!$A$71:$I$91,9,0)</f>
        <v>#N/A</v>
      </c>
      <c r="AH152" s="12">
        <f t="array" ref="AH152">INDEX(AG:AG,MIN(IF(ISNUMBER(AG152:AG348),ROW(AG152:AG348),"")))</f>
        <v>0</v>
      </c>
      <c r="AI152" s="13">
        <f>IF('Données projet'!$A$72&gt;35,AI151+AH152-AQ151,IF(A152&lt;'Données projet'!$A$72,$AF$205^A152,IF(A152='Données projet'!$A$72,'Données projet'!$B$72,AI151+AH152-AQ151)))</f>
        <v>5.6843418860808015E-13</v>
      </c>
      <c r="AJ152" s="13">
        <f>AI152*VLOOKUP('Données projet'!$B$10,Paramètres!$A$1:$I$89,3,0)*VLOOKUP('Données projet'!$B$10,Paramètres!$A$1:$I$89,5,0)</f>
        <v>5.1431925385259092E-13</v>
      </c>
      <c r="AK152" s="13">
        <f t="shared" si="288"/>
        <v>6.3855359115685756E-12</v>
      </c>
      <c r="AL152" s="20">
        <f t="shared" si="227"/>
        <v>1.2017247746441865E-11</v>
      </c>
      <c r="AM152" s="59">
        <f t="shared" si="228"/>
        <v>293.33333333334531</v>
      </c>
      <c r="AN152" s="59">
        <f ca="1">AVERAGE(OFFSET($AM$3,0,0,'Données projet'!$E$10+1,1))-AVERAGE(OFFSET($H$3,0,0,'Données projet'!$E$10+1,1))</f>
        <v>270.87836509222456</v>
      </c>
      <c r="AO152" s="59">
        <f t="shared" si="289"/>
        <v>205.24998237949734</v>
      </c>
      <c r="AP152" s="15">
        <f>IF(ISNA(VLOOKUP(A152,'Données projet'!$A$71:$I$91,3,0)),0,VLOOKUP(A152,'Données projet'!$A$71:$I$91,3,0))</f>
        <v>0</v>
      </c>
      <c r="AQ152" s="15">
        <f>IF(ISNA(VLOOKUP(A152,'Données projet'!$A$71:$I$91,4,0)),0,VLOOKUP(A152,'Données projet'!$A$71:$I$91,4,0))</f>
        <v>0</v>
      </c>
      <c r="AR152" s="16">
        <f>IF(ISNA(VLOOKUP(A152,'Données projet'!$A$71:$I$91,5,0)),0%,VLOOKUP(A152,'Données projet'!$A$71:$I$91,5,0)*VLOOKUP('Données projet'!$B$10,Paramètres!$A$1:$I$89,7,0))</f>
        <v>0</v>
      </c>
      <c r="AS152" s="16">
        <f>IF(ISNA(VLOOKUP(A152,'Données projet'!$A$71:$I$91,6,0)),0%,VLOOKUP(A152,'Données projet'!$A$71:$I$91,6,0)*VLOOKUP('Données projet'!$B$10,Paramètres!$A$1:$I$89,7,0))</f>
        <v>0</v>
      </c>
      <c r="AT152" s="16">
        <f>IF(ISNA(VLOOKUP(A152,'Données projet'!$A$71:$I$91,7,0)),0%,VLOOKUP(A152,'Données projet'!$A$71:$I$91,7,0))</f>
        <v>0</v>
      </c>
      <c r="AU152" s="21">
        <f>EXP(-LN(2)/35)*AU151+(1-EXP(-LN(2)/35))/(LN(2)/35)*AQ152*AR152*VLOOKUP('Données projet'!$B$10,Paramètres!$A$1:$I$89,3,0)*0.475*44/12</f>
        <v>119.71392486971354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229"/>
        <v>119.71392486971354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projet'!$A$97:$I$117,2,0)</f>
        <v>#N/A</v>
      </c>
      <c r="BB152" s="12" t="e">
        <f>VLOOKUP(A152,'Données projet'!$A$97:$I$117,9,0)</f>
        <v>#N/A</v>
      </c>
      <c r="BC152" s="12">
        <f t="array" ref="BC152">INDEX(BB:BB,MIN(IF(ISNUMBER(BB152:BB348),ROW(BB152:BB348),"")))</f>
        <v>0</v>
      </c>
      <c r="BD152" s="12">
        <f>IF('Données projet'!$A$98&gt;35,BD151+BC152-BL151,IF(A152&lt;'Données projet'!$A$98,$BA$205^A152,IF(A152='Données projet'!$A$98,'Données projet'!$B$98,BD151+BC152-BL151)))</f>
        <v>-1.1368683772161603E-13</v>
      </c>
      <c r="BE152" s="13">
        <f>BD152*VLOOKUP('Données projet'!$B$11,Paramètres!$A$1:$I$89,3,0)*VLOOKUP('Données projet'!$B$11,Paramètres!$A$1:$I$89,5,0)</f>
        <v>-5.0249582272954292E-14</v>
      </c>
      <c r="BF152" s="13" t="e">
        <f t="shared" si="290"/>
        <v>#NUM!</v>
      </c>
      <c r="BG152" s="20" t="e">
        <f t="shared" si="230"/>
        <v>#NUM!</v>
      </c>
      <c r="BH152" s="59" t="e">
        <f t="shared" si="231"/>
        <v>#NUM!</v>
      </c>
      <c r="BI152" s="59">
        <f ca="1">AVERAGE(OFFSET($BH$3,0,0,'Données projet'!$E$11+1,1))-AVERAGE(OFFSET($H$3,0,0,'Données projet'!$E$11+1,1))</f>
        <v>211.31057120485542</v>
      </c>
      <c r="BJ152" s="59">
        <f t="shared" si="291"/>
        <v>283.33292006714777</v>
      </c>
      <c r="BK152" s="15">
        <f>IF(ISNA(VLOOKUP(A152,'Données projet'!$A$97:$I$117,3,0)),0,VLOOKUP(A152,'Données projet'!$A$97:$I$117,3,0))</f>
        <v>0</v>
      </c>
      <c r="BL152" s="15">
        <f>IF(ISNA(VLOOKUP(A152,'Données projet'!$A$97:$I$117,4,0)),0,VLOOKUP(A152,'Données projet'!$A$97:$I$117,4,0))</f>
        <v>0</v>
      </c>
      <c r="BM152" s="16">
        <f>IF(ISNA(VLOOKUP(A152,'Données projet'!$A$97:$I$117,5,0)),0%,VLOOKUP(A152,'Données projet'!$A$97:$I$117,5,0)*VLOOKUP('Données projet'!$B$11,Paramètres!$A$1:$I$89,7,0))</f>
        <v>0</v>
      </c>
      <c r="BN152" s="16">
        <f>IF(ISNA(VLOOKUP(A152,'Données projet'!$A$97:$I$117,6,0)),0%,VLOOKUP(A152,'Données projet'!$A$97:$I$117,6,0)*VLOOKUP('Données projet'!$B$11,Paramètres!$A$1:$I$89,7,0))</f>
        <v>0</v>
      </c>
      <c r="BO152" s="16">
        <f>IF(ISNA(VLOOKUP(A152,'Données projet'!$A$97:$I$117,7,0)),0%,VLOOKUP(A152,'Données projet'!$A$97:$I$117,7,0))</f>
        <v>0</v>
      </c>
      <c r="BP152" s="21">
        <f>EXP(-LN(2)/35)*BP151+(1-EXP(-LN(2)/35))/(LN(2)/35)*BL152*BM152*VLOOKUP('Données projet'!$B$11,Paramètres!$A$1:$I$89,3,0)*0.475*44/12</f>
        <v>27.854745508582059</v>
      </c>
      <c r="BQ152" s="21">
        <f>EXP(-LN(2)/25)*BQ151+(1-EXP(-LN(2)/25))/(LN(2)/25)*Calculateur!BL152*Calculateur!BN152*VLOOKUP('Données projet'!$B$11,Paramètres!$A$1:$I$89,3,0)*0.475*44/12</f>
        <v>3.3621575938032482</v>
      </c>
      <c r="BR152" s="21">
        <f>EXP(-LN(2)/2)*BR151+(1-EXP(-LN(2)/2))/(LN(2)/2)*BL152*BO152*VLOOKUP('Données projet'!$B$11,Paramètres!$A$1:$I$89,3,0)*0.475*44/12</f>
        <v>1.9192657156820797E-13</v>
      </c>
      <c r="BS152" s="22">
        <f t="shared" si="232"/>
        <v>31.216903102385501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projet'!$A$123:$I$143,2,0)</f>
        <v>#N/A</v>
      </c>
      <c r="BW152" s="12" t="e">
        <f>VLOOKUP(A152,'Données projet'!$A$123:$I$143,9,0)</f>
        <v>#N/A</v>
      </c>
      <c r="BX152" s="12">
        <f t="array" ref="BX152">INDEX(BW:BW,MIN(IF(ISNUMBER(BW152:BW348),ROW(BW152:BW348),"")))</f>
        <v>0</v>
      </c>
      <c r="BY152" s="12">
        <f>IF('Données projet'!$A$124&gt;35,BY151+BX152-CG151,IF(A152&lt;'Données projet'!$A$124,$BV$205^A152,IF(A152='Données projet'!$A$124,'Données projet'!$B$124,BY151+BX152-CG151)))</f>
        <v>0</v>
      </c>
      <c r="BZ152" s="13">
        <f>BY152*VLOOKUP('Données projet'!$B$12,Paramètres!$A$1:$I$89,3,0)*VLOOKUP('Données projet'!$B$12,Paramètres!$A$1:$I$89,5,0)</f>
        <v>0</v>
      </c>
      <c r="CA152" s="13" t="e">
        <f t="shared" si="292"/>
        <v>#NUM!</v>
      </c>
      <c r="CB152" s="20" t="e">
        <f t="shared" si="233"/>
        <v>#NUM!</v>
      </c>
      <c r="CC152" s="59" t="e">
        <f t="shared" si="234"/>
        <v>#NUM!</v>
      </c>
      <c r="CD152" s="59">
        <f ca="1">AVERAGE(OFFSET($CC$3,0,0,'Données projet'!$E$12+1,1))-AVERAGE(OFFSET($H$3,0,0,'Données projet'!$E$12+1,1))</f>
        <v>322.93502595881938</v>
      </c>
      <c r="CE152" s="59">
        <f t="shared" si="293"/>
        <v>302.67072119588164</v>
      </c>
      <c r="CF152" s="15">
        <f>IF(ISNA(VLOOKUP(A152,'Données projet'!$A$123:$I$143,3,0)),0,VLOOKUP(A152,'Données projet'!$A$123:$I$143,3,0))</f>
        <v>0</v>
      </c>
      <c r="CG152" s="15">
        <f>IF(ISNA(VLOOKUP(A152,'Données projet'!$A$123:$I$143,4,0)),0,VLOOKUP(A152,'Données projet'!$A$123:$I$143,4,0))</f>
        <v>0</v>
      </c>
      <c r="CH152" s="16">
        <f>IF(ISNA(VLOOKUP(A152,'Données projet'!$A$123:$I$143,5,0)),0%,VLOOKUP(A152,'Données projet'!$A$123:$I$143,5,0)*VLOOKUP('Données projet'!$B$12,Paramètres!$A$1:$I$89,7,0))</f>
        <v>0</v>
      </c>
      <c r="CI152" s="16">
        <f>IF(ISNA(VLOOKUP(A152,'Données projet'!$A$123:$I$143,6,0)),0%,VLOOKUP(A152,'Données projet'!$A$123:$I$143,6,0)*VLOOKUP('Données projet'!$B$12,Paramètres!$A$1:$I$89,7,0))</f>
        <v>0</v>
      </c>
      <c r="CJ152" s="16">
        <f>IF(ISNA(VLOOKUP(A152,'Données projet'!$A$123:$I$143,7,0)),0%,VLOOKUP(A152,'Données projet'!$A$123:$I$143,7,0))</f>
        <v>0</v>
      </c>
      <c r="CK152" s="21">
        <f>EXP(-LN(2)/35)*CK151+(1-EXP(-LN(2)/35))/(LN(2)/35)*CG152*CH152*VLOOKUP('Données projet'!$B$12,Paramètres!$A$1:$I$89,3,0)*0.475*44/12</f>
        <v>44.37934025465669</v>
      </c>
      <c r="CL152" s="21">
        <f>EXP(-LN(2)/25)*CL151+(1-EXP(-LN(2)/25))/(LN(2)/25)*Calculateur!CG152*Calculateur!CI152*VLOOKUP('Données projet'!$B$12,Paramètres!$A$1:$I$89,3,0)*0.475*44/12</f>
        <v>10.760938536534221</v>
      </c>
      <c r="CM152" s="21">
        <f>EXP(-LN(2)/2)*CM151+(1-EXP(-LN(2)/2))/(LN(2)/2)*CG152*CJ152*VLOOKUP('Données projet'!$B$12,Paramètres!$A$1:$I$89,3,0)*0.475*44/12</f>
        <v>0</v>
      </c>
      <c r="CN152" s="22">
        <f t="shared" si="235"/>
        <v>55.140278791190909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>
        <f>VLOOKUP(A152,'Données projet'!$A$149:$I$169,2,0)</f>
        <v>303.18589743589746</v>
      </c>
      <c r="CR152" s="12">
        <f>VLOOKUP(A152,'Données projet'!$A$149:$I$169,9,0)</f>
        <v>5.1063034188034209</v>
      </c>
      <c r="CS152" s="12">
        <f t="array" ref="CS152">INDEX(CR:CR,MIN(IF(ISNUMBER(CR152:CR348),ROW(CR152:CR348),"")))</f>
        <v>5.1063034188034209</v>
      </c>
      <c r="CT152" s="12">
        <f>IF('Données projet'!$A$150&gt;35,CT151+CS152-DB151,IF(A152&lt;'Données projet'!$A$150,$CQ$205^A152,IF(A152='Données projet'!$A$150,'Données projet'!$B$150,CT151+CS152-DB151)))</f>
        <v>303.18589743589695</v>
      </c>
      <c r="CU152" s="17">
        <f>CT152*VLOOKUP('Données projet'!$B$13,Paramètres!$A$1:$I$89,3,0)*VLOOKUP('Données projet'!$B$13,Paramètres!$A$1:$I$89,5,0)</f>
        <v>307.43049999999948</v>
      </c>
      <c r="CV152" s="13">
        <f t="shared" si="294"/>
        <v>72.731956636788439</v>
      </c>
      <c r="CW152" s="20">
        <f t="shared" si="236"/>
        <v>662.11627864240563</v>
      </c>
      <c r="CX152" s="59">
        <f t="shared" si="237"/>
        <v>955.44961197573889</v>
      </c>
      <c r="CY152" s="59">
        <f ca="1">AVERAGE(OFFSET($CX$3,0,0,'Données projet'!$E$13+1,1))-AVERAGE(OFFSET($H$3,0,0,'Données projet'!$E$13+1,1))</f>
        <v>250.31277422753283</v>
      </c>
      <c r="CZ152" s="59">
        <f t="shared" si="295"/>
        <v>159.20429420478047</v>
      </c>
      <c r="DA152" s="15">
        <f>IF(ISNA(VLOOKUP(A152,'Données projet'!$A$149:$I$169,3,0)),0,VLOOKUP(A152,'Données projet'!$A$149:$I$169,3,0))</f>
        <v>12</v>
      </c>
      <c r="DB152" s="15">
        <f>IF(ISNA(VLOOKUP(A152,'Données projet'!$A$149:$I$169,4,0)),0,VLOOKUP(A152,'Données projet'!$A$149:$I$169,4,0))</f>
        <v>120.50641025641026</v>
      </c>
      <c r="DC152" s="16">
        <f>IF(ISNA(VLOOKUP(A152,'Données projet'!$A$149:$I$169,5,0)),0%,VLOOKUP(A152,'Données projet'!$A$149:$I$169,5,0)*VLOOKUP('Données projet'!$B$13,Paramètres!$A$1:$I$89,7,0))</f>
        <v>0.38700000000000001</v>
      </c>
      <c r="DD152" s="16">
        <f>IF(ISNA(VLOOKUP(A152,'Données projet'!$A$149:$I$169,6,0)),0%,VLOOKUP(A152,'Données projet'!$A$149:$I$169,6,0)*VLOOKUP('Données projet'!$B$13,Paramètres!$A$1:$I$89,7,0))</f>
        <v>0</v>
      </c>
      <c r="DE152" s="16">
        <f>IF(ISNA(VLOOKUP(A152,'Données projet'!$A$149:$I$169,7,0)),0%,VLOOKUP(A152,'Données projet'!$A$149:$I$169,7,0))</f>
        <v>0</v>
      </c>
      <c r="DF152" s="21">
        <f>EXP(-LN(2)/35)*DF151+(1-EXP(-LN(2)/35))/(LN(2)/35)*DB152*DC152*VLOOKUP('Données projet'!$B$13,Paramètres!$A$1:$I$89,3,0)*0.475*44/12</f>
        <v>95.602128758127037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238"/>
        <v>95.602128758127037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projet'!$A$175:$I$195,2,0)</f>
        <v>#N/A</v>
      </c>
      <c r="DM152" s="12" t="e">
        <f>VLOOKUP(A152,'Données projet'!$A$175:$I$195,9,0)</f>
        <v>#N/A</v>
      </c>
      <c r="DN152" s="12">
        <f t="array" ref="DN152">INDEX(DM:DM,MIN(IF(ISNUMBER(DM152:DM348),ROW(DM152:DM348),"")))</f>
        <v>0</v>
      </c>
      <c r="DO152" s="12">
        <f>IF('Données projet'!$A$176&gt;35,DO151+DN152-DW151,IF(A152&lt;'Données projet'!$A$176,$DL$205^A152,IF(A152='Données projet'!$A$176,'Données projet'!$B$176,DO151+DN152-DW151)))</f>
        <v>-2.8421709430404007E-13</v>
      </c>
      <c r="DP152" s="17">
        <f>DO152*VLOOKUP('Données projet'!$B$14,Paramètres!$A$1:$I$89,3,0)*VLOOKUP('Données projet'!$B$14,Paramètres!$A$1:$I$89,5,0)</f>
        <v>-2.0838797354372215E-13</v>
      </c>
      <c r="DQ152" s="13" t="e">
        <f t="shared" si="296"/>
        <v>#NUM!</v>
      </c>
      <c r="DR152" s="20" t="e">
        <f t="shared" si="239"/>
        <v>#NUM!</v>
      </c>
      <c r="DS152" s="59" t="e">
        <f t="shared" si="240"/>
        <v>#NUM!</v>
      </c>
      <c r="DT152" s="59">
        <f ca="1">AVERAGE(OFFSET($DS$3,0,0,'Données projet'!$E$14+1,1))-AVERAGE(OFFSET($H$3,0,0,'Données projet'!$E$14+1,1))</f>
        <v>296.91321813251051</v>
      </c>
      <c r="DU152" s="59">
        <f t="shared" si="297"/>
        <v>291.0718079639509</v>
      </c>
      <c r="DV152" s="15">
        <f>IF(ISNA(VLOOKUP(A152,'Données projet'!$A$175:$I$195,3,0)),0,VLOOKUP(A152,'Données projet'!$A$175:$I$195,3,0))</f>
        <v>0</v>
      </c>
      <c r="DW152" s="15">
        <f>IF(ISNA(VLOOKUP(A152,'Données projet'!$A$175:$I$195,4,0)),0,VLOOKUP(A152,'Données projet'!$A$175:$I$195,4,0))</f>
        <v>0</v>
      </c>
      <c r="DX152" s="16">
        <f>IF(ISNA(VLOOKUP(A152,'Données projet'!$A$175:$I$195,5,0)),0%,VLOOKUP(A152,'Données projet'!$A$175:$I$195,5,0)*VLOOKUP('Données projet'!$B$14,Paramètres!$A$1:$I$89,7,0))</f>
        <v>0</v>
      </c>
      <c r="DY152" s="16">
        <f>IF(ISNA(VLOOKUP(A152,'Données projet'!$A$175:$I$195,6,0)),0%,VLOOKUP(A152,'Données projet'!$A$175:$I$195,6,0)*VLOOKUP('Données projet'!$B$14,Paramètres!$A$1:$I$89,7,0))</f>
        <v>0</v>
      </c>
      <c r="DZ152" s="16">
        <f>IF(ISNA(VLOOKUP(A152,'Données projet'!$A$175:$I$195,7,0)),0%,VLOOKUP(A152,'Données projet'!$A$175:$I$195,7,0))</f>
        <v>0</v>
      </c>
      <c r="EA152" s="21">
        <f>EXP(-LN(2)/35)*EA151+(1-EXP(-LN(2)/35))/(LN(2)/35)*DW152*DX152*VLOOKUP('Données projet'!$B$14,Paramètres!$A$1:$I$89,3,0)*0.475*44/12</f>
        <v>44.231954559727235</v>
      </c>
      <c r="EB152" s="21">
        <f>EXP(-LN(2)/25)*EB151+(1-EXP(-LN(2)/25))/(LN(2)/25)*Calculateur!DW152*Calculateur!DY152*VLOOKUP('Données projet'!$B$14,Paramètres!$A$1:$I$89,3,0)*0.475*44/12</f>
        <v>0.79050830447963805</v>
      </c>
      <c r="EC152" s="21">
        <f>EXP(-LN(2)/2)*EC151+(1-EXP(-LN(2)/2))/(LN(2)/2)*DW152*DZ152*VLOOKUP('Données projet'!$B$14,Paramètres!$A$1:$I$89,3,0)*0.475*44/12</f>
        <v>0</v>
      </c>
      <c r="ED152" s="22">
        <f t="shared" si="241"/>
        <v>45.022462864206872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projet'!$A$201:$I$221,2,0)</f>
        <v>#N/A</v>
      </c>
      <c r="EH152" s="12" t="e">
        <f>VLOOKUP(A152,'Données projet'!$A$201:$I$221,9,0)</f>
        <v>#N/A</v>
      </c>
      <c r="EI152" s="12">
        <f t="array" ref="EI152">INDEX(EH:EH,MIN(IF(ISNUMBER(EH152:EH348),ROW(EH152:EH348),"")))</f>
        <v>0</v>
      </c>
      <c r="EJ152" s="12">
        <f>IF('Données projet'!$A$202&gt;35,EJ151+EI152-ER151,IF(A152&lt;'Données projet'!$A$202,$EG$205^A152,IF(A152='Données projet'!$A$202,'Données projet'!$B$202,EJ151+EI152-ER151)))</f>
        <v>5.1159076974727213E-13</v>
      </c>
      <c r="EK152" s="17">
        <f>EJ152*VLOOKUP('Données projet'!$B$15,Paramètres!$A$1:$I$89,3,0)*VLOOKUP('Données projet'!$B$15,Paramètres!$A$1:$I$89,5,0)</f>
        <v>2.3942448024172334E-13</v>
      </c>
      <c r="EL152" s="13">
        <f t="shared" si="298"/>
        <v>3.2492669905861755E-12</v>
      </c>
      <c r="EM152" s="20">
        <f t="shared" si="242"/>
        <v>6.0761376450252565E-12</v>
      </c>
      <c r="EN152" s="59">
        <f t="shared" si="243"/>
        <v>293.3333333333394</v>
      </c>
      <c r="EO152" s="59">
        <f ca="1">AVERAGE(OFFSET($EN$3,0,0,'Données projet'!$E$15+1,1))-AVERAGE(OFFSET($H$3,0,0,'Données projet'!$E$15+1,1))</f>
        <v>147.64256291235483</v>
      </c>
      <c r="EP152" s="59">
        <f t="shared" si="299"/>
        <v>70.859031694091868</v>
      </c>
      <c r="EQ152" s="15">
        <f>IF(ISNA(VLOOKUP(A152,'Données projet'!$A$201:$I$221,3,0)),0,VLOOKUP(A152,'Données projet'!$A$201:$I$221,3,0))</f>
        <v>0</v>
      </c>
      <c r="ER152" s="15">
        <f>IF(ISNA(VLOOKUP(A152,'Données projet'!$A$201:$I$221,4,0)),0,VLOOKUP(A152,'Données projet'!$A$201:$I$221,4,0))</f>
        <v>0</v>
      </c>
      <c r="ES152" s="16">
        <f>IF(ISNA(VLOOKUP(A152,'Données projet'!$A$201:$I$221,5,0)),0%,VLOOKUP(A152,'Données projet'!$A$201:$I$221,5,0)*VLOOKUP('Données projet'!$B$15,Paramètres!$A$1:$I$89,7,0))</f>
        <v>0</v>
      </c>
      <c r="ET152" s="16">
        <f>IF(ISNA(VLOOKUP(A152,'Données projet'!$A$201:$I$221,6,0)),0%,VLOOKUP(A152,'Données projet'!$A$201:$I$221,6,0)*VLOOKUP('Données projet'!$B$15,Paramètres!$A$1:$I$89,7,0))</f>
        <v>0</v>
      </c>
      <c r="EU152" s="16">
        <f>IF(ISNA(VLOOKUP(A152,'Données projet'!$A$201:$I$221,7,0)),0%,VLOOKUP(A152,'Données projet'!$A$201:$I$221,7,0))</f>
        <v>0</v>
      </c>
      <c r="EV152" s="21">
        <f>EXP(-LN(2)/35)*EV151+(1-EXP(-LN(2)/35))/(LN(2)/35)*ER152*ES152*VLOOKUP('Données projet'!$B$15,Paramètres!$A$1:$I$89,3,0)*0.475*44/12</f>
        <v>60.554243013464216</v>
      </c>
      <c r="EW152" s="21">
        <f>EXP(-LN(2)/25)*EW151+(1-EXP(-LN(2)/25))/(LN(2)/25)*Calculateur!ER152*Calculateur!ET152*VLOOKUP('Données projet'!$B$15,Paramètres!$A$1:$I$89,3,0)*0.475*44/12</f>
        <v>10.967506300998902</v>
      </c>
      <c r="EX152" s="21">
        <f>EXP(-LN(2)/2)*EX151+(1-EXP(-LN(2)/2))/(LN(2)/2)*ER152*EU152*VLOOKUP('Données projet'!$B$15,Paramètres!$A$1:$I$89,3,0)*0.475*44/12</f>
        <v>1.7498673748696669E-5</v>
      </c>
      <c r="EY152" s="22">
        <f t="shared" si="244"/>
        <v>71.521766813136864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projet'!$A$227:$I$247,2,0)</f>
        <v>#N/A</v>
      </c>
      <c r="FC152" s="12" t="e">
        <f>VLOOKUP(A152,'Données projet'!$A$227:$I$247,9,0)</f>
        <v>#N/A</v>
      </c>
      <c r="FD152" s="12">
        <f t="array" ref="FD152">INDEX(FC:FC,MIN(IF(ISNUMBER(FC152:FC348),ROW(FC152:FC348),"")))</f>
        <v>0</v>
      </c>
      <c r="FE152" s="12">
        <f>IF('Données projet'!$A$228&gt;35,FE151+FD152-FM151,IF(A152&lt;'Données projet'!$A$228,$FB$205^A152,IF(A152='Données projet'!$A$228,'Données projet'!$B$228,FE151+FD152-FM151)))</f>
        <v>8.5265128291212022E-14</v>
      </c>
      <c r="FF152" s="17">
        <f>FE152*VLOOKUP('Données projet'!$B$16,Paramètres!$A$1:$I$89,3,0)*VLOOKUP('Données projet'!$B$16,Paramètres!$A$1:$I$89,5,0)</f>
        <v>8.9119112089974823E-14</v>
      </c>
      <c r="FG152" s="13">
        <f t="shared" si="300"/>
        <v>1.3568952080113142E-12</v>
      </c>
      <c r="FH152" s="20">
        <f t="shared" si="245"/>
        <v>2.5184749408430782E-12</v>
      </c>
      <c r="FI152" s="59">
        <f t="shared" si="246"/>
        <v>293.33333333333582</v>
      </c>
      <c r="FJ152" s="59">
        <f ca="1">AVERAGE(OFFSET($FI$3,0,0,'Données projet'!$E$16+1,1))-AVERAGE(OFFSET($H$3,0,0,'Données projet'!$E$16+1,1))</f>
        <v>259.03906550253788</v>
      </c>
      <c r="FK152" s="59">
        <f t="shared" si="301"/>
        <v>235.54542903570831</v>
      </c>
      <c r="FL152" s="15">
        <f>IF(ISNA(VLOOKUP(A152,'Données projet'!$A$227:$I$247,3,0)),0,VLOOKUP(A152,'Données projet'!$A$227:$I$247,3,0))</f>
        <v>0</v>
      </c>
      <c r="FM152" s="15">
        <f>IF(ISNA(VLOOKUP(A152,'Données projet'!$A$227:$I$247,4,0)),0,VLOOKUP(A152,'Données projet'!$A$227:$I$247,4,0))</f>
        <v>0</v>
      </c>
      <c r="FN152" s="16">
        <f>IF(ISNA(VLOOKUP(A152,'Données projet'!$A$227:$I$247,5,0)),0%,VLOOKUP(A152,'Données projet'!$A$227:$I$247,5,0)*VLOOKUP('Données projet'!$B$16,Paramètres!$A$1:$I$89,7,0))</f>
        <v>0</v>
      </c>
      <c r="FO152" s="16">
        <f>IF(ISNA(VLOOKUP(A152,'Données projet'!$A$227:$I$247,6,0)),0%,VLOOKUP(A152,'Données projet'!$A$227:$I$247,6,0)*VLOOKUP('Données projet'!$B$16,Paramètres!$A$1:$I$89,7,0))</f>
        <v>0</v>
      </c>
      <c r="FP152" s="16">
        <f>IF(ISNA(VLOOKUP(A152,'Données projet'!$A$227:$I$247,7,0)),0%,VLOOKUP(A152,'Données projet'!$A$227:$I$247,7,0))</f>
        <v>0</v>
      </c>
      <c r="FQ152" s="21">
        <f>EXP(-LN(2)/35)*FQ151+(1-EXP(-LN(2)/35))/(LN(2)/35)*FM152*FN152*VLOOKUP('Données projet'!$B$16,Paramètres!$A$1:$I$89,3,0)*0.475*44/12</f>
        <v>26.726997189446053</v>
      </c>
      <c r="FR152" s="21">
        <f>EXP(-LN(2)/25)*FR151+(1-EXP(-LN(2)/25))/(LN(2)/25)*Calculateur!FM152*Calculateur!FO152*VLOOKUP('Données projet'!$B$16,Paramètres!$A$1:$I$89,3,0)*0.475*44/12</f>
        <v>15.087720469766159</v>
      </c>
      <c r="FS152" s="21">
        <f>EXP(-LN(2)/2)*FS151+(1-EXP(-LN(2)/2))/(LN(2)/2)*FM152*FP152*VLOOKUP('Données projet'!$B$16,Paramètres!$A$1:$I$89,3,0)*0.475*44/12</f>
        <v>0</v>
      </c>
      <c r="FT152" s="22">
        <f t="shared" si="247"/>
        <v>41.814717659212214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projet'!$A$253:$I$273,2,0)</f>
        <v>#N/A</v>
      </c>
      <c r="FX152" s="12" t="e">
        <f>VLOOKUP(A152,'Données projet'!$A$253:$I$273,9,0)</f>
        <v>#N/A</v>
      </c>
      <c r="FY152" s="12">
        <f t="array" ref="FY152">INDEX(FX:FX,MIN(IF(ISNUMBER(FX152:FX348),ROW(FX152:FX348),"")))</f>
        <v>0</v>
      </c>
      <c r="FZ152" s="12">
        <f>IF('Données projet'!$A$254&gt;35,FZ151+FY152-GH151,IF(A152&lt;'Données projet'!$A$254,$FW$205^A152,IF(A152='Données projet'!$A$254,'Données projet'!$B$254,FZ151+FY152-GH151)))</f>
        <v>-1.7053025658242404E-13</v>
      </c>
      <c r="GA152" s="17">
        <f>FZ152*VLOOKUP('Données projet'!$B$17,Paramètres!$A$1:$I$89,3,0)*VLOOKUP('Données projet'!$B$17,Paramètres!$A$1:$I$89,5,0)</f>
        <v>-1.4897523215040567E-13</v>
      </c>
      <c r="GB152" s="13" t="e">
        <f t="shared" si="302"/>
        <v>#NUM!</v>
      </c>
      <c r="GC152" s="20" t="e">
        <f t="shared" si="248"/>
        <v>#NUM!</v>
      </c>
      <c r="GD152" s="59" t="e">
        <f t="shared" si="249"/>
        <v>#NUM!</v>
      </c>
      <c r="GE152" s="59">
        <f ca="1">AVERAGE(OFFSET($GD$3,0,0,'Données projet'!$E$17+1,1))-AVERAGE(OFFSET($H$3,0,0,'Données projet'!$E$17+1,1))</f>
        <v>245.1983232777614</v>
      </c>
      <c r="GF152" s="59">
        <f t="shared" si="303"/>
        <v>242.34010522344573</v>
      </c>
      <c r="GG152" s="15">
        <f>IF(ISNA(VLOOKUP(A152,'Données projet'!$A$253:$I$273,3,0)),0,VLOOKUP(A152,'Données projet'!$A$253:$I$273,3,0))</f>
        <v>0</v>
      </c>
      <c r="GH152" s="15">
        <f>IF(ISNA(VLOOKUP(A152,'Données projet'!$A$253:$I$273,4,0)),0,VLOOKUP(A152,'Données projet'!$A$253:$I$273,4,0))</f>
        <v>0</v>
      </c>
      <c r="GI152" s="16">
        <f>IF(ISNA(VLOOKUP(A152,'Données projet'!$A$253:$I$273,5,0)),0%,VLOOKUP(A152,'Données projet'!$A$253:$I$273,5,0)*VLOOKUP('Données projet'!$B$17,Paramètres!$A$1:$I$89,7,0))</f>
        <v>0</v>
      </c>
      <c r="GJ152" s="16">
        <f>IF(ISNA(VLOOKUP(A152,'Données projet'!$A$253:$I$273,6,0)),0%,VLOOKUP(A152,'Données projet'!$A$253:$I$273,6,0)*VLOOKUP('Données projet'!$B$17,Paramètres!$A$1:$I$89,7,0))</f>
        <v>0</v>
      </c>
      <c r="GK152" s="16">
        <f>IF(ISNA(VLOOKUP(A152,'Données projet'!$A$253:$I$273,7,0)),0%,VLOOKUP(A152,'Données projet'!$A$253:$I$273,7,0))</f>
        <v>0</v>
      </c>
      <c r="GL152" s="21">
        <f>EXP(-LN(2)/35)*GL151+(1-EXP(-LN(2)/35))/(LN(2)/35)*GH152*GI152*VLOOKUP('Données projet'!$B$17,Paramètres!$A$1:$I$89,3,0)*0.475*44/12</f>
        <v>31.421252201595522</v>
      </c>
      <c r="GM152" s="21">
        <f>EXP(-LN(2)/25)*GM151+(1-EXP(-LN(2)/25))/(LN(2)/25)*Calculateur!GH152*Calculateur!GJ152*VLOOKUP('Données projet'!$B$17,Paramètres!$A$1:$I$89,3,0)*0.475*44/12</f>
        <v>3.2148256705852472</v>
      </c>
      <c r="GN152" s="21">
        <f>EXP(-LN(2)/2)*GN151+(1-EXP(-LN(2)/2))/(LN(2)/2)*GH152*GK152*VLOOKUP('Données projet'!$B$17,Paramètres!$A$1:$I$89,3,0)*0.475*44/12</f>
        <v>0</v>
      </c>
      <c r="GO152" s="21">
        <f t="shared" si="250"/>
        <v>34.63607787218077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projet'!$A$279:$I$299,2,0)</f>
        <v>#N/A</v>
      </c>
      <c r="GS152" s="12" t="e">
        <f>VLOOKUP(A152,'Données projet'!$A$279:$I$299,9,0)</f>
        <v>#N/A</v>
      </c>
      <c r="GT152" s="12">
        <f t="array" ref="GT152">INDEX(GS:GS,MIN(IF(ISNUMBER(GS152:GS348),ROW(GS152:GS348),"")))</f>
        <v>0</v>
      </c>
      <c r="GU152" s="12">
        <f>IF('Données projet'!$A$280&gt;35,GU151+GT152-HC151,IF(A152&lt;'Données projet'!$A$280,$GR$205^A152,IF(A152='Données projet'!$A$280,'Données projet'!$B$280,GU151+GT152-HC151)))</f>
        <v>-1.1368683772161603E-13</v>
      </c>
      <c r="GV152" s="17">
        <f>GU152*VLOOKUP('Données projet'!$B$18,Paramètres!$A$1:$I$89,3,0)*VLOOKUP('Données projet'!$B$18,Paramètres!$A$1:$I$89,5,0)</f>
        <v>-4.5815795601811263E-14</v>
      </c>
      <c r="GW152" s="13" t="e">
        <f t="shared" si="304"/>
        <v>#NUM!</v>
      </c>
      <c r="GX152" s="20" t="e">
        <f t="shared" si="251"/>
        <v>#NUM!</v>
      </c>
      <c r="GY152" s="59" t="e">
        <f t="shared" si="252"/>
        <v>#NUM!</v>
      </c>
      <c r="GZ152" s="59">
        <f ca="1">AVERAGE(OFFSET($GY$3,0,0,'Données projet'!$E$18+1,1))-AVERAGE(OFFSET($H$3,0,0,'Données projet'!$E$18+1,1))</f>
        <v>324.36162935850876</v>
      </c>
      <c r="HA152" s="59">
        <f t="shared" si="305"/>
        <v>265.23571072429735</v>
      </c>
      <c r="HB152" s="15">
        <f>IF(ISNA(VLOOKUP(A152,'Données projet'!$A$279:$I$299,3,0)),0,VLOOKUP(A152,'Données projet'!$A$279:$I$299,3,0))</f>
        <v>0</v>
      </c>
      <c r="HC152" s="15">
        <f>IF(ISNA(VLOOKUP(A152,'Données projet'!$A$279:$I$299,4,0)),0,VLOOKUP(A152,'Données projet'!$A$279:$I$299,4,0))</f>
        <v>0</v>
      </c>
      <c r="HD152" s="16">
        <f>IF(ISNA(VLOOKUP(A152,'Données projet'!$A$279:$I$299,5,0)),0%,VLOOKUP(A152,'Données projet'!$A$279:$I$299,5,0)*VLOOKUP('Données projet'!$B$18,Paramètres!$A$1:$I$89,7,0))</f>
        <v>0</v>
      </c>
      <c r="HE152" s="16">
        <f>IF(ISNA(VLOOKUP(A152,'Données projet'!$A$279:$I$299,6,0)),0%,VLOOKUP(A152,'Données projet'!$A$279:$I$299,6,0)*VLOOKUP('Données projet'!$B$18,Paramètres!$A$1:$I$89,7,0))</f>
        <v>0</v>
      </c>
      <c r="HF152" s="16">
        <f>IF(ISNA(VLOOKUP($A152,'Données projet'!$A$279:$I$299,7,0)),0%,VLOOKUP($A152,'Données projet'!$A$279:$I$299,7,0))</f>
        <v>0</v>
      </c>
      <c r="HG152" s="21">
        <f>EXP(-LN(2)/35)*HG151+(1-EXP(-LN(2)/35))/(LN(2)/35)*HC152*HD152*VLOOKUP('Données projet'!$B$18,Paramètres!$A$1:$I$89,3,0)*0.475*44/12</f>
        <v>60.211333324621272</v>
      </c>
      <c r="HH152" s="21">
        <f>EXP(-LN(2)/25)*HH151+(1-EXP(-LN(2)/25))/(LN(2)/25)*Calculateur!HC152*Calculateur!HE152*VLOOKUP('Données projet'!$B$18,Paramètres!$A$1:$I$89,3,0)*0.475*44/12</f>
        <v>3.5754611688745852</v>
      </c>
      <c r="HI152" s="21">
        <f>EXP(-LN(2)/2)*HI151+(1-EXP(-LN(2)/2))/(LN(2)/2)*HC152*HF152*VLOOKUP('Données projet'!$B$18,Paramètres!$A$1:$I$89,3,0)*0.475*44/12</f>
        <v>3.5179487579304533E-10</v>
      </c>
      <c r="HJ152" s="22">
        <f t="shared" si="253"/>
        <v>63.786794493847651</v>
      </c>
      <c r="HK152" s="74">
        <f>('Scénario référence'!$F$8+'Scénario référence'!$F$9+'Scénario référence'!$B$17+'Scénario référence'!$B$9+'Scénario référence'!$B$10)*70+IF((45+25*(1-EXP(-0.0175*$A152)))&lt;70,'Scénario référence'!$B$16*(45+25*(1-EXP(-0.0175*$A152))),70*'Scénario référence'!$B$16)+IF((32+38*(1-EXP(-0.0175*$A152)))&lt;70,'Scénario référence'!$B$18*(32+38*(1-EXP(-0.0175*$A152))),70*'Scénario référence'!$B$18)</f>
        <v>70</v>
      </c>
      <c r="HL152" s="12">
        <f>IF($A152&gt;30,10,('Scénario référence'!$B$16+'Scénario référence'!$B$17+'Scénario référence'!$B$18+'Scénario référence'!$B$9+'Scénario référence'!$B$10)*$A152*10/30+('Scénario référence'!$F$8+'Scénario référence'!$F$9)*10)</f>
        <v>10</v>
      </c>
      <c r="HM152" s="12" t="e">
        <f>VLOOKUP($A152,'Données projet'!$A$304:$I$324,2,0)</f>
        <v>#N/A</v>
      </c>
      <c r="HN152" s="12" t="e">
        <f>VLOOKUP($A152,'Données projet'!$A$304:$I$324,9,0)</f>
        <v>#N/A</v>
      </c>
      <c r="HO152" s="12">
        <f t="array" ref="HO152">INDEX(HN:HN,MIN(IF(ISNUMBER(HN152:HN348),ROW(HN152:HN348),"")))</f>
        <v>0</v>
      </c>
      <c r="HP152" s="12">
        <f>IF('Données projet'!$A$304&gt;35,HP151+HO152-HX151,IF($A152&lt;'Données projet'!$A$304,$CQ$205^$A152,IF($A152='Données projet'!$A$304,'Données projet'!$B$304,HP151+HO152-HX151)))</f>
        <v>0</v>
      </c>
      <c r="HQ152" s="17">
        <f>HP152*VLOOKUP('Données projet'!$B$19,Paramètres!$A$1:$I$89,3,0)*VLOOKUP('Données projet'!$B$19,Paramètres!$A$1:$I$89,5,0)</f>
        <v>0</v>
      </c>
      <c r="HR152" s="13" t="e">
        <f t="shared" si="306"/>
        <v>#NUM!</v>
      </c>
      <c r="HS152" s="14" t="e">
        <f t="shared" si="254"/>
        <v>#NUM!</v>
      </c>
      <c r="HT152" s="59" t="e">
        <f t="shared" si="255"/>
        <v>#NUM!</v>
      </c>
      <c r="HU152" s="59">
        <f ca="1">AVERAGE(OFFSET(HT$3,0,0,'Données projet'!$E$19+1,1))-AVERAGE(OFFSET($H$3,0,0,'Données projet'!$E$19+1,1))</f>
        <v>91.60721429656013</v>
      </c>
      <c r="HV152" s="59">
        <f t="shared" si="307"/>
        <v>258.94957804210856</v>
      </c>
      <c r="HW152" s="15">
        <f>IF(ISNA(VLOOKUP($A152,'Données projet'!$A$304:$I$324,3,0)),0,VLOOKUP($A152,'Données projet'!$A$304:$I$324,3,0))</f>
        <v>0</v>
      </c>
      <c r="HX152" s="15">
        <f>IF(ISNA(VLOOKUP($A152,'Données projet'!$A$304:$I$324,4,0)),0,VLOOKUP($A152,'Données projet'!$A$304:$I$324,4,0))</f>
        <v>0</v>
      </c>
      <c r="HY152" s="16">
        <f>IF(ISNA(VLOOKUP($A152,'Données projet'!$A$304:$I$324,5,0)),0%,VLOOKUP($A152,'Données projet'!$A$304:$I$324,5,0)*VLOOKUP('Données projet'!$B$19,Paramètres!$A$1:$I$89,7,0))</f>
        <v>0</v>
      </c>
      <c r="HZ152" s="16">
        <f>IF(ISNA(VLOOKUP($A152,'Données projet'!$A$304:$I$324,6,0)),0%,VLOOKUP($A152,'Données projet'!$A$304:$I$324,6,0)*VLOOKUP('Données projet'!$B$19,Paramètres!$A$1:$I$89,7,0))</f>
        <v>0</v>
      </c>
      <c r="IA152" s="16">
        <f>IF(ISNA(VLOOKUP($A152,'Données projet'!$A$304:$I$324,7,0)),0%,VLOOKUP($A152,'Données projet'!$A$304:$I$324,7,0))</f>
        <v>0</v>
      </c>
      <c r="IB152" s="21">
        <f>EXP(-LN(2)/35)*IB151+(1-EXP(-LN(2)/35))/(LN(2)/35)*HX152*HY152*VLOOKUP('Données projet'!$B$19,Paramètres!$A$1:$I$89,3,0)*0.475*44/12</f>
        <v>4.6733998628075923</v>
      </c>
      <c r="IC152" s="21">
        <f>EXP(-LN(2)/25)*IC151+(1-EXP(-LN(2)/25))/(LN(2)/25)*Calculateur!HX152*Calculateur!HZ152*VLOOKUP('Données projet'!$B$19,Paramètres!$A$1:$I$89,3,0)*0.475*44/12</f>
        <v>0.35901168177854725</v>
      </c>
      <c r="ID152" s="21">
        <f>EXP(-LN(2)/2)*ID151+(1-EXP(-LN(2)/2))/(LN(2)/2)*HX152*IA152*VLOOKUP('Données projet'!$B$19,Paramètres!$A$1:$I$89,3,0)*0.475*44/12</f>
        <v>7.0268054266311415E-19</v>
      </c>
      <c r="IE152" s="22">
        <f t="shared" si="256"/>
        <v>5.0324115445861395</v>
      </c>
      <c r="IF152" s="74">
        <f>('Scénario référence'!$F$8+'Scénario référence'!$F$9+'Scénario référence'!$B$17+'Scénario référence'!$B$9+'Scénario référence'!$B$10)*70+IF((45+25*(1-EXP(-0.0175*$A152)))&lt;70,'Scénario référence'!$B$16*(45+25*(1-EXP(-0.0175*$A152))),70*'Scénario référence'!$B$16)+IF((32+38*(1-EXP(-0.0175*$A152)))&lt;70,'Scénario référence'!$B$18*(32+38*(1-EXP(-0.0175*$A152))),70*'Scénario référence'!$B$18)</f>
        <v>70</v>
      </c>
      <c r="IG152" s="12">
        <f>IF($A152&gt;30,10,('Scénario référence'!$B$16+'Scénario référence'!$B$17+'Scénario référence'!$B$18+'Scénario référence'!$B$9+'Scénario référence'!$B$10)*$A152*10/30+('Scénario référence'!$F$8+'Scénario référence'!$F$9)*10)</f>
        <v>10</v>
      </c>
      <c r="IH152" s="12" t="e">
        <f>VLOOKUP($A152,'Données projet'!$A$330:$I$350,2,0)</f>
        <v>#N/A</v>
      </c>
      <c r="II152" s="12" t="e">
        <f>VLOOKUP($A152,'Données projet'!$A$330:$I$350,9,0)</f>
        <v>#N/A</v>
      </c>
      <c r="IJ152" s="12">
        <f t="array" ref="IJ152">INDEX(II:II,MIN(IF(ISNUMBER(II152:II348),ROW(II152:II348),"")))</f>
        <v>0</v>
      </c>
      <c r="IK152" s="12">
        <f>IF('Données projet'!$A$330&gt;35,IK151+IJ152-IS151,IF($A152&lt;'Données projet'!$A$330,$CQ$205^$A152,IF($A152='Données projet'!$A$330,'Données projet'!$B$330,IK151+IJ152-IS151)))</f>
        <v>0</v>
      </c>
      <c r="IL152" s="17">
        <f>IK152*VLOOKUP('Données projet'!$B$20,Paramètres!$A$1:$I$89,3,0)*VLOOKUP('Données projet'!$B$20,Paramètres!$A$1:$I$89,5,0)</f>
        <v>0</v>
      </c>
      <c r="IM152" s="13" t="e">
        <f t="shared" si="308"/>
        <v>#NUM!</v>
      </c>
      <c r="IN152" s="20" t="e">
        <f t="shared" si="257"/>
        <v>#NUM!</v>
      </c>
      <c r="IO152" s="59" t="e">
        <f t="shared" si="258"/>
        <v>#NUM!</v>
      </c>
      <c r="IP152" s="59">
        <f ca="1">AVERAGE(OFFSET(IO$3,0,0,'Données projet'!$E$20+1,1))-AVERAGE(OFFSET($H$3,0,0,'Données projet'!$E$20+1,1))</f>
        <v>91.60721429656013</v>
      </c>
      <c r="IQ152" s="59">
        <f t="shared" si="309"/>
        <v>258.94957804210856</v>
      </c>
      <c r="IR152" s="15">
        <f>IF(ISNA(VLOOKUP($A152,'Données projet'!$A$330:$I$350,3,0)),0,VLOOKUP($A152,'Données projet'!$A$330:$I$350,3,0))</f>
        <v>0</v>
      </c>
      <c r="IS152" s="15">
        <f>IF(ISNA(VLOOKUP($A152,'Données projet'!$A$330:$I$350,4,0)),0,VLOOKUP($A152,'Données projet'!$A$330:$I$350,4,0))</f>
        <v>0</v>
      </c>
      <c r="IT152" s="16">
        <f>IF(ISNA(VLOOKUP($A152,'Données projet'!$A$330:$I$350,5,0)),0%,VLOOKUP($A152,'Données projet'!$A$330:$I$350,5,0)*VLOOKUP('Données projet'!$B$20,Paramètres!$A$1:$I$89,7,0))</f>
        <v>0</v>
      </c>
      <c r="IU152" s="16">
        <f>IF(ISNA(VLOOKUP($A152,'Données projet'!$A$330:$I$350,6,0)),0%,VLOOKUP($A152,'Données projet'!$A$330:$I$350,6,0)*VLOOKUP('Données projet'!$B$20,Paramètres!$A$1:$I$89,7,0))</f>
        <v>0</v>
      </c>
      <c r="IV152" s="16">
        <f>IF(ISNA(VLOOKUP($A152,'Données projet'!$A$330:$I$350,7,0)),0%,VLOOKUP($A152,'Données projet'!$A$330:$I$350,7,0))</f>
        <v>0</v>
      </c>
      <c r="IW152" s="21">
        <f>EXP(-LN(2)/35)*IW151+(1-EXP(-LN(2)/35))/(LN(2)/35)*IS152*IT152*VLOOKUP('Données projet'!$B$20,Paramètres!$A$1:$I$89,3,0)*0.475*44/12</f>
        <v>4.6733998628075923</v>
      </c>
      <c r="IX152" s="21">
        <f>EXP(-LN(2)/25)*IX151+(1-EXP(-LN(2)/25))/(LN(2)/25)*Calculateur!IS152*Calculateur!IU152*VLOOKUP('Données projet'!$B$20,Paramètres!$A$1:$I$89,3,0)*0.475*44/12</f>
        <v>0.35901168177854725</v>
      </c>
      <c r="IY152" s="21">
        <f>EXP(-LN(2)/2)*IY151+(1-EXP(-LN(2)/2))/(LN(2)/2)*IS152*IV152*VLOOKUP('Données projet'!$B$20,Paramètres!$A$1:$I$89,3,0)*0.475*44/12</f>
        <v>7.0268054266311415E-19</v>
      </c>
      <c r="IZ152" s="22">
        <f t="shared" si="259"/>
        <v>5.0324115445861395</v>
      </c>
      <c r="JA152" s="74">
        <f>('Scénario référence'!$F$8+'Scénario référence'!$F$9+'Scénario référence'!$B$17+'Scénario référence'!$B$9+'Scénario référence'!$B$10)*70+IF((45+25*(1-EXP(-0.0175*$A152)))&lt;70,'Scénario référence'!$B$16*(45+25*(1-EXP(-0.0175*$A152))),70*'Scénario référence'!$B$16)+IF((32+38*(1-EXP(-0.0175*$A152)))&lt;70,'Scénario référence'!$B$18*(32+38*(1-EXP(-0.0175*$A152))),70*'Scénario référence'!$B$18)</f>
        <v>70</v>
      </c>
      <c r="JB152" s="12">
        <f>IF($A152&gt;30,10,('Scénario référence'!$B$16+'Scénario référence'!$B$17+'Scénario référence'!$B$18+'Scénario référence'!$B$9+'Scénario référence'!$B$10)*$A152*10/30+('Scénario référence'!$F$8+'Scénario référence'!$F$9)*10)</f>
        <v>10</v>
      </c>
      <c r="JC152" s="12" t="e">
        <f>VLOOKUP($A152,'Données projet'!$A$356:$I$376,2,0)</f>
        <v>#N/A</v>
      </c>
      <c r="JD152" s="12" t="e">
        <f>VLOOKUP($A152,'Données projet'!$A$356:$I$376,9,0)</f>
        <v>#N/A</v>
      </c>
      <c r="JE152" s="12">
        <f t="array" ref="JE152">INDEX(JD:JD,MIN(IF(ISNUMBER(JD152:JD348),ROW(JD152:JD348),"")))</f>
        <v>1.4</v>
      </c>
      <c r="JF152" s="12">
        <f>IF('Données projet'!$A$356&gt;35,JF151+JE152-JN151,IF($A152&lt;'Données projet'!$A$356,$CQ$205^$A152,IF($A152='Données projet'!$A$356,'Données projet'!$B$356,JF151+JE152-JN151)))</f>
        <v>446.59999999999872</v>
      </c>
      <c r="JG152" s="17">
        <f>JF152*VLOOKUP('Données projet'!$B$21,Paramètres!$A$1:$I$89,3,0)*VLOOKUP('Données projet'!$B$21,Paramètres!$A$1:$I$89,5,0)</f>
        <v>362.28191999999899</v>
      </c>
      <c r="JH152" s="13">
        <f t="shared" si="310"/>
        <v>84.08638739633524</v>
      </c>
      <c r="JI152" s="20">
        <f t="shared" si="260"/>
        <v>777.42480204861533</v>
      </c>
      <c r="JJ152" s="59">
        <f t="shared" si="261"/>
        <v>1070.7581353819487</v>
      </c>
      <c r="JK152" s="59">
        <f ca="1">AVERAGE(OFFSET($JJ$3,0,0,'Données projet'!$E$22+1,1))-AVERAGE(OFFSET($H$3,0,0,'Données projet'!$E$22+1,1))</f>
        <v>353.35574633294613</v>
      </c>
      <c r="JL152" s="59">
        <f t="shared" si="311"/>
        <v>170.36796666474726</v>
      </c>
      <c r="JM152" s="15">
        <f>IF(ISNA(VLOOKUP($A152,'Données projet'!$A$356:$I$376,3,0)),0,VLOOKUP($A152,'Données projet'!$A$356:$I$376,3,0))</f>
        <v>0</v>
      </c>
      <c r="JN152" s="15">
        <f>IF(ISNA(VLOOKUP($A152,'Données projet'!$A$356:$I$376,4,0)),0,VLOOKUP($A152,'Données projet'!$A$356:$I$376,4,0))</f>
        <v>0</v>
      </c>
      <c r="JO152" s="16">
        <f>IF(ISNA(VLOOKUP($A152,'Données projet'!$A$356:$I$376,5,0)),0%,VLOOKUP($A152,'Données projet'!$A$356:$I$376,5,0)*VLOOKUP('Données projet'!$B$21,Paramètres!$A$1:$I$89,7,0))</f>
        <v>0</v>
      </c>
      <c r="JP152" s="16">
        <f>IF(ISNA(VLOOKUP($A152,'Données projet'!$A$356:$I$376,6,0)),0%,VLOOKUP($A152,'Données projet'!$A$356:$I$376,6,0)*VLOOKUP('Données projet'!$B$21,Paramètres!$A$1:$I$89,7,0))</f>
        <v>0</v>
      </c>
      <c r="JQ152" s="16">
        <f>IF(ISNA(VLOOKUP($A152,'Données projet'!$A$356:$I$376,7,0)),0%,VLOOKUP($A152,'Données projet'!$A$356:$I$376,7,0))</f>
        <v>0</v>
      </c>
      <c r="JR152" s="21">
        <f>EXP(-LN(2)/35)*JR151+(1-EXP(-LN(2)/35))/(LN(2)/35)*JN152*JO152*VLOOKUP('Données projet'!$B$21,Paramètres!$A$1:$I$89,3,0)*0.475*44/12</f>
        <v>4.4388947250389021</v>
      </c>
      <c r="JS152" s="21">
        <f>EXP(-LN(2)/25)*JS151+(1-EXP(-LN(2)/25))/(LN(2)/25)*Calculateur!JN152*Calculateur!JP152*VLOOKUP('Données projet'!$B$21,Paramètres!$A$1:$I$89,3,0)*0.475*44/12</f>
        <v>7.8120683730898763</v>
      </c>
      <c r="JT152" s="21">
        <f>EXP(-LN(2)/2)*JT151+(1-EXP(-LN(2)/2))/(LN(2)/2)*JN152*JQ152*VLOOKUP('Données projet'!$B$21,Paramètres!$A$1:$I$89,3,0)*0.475*44/12</f>
        <v>2.1188135547438834E-3</v>
      </c>
      <c r="JU152" s="18">
        <f t="shared" si="262"/>
        <v>12.253081911683523</v>
      </c>
      <c r="JV152" s="74">
        <f>('Scénario référence'!$F$8+'Scénario référence'!$F$9+'Scénario référence'!$B$17+'Scénario référence'!$B$9+'Scénario référence'!$B$10)*70+IF((45+25*(1-EXP(-0.0175*$A152)))&lt;70,'Scénario référence'!$B$16*(45+25*(1-EXP(-0.0175*$A152))),70*'Scénario référence'!$B$16)+IF((32+38*(1-EXP(-0.0175*$A152)))&lt;70,'Scénario référence'!$B$18*(32+38*(1-EXP(-0.0175*$A152))),70*'Scénario référence'!$B$18)</f>
        <v>70</v>
      </c>
      <c r="JW152" s="12">
        <f>IF($A152&gt;30,10,('Scénario référence'!$B$16+'Scénario référence'!$B$17+'Scénario référence'!$B$18+'Scénario référence'!$B$9+'Scénario référence'!$B$10)*$A152*10/30+('Scénario référence'!$F$8+'Scénario référence'!$F$9)*10)</f>
        <v>10</v>
      </c>
      <c r="JX152" s="12" t="e">
        <f>VLOOKUP($A152,'Données projet'!$A$382:$I$402,2,0)</f>
        <v>#N/A</v>
      </c>
      <c r="JY152" s="12" t="e">
        <f>VLOOKUP($A152,'Données projet'!$A$382:$I$402,9,0)</f>
        <v>#N/A</v>
      </c>
      <c r="JZ152" s="12">
        <f t="array" ref="JZ152">INDEX(JY:JY,MIN(IF(ISNUMBER(JY152:JY348),ROW(JY152:JY348),"")))</f>
        <v>0</v>
      </c>
      <c r="KA152" s="12">
        <f>IF('Données projet'!$A$382&gt;35,KA151+JZ152-KI151,IF($A152&lt;'Données projet'!$A$382,$CQ$205^$A152,IF($A152='Données projet'!$A$382,'Données projet'!$B$382,KA151+JZ152-KI151)))</f>
        <v>5.6843418860808015E-13</v>
      </c>
      <c r="KB152" s="17">
        <f>KA152*VLOOKUP('Données projet'!$B$22,Paramètres!$A$1:$I$89,3,0)*VLOOKUP('Données projet'!$B$22,Paramètres!$A$1:$I$89,5,0)</f>
        <v>3.8130565371830017E-13</v>
      </c>
      <c r="KC152" s="13">
        <f t="shared" si="312"/>
        <v>4.9019074112354236E-12</v>
      </c>
      <c r="KD152" s="20">
        <f t="shared" si="263"/>
        <v>9.2015960881277352E-12</v>
      </c>
      <c r="KE152" s="59">
        <f t="shared" si="264"/>
        <v>293.33333333334252</v>
      </c>
      <c r="KF152" s="59">
        <f ca="1">AVERAGE(OFFSET($KE$3,0,0,'Données projet'!$E$22+1,1))-AVERAGE(OFFSET($H$3,0,0,'Données projet'!$E$22+1,1))</f>
        <v>193.91714772848269</v>
      </c>
      <c r="KG152" s="59">
        <f t="shared" si="313"/>
        <v>159.20429420478047</v>
      </c>
      <c r="KH152" s="15">
        <f>IF(ISNA(VLOOKUP($A152,'Données projet'!$A$382:$I$402,3,0)),0,VLOOKUP($A152,'Données projet'!$A$382:$I$402,3,0))</f>
        <v>0</v>
      </c>
      <c r="KI152" s="15">
        <f>IF(ISNA(VLOOKUP($A152,'Données projet'!$A$382:$I$402,4,0)),0,VLOOKUP($A152,'Données projet'!$A$382:$I$402,4,0))</f>
        <v>0</v>
      </c>
      <c r="KJ152" s="16">
        <f>IF(ISNA(VLOOKUP($A152,'Données projet'!$A$382:$I$402,5,0)),0%,VLOOKUP($A152,'Données projet'!$A$382:$I$402,5,0)*VLOOKUP('Données projet'!$B$22,Paramètres!$A$1:$I$89,7,0))</f>
        <v>0</v>
      </c>
      <c r="KK152" s="16">
        <f>IF(ISNA(VLOOKUP($A152,'Données projet'!$A$382:$I$402,6,0)),0%,VLOOKUP($A152,'Données projet'!$A$382:$I$402,6,0)*VLOOKUP('Données projet'!$B$22,Paramètres!$A$1:$I$89,7,0))</f>
        <v>0</v>
      </c>
      <c r="KL152" s="16">
        <f>IF(ISNA(VLOOKUP($A152,'Données projet'!$A$382:$I$402,7,0)),0%,VLOOKUP($A152,'Données projet'!$A$382:$I$402,7,0))</f>
        <v>0</v>
      </c>
      <c r="KM152" s="21">
        <f>EXP(-LN(2)/35)*KM151+(1-EXP(-LN(2)/35))/(LN(2)/35)*KI152*KJ152*VLOOKUP('Données projet'!$B$22,Paramètres!$A$1:$I$89,3,0)*0.475*44/12</f>
        <v>109.39375893266926</v>
      </c>
      <c r="KN152" s="21">
        <f>EXP(-LN(2)/25)*KN151+(1-EXP(-LN(2)/25))/(LN(2)/25)*Calculateur!KI152*Calculateur!KK152*VLOOKUP('Données projet'!$B$22,Paramètres!$A$1:$I$89,3,0)*0.475*44/12</f>
        <v>0</v>
      </c>
      <c r="KO152" s="21">
        <f>EXP(-LN(2)/2)*KO151+(1-EXP(-LN(2)/2))/(LN(2)/2)*KI152*KL152*VLOOKUP('Données projet'!$B$22,Paramètres!$A$1:$I$89,3,0)*0.475*44/12</f>
        <v>0</v>
      </c>
      <c r="KP152" s="22">
        <f t="shared" si="265"/>
        <v>109.39375893266926</v>
      </c>
      <c r="KQ152" s="74">
        <f>('Scénario référence'!$F$8+'Scénario référence'!$F$9+'Scénario référence'!$B$17+'Scénario référence'!$B$9+'Scénario référence'!$B$10)*70+IF((45+25*(1-EXP(-0.0175*$A152)))&lt;70,'Scénario référence'!$B$16*(45+25*(1-EXP(-0.0175*$A152))),70*'Scénario référence'!$B$16)+IF((32+38*(1-EXP(-0.0175*$A152)))&lt;70,'Scénario référence'!$B$18*(32+38*(1-EXP(-0.0175*$A152))),70*'Scénario référence'!$B$18)</f>
        <v>70</v>
      </c>
      <c r="KR152" s="12">
        <f>IF($A152&gt;30,10,('Scénario référence'!$B$16+'Scénario référence'!$B$17+'Scénario référence'!$B$18+'Scénario référence'!$B$9+'Scénario référence'!$B$10)*$A152*10/30+('Scénario référence'!$F$8+'Scénario référence'!$F$9)*10)</f>
        <v>10</v>
      </c>
      <c r="KS152" s="12" t="e">
        <f>VLOOKUP($A152,'Données projet'!$A$408:$I$428,2,0)</f>
        <v>#N/A</v>
      </c>
      <c r="KT152" s="12" t="e">
        <f>VLOOKUP($A152,'Données projet'!$A$408:$I$428,9,0)</f>
        <v>#N/A</v>
      </c>
      <c r="KU152" s="12">
        <f t="array" ref="KU152">INDEX(KT:KT,MIN(IF(ISNUMBER(KT152:KT348),ROW(KT152:KT348),"")))</f>
        <v>0</v>
      </c>
      <c r="KV152" s="12">
        <f>IF('Données projet'!$A$408&gt;35,KV151+KU152-LD151,IF($A152&lt;'Données projet'!$A$408,$CQ$205^$A152,IF($A152='Données projet'!$A$408,'Données projet'!$B$408,KV151+KU152-LD151)))</f>
        <v>-1.1368683772161603E-13</v>
      </c>
      <c r="KW152" s="17">
        <f>KV152*VLOOKUP('Données projet'!$B$23,Paramètres!$A$1:$I$89,3,0)*VLOOKUP('Données projet'!$B$23,Paramètres!$A$1:$I$89,5,0)</f>
        <v>-9.9316821433603781E-14</v>
      </c>
      <c r="KX152" s="13" t="e">
        <f t="shared" si="314"/>
        <v>#NUM!</v>
      </c>
      <c r="KY152" s="14" t="e">
        <f t="shared" si="266"/>
        <v>#NUM!</v>
      </c>
      <c r="KZ152" s="59" t="e">
        <f t="shared" si="267"/>
        <v>#NUM!</v>
      </c>
      <c r="LA152" s="59">
        <f ca="1">AVERAGE(OFFSET($KZ$3,0,0,'Données projet'!$E$23+1,1))-AVERAGE(OFFSET($H$3,0,0,'Données projet'!$E$23+1,1))</f>
        <v>248.33596943633819</v>
      </c>
      <c r="LB152" s="59">
        <f t="shared" si="315"/>
        <v>242.34010522344573</v>
      </c>
      <c r="LC152" s="15">
        <f>IF(ISNA(VLOOKUP($A152,'Données projet'!$A$408:$I$428,3,0)),0,VLOOKUP($A152,'Données projet'!$A$408:$I$428,3,0))</f>
        <v>0</v>
      </c>
      <c r="LD152" s="15">
        <f>IF(ISNA(VLOOKUP($A152,'Données projet'!$A$408:$I$428,4,0)),0,VLOOKUP($A152,'Données projet'!$A$408:$I$428,4,0))</f>
        <v>0</v>
      </c>
      <c r="LE152" s="16">
        <f>IF(ISNA(VLOOKUP($A152,'Données projet'!$A$408:$I$428,5,0)),0%,VLOOKUP($A152,'Données projet'!$A$408:$I$428,5,0)*VLOOKUP('Données projet'!$B$23,Paramètres!$A$1:$I$89,7,0))</f>
        <v>0</v>
      </c>
      <c r="LF152" s="16">
        <f>IF(ISNA(VLOOKUP($A152,'Données projet'!$A$408:$I$428,6,0)),0%,VLOOKUP($A152,'Données projet'!$A$408:$I$428,6,0)*VLOOKUP('Données projet'!$B$23,Paramètres!$A$1:$I$89,7,0))</f>
        <v>0</v>
      </c>
      <c r="LG152" s="16">
        <f>IF(ISNA(VLOOKUP($A152,'Données projet'!$A$408:$I$428,7,0)),0%,VLOOKUP($A152,'Données projet'!$A$408:$I$428,7,0))</f>
        <v>0</v>
      </c>
      <c r="LH152" s="21">
        <f>EXP(-LN(2)/35)*LH151+(1-EXP(-LN(2)/35))/(LN(2)/35)*LD152*LE152*VLOOKUP('Données projet'!$B$23,Paramètres!$A$1:$I$89,3,0)*0.475*44/12</f>
        <v>31.421252201595522</v>
      </c>
      <c r="LI152" s="21">
        <f>EXP(-LN(2)/25)*LI151+(1-EXP(-LN(2)/25))/(LN(2)/25)*Calculateur!LD152*Calculateur!LF152*VLOOKUP('Données projet'!$B$23,Paramètres!$A$1:$I$89,3,0)*0.475*44/12</f>
        <v>3.2148256705852472</v>
      </c>
      <c r="LJ152" s="21">
        <f>EXP(-LN(2)/2)*LJ151+(1-EXP(-LN(2)/2))/(LN(2)/2)*LD152*LG152*VLOOKUP('Données projet'!$B$23,Paramètres!$A$1:$I$89,3,0)*0.475*44/12</f>
        <v>0</v>
      </c>
      <c r="LK152" s="22">
        <f t="shared" si="268"/>
        <v>34.63607787218077</v>
      </c>
      <c r="LL152" s="74">
        <f>('Scénario référence'!$F$8+'Scénario référence'!$F$9+'Scénario référence'!$B$17+'Scénario référence'!$B$9+'Scénario référence'!$B$10)*70+IF((45+25*(1-EXP(-0.0175*$A152)))&lt;70,'Scénario référence'!$B$16*(45+25*(1-EXP(-0.0175*$A152))),70*'Scénario référence'!$B$16)+IF((32+38*(1-EXP(-0.0175*$A152)))&lt;70,'Scénario référence'!$B$18*(32+38*(1-EXP(-0.0175*$A152))),70*'Scénario référence'!$B$18)</f>
        <v>70</v>
      </c>
      <c r="LM152" s="12">
        <f>IF($A152&gt;30,10,('Scénario référence'!$B$16+'Scénario référence'!$B$17+'Scénario référence'!$B$18+'Scénario référence'!$B$9+'Scénario référence'!$B$10)*$A152*10/30+('Scénario référence'!$F$8+'Scénario référence'!$F$9)*10)</f>
        <v>10</v>
      </c>
      <c r="LN152" s="12">
        <f>VLOOKUP($A152,'Données projet'!$A$434:$I$454,2,0)</f>
        <v>303.18589743589746</v>
      </c>
      <c r="LO152" s="12">
        <f>VLOOKUP($A152,'Données projet'!$A$434:$I$454,9,0)</f>
        <v>5.1063034188034209</v>
      </c>
      <c r="LP152" s="12">
        <f t="array" ref="LP152">INDEX(LO:LO,MIN(IF(ISNUMBER(LO152:LO348),ROW(LO152:LO348),"")))</f>
        <v>5.1063034188034209</v>
      </c>
      <c r="LQ152" s="12">
        <f>IF('Données projet'!$A$434&gt;35,LQ151+LP152-LY151,IF($A152&lt;'Données projet'!$A$434,$CQ$205^$A152,IF($A152='Données projet'!$A$434,'Données projet'!$B$434,LQ151+LP152-LY151)))</f>
        <v>303.18589743589695</v>
      </c>
      <c r="LR152" s="17">
        <f>LQ152*VLOOKUP('Données projet'!$B$24,Paramètres!$A$1:$I$89,3,0)*VLOOKUP('Données projet'!$B$24,Paramètres!$A$1:$I$89,5,0)</f>
        <v>307.43049999999948</v>
      </c>
      <c r="LS152" s="13">
        <f t="shared" si="316"/>
        <v>72.731956636788439</v>
      </c>
      <c r="LT152" s="14">
        <f t="shared" si="269"/>
        <v>662.11627864240563</v>
      </c>
      <c r="LU152" s="59">
        <f t="shared" si="270"/>
        <v>955.44961197573889</v>
      </c>
      <c r="LV152" s="59">
        <f ca="1">AVERAGE(OFFSET($LU$3,0,0,'Données projet'!$E$24+1,1))-AVERAGE(OFFSET($H$3,0,0,'Données projet'!$E$24+1,1))</f>
        <v>260.52627655062872</v>
      </c>
      <c r="LW152" s="59">
        <f t="shared" si="317"/>
        <v>159.20429420478047</v>
      </c>
      <c r="LX152" s="15">
        <f>IF(ISNA(VLOOKUP($A152,'Données projet'!$A$434:$I$454,3,0)),0,VLOOKUP($A152,'Données projet'!$A$434:$I$454,3,0))</f>
        <v>12</v>
      </c>
      <c r="LY152" s="15">
        <f>IF(ISNA(VLOOKUP($A152,'Données projet'!$A$434:$I$454,4,0)),0,VLOOKUP($A152,'Données projet'!$A$434:$I$454,4,0))</f>
        <v>120.50641025641026</v>
      </c>
      <c r="LZ152" s="16">
        <f>IF(ISNA(VLOOKUP($A152,'Données projet'!$A$434:$I$454,5,0)),0%,VLOOKUP($A152,'Données projet'!$A$434:$I$454,5,0)*VLOOKUP('Données projet'!$B$24,Paramètres!$A$1:$I$89,7,0))</f>
        <v>0.38700000000000001</v>
      </c>
      <c r="MA152" s="16">
        <f>IF(ISNA(VLOOKUP($A152,'Données projet'!$A$434:$I$454,6,0)),0%,VLOOKUP($A152,'Données projet'!$A$434:$I$454,6,0)*VLOOKUP('Données projet'!$B$24,Paramètres!$A$1:$I$89,7,0))</f>
        <v>0</v>
      </c>
      <c r="MB152" s="16">
        <f>IF(ISNA(VLOOKUP($A152,'Données projet'!$A$434:$I$454,7,0)),0%,VLOOKUP($A152,'Données projet'!$A$434:$I$454,7,0))</f>
        <v>0</v>
      </c>
      <c r="MC152" s="21">
        <f>EXP(-LN(2)/35)*MC151+(1-EXP(-LN(2)/35))/(LN(2)/35)*LY152*LZ152*VLOOKUP('Données projet'!$B$24,Paramètres!$A$1:$I$89,3,0)*0.475*44/12</f>
        <v>95.602128758127037</v>
      </c>
      <c r="MD152" s="21">
        <f>EXP(-LN(2)/25)*MD151+(1-EXP(-LN(2)/25))/(LN(2)/25)*Calculateur!LY152*Calculateur!MA152*VLOOKUP('Données projet'!$B$24,Paramètres!$A$1:$I$89,3,0)*0.475*44/12</f>
        <v>0</v>
      </c>
      <c r="ME152" s="21">
        <f>EXP(-LN(2)/2)*ME151+(1-EXP(-LN(2)/2))/(LN(2)/2)*LY152*MB152*VLOOKUP('Données projet'!$B$24,Paramètres!$A$1:$I$89,3,0)*0.475*44/12</f>
        <v>0</v>
      </c>
      <c r="MF152" s="22">
        <f t="shared" si="271"/>
        <v>95.602128758127037</v>
      </c>
      <c r="MG152" s="74">
        <f>('Scénario référence'!$F$8+'Scénario référence'!$F$9+'Scénario référence'!$B$17+'Scénario référence'!$B$9+'Scénario référence'!$B$10)*70+IF((45+25*(1-EXP(-0.0175*$A152)))&lt;70,'Scénario référence'!$B$16*(45+25*(1-EXP(-0.0175*$A152))),70*'Scénario référence'!$B$16)+IF((32+38*(1-EXP(-0.0175*$A152)))&lt;70,'Scénario référence'!$B$18*(32+38*(1-EXP(-0.0175*$A152))),70*'Scénario référence'!$B$18)</f>
        <v>70</v>
      </c>
      <c r="MH152" s="12">
        <f>IF($A152&gt;30,10,('Scénario référence'!$B$16+'Scénario référence'!$B$17+'Scénario référence'!$B$18+'Scénario référence'!$B$9+'Scénario référence'!$B$10)*$A152*10/30+('Scénario référence'!$F$8+'Scénario référence'!$F$9)*10)</f>
        <v>10</v>
      </c>
      <c r="MI152" s="12" t="e">
        <f>VLOOKUP($A152,'Données projet'!$A$460:$I$480,2,0)</f>
        <v>#N/A</v>
      </c>
      <c r="MJ152" s="12" t="e">
        <f>VLOOKUP($A152,'Données projet'!$A$460:$I$480,9,0)</f>
        <v>#N/A</v>
      </c>
      <c r="MK152" s="12">
        <f t="array" ref="MK152">INDEX(MJ:MJ,MIN(IF(ISNUMBER(MJ152:MJ348),ROW(MJ152:MJ348),"")))</f>
        <v>0</v>
      </c>
      <c r="ML152" s="12">
        <f>IF('Données projet'!$A$460&gt;35,ML151+MK152-MT151,IF($A152&lt;'Données projet'!$A$460,$CQ$205^$A152,IF($A152='Données projet'!$A$460,'Données projet'!$B$460,ML151+MK152-MT151)))</f>
        <v>0</v>
      </c>
      <c r="MM152" s="17" t="e">
        <f>ML152*VLOOKUP('Données projet'!$B$25,Paramètres!$A$1:$I$89,3,0)*VLOOKUP('Données projet'!$B$25,Paramètres!$A$1:$I$89,5,0)</f>
        <v>#N/A</v>
      </c>
      <c r="MN152" s="13" t="e">
        <f t="shared" si="318"/>
        <v>#N/A</v>
      </c>
      <c r="MO152" s="14" t="e">
        <f t="shared" si="272"/>
        <v>#N/A</v>
      </c>
      <c r="MP152" s="59" t="e">
        <f t="shared" si="273"/>
        <v>#N/A</v>
      </c>
      <c r="MQ152" s="20" t="e">
        <f ca="1">AVERAGE(OFFSET($MP$3,0,0,'Données projet'!$E$25+1,1))-AVERAGE(OFFSET($H$3,0,0,'Données projet'!$E$25+1,1))</f>
        <v>#N/A</v>
      </c>
      <c r="MR152" s="59" t="e">
        <f t="shared" si="319"/>
        <v>#N/A</v>
      </c>
      <c r="MS152" s="15">
        <f>IF(ISNA(VLOOKUP($A152,'Données projet'!$A$460:$I$480,3,0)),0,VLOOKUP($A152,'Données projet'!$A$460:$I$480,3,0))</f>
        <v>0</v>
      </c>
      <c r="MT152" s="15">
        <f>IF(ISNA(VLOOKUP($A152,'Données projet'!$A$460:$I$480,4,0)),0,VLOOKUP($A152,'Données projet'!$A$460:$I$480,4,0))</f>
        <v>0</v>
      </c>
      <c r="MU152" s="16">
        <f>IF(ISNA(VLOOKUP($A152,'Données projet'!$A$460:$I$480,5,0)),0%,VLOOKUP($A152,'Données projet'!$A$460:$I$480,5,0)*VLOOKUP('Données projet'!$B$25,Paramètres!$A$1:$I$89,7,0))</f>
        <v>0</v>
      </c>
      <c r="MV152" s="16">
        <f>IF(ISNA(VLOOKUP($A152,'Données projet'!$A$460:$I$480,6,0)),0%,VLOOKUP($A152,'Données projet'!$A$460:$I$480,6,0)*VLOOKUP('Données projet'!$B$25,Paramètres!$A$1:$I$89,7,0))</f>
        <v>0</v>
      </c>
      <c r="MW152" s="16">
        <f>IF(ISNA(VLOOKUP($A152,'Données projet'!$A$460:$I$480,7,0)),0%,VLOOKUP($A152,'Données projet'!$A$460:$I$480,7,0))</f>
        <v>0</v>
      </c>
      <c r="MX152" s="21" t="e">
        <f>EXP(-LN(2)/35)*MX151+(1-EXP(-LN(2)/35))/(LN(2)/35)*MT152*MU152*VLOOKUP('Données projet'!$B$25,Paramètres!$A$1:$I$89,3,0)*0.475*44/12</f>
        <v>#N/A</v>
      </c>
      <c r="MY152" s="21" t="e">
        <f>EXP(-LN(2)/25)*MY151+(1-EXP(-LN(2)/25))/(LN(2)/25)*Calculateur!MT152*Calculateur!MV152*VLOOKUP('Données projet'!$B$25,Paramètres!$A$1:$I$89,3,0)*0.475*44/12</f>
        <v>#N/A</v>
      </c>
      <c r="MZ152" s="21" t="e">
        <f>EXP(-LN(2)/2)*MZ151+(1-EXP(-LN(2)/2))/(LN(2)/2)*MT152*MW152*VLOOKUP('Données projet'!$B$25,Paramètres!$A$1:$I$89,3,0)*0.475*44/12</f>
        <v>#N/A</v>
      </c>
      <c r="NA152" s="22" t="e">
        <f t="shared" si="274"/>
        <v>#N/A</v>
      </c>
      <c r="NB152" s="74">
        <f>('Scénario référence'!$F$8+'Scénario référence'!$F$9+'Scénario référence'!$B$17+'Scénario référence'!$B$9+'Scénario référence'!$B$10)*70+IF((45+25*(1-EXP(-0.0175*$A152)))&lt;70,'Scénario référence'!$B$16*(45+25*(1-EXP(-0.0175*$A152))),70*'Scénario référence'!$B$16)+IF((32+38*(1-EXP(-0.0175*$A152)))&lt;70,'Scénario référence'!$B$18*(32+38*(1-EXP(-0.0175*$A152))),70*'Scénario référence'!$B$18)</f>
        <v>70</v>
      </c>
      <c r="NC152" s="12">
        <f>IF($A152&gt;30,10,('Scénario référence'!$B$16+'Scénario référence'!$B$17+'Scénario référence'!$B$18+'Scénario référence'!$B$9+'Scénario référence'!$B$10)*$A152*10/30+('Scénario référence'!$F$8+'Scénario référence'!$F$9)*10)</f>
        <v>10</v>
      </c>
      <c r="ND152" s="12" t="e">
        <f>VLOOKUP($A152,'Données projet'!$A$486:$I$506,2,0)</f>
        <v>#N/A</v>
      </c>
      <c r="NE152" s="12" t="e">
        <f>VLOOKUP($A152,'Données projet'!$A$486:$I$506,9,0)</f>
        <v>#N/A</v>
      </c>
      <c r="NF152" s="12">
        <f t="array" ref="NF152">INDEX(NE:NE,MIN(IF(ISNUMBER(NE152:NE348),ROW(NE152:NE348),"")))</f>
        <v>0</v>
      </c>
      <c r="NG152" s="12">
        <f>IF('Données projet'!$A$486&gt;35,NG151+NF152-NO151,IF($A152&lt;'Données projet'!$A$486,$CQ$205^$A152,IF($A152='Données projet'!$A$486,'Données projet'!$B$486,NG151+NF152-NO151)))</f>
        <v>0</v>
      </c>
      <c r="NH152" s="17" t="e">
        <f>NG152*VLOOKUP('Données projet'!$B$26,Paramètres!$A$1:$I$89,3,0)*VLOOKUP('Données projet'!$B$26,Paramètres!$A$1:$I$89,5,0)</f>
        <v>#N/A</v>
      </c>
      <c r="NI152" s="13" t="e">
        <f t="shared" si="320"/>
        <v>#N/A</v>
      </c>
      <c r="NJ152" s="14" t="e">
        <f t="shared" si="275"/>
        <v>#N/A</v>
      </c>
      <c r="NK152" s="59" t="e">
        <f t="shared" si="276"/>
        <v>#N/A</v>
      </c>
      <c r="NL152" s="20" t="e">
        <f ca="1">AVERAGE(OFFSET($NK$3,0,0,'Données projet'!$E$26+1,1))-AVERAGE(OFFSET($H$3,0,0,'Données projet'!$E$26+1,1))</f>
        <v>#N/A</v>
      </c>
      <c r="NM152" s="59" t="e">
        <f t="shared" si="321"/>
        <v>#N/A</v>
      </c>
      <c r="NN152" s="15">
        <f>IF(ISNA(VLOOKUP($A152,'Données projet'!$A$486:$I$506,3,0)),0,VLOOKUP($A152,'Données projet'!$A$486:$I$506,3,0))</f>
        <v>0</v>
      </c>
      <c r="NO152" s="15">
        <f>IF(ISNA(VLOOKUP($A152,'Données projet'!$A$486:$I$506,4,0)),0,VLOOKUP($A152,'Données projet'!$A$486:$I$506,4,0))</f>
        <v>0</v>
      </c>
      <c r="NP152" s="16">
        <f>IF(ISNA(VLOOKUP($A152,'Données projet'!$A$486:$I$506,5,0)),0%,VLOOKUP($A152,'Données projet'!$A$486:$I$506,5,0)*VLOOKUP('Données projet'!$B$26,Paramètres!$A$1:$I$89,7,0))</f>
        <v>0</v>
      </c>
      <c r="NQ152" s="16">
        <f>IF(ISNA(VLOOKUP($A152,'Données projet'!$A$486:$I$506,6,0)),0%,VLOOKUP($A152,'Données projet'!$A$486:$I$506,6,0)*VLOOKUP('Données projet'!$B$26,Paramètres!$A$1:$I$89,7,0))</f>
        <v>0</v>
      </c>
      <c r="NR152" s="16">
        <f>IF(ISNA(VLOOKUP($A152,'Données projet'!$A$486:$I$506,7,0)),0%,VLOOKUP($A152,'Données projet'!$A$486:$I$506,7,0))</f>
        <v>0</v>
      </c>
      <c r="NS152" s="21" t="e">
        <f>EXP(-LN(2)/35)*NS151+(1-EXP(-LN(2)/35))/(LN(2)/35)*NO152*NP152*VLOOKUP('Données projet'!$B$26,Paramètres!$A$1:$I$89,3,0)*0.475*44/12</f>
        <v>#N/A</v>
      </c>
      <c r="NT152" s="21" t="e">
        <f>EXP(-LN(2)/25)*NT151+(1-EXP(-LN(2)/25))/(LN(2)/25)*Calculateur!NO152*Calculateur!NQ152*VLOOKUP('Données projet'!$B$26,Paramètres!$A$1:$I$89,3,0)*0.475*44/12</f>
        <v>#N/A</v>
      </c>
      <c r="NU152" s="21" t="e">
        <f>EXP(-LN(2)/2)*NU151+(1-EXP(-LN(2)/2))/(LN(2)/2)*NO152*NR152*VLOOKUP('Données projet'!$B$26,Paramètres!$A$1:$I$89,3,0)*0.475*44/12</f>
        <v>#N/A</v>
      </c>
      <c r="NV152" s="22" t="e">
        <f t="shared" si="277"/>
        <v>#N/A</v>
      </c>
      <c r="NW152" s="74">
        <f>('Scénario référence'!$F$8+'Scénario référence'!$F$9+'Scénario référence'!$B$17+'Scénario référence'!$B$9+'Scénario référence'!$B$10)*70+IF((45+25*(1-EXP(-0.0175*$A152)))&lt;70,'Scénario référence'!$B$16*(45+25*(1-EXP(-0.0175*$A152))),70*'Scénario référence'!$B$16)+IF((32+38*(1-EXP(-0.0175*$A152)))&lt;70,'Scénario référence'!$B$18*(32+38*(1-EXP(-0.0175*$A152))),70*'Scénario référence'!$B$18)</f>
        <v>70</v>
      </c>
      <c r="NX152" s="12">
        <f>IF($A152&gt;30,10,('Scénario référence'!$B$16+'Scénario référence'!$B$17+'Scénario référence'!$B$18+'Scénario référence'!$B$9+'Scénario référence'!$B$10)*$A152*10/30+('Scénario référence'!$F$8+'Scénario référence'!$F$9)*10)</f>
        <v>10</v>
      </c>
      <c r="NY152" s="12" t="e">
        <f>VLOOKUP($A152,'Données projet'!$A$512:$I$532,2,0)</f>
        <v>#N/A</v>
      </c>
      <c r="NZ152" s="12" t="e">
        <f>VLOOKUP($A152,'Données projet'!$A$512:$I$532,9,0)</f>
        <v>#N/A</v>
      </c>
      <c r="OA152" s="12">
        <f t="array" ref="OA152">INDEX(NZ:NZ,MIN(IF(ISNUMBER(NZ152:NZ348),ROW(NZ152:NZ348),"")))</f>
        <v>0</v>
      </c>
      <c r="OB152" s="12">
        <f>IF('Données projet'!$A$512&gt;35,OB151+OA152-OJ151,IF($A152&lt;'Données projet'!$A$512,$CQ$205^$A152,IF($A152='Données projet'!$A$512,'Données projet'!$B$512,OB151+OA152-OJ151)))</f>
        <v>0</v>
      </c>
      <c r="OC152" s="17" t="e">
        <f>OB152*VLOOKUP('Données projet'!$B$27,Paramètres!$A$1:$I$89,3,0)*VLOOKUP('Données projet'!$B$27,Paramètres!$A$1:$I$89,5,0)</f>
        <v>#N/A</v>
      </c>
      <c r="OD152" s="13" t="e">
        <f t="shared" si="322"/>
        <v>#N/A</v>
      </c>
      <c r="OE152" s="14" t="e">
        <f t="shared" si="278"/>
        <v>#N/A</v>
      </c>
      <c r="OF152" s="59" t="e">
        <f t="shared" si="279"/>
        <v>#N/A</v>
      </c>
      <c r="OG152" s="20" t="e">
        <f ca="1">AVERAGE(OFFSET($OF$3,0,0,'Données projet'!$E$27+1,1))-AVERAGE(OFFSET($H$3,0,0,'Données projet'!$E$27+1,1))</f>
        <v>#N/A</v>
      </c>
      <c r="OH152" s="59" t="e">
        <f t="shared" si="323"/>
        <v>#N/A</v>
      </c>
      <c r="OI152" s="15">
        <f>IF(ISNA(VLOOKUP($A152,'Données projet'!$A$512:$I$532,3,0)),0,VLOOKUP($A152,'Données projet'!$A$512:$I$532,3,0))</f>
        <v>0</v>
      </c>
      <c r="OJ152" s="15">
        <f>IF(ISNA(VLOOKUP($A152,'Données projet'!$A$512:$I$532,4,0)),0,VLOOKUP($A152,'Données projet'!$A$512:$I$532,4,0))</f>
        <v>0</v>
      </c>
      <c r="OK152" s="16">
        <f>IF(ISNA(VLOOKUP($A152,'Données projet'!$A$512:$I$532,5,0)),0%,VLOOKUP($A152,'Données projet'!$A$512:$I$532,5,0)*VLOOKUP('Données projet'!$B$27,Paramètres!$A$1:$I$89,7,0))</f>
        <v>0</v>
      </c>
      <c r="OL152" s="16">
        <f>IF(ISNA(VLOOKUP($A152,'Données projet'!$A$512:$I$532,6,0)),0%,VLOOKUP($A152,'Données projet'!$A$512:$I$532,6,0)*VLOOKUP('Données projet'!$B$27,Paramètres!$A$1:$I$89,7,0))</f>
        <v>0</v>
      </c>
      <c r="OM152" s="16">
        <f>IF(ISNA(VLOOKUP($A152,'Données projet'!$A$512:$I$532,7,0)),0%,VLOOKUP($A152,'Données projet'!$A$512:$I$532,7,0))</f>
        <v>0</v>
      </c>
      <c r="ON152" s="21" t="e">
        <f>EXP(-LN(2)/35)*ON151+(1-EXP(-LN(2)/35))/(LN(2)/35)*OJ152*OK152*VLOOKUP('Données projet'!$B$27,Paramètres!$A$1:$I$89,3,0)*0.475*44/12</f>
        <v>#N/A</v>
      </c>
      <c r="OO152" s="21" t="e">
        <f>EXP(-LN(2)/25)*OO151+(1-EXP(-LN(2)/25))/(LN(2)/25)*Calculateur!OJ152*Calculateur!OL152*VLOOKUP('Données projet'!$B$27,Paramètres!$A$1:$I$89,3,0)*0.475*44/12</f>
        <v>#N/A</v>
      </c>
      <c r="OP152" s="21" t="e">
        <f>EXP(-LN(2)/2)*OP151+(1-EXP(-LN(2)/2))/(LN(2)/2)*OJ152*OM152*VLOOKUP('Données projet'!$B$27,Paramètres!$A$1:$I$89,3,0)*0.475*44/12</f>
        <v>#N/A</v>
      </c>
      <c r="OQ152" s="22" t="e">
        <f t="shared" si="280"/>
        <v>#N/A</v>
      </c>
      <c r="OR152" s="74">
        <f>('Scénario référence'!$F$8+'Scénario référence'!$F$9+'Scénario référence'!$B$17+'Scénario référence'!$B$9+'Scénario référence'!$B$10)*70+IF((45+25*(1-EXP(-0.0175*$A152)))&lt;70,'Scénario référence'!$B$16*(45+25*(1-EXP(-0.0175*$A152))),70*'Scénario référence'!$B$16)+IF((32+38*(1-EXP(-0.0175*$A152)))&lt;70,'Scénario référence'!$B$18*(32+38*(1-EXP(-0.0175*$A152))),70*'Scénario référence'!$B$18)</f>
        <v>70</v>
      </c>
      <c r="OS152" s="12">
        <f>IF($A152&gt;30,10,('Scénario référence'!$B$16+'Scénario référence'!$B$17+'Scénario référence'!$B$18+'Scénario référence'!$B$9+'Scénario référence'!$B$10)*$A152*10/30+('Scénario référence'!$F$8+'Scénario référence'!$F$9)*10)</f>
        <v>10</v>
      </c>
      <c r="OT152" s="12" t="e">
        <f>VLOOKUP($A152,'Données projet'!$A$538:$I$558,2,0)</f>
        <v>#N/A</v>
      </c>
      <c r="OU152" s="12" t="e">
        <f>VLOOKUP($A152,'Données projet'!$A$538:$I$558,9,0)</f>
        <v>#N/A</v>
      </c>
      <c r="OV152" s="12">
        <f t="array" ref="OV152">INDEX(OU:OU,MIN(IF(ISNUMBER(OU152:OU348),ROW(OU152:OU348),"")))</f>
        <v>0</v>
      </c>
      <c r="OW152" s="12">
        <f>IF('Données projet'!$A$538&gt;35,OW151+OV152-PE151,IF($A152&lt;'Données projet'!$A$538,$CQ$205^$A152,IF($A152='Données projet'!$A$538,'Données projet'!$B$538,OW151+OV152-PE151)))</f>
        <v>0</v>
      </c>
      <c r="OX152" s="17" t="e">
        <f>OW152*VLOOKUP('Données projet'!$B$28,Paramètres!$A$1:$I$89,3,0)*VLOOKUP('Données projet'!$B$28,Paramètres!$A$1:$I$89,5,0)</f>
        <v>#N/A</v>
      </c>
      <c r="OY152" s="13" t="e">
        <f t="shared" si="324"/>
        <v>#N/A</v>
      </c>
      <c r="OZ152" s="14" t="e">
        <f t="shared" si="281"/>
        <v>#N/A</v>
      </c>
      <c r="PA152" s="59" t="e">
        <f t="shared" si="282"/>
        <v>#N/A</v>
      </c>
      <c r="PB152" s="20" t="e">
        <f ca="1">AVERAGE(OFFSET($PA$3,0,0,'Données projet'!$E$28+1,1))-AVERAGE(OFFSET($H$3,0,0,'Données projet'!$E$28+1,1))</f>
        <v>#N/A</v>
      </c>
      <c r="PC152" s="59" t="e">
        <f t="shared" si="325"/>
        <v>#N/A</v>
      </c>
      <c r="PD152" s="15">
        <f>IF(ISNA(VLOOKUP($A152,'Données projet'!$A$538:$I$558,3,0)),0,VLOOKUP($A152,'Données projet'!$A$538:$I$558,3,0))</f>
        <v>0</v>
      </c>
      <c r="PE152" s="15">
        <f>IF(ISNA(VLOOKUP($A152,'Données projet'!$A$538:$I$558,4,0)),0,VLOOKUP($A152,'Données projet'!$A$538:$I$558,4,0))</f>
        <v>0</v>
      </c>
      <c r="PF152" s="16">
        <f>IF(ISNA(VLOOKUP($A152,'Données projet'!$A$538:$I$558,5,0)),0%,VLOOKUP($A152,'Données projet'!$A$538:$I$558,5,0)*VLOOKUP('Données projet'!$B$28,Paramètres!$A$1:$I$89,7,0))</f>
        <v>0</v>
      </c>
      <c r="PG152" s="16">
        <f>IF(ISNA(VLOOKUP($A152,'Données projet'!$A$538:$I$558,6,0)),0%,VLOOKUP($A152,'Données projet'!$A$538:$I$558,6,0)*VLOOKUP('Données projet'!$B$28,Paramètres!$A$1:$I$89,7,0))</f>
        <v>0</v>
      </c>
      <c r="PH152" s="16">
        <f>IF(ISNA(VLOOKUP($A152,'Données projet'!$A$538:$I$558,7,0)),0%,VLOOKUP($A152,'Données projet'!$A$538:$I$558,7,0))</f>
        <v>0</v>
      </c>
      <c r="PI152" s="21" t="e">
        <f>EXP(-LN(2)/35)*PI151+(1-EXP(-LN(2)/35))/(LN(2)/35)*PE152*PF152*VLOOKUP('Données projet'!$B$28,Paramètres!$A$1:$I$89,3,0)*0.475*44/12</f>
        <v>#N/A</v>
      </c>
      <c r="PJ152" s="21" t="e">
        <f>EXP(-LN(2)/25)*PJ151+(1-EXP(-LN(2)/25))/(LN(2)/25)*Calculateur!PE152*Calculateur!PG152*VLOOKUP('Données projet'!$B$28,Paramètres!$A$1:$I$89,3,0)*0.475*44/12</f>
        <v>#N/A</v>
      </c>
      <c r="PK152" s="21" t="e">
        <f>EXP(-LN(2)/2)*PK151+(1-EXP(-LN(2)/2))/(LN(2)/2)*PE152*PH152*VLOOKUP('Données projet'!$B$28,Paramètres!$A$1:$I$89,3,0)*0.475*44/12</f>
        <v>#N/A</v>
      </c>
      <c r="PL152" s="22" t="e">
        <f t="shared" si="283"/>
        <v>#N/A</v>
      </c>
    </row>
    <row r="153" spans="1:42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285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225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projet'!$A$45:$I$65,2,0)</f>
        <v>#N/A</v>
      </c>
      <c r="L153" s="12" t="e">
        <f>VLOOKUP(A153,'Données projet'!$A$45:$I$65,9,0)</f>
        <v>#N/A</v>
      </c>
      <c r="M153" s="12">
        <f t="array" ref="M153">INDEX(L:L,MIN(IF(ISNUMBER(L153:L349),ROW(L153:L349),"")))</f>
        <v>0</v>
      </c>
      <c r="N153" s="13">
        <f>IF('Données projet'!$A$46&gt;35,N152+M153-V152,IF(A153&lt;'Données projet'!$A$46,$K$205^A153,IF(A153='Données projet'!$A$46,'Données projet'!$B$46,N152+M153-V152)))</f>
        <v>-1.1368683772161603E-13</v>
      </c>
      <c r="O153" s="13">
        <f>N153*VLOOKUP('Données projet'!$B$9,Paramètres!$A$1:$I$89,3,0)*VLOOKUP('Données projet'!$B$9,Paramètres!$A$1:$I$89,5,0)</f>
        <v>-6.3550942286383367E-14</v>
      </c>
      <c r="P153" s="13" t="e">
        <f t="shared" si="286"/>
        <v>#NUM!</v>
      </c>
      <c r="Q153" s="20" t="e">
        <f t="shared" si="223"/>
        <v>#NUM!</v>
      </c>
      <c r="R153" s="59" t="e">
        <f t="shared" si="224"/>
        <v>#NUM!</v>
      </c>
      <c r="S153" s="59">
        <f ca="1">AVERAGE(OFFSET($R$3,0,0,'Données projet'!$E$9+1,1))-AVERAGE(OFFSET($H$3,0,0,'Données projet'!$E$9+1,1))</f>
        <v>274.57619581652199</v>
      </c>
      <c r="T153" s="59">
        <f t="shared" si="287"/>
        <v>366.15117322598775</v>
      </c>
      <c r="U153" s="15">
        <f>IF(ISNA(VLOOKUP(A153,'Données projet'!$A$45:$I$65,3,0)),0,VLOOKUP(A153,'Données projet'!$A$45:$I$65,3,0))</f>
        <v>0</v>
      </c>
      <c r="V153" s="15">
        <f>IF(ISNA(VLOOKUP(A153,'Données projet'!$A$45:$I$65,4,0)),0,VLOOKUP(A153,'Données projet'!$A$45:$I$65,4,0))</f>
        <v>0</v>
      </c>
      <c r="W153" s="16">
        <f>IF(ISNA(VLOOKUP(A153,'Données projet'!$A$45:$I$65,5,0)),0%,VLOOKUP(A153,'Données projet'!$A$45:$I$65,5,0)*VLOOKUP('Données projet'!$B$9,Paramètres!$A$1:$I$89,7,0))</f>
        <v>0</v>
      </c>
      <c r="X153" s="16">
        <f>IF(ISNA(VLOOKUP(A153,'Données projet'!$A$45:$I$65,6,0)),0%,VLOOKUP(A153,'Données projet'!$A$45:$I$65,6,0)*VLOOKUP('Données projet'!$B$9,Paramètres!$A$1:$I$89,7,0))</f>
        <v>0</v>
      </c>
      <c r="Y153" s="16">
        <f>IF(ISNA(VLOOKUP(A153,'Données projet'!$A$45:$I$65,7,0)),0%,VLOOKUP(A153,'Données projet'!$A$45:$I$65,7,0))</f>
        <v>0</v>
      </c>
      <c r="Z153" s="21">
        <f>EXP(-LN(2)/35)*Z152+(1-EXP(-LN(2)/35))/(LN(2)/35)*V153*W153*VLOOKUP('Données projet'!$B$9,Paramètres!$A$1:$I$89,3,0)*0.475*44/12</f>
        <v>34.537259716813651</v>
      </c>
      <c r="AA153" s="21">
        <f>EXP(-LN(2)/25)*AA152+(1-EXP(-LN(2)/25))/(LN(2)/25)*Calculateur!V153*Calculateur!X153*VLOOKUP('Données projet'!$B$9,Paramètres!$A$1:$I$89,3,0)*0.475*44/12</f>
        <v>4.1358654810728881</v>
      </c>
      <c r="AB153" s="21">
        <f>EXP(-LN(2)/2)*AB152+(1-EXP(-LN(2)/2))/(LN(2)/2)*V153*Y153*VLOOKUP('Données projet'!$B$9,Paramètres!$A$1:$I$89,3,0)*0.475*44/12</f>
        <v>1.716364985461147E-13</v>
      </c>
      <c r="AC153" s="22">
        <f t="shared" si="226"/>
        <v>38.673125197886712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projet'!$A$71:$I$91,2,0)</f>
        <v>#N/A</v>
      </c>
      <c r="AG153" s="12" t="e">
        <f>VLOOKUP(A153,'Données projet'!$A$71:$I$91,9,0)</f>
        <v>#N/A</v>
      </c>
      <c r="AH153" s="12">
        <f t="array" ref="AH153">INDEX(AG:AG,MIN(IF(ISNUMBER(AG153:AG349),ROW(AG153:AG349),"")))</f>
        <v>0</v>
      </c>
      <c r="AI153" s="13">
        <f>IF('Données projet'!$A$72&gt;35,AI152+AH153-AQ152,IF(A153&lt;'Données projet'!$A$72,$AF$205^A153,IF(A153='Données projet'!$A$72,'Données projet'!$B$72,AI152+AH153-AQ152)))</f>
        <v>5.6843418860808015E-13</v>
      </c>
      <c r="AJ153" s="13">
        <f>AI153*VLOOKUP('Données projet'!$B$10,Paramètres!$A$1:$I$89,3,0)*VLOOKUP('Données projet'!$B$10,Paramètres!$A$1:$I$89,5,0)</f>
        <v>5.1431925385259092E-13</v>
      </c>
      <c r="AK153" s="13">
        <f t="shared" si="288"/>
        <v>6.3855359115685756E-12</v>
      </c>
      <c r="AL153" s="20">
        <f t="shared" si="227"/>
        <v>1.2017247746441865E-11</v>
      </c>
      <c r="AM153" s="59">
        <f t="shared" si="228"/>
        <v>293.33333333334531</v>
      </c>
      <c r="AN153" s="59">
        <f ca="1">AVERAGE(OFFSET($AM$3,0,0,'Données projet'!$E$10+1,1))-AVERAGE(OFFSET($H$3,0,0,'Données projet'!$E$10+1,1))</f>
        <v>270.87836509222456</v>
      </c>
      <c r="AO153" s="59">
        <f t="shared" si="289"/>
        <v>205.24998237949734</v>
      </c>
      <c r="AP153" s="15">
        <f>IF(ISNA(VLOOKUP(A153,'Données projet'!$A$71:$I$91,3,0)),0,VLOOKUP(A153,'Données projet'!$A$71:$I$91,3,0))</f>
        <v>0</v>
      </c>
      <c r="AQ153" s="15">
        <f>IF(ISNA(VLOOKUP(A153,'Données projet'!$A$71:$I$91,4,0)),0,VLOOKUP(A153,'Données projet'!$A$71:$I$91,4,0))</f>
        <v>0</v>
      </c>
      <c r="AR153" s="16">
        <f>IF(ISNA(VLOOKUP(A153,'Données projet'!$A$71:$I$91,5,0)),0%,VLOOKUP(A153,'Données projet'!$A$71:$I$91,5,0)*VLOOKUP('Données projet'!$B$10,Paramètres!$A$1:$I$89,7,0))</f>
        <v>0</v>
      </c>
      <c r="AS153" s="16">
        <f>IF(ISNA(VLOOKUP(A153,'Données projet'!$A$71:$I$91,6,0)),0%,VLOOKUP(A153,'Données projet'!$A$71:$I$91,6,0)*VLOOKUP('Données projet'!$B$10,Paramètres!$A$1:$I$89,7,0))</f>
        <v>0</v>
      </c>
      <c r="AT153" s="16">
        <f>IF(ISNA(VLOOKUP(A153,'Données projet'!$A$71:$I$91,7,0)),0%,VLOOKUP(A153,'Données projet'!$A$71:$I$91,7,0))</f>
        <v>0</v>
      </c>
      <c r="AU153" s="21">
        <f>EXP(-LN(2)/35)*AU152+(1-EXP(-LN(2)/35))/(LN(2)/35)*AQ153*AR153*VLOOKUP('Données projet'!$B$10,Paramètres!$A$1:$I$89,3,0)*0.475*44/12</f>
        <v>117.36640782130267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229"/>
        <v>117.36640782130267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projet'!$A$97:$I$117,2,0)</f>
        <v>#N/A</v>
      </c>
      <c r="BB153" s="12" t="e">
        <f>VLOOKUP(A153,'Données projet'!$A$97:$I$117,9,0)</f>
        <v>#N/A</v>
      </c>
      <c r="BC153" s="12">
        <f t="array" ref="BC153">INDEX(BB:BB,MIN(IF(ISNUMBER(BB153:BB349),ROW(BB153:BB349),"")))</f>
        <v>0</v>
      </c>
      <c r="BD153" s="12">
        <f>IF('Données projet'!$A$98&gt;35,BD152+BC153-BL152,IF(A153&lt;'Données projet'!$A$98,$BA$205^A153,IF(A153='Données projet'!$A$98,'Données projet'!$B$98,BD152+BC153-BL152)))</f>
        <v>-1.1368683772161603E-13</v>
      </c>
      <c r="BE153" s="13">
        <f>BD153*VLOOKUP('Données projet'!$B$11,Paramètres!$A$1:$I$89,3,0)*VLOOKUP('Données projet'!$B$11,Paramètres!$A$1:$I$89,5,0)</f>
        <v>-5.0249582272954292E-14</v>
      </c>
      <c r="BF153" s="13" t="e">
        <f t="shared" si="290"/>
        <v>#NUM!</v>
      </c>
      <c r="BG153" s="20" t="e">
        <f t="shared" si="230"/>
        <v>#NUM!</v>
      </c>
      <c r="BH153" s="59" t="e">
        <f t="shared" si="231"/>
        <v>#NUM!</v>
      </c>
      <c r="BI153" s="59">
        <f ca="1">AVERAGE(OFFSET($BH$3,0,0,'Données projet'!$E$11+1,1))-AVERAGE(OFFSET($H$3,0,0,'Données projet'!$E$11+1,1))</f>
        <v>211.31057120485542</v>
      </c>
      <c r="BJ153" s="59">
        <f t="shared" si="291"/>
        <v>283.33292006714777</v>
      </c>
      <c r="BK153" s="15">
        <f>IF(ISNA(VLOOKUP(A153,'Données projet'!$A$97:$I$117,3,0)),0,VLOOKUP(A153,'Données projet'!$A$97:$I$117,3,0))</f>
        <v>0</v>
      </c>
      <c r="BL153" s="15">
        <f>IF(ISNA(VLOOKUP(A153,'Données projet'!$A$97:$I$117,4,0)),0,VLOOKUP(A153,'Données projet'!$A$97:$I$117,4,0))</f>
        <v>0</v>
      </c>
      <c r="BM153" s="16">
        <f>IF(ISNA(VLOOKUP(A153,'Données projet'!$A$97:$I$117,5,0)),0%,VLOOKUP(A153,'Données projet'!$A$97:$I$117,5,0)*VLOOKUP('Données projet'!$B$11,Paramètres!$A$1:$I$89,7,0))</f>
        <v>0</v>
      </c>
      <c r="BN153" s="16">
        <f>IF(ISNA(VLOOKUP(A153,'Données projet'!$A$97:$I$117,6,0)),0%,VLOOKUP(A153,'Données projet'!$A$97:$I$117,6,0)*VLOOKUP('Données projet'!$B$11,Paramètres!$A$1:$I$89,7,0))</f>
        <v>0</v>
      </c>
      <c r="BO153" s="16">
        <f>IF(ISNA(VLOOKUP(A153,'Données projet'!$A$97:$I$117,7,0)),0%,VLOOKUP(A153,'Données projet'!$A$97:$I$117,7,0))</f>
        <v>0</v>
      </c>
      <c r="BP153" s="21">
        <f>EXP(-LN(2)/35)*BP152+(1-EXP(-LN(2)/35))/(LN(2)/35)*BL153*BM153*VLOOKUP('Données projet'!$B$11,Paramètres!$A$1:$I$89,3,0)*0.475*44/12</f>
        <v>27.308530938875929</v>
      </c>
      <c r="BQ153" s="21">
        <f>EXP(-LN(2)/25)*BQ152+(1-EXP(-LN(2)/25))/(LN(2)/25)*Calculateur!BL153*Calculateur!BN153*VLOOKUP('Données projet'!$B$11,Paramètres!$A$1:$I$89,3,0)*0.475*44/12</f>
        <v>3.2702192175925147</v>
      </c>
      <c r="BR153" s="21">
        <f>EXP(-LN(2)/2)*BR152+(1-EXP(-LN(2)/2))/(LN(2)/2)*BL153*BO153*VLOOKUP('Données projet'!$B$11,Paramètres!$A$1:$I$89,3,0)*0.475*44/12</f>
        <v>1.3571258024576508E-13</v>
      </c>
      <c r="BS153" s="22">
        <f t="shared" si="232"/>
        <v>30.57875015646858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projet'!$A$123:$I$143,2,0)</f>
        <v>#N/A</v>
      </c>
      <c r="BW153" s="12" t="e">
        <f>VLOOKUP(A153,'Données projet'!$A$123:$I$143,9,0)</f>
        <v>#N/A</v>
      </c>
      <c r="BX153" s="12">
        <f t="array" ref="BX153">INDEX(BW:BW,MIN(IF(ISNUMBER(BW153:BW349),ROW(BW153:BW349),"")))</f>
        <v>0</v>
      </c>
      <c r="BY153" s="12">
        <f>IF('Données projet'!$A$124&gt;35,BY152+BX153-CG152,IF(A153&lt;'Données projet'!$A$124,$BV$205^A153,IF(A153='Données projet'!$A$124,'Données projet'!$B$124,BY152+BX153-CG152)))</f>
        <v>0</v>
      </c>
      <c r="BZ153" s="13">
        <f>BY153*VLOOKUP('Données projet'!$B$12,Paramètres!$A$1:$I$89,3,0)*VLOOKUP('Données projet'!$B$12,Paramètres!$A$1:$I$89,5,0)</f>
        <v>0</v>
      </c>
      <c r="CA153" s="13" t="e">
        <f t="shared" si="292"/>
        <v>#NUM!</v>
      </c>
      <c r="CB153" s="20" t="e">
        <f t="shared" si="233"/>
        <v>#NUM!</v>
      </c>
      <c r="CC153" s="59" t="e">
        <f t="shared" si="234"/>
        <v>#NUM!</v>
      </c>
      <c r="CD153" s="59">
        <f ca="1">AVERAGE(OFFSET($CC$3,0,0,'Données projet'!$E$12+1,1))-AVERAGE(OFFSET($H$3,0,0,'Données projet'!$E$12+1,1))</f>
        <v>322.93502595881938</v>
      </c>
      <c r="CE153" s="59">
        <f t="shared" si="293"/>
        <v>302.67072119588164</v>
      </c>
      <c r="CF153" s="15">
        <f>IF(ISNA(VLOOKUP(A153,'Données projet'!$A$123:$I$143,3,0)),0,VLOOKUP(A153,'Données projet'!$A$123:$I$143,3,0))</f>
        <v>0</v>
      </c>
      <c r="CG153" s="15">
        <f>IF(ISNA(VLOOKUP(A153,'Données projet'!$A$123:$I$143,4,0)),0,VLOOKUP(A153,'Données projet'!$A$123:$I$143,4,0))</f>
        <v>0</v>
      </c>
      <c r="CH153" s="16">
        <f>IF(ISNA(VLOOKUP(A153,'Données projet'!$A$123:$I$143,5,0)),0%,VLOOKUP(A153,'Données projet'!$A$123:$I$143,5,0)*VLOOKUP('Données projet'!$B$12,Paramètres!$A$1:$I$89,7,0))</f>
        <v>0</v>
      </c>
      <c r="CI153" s="16">
        <f>IF(ISNA(VLOOKUP(A153,'Données projet'!$A$123:$I$143,6,0)),0%,VLOOKUP(A153,'Données projet'!$A$123:$I$143,6,0)*VLOOKUP('Données projet'!$B$12,Paramètres!$A$1:$I$89,7,0))</f>
        <v>0</v>
      </c>
      <c r="CJ153" s="16">
        <f>IF(ISNA(VLOOKUP(A153,'Données projet'!$A$123:$I$143,7,0)),0%,VLOOKUP(A153,'Données projet'!$A$123:$I$143,7,0))</f>
        <v>0</v>
      </c>
      <c r="CK153" s="21">
        <f>EXP(-LN(2)/35)*CK152+(1-EXP(-LN(2)/35))/(LN(2)/35)*CG153*CH153*VLOOKUP('Données projet'!$B$12,Paramètres!$A$1:$I$89,3,0)*0.475*44/12</f>
        <v>43.509088460987613</v>
      </c>
      <c r="CL153" s="21">
        <f>EXP(-LN(2)/25)*CL152+(1-EXP(-LN(2)/25))/(LN(2)/25)*Calculateur!CG153*Calculateur!CI153*VLOOKUP('Données projet'!$B$12,Paramètres!$A$1:$I$89,3,0)*0.475*44/12</f>
        <v>10.466680106359529</v>
      </c>
      <c r="CM153" s="21">
        <f>EXP(-LN(2)/2)*CM152+(1-EXP(-LN(2)/2))/(LN(2)/2)*CG153*CJ153*VLOOKUP('Données projet'!$B$12,Paramètres!$A$1:$I$89,3,0)*0.475*44/12</f>
        <v>0</v>
      </c>
      <c r="CN153" s="22">
        <f t="shared" si="235"/>
        <v>53.975768567347146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projet'!$A$149:$I$169,2,0)</f>
        <v>#N/A</v>
      </c>
      <c r="CR153" s="12" t="e">
        <f>VLOOKUP(A153,'Données projet'!$A$149:$I$169,9,0)</f>
        <v>#N/A</v>
      </c>
      <c r="CS153" s="12">
        <f t="array" ref="CS153">INDEX(CR:CR,MIN(IF(ISNUMBER(CR153:CR349),ROW(CR153:CR349),"")))</f>
        <v>3.0945512820512704</v>
      </c>
      <c r="CT153" s="12">
        <f>IF('Données projet'!$A$150&gt;35,CT152+CS153-DB152,IF(A153&lt;'Données projet'!$A$150,$CQ$205^A153,IF(A153='Données projet'!$A$150,'Données projet'!$B$150,CT152+CS153-DB152)))</f>
        <v>185.77403846153794</v>
      </c>
      <c r="CU153" s="17">
        <f>CT153*VLOOKUP('Données projet'!$B$13,Paramètres!$A$1:$I$89,3,0)*VLOOKUP('Données projet'!$B$13,Paramètres!$A$1:$I$89,5,0)</f>
        <v>188.37487499999949</v>
      </c>
      <c r="CV153" s="13">
        <f t="shared" si="294"/>
        <v>47.180481359608336</v>
      </c>
      <c r="CW153" s="20">
        <f t="shared" si="236"/>
        <v>410.25891232631693</v>
      </c>
      <c r="CX153" s="59">
        <f t="shared" si="237"/>
        <v>703.59224565965019</v>
      </c>
      <c r="CY153" s="59">
        <f ca="1">AVERAGE(OFFSET($CX$3,0,0,'Données projet'!$E$13+1,1))-AVERAGE(OFFSET($H$3,0,0,'Données projet'!$E$13+1,1))</f>
        <v>250.31277422753283</v>
      </c>
      <c r="CZ153" s="59">
        <f t="shared" si="295"/>
        <v>159.20429420478047</v>
      </c>
      <c r="DA153" s="15">
        <f>IF(ISNA(VLOOKUP(A153,'Données projet'!$A$149:$I$169,3,0)),0,VLOOKUP(A153,'Données projet'!$A$149:$I$169,3,0))</f>
        <v>0</v>
      </c>
      <c r="DB153" s="15">
        <f>IF(ISNA(VLOOKUP(A153,'Données projet'!$A$149:$I$169,4,0)),0,VLOOKUP(A153,'Données projet'!$A$149:$I$169,4,0))</f>
        <v>0</v>
      </c>
      <c r="DC153" s="16">
        <f>IF(ISNA(VLOOKUP(A153,'Données projet'!$A$149:$I$169,5,0)),0%,VLOOKUP(A153,'Données projet'!$A$149:$I$169,5,0)*VLOOKUP('Données projet'!$B$13,Paramètres!$A$1:$I$89,7,0))</f>
        <v>0</v>
      </c>
      <c r="DD153" s="16">
        <f>IF(ISNA(VLOOKUP(A153,'Données projet'!$A$149:$I$169,6,0)),0%,VLOOKUP(A153,'Données projet'!$A$149:$I$169,6,0)*VLOOKUP('Données projet'!$B$13,Paramètres!$A$1:$I$89,7,0))</f>
        <v>0</v>
      </c>
      <c r="DE153" s="16">
        <f>IF(ISNA(VLOOKUP(A153,'Données projet'!$A$149:$I$169,7,0)),0%,VLOOKUP(A153,'Données projet'!$A$149:$I$169,7,0))</f>
        <v>0</v>
      </c>
      <c r="DF153" s="21">
        <f>EXP(-LN(2)/35)*DF152+(1-EXP(-LN(2)/35))/(LN(2)/35)*DB153*DC153*VLOOKUP('Données projet'!$B$13,Paramètres!$A$1:$I$89,3,0)*0.475*44/12</f>
        <v>93.727429324720916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238"/>
        <v>93.727429324720916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projet'!$A$175:$I$195,2,0)</f>
        <v>#N/A</v>
      </c>
      <c r="DM153" s="12" t="e">
        <f>VLOOKUP(A153,'Données projet'!$A$175:$I$195,9,0)</f>
        <v>#N/A</v>
      </c>
      <c r="DN153" s="12">
        <f t="array" ref="DN153">INDEX(DM:DM,MIN(IF(ISNUMBER(DM153:DM349),ROW(DM153:DM349),"")))</f>
        <v>0</v>
      </c>
      <c r="DO153" s="12">
        <f>IF('Données projet'!$A$176&gt;35,DO152+DN153-DW152,IF(A153&lt;'Données projet'!$A$176,$DL$205^A153,IF(A153='Données projet'!$A$176,'Données projet'!$B$176,DO152+DN153-DW152)))</f>
        <v>-2.8421709430404007E-13</v>
      </c>
      <c r="DP153" s="17">
        <f>DO153*VLOOKUP('Données projet'!$B$14,Paramètres!$A$1:$I$89,3,0)*VLOOKUP('Données projet'!$B$14,Paramètres!$A$1:$I$89,5,0)</f>
        <v>-2.0838797354372215E-13</v>
      </c>
      <c r="DQ153" s="13" t="e">
        <f t="shared" si="296"/>
        <v>#NUM!</v>
      </c>
      <c r="DR153" s="20" t="e">
        <f t="shared" si="239"/>
        <v>#NUM!</v>
      </c>
      <c r="DS153" s="59" t="e">
        <f t="shared" si="240"/>
        <v>#NUM!</v>
      </c>
      <c r="DT153" s="59">
        <f ca="1">AVERAGE(OFFSET($DS$3,0,0,'Données projet'!$E$14+1,1))-AVERAGE(OFFSET($H$3,0,0,'Données projet'!$E$14+1,1))</f>
        <v>296.91321813251051</v>
      </c>
      <c r="DU153" s="59">
        <f t="shared" si="297"/>
        <v>291.0718079639509</v>
      </c>
      <c r="DV153" s="15">
        <f>IF(ISNA(VLOOKUP(A153,'Données projet'!$A$175:$I$195,3,0)),0,VLOOKUP(A153,'Données projet'!$A$175:$I$195,3,0))</f>
        <v>0</v>
      </c>
      <c r="DW153" s="15">
        <f>IF(ISNA(VLOOKUP(A153,'Données projet'!$A$175:$I$195,4,0)),0,VLOOKUP(A153,'Données projet'!$A$175:$I$195,4,0))</f>
        <v>0</v>
      </c>
      <c r="DX153" s="16">
        <f>IF(ISNA(VLOOKUP(A153,'Données projet'!$A$175:$I$195,5,0)),0%,VLOOKUP(A153,'Données projet'!$A$175:$I$195,5,0)*VLOOKUP('Données projet'!$B$14,Paramètres!$A$1:$I$89,7,0))</f>
        <v>0</v>
      </c>
      <c r="DY153" s="16">
        <f>IF(ISNA(VLOOKUP(A153,'Données projet'!$A$175:$I$195,6,0)),0%,VLOOKUP(A153,'Données projet'!$A$175:$I$195,6,0)*VLOOKUP('Données projet'!$B$14,Paramètres!$A$1:$I$89,7,0))</f>
        <v>0</v>
      </c>
      <c r="DZ153" s="16">
        <f>IF(ISNA(VLOOKUP(A153,'Données projet'!$A$175:$I$195,7,0)),0%,VLOOKUP(A153,'Données projet'!$A$175:$I$195,7,0))</f>
        <v>0</v>
      </c>
      <c r="EA153" s="21">
        <f>EXP(-LN(2)/35)*EA152+(1-EXP(-LN(2)/35))/(LN(2)/35)*DW153*DX153*VLOOKUP('Données projet'!$B$14,Paramètres!$A$1:$I$89,3,0)*0.475*44/12</f>
        <v>43.364592909639327</v>
      </c>
      <c r="EB153" s="21">
        <f>EXP(-LN(2)/25)*EB152+(1-EXP(-LN(2)/25))/(LN(2)/25)*Calculateur!DW153*Calculateur!DY153*VLOOKUP('Données projet'!$B$14,Paramètres!$A$1:$I$89,3,0)*0.475*44/12</f>
        <v>0.76889181332261736</v>
      </c>
      <c r="EC153" s="21">
        <f>EXP(-LN(2)/2)*EC152+(1-EXP(-LN(2)/2))/(LN(2)/2)*DW153*DZ153*VLOOKUP('Données projet'!$B$14,Paramètres!$A$1:$I$89,3,0)*0.475*44/12</f>
        <v>0</v>
      </c>
      <c r="ED153" s="22">
        <f t="shared" si="241"/>
        <v>44.133484722961946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projet'!$A$201:$I$221,2,0)</f>
        <v>#N/A</v>
      </c>
      <c r="EH153" s="12" t="e">
        <f>VLOOKUP(A153,'Données projet'!$A$201:$I$221,9,0)</f>
        <v>#N/A</v>
      </c>
      <c r="EI153" s="12">
        <f t="array" ref="EI153">INDEX(EH:EH,MIN(IF(ISNUMBER(EH153:EH349),ROW(EH153:EH349),"")))</f>
        <v>0</v>
      </c>
      <c r="EJ153" s="12">
        <f>IF('Données projet'!$A$202&gt;35,EJ152+EI153-ER152,IF(A153&lt;'Données projet'!$A$202,$EG$205^A153,IF(A153='Données projet'!$A$202,'Données projet'!$B$202,EJ152+EI153-ER152)))</f>
        <v>5.1159076974727213E-13</v>
      </c>
      <c r="EK153" s="17">
        <f>EJ153*VLOOKUP('Données projet'!$B$15,Paramètres!$A$1:$I$89,3,0)*VLOOKUP('Données projet'!$B$15,Paramètres!$A$1:$I$89,5,0)</f>
        <v>2.3942448024172334E-13</v>
      </c>
      <c r="EL153" s="13">
        <f t="shared" si="298"/>
        <v>3.2492669905861755E-12</v>
      </c>
      <c r="EM153" s="20">
        <f t="shared" si="242"/>
        <v>6.0761376450252565E-12</v>
      </c>
      <c r="EN153" s="59">
        <f t="shared" si="243"/>
        <v>293.3333333333394</v>
      </c>
      <c r="EO153" s="59">
        <f ca="1">AVERAGE(OFFSET($EN$3,0,0,'Données projet'!$E$15+1,1))-AVERAGE(OFFSET($H$3,0,0,'Données projet'!$E$15+1,1))</f>
        <v>147.64256291235483</v>
      </c>
      <c r="EP153" s="59">
        <f t="shared" si="299"/>
        <v>70.859031694091868</v>
      </c>
      <c r="EQ153" s="15">
        <f>IF(ISNA(VLOOKUP(A153,'Données projet'!$A$201:$I$221,3,0)),0,VLOOKUP(A153,'Données projet'!$A$201:$I$221,3,0))</f>
        <v>0</v>
      </c>
      <c r="ER153" s="15">
        <f>IF(ISNA(VLOOKUP(A153,'Données projet'!$A$201:$I$221,4,0)),0,VLOOKUP(A153,'Données projet'!$A$201:$I$221,4,0))</f>
        <v>0</v>
      </c>
      <c r="ES153" s="16">
        <f>IF(ISNA(VLOOKUP(A153,'Données projet'!$A$201:$I$221,5,0)),0%,VLOOKUP(A153,'Données projet'!$A$201:$I$221,5,0)*VLOOKUP('Données projet'!$B$15,Paramètres!$A$1:$I$89,7,0))</f>
        <v>0</v>
      </c>
      <c r="ET153" s="16">
        <f>IF(ISNA(VLOOKUP(A153,'Données projet'!$A$201:$I$221,6,0)),0%,VLOOKUP(A153,'Données projet'!$A$201:$I$221,6,0)*VLOOKUP('Données projet'!$B$15,Paramètres!$A$1:$I$89,7,0))</f>
        <v>0</v>
      </c>
      <c r="EU153" s="16">
        <f>IF(ISNA(VLOOKUP(A153,'Données projet'!$A$201:$I$221,7,0)),0%,VLOOKUP(A153,'Données projet'!$A$201:$I$221,7,0))</f>
        <v>0</v>
      </c>
      <c r="EV153" s="21">
        <f>EXP(-LN(2)/35)*EV152+(1-EXP(-LN(2)/35))/(LN(2)/35)*ER153*ES153*VLOOKUP('Données projet'!$B$15,Paramètres!$A$1:$I$89,3,0)*0.475*44/12</f>
        <v>59.366811242411451</v>
      </c>
      <c r="EW153" s="21">
        <f>EXP(-LN(2)/25)*EW152+(1-EXP(-LN(2)/25))/(LN(2)/25)*Calculateur!ER153*Calculateur!ET153*VLOOKUP('Données projet'!$B$15,Paramètres!$A$1:$I$89,3,0)*0.475*44/12</f>
        <v>10.667599264441998</v>
      </c>
      <c r="EX153" s="21">
        <f>EXP(-LN(2)/2)*EX152+(1-EXP(-LN(2)/2))/(LN(2)/2)*ER153*EU153*VLOOKUP('Données projet'!$B$15,Paramètres!$A$1:$I$89,3,0)*0.475*44/12</f>
        <v>1.2373430869474439E-5</v>
      </c>
      <c r="EY153" s="22">
        <f t="shared" si="244"/>
        <v>70.034422880284311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projet'!$A$227:$I$247,2,0)</f>
        <v>#N/A</v>
      </c>
      <c r="FC153" s="12" t="e">
        <f>VLOOKUP(A153,'Données projet'!$A$227:$I$247,9,0)</f>
        <v>#N/A</v>
      </c>
      <c r="FD153" s="12">
        <f t="array" ref="FD153">INDEX(FC:FC,MIN(IF(ISNUMBER(FC153:FC349),ROW(FC153:FC349),"")))</f>
        <v>0</v>
      </c>
      <c r="FE153" s="12">
        <f>IF('Données projet'!$A$228&gt;35,FE152+FD153-FM152,IF(A153&lt;'Données projet'!$A$228,$FB$205^A153,IF(A153='Données projet'!$A$228,'Données projet'!$B$228,FE152+FD153-FM152)))</f>
        <v>8.5265128291212022E-14</v>
      </c>
      <c r="FF153" s="17">
        <f>FE153*VLOOKUP('Données projet'!$B$16,Paramètres!$A$1:$I$89,3,0)*VLOOKUP('Données projet'!$B$16,Paramètres!$A$1:$I$89,5,0)</f>
        <v>8.9119112089974823E-14</v>
      </c>
      <c r="FG153" s="13">
        <f t="shared" si="300"/>
        <v>1.3568952080113142E-12</v>
      </c>
      <c r="FH153" s="20">
        <f t="shared" si="245"/>
        <v>2.5184749408430782E-12</v>
      </c>
      <c r="FI153" s="59">
        <f t="shared" si="246"/>
        <v>293.33333333333582</v>
      </c>
      <c r="FJ153" s="59">
        <f ca="1">AVERAGE(OFFSET($FI$3,0,0,'Données projet'!$E$16+1,1))-AVERAGE(OFFSET($H$3,0,0,'Données projet'!$E$16+1,1))</f>
        <v>259.03906550253788</v>
      </c>
      <c r="FK153" s="59">
        <f t="shared" si="301"/>
        <v>235.54542903570831</v>
      </c>
      <c r="FL153" s="15">
        <f>IF(ISNA(VLOOKUP(A153,'Données projet'!$A$227:$I$247,3,0)),0,VLOOKUP(A153,'Données projet'!$A$227:$I$247,3,0))</f>
        <v>0</v>
      </c>
      <c r="FM153" s="15">
        <f>IF(ISNA(VLOOKUP(A153,'Données projet'!$A$227:$I$247,4,0)),0,VLOOKUP(A153,'Données projet'!$A$227:$I$247,4,0))</f>
        <v>0</v>
      </c>
      <c r="FN153" s="16">
        <f>IF(ISNA(VLOOKUP(A153,'Données projet'!$A$227:$I$247,5,0)),0%,VLOOKUP(A153,'Données projet'!$A$227:$I$247,5,0)*VLOOKUP('Données projet'!$B$16,Paramètres!$A$1:$I$89,7,0))</f>
        <v>0</v>
      </c>
      <c r="FO153" s="16">
        <f>IF(ISNA(VLOOKUP(A153,'Données projet'!$A$227:$I$247,6,0)),0%,VLOOKUP(A153,'Données projet'!$A$227:$I$247,6,0)*VLOOKUP('Données projet'!$B$16,Paramètres!$A$1:$I$89,7,0))</f>
        <v>0</v>
      </c>
      <c r="FP153" s="16">
        <f>IF(ISNA(VLOOKUP(A153,'Données projet'!$A$227:$I$247,7,0)),0%,VLOOKUP(A153,'Données projet'!$A$227:$I$247,7,0))</f>
        <v>0</v>
      </c>
      <c r="FQ153" s="21">
        <f>EXP(-LN(2)/35)*FQ152+(1-EXP(-LN(2)/35))/(LN(2)/35)*FM153*FN153*VLOOKUP('Données projet'!$B$16,Paramètres!$A$1:$I$89,3,0)*0.475*44/12</f>
        <v>26.202897076419625</v>
      </c>
      <c r="FR153" s="21">
        <f>EXP(-LN(2)/25)*FR152+(1-EXP(-LN(2)/25))/(LN(2)/25)*Calculateur!FM153*Calculateur!FO153*VLOOKUP('Données projet'!$B$16,Paramètres!$A$1:$I$89,3,0)*0.475*44/12</f>
        <v>14.675145960091667</v>
      </c>
      <c r="FS153" s="21">
        <f>EXP(-LN(2)/2)*FS152+(1-EXP(-LN(2)/2))/(LN(2)/2)*FM153*FP153*VLOOKUP('Données projet'!$B$16,Paramètres!$A$1:$I$89,3,0)*0.475*44/12</f>
        <v>0</v>
      </c>
      <c r="FT153" s="22">
        <f t="shared" si="247"/>
        <v>40.878043036511293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projet'!$A$253:$I$273,2,0)</f>
        <v>#N/A</v>
      </c>
      <c r="FX153" s="12" t="e">
        <f>VLOOKUP(A153,'Données projet'!$A$253:$I$273,9,0)</f>
        <v>#N/A</v>
      </c>
      <c r="FY153" s="12">
        <f t="array" ref="FY153">INDEX(FX:FX,MIN(IF(ISNUMBER(FX153:FX349),ROW(FX153:FX349),"")))</f>
        <v>0</v>
      </c>
      <c r="FZ153" s="12">
        <f>IF('Données projet'!$A$254&gt;35,FZ152+FY153-GH152,IF(A153&lt;'Données projet'!$A$254,$FW$205^A153,IF(A153='Données projet'!$A$254,'Données projet'!$B$254,FZ152+FY153-GH152)))</f>
        <v>-1.7053025658242404E-13</v>
      </c>
      <c r="GA153" s="17">
        <f>FZ153*VLOOKUP('Données projet'!$B$17,Paramètres!$A$1:$I$89,3,0)*VLOOKUP('Données projet'!$B$17,Paramètres!$A$1:$I$89,5,0)</f>
        <v>-1.4897523215040567E-13</v>
      </c>
      <c r="GB153" s="13" t="e">
        <f t="shared" si="302"/>
        <v>#NUM!</v>
      </c>
      <c r="GC153" s="20" t="e">
        <f t="shared" si="248"/>
        <v>#NUM!</v>
      </c>
      <c r="GD153" s="59" t="e">
        <f t="shared" si="249"/>
        <v>#NUM!</v>
      </c>
      <c r="GE153" s="59">
        <f ca="1">AVERAGE(OFFSET($GD$3,0,0,'Données projet'!$E$17+1,1))-AVERAGE(OFFSET($H$3,0,0,'Données projet'!$E$17+1,1))</f>
        <v>245.1983232777614</v>
      </c>
      <c r="GF153" s="59">
        <f t="shared" si="303"/>
        <v>242.34010522344573</v>
      </c>
      <c r="GG153" s="15">
        <f>IF(ISNA(VLOOKUP(A153,'Données projet'!$A$253:$I$273,3,0)),0,VLOOKUP(A153,'Données projet'!$A$253:$I$273,3,0))</f>
        <v>0</v>
      </c>
      <c r="GH153" s="15">
        <f>IF(ISNA(VLOOKUP(A153,'Données projet'!$A$253:$I$273,4,0)),0,VLOOKUP(A153,'Données projet'!$A$253:$I$273,4,0))</f>
        <v>0</v>
      </c>
      <c r="GI153" s="16">
        <f>IF(ISNA(VLOOKUP(A153,'Données projet'!$A$253:$I$273,5,0)),0%,VLOOKUP(A153,'Données projet'!$A$253:$I$273,5,0)*VLOOKUP('Données projet'!$B$17,Paramètres!$A$1:$I$89,7,0))</f>
        <v>0</v>
      </c>
      <c r="GJ153" s="16">
        <f>IF(ISNA(VLOOKUP(A153,'Données projet'!$A$253:$I$273,6,0)),0%,VLOOKUP(A153,'Données projet'!$A$253:$I$273,6,0)*VLOOKUP('Données projet'!$B$17,Paramètres!$A$1:$I$89,7,0))</f>
        <v>0</v>
      </c>
      <c r="GK153" s="16">
        <f>IF(ISNA(VLOOKUP(A153,'Données projet'!$A$253:$I$273,7,0)),0%,VLOOKUP(A153,'Données projet'!$A$253:$I$273,7,0))</f>
        <v>0</v>
      </c>
      <c r="GL153" s="21">
        <f>EXP(-LN(2)/35)*GL152+(1-EXP(-LN(2)/35))/(LN(2)/35)*GH153*GI153*VLOOKUP('Données projet'!$B$17,Paramètres!$A$1:$I$89,3,0)*0.475*44/12</f>
        <v>30.805100610993684</v>
      </c>
      <c r="GM153" s="21">
        <f>EXP(-LN(2)/25)*GM152+(1-EXP(-LN(2)/25))/(LN(2)/25)*Calculateur!GH153*Calculateur!GJ153*VLOOKUP('Données projet'!$B$17,Paramètres!$A$1:$I$89,3,0)*0.475*44/12</f>
        <v>3.1269160935627593</v>
      </c>
      <c r="GN153" s="21">
        <f>EXP(-LN(2)/2)*GN152+(1-EXP(-LN(2)/2))/(LN(2)/2)*GH153*GK153*VLOOKUP('Données projet'!$B$17,Paramètres!$A$1:$I$89,3,0)*0.475*44/12</f>
        <v>0</v>
      </c>
      <c r="GO153" s="21">
        <f t="shared" si="250"/>
        <v>33.932016704556446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projet'!$A$279:$I$299,2,0)</f>
        <v>#N/A</v>
      </c>
      <c r="GS153" s="12" t="e">
        <f>VLOOKUP(A153,'Données projet'!$A$279:$I$299,9,0)</f>
        <v>#N/A</v>
      </c>
      <c r="GT153" s="12">
        <f t="array" ref="GT153">INDEX(GS:GS,MIN(IF(ISNUMBER(GS153:GS349),ROW(GS153:GS349),"")))</f>
        <v>0</v>
      </c>
      <c r="GU153" s="12">
        <f>IF('Données projet'!$A$280&gt;35,GU152+GT153-HC152,IF(A153&lt;'Données projet'!$A$280,$GR$205^A153,IF(A153='Données projet'!$A$280,'Données projet'!$B$280,GU152+GT153-HC152)))</f>
        <v>-1.1368683772161603E-13</v>
      </c>
      <c r="GV153" s="17">
        <f>GU153*VLOOKUP('Données projet'!$B$18,Paramètres!$A$1:$I$89,3,0)*VLOOKUP('Données projet'!$B$18,Paramètres!$A$1:$I$89,5,0)</f>
        <v>-4.5815795601811263E-14</v>
      </c>
      <c r="GW153" s="13" t="e">
        <f t="shared" si="304"/>
        <v>#NUM!</v>
      </c>
      <c r="GX153" s="20" t="e">
        <f t="shared" si="251"/>
        <v>#NUM!</v>
      </c>
      <c r="GY153" s="59" t="e">
        <f t="shared" si="252"/>
        <v>#NUM!</v>
      </c>
      <c r="GZ153" s="59">
        <f ca="1">AVERAGE(OFFSET($GY$3,0,0,'Données projet'!$E$18+1,1))-AVERAGE(OFFSET($H$3,0,0,'Données projet'!$E$18+1,1))</f>
        <v>324.36162935850876</v>
      </c>
      <c r="HA153" s="59">
        <f t="shared" si="305"/>
        <v>265.23571072429735</v>
      </c>
      <c r="HB153" s="15">
        <f>IF(ISNA(VLOOKUP(A153,'Données projet'!$A$279:$I$299,3,0)),0,VLOOKUP(A153,'Données projet'!$A$279:$I$299,3,0))</f>
        <v>0</v>
      </c>
      <c r="HC153" s="15">
        <f>IF(ISNA(VLOOKUP(A153,'Données projet'!$A$279:$I$299,4,0)),0,VLOOKUP(A153,'Données projet'!$A$279:$I$299,4,0))</f>
        <v>0</v>
      </c>
      <c r="HD153" s="16">
        <f>IF(ISNA(VLOOKUP(A153,'Données projet'!$A$279:$I$299,5,0)),0%,VLOOKUP(A153,'Données projet'!$A$279:$I$299,5,0)*VLOOKUP('Données projet'!$B$18,Paramètres!$A$1:$I$89,7,0))</f>
        <v>0</v>
      </c>
      <c r="HE153" s="16">
        <f>IF(ISNA(VLOOKUP(A153,'Données projet'!$A$279:$I$299,6,0)),0%,VLOOKUP(A153,'Données projet'!$A$279:$I$299,6,0)*VLOOKUP('Données projet'!$B$18,Paramètres!$A$1:$I$89,7,0))</f>
        <v>0</v>
      </c>
      <c r="HF153" s="16">
        <f>IF(ISNA(VLOOKUP($A153,'Données projet'!$A$279:$I$299,7,0)),0%,VLOOKUP($A153,'Données projet'!$A$279:$I$299,7,0))</f>
        <v>0</v>
      </c>
      <c r="HG153" s="21">
        <f>EXP(-LN(2)/35)*HG152+(1-EXP(-LN(2)/35))/(LN(2)/35)*HC153*HD153*VLOOKUP('Données projet'!$B$18,Paramètres!$A$1:$I$89,3,0)*0.475*44/12</f>
        <v>59.030625803412455</v>
      </c>
      <c r="HH153" s="21">
        <f>EXP(-LN(2)/25)*HH152+(1-EXP(-LN(2)/25))/(LN(2)/25)*Calculateur!HC153*Calculateur!HE153*VLOOKUP('Données projet'!$B$18,Paramètres!$A$1:$I$89,3,0)*0.475*44/12</f>
        <v>3.4776899951863784</v>
      </c>
      <c r="HI153" s="21">
        <f>EXP(-LN(2)/2)*HI152+(1-EXP(-LN(2)/2))/(LN(2)/2)*HC153*HF153*VLOOKUP('Données projet'!$B$18,Paramètres!$A$1:$I$89,3,0)*0.475*44/12</f>
        <v>2.4875654225994157E-10</v>
      </c>
      <c r="HJ153" s="22">
        <f t="shared" si="253"/>
        <v>62.50831579884759</v>
      </c>
      <c r="HK153" s="74">
        <f>('Scénario référence'!$F$8+'Scénario référence'!$F$9+'Scénario référence'!$B$17+'Scénario référence'!$B$9+'Scénario référence'!$B$10)*70+IF((45+25*(1-EXP(-0.0175*$A153)))&lt;70,'Scénario référence'!$B$16*(45+25*(1-EXP(-0.0175*$A153))),70*'Scénario référence'!$B$16)+IF((32+38*(1-EXP(-0.0175*$A153)))&lt;70,'Scénario référence'!$B$18*(32+38*(1-EXP(-0.0175*$A153))),70*'Scénario référence'!$B$18)</f>
        <v>70</v>
      </c>
      <c r="HL153" s="12">
        <f>IF($A153&gt;30,10,('Scénario référence'!$B$16+'Scénario référence'!$B$17+'Scénario référence'!$B$18+'Scénario référence'!$B$9+'Scénario référence'!$B$10)*$A153*10/30+('Scénario référence'!$F$8+'Scénario référence'!$F$9)*10)</f>
        <v>10</v>
      </c>
      <c r="HM153" s="12" t="e">
        <f>VLOOKUP($A153,'Données projet'!$A$304:$I$324,2,0)</f>
        <v>#N/A</v>
      </c>
      <c r="HN153" s="12" t="e">
        <f>VLOOKUP($A153,'Données projet'!$A$304:$I$324,9,0)</f>
        <v>#N/A</v>
      </c>
      <c r="HO153" s="12">
        <f t="array" ref="HO153">INDEX(HN:HN,MIN(IF(ISNUMBER(HN153:HN349),ROW(HN153:HN349),"")))</f>
        <v>0</v>
      </c>
      <c r="HP153" s="12">
        <f>IF('Données projet'!$A$304&gt;35,HP152+HO153-HX152,IF($A153&lt;'Données projet'!$A$304,$CQ$205^$A153,IF($A153='Données projet'!$A$304,'Données projet'!$B$304,HP152+HO153-HX152)))</f>
        <v>0</v>
      </c>
      <c r="HQ153" s="17">
        <f>HP153*VLOOKUP('Données projet'!$B$19,Paramètres!$A$1:$I$89,3,0)*VLOOKUP('Données projet'!$B$19,Paramètres!$A$1:$I$89,5,0)</f>
        <v>0</v>
      </c>
      <c r="HR153" s="13" t="e">
        <f t="shared" si="306"/>
        <v>#NUM!</v>
      </c>
      <c r="HS153" s="14" t="e">
        <f t="shared" si="254"/>
        <v>#NUM!</v>
      </c>
      <c r="HT153" s="59" t="e">
        <f t="shared" si="255"/>
        <v>#NUM!</v>
      </c>
      <c r="HU153" s="59">
        <f ca="1">AVERAGE(OFFSET(HT$3,0,0,'Données projet'!$E$19+1,1))-AVERAGE(OFFSET($H$3,0,0,'Données projet'!$E$19+1,1))</f>
        <v>91.60721429656013</v>
      </c>
      <c r="HV153" s="59">
        <f t="shared" si="307"/>
        <v>258.94957804210856</v>
      </c>
      <c r="HW153" s="15">
        <f>IF(ISNA(VLOOKUP($A153,'Données projet'!$A$304:$I$324,3,0)),0,VLOOKUP($A153,'Données projet'!$A$304:$I$324,3,0))</f>
        <v>0</v>
      </c>
      <c r="HX153" s="15">
        <f>IF(ISNA(VLOOKUP($A153,'Données projet'!$A$304:$I$324,4,0)),0,VLOOKUP($A153,'Données projet'!$A$304:$I$324,4,0))</f>
        <v>0</v>
      </c>
      <c r="HY153" s="16">
        <f>IF(ISNA(VLOOKUP($A153,'Données projet'!$A$304:$I$324,5,0)),0%,VLOOKUP($A153,'Données projet'!$A$304:$I$324,5,0)*VLOOKUP('Données projet'!$B$19,Paramètres!$A$1:$I$89,7,0))</f>
        <v>0</v>
      </c>
      <c r="HZ153" s="16">
        <f>IF(ISNA(VLOOKUP($A153,'Données projet'!$A$304:$I$324,6,0)),0%,VLOOKUP($A153,'Données projet'!$A$304:$I$324,6,0)*VLOOKUP('Données projet'!$B$19,Paramètres!$A$1:$I$89,7,0))</f>
        <v>0</v>
      </c>
      <c r="IA153" s="16">
        <f>IF(ISNA(VLOOKUP($A153,'Données projet'!$A$304:$I$324,7,0)),0%,VLOOKUP($A153,'Données projet'!$A$304:$I$324,7,0))</f>
        <v>0</v>
      </c>
      <c r="IB153" s="21">
        <f>EXP(-LN(2)/35)*IB152+(1-EXP(-LN(2)/35))/(LN(2)/35)*HX153*HY153*VLOOKUP('Données projet'!$B$19,Paramètres!$A$1:$I$89,3,0)*0.475*44/12</f>
        <v>4.5817573419903894</v>
      </c>
      <c r="IC153" s="21">
        <f>EXP(-LN(2)/25)*IC152+(1-EXP(-LN(2)/25))/(LN(2)/25)*Calculateur!HX153*Calculateur!HZ153*VLOOKUP('Données projet'!$B$19,Paramètres!$A$1:$I$89,3,0)*0.475*44/12</f>
        <v>0.34919448846070905</v>
      </c>
      <c r="ID153" s="21">
        <f>EXP(-LN(2)/2)*ID152+(1-EXP(-LN(2)/2))/(LN(2)/2)*HX153*IA153*VLOOKUP('Données projet'!$B$19,Paramètres!$A$1:$I$89,3,0)*0.475*44/12</f>
        <v>4.9687017672493112E-19</v>
      </c>
      <c r="IE153" s="22">
        <f t="shared" si="256"/>
        <v>4.9309518304510984</v>
      </c>
      <c r="IF153" s="74">
        <f>('Scénario référence'!$F$8+'Scénario référence'!$F$9+'Scénario référence'!$B$17+'Scénario référence'!$B$9+'Scénario référence'!$B$10)*70+IF((45+25*(1-EXP(-0.0175*$A153)))&lt;70,'Scénario référence'!$B$16*(45+25*(1-EXP(-0.0175*$A153))),70*'Scénario référence'!$B$16)+IF((32+38*(1-EXP(-0.0175*$A153)))&lt;70,'Scénario référence'!$B$18*(32+38*(1-EXP(-0.0175*$A153))),70*'Scénario référence'!$B$18)</f>
        <v>70</v>
      </c>
      <c r="IG153" s="12">
        <f>IF($A153&gt;30,10,('Scénario référence'!$B$16+'Scénario référence'!$B$17+'Scénario référence'!$B$18+'Scénario référence'!$B$9+'Scénario référence'!$B$10)*$A153*10/30+('Scénario référence'!$F$8+'Scénario référence'!$F$9)*10)</f>
        <v>10</v>
      </c>
      <c r="IH153" s="12" t="e">
        <f>VLOOKUP($A153,'Données projet'!$A$330:$I$350,2,0)</f>
        <v>#N/A</v>
      </c>
      <c r="II153" s="12" t="e">
        <f>VLOOKUP($A153,'Données projet'!$A$330:$I$350,9,0)</f>
        <v>#N/A</v>
      </c>
      <c r="IJ153" s="12">
        <f t="array" ref="IJ153">INDEX(II:II,MIN(IF(ISNUMBER(II153:II349),ROW(II153:II349),"")))</f>
        <v>0</v>
      </c>
      <c r="IK153" s="12">
        <f>IF('Données projet'!$A$330&gt;35,IK152+IJ153-IS152,IF($A153&lt;'Données projet'!$A$330,$CQ$205^$A153,IF($A153='Données projet'!$A$330,'Données projet'!$B$330,IK152+IJ153-IS152)))</f>
        <v>0</v>
      </c>
      <c r="IL153" s="17">
        <f>IK153*VLOOKUP('Données projet'!$B$20,Paramètres!$A$1:$I$89,3,0)*VLOOKUP('Données projet'!$B$20,Paramètres!$A$1:$I$89,5,0)</f>
        <v>0</v>
      </c>
      <c r="IM153" s="13" t="e">
        <f t="shared" si="308"/>
        <v>#NUM!</v>
      </c>
      <c r="IN153" s="20" t="e">
        <f t="shared" si="257"/>
        <v>#NUM!</v>
      </c>
      <c r="IO153" s="59" t="e">
        <f t="shared" si="258"/>
        <v>#NUM!</v>
      </c>
      <c r="IP153" s="59">
        <f ca="1">AVERAGE(OFFSET(IO$3,0,0,'Données projet'!$E$20+1,1))-AVERAGE(OFFSET($H$3,0,0,'Données projet'!$E$20+1,1))</f>
        <v>91.60721429656013</v>
      </c>
      <c r="IQ153" s="59">
        <f t="shared" si="309"/>
        <v>258.94957804210856</v>
      </c>
      <c r="IR153" s="15">
        <f>IF(ISNA(VLOOKUP($A153,'Données projet'!$A$330:$I$350,3,0)),0,VLOOKUP($A153,'Données projet'!$A$330:$I$350,3,0))</f>
        <v>0</v>
      </c>
      <c r="IS153" s="15">
        <f>IF(ISNA(VLOOKUP($A153,'Données projet'!$A$330:$I$350,4,0)),0,VLOOKUP($A153,'Données projet'!$A$330:$I$350,4,0))</f>
        <v>0</v>
      </c>
      <c r="IT153" s="16">
        <f>IF(ISNA(VLOOKUP($A153,'Données projet'!$A$330:$I$350,5,0)),0%,VLOOKUP($A153,'Données projet'!$A$330:$I$350,5,0)*VLOOKUP('Données projet'!$B$20,Paramètres!$A$1:$I$89,7,0))</f>
        <v>0</v>
      </c>
      <c r="IU153" s="16">
        <f>IF(ISNA(VLOOKUP($A153,'Données projet'!$A$330:$I$350,6,0)),0%,VLOOKUP($A153,'Données projet'!$A$330:$I$350,6,0)*VLOOKUP('Données projet'!$B$20,Paramètres!$A$1:$I$89,7,0))</f>
        <v>0</v>
      </c>
      <c r="IV153" s="16">
        <f>IF(ISNA(VLOOKUP($A153,'Données projet'!$A$330:$I$350,7,0)),0%,VLOOKUP($A153,'Données projet'!$A$330:$I$350,7,0))</f>
        <v>0</v>
      </c>
      <c r="IW153" s="21">
        <f>EXP(-LN(2)/35)*IW152+(1-EXP(-LN(2)/35))/(LN(2)/35)*IS153*IT153*VLOOKUP('Données projet'!$B$20,Paramètres!$A$1:$I$89,3,0)*0.475*44/12</f>
        <v>4.5817573419903894</v>
      </c>
      <c r="IX153" s="21">
        <f>EXP(-LN(2)/25)*IX152+(1-EXP(-LN(2)/25))/(LN(2)/25)*Calculateur!IS153*Calculateur!IU153*VLOOKUP('Données projet'!$B$20,Paramètres!$A$1:$I$89,3,0)*0.475*44/12</f>
        <v>0.34919448846070905</v>
      </c>
      <c r="IY153" s="21">
        <f>EXP(-LN(2)/2)*IY152+(1-EXP(-LN(2)/2))/(LN(2)/2)*IS153*IV153*VLOOKUP('Données projet'!$B$20,Paramètres!$A$1:$I$89,3,0)*0.475*44/12</f>
        <v>4.9687017672493112E-19</v>
      </c>
      <c r="IZ153" s="22">
        <f t="shared" si="259"/>
        <v>4.9309518304510984</v>
      </c>
      <c r="JA153" s="74">
        <f>('Scénario référence'!$F$8+'Scénario référence'!$F$9+'Scénario référence'!$B$17+'Scénario référence'!$B$9+'Scénario référence'!$B$10)*70+IF((45+25*(1-EXP(-0.0175*$A153)))&lt;70,'Scénario référence'!$B$16*(45+25*(1-EXP(-0.0175*$A153))),70*'Scénario référence'!$B$16)+IF((32+38*(1-EXP(-0.0175*$A153)))&lt;70,'Scénario référence'!$B$18*(32+38*(1-EXP(-0.0175*$A153))),70*'Scénario référence'!$B$18)</f>
        <v>70</v>
      </c>
      <c r="JB153" s="12">
        <f>IF($A153&gt;30,10,('Scénario référence'!$B$16+'Scénario référence'!$B$17+'Scénario référence'!$B$18+'Scénario référence'!$B$9+'Scénario référence'!$B$10)*$A153*10/30+('Scénario référence'!$F$8+'Scénario référence'!$F$9)*10)</f>
        <v>10</v>
      </c>
      <c r="JC153" s="12">
        <f>VLOOKUP($A153,'Données projet'!$A$356:$I$376,2,0)</f>
        <v>448</v>
      </c>
      <c r="JD153" s="12">
        <f>VLOOKUP($A153,'Données projet'!$A$356:$I$376,9,0)</f>
        <v>1.4</v>
      </c>
      <c r="JE153" s="12">
        <f t="array" ref="JE153">INDEX(JD:JD,MIN(IF(ISNUMBER(JD153:JD349),ROW(JD153:JD349),"")))</f>
        <v>1.4</v>
      </c>
      <c r="JF153" s="12">
        <f>IF('Données projet'!$A$356&gt;35,JF152+JE153-JN152,IF($A153&lt;'Données projet'!$A$356,$CQ$205^$A153,IF($A153='Données projet'!$A$356,'Données projet'!$B$356,JF152+JE153-JN152)))</f>
        <v>447.99999999999869</v>
      </c>
      <c r="JG153" s="17">
        <f>JF153*VLOOKUP('Données projet'!$B$21,Paramètres!$A$1:$I$89,3,0)*VLOOKUP('Données projet'!$B$21,Paramètres!$A$1:$I$89,5,0)</f>
        <v>363.41759999999897</v>
      </c>
      <c r="JH153" s="13">
        <f t="shared" si="310"/>
        <v>84.319256337551096</v>
      </c>
      <c r="JI153" s="20">
        <f t="shared" si="260"/>
        <v>779.80835812123303</v>
      </c>
      <c r="JJ153" s="59">
        <f t="shared" si="261"/>
        <v>1073.1416914545664</v>
      </c>
      <c r="JK153" s="59">
        <f ca="1">AVERAGE(OFFSET($JJ$3,0,0,'Données projet'!$E$22+1,1))-AVERAGE(OFFSET($H$3,0,0,'Données projet'!$E$22+1,1))</f>
        <v>353.35574633294613</v>
      </c>
      <c r="JL153" s="59">
        <f t="shared" si="311"/>
        <v>170.36796666474726</v>
      </c>
      <c r="JM153" s="15">
        <f>IF(ISNA(VLOOKUP($A153,'Données projet'!$A$356:$I$376,3,0)),0,VLOOKUP($A153,'Données projet'!$A$356:$I$376,3,0))</f>
        <v>16</v>
      </c>
      <c r="JN153" s="15">
        <f>IF(ISNA(VLOOKUP($A153,'Données projet'!$A$356:$I$376,4,0)),0,VLOOKUP($A153,'Données projet'!$A$356:$I$376,4,0))</f>
        <v>448</v>
      </c>
      <c r="JO153" s="16">
        <f>IF(ISNA(VLOOKUP($A153,'Données projet'!$A$356:$I$376,5,0)),0%,VLOOKUP($A153,'Données projet'!$A$356:$I$376,5,0)*VLOOKUP('Données projet'!$B$21,Paramètres!$A$1:$I$89,7,0))</f>
        <v>0.17200000000000001</v>
      </c>
      <c r="JP153" s="16">
        <f>IF(ISNA(VLOOKUP($A153,'Données projet'!$A$356:$I$376,6,0)),0%,VLOOKUP($A153,'Données projet'!$A$356:$I$376,6,0)*VLOOKUP('Données projet'!$B$21,Paramètres!$A$1:$I$89,7,0))</f>
        <v>0.17200000000000001</v>
      </c>
      <c r="JQ153" s="16">
        <f>IF(ISNA(VLOOKUP($A153,'Données projet'!$A$356:$I$376,7,0)),0%,VLOOKUP($A153,'Données projet'!$A$356:$I$376,7,0))</f>
        <v>0.1</v>
      </c>
      <c r="JR153" s="21">
        <f>EXP(-LN(2)/35)*JR152+(1-EXP(-LN(2)/35))/(LN(2)/35)*JN153*JO153*VLOOKUP('Données projet'!$B$21,Paramètres!$A$1:$I$89,3,0)*0.475*44/12</f>
        <v>73.452402165503415</v>
      </c>
      <c r="JS153" s="21">
        <f>EXP(-LN(2)/25)*JS152+(1-EXP(-LN(2)/25))/(LN(2)/25)*Calculateur!JN153*Calculateur!JP153*VLOOKUP('Données projet'!$B$21,Paramètres!$A$1:$I$89,3,0)*0.475*44/12</f>
        <v>76.42692321070632</v>
      </c>
      <c r="JT153" s="21">
        <f>EXP(-LN(2)/2)*JT152+(1-EXP(-LN(2)/2))/(LN(2)/2)*JN153*JQ153*VLOOKUP('Données projet'!$B$21,Paramètres!$A$1:$I$89,3,0)*0.475*44/12</f>
        <v>34.290926911562138</v>
      </c>
      <c r="JU153" s="18">
        <f t="shared" si="262"/>
        <v>184.17025228777189</v>
      </c>
      <c r="JV153" s="74">
        <f>('Scénario référence'!$F$8+'Scénario référence'!$F$9+'Scénario référence'!$B$17+'Scénario référence'!$B$9+'Scénario référence'!$B$10)*70+IF((45+25*(1-EXP(-0.0175*$A153)))&lt;70,'Scénario référence'!$B$16*(45+25*(1-EXP(-0.0175*$A153))),70*'Scénario référence'!$B$16)+IF((32+38*(1-EXP(-0.0175*$A153)))&lt;70,'Scénario référence'!$B$18*(32+38*(1-EXP(-0.0175*$A153))),70*'Scénario référence'!$B$18)</f>
        <v>70</v>
      </c>
      <c r="JW153" s="12">
        <f>IF($A153&gt;30,10,('Scénario référence'!$B$16+'Scénario référence'!$B$17+'Scénario référence'!$B$18+'Scénario référence'!$B$9+'Scénario référence'!$B$10)*$A153*10/30+('Scénario référence'!$F$8+'Scénario référence'!$F$9)*10)</f>
        <v>10</v>
      </c>
      <c r="JX153" s="12" t="e">
        <f>VLOOKUP($A153,'Données projet'!$A$382:$I$402,2,0)</f>
        <v>#N/A</v>
      </c>
      <c r="JY153" s="12" t="e">
        <f>VLOOKUP($A153,'Données projet'!$A$382:$I$402,9,0)</f>
        <v>#N/A</v>
      </c>
      <c r="JZ153" s="12">
        <f t="array" ref="JZ153">INDEX(JY:JY,MIN(IF(ISNUMBER(JY153:JY349),ROW(JY153:JY349),"")))</f>
        <v>0</v>
      </c>
      <c r="KA153" s="12">
        <f>IF('Données projet'!$A$382&gt;35,KA152+JZ153-KI152,IF($A153&lt;'Données projet'!$A$382,$CQ$205^$A153,IF($A153='Données projet'!$A$382,'Données projet'!$B$382,KA152+JZ153-KI152)))</f>
        <v>5.6843418860808015E-13</v>
      </c>
      <c r="KB153" s="17">
        <f>KA153*VLOOKUP('Données projet'!$B$22,Paramètres!$A$1:$I$89,3,0)*VLOOKUP('Données projet'!$B$22,Paramètres!$A$1:$I$89,5,0)</f>
        <v>3.8130565371830017E-13</v>
      </c>
      <c r="KC153" s="13">
        <f t="shared" si="312"/>
        <v>4.9019074112354236E-12</v>
      </c>
      <c r="KD153" s="20">
        <f t="shared" si="263"/>
        <v>9.2015960881277352E-12</v>
      </c>
      <c r="KE153" s="59">
        <f t="shared" si="264"/>
        <v>293.33333333334252</v>
      </c>
      <c r="KF153" s="59">
        <f ca="1">AVERAGE(OFFSET($KE$3,0,0,'Données projet'!$E$22+1,1))-AVERAGE(OFFSET($H$3,0,0,'Données projet'!$E$22+1,1))</f>
        <v>193.91714772848269</v>
      </c>
      <c r="KG153" s="59">
        <f t="shared" si="313"/>
        <v>159.20429420478047</v>
      </c>
      <c r="KH153" s="15">
        <f>IF(ISNA(VLOOKUP($A153,'Données projet'!$A$382:$I$402,3,0)),0,VLOOKUP($A153,'Données projet'!$A$382:$I$402,3,0))</f>
        <v>0</v>
      </c>
      <c r="KI153" s="15">
        <f>IF(ISNA(VLOOKUP($A153,'Données projet'!$A$382:$I$402,4,0)),0,VLOOKUP($A153,'Données projet'!$A$382:$I$402,4,0))</f>
        <v>0</v>
      </c>
      <c r="KJ153" s="16">
        <f>IF(ISNA(VLOOKUP($A153,'Données projet'!$A$382:$I$402,5,0)),0%,VLOOKUP($A153,'Données projet'!$A$382:$I$402,5,0)*VLOOKUP('Données projet'!$B$22,Paramètres!$A$1:$I$89,7,0))</f>
        <v>0</v>
      </c>
      <c r="KK153" s="16">
        <f>IF(ISNA(VLOOKUP($A153,'Données projet'!$A$382:$I$402,6,0)),0%,VLOOKUP($A153,'Données projet'!$A$382:$I$402,6,0)*VLOOKUP('Données projet'!$B$22,Paramètres!$A$1:$I$89,7,0))</f>
        <v>0</v>
      </c>
      <c r="KL153" s="16">
        <f>IF(ISNA(VLOOKUP($A153,'Données projet'!$A$382:$I$402,7,0)),0%,VLOOKUP($A153,'Données projet'!$A$382:$I$402,7,0))</f>
        <v>0</v>
      </c>
      <c r="KM153" s="21">
        <f>EXP(-LN(2)/35)*KM152+(1-EXP(-LN(2)/35))/(LN(2)/35)*KI153*KJ153*VLOOKUP('Données projet'!$B$22,Paramètres!$A$1:$I$89,3,0)*0.475*44/12</f>
        <v>107.24861404360415</v>
      </c>
      <c r="KN153" s="21">
        <f>EXP(-LN(2)/25)*KN152+(1-EXP(-LN(2)/25))/(LN(2)/25)*Calculateur!KI153*Calculateur!KK153*VLOOKUP('Données projet'!$B$22,Paramètres!$A$1:$I$89,3,0)*0.475*44/12</f>
        <v>0</v>
      </c>
      <c r="KO153" s="21">
        <f>EXP(-LN(2)/2)*KO152+(1-EXP(-LN(2)/2))/(LN(2)/2)*KI153*KL153*VLOOKUP('Données projet'!$B$22,Paramètres!$A$1:$I$89,3,0)*0.475*44/12</f>
        <v>0</v>
      </c>
      <c r="KP153" s="22">
        <f t="shared" si="265"/>
        <v>107.24861404360415</v>
      </c>
      <c r="KQ153" s="74">
        <f>('Scénario référence'!$F$8+'Scénario référence'!$F$9+'Scénario référence'!$B$17+'Scénario référence'!$B$9+'Scénario référence'!$B$10)*70+IF((45+25*(1-EXP(-0.0175*$A153)))&lt;70,'Scénario référence'!$B$16*(45+25*(1-EXP(-0.0175*$A153))),70*'Scénario référence'!$B$16)+IF((32+38*(1-EXP(-0.0175*$A153)))&lt;70,'Scénario référence'!$B$18*(32+38*(1-EXP(-0.0175*$A153))),70*'Scénario référence'!$B$18)</f>
        <v>70</v>
      </c>
      <c r="KR153" s="12">
        <f>IF($A153&gt;30,10,('Scénario référence'!$B$16+'Scénario référence'!$B$17+'Scénario référence'!$B$18+'Scénario référence'!$B$9+'Scénario référence'!$B$10)*$A153*10/30+('Scénario référence'!$F$8+'Scénario référence'!$F$9)*10)</f>
        <v>10</v>
      </c>
      <c r="KS153" s="12" t="e">
        <f>VLOOKUP($A153,'Données projet'!$A$408:$I$428,2,0)</f>
        <v>#N/A</v>
      </c>
      <c r="KT153" s="12" t="e">
        <f>VLOOKUP($A153,'Données projet'!$A$408:$I$428,9,0)</f>
        <v>#N/A</v>
      </c>
      <c r="KU153" s="12">
        <f t="array" ref="KU153">INDEX(KT:KT,MIN(IF(ISNUMBER(KT153:KT349),ROW(KT153:KT349),"")))</f>
        <v>0</v>
      </c>
      <c r="KV153" s="12">
        <f>IF('Données projet'!$A$408&gt;35,KV152+KU153-LD152,IF($A153&lt;'Données projet'!$A$408,$CQ$205^$A153,IF($A153='Données projet'!$A$408,'Données projet'!$B$408,KV152+KU153-LD152)))</f>
        <v>-1.1368683772161603E-13</v>
      </c>
      <c r="KW153" s="17">
        <f>KV153*VLOOKUP('Données projet'!$B$23,Paramètres!$A$1:$I$89,3,0)*VLOOKUP('Données projet'!$B$23,Paramètres!$A$1:$I$89,5,0)</f>
        <v>-9.9316821433603781E-14</v>
      </c>
      <c r="KX153" s="13" t="e">
        <f t="shared" si="314"/>
        <v>#NUM!</v>
      </c>
      <c r="KY153" s="14" t="e">
        <f t="shared" si="266"/>
        <v>#NUM!</v>
      </c>
      <c r="KZ153" s="59" t="e">
        <f t="shared" si="267"/>
        <v>#NUM!</v>
      </c>
      <c r="LA153" s="59">
        <f ca="1">AVERAGE(OFFSET($KZ$3,0,0,'Données projet'!$E$23+1,1))-AVERAGE(OFFSET($H$3,0,0,'Données projet'!$E$23+1,1))</f>
        <v>248.33596943633819</v>
      </c>
      <c r="LB153" s="59">
        <f t="shared" si="315"/>
        <v>242.34010522344573</v>
      </c>
      <c r="LC153" s="15">
        <f>IF(ISNA(VLOOKUP($A153,'Données projet'!$A$408:$I$428,3,0)),0,VLOOKUP($A153,'Données projet'!$A$408:$I$428,3,0))</f>
        <v>0</v>
      </c>
      <c r="LD153" s="15">
        <f>IF(ISNA(VLOOKUP($A153,'Données projet'!$A$408:$I$428,4,0)),0,VLOOKUP($A153,'Données projet'!$A$408:$I$428,4,0))</f>
        <v>0</v>
      </c>
      <c r="LE153" s="16">
        <f>IF(ISNA(VLOOKUP($A153,'Données projet'!$A$408:$I$428,5,0)),0%,VLOOKUP($A153,'Données projet'!$A$408:$I$428,5,0)*VLOOKUP('Données projet'!$B$23,Paramètres!$A$1:$I$89,7,0))</f>
        <v>0</v>
      </c>
      <c r="LF153" s="16">
        <f>IF(ISNA(VLOOKUP($A153,'Données projet'!$A$408:$I$428,6,0)),0%,VLOOKUP($A153,'Données projet'!$A$408:$I$428,6,0)*VLOOKUP('Données projet'!$B$23,Paramètres!$A$1:$I$89,7,0))</f>
        <v>0</v>
      </c>
      <c r="LG153" s="16">
        <f>IF(ISNA(VLOOKUP($A153,'Données projet'!$A$408:$I$428,7,0)),0%,VLOOKUP($A153,'Données projet'!$A$408:$I$428,7,0))</f>
        <v>0</v>
      </c>
      <c r="LH153" s="21">
        <f>EXP(-LN(2)/35)*LH152+(1-EXP(-LN(2)/35))/(LN(2)/35)*LD153*LE153*VLOOKUP('Données projet'!$B$23,Paramètres!$A$1:$I$89,3,0)*0.475*44/12</f>
        <v>30.805100610993684</v>
      </c>
      <c r="LI153" s="21">
        <f>EXP(-LN(2)/25)*LI152+(1-EXP(-LN(2)/25))/(LN(2)/25)*Calculateur!LD153*Calculateur!LF153*VLOOKUP('Données projet'!$B$23,Paramètres!$A$1:$I$89,3,0)*0.475*44/12</f>
        <v>3.1269160935627593</v>
      </c>
      <c r="LJ153" s="21">
        <f>EXP(-LN(2)/2)*LJ152+(1-EXP(-LN(2)/2))/(LN(2)/2)*LD153*LG153*VLOOKUP('Données projet'!$B$23,Paramètres!$A$1:$I$89,3,0)*0.475*44/12</f>
        <v>0</v>
      </c>
      <c r="LK153" s="22">
        <f t="shared" si="268"/>
        <v>33.932016704556446</v>
      </c>
      <c r="LL153" s="74">
        <f>('Scénario référence'!$F$8+'Scénario référence'!$F$9+'Scénario référence'!$B$17+'Scénario référence'!$B$9+'Scénario référence'!$B$10)*70+IF((45+25*(1-EXP(-0.0175*$A153)))&lt;70,'Scénario référence'!$B$16*(45+25*(1-EXP(-0.0175*$A153))),70*'Scénario référence'!$B$16)+IF((32+38*(1-EXP(-0.0175*$A153)))&lt;70,'Scénario référence'!$B$18*(32+38*(1-EXP(-0.0175*$A153))),70*'Scénario référence'!$B$18)</f>
        <v>70</v>
      </c>
      <c r="LM153" s="12">
        <f>IF($A153&gt;30,10,('Scénario référence'!$B$16+'Scénario référence'!$B$17+'Scénario référence'!$B$18+'Scénario référence'!$B$9+'Scénario référence'!$B$10)*$A153*10/30+('Scénario référence'!$F$8+'Scénario référence'!$F$9)*10)</f>
        <v>10</v>
      </c>
      <c r="LN153" s="12" t="e">
        <f>VLOOKUP($A153,'Données projet'!$A$434:$I$454,2,0)</f>
        <v>#N/A</v>
      </c>
      <c r="LO153" s="12" t="e">
        <f>VLOOKUP($A153,'Données projet'!$A$434:$I$454,9,0)</f>
        <v>#N/A</v>
      </c>
      <c r="LP153" s="12">
        <f t="array" ref="LP153">INDEX(LO:LO,MIN(IF(ISNUMBER(LO153:LO349),ROW(LO153:LO349),"")))</f>
        <v>3.0945512820512704</v>
      </c>
      <c r="LQ153" s="12">
        <f>IF('Données projet'!$A$434&gt;35,LQ152+LP153-LY152,IF($A153&lt;'Données projet'!$A$434,$CQ$205^$A153,IF($A153='Données projet'!$A$434,'Données projet'!$B$434,LQ152+LP153-LY152)))</f>
        <v>185.77403846153794</v>
      </c>
      <c r="LR153" s="17">
        <f>LQ153*VLOOKUP('Données projet'!$B$24,Paramètres!$A$1:$I$89,3,0)*VLOOKUP('Données projet'!$B$24,Paramètres!$A$1:$I$89,5,0)</f>
        <v>188.37487499999949</v>
      </c>
      <c r="LS153" s="13">
        <f t="shared" si="316"/>
        <v>47.180481359608336</v>
      </c>
      <c r="LT153" s="14">
        <f t="shared" si="269"/>
        <v>410.25891232631693</v>
      </c>
      <c r="LU153" s="59">
        <f t="shared" si="270"/>
        <v>703.59224565965019</v>
      </c>
      <c r="LV153" s="59">
        <f ca="1">AVERAGE(OFFSET($LU$3,0,0,'Données projet'!$E$24+1,1))-AVERAGE(OFFSET($H$3,0,0,'Données projet'!$E$24+1,1))</f>
        <v>260.52627655062872</v>
      </c>
      <c r="LW153" s="59">
        <f t="shared" si="317"/>
        <v>159.20429420478047</v>
      </c>
      <c r="LX153" s="15">
        <f>IF(ISNA(VLOOKUP($A153,'Données projet'!$A$434:$I$454,3,0)),0,VLOOKUP($A153,'Données projet'!$A$434:$I$454,3,0))</f>
        <v>0</v>
      </c>
      <c r="LY153" s="15">
        <f>IF(ISNA(VLOOKUP($A153,'Données projet'!$A$434:$I$454,4,0)),0,VLOOKUP($A153,'Données projet'!$A$434:$I$454,4,0))</f>
        <v>0</v>
      </c>
      <c r="LZ153" s="16">
        <f>IF(ISNA(VLOOKUP($A153,'Données projet'!$A$434:$I$454,5,0)),0%,VLOOKUP($A153,'Données projet'!$A$434:$I$454,5,0)*VLOOKUP('Données projet'!$B$24,Paramètres!$A$1:$I$89,7,0))</f>
        <v>0</v>
      </c>
      <c r="MA153" s="16">
        <f>IF(ISNA(VLOOKUP($A153,'Données projet'!$A$434:$I$454,6,0)),0%,VLOOKUP($A153,'Données projet'!$A$434:$I$454,6,0)*VLOOKUP('Données projet'!$B$24,Paramètres!$A$1:$I$89,7,0))</f>
        <v>0</v>
      </c>
      <c r="MB153" s="16">
        <f>IF(ISNA(VLOOKUP($A153,'Données projet'!$A$434:$I$454,7,0)),0%,VLOOKUP($A153,'Données projet'!$A$434:$I$454,7,0))</f>
        <v>0</v>
      </c>
      <c r="MC153" s="21">
        <f>EXP(-LN(2)/35)*MC152+(1-EXP(-LN(2)/35))/(LN(2)/35)*LY153*LZ153*VLOOKUP('Données projet'!$B$24,Paramètres!$A$1:$I$89,3,0)*0.475*44/12</f>
        <v>93.727429324720916</v>
      </c>
      <c r="MD153" s="21">
        <f>EXP(-LN(2)/25)*MD152+(1-EXP(-LN(2)/25))/(LN(2)/25)*Calculateur!LY153*Calculateur!MA153*VLOOKUP('Données projet'!$B$24,Paramètres!$A$1:$I$89,3,0)*0.475*44/12</f>
        <v>0</v>
      </c>
      <c r="ME153" s="21">
        <f>EXP(-LN(2)/2)*ME152+(1-EXP(-LN(2)/2))/(LN(2)/2)*LY153*MB153*VLOOKUP('Données projet'!$B$24,Paramètres!$A$1:$I$89,3,0)*0.475*44/12</f>
        <v>0</v>
      </c>
      <c r="MF153" s="22">
        <f t="shared" si="271"/>
        <v>93.727429324720916</v>
      </c>
      <c r="MG153" s="74">
        <f>('Scénario référence'!$F$8+'Scénario référence'!$F$9+'Scénario référence'!$B$17+'Scénario référence'!$B$9+'Scénario référence'!$B$10)*70+IF((45+25*(1-EXP(-0.0175*$A153)))&lt;70,'Scénario référence'!$B$16*(45+25*(1-EXP(-0.0175*$A153))),70*'Scénario référence'!$B$16)+IF((32+38*(1-EXP(-0.0175*$A153)))&lt;70,'Scénario référence'!$B$18*(32+38*(1-EXP(-0.0175*$A153))),70*'Scénario référence'!$B$18)</f>
        <v>70</v>
      </c>
      <c r="MH153" s="12">
        <f>IF($A153&gt;30,10,('Scénario référence'!$B$16+'Scénario référence'!$B$17+'Scénario référence'!$B$18+'Scénario référence'!$B$9+'Scénario référence'!$B$10)*$A153*10/30+('Scénario référence'!$F$8+'Scénario référence'!$F$9)*10)</f>
        <v>10</v>
      </c>
      <c r="MI153" s="12" t="e">
        <f>VLOOKUP($A153,'Données projet'!$A$460:$I$480,2,0)</f>
        <v>#N/A</v>
      </c>
      <c r="MJ153" s="12" t="e">
        <f>VLOOKUP($A153,'Données projet'!$A$460:$I$480,9,0)</f>
        <v>#N/A</v>
      </c>
      <c r="MK153" s="12">
        <f t="array" ref="MK153">INDEX(MJ:MJ,MIN(IF(ISNUMBER(MJ153:MJ349),ROW(MJ153:MJ349),"")))</f>
        <v>0</v>
      </c>
      <c r="ML153" s="12">
        <f>IF('Données projet'!$A$460&gt;35,ML152+MK153-MT152,IF($A153&lt;'Données projet'!$A$460,$CQ$205^$A153,IF($A153='Données projet'!$A$460,'Données projet'!$B$460,ML152+MK153-MT152)))</f>
        <v>0</v>
      </c>
      <c r="MM153" s="17" t="e">
        <f>ML153*VLOOKUP('Données projet'!$B$25,Paramètres!$A$1:$I$89,3,0)*VLOOKUP('Données projet'!$B$25,Paramètres!$A$1:$I$89,5,0)</f>
        <v>#N/A</v>
      </c>
      <c r="MN153" s="13" t="e">
        <f t="shared" si="318"/>
        <v>#N/A</v>
      </c>
      <c r="MO153" s="14" t="e">
        <f t="shared" si="272"/>
        <v>#N/A</v>
      </c>
      <c r="MP153" s="59" t="e">
        <f t="shared" si="273"/>
        <v>#N/A</v>
      </c>
      <c r="MQ153" s="20" t="e">
        <f ca="1">AVERAGE(OFFSET($MP$3,0,0,'Données projet'!$E$25+1,1))-AVERAGE(OFFSET($H$3,0,0,'Données projet'!$E$25+1,1))</f>
        <v>#N/A</v>
      </c>
      <c r="MR153" s="59" t="e">
        <f t="shared" si="319"/>
        <v>#N/A</v>
      </c>
      <c r="MS153" s="15">
        <f>IF(ISNA(VLOOKUP($A153,'Données projet'!$A$460:$I$480,3,0)),0,VLOOKUP($A153,'Données projet'!$A$460:$I$480,3,0))</f>
        <v>0</v>
      </c>
      <c r="MT153" s="15">
        <f>IF(ISNA(VLOOKUP($A153,'Données projet'!$A$460:$I$480,4,0)),0,VLOOKUP($A153,'Données projet'!$A$460:$I$480,4,0))</f>
        <v>0</v>
      </c>
      <c r="MU153" s="16">
        <f>IF(ISNA(VLOOKUP($A153,'Données projet'!$A$460:$I$480,5,0)),0%,VLOOKUP($A153,'Données projet'!$A$460:$I$480,5,0)*VLOOKUP('Données projet'!$B$25,Paramètres!$A$1:$I$89,7,0))</f>
        <v>0</v>
      </c>
      <c r="MV153" s="16">
        <f>IF(ISNA(VLOOKUP($A153,'Données projet'!$A$460:$I$480,6,0)),0%,VLOOKUP($A153,'Données projet'!$A$460:$I$480,6,0)*VLOOKUP('Données projet'!$B$25,Paramètres!$A$1:$I$89,7,0))</f>
        <v>0</v>
      </c>
      <c r="MW153" s="16">
        <f>IF(ISNA(VLOOKUP($A153,'Données projet'!$A$460:$I$480,7,0)),0%,VLOOKUP($A153,'Données projet'!$A$460:$I$480,7,0))</f>
        <v>0</v>
      </c>
      <c r="MX153" s="21" t="e">
        <f>EXP(-LN(2)/35)*MX152+(1-EXP(-LN(2)/35))/(LN(2)/35)*MT153*MU153*VLOOKUP('Données projet'!$B$25,Paramètres!$A$1:$I$89,3,0)*0.475*44/12</f>
        <v>#N/A</v>
      </c>
      <c r="MY153" s="21" t="e">
        <f>EXP(-LN(2)/25)*MY152+(1-EXP(-LN(2)/25))/(LN(2)/25)*Calculateur!MT153*Calculateur!MV153*VLOOKUP('Données projet'!$B$25,Paramètres!$A$1:$I$89,3,0)*0.475*44/12</f>
        <v>#N/A</v>
      </c>
      <c r="MZ153" s="21" t="e">
        <f>EXP(-LN(2)/2)*MZ152+(1-EXP(-LN(2)/2))/(LN(2)/2)*MT153*MW153*VLOOKUP('Données projet'!$B$25,Paramètres!$A$1:$I$89,3,0)*0.475*44/12</f>
        <v>#N/A</v>
      </c>
      <c r="NA153" s="22" t="e">
        <f t="shared" si="274"/>
        <v>#N/A</v>
      </c>
      <c r="NB153" s="74">
        <f>('Scénario référence'!$F$8+'Scénario référence'!$F$9+'Scénario référence'!$B$17+'Scénario référence'!$B$9+'Scénario référence'!$B$10)*70+IF((45+25*(1-EXP(-0.0175*$A153)))&lt;70,'Scénario référence'!$B$16*(45+25*(1-EXP(-0.0175*$A153))),70*'Scénario référence'!$B$16)+IF((32+38*(1-EXP(-0.0175*$A153)))&lt;70,'Scénario référence'!$B$18*(32+38*(1-EXP(-0.0175*$A153))),70*'Scénario référence'!$B$18)</f>
        <v>70</v>
      </c>
      <c r="NC153" s="12">
        <f>IF($A153&gt;30,10,('Scénario référence'!$B$16+'Scénario référence'!$B$17+'Scénario référence'!$B$18+'Scénario référence'!$B$9+'Scénario référence'!$B$10)*$A153*10/30+('Scénario référence'!$F$8+'Scénario référence'!$F$9)*10)</f>
        <v>10</v>
      </c>
      <c r="ND153" s="12" t="e">
        <f>VLOOKUP($A153,'Données projet'!$A$486:$I$506,2,0)</f>
        <v>#N/A</v>
      </c>
      <c r="NE153" s="12" t="e">
        <f>VLOOKUP($A153,'Données projet'!$A$486:$I$506,9,0)</f>
        <v>#N/A</v>
      </c>
      <c r="NF153" s="12">
        <f t="array" ref="NF153">INDEX(NE:NE,MIN(IF(ISNUMBER(NE153:NE349),ROW(NE153:NE349),"")))</f>
        <v>0</v>
      </c>
      <c r="NG153" s="12">
        <f>IF('Données projet'!$A$486&gt;35,NG152+NF153-NO152,IF($A153&lt;'Données projet'!$A$486,$CQ$205^$A153,IF($A153='Données projet'!$A$486,'Données projet'!$B$486,NG152+NF153-NO152)))</f>
        <v>0</v>
      </c>
      <c r="NH153" s="17" t="e">
        <f>NG153*VLOOKUP('Données projet'!$B$26,Paramètres!$A$1:$I$89,3,0)*VLOOKUP('Données projet'!$B$26,Paramètres!$A$1:$I$89,5,0)</f>
        <v>#N/A</v>
      </c>
      <c r="NI153" s="13" t="e">
        <f t="shared" si="320"/>
        <v>#N/A</v>
      </c>
      <c r="NJ153" s="14" t="e">
        <f t="shared" si="275"/>
        <v>#N/A</v>
      </c>
      <c r="NK153" s="59" t="e">
        <f t="shared" si="276"/>
        <v>#N/A</v>
      </c>
      <c r="NL153" s="20" t="e">
        <f ca="1">AVERAGE(OFFSET($NK$3,0,0,'Données projet'!$E$26+1,1))-AVERAGE(OFFSET($H$3,0,0,'Données projet'!$E$26+1,1))</f>
        <v>#N/A</v>
      </c>
      <c r="NM153" s="59" t="e">
        <f t="shared" si="321"/>
        <v>#N/A</v>
      </c>
      <c r="NN153" s="15">
        <f>IF(ISNA(VLOOKUP($A153,'Données projet'!$A$486:$I$506,3,0)),0,VLOOKUP($A153,'Données projet'!$A$486:$I$506,3,0))</f>
        <v>0</v>
      </c>
      <c r="NO153" s="15">
        <f>IF(ISNA(VLOOKUP($A153,'Données projet'!$A$486:$I$506,4,0)),0,VLOOKUP($A153,'Données projet'!$A$486:$I$506,4,0))</f>
        <v>0</v>
      </c>
      <c r="NP153" s="16">
        <f>IF(ISNA(VLOOKUP($A153,'Données projet'!$A$486:$I$506,5,0)),0%,VLOOKUP($A153,'Données projet'!$A$486:$I$506,5,0)*VLOOKUP('Données projet'!$B$26,Paramètres!$A$1:$I$89,7,0))</f>
        <v>0</v>
      </c>
      <c r="NQ153" s="16">
        <f>IF(ISNA(VLOOKUP($A153,'Données projet'!$A$486:$I$506,6,0)),0%,VLOOKUP($A153,'Données projet'!$A$486:$I$506,6,0)*VLOOKUP('Données projet'!$B$26,Paramètres!$A$1:$I$89,7,0))</f>
        <v>0</v>
      </c>
      <c r="NR153" s="16">
        <f>IF(ISNA(VLOOKUP($A153,'Données projet'!$A$486:$I$506,7,0)),0%,VLOOKUP($A153,'Données projet'!$A$486:$I$506,7,0))</f>
        <v>0</v>
      </c>
      <c r="NS153" s="21" t="e">
        <f>EXP(-LN(2)/35)*NS152+(1-EXP(-LN(2)/35))/(LN(2)/35)*NO153*NP153*VLOOKUP('Données projet'!$B$26,Paramètres!$A$1:$I$89,3,0)*0.475*44/12</f>
        <v>#N/A</v>
      </c>
      <c r="NT153" s="21" t="e">
        <f>EXP(-LN(2)/25)*NT152+(1-EXP(-LN(2)/25))/(LN(2)/25)*Calculateur!NO153*Calculateur!NQ153*VLOOKUP('Données projet'!$B$26,Paramètres!$A$1:$I$89,3,0)*0.475*44/12</f>
        <v>#N/A</v>
      </c>
      <c r="NU153" s="21" t="e">
        <f>EXP(-LN(2)/2)*NU152+(1-EXP(-LN(2)/2))/(LN(2)/2)*NO153*NR153*VLOOKUP('Données projet'!$B$26,Paramètres!$A$1:$I$89,3,0)*0.475*44/12</f>
        <v>#N/A</v>
      </c>
      <c r="NV153" s="22" t="e">
        <f t="shared" si="277"/>
        <v>#N/A</v>
      </c>
      <c r="NW153" s="74">
        <f>('Scénario référence'!$F$8+'Scénario référence'!$F$9+'Scénario référence'!$B$17+'Scénario référence'!$B$9+'Scénario référence'!$B$10)*70+IF((45+25*(1-EXP(-0.0175*$A153)))&lt;70,'Scénario référence'!$B$16*(45+25*(1-EXP(-0.0175*$A153))),70*'Scénario référence'!$B$16)+IF((32+38*(1-EXP(-0.0175*$A153)))&lt;70,'Scénario référence'!$B$18*(32+38*(1-EXP(-0.0175*$A153))),70*'Scénario référence'!$B$18)</f>
        <v>70</v>
      </c>
      <c r="NX153" s="12">
        <f>IF($A153&gt;30,10,('Scénario référence'!$B$16+'Scénario référence'!$B$17+'Scénario référence'!$B$18+'Scénario référence'!$B$9+'Scénario référence'!$B$10)*$A153*10/30+('Scénario référence'!$F$8+'Scénario référence'!$F$9)*10)</f>
        <v>10</v>
      </c>
      <c r="NY153" s="12" t="e">
        <f>VLOOKUP($A153,'Données projet'!$A$512:$I$532,2,0)</f>
        <v>#N/A</v>
      </c>
      <c r="NZ153" s="12" t="e">
        <f>VLOOKUP($A153,'Données projet'!$A$512:$I$532,9,0)</f>
        <v>#N/A</v>
      </c>
      <c r="OA153" s="12">
        <f t="array" ref="OA153">INDEX(NZ:NZ,MIN(IF(ISNUMBER(NZ153:NZ349),ROW(NZ153:NZ349),"")))</f>
        <v>0</v>
      </c>
      <c r="OB153" s="12">
        <f>IF('Données projet'!$A$512&gt;35,OB152+OA153-OJ152,IF($A153&lt;'Données projet'!$A$512,$CQ$205^$A153,IF($A153='Données projet'!$A$512,'Données projet'!$B$512,OB152+OA153-OJ152)))</f>
        <v>0</v>
      </c>
      <c r="OC153" s="17" t="e">
        <f>OB153*VLOOKUP('Données projet'!$B$27,Paramètres!$A$1:$I$89,3,0)*VLOOKUP('Données projet'!$B$27,Paramètres!$A$1:$I$89,5,0)</f>
        <v>#N/A</v>
      </c>
      <c r="OD153" s="13" t="e">
        <f t="shared" si="322"/>
        <v>#N/A</v>
      </c>
      <c r="OE153" s="14" t="e">
        <f t="shared" si="278"/>
        <v>#N/A</v>
      </c>
      <c r="OF153" s="59" t="e">
        <f t="shared" si="279"/>
        <v>#N/A</v>
      </c>
      <c r="OG153" s="20" t="e">
        <f ca="1">AVERAGE(OFFSET($OF$3,0,0,'Données projet'!$E$27+1,1))-AVERAGE(OFFSET($H$3,0,0,'Données projet'!$E$27+1,1))</f>
        <v>#N/A</v>
      </c>
      <c r="OH153" s="59" t="e">
        <f t="shared" si="323"/>
        <v>#N/A</v>
      </c>
      <c r="OI153" s="15">
        <f>IF(ISNA(VLOOKUP($A153,'Données projet'!$A$512:$I$532,3,0)),0,VLOOKUP($A153,'Données projet'!$A$512:$I$532,3,0))</f>
        <v>0</v>
      </c>
      <c r="OJ153" s="15">
        <f>IF(ISNA(VLOOKUP($A153,'Données projet'!$A$512:$I$532,4,0)),0,VLOOKUP($A153,'Données projet'!$A$512:$I$532,4,0))</f>
        <v>0</v>
      </c>
      <c r="OK153" s="16">
        <f>IF(ISNA(VLOOKUP($A153,'Données projet'!$A$512:$I$532,5,0)),0%,VLOOKUP($A153,'Données projet'!$A$512:$I$532,5,0)*VLOOKUP('Données projet'!$B$27,Paramètres!$A$1:$I$89,7,0))</f>
        <v>0</v>
      </c>
      <c r="OL153" s="16">
        <f>IF(ISNA(VLOOKUP($A153,'Données projet'!$A$512:$I$532,6,0)),0%,VLOOKUP($A153,'Données projet'!$A$512:$I$532,6,0)*VLOOKUP('Données projet'!$B$27,Paramètres!$A$1:$I$89,7,0))</f>
        <v>0</v>
      </c>
      <c r="OM153" s="16">
        <f>IF(ISNA(VLOOKUP($A153,'Données projet'!$A$512:$I$532,7,0)),0%,VLOOKUP($A153,'Données projet'!$A$512:$I$532,7,0))</f>
        <v>0</v>
      </c>
      <c r="ON153" s="21" t="e">
        <f>EXP(-LN(2)/35)*ON152+(1-EXP(-LN(2)/35))/(LN(2)/35)*OJ153*OK153*VLOOKUP('Données projet'!$B$27,Paramètres!$A$1:$I$89,3,0)*0.475*44/12</f>
        <v>#N/A</v>
      </c>
      <c r="OO153" s="21" t="e">
        <f>EXP(-LN(2)/25)*OO152+(1-EXP(-LN(2)/25))/(LN(2)/25)*Calculateur!OJ153*Calculateur!OL153*VLOOKUP('Données projet'!$B$27,Paramètres!$A$1:$I$89,3,0)*0.475*44/12</f>
        <v>#N/A</v>
      </c>
      <c r="OP153" s="21" t="e">
        <f>EXP(-LN(2)/2)*OP152+(1-EXP(-LN(2)/2))/(LN(2)/2)*OJ153*OM153*VLOOKUP('Données projet'!$B$27,Paramètres!$A$1:$I$89,3,0)*0.475*44/12</f>
        <v>#N/A</v>
      </c>
      <c r="OQ153" s="22" t="e">
        <f t="shared" si="280"/>
        <v>#N/A</v>
      </c>
      <c r="OR153" s="74">
        <f>('Scénario référence'!$F$8+'Scénario référence'!$F$9+'Scénario référence'!$B$17+'Scénario référence'!$B$9+'Scénario référence'!$B$10)*70+IF((45+25*(1-EXP(-0.0175*$A153)))&lt;70,'Scénario référence'!$B$16*(45+25*(1-EXP(-0.0175*$A153))),70*'Scénario référence'!$B$16)+IF((32+38*(1-EXP(-0.0175*$A153)))&lt;70,'Scénario référence'!$B$18*(32+38*(1-EXP(-0.0175*$A153))),70*'Scénario référence'!$B$18)</f>
        <v>70</v>
      </c>
      <c r="OS153" s="12">
        <f>IF($A153&gt;30,10,('Scénario référence'!$B$16+'Scénario référence'!$B$17+'Scénario référence'!$B$18+'Scénario référence'!$B$9+'Scénario référence'!$B$10)*$A153*10/30+('Scénario référence'!$F$8+'Scénario référence'!$F$9)*10)</f>
        <v>10</v>
      </c>
      <c r="OT153" s="12" t="e">
        <f>VLOOKUP($A153,'Données projet'!$A$538:$I$558,2,0)</f>
        <v>#N/A</v>
      </c>
      <c r="OU153" s="12" t="e">
        <f>VLOOKUP($A153,'Données projet'!$A$538:$I$558,9,0)</f>
        <v>#N/A</v>
      </c>
      <c r="OV153" s="12">
        <f t="array" ref="OV153">INDEX(OU:OU,MIN(IF(ISNUMBER(OU153:OU349),ROW(OU153:OU349),"")))</f>
        <v>0</v>
      </c>
      <c r="OW153" s="12">
        <f>IF('Données projet'!$A$538&gt;35,OW152+OV153-PE152,IF($A153&lt;'Données projet'!$A$538,$CQ$205^$A153,IF($A153='Données projet'!$A$538,'Données projet'!$B$538,OW152+OV153-PE152)))</f>
        <v>0</v>
      </c>
      <c r="OX153" s="17" t="e">
        <f>OW153*VLOOKUP('Données projet'!$B$28,Paramètres!$A$1:$I$89,3,0)*VLOOKUP('Données projet'!$B$28,Paramètres!$A$1:$I$89,5,0)</f>
        <v>#N/A</v>
      </c>
      <c r="OY153" s="13" t="e">
        <f t="shared" si="324"/>
        <v>#N/A</v>
      </c>
      <c r="OZ153" s="14" t="e">
        <f t="shared" si="281"/>
        <v>#N/A</v>
      </c>
      <c r="PA153" s="59" t="e">
        <f t="shared" si="282"/>
        <v>#N/A</v>
      </c>
      <c r="PB153" s="20" t="e">
        <f ca="1">AVERAGE(OFFSET($PA$3,0,0,'Données projet'!$E$28+1,1))-AVERAGE(OFFSET($H$3,0,0,'Données projet'!$E$28+1,1))</f>
        <v>#N/A</v>
      </c>
      <c r="PC153" s="59" t="e">
        <f t="shared" si="325"/>
        <v>#N/A</v>
      </c>
      <c r="PD153" s="15">
        <f>IF(ISNA(VLOOKUP($A153,'Données projet'!$A$538:$I$558,3,0)),0,VLOOKUP($A153,'Données projet'!$A$538:$I$558,3,0))</f>
        <v>0</v>
      </c>
      <c r="PE153" s="15">
        <f>IF(ISNA(VLOOKUP($A153,'Données projet'!$A$538:$I$558,4,0)),0,VLOOKUP($A153,'Données projet'!$A$538:$I$558,4,0))</f>
        <v>0</v>
      </c>
      <c r="PF153" s="16">
        <f>IF(ISNA(VLOOKUP($A153,'Données projet'!$A$538:$I$558,5,0)),0%,VLOOKUP($A153,'Données projet'!$A$538:$I$558,5,0)*VLOOKUP('Données projet'!$B$28,Paramètres!$A$1:$I$89,7,0))</f>
        <v>0</v>
      </c>
      <c r="PG153" s="16">
        <f>IF(ISNA(VLOOKUP($A153,'Données projet'!$A$538:$I$558,6,0)),0%,VLOOKUP($A153,'Données projet'!$A$538:$I$558,6,0)*VLOOKUP('Données projet'!$B$28,Paramètres!$A$1:$I$89,7,0))</f>
        <v>0</v>
      </c>
      <c r="PH153" s="16">
        <f>IF(ISNA(VLOOKUP($A153,'Données projet'!$A$538:$I$558,7,0)),0%,VLOOKUP($A153,'Données projet'!$A$538:$I$558,7,0))</f>
        <v>0</v>
      </c>
      <c r="PI153" s="21" t="e">
        <f>EXP(-LN(2)/35)*PI152+(1-EXP(-LN(2)/35))/(LN(2)/35)*PE153*PF153*VLOOKUP('Données projet'!$B$28,Paramètres!$A$1:$I$89,3,0)*0.475*44/12</f>
        <v>#N/A</v>
      </c>
      <c r="PJ153" s="21" t="e">
        <f>EXP(-LN(2)/25)*PJ152+(1-EXP(-LN(2)/25))/(LN(2)/25)*Calculateur!PE153*Calculateur!PG153*VLOOKUP('Données projet'!$B$28,Paramètres!$A$1:$I$89,3,0)*0.475*44/12</f>
        <v>#N/A</v>
      </c>
      <c r="PK153" s="21" t="e">
        <f>EXP(-LN(2)/2)*PK152+(1-EXP(-LN(2)/2))/(LN(2)/2)*PE153*PH153*VLOOKUP('Données projet'!$B$28,Paramètres!$A$1:$I$89,3,0)*0.475*44/12</f>
        <v>#N/A</v>
      </c>
      <c r="PL153" s="22" t="e">
        <f t="shared" si="283"/>
        <v>#N/A</v>
      </c>
    </row>
    <row r="154" spans="1:428" x14ac:dyDescent="0.35">
      <c r="A154" s="10">
        <f t="shared" ref="A154:A202" si="326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285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225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projet'!$A$45:$I$65,2,0)</f>
        <v>#N/A</v>
      </c>
      <c r="L154" s="12" t="e">
        <f>VLOOKUP(A154,'Données projet'!$A$45:$I$65,9,0)</f>
        <v>#N/A</v>
      </c>
      <c r="M154" s="12">
        <f t="array" ref="M154">INDEX(L:L,MIN(IF(ISNUMBER(L154:L350),ROW(L154:L350),"")))</f>
        <v>0</v>
      </c>
      <c r="N154" s="13">
        <f>IF('Données projet'!$A$46&gt;35,N153+M154-V153,IF(A154&lt;'Données projet'!$A$46,$K$205^A154,IF(A154='Données projet'!$A$46,'Données projet'!$B$46,N153+M154-V153)))</f>
        <v>-1.1368683772161603E-13</v>
      </c>
      <c r="O154" s="13">
        <f>N154*VLOOKUP('Données projet'!$B$9,Paramètres!$A$1:$I$89,3,0)*VLOOKUP('Données projet'!$B$9,Paramètres!$A$1:$I$89,5,0)</f>
        <v>-6.3550942286383367E-14</v>
      </c>
      <c r="P154" s="13" t="e">
        <f t="shared" si="286"/>
        <v>#NUM!</v>
      </c>
      <c r="Q154" s="20" t="e">
        <f t="shared" ref="Q154:Q203" si="327">(O154+P154)*0.475*44/12</f>
        <v>#NUM!</v>
      </c>
      <c r="R154" s="59" t="e">
        <f t="shared" si="224"/>
        <v>#NUM!</v>
      </c>
      <c r="S154" s="59">
        <f ca="1">AVERAGE(OFFSET($R$3,0,0,'Données projet'!$E$9+1,1))-AVERAGE(OFFSET($H$3,0,0,'Données projet'!$E$9+1,1))</f>
        <v>274.57619581652199</v>
      </c>
      <c r="T154" s="59">
        <f t="shared" si="287"/>
        <v>366.15117322598775</v>
      </c>
      <c r="U154" s="15">
        <f>IF(ISNA(VLOOKUP(A154,'Données projet'!$A$45:$I$65,3,0)),0,VLOOKUP(A154,'Données projet'!$A$45:$I$65,3,0))</f>
        <v>0</v>
      </c>
      <c r="V154" s="15">
        <f>IF(ISNA(VLOOKUP(A154,'Données projet'!$A$45:$I$65,4,0)),0,VLOOKUP(A154,'Données projet'!$A$45:$I$65,4,0))</f>
        <v>0</v>
      </c>
      <c r="W154" s="16">
        <f>IF(ISNA(VLOOKUP(A154,'Données projet'!$A$45:$I$65,5,0)),0%,VLOOKUP(A154,'Données projet'!$A$45:$I$65,5,0)*VLOOKUP('Données projet'!$B$9,Paramètres!$A$1:$I$89,7,0))</f>
        <v>0</v>
      </c>
      <c r="X154" s="16">
        <f>IF(ISNA(VLOOKUP(A154,'Données projet'!$A$45:$I$65,6,0)),0%,VLOOKUP(A154,'Données projet'!$A$45:$I$65,6,0)*VLOOKUP('Données projet'!$B$9,Paramètres!$A$1:$I$89,7,0))</f>
        <v>0</v>
      </c>
      <c r="Y154" s="16">
        <f>IF(ISNA(VLOOKUP(A154,'Données projet'!$A$45:$I$65,7,0)),0%,VLOOKUP(A154,'Données projet'!$A$45:$I$65,7,0))</f>
        <v>0</v>
      </c>
      <c r="Z154" s="21">
        <f>EXP(-LN(2)/35)*Z153+(1-EXP(-LN(2)/35))/(LN(2)/35)*V154*W154*VLOOKUP('Données projet'!$B$9,Paramètres!$A$1:$I$89,3,0)*0.475*44/12</f>
        <v>33.860005119415305</v>
      </c>
      <c r="AA154" s="21">
        <f>EXP(-LN(2)/25)*AA153+(1-EXP(-LN(2)/25))/(LN(2)/25)*Calculateur!V154*Calculateur!X154*VLOOKUP('Données projet'!$B$9,Paramètres!$A$1:$I$89,3,0)*0.475*44/12</f>
        <v>4.0227700219972373</v>
      </c>
      <c r="AB154" s="21">
        <f>EXP(-LN(2)/2)*AB153+(1-EXP(-LN(2)/2))/(LN(2)/2)*V154*Y154*VLOOKUP('Données projet'!$B$9,Paramètres!$A$1:$I$89,3,0)*0.475*44/12</f>
        <v>1.2136533202107271E-13</v>
      </c>
      <c r="AC154" s="22">
        <f t="shared" ref="AC154:AC203" si="328">SUM(Z154:AB154)</f>
        <v>37.882775141412665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projet'!$A$71:$I$91,2,0)</f>
        <v>#N/A</v>
      </c>
      <c r="AG154" s="12" t="e">
        <f>VLOOKUP(A154,'Données projet'!$A$71:$I$91,9,0)</f>
        <v>#N/A</v>
      </c>
      <c r="AH154" s="12">
        <f t="array" ref="AH154">INDEX(AG:AG,MIN(IF(ISNUMBER(AG154:AG350),ROW(AG154:AG350),"")))</f>
        <v>0</v>
      </c>
      <c r="AI154" s="13">
        <f>IF('Données projet'!$A$72&gt;35,AI153+AH154-AQ153,IF(A154&lt;'Données projet'!$A$72,$AF$205^A154,IF(A154='Données projet'!$A$72,'Données projet'!$B$72,AI153+AH154-AQ153)))</f>
        <v>5.6843418860808015E-13</v>
      </c>
      <c r="AJ154" s="13">
        <f>AI154*VLOOKUP('Données projet'!$B$10,Paramètres!$A$1:$I$89,3,0)*VLOOKUP('Données projet'!$B$10,Paramètres!$A$1:$I$89,5,0)</f>
        <v>5.1431925385259092E-13</v>
      </c>
      <c r="AK154" s="13">
        <f t="shared" ref="AK154:AK203" si="329">EXP(-1.0587+0.8836*LN(AJ154)+0.284)</f>
        <v>6.3855359115685756E-12</v>
      </c>
      <c r="AL154" s="20">
        <f t="shared" ref="AL154:AL203" si="330">(AJ154+AK154)*0.475*44/12</f>
        <v>1.2017247746441865E-11</v>
      </c>
      <c r="AM154" s="59">
        <f t="shared" si="228"/>
        <v>293.33333333334531</v>
      </c>
      <c r="AN154" s="59">
        <f ca="1">AVERAGE(OFFSET($AM$3,0,0,'Données projet'!$E$10+1,1))-AVERAGE(OFFSET($H$3,0,0,'Données projet'!$E$10+1,1))</f>
        <v>270.87836509222456</v>
      </c>
      <c r="AO154" s="59">
        <f t="shared" si="289"/>
        <v>205.24998237949734</v>
      </c>
      <c r="AP154" s="15">
        <f>IF(ISNA(VLOOKUP(A154,'Données projet'!$A$71:$I$91,3,0)),0,VLOOKUP(A154,'Données projet'!$A$71:$I$91,3,0))</f>
        <v>0</v>
      </c>
      <c r="AQ154" s="15">
        <f>IF(ISNA(VLOOKUP(A154,'Données projet'!$A$71:$I$91,4,0)),0,VLOOKUP(A154,'Données projet'!$A$71:$I$91,4,0))</f>
        <v>0</v>
      </c>
      <c r="AR154" s="16">
        <f>IF(ISNA(VLOOKUP(A154,'Données projet'!$A$71:$I$91,5,0)),0%,VLOOKUP(A154,'Données projet'!$A$71:$I$91,5,0)*VLOOKUP('Données projet'!$B$10,Paramètres!$A$1:$I$89,7,0))</f>
        <v>0</v>
      </c>
      <c r="AS154" s="16">
        <f>IF(ISNA(VLOOKUP(A154,'Données projet'!$A$71:$I$91,6,0)),0%,VLOOKUP(A154,'Données projet'!$A$71:$I$91,6,0)*VLOOKUP('Données projet'!$B$10,Paramètres!$A$1:$I$89,7,0))</f>
        <v>0</v>
      </c>
      <c r="AT154" s="16">
        <f>IF(ISNA(VLOOKUP(A154,'Données projet'!$A$71:$I$91,7,0)),0%,VLOOKUP(A154,'Données projet'!$A$71:$I$91,7,0))</f>
        <v>0</v>
      </c>
      <c r="AU154" s="21">
        <f>EXP(-LN(2)/35)*AU153+(1-EXP(-LN(2)/35))/(LN(2)/35)*AQ154*AR154*VLOOKUP('Données projet'!$B$10,Paramètres!$A$1:$I$89,3,0)*0.475*44/12</f>
        <v>115.06492415036712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331">SUM(AU154:AW154)</f>
        <v>115.06492415036712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projet'!$A$97:$I$117,2,0)</f>
        <v>#N/A</v>
      </c>
      <c r="BB154" s="12" t="e">
        <f>VLOOKUP(A154,'Données projet'!$A$97:$I$117,9,0)</f>
        <v>#N/A</v>
      </c>
      <c r="BC154" s="12">
        <f t="array" ref="BC154">INDEX(BB:BB,MIN(IF(ISNUMBER(BB154:BB350),ROW(BB154:BB350),"")))</f>
        <v>0</v>
      </c>
      <c r="BD154" s="12">
        <f>IF('Données projet'!$A$98&gt;35,BD153+BC154-BL153,IF(A154&lt;'Données projet'!$A$98,$BA$205^A154,IF(A154='Données projet'!$A$98,'Données projet'!$B$98,BD153+BC154-BL153)))</f>
        <v>-1.1368683772161603E-13</v>
      </c>
      <c r="BE154" s="13">
        <f>BD154*VLOOKUP('Données projet'!$B$11,Paramètres!$A$1:$I$89,3,0)*VLOOKUP('Données projet'!$B$11,Paramètres!$A$1:$I$89,5,0)</f>
        <v>-5.0249582272954292E-14</v>
      </c>
      <c r="BF154" s="13" t="e">
        <f t="shared" ref="BF154:BF203" si="332">EXP(-1.0587+0.8836*LN(BE154)+0.284)</f>
        <v>#NUM!</v>
      </c>
      <c r="BG154" s="20" t="e">
        <f t="shared" ref="BG154:BG203" si="333">(BE154+BF154)*0.475*44/12</f>
        <v>#NUM!</v>
      </c>
      <c r="BH154" s="59" t="e">
        <f t="shared" si="231"/>
        <v>#NUM!</v>
      </c>
      <c r="BI154" s="59">
        <f ca="1">AVERAGE(OFFSET($BH$3,0,0,'Données projet'!$E$11+1,1))-AVERAGE(OFFSET($H$3,0,0,'Données projet'!$E$11+1,1))</f>
        <v>211.31057120485542</v>
      </c>
      <c r="BJ154" s="59">
        <f t="shared" si="291"/>
        <v>283.33292006714777</v>
      </c>
      <c r="BK154" s="15">
        <f>IF(ISNA(VLOOKUP(A154,'Données projet'!$A$97:$I$117,3,0)),0,VLOOKUP(A154,'Données projet'!$A$97:$I$117,3,0))</f>
        <v>0</v>
      </c>
      <c r="BL154" s="15">
        <f>IF(ISNA(VLOOKUP(A154,'Données projet'!$A$97:$I$117,4,0)),0,VLOOKUP(A154,'Données projet'!$A$97:$I$117,4,0))</f>
        <v>0</v>
      </c>
      <c r="BM154" s="16">
        <f>IF(ISNA(VLOOKUP(A154,'Données projet'!$A$97:$I$117,5,0)),0%,VLOOKUP(A154,'Données projet'!$A$97:$I$117,5,0)*VLOOKUP('Données projet'!$B$11,Paramètres!$A$1:$I$89,7,0))</f>
        <v>0</v>
      </c>
      <c r="BN154" s="16">
        <f>IF(ISNA(VLOOKUP(A154,'Données projet'!$A$97:$I$117,6,0)),0%,VLOOKUP(A154,'Données projet'!$A$97:$I$117,6,0)*VLOOKUP('Données projet'!$B$11,Paramètres!$A$1:$I$89,7,0))</f>
        <v>0</v>
      </c>
      <c r="BO154" s="16">
        <f>IF(ISNA(VLOOKUP(A154,'Données projet'!$A$97:$I$117,7,0)),0%,VLOOKUP(A154,'Données projet'!$A$97:$I$117,7,0))</f>
        <v>0</v>
      </c>
      <c r="BP154" s="21">
        <f>EXP(-LN(2)/35)*BP153+(1-EXP(-LN(2)/35))/(LN(2)/35)*BL154*BM154*VLOOKUP('Données projet'!$B$11,Paramètres!$A$1:$I$89,3,0)*0.475*44/12</f>
        <v>26.773027303723747</v>
      </c>
      <c r="BQ154" s="21">
        <f>EXP(-LN(2)/25)*BQ153+(1-EXP(-LN(2)/25))/(LN(2)/25)*Calculateur!BL154*Calculateur!BN154*VLOOKUP('Données projet'!$B$11,Paramètres!$A$1:$I$89,3,0)*0.475*44/12</f>
        <v>3.1807949011140928</v>
      </c>
      <c r="BR154" s="21">
        <f>EXP(-LN(2)/2)*BR153+(1-EXP(-LN(2)/2))/(LN(2)/2)*BL154*BO154*VLOOKUP('Données projet'!$B$11,Paramètres!$A$1:$I$89,3,0)*0.475*44/12</f>
        <v>9.5963285784103983E-14</v>
      </c>
      <c r="BS154" s="22">
        <f t="shared" ref="BS154:BS203" si="334">SUM(BP154:BR154)</f>
        <v>29.953822204837937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projet'!$A$123:$I$143,2,0)</f>
        <v>#N/A</v>
      </c>
      <c r="BW154" s="12" t="e">
        <f>VLOOKUP(A154,'Données projet'!$A$123:$I$143,9,0)</f>
        <v>#N/A</v>
      </c>
      <c r="BX154" s="12">
        <f t="array" ref="BX154">INDEX(BW:BW,MIN(IF(ISNUMBER(BW154:BW350),ROW(BW154:BW350),"")))</f>
        <v>0</v>
      </c>
      <c r="BY154" s="12">
        <f>IF('Données projet'!$A$124&gt;35,BY153+BX154-CG153,IF(A154&lt;'Données projet'!$A$124,$BV$205^A154,IF(A154='Données projet'!$A$124,'Données projet'!$B$124,BY153+BX154-CG153)))</f>
        <v>0</v>
      </c>
      <c r="BZ154" s="13">
        <f>BY154*VLOOKUP('Données projet'!$B$12,Paramètres!$A$1:$I$89,3,0)*VLOOKUP('Données projet'!$B$12,Paramètres!$A$1:$I$89,5,0)</f>
        <v>0</v>
      </c>
      <c r="CA154" s="13" t="e">
        <f t="shared" ref="CA154:CA203" si="335">EXP(-1.0587+0.8836*LN(BZ154)+0.284)</f>
        <v>#NUM!</v>
      </c>
      <c r="CB154" s="20" t="e">
        <f t="shared" ref="CB154:CB203" si="336">(BZ154+CA154)*0.475*44/12</f>
        <v>#NUM!</v>
      </c>
      <c r="CC154" s="59" t="e">
        <f t="shared" si="234"/>
        <v>#NUM!</v>
      </c>
      <c r="CD154" s="59">
        <f ca="1">AVERAGE(OFFSET($CC$3,0,0,'Données projet'!$E$12+1,1))-AVERAGE(OFFSET($H$3,0,0,'Données projet'!$E$12+1,1))</f>
        <v>322.93502595881938</v>
      </c>
      <c r="CE154" s="59">
        <f t="shared" si="293"/>
        <v>302.67072119588164</v>
      </c>
      <c r="CF154" s="15">
        <f>IF(ISNA(VLOOKUP(A154,'Données projet'!$A$123:$I$143,3,0)),0,VLOOKUP(A154,'Données projet'!$A$123:$I$143,3,0))</f>
        <v>0</v>
      </c>
      <c r="CG154" s="15">
        <f>IF(ISNA(VLOOKUP(A154,'Données projet'!$A$123:$I$143,4,0)),0,VLOOKUP(A154,'Données projet'!$A$123:$I$143,4,0))</f>
        <v>0</v>
      </c>
      <c r="CH154" s="16">
        <f>IF(ISNA(VLOOKUP(A154,'Données projet'!$A$123:$I$143,5,0)),0%,VLOOKUP(A154,'Données projet'!$A$123:$I$143,5,0)*VLOOKUP('Données projet'!$B$12,Paramètres!$A$1:$I$89,7,0))</f>
        <v>0</v>
      </c>
      <c r="CI154" s="16">
        <f>IF(ISNA(VLOOKUP(A154,'Données projet'!$A$123:$I$143,6,0)),0%,VLOOKUP(A154,'Données projet'!$A$123:$I$143,6,0)*VLOOKUP('Données projet'!$B$12,Paramètres!$A$1:$I$89,7,0))</f>
        <v>0</v>
      </c>
      <c r="CJ154" s="16">
        <f>IF(ISNA(VLOOKUP(A154,'Données projet'!$A$123:$I$143,7,0)),0%,VLOOKUP(A154,'Données projet'!$A$123:$I$143,7,0))</f>
        <v>0</v>
      </c>
      <c r="CK154" s="21">
        <f>EXP(-LN(2)/35)*CK153+(1-EXP(-LN(2)/35))/(LN(2)/35)*CG154*CH154*VLOOKUP('Données projet'!$B$12,Paramètres!$A$1:$I$89,3,0)*0.475*44/12</f>
        <v>42.655901774191207</v>
      </c>
      <c r="CL154" s="21">
        <f>EXP(-LN(2)/25)*CL153+(1-EXP(-LN(2)/25))/(LN(2)/25)*Calculateur!CG154*Calculateur!CI154*VLOOKUP('Données projet'!$B$12,Paramètres!$A$1:$I$89,3,0)*0.475*44/12</f>
        <v>10.180468188432343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337">SUM(CK154:CM154)</f>
        <v>52.83636996262355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projet'!$A$149:$I$169,2,0)</f>
        <v>#N/A</v>
      </c>
      <c r="CR154" s="12" t="e">
        <f>VLOOKUP(A154,'Données projet'!$A$149:$I$169,9,0)</f>
        <v>#N/A</v>
      </c>
      <c r="CS154" s="12">
        <f t="array" ref="CS154">INDEX(CR:CR,MIN(IF(ISNUMBER(CR154:CR350),ROW(CR154:CR350),"")))</f>
        <v>3.0945512820512704</v>
      </c>
      <c r="CT154" s="12">
        <f>IF('Données projet'!$A$150&gt;35,CT153+CS154-DB153,IF(A154&lt;'Données projet'!$A$150,$CQ$205^A154,IF(A154='Données projet'!$A$150,'Données projet'!$B$150,CT153+CS154-DB153)))</f>
        <v>188.86858974358921</v>
      </c>
      <c r="CU154" s="17">
        <f>CT154*VLOOKUP('Données projet'!$B$13,Paramètres!$A$1:$I$89,3,0)*VLOOKUP('Données projet'!$B$13,Paramètres!$A$1:$I$89,5,0)</f>
        <v>191.51274999999947</v>
      </c>
      <c r="CV154" s="13">
        <f t="shared" ref="CV154:CV203" si="338">EXP(-1.0587+0.8836*LN(CU154)+0.284)</f>
        <v>47.874245879088207</v>
      </c>
      <c r="CW154" s="20">
        <f t="shared" ref="CW154:CW203" si="339">(CU154+CV154)*0.475*44/12</f>
        <v>416.93235115607769</v>
      </c>
      <c r="CX154" s="59">
        <f t="shared" si="237"/>
        <v>710.265684489411</v>
      </c>
      <c r="CY154" s="59">
        <f ca="1">AVERAGE(OFFSET($CX$3,0,0,'Données projet'!$E$13+1,1))-AVERAGE(OFFSET($H$3,0,0,'Données projet'!$E$13+1,1))</f>
        <v>250.31277422753283</v>
      </c>
      <c r="CZ154" s="59">
        <f t="shared" si="295"/>
        <v>159.20429420478047</v>
      </c>
      <c r="DA154" s="15">
        <f>IF(ISNA(VLOOKUP(A154,'Données projet'!$A$149:$I$169,3,0)),0,VLOOKUP(A154,'Données projet'!$A$149:$I$169,3,0))</f>
        <v>0</v>
      </c>
      <c r="DB154" s="15">
        <f>IF(ISNA(VLOOKUP(A154,'Données projet'!$A$149:$I$169,4,0)),0,VLOOKUP(A154,'Données projet'!$A$149:$I$169,4,0))</f>
        <v>0</v>
      </c>
      <c r="DC154" s="16">
        <f>IF(ISNA(VLOOKUP(A154,'Données projet'!$A$149:$I$169,5,0)),0%,VLOOKUP(A154,'Données projet'!$A$149:$I$169,5,0)*VLOOKUP('Données projet'!$B$13,Paramètres!$A$1:$I$89,7,0))</f>
        <v>0</v>
      </c>
      <c r="DD154" s="16">
        <f>IF(ISNA(VLOOKUP(A154,'Données projet'!$A$149:$I$169,6,0)),0%,VLOOKUP(A154,'Données projet'!$A$149:$I$169,6,0)*VLOOKUP('Données projet'!$B$13,Paramètres!$A$1:$I$89,7,0))</f>
        <v>0</v>
      </c>
      <c r="DE154" s="16">
        <f>IF(ISNA(VLOOKUP(A154,'Données projet'!$A$149:$I$169,7,0)),0%,VLOOKUP(A154,'Données projet'!$A$149:$I$169,7,0))</f>
        <v>0</v>
      </c>
      <c r="DF154" s="21">
        <f>EXP(-LN(2)/35)*DF153+(1-EXP(-LN(2)/35))/(LN(2)/35)*DB154*DC154*VLOOKUP('Données projet'!$B$13,Paramètres!$A$1:$I$89,3,0)*0.475*44/12</f>
        <v>91.889491603750145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340">SUM(DF154:DH154)</f>
        <v>91.889491603750145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projet'!$A$175:$I$195,2,0)</f>
        <v>#N/A</v>
      </c>
      <c r="DM154" s="12" t="e">
        <f>VLOOKUP(A154,'Données projet'!$A$175:$I$195,9,0)</f>
        <v>#N/A</v>
      </c>
      <c r="DN154" s="12">
        <f t="array" ref="DN154">INDEX(DM:DM,MIN(IF(ISNUMBER(DM154:DM350),ROW(DM154:DM350),"")))</f>
        <v>0</v>
      </c>
      <c r="DO154" s="12">
        <f>IF('Données projet'!$A$176&gt;35,DO153+DN154-DW153,IF(A154&lt;'Données projet'!$A$176,$DL$205^A154,IF(A154='Données projet'!$A$176,'Données projet'!$B$176,DO153+DN154-DW153)))</f>
        <v>-2.8421709430404007E-13</v>
      </c>
      <c r="DP154" s="17">
        <f>DO154*VLOOKUP('Données projet'!$B$14,Paramètres!$A$1:$I$89,3,0)*VLOOKUP('Données projet'!$B$14,Paramètres!$A$1:$I$89,5,0)</f>
        <v>-2.0838797354372215E-13</v>
      </c>
      <c r="DQ154" s="13" t="e">
        <f t="shared" ref="DQ154:DQ203" si="341">EXP(-1.0587+0.8836*LN(DP154)+0.284)</f>
        <v>#NUM!</v>
      </c>
      <c r="DR154" s="20" t="e">
        <f t="shared" ref="DR154:DR203" si="342">(DP154+DQ154)*0.475*44/12</f>
        <v>#NUM!</v>
      </c>
      <c r="DS154" s="59" t="e">
        <f t="shared" si="240"/>
        <v>#NUM!</v>
      </c>
      <c r="DT154" s="59">
        <f ca="1">AVERAGE(OFFSET($DS$3,0,0,'Données projet'!$E$14+1,1))-AVERAGE(OFFSET($H$3,0,0,'Données projet'!$E$14+1,1))</f>
        <v>296.91321813251051</v>
      </c>
      <c r="DU154" s="59">
        <f t="shared" si="297"/>
        <v>291.0718079639509</v>
      </c>
      <c r="DV154" s="15">
        <f>IF(ISNA(VLOOKUP(A154,'Données projet'!$A$175:$I$195,3,0)),0,VLOOKUP(A154,'Données projet'!$A$175:$I$195,3,0))</f>
        <v>0</v>
      </c>
      <c r="DW154" s="15">
        <f>IF(ISNA(VLOOKUP(A154,'Données projet'!$A$175:$I$195,4,0)),0,VLOOKUP(A154,'Données projet'!$A$175:$I$195,4,0))</f>
        <v>0</v>
      </c>
      <c r="DX154" s="16">
        <f>IF(ISNA(VLOOKUP(A154,'Données projet'!$A$175:$I$195,5,0)),0%,VLOOKUP(A154,'Données projet'!$A$175:$I$195,5,0)*VLOOKUP('Données projet'!$B$14,Paramètres!$A$1:$I$89,7,0))</f>
        <v>0</v>
      </c>
      <c r="DY154" s="16">
        <f>IF(ISNA(VLOOKUP(A154,'Données projet'!$A$175:$I$195,6,0)),0%,VLOOKUP(A154,'Données projet'!$A$175:$I$195,6,0)*VLOOKUP('Données projet'!$B$14,Paramètres!$A$1:$I$89,7,0))</f>
        <v>0</v>
      </c>
      <c r="DZ154" s="16">
        <f>IF(ISNA(VLOOKUP(A154,'Données projet'!$A$175:$I$195,7,0)),0%,VLOOKUP(A154,'Données projet'!$A$175:$I$195,7,0))</f>
        <v>0</v>
      </c>
      <c r="EA154" s="21">
        <f>EXP(-LN(2)/35)*EA153+(1-EXP(-LN(2)/35))/(LN(2)/35)*DW154*DX154*VLOOKUP('Données projet'!$B$14,Paramètres!$A$1:$I$89,3,0)*0.475*44/12</f>
        <v>42.514239692471278</v>
      </c>
      <c r="EB154" s="21">
        <f>EXP(-LN(2)/25)*EB153+(1-EXP(-LN(2)/25))/(LN(2)/25)*Calculateur!DW154*Calculateur!DY154*VLOOKUP('Données projet'!$B$14,Paramètres!$A$1:$I$89,3,0)*0.475*44/12</f>
        <v>0.74786642625304722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343">SUM(EA154:EC154)</f>
        <v>43.262106118724326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projet'!$A$201:$I$221,2,0)</f>
        <v>#N/A</v>
      </c>
      <c r="EH154" s="12" t="e">
        <f>VLOOKUP(A154,'Données projet'!$A$201:$I$221,9,0)</f>
        <v>#N/A</v>
      </c>
      <c r="EI154" s="12">
        <f t="array" ref="EI154">INDEX(EH:EH,MIN(IF(ISNUMBER(EH154:EH350),ROW(EH154:EH350),"")))</f>
        <v>0</v>
      </c>
      <c r="EJ154" s="12">
        <f>IF('Données projet'!$A$202&gt;35,EJ153+EI154-ER153,IF(A154&lt;'Données projet'!$A$202,$EG$205^A154,IF(A154='Données projet'!$A$202,'Données projet'!$B$202,EJ153+EI154-ER153)))</f>
        <v>5.1159076974727213E-13</v>
      </c>
      <c r="EK154" s="17">
        <f>EJ154*VLOOKUP('Données projet'!$B$15,Paramètres!$A$1:$I$89,3,0)*VLOOKUP('Données projet'!$B$15,Paramètres!$A$1:$I$89,5,0)</f>
        <v>2.3942448024172334E-13</v>
      </c>
      <c r="EL154" s="13">
        <f t="shared" ref="EL154:EL203" si="344">EXP(-1.0587+0.8836*LN(EK154)+0.284)</f>
        <v>3.2492669905861755E-12</v>
      </c>
      <c r="EM154" s="20">
        <f t="shared" ref="EM154:EM203" si="345">(EK154+EL154)*0.475*44/12</f>
        <v>6.0761376450252565E-12</v>
      </c>
      <c r="EN154" s="59">
        <f t="shared" si="243"/>
        <v>293.3333333333394</v>
      </c>
      <c r="EO154" s="59">
        <f ca="1">AVERAGE(OFFSET($EN$3,0,0,'Données projet'!$E$15+1,1))-AVERAGE(OFFSET($H$3,0,0,'Données projet'!$E$15+1,1))</f>
        <v>147.64256291235483</v>
      </c>
      <c r="EP154" s="59">
        <f t="shared" si="299"/>
        <v>70.859031694091868</v>
      </c>
      <c r="EQ154" s="15">
        <f>IF(ISNA(VLOOKUP(A154,'Données projet'!$A$201:$I$221,3,0)),0,VLOOKUP(A154,'Données projet'!$A$201:$I$221,3,0))</f>
        <v>0</v>
      </c>
      <c r="ER154" s="15">
        <f>IF(ISNA(VLOOKUP(A154,'Données projet'!$A$201:$I$221,4,0)),0,VLOOKUP(A154,'Données projet'!$A$201:$I$221,4,0))</f>
        <v>0</v>
      </c>
      <c r="ES154" s="16">
        <f>IF(ISNA(VLOOKUP(A154,'Données projet'!$A$201:$I$221,5,0)),0%,VLOOKUP(A154,'Données projet'!$A$201:$I$221,5,0)*VLOOKUP('Données projet'!$B$15,Paramètres!$A$1:$I$89,7,0))</f>
        <v>0</v>
      </c>
      <c r="ET154" s="16">
        <f>IF(ISNA(VLOOKUP(A154,'Données projet'!$A$201:$I$221,6,0)),0%,VLOOKUP(A154,'Données projet'!$A$201:$I$221,6,0)*VLOOKUP('Données projet'!$B$15,Paramètres!$A$1:$I$89,7,0))</f>
        <v>0</v>
      </c>
      <c r="EU154" s="16">
        <f>IF(ISNA(VLOOKUP(A154,'Données projet'!$A$201:$I$221,7,0)),0%,VLOOKUP(A154,'Données projet'!$A$201:$I$221,7,0))</f>
        <v>0</v>
      </c>
      <c r="EV154" s="21">
        <f>EXP(-LN(2)/35)*EV153+(1-EXP(-LN(2)/35))/(LN(2)/35)*ER154*ES154*VLOOKUP('Données projet'!$B$15,Paramètres!$A$1:$I$89,3,0)*0.475*44/12</f>
        <v>58.20266428412716</v>
      </c>
      <c r="EW154" s="21">
        <f>EXP(-LN(2)/25)*EW153+(1-EXP(-LN(2)/25))/(LN(2)/25)*Calculateur!ER154*Calculateur!ET154*VLOOKUP('Données projet'!$B$15,Paramètres!$A$1:$I$89,3,0)*0.475*44/12</f>
        <v>10.375893201571168</v>
      </c>
      <c r="EX154" s="21">
        <f>EXP(-LN(2)/2)*EX153+(1-EXP(-LN(2)/2))/(LN(2)/2)*ER154*EU154*VLOOKUP('Données projet'!$B$15,Paramètres!$A$1:$I$89,3,0)*0.475*44/12</f>
        <v>8.7493368743483346E-6</v>
      </c>
      <c r="EY154" s="22">
        <f t="shared" ref="EY154:EY203" si="346">SUM(EV154:EX154)</f>
        <v>68.578566235035197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projet'!$A$227:$I$247,2,0)</f>
        <v>#N/A</v>
      </c>
      <c r="FC154" s="12" t="e">
        <f>VLOOKUP(A154,'Données projet'!$A$227:$I$247,9,0)</f>
        <v>#N/A</v>
      </c>
      <c r="FD154" s="12">
        <f t="array" ref="FD154">INDEX(FC:FC,MIN(IF(ISNUMBER(FC154:FC350),ROW(FC154:FC350),"")))</f>
        <v>0</v>
      </c>
      <c r="FE154" s="12">
        <f>IF('Données projet'!$A$228&gt;35,FE153+FD154-FM153,IF(A154&lt;'Données projet'!$A$228,$FB$205^A154,IF(A154='Données projet'!$A$228,'Données projet'!$B$228,FE153+FD154-FM153)))</f>
        <v>8.5265128291212022E-14</v>
      </c>
      <c r="FF154" s="17">
        <f>FE154*VLOOKUP('Données projet'!$B$16,Paramètres!$A$1:$I$89,3,0)*VLOOKUP('Données projet'!$B$16,Paramètres!$A$1:$I$89,5,0)</f>
        <v>8.9119112089974823E-14</v>
      </c>
      <c r="FG154" s="13">
        <f t="shared" ref="FG154:FG203" si="347">EXP(-1.0587+0.8836*LN(FF154)+0.284)</f>
        <v>1.3568952080113142E-12</v>
      </c>
      <c r="FH154" s="20">
        <f t="shared" ref="FH154:FH203" si="348">(FF154+FG154)*0.475*44/12</f>
        <v>2.5184749408430782E-12</v>
      </c>
      <c r="FI154" s="59">
        <f t="shared" si="246"/>
        <v>293.33333333333582</v>
      </c>
      <c r="FJ154" s="59">
        <f ca="1">AVERAGE(OFFSET($FI$3,0,0,'Données projet'!$E$16+1,1))-AVERAGE(OFFSET($H$3,0,0,'Données projet'!$E$16+1,1))</f>
        <v>259.03906550253788</v>
      </c>
      <c r="FK154" s="59">
        <f t="shared" si="301"/>
        <v>235.54542903570831</v>
      </c>
      <c r="FL154" s="15">
        <f>IF(ISNA(VLOOKUP(A154,'Données projet'!$A$227:$I$247,3,0)),0,VLOOKUP(A154,'Données projet'!$A$227:$I$247,3,0))</f>
        <v>0</v>
      </c>
      <c r="FM154" s="15">
        <f>IF(ISNA(VLOOKUP(A154,'Données projet'!$A$227:$I$247,4,0)),0,VLOOKUP(A154,'Données projet'!$A$227:$I$247,4,0))</f>
        <v>0</v>
      </c>
      <c r="FN154" s="16">
        <f>IF(ISNA(VLOOKUP(A154,'Données projet'!$A$227:$I$247,5,0)),0%,VLOOKUP(A154,'Données projet'!$A$227:$I$247,5,0)*VLOOKUP('Données projet'!$B$16,Paramètres!$A$1:$I$89,7,0))</f>
        <v>0</v>
      </c>
      <c r="FO154" s="16">
        <f>IF(ISNA(VLOOKUP(A154,'Données projet'!$A$227:$I$247,6,0)),0%,VLOOKUP(A154,'Données projet'!$A$227:$I$247,6,0)*VLOOKUP('Données projet'!$B$16,Paramètres!$A$1:$I$89,7,0))</f>
        <v>0</v>
      </c>
      <c r="FP154" s="16">
        <f>IF(ISNA(VLOOKUP(A154,'Données projet'!$A$227:$I$247,7,0)),0%,VLOOKUP(A154,'Données projet'!$A$227:$I$247,7,0))</f>
        <v>0</v>
      </c>
      <c r="FQ154" s="21">
        <f>EXP(-LN(2)/35)*FQ153+(1-EXP(-LN(2)/35))/(LN(2)/35)*FM154*FN154*VLOOKUP('Données projet'!$B$16,Paramètres!$A$1:$I$89,3,0)*0.475*44/12</f>
        <v>25.689074246940141</v>
      </c>
      <c r="FR154" s="21">
        <f>EXP(-LN(2)/25)*FR153+(1-EXP(-LN(2)/25))/(LN(2)/25)*Calculateur!FM154*Calculateur!FO154*VLOOKUP('Données projet'!$B$16,Paramètres!$A$1:$I$89,3,0)*0.475*44/12</f>
        <v>14.273853322080575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349">SUM(FQ154:FS154)</f>
        <v>39.962927569020714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projet'!$A$253:$I$273,2,0)</f>
        <v>#N/A</v>
      </c>
      <c r="FX154" s="12" t="e">
        <f>VLOOKUP(A154,'Données projet'!$A$253:$I$273,9,0)</f>
        <v>#N/A</v>
      </c>
      <c r="FY154" s="12">
        <f t="array" ref="FY154">INDEX(FX:FX,MIN(IF(ISNUMBER(FX154:FX350),ROW(FX154:FX350),"")))</f>
        <v>0</v>
      </c>
      <c r="FZ154" s="12">
        <f>IF('Données projet'!$A$254&gt;35,FZ153+FY154-GH153,IF(A154&lt;'Données projet'!$A$254,$FW$205^A154,IF(A154='Données projet'!$A$254,'Données projet'!$B$254,FZ153+FY154-GH153)))</f>
        <v>-1.7053025658242404E-13</v>
      </c>
      <c r="GA154" s="17">
        <f>FZ154*VLOOKUP('Données projet'!$B$17,Paramètres!$A$1:$I$89,3,0)*VLOOKUP('Données projet'!$B$17,Paramètres!$A$1:$I$89,5,0)</f>
        <v>-1.4897523215040567E-13</v>
      </c>
      <c r="GB154" s="13" t="e">
        <f t="shared" ref="GB154:GB203" si="350">EXP(-1.0587+0.8836*LN(GA154)+0.284)</f>
        <v>#NUM!</v>
      </c>
      <c r="GC154" s="20" t="e">
        <f t="shared" ref="GC154:GC203" si="351">(GA154+GB154)*0.475*44/12</f>
        <v>#NUM!</v>
      </c>
      <c r="GD154" s="59" t="e">
        <f t="shared" si="249"/>
        <v>#NUM!</v>
      </c>
      <c r="GE154" s="59">
        <f ca="1">AVERAGE(OFFSET($GD$3,0,0,'Données projet'!$E$17+1,1))-AVERAGE(OFFSET($H$3,0,0,'Données projet'!$E$17+1,1))</f>
        <v>245.1983232777614</v>
      </c>
      <c r="GF154" s="59">
        <f t="shared" si="303"/>
        <v>242.34010522344573</v>
      </c>
      <c r="GG154" s="15">
        <f>IF(ISNA(VLOOKUP(A154,'Données projet'!$A$253:$I$273,3,0)),0,VLOOKUP(A154,'Données projet'!$A$253:$I$273,3,0))</f>
        <v>0</v>
      </c>
      <c r="GH154" s="15">
        <f>IF(ISNA(VLOOKUP(A154,'Données projet'!$A$253:$I$273,4,0)),0,VLOOKUP(A154,'Données projet'!$A$253:$I$273,4,0))</f>
        <v>0</v>
      </c>
      <c r="GI154" s="16">
        <f>IF(ISNA(VLOOKUP(A154,'Données projet'!$A$253:$I$273,5,0)),0%,VLOOKUP(A154,'Données projet'!$A$253:$I$273,5,0)*VLOOKUP('Données projet'!$B$17,Paramètres!$A$1:$I$89,7,0))</f>
        <v>0</v>
      </c>
      <c r="GJ154" s="16">
        <f>IF(ISNA(VLOOKUP(A154,'Données projet'!$A$253:$I$273,6,0)),0%,VLOOKUP(A154,'Données projet'!$A$253:$I$273,6,0)*VLOOKUP('Données projet'!$B$17,Paramètres!$A$1:$I$89,7,0))</f>
        <v>0</v>
      </c>
      <c r="GK154" s="16">
        <f>IF(ISNA(VLOOKUP(A154,'Données projet'!$A$253:$I$273,7,0)),0%,VLOOKUP(A154,'Données projet'!$A$253:$I$273,7,0))</f>
        <v>0</v>
      </c>
      <c r="GL154" s="21">
        <f>EXP(-LN(2)/35)*GL153+(1-EXP(-LN(2)/35))/(LN(2)/35)*GH154*GI154*VLOOKUP('Données projet'!$B$17,Paramètres!$A$1:$I$89,3,0)*0.475*44/12</f>
        <v>30.201031377268187</v>
      </c>
      <c r="GM154" s="21">
        <f>EXP(-LN(2)/25)*GM153+(1-EXP(-LN(2)/25))/(LN(2)/25)*Calculateur!GH154*Calculateur!GJ154*VLOOKUP('Données projet'!$B$17,Paramètres!$A$1:$I$89,3,0)*0.475*44/12</f>
        <v>3.0414104085469149</v>
      </c>
      <c r="GN154" s="21">
        <f>EXP(-LN(2)/2)*GN153+(1-EXP(-LN(2)/2))/(LN(2)/2)*GH154*GK154*VLOOKUP('Données projet'!$B$17,Paramètres!$A$1:$I$89,3,0)*0.475*44/12</f>
        <v>0</v>
      </c>
      <c r="GO154" s="21">
        <f t="shared" ref="GO154:GO203" si="352">SUM(GL154:GN154)</f>
        <v>33.242441785815103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projet'!$A$279:$I$299,2,0)</f>
        <v>#N/A</v>
      </c>
      <c r="GS154" s="12" t="e">
        <f>VLOOKUP(A154,'Données projet'!$A$279:$I$299,9,0)</f>
        <v>#N/A</v>
      </c>
      <c r="GT154" s="12">
        <f t="array" ref="GT154">INDEX(GS:GS,MIN(IF(ISNUMBER(GS154:GS350),ROW(GS154:GS350),"")))</f>
        <v>0</v>
      </c>
      <c r="GU154" s="12">
        <f>IF('Données projet'!$A$280&gt;35,GU153+GT154-HC153,IF(A154&lt;'Données projet'!$A$280,$GR$205^A154,IF(A154='Données projet'!$A$280,'Données projet'!$B$280,GU153+GT154-HC153)))</f>
        <v>-1.1368683772161603E-13</v>
      </c>
      <c r="GV154" s="17">
        <f>GU154*VLOOKUP('Données projet'!$B$18,Paramètres!$A$1:$I$89,3,0)*VLOOKUP('Données projet'!$B$18,Paramètres!$A$1:$I$89,5,0)</f>
        <v>-4.5815795601811263E-14</v>
      </c>
      <c r="GW154" s="13" t="e">
        <f t="shared" ref="GW154:GW203" si="353">EXP(-1.0587+0.8836*LN(GV154)+0.284)</f>
        <v>#NUM!</v>
      </c>
      <c r="GX154" s="20" t="e">
        <f t="shared" ref="GX154:GX203" si="354">(GV154+GW154)*0.475*44/12</f>
        <v>#NUM!</v>
      </c>
      <c r="GY154" s="59" t="e">
        <f t="shared" si="252"/>
        <v>#NUM!</v>
      </c>
      <c r="GZ154" s="59">
        <f ca="1">AVERAGE(OFFSET($GY$3,0,0,'Données projet'!$E$18+1,1))-AVERAGE(OFFSET($H$3,0,0,'Données projet'!$E$18+1,1))</f>
        <v>324.36162935850876</v>
      </c>
      <c r="HA154" s="59">
        <f t="shared" si="305"/>
        <v>265.23571072429735</v>
      </c>
      <c r="HB154" s="15">
        <f>IF(ISNA(VLOOKUP(A154,'Données projet'!$A$279:$I$299,3,0)),0,VLOOKUP(A154,'Données projet'!$A$279:$I$299,3,0))</f>
        <v>0</v>
      </c>
      <c r="HC154" s="15">
        <f>IF(ISNA(VLOOKUP(A154,'Données projet'!$A$279:$I$299,4,0)),0,VLOOKUP(A154,'Données projet'!$A$279:$I$299,4,0))</f>
        <v>0</v>
      </c>
      <c r="HD154" s="16">
        <f>IF(ISNA(VLOOKUP(A154,'Données projet'!$A$279:$I$299,5,0)),0%,VLOOKUP(A154,'Données projet'!$A$279:$I$299,5,0)*VLOOKUP('Données projet'!$B$18,Paramètres!$A$1:$I$89,7,0))</f>
        <v>0</v>
      </c>
      <c r="HE154" s="16">
        <f>IF(ISNA(VLOOKUP(A154,'Données projet'!$A$279:$I$299,6,0)),0%,VLOOKUP(A154,'Données projet'!$A$279:$I$299,6,0)*VLOOKUP('Données projet'!$B$18,Paramètres!$A$1:$I$89,7,0))</f>
        <v>0</v>
      </c>
      <c r="HF154" s="16">
        <f>IF(ISNA(VLOOKUP($A154,'Données projet'!$A$279:$I$299,7,0)),0%,VLOOKUP($A154,'Données projet'!$A$279:$I$299,7,0))</f>
        <v>0</v>
      </c>
      <c r="HG154" s="21">
        <f>EXP(-LN(2)/35)*HG153+(1-EXP(-LN(2)/35))/(LN(2)/35)*HC154*HD154*VLOOKUP('Données projet'!$B$18,Paramètres!$A$1:$I$89,3,0)*0.475*44/12</f>
        <v>57.873071236534066</v>
      </c>
      <c r="HH154" s="21">
        <f>EXP(-LN(2)/25)*HH153+(1-EXP(-LN(2)/25))/(LN(2)/25)*Calculateur!HC154*Calculateur!HE154*VLOOKUP('Données projet'!$B$18,Paramètres!$A$1:$I$89,3,0)*0.475*44/12</f>
        <v>3.3825923793842385</v>
      </c>
      <c r="HI154" s="21">
        <f>EXP(-LN(2)/2)*HI153+(1-EXP(-LN(2)/2))/(LN(2)/2)*HC154*HF154*VLOOKUP('Données projet'!$B$18,Paramètres!$A$1:$I$89,3,0)*0.475*44/12</f>
        <v>1.7589743789652267E-10</v>
      </c>
      <c r="HJ154" s="22">
        <f t="shared" ref="HJ154:HJ203" si="355">SUM(HG154:HI154)</f>
        <v>61.255663616094203</v>
      </c>
      <c r="HK154" s="74">
        <f>('Scénario référence'!$F$8+'Scénario référence'!$F$9+'Scénario référence'!$B$17+'Scénario référence'!$B$9+'Scénario référence'!$B$10)*70+IF((45+25*(1-EXP(-0.0175*$A154)))&lt;70,'Scénario référence'!$B$16*(45+25*(1-EXP(-0.0175*$A154))),70*'Scénario référence'!$B$16)+IF((32+38*(1-EXP(-0.0175*$A154)))&lt;70,'Scénario référence'!$B$18*(32+38*(1-EXP(-0.0175*$A154))),70*'Scénario référence'!$B$18)</f>
        <v>70</v>
      </c>
      <c r="HL154" s="12">
        <f>IF($A154&gt;30,10,('Scénario référence'!$B$16+'Scénario référence'!$B$17+'Scénario référence'!$B$18+'Scénario référence'!$B$9+'Scénario référence'!$B$10)*$A154*10/30+('Scénario référence'!$F$8+'Scénario référence'!$F$9)*10)</f>
        <v>10</v>
      </c>
      <c r="HM154" s="12" t="e">
        <f>VLOOKUP($A154,'Données projet'!$A$304:$I$324,2,0)</f>
        <v>#N/A</v>
      </c>
      <c r="HN154" s="12" t="e">
        <f>VLOOKUP($A154,'Données projet'!$A$304:$I$324,9,0)</f>
        <v>#N/A</v>
      </c>
      <c r="HO154" s="12">
        <f t="array" ref="HO154">INDEX(HN:HN,MIN(IF(ISNUMBER(HN154:HN350),ROW(HN154:HN350),"")))</f>
        <v>0</v>
      </c>
      <c r="HP154" s="12">
        <f>IF('Données projet'!$A$304&gt;35,HP153+HO154-HX153,IF($A154&lt;'Données projet'!$A$304,$CQ$205^$A154,IF($A154='Données projet'!$A$304,'Données projet'!$B$304,HP153+HO154-HX153)))</f>
        <v>0</v>
      </c>
      <c r="HQ154" s="17">
        <f>HP154*VLOOKUP('Données projet'!$B$19,Paramètres!$A$1:$I$89,3,0)*VLOOKUP('Données projet'!$B$19,Paramètres!$A$1:$I$89,5,0)</f>
        <v>0</v>
      </c>
      <c r="HR154" s="13" t="e">
        <f t="shared" si="306"/>
        <v>#NUM!</v>
      </c>
      <c r="HS154" s="14" t="e">
        <f t="shared" si="254"/>
        <v>#NUM!</v>
      </c>
      <c r="HT154" s="59" t="e">
        <f t="shared" si="255"/>
        <v>#NUM!</v>
      </c>
      <c r="HU154" s="59">
        <f ca="1">AVERAGE(OFFSET(HT$3,0,0,'Données projet'!$E$19+1,1))-AVERAGE(OFFSET($H$3,0,0,'Données projet'!$E$19+1,1))</f>
        <v>91.60721429656013</v>
      </c>
      <c r="HV154" s="59">
        <f t="shared" si="307"/>
        <v>258.94957804210856</v>
      </c>
      <c r="HW154" s="15">
        <f>IF(ISNA(VLOOKUP($A154,'Données projet'!$A$304:$I$324,3,0)),0,VLOOKUP($A154,'Données projet'!$A$304:$I$324,3,0))</f>
        <v>0</v>
      </c>
      <c r="HX154" s="15">
        <f>IF(ISNA(VLOOKUP($A154,'Données projet'!$A$304:$I$324,4,0)),0,VLOOKUP($A154,'Données projet'!$A$304:$I$324,4,0))</f>
        <v>0</v>
      </c>
      <c r="HY154" s="16">
        <f>IF(ISNA(VLOOKUP($A154,'Données projet'!$A$304:$I$324,5,0)),0%,VLOOKUP($A154,'Données projet'!$A$304:$I$324,5,0)*VLOOKUP('Données projet'!$B$19,Paramètres!$A$1:$I$89,7,0))</f>
        <v>0</v>
      </c>
      <c r="HZ154" s="16">
        <f>IF(ISNA(VLOOKUP($A154,'Données projet'!$A$304:$I$324,6,0)),0%,VLOOKUP($A154,'Données projet'!$A$304:$I$324,6,0)*VLOOKUP('Données projet'!$B$19,Paramètres!$A$1:$I$89,7,0))</f>
        <v>0</v>
      </c>
      <c r="IA154" s="16">
        <f>IF(ISNA(VLOOKUP($A154,'Données projet'!$A$304:$I$324,7,0)),0%,VLOOKUP($A154,'Données projet'!$A$304:$I$324,7,0))</f>
        <v>0</v>
      </c>
      <c r="IB154" s="21">
        <f>EXP(-LN(2)/35)*IB153+(1-EXP(-LN(2)/35))/(LN(2)/35)*HX154*HY154*VLOOKUP('Données projet'!$B$19,Paramètres!$A$1:$I$89,3,0)*0.475*44/12</f>
        <v>4.4919118751099933</v>
      </c>
      <c r="IC154" s="21">
        <f>EXP(-LN(2)/25)*IC153+(1-EXP(-LN(2)/25))/(LN(2)/25)*Calculateur!HX154*Calculateur!HZ154*VLOOKUP('Données projet'!$B$19,Paramètres!$A$1:$I$89,3,0)*0.475*44/12</f>
        <v>0.33964574681041093</v>
      </c>
      <c r="ID154" s="21">
        <f>EXP(-LN(2)/2)*ID153+(1-EXP(-LN(2)/2))/(LN(2)/2)*HX154*IA154*VLOOKUP('Données projet'!$B$19,Paramètres!$A$1:$I$89,3,0)*0.475*44/12</f>
        <v>3.5134027133155707E-19</v>
      </c>
      <c r="IE154" s="22">
        <f t="shared" si="256"/>
        <v>4.8315576219204042</v>
      </c>
      <c r="IF154" s="74">
        <f>('Scénario référence'!$F$8+'Scénario référence'!$F$9+'Scénario référence'!$B$17+'Scénario référence'!$B$9+'Scénario référence'!$B$10)*70+IF((45+25*(1-EXP(-0.0175*$A154)))&lt;70,'Scénario référence'!$B$16*(45+25*(1-EXP(-0.0175*$A154))),70*'Scénario référence'!$B$16)+IF((32+38*(1-EXP(-0.0175*$A154)))&lt;70,'Scénario référence'!$B$18*(32+38*(1-EXP(-0.0175*$A154))),70*'Scénario référence'!$B$18)</f>
        <v>70</v>
      </c>
      <c r="IG154" s="12">
        <f>IF($A154&gt;30,10,('Scénario référence'!$B$16+'Scénario référence'!$B$17+'Scénario référence'!$B$18+'Scénario référence'!$B$9+'Scénario référence'!$B$10)*$A154*10/30+('Scénario référence'!$F$8+'Scénario référence'!$F$9)*10)</f>
        <v>10</v>
      </c>
      <c r="IH154" s="12" t="e">
        <f>VLOOKUP($A154,'Données projet'!$A$330:$I$350,2,0)</f>
        <v>#N/A</v>
      </c>
      <c r="II154" s="12" t="e">
        <f>VLOOKUP($A154,'Données projet'!$A$330:$I$350,9,0)</f>
        <v>#N/A</v>
      </c>
      <c r="IJ154" s="12">
        <f t="array" ref="IJ154">INDEX(II:II,MIN(IF(ISNUMBER(II154:II350),ROW(II154:II350),"")))</f>
        <v>0</v>
      </c>
      <c r="IK154" s="12">
        <f>IF('Données projet'!$A$330&gt;35,IK153+IJ154-IS153,IF($A154&lt;'Données projet'!$A$330,$CQ$205^$A154,IF($A154='Données projet'!$A$330,'Données projet'!$B$330,IK153+IJ154-IS153)))</f>
        <v>0</v>
      </c>
      <c r="IL154" s="17">
        <f>IK154*VLOOKUP('Données projet'!$B$20,Paramètres!$A$1:$I$89,3,0)*VLOOKUP('Données projet'!$B$20,Paramètres!$A$1:$I$89,5,0)</f>
        <v>0</v>
      </c>
      <c r="IM154" s="13" t="e">
        <f t="shared" si="308"/>
        <v>#NUM!</v>
      </c>
      <c r="IN154" s="20" t="e">
        <f t="shared" si="257"/>
        <v>#NUM!</v>
      </c>
      <c r="IO154" s="59" t="e">
        <f t="shared" si="258"/>
        <v>#NUM!</v>
      </c>
      <c r="IP154" s="59">
        <f ca="1">AVERAGE(OFFSET(IO$3,0,0,'Données projet'!$E$20+1,1))-AVERAGE(OFFSET($H$3,0,0,'Données projet'!$E$20+1,1))</f>
        <v>91.60721429656013</v>
      </c>
      <c r="IQ154" s="59">
        <f t="shared" si="309"/>
        <v>258.94957804210856</v>
      </c>
      <c r="IR154" s="15">
        <f>IF(ISNA(VLOOKUP($A154,'Données projet'!$A$330:$I$350,3,0)),0,VLOOKUP($A154,'Données projet'!$A$330:$I$350,3,0))</f>
        <v>0</v>
      </c>
      <c r="IS154" s="15">
        <f>IF(ISNA(VLOOKUP($A154,'Données projet'!$A$330:$I$350,4,0)),0,VLOOKUP($A154,'Données projet'!$A$330:$I$350,4,0))</f>
        <v>0</v>
      </c>
      <c r="IT154" s="16">
        <f>IF(ISNA(VLOOKUP($A154,'Données projet'!$A$330:$I$350,5,0)),0%,VLOOKUP($A154,'Données projet'!$A$330:$I$350,5,0)*VLOOKUP('Données projet'!$B$20,Paramètres!$A$1:$I$89,7,0))</f>
        <v>0</v>
      </c>
      <c r="IU154" s="16">
        <f>IF(ISNA(VLOOKUP($A154,'Données projet'!$A$330:$I$350,6,0)),0%,VLOOKUP($A154,'Données projet'!$A$330:$I$350,6,0)*VLOOKUP('Données projet'!$B$20,Paramètres!$A$1:$I$89,7,0))</f>
        <v>0</v>
      </c>
      <c r="IV154" s="16">
        <f>IF(ISNA(VLOOKUP($A154,'Données projet'!$A$330:$I$350,7,0)),0%,VLOOKUP($A154,'Données projet'!$A$330:$I$350,7,0))</f>
        <v>0</v>
      </c>
      <c r="IW154" s="21">
        <f>EXP(-LN(2)/35)*IW153+(1-EXP(-LN(2)/35))/(LN(2)/35)*IS154*IT154*VLOOKUP('Données projet'!$B$20,Paramètres!$A$1:$I$89,3,0)*0.475*44/12</f>
        <v>4.4919118751099933</v>
      </c>
      <c r="IX154" s="21">
        <f>EXP(-LN(2)/25)*IX153+(1-EXP(-LN(2)/25))/(LN(2)/25)*Calculateur!IS154*Calculateur!IU154*VLOOKUP('Données projet'!$B$20,Paramètres!$A$1:$I$89,3,0)*0.475*44/12</f>
        <v>0.33964574681041093</v>
      </c>
      <c r="IY154" s="21">
        <f>EXP(-LN(2)/2)*IY153+(1-EXP(-LN(2)/2))/(LN(2)/2)*IS154*IV154*VLOOKUP('Données projet'!$B$20,Paramètres!$A$1:$I$89,3,0)*0.475*44/12</f>
        <v>3.5134027133155707E-19</v>
      </c>
      <c r="IZ154" s="22">
        <f t="shared" si="259"/>
        <v>4.8315576219204042</v>
      </c>
      <c r="JA154" s="74">
        <f>('Scénario référence'!$F$8+'Scénario référence'!$F$9+'Scénario référence'!$B$17+'Scénario référence'!$B$9+'Scénario référence'!$B$10)*70+IF((45+25*(1-EXP(-0.0175*$A154)))&lt;70,'Scénario référence'!$B$16*(45+25*(1-EXP(-0.0175*$A154))),70*'Scénario référence'!$B$16)+IF((32+38*(1-EXP(-0.0175*$A154)))&lt;70,'Scénario référence'!$B$18*(32+38*(1-EXP(-0.0175*$A154))),70*'Scénario référence'!$B$18)</f>
        <v>70</v>
      </c>
      <c r="JB154" s="12">
        <f>IF($A154&gt;30,10,('Scénario référence'!$B$16+'Scénario référence'!$B$17+'Scénario référence'!$B$18+'Scénario référence'!$B$9+'Scénario référence'!$B$10)*$A154*10/30+('Scénario référence'!$F$8+'Scénario référence'!$F$9)*10)</f>
        <v>10</v>
      </c>
      <c r="JC154" s="12" t="e">
        <f>VLOOKUP($A154,'Données projet'!$A$356:$I$376,2,0)</f>
        <v>#N/A</v>
      </c>
      <c r="JD154" s="12" t="e">
        <f>VLOOKUP($A154,'Données projet'!$A$356:$I$376,9,0)</f>
        <v>#N/A</v>
      </c>
      <c r="JE154" s="12">
        <f t="array" ref="JE154">INDEX(JD:JD,MIN(IF(ISNUMBER(JD154:JD350),ROW(JD154:JD350),"")))</f>
        <v>0</v>
      </c>
      <c r="JF154" s="12">
        <f>IF('Données projet'!$A$356&gt;35,JF153+JE154-JN153,IF($A154&lt;'Données projet'!$A$356,$CQ$205^$A154,IF($A154='Données projet'!$A$356,'Données projet'!$B$356,JF153+JE154-JN153)))</f>
        <v>-1.3073986337985843E-12</v>
      </c>
      <c r="JG154" s="17">
        <f>JF154*VLOOKUP('Données projet'!$B$21,Paramètres!$A$1:$I$89,3,0)*VLOOKUP('Données projet'!$B$21,Paramètres!$A$1:$I$89,5,0)</f>
        <v>-1.0605617717374117E-12</v>
      </c>
      <c r="JH154" s="13" t="e">
        <f t="shared" si="310"/>
        <v>#NUM!</v>
      </c>
      <c r="JI154" s="20" t="e">
        <f t="shared" si="260"/>
        <v>#NUM!</v>
      </c>
      <c r="JJ154" s="59" t="e">
        <f t="shared" si="261"/>
        <v>#NUM!</v>
      </c>
      <c r="JK154" s="59">
        <f ca="1">AVERAGE(OFFSET($JJ$3,0,0,'Données projet'!$E$22+1,1))-AVERAGE(OFFSET($H$3,0,0,'Données projet'!$E$22+1,1))</f>
        <v>353.35574633294613</v>
      </c>
      <c r="JL154" s="59">
        <f t="shared" si="311"/>
        <v>170.36796666474726</v>
      </c>
      <c r="JM154" s="15">
        <f>IF(ISNA(VLOOKUP($A154,'Données projet'!$A$356:$I$376,3,0)),0,VLOOKUP($A154,'Données projet'!$A$356:$I$376,3,0))</f>
        <v>0</v>
      </c>
      <c r="JN154" s="15">
        <f>IF(ISNA(VLOOKUP($A154,'Données projet'!$A$356:$I$376,4,0)),0,VLOOKUP($A154,'Données projet'!$A$356:$I$376,4,0))</f>
        <v>0</v>
      </c>
      <c r="JO154" s="16">
        <f>IF(ISNA(VLOOKUP($A154,'Données projet'!$A$356:$I$376,5,0)),0%,VLOOKUP($A154,'Données projet'!$A$356:$I$376,5,0)*VLOOKUP('Données projet'!$B$21,Paramètres!$A$1:$I$89,7,0))</f>
        <v>0</v>
      </c>
      <c r="JP154" s="16">
        <f>IF(ISNA(VLOOKUP($A154,'Données projet'!$A$356:$I$376,6,0)),0%,VLOOKUP($A154,'Données projet'!$A$356:$I$376,6,0)*VLOOKUP('Données projet'!$B$21,Paramètres!$A$1:$I$89,7,0))</f>
        <v>0</v>
      </c>
      <c r="JQ154" s="16">
        <f>IF(ISNA(VLOOKUP($A154,'Données projet'!$A$356:$I$376,7,0)),0%,VLOOKUP($A154,'Données projet'!$A$356:$I$376,7,0))</f>
        <v>0</v>
      </c>
      <c r="JR154" s="21">
        <f>EXP(-LN(2)/35)*JR153+(1-EXP(-LN(2)/35))/(LN(2)/35)*JN154*JO154*VLOOKUP('Données projet'!$B$21,Paramètres!$A$1:$I$89,3,0)*0.475*44/12</f>
        <v>72.012045360579435</v>
      </c>
      <c r="JS154" s="21">
        <f>EXP(-LN(2)/25)*JS153+(1-EXP(-LN(2)/25))/(LN(2)/25)*Calculateur!JN154*Calculateur!JP154*VLOOKUP('Données projet'!$B$21,Paramètres!$A$1:$I$89,3,0)*0.475*44/12</f>
        <v>74.337024976392343</v>
      </c>
      <c r="JT154" s="21">
        <f>EXP(-LN(2)/2)*JT153+(1-EXP(-LN(2)/2))/(LN(2)/2)*JN154*JQ154*VLOOKUP('Données projet'!$B$21,Paramètres!$A$1:$I$89,3,0)*0.475*44/12</f>
        <v>24.247346952337864</v>
      </c>
      <c r="JU154" s="18">
        <f t="shared" si="262"/>
        <v>170.59641728930964</v>
      </c>
      <c r="JV154" s="74">
        <f>('Scénario référence'!$F$8+'Scénario référence'!$F$9+'Scénario référence'!$B$17+'Scénario référence'!$B$9+'Scénario référence'!$B$10)*70+IF((45+25*(1-EXP(-0.0175*$A154)))&lt;70,'Scénario référence'!$B$16*(45+25*(1-EXP(-0.0175*$A154))),70*'Scénario référence'!$B$16)+IF((32+38*(1-EXP(-0.0175*$A154)))&lt;70,'Scénario référence'!$B$18*(32+38*(1-EXP(-0.0175*$A154))),70*'Scénario référence'!$B$18)</f>
        <v>70</v>
      </c>
      <c r="JW154" s="12">
        <f>IF($A154&gt;30,10,('Scénario référence'!$B$16+'Scénario référence'!$B$17+'Scénario référence'!$B$18+'Scénario référence'!$B$9+'Scénario référence'!$B$10)*$A154*10/30+('Scénario référence'!$F$8+'Scénario référence'!$F$9)*10)</f>
        <v>10</v>
      </c>
      <c r="JX154" s="12" t="e">
        <f>VLOOKUP($A154,'Données projet'!$A$382:$I$402,2,0)</f>
        <v>#N/A</v>
      </c>
      <c r="JY154" s="12" t="e">
        <f>VLOOKUP($A154,'Données projet'!$A$382:$I$402,9,0)</f>
        <v>#N/A</v>
      </c>
      <c r="JZ154" s="12">
        <f t="array" ref="JZ154">INDEX(JY:JY,MIN(IF(ISNUMBER(JY154:JY350),ROW(JY154:JY350),"")))</f>
        <v>0</v>
      </c>
      <c r="KA154" s="12">
        <f>IF('Données projet'!$A$382&gt;35,KA153+JZ154-KI153,IF($A154&lt;'Données projet'!$A$382,$CQ$205^$A154,IF($A154='Données projet'!$A$382,'Données projet'!$B$382,KA153+JZ154-KI153)))</f>
        <v>5.6843418860808015E-13</v>
      </c>
      <c r="KB154" s="17">
        <f>KA154*VLOOKUP('Données projet'!$B$22,Paramètres!$A$1:$I$89,3,0)*VLOOKUP('Données projet'!$B$22,Paramètres!$A$1:$I$89,5,0)</f>
        <v>3.8130565371830017E-13</v>
      </c>
      <c r="KC154" s="13">
        <f t="shared" si="312"/>
        <v>4.9019074112354236E-12</v>
      </c>
      <c r="KD154" s="20">
        <f t="shared" si="263"/>
        <v>9.2015960881277352E-12</v>
      </c>
      <c r="KE154" s="59">
        <f t="shared" si="264"/>
        <v>293.33333333334252</v>
      </c>
      <c r="KF154" s="59">
        <f ca="1">AVERAGE(OFFSET($KE$3,0,0,'Données projet'!$E$22+1,1))-AVERAGE(OFFSET($H$3,0,0,'Données projet'!$E$22+1,1))</f>
        <v>193.91714772848269</v>
      </c>
      <c r="KG154" s="59">
        <f t="shared" si="313"/>
        <v>159.20429420478047</v>
      </c>
      <c r="KH154" s="15">
        <f>IF(ISNA(VLOOKUP($A154,'Données projet'!$A$382:$I$402,3,0)),0,VLOOKUP($A154,'Données projet'!$A$382:$I$402,3,0))</f>
        <v>0</v>
      </c>
      <c r="KI154" s="15">
        <f>IF(ISNA(VLOOKUP($A154,'Données projet'!$A$382:$I$402,4,0)),0,VLOOKUP($A154,'Données projet'!$A$382:$I$402,4,0))</f>
        <v>0</v>
      </c>
      <c r="KJ154" s="16">
        <f>IF(ISNA(VLOOKUP($A154,'Données projet'!$A$382:$I$402,5,0)),0%,VLOOKUP($A154,'Données projet'!$A$382:$I$402,5,0)*VLOOKUP('Données projet'!$B$22,Paramètres!$A$1:$I$89,7,0))</f>
        <v>0</v>
      </c>
      <c r="KK154" s="16">
        <f>IF(ISNA(VLOOKUP($A154,'Données projet'!$A$382:$I$402,6,0)),0%,VLOOKUP($A154,'Données projet'!$A$382:$I$402,6,0)*VLOOKUP('Données projet'!$B$22,Paramètres!$A$1:$I$89,7,0))</f>
        <v>0</v>
      </c>
      <c r="KL154" s="16">
        <f>IF(ISNA(VLOOKUP($A154,'Données projet'!$A$382:$I$402,7,0)),0%,VLOOKUP($A154,'Données projet'!$A$382:$I$402,7,0))</f>
        <v>0</v>
      </c>
      <c r="KM154" s="21">
        <f>EXP(-LN(2)/35)*KM153+(1-EXP(-LN(2)/35))/(LN(2)/35)*KI154*KJ154*VLOOKUP('Données projet'!$B$22,Paramètres!$A$1:$I$89,3,0)*0.475*44/12</f>
        <v>105.14553413740443</v>
      </c>
      <c r="KN154" s="21">
        <f>EXP(-LN(2)/25)*KN153+(1-EXP(-LN(2)/25))/(LN(2)/25)*Calculateur!KI154*Calculateur!KK154*VLOOKUP('Données projet'!$B$22,Paramètres!$A$1:$I$89,3,0)*0.475*44/12</f>
        <v>0</v>
      </c>
      <c r="KO154" s="21">
        <f>EXP(-LN(2)/2)*KO153+(1-EXP(-LN(2)/2))/(LN(2)/2)*KI154*KL154*VLOOKUP('Données projet'!$B$22,Paramètres!$A$1:$I$89,3,0)*0.475*44/12</f>
        <v>0</v>
      </c>
      <c r="KP154" s="22">
        <f t="shared" si="265"/>
        <v>105.14553413740443</v>
      </c>
      <c r="KQ154" s="74">
        <f>('Scénario référence'!$F$8+'Scénario référence'!$F$9+'Scénario référence'!$B$17+'Scénario référence'!$B$9+'Scénario référence'!$B$10)*70+IF((45+25*(1-EXP(-0.0175*$A154)))&lt;70,'Scénario référence'!$B$16*(45+25*(1-EXP(-0.0175*$A154))),70*'Scénario référence'!$B$16)+IF((32+38*(1-EXP(-0.0175*$A154)))&lt;70,'Scénario référence'!$B$18*(32+38*(1-EXP(-0.0175*$A154))),70*'Scénario référence'!$B$18)</f>
        <v>70</v>
      </c>
      <c r="KR154" s="12">
        <f>IF($A154&gt;30,10,('Scénario référence'!$B$16+'Scénario référence'!$B$17+'Scénario référence'!$B$18+'Scénario référence'!$B$9+'Scénario référence'!$B$10)*$A154*10/30+('Scénario référence'!$F$8+'Scénario référence'!$F$9)*10)</f>
        <v>10</v>
      </c>
      <c r="KS154" s="12" t="e">
        <f>VLOOKUP($A154,'Données projet'!$A$408:$I$428,2,0)</f>
        <v>#N/A</v>
      </c>
      <c r="KT154" s="12" t="e">
        <f>VLOOKUP($A154,'Données projet'!$A$408:$I$428,9,0)</f>
        <v>#N/A</v>
      </c>
      <c r="KU154" s="12">
        <f t="array" ref="KU154">INDEX(KT:KT,MIN(IF(ISNUMBER(KT154:KT350),ROW(KT154:KT350),"")))</f>
        <v>0</v>
      </c>
      <c r="KV154" s="12">
        <f>IF('Données projet'!$A$408&gt;35,KV153+KU154-LD153,IF($A154&lt;'Données projet'!$A$408,$CQ$205^$A154,IF($A154='Données projet'!$A$408,'Données projet'!$B$408,KV153+KU154-LD153)))</f>
        <v>-1.1368683772161603E-13</v>
      </c>
      <c r="KW154" s="17">
        <f>KV154*VLOOKUP('Données projet'!$B$23,Paramètres!$A$1:$I$89,3,0)*VLOOKUP('Données projet'!$B$23,Paramètres!$A$1:$I$89,5,0)</f>
        <v>-9.9316821433603781E-14</v>
      </c>
      <c r="KX154" s="13" t="e">
        <f t="shared" si="314"/>
        <v>#NUM!</v>
      </c>
      <c r="KY154" s="14" t="e">
        <f t="shared" si="266"/>
        <v>#NUM!</v>
      </c>
      <c r="KZ154" s="59" t="e">
        <f t="shared" si="267"/>
        <v>#NUM!</v>
      </c>
      <c r="LA154" s="59">
        <f ca="1">AVERAGE(OFFSET($KZ$3,0,0,'Données projet'!$E$23+1,1))-AVERAGE(OFFSET($H$3,0,0,'Données projet'!$E$23+1,1))</f>
        <v>248.33596943633819</v>
      </c>
      <c r="LB154" s="59">
        <f t="shared" si="315"/>
        <v>242.34010522344573</v>
      </c>
      <c r="LC154" s="15">
        <f>IF(ISNA(VLOOKUP($A154,'Données projet'!$A$408:$I$428,3,0)),0,VLOOKUP($A154,'Données projet'!$A$408:$I$428,3,0))</f>
        <v>0</v>
      </c>
      <c r="LD154" s="15">
        <f>IF(ISNA(VLOOKUP($A154,'Données projet'!$A$408:$I$428,4,0)),0,VLOOKUP($A154,'Données projet'!$A$408:$I$428,4,0))</f>
        <v>0</v>
      </c>
      <c r="LE154" s="16">
        <f>IF(ISNA(VLOOKUP($A154,'Données projet'!$A$408:$I$428,5,0)),0%,VLOOKUP($A154,'Données projet'!$A$408:$I$428,5,0)*VLOOKUP('Données projet'!$B$23,Paramètres!$A$1:$I$89,7,0))</f>
        <v>0</v>
      </c>
      <c r="LF154" s="16">
        <f>IF(ISNA(VLOOKUP($A154,'Données projet'!$A$408:$I$428,6,0)),0%,VLOOKUP($A154,'Données projet'!$A$408:$I$428,6,0)*VLOOKUP('Données projet'!$B$23,Paramètres!$A$1:$I$89,7,0))</f>
        <v>0</v>
      </c>
      <c r="LG154" s="16">
        <f>IF(ISNA(VLOOKUP($A154,'Données projet'!$A$408:$I$428,7,0)),0%,VLOOKUP($A154,'Données projet'!$A$408:$I$428,7,0))</f>
        <v>0</v>
      </c>
      <c r="LH154" s="21">
        <f>EXP(-LN(2)/35)*LH153+(1-EXP(-LN(2)/35))/(LN(2)/35)*LD154*LE154*VLOOKUP('Données projet'!$B$23,Paramètres!$A$1:$I$89,3,0)*0.475*44/12</f>
        <v>30.201031377268187</v>
      </c>
      <c r="LI154" s="21">
        <f>EXP(-LN(2)/25)*LI153+(1-EXP(-LN(2)/25))/(LN(2)/25)*Calculateur!LD154*Calculateur!LF154*VLOOKUP('Données projet'!$B$23,Paramètres!$A$1:$I$89,3,0)*0.475*44/12</f>
        <v>3.0414104085469149</v>
      </c>
      <c r="LJ154" s="21">
        <f>EXP(-LN(2)/2)*LJ153+(1-EXP(-LN(2)/2))/(LN(2)/2)*LD154*LG154*VLOOKUP('Données projet'!$B$23,Paramètres!$A$1:$I$89,3,0)*0.475*44/12</f>
        <v>0</v>
      </c>
      <c r="LK154" s="22">
        <f t="shared" si="268"/>
        <v>33.242441785815103</v>
      </c>
      <c r="LL154" s="74">
        <f>('Scénario référence'!$F$8+'Scénario référence'!$F$9+'Scénario référence'!$B$17+'Scénario référence'!$B$9+'Scénario référence'!$B$10)*70+IF((45+25*(1-EXP(-0.0175*$A154)))&lt;70,'Scénario référence'!$B$16*(45+25*(1-EXP(-0.0175*$A154))),70*'Scénario référence'!$B$16)+IF((32+38*(1-EXP(-0.0175*$A154)))&lt;70,'Scénario référence'!$B$18*(32+38*(1-EXP(-0.0175*$A154))),70*'Scénario référence'!$B$18)</f>
        <v>70</v>
      </c>
      <c r="LM154" s="12">
        <f>IF($A154&gt;30,10,('Scénario référence'!$B$16+'Scénario référence'!$B$17+'Scénario référence'!$B$18+'Scénario référence'!$B$9+'Scénario référence'!$B$10)*$A154*10/30+('Scénario référence'!$F$8+'Scénario référence'!$F$9)*10)</f>
        <v>10</v>
      </c>
      <c r="LN154" s="12" t="e">
        <f>VLOOKUP($A154,'Données projet'!$A$434:$I$454,2,0)</f>
        <v>#N/A</v>
      </c>
      <c r="LO154" s="12" t="e">
        <f>VLOOKUP($A154,'Données projet'!$A$434:$I$454,9,0)</f>
        <v>#N/A</v>
      </c>
      <c r="LP154" s="12">
        <f t="array" ref="LP154">INDEX(LO:LO,MIN(IF(ISNUMBER(LO154:LO350),ROW(LO154:LO350),"")))</f>
        <v>3.0945512820512704</v>
      </c>
      <c r="LQ154" s="12">
        <f>IF('Données projet'!$A$434&gt;35,LQ153+LP154-LY153,IF($A154&lt;'Données projet'!$A$434,$CQ$205^$A154,IF($A154='Données projet'!$A$434,'Données projet'!$B$434,LQ153+LP154-LY153)))</f>
        <v>188.86858974358921</v>
      </c>
      <c r="LR154" s="17">
        <f>LQ154*VLOOKUP('Données projet'!$B$24,Paramètres!$A$1:$I$89,3,0)*VLOOKUP('Données projet'!$B$24,Paramètres!$A$1:$I$89,5,0)</f>
        <v>191.51274999999947</v>
      </c>
      <c r="LS154" s="13">
        <f t="shared" si="316"/>
        <v>47.874245879088207</v>
      </c>
      <c r="LT154" s="14">
        <f t="shared" si="269"/>
        <v>416.93235115607769</v>
      </c>
      <c r="LU154" s="59">
        <f t="shared" si="270"/>
        <v>710.265684489411</v>
      </c>
      <c r="LV154" s="59">
        <f ca="1">AVERAGE(OFFSET($LU$3,0,0,'Données projet'!$E$24+1,1))-AVERAGE(OFFSET($H$3,0,0,'Données projet'!$E$24+1,1))</f>
        <v>260.52627655062872</v>
      </c>
      <c r="LW154" s="59">
        <f t="shared" si="317"/>
        <v>159.20429420478047</v>
      </c>
      <c r="LX154" s="15">
        <f>IF(ISNA(VLOOKUP($A154,'Données projet'!$A$434:$I$454,3,0)),0,VLOOKUP($A154,'Données projet'!$A$434:$I$454,3,0))</f>
        <v>0</v>
      </c>
      <c r="LY154" s="15">
        <f>IF(ISNA(VLOOKUP($A154,'Données projet'!$A$434:$I$454,4,0)),0,VLOOKUP($A154,'Données projet'!$A$434:$I$454,4,0))</f>
        <v>0</v>
      </c>
      <c r="LZ154" s="16">
        <f>IF(ISNA(VLOOKUP($A154,'Données projet'!$A$434:$I$454,5,0)),0%,VLOOKUP($A154,'Données projet'!$A$434:$I$454,5,0)*VLOOKUP('Données projet'!$B$24,Paramètres!$A$1:$I$89,7,0))</f>
        <v>0</v>
      </c>
      <c r="MA154" s="16">
        <f>IF(ISNA(VLOOKUP($A154,'Données projet'!$A$434:$I$454,6,0)),0%,VLOOKUP($A154,'Données projet'!$A$434:$I$454,6,0)*VLOOKUP('Données projet'!$B$24,Paramètres!$A$1:$I$89,7,0))</f>
        <v>0</v>
      </c>
      <c r="MB154" s="16">
        <f>IF(ISNA(VLOOKUP($A154,'Données projet'!$A$434:$I$454,7,0)),0%,VLOOKUP($A154,'Données projet'!$A$434:$I$454,7,0))</f>
        <v>0</v>
      </c>
      <c r="MC154" s="21">
        <f>EXP(-LN(2)/35)*MC153+(1-EXP(-LN(2)/35))/(LN(2)/35)*LY154*LZ154*VLOOKUP('Données projet'!$B$24,Paramètres!$A$1:$I$89,3,0)*0.475*44/12</f>
        <v>91.889491603750145</v>
      </c>
      <c r="MD154" s="21">
        <f>EXP(-LN(2)/25)*MD153+(1-EXP(-LN(2)/25))/(LN(2)/25)*Calculateur!LY154*Calculateur!MA154*VLOOKUP('Données projet'!$B$24,Paramètres!$A$1:$I$89,3,0)*0.475*44/12</f>
        <v>0</v>
      </c>
      <c r="ME154" s="21">
        <f>EXP(-LN(2)/2)*ME153+(1-EXP(-LN(2)/2))/(LN(2)/2)*LY154*MB154*VLOOKUP('Données projet'!$B$24,Paramètres!$A$1:$I$89,3,0)*0.475*44/12</f>
        <v>0</v>
      </c>
      <c r="MF154" s="22">
        <f t="shared" si="271"/>
        <v>91.889491603750145</v>
      </c>
      <c r="MG154" s="74">
        <f>('Scénario référence'!$F$8+'Scénario référence'!$F$9+'Scénario référence'!$B$17+'Scénario référence'!$B$9+'Scénario référence'!$B$10)*70+IF((45+25*(1-EXP(-0.0175*$A154)))&lt;70,'Scénario référence'!$B$16*(45+25*(1-EXP(-0.0175*$A154))),70*'Scénario référence'!$B$16)+IF((32+38*(1-EXP(-0.0175*$A154)))&lt;70,'Scénario référence'!$B$18*(32+38*(1-EXP(-0.0175*$A154))),70*'Scénario référence'!$B$18)</f>
        <v>70</v>
      </c>
      <c r="MH154" s="12">
        <f>IF($A154&gt;30,10,('Scénario référence'!$B$16+'Scénario référence'!$B$17+'Scénario référence'!$B$18+'Scénario référence'!$B$9+'Scénario référence'!$B$10)*$A154*10/30+('Scénario référence'!$F$8+'Scénario référence'!$F$9)*10)</f>
        <v>10</v>
      </c>
      <c r="MI154" s="12" t="e">
        <f>VLOOKUP($A154,'Données projet'!$A$460:$I$480,2,0)</f>
        <v>#N/A</v>
      </c>
      <c r="MJ154" s="12" t="e">
        <f>VLOOKUP($A154,'Données projet'!$A$460:$I$480,9,0)</f>
        <v>#N/A</v>
      </c>
      <c r="MK154" s="12">
        <f t="array" ref="MK154">INDEX(MJ:MJ,MIN(IF(ISNUMBER(MJ154:MJ350),ROW(MJ154:MJ350),"")))</f>
        <v>0</v>
      </c>
      <c r="ML154" s="12">
        <f>IF('Données projet'!$A$460&gt;35,ML153+MK154-MT153,IF($A154&lt;'Données projet'!$A$460,$CQ$205^$A154,IF($A154='Données projet'!$A$460,'Données projet'!$B$460,ML153+MK154-MT153)))</f>
        <v>0</v>
      </c>
      <c r="MM154" s="17" t="e">
        <f>ML154*VLOOKUP('Données projet'!$B$25,Paramètres!$A$1:$I$89,3,0)*VLOOKUP('Données projet'!$B$25,Paramètres!$A$1:$I$89,5,0)</f>
        <v>#N/A</v>
      </c>
      <c r="MN154" s="13" t="e">
        <f t="shared" si="318"/>
        <v>#N/A</v>
      </c>
      <c r="MO154" s="14" t="e">
        <f t="shared" si="272"/>
        <v>#N/A</v>
      </c>
      <c r="MP154" s="59" t="e">
        <f t="shared" si="273"/>
        <v>#N/A</v>
      </c>
      <c r="MQ154" s="20" t="e">
        <f ca="1">AVERAGE(OFFSET($MP$3,0,0,'Données projet'!$E$25+1,1))-AVERAGE(OFFSET($H$3,0,0,'Données projet'!$E$25+1,1))</f>
        <v>#N/A</v>
      </c>
      <c r="MR154" s="59" t="e">
        <f t="shared" si="319"/>
        <v>#N/A</v>
      </c>
      <c r="MS154" s="15">
        <f>IF(ISNA(VLOOKUP($A154,'Données projet'!$A$460:$I$480,3,0)),0,VLOOKUP($A154,'Données projet'!$A$460:$I$480,3,0))</f>
        <v>0</v>
      </c>
      <c r="MT154" s="15">
        <f>IF(ISNA(VLOOKUP($A154,'Données projet'!$A$460:$I$480,4,0)),0,VLOOKUP($A154,'Données projet'!$A$460:$I$480,4,0))</f>
        <v>0</v>
      </c>
      <c r="MU154" s="16">
        <f>IF(ISNA(VLOOKUP($A154,'Données projet'!$A$460:$I$480,5,0)),0%,VLOOKUP($A154,'Données projet'!$A$460:$I$480,5,0)*VLOOKUP('Données projet'!$B$25,Paramètres!$A$1:$I$89,7,0))</f>
        <v>0</v>
      </c>
      <c r="MV154" s="16">
        <f>IF(ISNA(VLOOKUP($A154,'Données projet'!$A$460:$I$480,6,0)),0%,VLOOKUP($A154,'Données projet'!$A$460:$I$480,6,0)*VLOOKUP('Données projet'!$B$25,Paramètres!$A$1:$I$89,7,0))</f>
        <v>0</v>
      </c>
      <c r="MW154" s="16">
        <f>IF(ISNA(VLOOKUP($A154,'Données projet'!$A$460:$I$480,7,0)),0%,VLOOKUP($A154,'Données projet'!$A$460:$I$480,7,0))</f>
        <v>0</v>
      </c>
      <c r="MX154" s="21" t="e">
        <f>EXP(-LN(2)/35)*MX153+(1-EXP(-LN(2)/35))/(LN(2)/35)*MT154*MU154*VLOOKUP('Données projet'!$B$25,Paramètres!$A$1:$I$89,3,0)*0.475*44/12</f>
        <v>#N/A</v>
      </c>
      <c r="MY154" s="21" t="e">
        <f>EXP(-LN(2)/25)*MY153+(1-EXP(-LN(2)/25))/(LN(2)/25)*Calculateur!MT154*Calculateur!MV154*VLOOKUP('Données projet'!$B$25,Paramètres!$A$1:$I$89,3,0)*0.475*44/12</f>
        <v>#N/A</v>
      </c>
      <c r="MZ154" s="21" t="e">
        <f>EXP(-LN(2)/2)*MZ153+(1-EXP(-LN(2)/2))/(LN(2)/2)*MT154*MW154*VLOOKUP('Données projet'!$B$25,Paramètres!$A$1:$I$89,3,0)*0.475*44/12</f>
        <v>#N/A</v>
      </c>
      <c r="NA154" s="22" t="e">
        <f t="shared" si="274"/>
        <v>#N/A</v>
      </c>
      <c r="NB154" s="74">
        <f>('Scénario référence'!$F$8+'Scénario référence'!$F$9+'Scénario référence'!$B$17+'Scénario référence'!$B$9+'Scénario référence'!$B$10)*70+IF((45+25*(1-EXP(-0.0175*$A154)))&lt;70,'Scénario référence'!$B$16*(45+25*(1-EXP(-0.0175*$A154))),70*'Scénario référence'!$B$16)+IF((32+38*(1-EXP(-0.0175*$A154)))&lt;70,'Scénario référence'!$B$18*(32+38*(1-EXP(-0.0175*$A154))),70*'Scénario référence'!$B$18)</f>
        <v>70</v>
      </c>
      <c r="NC154" s="12">
        <f>IF($A154&gt;30,10,('Scénario référence'!$B$16+'Scénario référence'!$B$17+'Scénario référence'!$B$18+'Scénario référence'!$B$9+'Scénario référence'!$B$10)*$A154*10/30+('Scénario référence'!$F$8+'Scénario référence'!$F$9)*10)</f>
        <v>10</v>
      </c>
      <c r="ND154" s="12" t="e">
        <f>VLOOKUP($A154,'Données projet'!$A$486:$I$506,2,0)</f>
        <v>#N/A</v>
      </c>
      <c r="NE154" s="12" t="e">
        <f>VLOOKUP($A154,'Données projet'!$A$486:$I$506,9,0)</f>
        <v>#N/A</v>
      </c>
      <c r="NF154" s="12">
        <f t="array" ref="NF154">INDEX(NE:NE,MIN(IF(ISNUMBER(NE154:NE350),ROW(NE154:NE350),"")))</f>
        <v>0</v>
      </c>
      <c r="NG154" s="12">
        <f>IF('Données projet'!$A$486&gt;35,NG153+NF154-NO153,IF($A154&lt;'Données projet'!$A$486,$CQ$205^$A154,IF($A154='Données projet'!$A$486,'Données projet'!$B$486,NG153+NF154-NO153)))</f>
        <v>0</v>
      </c>
      <c r="NH154" s="17" t="e">
        <f>NG154*VLOOKUP('Données projet'!$B$26,Paramètres!$A$1:$I$89,3,0)*VLOOKUP('Données projet'!$B$26,Paramètres!$A$1:$I$89,5,0)</f>
        <v>#N/A</v>
      </c>
      <c r="NI154" s="13" t="e">
        <f t="shared" si="320"/>
        <v>#N/A</v>
      </c>
      <c r="NJ154" s="14" t="e">
        <f t="shared" si="275"/>
        <v>#N/A</v>
      </c>
      <c r="NK154" s="59" t="e">
        <f t="shared" si="276"/>
        <v>#N/A</v>
      </c>
      <c r="NL154" s="20" t="e">
        <f ca="1">AVERAGE(OFFSET($NK$3,0,0,'Données projet'!$E$26+1,1))-AVERAGE(OFFSET($H$3,0,0,'Données projet'!$E$26+1,1))</f>
        <v>#N/A</v>
      </c>
      <c r="NM154" s="59" t="e">
        <f t="shared" si="321"/>
        <v>#N/A</v>
      </c>
      <c r="NN154" s="15">
        <f>IF(ISNA(VLOOKUP($A154,'Données projet'!$A$486:$I$506,3,0)),0,VLOOKUP($A154,'Données projet'!$A$486:$I$506,3,0))</f>
        <v>0</v>
      </c>
      <c r="NO154" s="15">
        <f>IF(ISNA(VLOOKUP($A154,'Données projet'!$A$486:$I$506,4,0)),0,VLOOKUP($A154,'Données projet'!$A$486:$I$506,4,0))</f>
        <v>0</v>
      </c>
      <c r="NP154" s="16">
        <f>IF(ISNA(VLOOKUP($A154,'Données projet'!$A$486:$I$506,5,0)),0%,VLOOKUP($A154,'Données projet'!$A$486:$I$506,5,0)*VLOOKUP('Données projet'!$B$26,Paramètres!$A$1:$I$89,7,0))</f>
        <v>0</v>
      </c>
      <c r="NQ154" s="16">
        <f>IF(ISNA(VLOOKUP($A154,'Données projet'!$A$486:$I$506,6,0)),0%,VLOOKUP($A154,'Données projet'!$A$486:$I$506,6,0)*VLOOKUP('Données projet'!$B$26,Paramètres!$A$1:$I$89,7,0))</f>
        <v>0</v>
      </c>
      <c r="NR154" s="16">
        <f>IF(ISNA(VLOOKUP($A154,'Données projet'!$A$486:$I$506,7,0)),0%,VLOOKUP($A154,'Données projet'!$A$486:$I$506,7,0))</f>
        <v>0</v>
      </c>
      <c r="NS154" s="21" t="e">
        <f>EXP(-LN(2)/35)*NS153+(1-EXP(-LN(2)/35))/(LN(2)/35)*NO154*NP154*VLOOKUP('Données projet'!$B$26,Paramètres!$A$1:$I$89,3,0)*0.475*44/12</f>
        <v>#N/A</v>
      </c>
      <c r="NT154" s="21" t="e">
        <f>EXP(-LN(2)/25)*NT153+(1-EXP(-LN(2)/25))/(LN(2)/25)*Calculateur!NO154*Calculateur!NQ154*VLOOKUP('Données projet'!$B$26,Paramètres!$A$1:$I$89,3,0)*0.475*44/12</f>
        <v>#N/A</v>
      </c>
      <c r="NU154" s="21" t="e">
        <f>EXP(-LN(2)/2)*NU153+(1-EXP(-LN(2)/2))/(LN(2)/2)*NO154*NR154*VLOOKUP('Données projet'!$B$26,Paramètres!$A$1:$I$89,3,0)*0.475*44/12</f>
        <v>#N/A</v>
      </c>
      <c r="NV154" s="22" t="e">
        <f t="shared" si="277"/>
        <v>#N/A</v>
      </c>
      <c r="NW154" s="74">
        <f>('Scénario référence'!$F$8+'Scénario référence'!$F$9+'Scénario référence'!$B$17+'Scénario référence'!$B$9+'Scénario référence'!$B$10)*70+IF((45+25*(1-EXP(-0.0175*$A154)))&lt;70,'Scénario référence'!$B$16*(45+25*(1-EXP(-0.0175*$A154))),70*'Scénario référence'!$B$16)+IF((32+38*(1-EXP(-0.0175*$A154)))&lt;70,'Scénario référence'!$B$18*(32+38*(1-EXP(-0.0175*$A154))),70*'Scénario référence'!$B$18)</f>
        <v>70</v>
      </c>
      <c r="NX154" s="12">
        <f>IF($A154&gt;30,10,('Scénario référence'!$B$16+'Scénario référence'!$B$17+'Scénario référence'!$B$18+'Scénario référence'!$B$9+'Scénario référence'!$B$10)*$A154*10/30+('Scénario référence'!$F$8+'Scénario référence'!$F$9)*10)</f>
        <v>10</v>
      </c>
      <c r="NY154" s="12" t="e">
        <f>VLOOKUP($A154,'Données projet'!$A$512:$I$532,2,0)</f>
        <v>#N/A</v>
      </c>
      <c r="NZ154" s="12" t="e">
        <f>VLOOKUP($A154,'Données projet'!$A$512:$I$532,9,0)</f>
        <v>#N/A</v>
      </c>
      <c r="OA154" s="12">
        <f t="array" ref="OA154">INDEX(NZ:NZ,MIN(IF(ISNUMBER(NZ154:NZ350),ROW(NZ154:NZ350),"")))</f>
        <v>0</v>
      </c>
      <c r="OB154" s="12">
        <f>IF('Données projet'!$A$512&gt;35,OB153+OA154-OJ153,IF($A154&lt;'Données projet'!$A$512,$CQ$205^$A154,IF($A154='Données projet'!$A$512,'Données projet'!$B$512,OB153+OA154-OJ153)))</f>
        <v>0</v>
      </c>
      <c r="OC154" s="17" t="e">
        <f>OB154*VLOOKUP('Données projet'!$B$27,Paramètres!$A$1:$I$89,3,0)*VLOOKUP('Données projet'!$B$27,Paramètres!$A$1:$I$89,5,0)</f>
        <v>#N/A</v>
      </c>
      <c r="OD154" s="13" t="e">
        <f t="shared" si="322"/>
        <v>#N/A</v>
      </c>
      <c r="OE154" s="14" t="e">
        <f t="shared" si="278"/>
        <v>#N/A</v>
      </c>
      <c r="OF154" s="59" t="e">
        <f t="shared" si="279"/>
        <v>#N/A</v>
      </c>
      <c r="OG154" s="20" t="e">
        <f ca="1">AVERAGE(OFFSET($OF$3,0,0,'Données projet'!$E$27+1,1))-AVERAGE(OFFSET($H$3,0,0,'Données projet'!$E$27+1,1))</f>
        <v>#N/A</v>
      </c>
      <c r="OH154" s="59" t="e">
        <f t="shared" si="323"/>
        <v>#N/A</v>
      </c>
      <c r="OI154" s="15">
        <f>IF(ISNA(VLOOKUP($A154,'Données projet'!$A$512:$I$532,3,0)),0,VLOOKUP($A154,'Données projet'!$A$512:$I$532,3,0))</f>
        <v>0</v>
      </c>
      <c r="OJ154" s="15">
        <f>IF(ISNA(VLOOKUP($A154,'Données projet'!$A$512:$I$532,4,0)),0,VLOOKUP($A154,'Données projet'!$A$512:$I$532,4,0))</f>
        <v>0</v>
      </c>
      <c r="OK154" s="16">
        <f>IF(ISNA(VLOOKUP($A154,'Données projet'!$A$512:$I$532,5,0)),0%,VLOOKUP($A154,'Données projet'!$A$512:$I$532,5,0)*VLOOKUP('Données projet'!$B$27,Paramètres!$A$1:$I$89,7,0))</f>
        <v>0</v>
      </c>
      <c r="OL154" s="16">
        <f>IF(ISNA(VLOOKUP($A154,'Données projet'!$A$512:$I$532,6,0)),0%,VLOOKUP($A154,'Données projet'!$A$512:$I$532,6,0)*VLOOKUP('Données projet'!$B$27,Paramètres!$A$1:$I$89,7,0))</f>
        <v>0</v>
      </c>
      <c r="OM154" s="16">
        <f>IF(ISNA(VLOOKUP($A154,'Données projet'!$A$512:$I$532,7,0)),0%,VLOOKUP($A154,'Données projet'!$A$512:$I$532,7,0))</f>
        <v>0</v>
      </c>
      <c r="ON154" s="21" t="e">
        <f>EXP(-LN(2)/35)*ON153+(1-EXP(-LN(2)/35))/(LN(2)/35)*OJ154*OK154*VLOOKUP('Données projet'!$B$27,Paramètres!$A$1:$I$89,3,0)*0.475*44/12</f>
        <v>#N/A</v>
      </c>
      <c r="OO154" s="21" t="e">
        <f>EXP(-LN(2)/25)*OO153+(1-EXP(-LN(2)/25))/(LN(2)/25)*Calculateur!OJ154*Calculateur!OL154*VLOOKUP('Données projet'!$B$27,Paramètres!$A$1:$I$89,3,0)*0.475*44/12</f>
        <v>#N/A</v>
      </c>
      <c r="OP154" s="21" t="e">
        <f>EXP(-LN(2)/2)*OP153+(1-EXP(-LN(2)/2))/(LN(2)/2)*OJ154*OM154*VLOOKUP('Données projet'!$B$27,Paramètres!$A$1:$I$89,3,0)*0.475*44/12</f>
        <v>#N/A</v>
      </c>
      <c r="OQ154" s="22" t="e">
        <f t="shared" si="280"/>
        <v>#N/A</v>
      </c>
      <c r="OR154" s="74">
        <f>('Scénario référence'!$F$8+'Scénario référence'!$F$9+'Scénario référence'!$B$17+'Scénario référence'!$B$9+'Scénario référence'!$B$10)*70+IF((45+25*(1-EXP(-0.0175*$A154)))&lt;70,'Scénario référence'!$B$16*(45+25*(1-EXP(-0.0175*$A154))),70*'Scénario référence'!$B$16)+IF((32+38*(1-EXP(-0.0175*$A154)))&lt;70,'Scénario référence'!$B$18*(32+38*(1-EXP(-0.0175*$A154))),70*'Scénario référence'!$B$18)</f>
        <v>70</v>
      </c>
      <c r="OS154" s="12">
        <f>IF($A154&gt;30,10,('Scénario référence'!$B$16+'Scénario référence'!$B$17+'Scénario référence'!$B$18+'Scénario référence'!$B$9+'Scénario référence'!$B$10)*$A154*10/30+('Scénario référence'!$F$8+'Scénario référence'!$F$9)*10)</f>
        <v>10</v>
      </c>
      <c r="OT154" s="12" t="e">
        <f>VLOOKUP($A154,'Données projet'!$A$538:$I$558,2,0)</f>
        <v>#N/A</v>
      </c>
      <c r="OU154" s="12" t="e">
        <f>VLOOKUP($A154,'Données projet'!$A$538:$I$558,9,0)</f>
        <v>#N/A</v>
      </c>
      <c r="OV154" s="12">
        <f t="array" ref="OV154">INDEX(OU:OU,MIN(IF(ISNUMBER(OU154:OU350),ROW(OU154:OU350),"")))</f>
        <v>0</v>
      </c>
      <c r="OW154" s="12">
        <f>IF('Données projet'!$A$538&gt;35,OW153+OV154-PE153,IF($A154&lt;'Données projet'!$A$538,$CQ$205^$A154,IF($A154='Données projet'!$A$538,'Données projet'!$B$538,OW153+OV154-PE153)))</f>
        <v>0</v>
      </c>
      <c r="OX154" s="17" t="e">
        <f>OW154*VLOOKUP('Données projet'!$B$28,Paramètres!$A$1:$I$89,3,0)*VLOOKUP('Données projet'!$B$28,Paramètres!$A$1:$I$89,5,0)</f>
        <v>#N/A</v>
      </c>
      <c r="OY154" s="13" t="e">
        <f t="shared" si="324"/>
        <v>#N/A</v>
      </c>
      <c r="OZ154" s="14" t="e">
        <f t="shared" si="281"/>
        <v>#N/A</v>
      </c>
      <c r="PA154" s="59" t="e">
        <f t="shared" si="282"/>
        <v>#N/A</v>
      </c>
      <c r="PB154" s="20" t="e">
        <f ca="1">AVERAGE(OFFSET($PA$3,0,0,'Données projet'!$E$28+1,1))-AVERAGE(OFFSET($H$3,0,0,'Données projet'!$E$28+1,1))</f>
        <v>#N/A</v>
      </c>
      <c r="PC154" s="59" t="e">
        <f t="shared" si="325"/>
        <v>#N/A</v>
      </c>
      <c r="PD154" s="15">
        <f>IF(ISNA(VLOOKUP($A154,'Données projet'!$A$538:$I$558,3,0)),0,VLOOKUP($A154,'Données projet'!$A$538:$I$558,3,0))</f>
        <v>0</v>
      </c>
      <c r="PE154" s="15">
        <f>IF(ISNA(VLOOKUP($A154,'Données projet'!$A$538:$I$558,4,0)),0,VLOOKUP($A154,'Données projet'!$A$538:$I$558,4,0))</f>
        <v>0</v>
      </c>
      <c r="PF154" s="16">
        <f>IF(ISNA(VLOOKUP($A154,'Données projet'!$A$538:$I$558,5,0)),0%,VLOOKUP($A154,'Données projet'!$A$538:$I$558,5,0)*VLOOKUP('Données projet'!$B$28,Paramètres!$A$1:$I$89,7,0))</f>
        <v>0</v>
      </c>
      <c r="PG154" s="16">
        <f>IF(ISNA(VLOOKUP($A154,'Données projet'!$A$538:$I$558,6,0)),0%,VLOOKUP($A154,'Données projet'!$A$538:$I$558,6,0)*VLOOKUP('Données projet'!$B$28,Paramètres!$A$1:$I$89,7,0))</f>
        <v>0</v>
      </c>
      <c r="PH154" s="16">
        <f>IF(ISNA(VLOOKUP($A154,'Données projet'!$A$538:$I$558,7,0)),0%,VLOOKUP($A154,'Données projet'!$A$538:$I$558,7,0))</f>
        <v>0</v>
      </c>
      <c r="PI154" s="21" t="e">
        <f>EXP(-LN(2)/35)*PI153+(1-EXP(-LN(2)/35))/(LN(2)/35)*PE154*PF154*VLOOKUP('Données projet'!$B$28,Paramètres!$A$1:$I$89,3,0)*0.475*44/12</f>
        <v>#N/A</v>
      </c>
      <c r="PJ154" s="21" t="e">
        <f>EXP(-LN(2)/25)*PJ153+(1-EXP(-LN(2)/25))/(LN(2)/25)*Calculateur!PE154*Calculateur!PG154*VLOOKUP('Données projet'!$B$28,Paramètres!$A$1:$I$89,3,0)*0.475*44/12</f>
        <v>#N/A</v>
      </c>
      <c r="PK154" s="21" t="e">
        <f>EXP(-LN(2)/2)*PK153+(1-EXP(-LN(2)/2))/(LN(2)/2)*PE154*PH154*VLOOKUP('Données projet'!$B$28,Paramètres!$A$1:$I$89,3,0)*0.475*44/12</f>
        <v>#N/A</v>
      </c>
      <c r="PL154" s="22" t="e">
        <f t="shared" si="283"/>
        <v>#N/A</v>
      </c>
    </row>
    <row r="155" spans="1:428" x14ac:dyDescent="0.35">
      <c r="A155" s="10">
        <f t="shared" si="326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285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225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projet'!$A$45:$I$65,2,0)</f>
        <v>#N/A</v>
      </c>
      <c r="L155" s="12" t="e">
        <f>VLOOKUP(A155,'Données projet'!$A$45:$I$65,9,0)</f>
        <v>#N/A</v>
      </c>
      <c r="M155" s="12">
        <f t="array" ref="M155">INDEX(L:L,MIN(IF(ISNUMBER(L155:L351),ROW(L155:L351),"")))</f>
        <v>0</v>
      </c>
      <c r="N155" s="13">
        <f>IF('Données projet'!$A$46&gt;35,N154+M155-V154,IF(A155&lt;'Données projet'!$A$46,$K$205^A155,IF(A155='Données projet'!$A$46,'Données projet'!$B$46,N154+M155-V154)))</f>
        <v>-1.1368683772161603E-13</v>
      </c>
      <c r="O155" s="13">
        <f>N155*VLOOKUP('Données projet'!$B$9,Paramètres!$A$1:$I$89,3,0)*VLOOKUP('Données projet'!$B$9,Paramètres!$A$1:$I$89,5,0)</f>
        <v>-6.3550942286383367E-14</v>
      </c>
      <c r="P155" s="13" t="e">
        <f t="shared" si="286"/>
        <v>#NUM!</v>
      </c>
      <c r="Q155" s="20" t="e">
        <f t="shared" si="327"/>
        <v>#NUM!</v>
      </c>
      <c r="R155" s="59" t="e">
        <f t="shared" si="224"/>
        <v>#NUM!</v>
      </c>
      <c r="S155" s="59">
        <f ca="1">AVERAGE(OFFSET($R$3,0,0,'Données projet'!$E$9+1,1))-AVERAGE(OFFSET($H$3,0,0,'Données projet'!$E$9+1,1))</f>
        <v>274.57619581652199</v>
      </c>
      <c r="T155" s="59">
        <f t="shared" si="287"/>
        <v>366.15117322598775</v>
      </c>
      <c r="U155" s="15">
        <f>IF(ISNA(VLOOKUP(A155,'Données projet'!$A$45:$I$65,3,0)),0,VLOOKUP(A155,'Données projet'!$A$45:$I$65,3,0))</f>
        <v>0</v>
      </c>
      <c r="V155" s="15">
        <f>IF(ISNA(VLOOKUP(A155,'Données projet'!$A$45:$I$65,4,0)),0,VLOOKUP(A155,'Données projet'!$A$45:$I$65,4,0))</f>
        <v>0</v>
      </c>
      <c r="W155" s="16">
        <f>IF(ISNA(VLOOKUP(A155,'Données projet'!$A$45:$I$65,5,0)),0%,VLOOKUP(A155,'Données projet'!$A$45:$I$65,5,0)*VLOOKUP('Données projet'!$B$9,Paramètres!$A$1:$I$89,7,0))</f>
        <v>0</v>
      </c>
      <c r="X155" s="16">
        <f>IF(ISNA(VLOOKUP(A155,'Données projet'!$A$45:$I$65,6,0)),0%,VLOOKUP(A155,'Données projet'!$A$45:$I$65,6,0)*VLOOKUP('Données projet'!$B$9,Paramètres!$A$1:$I$89,7,0))</f>
        <v>0</v>
      </c>
      <c r="Y155" s="16">
        <f>IF(ISNA(VLOOKUP(A155,'Données projet'!$A$45:$I$65,7,0)),0%,VLOOKUP(A155,'Données projet'!$A$45:$I$65,7,0))</f>
        <v>0</v>
      </c>
      <c r="Z155" s="21">
        <f>EXP(-LN(2)/35)*Z154+(1-EXP(-LN(2)/35))/(LN(2)/35)*V155*W155*VLOOKUP('Données projet'!$B$9,Paramètres!$A$1:$I$89,3,0)*0.475*44/12</f>
        <v>33.19603107158742</v>
      </c>
      <c r="AA155" s="21">
        <f>EXP(-LN(2)/25)*AA154+(1-EXP(-LN(2)/25))/(LN(2)/25)*Calculateur!V155*Calculateur!X155*VLOOKUP('Données projet'!$B$9,Paramètres!$A$1:$I$89,3,0)*0.475*44/12</f>
        <v>3.9127671641974415</v>
      </c>
      <c r="AB155" s="21">
        <f>EXP(-LN(2)/2)*AB154+(1-EXP(-LN(2)/2))/(LN(2)/2)*V155*Y155*VLOOKUP('Données projet'!$B$9,Paramètres!$A$1:$I$89,3,0)*0.475*44/12</f>
        <v>8.5818249273057349E-14</v>
      </c>
      <c r="AC155" s="22">
        <f t="shared" si="328"/>
        <v>37.108798235784946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projet'!$A$71:$I$91,2,0)</f>
        <v>#N/A</v>
      </c>
      <c r="AG155" s="12" t="e">
        <f>VLOOKUP(A155,'Données projet'!$A$71:$I$91,9,0)</f>
        <v>#N/A</v>
      </c>
      <c r="AH155" s="12">
        <f t="array" ref="AH155">INDEX(AG:AG,MIN(IF(ISNUMBER(AG155:AG351),ROW(AG155:AG351),"")))</f>
        <v>0</v>
      </c>
      <c r="AI155" s="13">
        <f>IF('Données projet'!$A$72&gt;35,AI154+AH155-AQ154,IF(A155&lt;'Données projet'!$A$72,$AF$205^A155,IF(A155='Données projet'!$A$72,'Données projet'!$B$72,AI154+AH155-AQ154)))</f>
        <v>5.6843418860808015E-13</v>
      </c>
      <c r="AJ155" s="13">
        <f>AI155*VLOOKUP('Données projet'!$B$10,Paramètres!$A$1:$I$89,3,0)*VLOOKUP('Données projet'!$B$10,Paramètres!$A$1:$I$89,5,0)</f>
        <v>5.1431925385259092E-13</v>
      </c>
      <c r="AK155" s="13">
        <f t="shared" si="329"/>
        <v>6.3855359115685756E-12</v>
      </c>
      <c r="AL155" s="20">
        <f t="shared" si="330"/>
        <v>1.2017247746441865E-11</v>
      </c>
      <c r="AM155" s="59">
        <f t="shared" si="228"/>
        <v>293.33333333334531</v>
      </c>
      <c r="AN155" s="59">
        <f ca="1">AVERAGE(OFFSET($AM$3,0,0,'Données projet'!$E$10+1,1))-AVERAGE(OFFSET($H$3,0,0,'Données projet'!$E$10+1,1))</f>
        <v>270.87836509222456</v>
      </c>
      <c r="AO155" s="59">
        <f t="shared" si="289"/>
        <v>205.24998237949734</v>
      </c>
      <c r="AP155" s="15">
        <f>IF(ISNA(VLOOKUP(A155,'Données projet'!$A$71:$I$91,3,0)),0,VLOOKUP(A155,'Données projet'!$A$71:$I$91,3,0))</f>
        <v>0</v>
      </c>
      <c r="AQ155" s="15">
        <f>IF(ISNA(VLOOKUP(A155,'Données projet'!$A$71:$I$91,4,0)),0,VLOOKUP(A155,'Données projet'!$A$71:$I$91,4,0))</f>
        <v>0</v>
      </c>
      <c r="AR155" s="16">
        <f>IF(ISNA(VLOOKUP(A155,'Données projet'!$A$71:$I$91,5,0)),0%,VLOOKUP(A155,'Données projet'!$A$71:$I$91,5,0)*VLOOKUP('Données projet'!$B$10,Paramètres!$A$1:$I$89,7,0))</f>
        <v>0</v>
      </c>
      <c r="AS155" s="16">
        <f>IF(ISNA(VLOOKUP(A155,'Données projet'!$A$71:$I$91,6,0)),0%,VLOOKUP(A155,'Données projet'!$A$71:$I$91,6,0)*VLOOKUP('Données projet'!$B$10,Paramètres!$A$1:$I$89,7,0))</f>
        <v>0</v>
      </c>
      <c r="AT155" s="16">
        <f>IF(ISNA(VLOOKUP(A155,'Données projet'!$A$71:$I$91,7,0)),0%,VLOOKUP(A155,'Données projet'!$A$71:$I$91,7,0))</f>
        <v>0</v>
      </c>
      <c r="AU155" s="21">
        <f>EXP(-LN(2)/35)*AU154+(1-EXP(-LN(2)/35))/(LN(2)/35)*AQ155*AR155*VLOOKUP('Données projet'!$B$10,Paramètres!$A$1:$I$89,3,0)*0.475*44/12</f>
        <v>112.80857117045218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331"/>
        <v>112.80857117045218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projet'!$A$97:$I$117,2,0)</f>
        <v>#N/A</v>
      </c>
      <c r="BB155" s="12" t="e">
        <f>VLOOKUP(A155,'Données projet'!$A$97:$I$117,9,0)</f>
        <v>#N/A</v>
      </c>
      <c r="BC155" s="12">
        <f t="array" ref="BC155">INDEX(BB:BB,MIN(IF(ISNUMBER(BB155:BB351),ROW(BB155:BB351),"")))</f>
        <v>0</v>
      </c>
      <c r="BD155" s="12">
        <f>IF('Données projet'!$A$98&gt;35,BD154+BC155-BL154,IF(A155&lt;'Données projet'!$A$98,$BA$205^A155,IF(A155='Données projet'!$A$98,'Données projet'!$B$98,BD154+BC155-BL154)))</f>
        <v>-1.1368683772161603E-13</v>
      </c>
      <c r="BE155" s="13">
        <f>BD155*VLOOKUP('Données projet'!$B$11,Paramètres!$A$1:$I$89,3,0)*VLOOKUP('Données projet'!$B$11,Paramètres!$A$1:$I$89,5,0)</f>
        <v>-5.0249582272954292E-14</v>
      </c>
      <c r="BF155" s="13" t="e">
        <f t="shared" si="332"/>
        <v>#NUM!</v>
      </c>
      <c r="BG155" s="20" t="e">
        <f t="shared" si="333"/>
        <v>#NUM!</v>
      </c>
      <c r="BH155" s="59" t="e">
        <f t="shared" si="231"/>
        <v>#NUM!</v>
      </c>
      <c r="BI155" s="59">
        <f ca="1">AVERAGE(OFFSET($BH$3,0,0,'Données projet'!$E$11+1,1))-AVERAGE(OFFSET($H$3,0,0,'Données projet'!$E$11+1,1))</f>
        <v>211.31057120485542</v>
      </c>
      <c r="BJ155" s="59">
        <f t="shared" si="291"/>
        <v>283.33292006714777</v>
      </c>
      <c r="BK155" s="15">
        <f>IF(ISNA(VLOOKUP(A155,'Données projet'!$A$97:$I$117,3,0)),0,VLOOKUP(A155,'Données projet'!$A$97:$I$117,3,0))</f>
        <v>0</v>
      </c>
      <c r="BL155" s="15">
        <f>IF(ISNA(VLOOKUP(A155,'Données projet'!$A$97:$I$117,4,0)),0,VLOOKUP(A155,'Données projet'!$A$97:$I$117,4,0))</f>
        <v>0</v>
      </c>
      <c r="BM155" s="16">
        <f>IF(ISNA(VLOOKUP(A155,'Données projet'!$A$97:$I$117,5,0)),0%,VLOOKUP(A155,'Données projet'!$A$97:$I$117,5,0)*VLOOKUP('Données projet'!$B$11,Paramètres!$A$1:$I$89,7,0))</f>
        <v>0</v>
      </c>
      <c r="BN155" s="16">
        <f>IF(ISNA(VLOOKUP(A155,'Données projet'!$A$97:$I$117,6,0)),0%,VLOOKUP(A155,'Données projet'!$A$97:$I$117,6,0)*VLOOKUP('Données projet'!$B$11,Paramètres!$A$1:$I$89,7,0))</f>
        <v>0</v>
      </c>
      <c r="BO155" s="16">
        <f>IF(ISNA(VLOOKUP(A155,'Données projet'!$A$97:$I$117,7,0)),0%,VLOOKUP(A155,'Données projet'!$A$97:$I$117,7,0))</f>
        <v>0</v>
      </c>
      <c r="BP155" s="21">
        <f>EXP(-LN(2)/35)*BP154+(1-EXP(-LN(2)/35))/(LN(2)/35)*BL155*BM155*VLOOKUP('Données projet'!$B$11,Paramètres!$A$1:$I$89,3,0)*0.475*44/12</f>
        <v>26.248024568231934</v>
      </c>
      <c r="BQ155" s="21">
        <f>EXP(-LN(2)/25)*BQ154+(1-EXP(-LN(2)/25))/(LN(2)/25)*Calculateur!BL155*Calculateur!BN155*VLOOKUP('Données projet'!$B$11,Paramètres!$A$1:$I$89,3,0)*0.475*44/12</f>
        <v>3.0938158972723939</v>
      </c>
      <c r="BR155" s="21">
        <f>EXP(-LN(2)/2)*BR154+(1-EXP(-LN(2)/2))/(LN(2)/2)*BL155*BO155*VLOOKUP('Données projet'!$B$11,Paramètres!$A$1:$I$89,3,0)*0.475*44/12</f>
        <v>6.7856290122882542E-14</v>
      </c>
      <c r="BS155" s="22">
        <f t="shared" si="334"/>
        <v>29.341840465504394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projet'!$A$123:$I$143,2,0)</f>
        <v>#N/A</v>
      </c>
      <c r="BW155" s="12" t="e">
        <f>VLOOKUP(A155,'Données projet'!$A$123:$I$143,9,0)</f>
        <v>#N/A</v>
      </c>
      <c r="BX155" s="12">
        <f t="array" ref="BX155">INDEX(BW:BW,MIN(IF(ISNUMBER(BW155:BW351),ROW(BW155:BW351),"")))</f>
        <v>0</v>
      </c>
      <c r="BY155" s="12">
        <f>IF('Données projet'!$A$124&gt;35,BY154+BX155-CG154,IF(A155&lt;'Données projet'!$A$124,$BV$205^A155,IF(A155='Données projet'!$A$124,'Données projet'!$B$124,BY154+BX155-CG154)))</f>
        <v>0</v>
      </c>
      <c r="BZ155" s="13">
        <f>BY155*VLOOKUP('Données projet'!$B$12,Paramètres!$A$1:$I$89,3,0)*VLOOKUP('Données projet'!$B$12,Paramètres!$A$1:$I$89,5,0)</f>
        <v>0</v>
      </c>
      <c r="CA155" s="13" t="e">
        <f t="shared" si="335"/>
        <v>#NUM!</v>
      </c>
      <c r="CB155" s="20" t="e">
        <f t="shared" si="336"/>
        <v>#NUM!</v>
      </c>
      <c r="CC155" s="59" t="e">
        <f t="shared" si="234"/>
        <v>#NUM!</v>
      </c>
      <c r="CD155" s="59">
        <f ca="1">AVERAGE(OFFSET($CC$3,0,0,'Données projet'!$E$12+1,1))-AVERAGE(OFFSET($H$3,0,0,'Données projet'!$E$12+1,1))</f>
        <v>322.93502595881938</v>
      </c>
      <c r="CE155" s="59">
        <f t="shared" si="293"/>
        <v>302.67072119588164</v>
      </c>
      <c r="CF155" s="15">
        <f>IF(ISNA(VLOOKUP(A155,'Données projet'!$A$123:$I$143,3,0)),0,VLOOKUP(A155,'Données projet'!$A$123:$I$143,3,0))</f>
        <v>0</v>
      </c>
      <c r="CG155" s="15">
        <f>IF(ISNA(VLOOKUP(A155,'Données projet'!$A$123:$I$143,4,0)),0,VLOOKUP(A155,'Données projet'!$A$123:$I$143,4,0))</f>
        <v>0</v>
      </c>
      <c r="CH155" s="16">
        <f>IF(ISNA(VLOOKUP(A155,'Données projet'!$A$123:$I$143,5,0)),0%,VLOOKUP(A155,'Données projet'!$A$123:$I$143,5,0)*VLOOKUP('Données projet'!$B$12,Paramètres!$A$1:$I$89,7,0))</f>
        <v>0</v>
      </c>
      <c r="CI155" s="16">
        <f>IF(ISNA(VLOOKUP(A155,'Données projet'!$A$123:$I$143,6,0)),0%,VLOOKUP(A155,'Données projet'!$A$123:$I$143,6,0)*VLOOKUP('Données projet'!$B$12,Paramètres!$A$1:$I$89,7,0))</f>
        <v>0</v>
      </c>
      <c r="CJ155" s="16">
        <f>IF(ISNA(VLOOKUP(A155,'Données projet'!$A$123:$I$143,7,0)),0%,VLOOKUP(A155,'Données projet'!$A$123:$I$143,7,0))</f>
        <v>0</v>
      </c>
      <c r="CK155" s="21">
        <f>EXP(-LN(2)/35)*CK154+(1-EXP(-LN(2)/35))/(LN(2)/35)*CG155*CH155*VLOOKUP('Données projet'!$B$12,Paramètres!$A$1:$I$89,3,0)*0.475*44/12</f>
        <v>41.819445557930379</v>
      </c>
      <c r="CL155" s="21">
        <f>EXP(-LN(2)/25)*CL154+(1-EXP(-LN(2)/25))/(LN(2)/25)*Calculateur!CG155*Calculateur!CI155*VLOOKUP('Données projet'!$B$12,Paramètres!$A$1:$I$89,3,0)*0.475*44/12</f>
        <v>9.9020827504521058</v>
      </c>
      <c r="CM155" s="21">
        <f>EXP(-LN(2)/2)*CM154+(1-EXP(-LN(2)/2))/(LN(2)/2)*CG155*CJ155*VLOOKUP('Données projet'!$B$12,Paramètres!$A$1:$I$89,3,0)*0.475*44/12</f>
        <v>0</v>
      </c>
      <c r="CN155" s="22">
        <f t="shared" si="337"/>
        <v>51.721528308382489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projet'!$A$149:$I$169,2,0)</f>
        <v>#N/A</v>
      </c>
      <c r="CR155" s="12" t="e">
        <f>VLOOKUP(A155,'Données projet'!$A$149:$I$169,9,0)</f>
        <v>#N/A</v>
      </c>
      <c r="CS155" s="12">
        <f t="array" ref="CS155">INDEX(CR:CR,MIN(IF(ISNUMBER(CR155:CR351),ROW(CR155:CR351),"")))</f>
        <v>3.0945512820512704</v>
      </c>
      <c r="CT155" s="12">
        <f>IF('Données projet'!$A$150&gt;35,CT154+CS155-DB154,IF(A155&lt;'Données projet'!$A$150,$CQ$205^A155,IF(A155='Données projet'!$A$150,'Données projet'!$B$150,CT154+CS155-DB154)))</f>
        <v>191.96314102564048</v>
      </c>
      <c r="CU155" s="17">
        <f>CT155*VLOOKUP('Données projet'!$B$13,Paramètres!$A$1:$I$89,3,0)*VLOOKUP('Données projet'!$B$13,Paramètres!$A$1:$I$89,5,0)</f>
        <v>194.65062499999945</v>
      </c>
      <c r="CV155" s="13">
        <f t="shared" si="338"/>
        <v>48.566688465444784</v>
      </c>
      <c r="CW155" s="20">
        <f t="shared" si="339"/>
        <v>423.60348761898211</v>
      </c>
      <c r="CX155" s="59">
        <f t="shared" si="237"/>
        <v>716.93682095231543</v>
      </c>
      <c r="CY155" s="59">
        <f ca="1">AVERAGE(OFFSET($CX$3,0,0,'Données projet'!$E$13+1,1))-AVERAGE(OFFSET($H$3,0,0,'Données projet'!$E$13+1,1))</f>
        <v>250.31277422753283</v>
      </c>
      <c r="CZ155" s="59">
        <f t="shared" si="295"/>
        <v>159.20429420478047</v>
      </c>
      <c r="DA155" s="15">
        <f>IF(ISNA(VLOOKUP(A155,'Données projet'!$A$149:$I$169,3,0)),0,VLOOKUP(A155,'Données projet'!$A$149:$I$169,3,0))</f>
        <v>0</v>
      </c>
      <c r="DB155" s="15">
        <f>IF(ISNA(VLOOKUP(A155,'Données projet'!$A$149:$I$169,4,0)),0,VLOOKUP(A155,'Données projet'!$A$149:$I$169,4,0))</f>
        <v>0</v>
      </c>
      <c r="DC155" s="16">
        <f>IF(ISNA(VLOOKUP(A155,'Données projet'!$A$149:$I$169,5,0)),0%,VLOOKUP(A155,'Données projet'!$A$149:$I$169,5,0)*VLOOKUP('Données projet'!$B$13,Paramètres!$A$1:$I$89,7,0))</f>
        <v>0</v>
      </c>
      <c r="DD155" s="16">
        <f>IF(ISNA(VLOOKUP(A155,'Données projet'!$A$149:$I$169,6,0)),0%,VLOOKUP(A155,'Données projet'!$A$149:$I$169,6,0)*VLOOKUP('Données projet'!$B$13,Paramètres!$A$1:$I$89,7,0))</f>
        <v>0</v>
      </c>
      <c r="DE155" s="16">
        <f>IF(ISNA(VLOOKUP(A155,'Données projet'!$A$149:$I$169,7,0)),0%,VLOOKUP(A155,'Données projet'!$A$149:$I$169,7,0))</f>
        <v>0</v>
      </c>
      <c r="DF155" s="21">
        <f>EXP(-LN(2)/35)*DF154+(1-EXP(-LN(2)/35))/(LN(2)/35)*DB155*DC155*VLOOKUP('Données projet'!$B$13,Paramètres!$A$1:$I$89,3,0)*0.475*44/12</f>
        <v>90.087594720456295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340"/>
        <v>90.087594720456295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projet'!$A$175:$I$195,2,0)</f>
        <v>#N/A</v>
      </c>
      <c r="DM155" s="12" t="e">
        <f>VLOOKUP(A155,'Données projet'!$A$175:$I$195,9,0)</f>
        <v>#N/A</v>
      </c>
      <c r="DN155" s="12">
        <f t="array" ref="DN155">INDEX(DM:DM,MIN(IF(ISNUMBER(DM155:DM351),ROW(DM155:DM351),"")))</f>
        <v>0</v>
      </c>
      <c r="DO155" s="12">
        <f>IF('Données projet'!$A$176&gt;35,DO154+DN155-DW154,IF(A155&lt;'Données projet'!$A$176,$DL$205^A155,IF(A155='Données projet'!$A$176,'Données projet'!$B$176,DO154+DN155-DW154)))</f>
        <v>-2.8421709430404007E-13</v>
      </c>
      <c r="DP155" s="17">
        <f>DO155*VLOOKUP('Données projet'!$B$14,Paramètres!$A$1:$I$89,3,0)*VLOOKUP('Données projet'!$B$14,Paramètres!$A$1:$I$89,5,0)</f>
        <v>-2.0838797354372215E-13</v>
      </c>
      <c r="DQ155" s="13" t="e">
        <f t="shared" si="341"/>
        <v>#NUM!</v>
      </c>
      <c r="DR155" s="20" t="e">
        <f t="shared" si="342"/>
        <v>#NUM!</v>
      </c>
      <c r="DS155" s="59" t="e">
        <f t="shared" si="240"/>
        <v>#NUM!</v>
      </c>
      <c r="DT155" s="59">
        <f ca="1">AVERAGE(OFFSET($DS$3,0,0,'Données projet'!$E$14+1,1))-AVERAGE(OFFSET($H$3,0,0,'Données projet'!$E$14+1,1))</f>
        <v>296.91321813251051</v>
      </c>
      <c r="DU155" s="59">
        <f t="shared" si="297"/>
        <v>291.0718079639509</v>
      </c>
      <c r="DV155" s="15">
        <f>IF(ISNA(VLOOKUP(A155,'Données projet'!$A$175:$I$195,3,0)),0,VLOOKUP(A155,'Données projet'!$A$175:$I$195,3,0))</f>
        <v>0</v>
      </c>
      <c r="DW155" s="15">
        <f>IF(ISNA(VLOOKUP(A155,'Données projet'!$A$175:$I$195,4,0)),0,VLOOKUP(A155,'Données projet'!$A$175:$I$195,4,0))</f>
        <v>0</v>
      </c>
      <c r="DX155" s="16">
        <f>IF(ISNA(VLOOKUP(A155,'Données projet'!$A$175:$I$195,5,0)),0%,VLOOKUP(A155,'Données projet'!$A$175:$I$195,5,0)*VLOOKUP('Données projet'!$B$14,Paramètres!$A$1:$I$89,7,0))</f>
        <v>0</v>
      </c>
      <c r="DY155" s="16">
        <f>IF(ISNA(VLOOKUP(A155,'Données projet'!$A$175:$I$195,6,0)),0%,VLOOKUP(A155,'Données projet'!$A$175:$I$195,6,0)*VLOOKUP('Données projet'!$B$14,Paramètres!$A$1:$I$89,7,0))</f>
        <v>0</v>
      </c>
      <c r="DZ155" s="16">
        <f>IF(ISNA(VLOOKUP(A155,'Données projet'!$A$175:$I$195,7,0)),0%,VLOOKUP(A155,'Données projet'!$A$175:$I$195,7,0))</f>
        <v>0</v>
      </c>
      <c r="EA155" s="21">
        <f>EXP(-LN(2)/35)*EA154+(1-EXP(-LN(2)/35))/(LN(2)/35)*DW155*DX155*VLOOKUP('Données projet'!$B$14,Paramètres!$A$1:$I$89,3,0)*0.475*44/12</f>
        <v>41.680561383227641</v>
      </c>
      <c r="EB155" s="21">
        <f>EXP(-LN(2)/25)*EB154+(1-EXP(-LN(2)/25))/(LN(2)/25)*Calculateur!DW155*Calculateur!DY155*VLOOKUP('Données projet'!$B$14,Paramètres!$A$1:$I$89,3,0)*0.475*44/12</f>
        <v>0.72741597949857151</v>
      </c>
      <c r="EC155" s="21">
        <f>EXP(-LN(2)/2)*EC154+(1-EXP(-LN(2)/2))/(LN(2)/2)*DW155*DZ155*VLOOKUP('Données projet'!$B$14,Paramètres!$A$1:$I$89,3,0)*0.475*44/12</f>
        <v>0</v>
      </c>
      <c r="ED155" s="22">
        <f t="shared" si="343"/>
        <v>42.407977362726214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projet'!$A$201:$I$221,2,0)</f>
        <v>#N/A</v>
      </c>
      <c r="EH155" s="12" t="e">
        <f>VLOOKUP(A155,'Données projet'!$A$201:$I$221,9,0)</f>
        <v>#N/A</v>
      </c>
      <c r="EI155" s="12">
        <f t="array" ref="EI155">INDEX(EH:EH,MIN(IF(ISNUMBER(EH155:EH351),ROW(EH155:EH351),"")))</f>
        <v>0</v>
      </c>
      <c r="EJ155" s="12">
        <f>IF('Données projet'!$A$202&gt;35,EJ154+EI155-ER154,IF(A155&lt;'Données projet'!$A$202,$EG$205^A155,IF(A155='Données projet'!$A$202,'Données projet'!$B$202,EJ154+EI155-ER154)))</f>
        <v>5.1159076974727213E-13</v>
      </c>
      <c r="EK155" s="17">
        <f>EJ155*VLOOKUP('Données projet'!$B$15,Paramètres!$A$1:$I$89,3,0)*VLOOKUP('Données projet'!$B$15,Paramètres!$A$1:$I$89,5,0)</f>
        <v>2.3942448024172334E-13</v>
      </c>
      <c r="EL155" s="13">
        <f t="shared" si="344"/>
        <v>3.2492669905861755E-12</v>
      </c>
      <c r="EM155" s="20">
        <f t="shared" si="345"/>
        <v>6.0761376450252565E-12</v>
      </c>
      <c r="EN155" s="59">
        <f t="shared" si="243"/>
        <v>293.3333333333394</v>
      </c>
      <c r="EO155" s="59">
        <f ca="1">AVERAGE(OFFSET($EN$3,0,0,'Données projet'!$E$15+1,1))-AVERAGE(OFFSET($H$3,0,0,'Données projet'!$E$15+1,1))</f>
        <v>147.64256291235483</v>
      </c>
      <c r="EP155" s="59">
        <f t="shared" si="299"/>
        <v>70.859031694091868</v>
      </c>
      <c r="EQ155" s="15">
        <f>IF(ISNA(VLOOKUP(A155,'Données projet'!$A$201:$I$221,3,0)),0,VLOOKUP(A155,'Données projet'!$A$201:$I$221,3,0))</f>
        <v>0</v>
      </c>
      <c r="ER155" s="15">
        <f>IF(ISNA(VLOOKUP(A155,'Données projet'!$A$201:$I$221,4,0)),0,VLOOKUP(A155,'Données projet'!$A$201:$I$221,4,0))</f>
        <v>0</v>
      </c>
      <c r="ES155" s="16">
        <f>IF(ISNA(VLOOKUP(A155,'Données projet'!$A$201:$I$221,5,0)),0%,VLOOKUP(A155,'Données projet'!$A$201:$I$221,5,0)*VLOOKUP('Données projet'!$B$15,Paramètres!$A$1:$I$89,7,0))</f>
        <v>0</v>
      </c>
      <c r="ET155" s="16">
        <f>IF(ISNA(VLOOKUP(A155,'Données projet'!$A$201:$I$221,6,0)),0%,VLOOKUP(A155,'Données projet'!$A$201:$I$221,6,0)*VLOOKUP('Données projet'!$B$15,Paramètres!$A$1:$I$89,7,0))</f>
        <v>0</v>
      </c>
      <c r="EU155" s="16">
        <f>IF(ISNA(VLOOKUP(A155,'Données projet'!$A$201:$I$221,7,0)),0%,VLOOKUP(A155,'Données projet'!$A$201:$I$221,7,0))</f>
        <v>0</v>
      </c>
      <c r="EV155" s="21">
        <f>EXP(-LN(2)/35)*EV154+(1-EXP(-LN(2)/35))/(LN(2)/35)*ER155*ES155*VLOOKUP('Données projet'!$B$15,Paramètres!$A$1:$I$89,3,0)*0.475*44/12</f>
        <v>57.06134553763529</v>
      </c>
      <c r="EW155" s="21">
        <f>EXP(-LN(2)/25)*EW154+(1-EXP(-LN(2)/25))/(LN(2)/25)*Calculateur!ER155*Calculateur!ET155*VLOOKUP('Données projet'!$B$15,Paramètres!$A$1:$I$89,3,0)*0.475*44/12</f>
        <v>10.092163856329696</v>
      </c>
      <c r="EX155" s="21">
        <f>EXP(-LN(2)/2)*EX154+(1-EXP(-LN(2)/2))/(LN(2)/2)*ER155*EU155*VLOOKUP('Données projet'!$B$15,Paramètres!$A$1:$I$89,3,0)*0.475*44/12</f>
        <v>6.1867154347372196E-6</v>
      </c>
      <c r="EY155" s="22">
        <f t="shared" si="346"/>
        <v>67.15351558068042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projet'!$A$227:$I$247,2,0)</f>
        <v>#N/A</v>
      </c>
      <c r="FC155" s="12" t="e">
        <f>VLOOKUP(A155,'Données projet'!$A$227:$I$247,9,0)</f>
        <v>#N/A</v>
      </c>
      <c r="FD155" s="12">
        <f t="array" ref="FD155">INDEX(FC:FC,MIN(IF(ISNUMBER(FC155:FC351),ROW(FC155:FC351),"")))</f>
        <v>0</v>
      </c>
      <c r="FE155" s="12">
        <f>IF('Données projet'!$A$228&gt;35,FE154+FD155-FM154,IF(A155&lt;'Données projet'!$A$228,$FB$205^A155,IF(A155='Données projet'!$A$228,'Données projet'!$B$228,FE154+FD155-FM154)))</f>
        <v>8.5265128291212022E-14</v>
      </c>
      <c r="FF155" s="17">
        <f>FE155*VLOOKUP('Données projet'!$B$16,Paramètres!$A$1:$I$89,3,0)*VLOOKUP('Données projet'!$B$16,Paramètres!$A$1:$I$89,5,0)</f>
        <v>8.9119112089974823E-14</v>
      </c>
      <c r="FG155" s="13">
        <f t="shared" si="347"/>
        <v>1.3568952080113142E-12</v>
      </c>
      <c r="FH155" s="20">
        <f t="shared" si="348"/>
        <v>2.5184749408430782E-12</v>
      </c>
      <c r="FI155" s="59">
        <f t="shared" si="246"/>
        <v>293.33333333333582</v>
      </c>
      <c r="FJ155" s="59">
        <f ca="1">AVERAGE(OFFSET($FI$3,0,0,'Données projet'!$E$16+1,1))-AVERAGE(OFFSET($H$3,0,0,'Données projet'!$E$16+1,1))</f>
        <v>259.03906550253788</v>
      </c>
      <c r="FK155" s="59">
        <f t="shared" si="301"/>
        <v>235.54542903570831</v>
      </c>
      <c r="FL155" s="15">
        <f>IF(ISNA(VLOOKUP(A155,'Données projet'!$A$227:$I$247,3,0)),0,VLOOKUP(A155,'Données projet'!$A$227:$I$247,3,0))</f>
        <v>0</v>
      </c>
      <c r="FM155" s="15">
        <f>IF(ISNA(VLOOKUP(A155,'Données projet'!$A$227:$I$247,4,0)),0,VLOOKUP(A155,'Données projet'!$A$227:$I$247,4,0))</f>
        <v>0</v>
      </c>
      <c r="FN155" s="16">
        <f>IF(ISNA(VLOOKUP(A155,'Données projet'!$A$227:$I$247,5,0)),0%,VLOOKUP(A155,'Données projet'!$A$227:$I$247,5,0)*VLOOKUP('Données projet'!$B$16,Paramètres!$A$1:$I$89,7,0))</f>
        <v>0</v>
      </c>
      <c r="FO155" s="16">
        <f>IF(ISNA(VLOOKUP(A155,'Données projet'!$A$227:$I$247,6,0)),0%,VLOOKUP(A155,'Données projet'!$A$227:$I$247,6,0)*VLOOKUP('Données projet'!$B$16,Paramètres!$A$1:$I$89,7,0))</f>
        <v>0</v>
      </c>
      <c r="FP155" s="16">
        <f>IF(ISNA(VLOOKUP(A155,'Données projet'!$A$227:$I$247,7,0)),0%,VLOOKUP(A155,'Données projet'!$A$227:$I$247,7,0))</f>
        <v>0</v>
      </c>
      <c r="FQ155" s="21">
        <f>EXP(-LN(2)/35)*FQ154+(1-EXP(-LN(2)/35))/(LN(2)/35)*FM155*FN155*VLOOKUP('Données projet'!$B$16,Paramètres!$A$1:$I$89,3,0)*0.475*44/12</f>
        <v>25.185327169745772</v>
      </c>
      <c r="FR155" s="21">
        <f>EXP(-LN(2)/25)*FR154+(1-EXP(-LN(2)/25))/(LN(2)/25)*Calculateur!FM155*Calculateur!FO155*VLOOKUP('Données projet'!$B$16,Paramètres!$A$1:$I$89,3,0)*0.475*44/12</f>
        <v>13.883534052358959</v>
      </c>
      <c r="FS155" s="21">
        <f>EXP(-LN(2)/2)*FS154+(1-EXP(-LN(2)/2))/(LN(2)/2)*FM155*FP155*VLOOKUP('Données projet'!$B$16,Paramètres!$A$1:$I$89,3,0)*0.475*44/12</f>
        <v>0</v>
      </c>
      <c r="FT155" s="22">
        <f t="shared" si="349"/>
        <v>39.068861222104729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projet'!$A$253:$I$273,2,0)</f>
        <v>#N/A</v>
      </c>
      <c r="FX155" s="12" t="e">
        <f>VLOOKUP(A155,'Données projet'!$A$253:$I$273,9,0)</f>
        <v>#N/A</v>
      </c>
      <c r="FY155" s="12">
        <f t="array" ref="FY155">INDEX(FX:FX,MIN(IF(ISNUMBER(FX155:FX351),ROW(FX155:FX351),"")))</f>
        <v>0</v>
      </c>
      <c r="FZ155" s="12">
        <f>IF('Données projet'!$A$254&gt;35,FZ154+FY155-GH154,IF(A155&lt;'Données projet'!$A$254,$FW$205^A155,IF(A155='Données projet'!$A$254,'Données projet'!$B$254,FZ154+FY155-GH154)))</f>
        <v>-1.7053025658242404E-13</v>
      </c>
      <c r="GA155" s="17">
        <f>FZ155*VLOOKUP('Données projet'!$B$17,Paramètres!$A$1:$I$89,3,0)*VLOOKUP('Données projet'!$B$17,Paramètres!$A$1:$I$89,5,0)</f>
        <v>-1.4897523215040567E-13</v>
      </c>
      <c r="GB155" s="13" t="e">
        <f t="shared" si="350"/>
        <v>#NUM!</v>
      </c>
      <c r="GC155" s="20" t="e">
        <f t="shared" si="351"/>
        <v>#NUM!</v>
      </c>
      <c r="GD155" s="59" t="e">
        <f t="shared" si="249"/>
        <v>#NUM!</v>
      </c>
      <c r="GE155" s="59">
        <f ca="1">AVERAGE(OFFSET($GD$3,0,0,'Données projet'!$E$17+1,1))-AVERAGE(OFFSET($H$3,0,0,'Données projet'!$E$17+1,1))</f>
        <v>245.1983232777614</v>
      </c>
      <c r="GF155" s="59">
        <f t="shared" si="303"/>
        <v>242.34010522344573</v>
      </c>
      <c r="GG155" s="15">
        <f>IF(ISNA(VLOOKUP(A155,'Données projet'!$A$253:$I$273,3,0)),0,VLOOKUP(A155,'Données projet'!$A$253:$I$273,3,0))</f>
        <v>0</v>
      </c>
      <c r="GH155" s="15">
        <f>IF(ISNA(VLOOKUP(A155,'Données projet'!$A$253:$I$273,4,0)),0,VLOOKUP(A155,'Données projet'!$A$253:$I$273,4,0))</f>
        <v>0</v>
      </c>
      <c r="GI155" s="16">
        <f>IF(ISNA(VLOOKUP(A155,'Données projet'!$A$253:$I$273,5,0)),0%,VLOOKUP(A155,'Données projet'!$A$253:$I$273,5,0)*VLOOKUP('Données projet'!$B$17,Paramètres!$A$1:$I$89,7,0))</f>
        <v>0</v>
      </c>
      <c r="GJ155" s="16">
        <f>IF(ISNA(VLOOKUP(A155,'Données projet'!$A$253:$I$273,6,0)),0%,VLOOKUP(A155,'Données projet'!$A$253:$I$273,6,0)*VLOOKUP('Données projet'!$B$17,Paramètres!$A$1:$I$89,7,0))</f>
        <v>0</v>
      </c>
      <c r="GK155" s="16">
        <f>IF(ISNA(VLOOKUP(A155,'Données projet'!$A$253:$I$273,7,0)),0%,VLOOKUP(A155,'Données projet'!$A$253:$I$273,7,0))</f>
        <v>0</v>
      </c>
      <c r="GL155" s="21">
        <f>EXP(-LN(2)/35)*GL154+(1-EXP(-LN(2)/35))/(LN(2)/35)*GH155*GI155*VLOOKUP('Données projet'!$B$17,Paramètres!$A$1:$I$89,3,0)*0.475*44/12</f>
        <v>29.608807572770193</v>
      </c>
      <c r="GM155" s="21">
        <f>EXP(-LN(2)/25)*GM154+(1-EXP(-LN(2)/25))/(LN(2)/25)*Calculateur!GH155*Calculateur!GJ155*VLOOKUP('Données projet'!$B$17,Paramètres!$A$1:$I$89,3,0)*0.475*44/12</f>
        <v>2.9582428809843773</v>
      </c>
      <c r="GN155" s="21">
        <f>EXP(-LN(2)/2)*GN154+(1-EXP(-LN(2)/2))/(LN(2)/2)*GH155*GK155*VLOOKUP('Données projet'!$B$17,Paramètres!$A$1:$I$89,3,0)*0.475*44/12</f>
        <v>0</v>
      </c>
      <c r="GO155" s="21">
        <f t="shared" si="352"/>
        <v>32.567050453754568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projet'!$A$279:$I$299,2,0)</f>
        <v>#N/A</v>
      </c>
      <c r="GS155" s="12" t="e">
        <f>VLOOKUP(A155,'Données projet'!$A$279:$I$299,9,0)</f>
        <v>#N/A</v>
      </c>
      <c r="GT155" s="12">
        <f t="array" ref="GT155">INDEX(GS:GS,MIN(IF(ISNUMBER(GS155:GS351),ROW(GS155:GS351),"")))</f>
        <v>0</v>
      </c>
      <c r="GU155" s="12">
        <f>IF('Données projet'!$A$280&gt;35,GU154+GT155-HC154,IF(A155&lt;'Données projet'!$A$280,$GR$205^A155,IF(A155='Données projet'!$A$280,'Données projet'!$B$280,GU154+GT155-HC154)))</f>
        <v>-1.1368683772161603E-13</v>
      </c>
      <c r="GV155" s="17">
        <f>GU155*VLOOKUP('Données projet'!$B$18,Paramètres!$A$1:$I$89,3,0)*VLOOKUP('Données projet'!$B$18,Paramètres!$A$1:$I$89,5,0)</f>
        <v>-4.5815795601811263E-14</v>
      </c>
      <c r="GW155" s="13" t="e">
        <f t="shared" si="353"/>
        <v>#NUM!</v>
      </c>
      <c r="GX155" s="20" t="e">
        <f t="shared" si="354"/>
        <v>#NUM!</v>
      </c>
      <c r="GY155" s="59" t="e">
        <f t="shared" si="252"/>
        <v>#NUM!</v>
      </c>
      <c r="GZ155" s="59">
        <f ca="1">AVERAGE(OFFSET($GY$3,0,0,'Données projet'!$E$18+1,1))-AVERAGE(OFFSET($H$3,0,0,'Données projet'!$E$18+1,1))</f>
        <v>324.36162935850876</v>
      </c>
      <c r="HA155" s="59">
        <f t="shared" si="305"/>
        <v>265.23571072429735</v>
      </c>
      <c r="HB155" s="15">
        <f>IF(ISNA(VLOOKUP(A155,'Données projet'!$A$279:$I$299,3,0)),0,VLOOKUP(A155,'Données projet'!$A$279:$I$299,3,0))</f>
        <v>0</v>
      </c>
      <c r="HC155" s="15">
        <f>IF(ISNA(VLOOKUP(A155,'Données projet'!$A$279:$I$299,4,0)),0,VLOOKUP(A155,'Données projet'!$A$279:$I$299,4,0))</f>
        <v>0</v>
      </c>
      <c r="HD155" s="16">
        <f>IF(ISNA(VLOOKUP(A155,'Données projet'!$A$279:$I$299,5,0)),0%,VLOOKUP(A155,'Données projet'!$A$279:$I$299,5,0)*VLOOKUP('Données projet'!$B$18,Paramètres!$A$1:$I$89,7,0))</f>
        <v>0</v>
      </c>
      <c r="HE155" s="16">
        <f>IF(ISNA(VLOOKUP(A155,'Données projet'!$A$279:$I$299,6,0)),0%,VLOOKUP(A155,'Données projet'!$A$279:$I$299,6,0)*VLOOKUP('Données projet'!$B$18,Paramètres!$A$1:$I$89,7,0))</f>
        <v>0</v>
      </c>
      <c r="HF155" s="16">
        <f>IF(ISNA(VLOOKUP($A155,'Données projet'!$A$279:$I$299,7,0)),0%,VLOOKUP($A155,'Données projet'!$A$279:$I$299,7,0))</f>
        <v>0</v>
      </c>
      <c r="HG155" s="21">
        <f>EXP(-LN(2)/35)*HG154+(1-EXP(-LN(2)/35))/(LN(2)/35)*HC155*HD155*VLOOKUP('Données projet'!$B$18,Paramètres!$A$1:$I$89,3,0)*0.475*44/12</f>
        <v>56.738215608673592</v>
      </c>
      <c r="HH155" s="21">
        <f>EXP(-LN(2)/25)*HH154+(1-EXP(-LN(2)/25))/(LN(2)/25)*Calculateur!HC155*Calculateur!HE155*VLOOKUP('Données projet'!$B$18,Paramètres!$A$1:$I$89,3,0)*0.475*44/12</f>
        <v>3.2900952128871741</v>
      </c>
      <c r="HI155" s="21">
        <f>EXP(-LN(2)/2)*HI154+(1-EXP(-LN(2)/2))/(LN(2)/2)*HC155*HF155*VLOOKUP('Données projet'!$B$18,Paramètres!$A$1:$I$89,3,0)*0.475*44/12</f>
        <v>1.2437827112997078E-10</v>
      </c>
      <c r="HJ155" s="22">
        <f t="shared" si="355"/>
        <v>60.028310821685146</v>
      </c>
      <c r="HK155" s="74">
        <f>('Scénario référence'!$F$8+'Scénario référence'!$F$9+'Scénario référence'!$B$17+'Scénario référence'!$B$9+'Scénario référence'!$B$10)*70+IF((45+25*(1-EXP(-0.0175*$A155)))&lt;70,'Scénario référence'!$B$16*(45+25*(1-EXP(-0.0175*$A155))),70*'Scénario référence'!$B$16)+IF((32+38*(1-EXP(-0.0175*$A155)))&lt;70,'Scénario référence'!$B$18*(32+38*(1-EXP(-0.0175*$A155))),70*'Scénario référence'!$B$18)</f>
        <v>70</v>
      </c>
      <c r="HL155" s="12">
        <f>IF($A155&gt;30,10,('Scénario référence'!$B$16+'Scénario référence'!$B$17+'Scénario référence'!$B$18+'Scénario référence'!$B$9+'Scénario référence'!$B$10)*$A155*10/30+('Scénario référence'!$F$8+'Scénario référence'!$F$9)*10)</f>
        <v>10</v>
      </c>
      <c r="HM155" s="12" t="e">
        <f>VLOOKUP($A155,'Données projet'!$A$304:$I$324,2,0)</f>
        <v>#N/A</v>
      </c>
      <c r="HN155" s="12" t="e">
        <f>VLOOKUP($A155,'Données projet'!$A$304:$I$324,9,0)</f>
        <v>#N/A</v>
      </c>
      <c r="HO155" s="12">
        <f t="array" ref="HO155">INDEX(HN:HN,MIN(IF(ISNUMBER(HN155:HN351),ROW(HN155:HN351),"")))</f>
        <v>0</v>
      </c>
      <c r="HP155" s="12">
        <f>IF('Données projet'!$A$304&gt;35,HP154+HO155-HX154,IF($A155&lt;'Données projet'!$A$304,$CQ$205^$A155,IF($A155='Données projet'!$A$304,'Données projet'!$B$304,HP154+HO155-HX154)))</f>
        <v>0</v>
      </c>
      <c r="HQ155" s="17">
        <f>HP155*VLOOKUP('Données projet'!$B$19,Paramètres!$A$1:$I$89,3,0)*VLOOKUP('Données projet'!$B$19,Paramètres!$A$1:$I$89,5,0)</f>
        <v>0</v>
      </c>
      <c r="HR155" s="13" t="e">
        <f t="shared" si="306"/>
        <v>#NUM!</v>
      </c>
      <c r="HS155" s="14" t="e">
        <f t="shared" si="254"/>
        <v>#NUM!</v>
      </c>
      <c r="HT155" s="59" t="e">
        <f t="shared" si="255"/>
        <v>#NUM!</v>
      </c>
      <c r="HU155" s="59">
        <f ca="1">AVERAGE(OFFSET(HT$3,0,0,'Données projet'!$E$19+1,1))-AVERAGE(OFFSET($H$3,0,0,'Données projet'!$E$19+1,1))</f>
        <v>91.60721429656013</v>
      </c>
      <c r="HV155" s="59">
        <f t="shared" si="307"/>
        <v>258.94957804210856</v>
      </c>
      <c r="HW155" s="15">
        <f>IF(ISNA(VLOOKUP($A155,'Données projet'!$A$304:$I$324,3,0)),0,VLOOKUP($A155,'Données projet'!$A$304:$I$324,3,0))</f>
        <v>0</v>
      </c>
      <c r="HX155" s="15">
        <f>IF(ISNA(VLOOKUP($A155,'Données projet'!$A$304:$I$324,4,0)),0,VLOOKUP($A155,'Données projet'!$A$304:$I$324,4,0))</f>
        <v>0</v>
      </c>
      <c r="HY155" s="16">
        <f>IF(ISNA(VLOOKUP($A155,'Données projet'!$A$304:$I$324,5,0)),0%,VLOOKUP($A155,'Données projet'!$A$304:$I$324,5,0)*VLOOKUP('Données projet'!$B$19,Paramètres!$A$1:$I$89,7,0))</f>
        <v>0</v>
      </c>
      <c r="HZ155" s="16">
        <f>IF(ISNA(VLOOKUP($A155,'Données projet'!$A$304:$I$324,6,0)),0%,VLOOKUP($A155,'Données projet'!$A$304:$I$324,6,0)*VLOOKUP('Données projet'!$B$19,Paramètres!$A$1:$I$89,7,0))</f>
        <v>0</v>
      </c>
      <c r="IA155" s="16">
        <f>IF(ISNA(VLOOKUP($A155,'Données projet'!$A$304:$I$324,7,0)),0%,VLOOKUP($A155,'Données projet'!$A$304:$I$324,7,0))</f>
        <v>0</v>
      </c>
      <c r="IB155" s="21">
        <f>EXP(-LN(2)/35)*IB154+(1-EXP(-LN(2)/35))/(LN(2)/35)*HX155*HY155*VLOOKUP('Données projet'!$B$19,Paramètres!$A$1:$I$89,3,0)*0.475*44/12</f>
        <v>4.4038282230347976</v>
      </c>
      <c r="IC155" s="21">
        <f>EXP(-LN(2)/25)*IC154+(1-EXP(-LN(2)/25))/(LN(2)/25)*Calculateur!HX155*Calculateur!HZ155*VLOOKUP('Données projet'!$B$19,Paramètres!$A$1:$I$89,3,0)*0.475*44/12</f>
        <v>0.33035811600268666</v>
      </c>
      <c r="ID155" s="21">
        <f>EXP(-LN(2)/2)*ID154+(1-EXP(-LN(2)/2))/(LN(2)/2)*HX155*IA155*VLOOKUP('Données projet'!$B$19,Paramètres!$A$1:$I$89,3,0)*0.475*44/12</f>
        <v>2.4843508836246556E-19</v>
      </c>
      <c r="IE155" s="22">
        <f t="shared" si="256"/>
        <v>4.7341863390374845</v>
      </c>
      <c r="IF155" s="74">
        <f>('Scénario référence'!$F$8+'Scénario référence'!$F$9+'Scénario référence'!$B$17+'Scénario référence'!$B$9+'Scénario référence'!$B$10)*70+IF((45+25*(1-EXP(-0.0175*$A155)))&lt;70,'Scénario référence'!$B$16*(45+25*(1-EXP(-0.0175*$A155))),70*'Scénario référence'!$B$16)+IF((32+38*(1-EXP(-0.0175*$A155)))&lt;70,'Scénario référence'!$B$18*(32+38*(1-EXP(-0.0175*$A155))),70*'Scénario référence'!$B$18)</f>
        <v>70</v>
      </c>
      <c r="IG155" s="12">
        <f>IF($A155&gt;30,10,('Scénario référence'!$B$16+'Scénario référence'!$B$17+'Scénario référence'!$B$18+'Scénario référence'!$B$9+'Scénario référence'!$B$10)*$A155*10/30+('Scénario référence'!$F$8+'Scénario référence'!$F$9)*10)</f>
        <v>10</v>
      </c>
      <c r="IH155" s="12" t="e">
        <f>VLOOKUP($A155,'Données projet'!$A$330:$I$350,2,0)</f>
        <v>#N/A</v>
      </c>
      <c r="II155" s="12" t="e">
        <f>VLOOKUP($A155,'Données projet'!$A$330:$I$350,9,0)</f>
        <v>#N/A</v>
      </c>
      <c r="IJ155" s="12">
        <f t="array" ref="IJ155">INDEX(II:II,MIN(IF(ISNUMBER(II155:II351),ROW(II155:II351),"")))</f>
        <v>0</v>
      </c>
      <c r="IK155" s="12">
        <f>IF('Données projet'!$A$330&gt;35,IK154+IJ155-IS154,IF($A155&lt;'Données projet'!$A$330,$CQ$205^$A155,IF($A155='Données projet'!$A$330,'Données projet'!$B$330,IK154+IJ155-IS154)))</f>
        <v>0</v>
      </c>
      <c r="IL155" s="17">
        <f>IK155*VLOOKUP('Données projet'!$B$20,Paramètres!$A$1:$I$89,3,0)*VLOOKUP('Données projet'!$B$20,Paramètres!$A$1:$I$89,5,0)</f>
        <v>0</v>
      </c>
      <c r="IM155" s="13" t="e">
        <f t="shared" si="308"/>
        <v>#NUM!</v>
      </c>
      <c r="IN155" s="20" t="e">
        <f t="shared" si="257"/>
        <v>#NUM!</v>
      </c>
      <c r="IO155" s="59" t="e">
        <f t="shared" si="258"/>
        <v>#NUM!</v>
      </c>
      <c r="IP155" s="59">
        <f ca="1">AVERAGE(OFFSET(IO$3,0,0,'Données projet'!$E$20+1,1))-AVERAGE(OFFSET($H$3,0,0,'Données projet'!$E$20+1,1))</f>
        <v>91.60721429656013</v>
      </c>
      <c r="IQ155" s="59">
        <f t="shared" si="309"/>
        <v>258.94957804210856</v>
      </c>
      <c r="IR155" s="15">
        <f>IF(ISNA(VLOOKUP($A155,'Données projet'!$A$330:$I$350,3,0)),0,VLOOKUP($A155,'Données projet'!$A$330:$I$350,3,0))</f>
        <v>0</v>
      </c>
      <c r="IS155" s="15">
        <f>IF(ISNA(VLOOKUP($A155,'Données projet'!$A$330:$I$350,4,0)),0,VLOOKUP($A155,'Données projet'!$A$330:$I$350,4,0))</f>
        <v>0</v>
      </c>
      <c r="IT155" s="16">
        <f>IF(ISNA(VLOOKUP($A155,'Données projet'!$A$330:$I$350,5,0)),0%,VLOOKUP($A155,'Données projet'!$A$330:$I$350,5,0)*VLOOKUP('Données projet'!$B$20,Paramètres!$A$1:$I$89,7,0))</f>
        <v>0</v>
      </c>
      <c r="IU155" s="16">
        <f>IF(ISNA(VLOOKUP($A155,'Données projet'!$A$330:$I$350,6,0)),0%,VLOOKUP($A155,'Données projet'!$A$330:$I$350,6,0)*VLOOKUP('Données projet'!$B$20,Paramètres!$A$1:$I$89,7,0))</f>
        <v>0</v>
      </c>
      <c r="IV155" s="16">
        <f>IF(ISNA(VLOOKUP($A155,'Données projet'!$A$330:$I$350,7,0)),0%,VLOOKUP($A155,'Données projet'!$A$330:$I$350,7,0))</f>
        <v>0</v>
      </c>
      <c r="IW155" s="21">
        <f>EXP(-LN(2)/35)*IW154+(1-EXP(-LN(2)/35))/(LN(2)/35)*IS155*IT155*VLOOKUP('Données projet'!$B$20,Paramètres!$A$1:$I$89,3,0)*0.475*44/12</f>
        <v>4.4038282230347976</v>
      </c>
      <c r="IX155" s="21">
        <f>EXP(-LN(2)/25)*IX154+(1-EXP(-LN(2)/25))/(LN(2)/25)*Calculateur!IS155*Calculateur!IU155*VLOOKUP('Données projet'!$B$20,Paramètres!$A$1:$I$89,3,0)*0.475*44/12</f>
        <v>0.33035811600268666</v>
      </c>
      <c r="IY155" s="21">
        <f>EXP(-LN(2)/2)*IY154+(1-EXP(-LN(2)/2))/(LN(2)/2)*IS155*IV155*VLOOKUP('Données projet'!$B$20,Paramètres!$A$1:$I$89,3,0)*0.475*44/12</f>
        <v>2.4843508836246556E-19</v>
      </c>
      <c r="IZ155" s="22">
        <f t="shared" si="259"/>
        <v>4.7341863390374845</v>
      </c>
      <c r="JA155" s="74">
        <f>('Scénario référence'!$F$8+'Scénario référence'!$F$9+'Scénario référence'!$B$17+'Scénario référence'!$B$9+'Scénario référence'!$B$10)*70+IF((45+25*(1-EXP(-0.0175*$A155)))&lt;70,'Scénario référence'!$B$16*(45+25*(1-EXP(-0.0175*$A155))),70*'Scénario référence'!$B$16)+IF((32+38*(1-EXP(-0.0175*$A155)))&lt;70,'Scénario référence'!$B$18*(32+38*(1-EXP(-0.0175*$A155))),70*'Scénario référence'!$B$18)</f>
        <v>70</v>
      </c>
      <c r="JB155" s="12">
        <f>IF($A155&gt;30,10,('Scénario référence'!$B$16+'Scénario référence'!$B$17+'Scénario référence'!$B$18+'Scénario référence'!$B$9+'Scénario référence'!$B$10)*$A155*10/30+('Scénario référence'!$F$8+'Scénario référence'!$F$9)*10)</f>
        <v>10</v>
      </c>
      <c r="JC155" s="12" t="e">
        <f>VLOOKUP($A155,'Données projet'!$A$356:$I$376,2,0)</f>
        <v>#N/A</v>
      </c>
      <c r="JD155" s="12" t="e">
        <f>VLOOKUP($A155,'Données projet'!$A$356:$I$376,9,0)</f>
        <v>#N/A</v>
      </c>
      <c r="JE155" s="12">
        <f t="array" ref="JE155">INDEX(JD:JD,MIN(IF(ISNUMBER(JD155:JD351),ROW(JD155:JD351),"")))</f>
        <v>0</v>
      </c>
      <c r="JF155" s="12">
        <f>IF('Données projet'!$A$356&gt;35,JF154+JE155-JN154,IF($A155&lt;'Données projet'!$A$356,$CQ$205^$A155,IF($A155='Données projet'!$A$356,'Données projet'!$B$356,JF154+JE155-JN154)))</f>
        <v>-1.3073986337985843E-12</v>
      </c>
      <c r="JG155" s="17">
        <f>JF155*VLOOKUP('Données projet'!$B$21,Paramètres!$A$1:$I$89,3,0)*VLOOKUP('Données projet'!$B$21,Paramètres!$A$1:$I$89,5,0)</f>
        <v>-1.0605617717374117E-12</v>
      </c>
      <c r="JH155" s="13" t="e">
        <f t="shared" si="310"/>
        <v>#NUM!</v>
      </c>
      <c r="JI155" s="20" t="e">
        <f t="shared" si="260"/>
        <v>#NUM!</v>
      </c>
      <c r="JJ155" s="59" t="e">
        <f t="shared" si="261"/>
        <v>#NUM!</v>
      </c>
      <c r="JK155" s="59">
        <f ca="1">AVERAGE(OFFSET($JJ$3,0,0,'Données projet'!$E$22+1,1))-AVERAGE(OFFSET($H$3,0,0,'Données projet'!$E$22+1,1))</f>
        <v>353.35574633294613</v>
      </c>
      <c r="JL155" s="59">
        <f t="shared" si="311"/>
        <v>170.36796666474726</v>
      </c>
      <c r="JM155" s="15">
        <f>IF(ISNA(VLOOKUP($A155,'Données projet'!$A$356:$I$376,3,0)),0,VLOOKUP($A155,'Données projet'!$A$356:$I$376,3,0))</f>
        <v>0</v>
      </c>
      <c r="JN155" s="15">
        <f>IF(ISNA(VLOOKUP($A155,'Données projet'!$A$356:$I$376,4,0)),0,VLOOKUP($A155,'Données projet'!$A$356:$I$376,4,0))</f>
        <v>0</v>
      </c>
      <c r="JO155" s="16">
        <f>IF(ISNA(VLOOKUP($A155,'Données projet'!$A$356:$I$376,5,0)),0%,VLOOKUP($A155,'Données projet'!$A$356:$I$376,5,0)*VLOOKUP('Données projet'!$B$21,Paramètres!$A$1:$I$89,7,0))</f>
        <v>0</v>
      </c>
      <c r="JP155" s="16">
        <f>IF(ISNA(VLOOKUP($A155,'Données projet'!$A$356:$I$376,6,0)),0%,VLOOKUP($A155,'Données projet'!$A$356:$I$376,6,0)*VLOOKUP('Données projet'!$B$21,Paramètres!$A$1:$I$89,7,0))</f>
        <v>0</v>
      </c>
      <c r="JQ155" s="16">
        <f>IF(ISNA(VLOOKUP($A155,'Données projet'!$A$356:$I$376,7,0)),0%,VLOOKUP($A155,'Données projet'!$A$356:$I$376,7,0))</f>
        <v>0</v>
      </c>
      <c r="JR155" s="21">
        <f>EXP(-LN(2)/35)*JR154+(1-EXP(-LN(2)/35))/(LN(2)/35)*JN155*JO155*VLOOKUP('Données projet'!$B$21,Paramètres!$A$1:$I$89,3,0)*0.475*44/12</f>
        <v>70.599933074069099</v>
      </c>
      <c r="JS155" s="21">
        <f>EXP(-LN(2)/25)*JS154+(1-EXP(-LN(2)/25))/(LN(2)/25)*Calculateur!JN155*Calculateur!JP155*VLOOKUP('Données projet'!$B$21,Paramètres!$A$1:$I$89,3,0)*0.475*44/12</f>
        <v>72.30427511919865</v>
      </c>
      <c r="JT155" s="21">
        <f>EXP(-LN(2)/2)*JT154+(1-EXP(-LN(2)/2))/(LN(2)/2)*JN155*JQ155*VLOOKUP('Données projet'!$B$21,Paramètres!$A$1:$I$89,3,0)*0.475*44/12</f>
        <v>17.145463455781073</v>
      </c>
      <c r="JU155" s="18">
        <f t="shared" si="262"/>
        <v>160.04967164904883</v>
      </c>
      <c r="JV155" s="74">
        <f>('Scénario référence'!$F$8+'Scénario référence'!$F$9+'Scénario référence'!$B$17+'Scénario référence'!$B$9+'Scénario référence'!$B$10)*70+IF((45+25*(1-EXP(-0.0175*$A155)))&lt;70,'Scénario référence'!$B$16*(45+25*(1-EXP(-0.0175*$A155))),70*'Scénario référence'!$B$16)+IF((32+38*(1-EXP(-0.0175*$A155)))&lt;70,'Scénario référence'!$B$18*(32+38*(1-EXP(-0.0175*$A155))),70*'Scénario référence'!$B$18)</f>
        <v>70</v>
      </c>
      <c r="JW155" s="12">
        <f>IF($A155&gt;30,10,('Scénario référence'!$B$16+'Scénario référence'!$B$17+'Scénario référence'!$B$18+'Scénario référence'!$B$9+'Scénario référence'!$B$10)*$A155*10/30+('Scénario référence'!$F$8+'Scénario référence'!$F$9)*10)</f>
        <v>10</v>
      </c>
      <c r="JX155" s="12" t="e">
        <f>VLOOKUP($A155,'Données projet'!$A$382:$I$402,2,0)</f>
        <v>#N/A</v>
      </c>
      <c r="JY155" s="12" t="e">
        <f>VLOOKUP($A155,'Données projet'!$A$382:$I$402,9,0)</f>
        <v>#N/A</v>
      </c>
      <c r="JZ155" s="12">
        <f t="array" ref="JZ155">INDEX(JY:JY,MIN(IF(ISNUMBER(JY155:JY351),ROW(JY155:JY351),"")))</f>
        <v>0</v>
      </c>
      <c r="KA155" s="12">
        <f>IF('Données projet'!$A$382&gt;35,KA154+JZ155-KI154,IF($A155&lt;'Données projet'!$A$382,$CQ$205^$A155,IF($A155='Données projet'!$A$382,'Données projet'!$B$382,KA154+JZ155-KI154)))</f>
        <v>5.6843418860808015E-13</v>
      </c>
      <c r="KB155" s="17">
        <f>KA155*VLOOKUP('Données projet'!$B$22,Paramètres!$A$1:$I$89,3,0)*VLOOKUP('Données projet'!$B$22,Paramètres!$A$1:$I$89,5,0)</f>
        <v>3.8130565371830017E-13</v>
      </c>
      <c r="KC155" s="13">
        <f t="shared" si="312"/>
        <v>4.9019074112354236E-12</v>
      </c>
      <c r="KD155" s="20">
        <f t="shared" si="263"/>
        <v>9.2015960881277352E-12</v>
      </c>
      <c r="KE155" s="59">
        <f t="shared" si="264"/>
        <v>293.33333333334252</v>
      </c>
      <c r="KF155" s="59">
        <f ca="1">AVERAGE(OFFSET($KE$3,0,0,'Données projet'!$E$22+1,1))-AVERAGE(OFFSET($H$3,0,0,'Données projet'!$E$22+1,1))</f>
        <v>193.91714772848269</v>
      </c>
      <c r="KG155" s="59">
        <f t="shared" si="313"/>
        <v>159.20429420478047</v>
      </c>
      <c r="KH155" s="15">
        <f>IF(ISNA(VLOOKUP($A155,'Données projet'!$A$382:$I$402,3,0)),0,VLOOKUP($A155,'Données projet'!$A$382:$I$402,3,0))</f>
        <v>0</v>
      </c>
      <c r="KI155" s="15">
        <f>IF(ISNA(VLOOKUP($A155,'Données projet'!$A$382:$I$402,4,0)),0,VLOOKUP($A155,'Données projet'!$A$382:$I$402,4,0))</f>
        <v>0</v>
      </c>
      <c r="KJ155" s="16">
        <f>IF(ISNA(VLOOKUP($A155,'Données projet'!$A$382:$I$402,5,0)),0%,VLOOKUP($A155,'Données projet'!$A$382:$I$402,5,0)*VLOOKUP('Données projet'!$B$22,Paramètres!$A$1:$I$89,7,0))</f>
        <v>0</v>
      </c>
      <c r="KK155" s="16">
        <f>IF(ISNA(VLOOKUP($A155,'Données projet'!$A$382:$I$402,6,0)),0%,VLOOKUP($A155,'Données projet'!$A$382:$I$402,6,0)*VLOOKUP('Données projet'!$B$22,Paramètres!$A$1:$I$89,7,0))</f>
        <v>0</v>
      </c>
      <c r="KL155" s="16">
        <f>IF(ISNA(VLOOKUP($A155,'Données projet'!$A$382:$I$402,7,0)),0%,VLOOKUP($A155,'Données projet'!$A$382:$I$402,7,0))</f>
        <v>0</v>
      </c>
      <c r="KM155" s="21">
        <f>EXP(-LN(2)/35)*KM154+(1-EXP(-LN(2)/35))/(LN(2)/35)*KI155*KJ155*VLOOKUP('Données projet'!$B$22,Paramètres!$A$1:$I$89,3,0)*0.475*44/12</f>
        <v>103.08369434541319</v>
      </c>
      <c r="KN155" s="21">
        <f>EXP(-LN(2)/25)*KN154+(1-EXP(-LN(2)/25))/(LN(2)/25)*Calculateur!KI155*Calculateur!KK155*VLOOKUP('Données projet'!$B$22,Paramètres!$A$1:$I$89,3,0)*0.475*44/12</f>
        <v>0</v>
      </c>
      <c r="KO155" s="21">
        <f>EXP(-LN(2)/2)*KO154+(1-EXP(-LN(2)/2))/(LN(2)/2)*KI155*KL155*VLOOKUP('Données projet'!$B$22,Paramètres!$A$1:$I$89,3,0)*0.475*44/12</f>
        <v>0</v>
      </c>
      <c r="KP155" s="22">
        <f t="shared" si="265"/>
        <v>103.08369434541319</v>
      </c>
      <c r="KQ155" s="74">
        <f>('Scénario référence'!$F$8+'Scénario référence'!$F$9+'Scénario référence'!$B$17+'Scénario référence'!$B$9+'Scénario référence'!$B$10)*70+IF((45+25*(1-EXP(-0.0175*$A155)))&lt;70,'Scénario référence'!$B$16*(45+25*(1-EXP(-0.0175*$A155))),70*'Scénario référence'!$B$16)+IF((32+38*(1-EXP(-0.0175*$A155)))&lt;70,'Scénario référence'!$B$18*(32+38*(1-EXP(-0.0175*$A155))),70*'Scénario référence'!$B$18)</f>
        <v>70</v>
      </c>
      <c r="KR155" s="12">
        <f>IF($A155&gt;30,10,('Scénario référence'!$B$16+'Scénario référence'!$B$17+'Scénario référence'!$B$18+'Scénario référence'!$B$9+'Scénario référence'!$B$10)*$A155*10/30+('Scénario référence'!$F$8+'Scénario référence'!$F$9)*10)</f>
        <v>10</v>
      </c>
      <c r="KS155" s="12" t="e">
        <f>VLOOKUP($A155,'Données projet'!$A$408:$I$428,2,0)</f>
        <v>#N/A</v>
      </c>
      <c r="KT155" s="12" t="e">
        <f>VLOOKUP($A155,'Données projet'!$A$408:$I$428,9,0)</f>
        <v>#N/A</v>
      </c>
      <c r="KU155" s="12">
        <f t="array" ref="KU155">INDEX(KT:KT,MIN(IF(ISNUMBER(KT155:KT351),ROW(KT155:KT351),"")))</f>
        <v>0</v>
      </c>
      <c r="KV155" s="12">
        <f>IF('Données projet'!$A$408&gt;35,KV154+KU155-LD154,IF($A155&lt;'Données projet'!$A$408,$CQ$205^$A155,IF($A155='Données projet'!$A$408,'Données projet'!$B$408,KV154+KU155-LD154)))</f>
        <v>-1.1368683772161603E-13</v>
      </c>
      <c r="KW155" s="17">
        <f>KV155*VLOOKUP('Données projet'!$B$23,Paramètres!$A$1:$I$89,3,0)*VLOOKUP('Données projet'!$B$23,Paramètres!$A$1:$I$89,5,0)</f>
        <v>-9.9316821433603781E-14</v>
      </c>
      <c r="KX155" s="13" t="e">
        <f t="shared" si="314"/>
        <v>#NUM!</v>
      </c>
      <c r="KY155" s="14" t="e">
        <f t="shared" si="266"/>
        <v>#NUM!</v>
      </c>
      <c r="KZ155" s="59" t="e">
        <f t="shared" si="267"/>
        <v>#NUM!</v>
      </c>
      <c r="LA155" s="59">
        <f ca="1">AVERAGE(OFFSET($KZ$3,0,0,'Données projet'!$E$23+1,1))-AVERAGE(OFFSET($H$3,0,0,'Données projet'!$E$23+1,1))</f>
        <v>248.33596943633819</v>
      </c>
      <c r="LB155" s="59">
        <f t="shared" si="315"/>
        <v>242.34010522344573</v>
      </c>
      <c r="LC155" s="15">
        <f>IF(ISNA(VLOOKUP($A155,'Données projet'!$A$408:$I$428,3,0)),0,VLOOKUP($A155,'Données projet'!$A$408:$I$428,3,0))</f>
        <v>0</v>
      </c>
      <c r="LD155" s="15">
        <f>IF(ISNA(VLOOKUP($A155,'Données projet'!$A$408:$I$428,4,0)),0,VLOOKUP($A155,'Données projet'!$A$408:$I$428,4,0))</f>
        <v>0</v>
      </c>
      <c r="LE155" s="16">
        <f>IF(ISNA(VLOOKUP($A155,'Données projet'!$A$408:$I$428,5,0)),0%,VLOOKUP($A155,'Données projet'!$A$408:$I$428,5,0)*VLOOKUP('Données projet'!$B$23,Paramètres!$A$1:$I$89,7,0))</f>
        <v>0</v>
      </c>
      <c r="LF155" s="16">
        <f>IF(ISNA(VLOOKUP($A155,'Données projet'!$A$408:$I$428,6,0)),0%,VLOOKUP($A155,'Données projet'!$A$408:$I$428,6,0)*VLOOKUP('Données projet'!$B$23,Paramètres!$A$1:$I$89,7,0))</f>
        <v>0</v>
      </c>
      <c r="LG155" s="16">
        <f>IF(ISNA(VLOOKUP($A155,'Données projet'!$A$408:$I$428,7,0)),0%,VLOOKUP($A155,'Données projet'!$A$408:$I$428,7,0))</f>
        <v>0</v>
      </c>
      <c r="LH155" s="21">
        <f>EXP(-LN(2)/35)*LH154+(1-EXP(-LN(2)/35))/(LN(2)/35)*LD155*LE155*VLOOKUP('Données projet'!$B$23,Paramètres!$A$1:$I$89,3,0)*0.475*44/12</f>
        <v>29.608807572770193</v>
      </c>
      <c r="LI155" s="21">
        <f>EXP(-LN(2)/25)*LI154+(1-EXP(-LN(2)/25))/(LN(2)/25)*Calculateur!LD155*Calculateur!LF155*VLOOKUP('Données projet'!$B$23,Paramètres!$A$1:$I$89,3,0)*0.475*44/12</f>
        <v>2.9582428809843773</v>
      </c>
      <c r="LJ155" s="21">
        <f>EXP(-LN(2)/2)*LJ154+(1-EXP(-LN(2)/2))/(LN(2)/2)*LD155*LG155*VLOOKUP('Données projet'!$B$23,Paramètres!$A$1:$I$89,3,0)*0.475*44/12</f>
        <v>0</v>
      </c>
      <c r="LK155" s="22">
        <f t="shared" si="268"/>
        <v>32.567050453754568</v>
      </c>
      <c r="LL155" s="74">
        <f>('Scénario référence'!$F$8+'Scénario référence'!$F$9+'Scénario référence'!$B$17+'Scénario référence'!$B$9+'Scénario référence'!$B$10)*70+IF((45+25*(1-EXP(-0.0175*$A155)))&lt;70,'Scénario référence'!$B$16*(45+25*(1-EXP(-0.0175*$A155))),70*'Scénario référence'!$B$16)+IF((32+38*(1-EXP(-0.0175*$A155)))&lt;70,'Scénario référence'!$B$18*(32+38*(1-EXP(-0.0175*$A155))),70*'Scénario référence'!$B$18)</f>
        <v>70</v>
      </c>
      <c r="LM155" s="12">
        <f>IF($A155&gt;30,10,('Scénario référence'!$B$16+'Scénario référence'!$B$17+'Scénario référence'!$B$18+'Scénario référence'!$B$9+'Scénario référence'!$B$10)*$A155*10/30+('Scénario référence'!$F$8+'Scénario référence'!$F$9)*10)</f>
        <v>10</v>
      </c>
      <c r="LN155" s="12" t="e">
        <f>VLOOKUP($A155,'Données projet'!$A$434:$I$454,2,0)</f>
        <v>#N/A</v>
      </c>
      <c r="LO155" s="12" t="e">
        <f>VLOOKUP($A155,'Données projet'!$A$434:$I$454,9,0)</f>
        <v>#N/A</v>
      </c>
      <c r="LP155" s="12">
        <f t="array" ref="LP155">INDEX(LO:LO,MIN(IF(ISNUMBER(LO155:LO351),ROW(LO155:LO351),"")))</f>
        <v>3.0945512820512704</v>
      </c>
      <c r="LQ155" s="12">
        <f>IF('Données projet'!$A$434&gt;35,LQ154+LP155-LY154,IF($A155&lt;'Données projet'!$A$434,$CQ$205^$A155,IF($A155='Données projet'!$A$434,'Données projet'!$B$434,LQ154+LP155-LY154)))</f>
        <v>191.96314102564048</v>
      </c>
      <c r="LR155" s="17">
        <f>LQ155*VLOOKUP('Données projet'!$B$24,Paramètres!$A$1:$I$89,3,0)*VLOOKUP('Données projet'!$B$24,Paramètres!$A$1:$I$89,5,0)</f>
        <v>194.65062499999945</v>
      </c>
      <c r="LS155" s="13">
        <f t="shared" si="316"/>
        <v>48.566688465444784</v>
      </c>
      <c r="LT155" s="14">
        <f t="shared" si="269"/>
        <v>423.60348761898211</v>
      </c>
      <c r="LU155" s="59">
        <f t="shared" si="270"/>
        <v>716.93682095231543</v>
      </c>
      <c r="LV155" s="59">
        <f ca="1">AVERAGE(OFFSET($LU$3,0,0,'Données projet'!$E$24+1,1))-AVERAGE(OFFSET($H$3,0,0,'Données projet'!$E$24+1,1))</f>
        <v>260.52627655062872</v>
      </c>
      <c r="LW155" s="59">
        <f t="shared" si="317"/>
        <v>159.20429420478047</v>
      </c>
      <c r="LX155" s="15">
        <f>IF(ISNA(VLOOKUP($A155,'Données projet'!$A$434:$I$454,3,0)),0,VLOOKUP($A155,'Données projet'!$A$434:$I$454,3,0))</f>
        <v>0</v>
      </c>
      <c r="LY155" s="15">
        <f>IF(ISNA(VLOOKUP($A155,'Données projet'!$A$434:$I$454,4,0)),0,VLOOKUP($A155,'Données projet'!$A$434:$I$454,4,0))</f>
        <v>0</v>
      </c>
      <c r="LZ155" s="16">
        <f>IF(ISNA(VLOOKUP($A155,'Données projet'!$A$434:$I$454,5,0)),0%,VLOOKUP($A155,'Données projet'!$A$434:$I$454,5,0)*VLOOKUP('Données projet'!$B$24,Paramètres!$A$1:$I$89,7,0))</f>
        <v>0</v>
      </c>
      <c r="MA155" s="16">
        <f>IF(ISNA(VLOOKUP($A155,'Données projet'!$A$434:$I$454,6,0)),0%,VLOOKUP($A155,'Données projet'!$A$434:$I$454,6,0)*VLOOKUP('Données projet'!$B$24,Paramètres!$A$1:$I$89,7,0))</f>
        <v>0</v>
      </c>
      <c r="MB155" s="16">
        <f>IF(ISNA(VLOOKUP($A155,'Données projet'!$A$434:$I$454,7,0)),0%,VLOOKUP($A155,'Données projet'!$A$434:$I$454,7,0))</f>
        <v>0</v>
      </c>
      <c r="MC155" s="21">
        <f>EXP(-LN(2)/35)*MC154+(1-EXP(-LN(2)/35))/(LN(2)/35)*LY155*LZ155*VLOOKUP('Données projet'!$B$24,Paramètres!$A$1:$I$89,3,0)*0.475*44/12</f>
        <v>90.087594720456295</v>
      </c>
      <c r="MD155" s="21">
        <f>EXP(-LN(2)/25)*MD154+(1-EXP(-LN(2)/25))/(LN(2)/25)*Calculateur!LY155*Calculateur!MA155*VLOOKUP('Données projet'!$B$24,Paramètres!$A$1:$I$89,3,0)*0.475*44/12</f>
        <v>0</v>
      </c>
      <c r="ME155" s="21">
        <f>EXP(-LN(2)/2)*ME154+(1-EXP(-LN(2)/2))/(LN(2)/2)*LY155*MB155*VLOOKUP('Données projet'!$B$24,Paramètres!$A$1:$I$89,3,0)*0.475*44/12</f>
        <v>0</v>
      </c>
      <c r="MF155" s="22">
        <f t="shared" si="271"/>
        <v>90.087594720456295</v>
      </c>
      <c r="MG155" s="74">
        <f>('Scénario référence'!$F$8+'Scénario référence'!$F$9+'Scénario référence'!$B$17+'Scénario référence'!$B$9+'Scénario référence'!$B$10)*70+IF((45+25*(1-EXP(-0.0175*$A155)))&lt;70,'Scénario référence'!$B$16*(45+25*(1-EXP(-0.0175*$A155))),70*'Scénario référence'!$B$16)+IF((32+38*(1-EXP(-0.0175*$A155)))&lt;70,'Scénario référence'!$B$18*(32+38*(1-EXP(-0.0175*$A155))),70*'Scénario référence'!$B$18)</f>
        <v>70</v>
      </c>
      <c r="MH155" s="12">
        <f>IF($A155&gt;30,10,('Scénario référence'!$B$16+'Scénario référence'!$B$17+'Scénario référence'!$B$18+'Scénario référence'!$B$9+'Scénario référence'!$B$10)*$A155*10/30+('Scénario référence'!$F$8+'Scénario référence'!$F$9)*10)</f>
        <v>10</v>
      </c>
      <c r="MI155" s="12" t="e">
        <f>VLOOKUP($A155,'Données projet'!$A$460:$I$480,2,0)</f>
        <v>#N/A</v>
      </c>
      <c r="MJ155" s="12" t="e">
        <f>VLOOKUP($A155,'Données projet'!$A$460:$I$480,9,0)</f>
        <v>#N/A</v>
      </c>
      <c r="MK155" s="12">
        <f t="array" ref="MK155">INDEX(MJ:MJ,MIN(IF(ISNUMBER(MJ155:MJ351),ROW(MJ155:MJ351),"")))</f>
        <v>0</v>
      </c>
      <c r="ML155" s="12">
        <f>IF('Données projet'!$A$460&gt;35,ML154+MK155-MT154,IF($A155&lt;'Données projet'!$A$460,$CQ$205^$A155,IF($A155='Données projet'!$A$460,'Données projet'!$B$460,ML154+MK155-MT154)))</f>
        <v>0</v>
      </c>
      <c r="MM155" s="17" t="e">
        <f>ML155*VLOOKUP('Données projet'!$B$25,Paramètres!$A$1:$I$89,3,0)*VLOOKUP('Données projet'!$B$25,Paramètres!$A$1:$I$89,5,0)</f>
        <v>#N/A</v>
      </c>
      <c r="MN155" s="13" t="e">
        <f t="shared" si="318"/>
        <v>#N/A</v>
      </c>
      <c r="MO155" s="14" t="e">
        <f t="shared" si="272"/>
        <v>#N/A</v>
      </c>
      <c r="MP155" s="59" t="e">
        <f t="shared" si="273"/>
        <v>#N/A</v>
      </c>
      <c r="MQ155" s="20" t="e">
        <f ca="1">AVERAGE(OFFSET($MP$3,0,0,'Données projet'!$E$25+1,1))-AVERAGE(OFFSET($H$3,0,0,'Données projet'!$E$25+1,1))</f>
        <v>#N/A</v>
      </c>
      <c r="MR155" s="59" t="e">
        <f t="shared" si="319"/>
        <v>#N/A</v>
      </c>
      <c r="MS155" s="15">
        <f>IF(ISNA(VLOOKUP($A155,'Données projet'!$A$460:$I$480,3,0)),0,VLOOKUP($A155,'Données projet'!$A$460:$I$480,3,0))</f>
        <v>0</v>
      </c>
      <c r="MT155" s="15">
        <f>IF(ISNA(VLOOKUP($A155,'Données projet'!$A$460:$I$480,4,0)),0,VLOOKUP($A155,'Données projet'!$A$460:$I$480,4,0))</f>
        <v>0</v>
      </c>
      <c r="MU155" s="16">
        <f>IF(ISNA(VLOOKUP($A155,'Données projet'!$A$460:$I$480,5,0)),0%,VLOOKUP($A155,'Données projet'!$A$460:$I$480,5,0)*VLOOKUP('Données projet'!$B$25,Paramètres!$A$1:$I$89,7,0))</f>
        <v>0</v>
      </c>
      <c r="MV155" s="16">
        <f>IF(ISNA(VLOOKUP($A155,'Données projet'!$A$460:$I$480,6,0)),0%,VLOOKUP($A155,'Données projet'!$A$460:$I$480,6,0)*VLOOKUP('Données projet'!$B$25,Paramètres!$A$1:$I$89,7,0))</f>
        <v>0</v>
      </c>
      <c r="MW155" s="16">
        <f>IF(ISNA(VLOOKUP($A155,'Données projet'!$A$460:$I$480,7,0)),0%,VLOOKUP($A155,'Données projet'!$A$460:$I$480,7,0))</f>
        <v>0</v>
      </c>
      <c r="MX155" s="21" t="e">
        <f>EXP(-LN(2)/35)*MX154+(1-EXP(-LN(2)/35))/(LN(2)/35)*MT155*MU155*VLOOKUP('Données projet'!$B$25,Paramètres!$A$1:$I$89,3,0)*0.475*44/12</f>
        <v>#N/A</v>
      </c>
      <c r="MY155" s="21" t="e">
        <f>EXP(-LN(2)/25)*MY154+(1-EXP(-LN(2)/25))/(LN(2)/25)*Calculateur!MT155*Calculateur!MV155*VLOOKUP('Données projet'!$B$25,Paramètres!$A$1:$I$89,3,0)*0.475*44/12</f>
        <v>#N/A</v>
      </c>
      <c r="MZ155" s="21" t="e">
        <f>EXP(-LN(2)/2)*MZ154+(1-EXP(-LN(2)/2))/(LN(2)/2)*MT155*MW155*VLOOKUP('Données projet'!$B$25,Paramètres!$A$1:$I$89,3,0)*0.475*44/12</f>
        <v>#N/A</v>
      </c>
      <c r="NA155" s="22" t="e">
        <f t="shared" si="274"/>
        <v>#N/A</v>
      </c>
      <c r="NB155" s="74">
        <f>('Scénario référence'!$F$8+'Scénario référence'!$F$9+'Scénario référence'!$B$17+'Scénario référence'!$B$9+'Scénario référence'!$B$10)*70+IF((45+25*(1-EXP(-0.0175*$A155)))&lt;70,'Scénario référence'!$B$16*(45+25*(1-EXP(-0.0175*$A155))),70*'Scénario référence'!$B$16)+IF((32+38*(1-EXP(-0.0175*$A155)))&lt;70,'Scénario référence'!$B$18*(32+38*(1-EXP(-0.0175*$A155))),70*'Scénario référence'!$B$18)</f>
        <v>70</v>
      </c>
      <c r="NC155" s="12">
        <f>IF($A155&gt;30,10,('Scénario référence'!$B$16+'Scénario référence'!$B$17+'Scénario référence'!$B$18+'Scénario référence'!$B$9+'Scénario référence'!$B$10)*$A155*10/30+('Scénario référence'!$F$8+'Scénario référence'!$F$9)*10)</f>
        <v>10</v>
      </c>
      <c r="ND155" s="12" t="e">
        <f>VLOOKUP($A155,'Données projet'!$A$486:$I$506,2,0)</f>
        <v>#N/A</v>
      </c>
      <c r="NE155" s="12" t="e">
        <f>VLOOKUP($A155,'Données projet'!$A$486:$I$506,9,0)</f>
        <v>#N/A</v>
      </c>
      <c r="NF155" s="12">
        <f t="array" ref="NF155">INDEX(NE:NE,MIN(IF(ISNUMBER(NE155:NE351),ROW(NE155:NE351),"")))</f>
        <v>0</v>
      </c>
      <c r="NG155" s="12">
        <f>IF('Données projet'!$A$486&gt;35,NG154+NF155-NO154,IF($A155&lt;'Données projet'!$A$486,$CQ$205^$A155,IF($A155='Données projet'!$A$486,'Données projet'!$B$486,NG154+NF155-NO154)))</f>
        <v>0</v>
      </c>
      <c r="NH155" s="17" t="e">
        <f>NG155*VLOOKUP('Données projet'!$B$26,Paramètres!$A$1:$I$89,3,0)*VLOOKUP('Données projet'!$B$26,Paramètres!$A$1:$I$89,5,0)</f>
        <v>#N/A</v>
      </c>
      <c r="NI155" s="13" t="e">
        <f t="shared" si="320"/>
        <v>#N/A</v>
      </c>
      <c r="NJ155" s="14" t="e">
        <f t="shared" si="275"/>
        <v>#N/A</v>
      </c>
      <c r="NK155" s="59" t="e">
        <f t="shared" si="276"/>
        <v>#N/A</v>
      </c>
      <c r="NL155" s="20" t="e">
        <f ca="1">AVERAGE(OFFSET($NK$3,0,0,'Données projet'!$E$26+1,1))-AVERAGE(OFFSET($H$3,0,0,'Données projet'!$E$26+1,1))</f>
        <v>#N/A</v>
      </c>
      <c r="NM155" s="59" t="e">
        <f t="shared" si="321"/>
        <v>#N/A</v>
      </c>
      <c r="NN155" s="15">
        <f>IF(ISNA(VLOOKUP($A155,'Données projet'!$A$486:$I$506,3,0)),0,VLOOKUP($A155,'Données projet'!$A$486:$I$506,3,0))</f>
        <v>0</v>
      </c>
      <c r="NO155" s="15">
        <f>IF(ISNA(VLOOKUP($A155,'Données projet'!$A$486:$I$506,4,0)),0,VLOOKUP($A155,'Données projet'!$A$486:$I$506,4,0))</f>
        <v>0</v>
      </c>
      <c r="NP155" s="16">
        <f>IF(ISNA(VLOOKUP($A155,'Données projet'!$A$486:$I$506,5,0)),0%,VLOOKUP($A155,'Données projet'!$A$486:$I$506,5,0)*VLOOKUP('Données projet'!$B$26,Paramètres!$A$1:$I$89,7,0))</f>
        <v>0</v>
      </c>
      <c r="NQ155" s="16">
        <f>IF(ISNA(VLOOKUP($A155,'Données projet'!$A$486:$I$506,6,0)),0%,VLOOKUP($A155,'Données projet'!$A$486:$I$506,6,0)*VLOOKUP('Données projet'!$B$26,Paramètres!$A$1:$I$89,7,0))</f>
        <v>0</v>
      </c>
      <c r="NR155" s="16">
        <f>IF(ISNA(VLOOKUP($A155,'Données projet'!$A$486:$I$506,7,0)),0%,VLOOKUP($A155,'Données projet'!$A$486:$I$506,7,0))</f>
        <v>0</v>
      </c>
      <c r="NS155" s="21" t="e">
        <f>EXP(-LN(2)/35)*NS154+(1-EXP(-LN(2)/35))/(LN(2)/35)*NO155*NP155*VLOOKUP('Données projet'!$B$26,Paramètres!$A$1:$I$89,3,0)*0.475*44/12</f>
        <v>#N/A</v>
      </c>
      <c r="NT155" s="21" t="e">
        <f>EXP(-LN(2)/25)*NT154+(1-EXP(-LN(2)/25))/(LN(2)/25)*Calculateur!NO155*Calculateur!NQ155*VLOOKUP('Données projet'!$B$26,Paramètres!$A$1:$I$89,3,0)*0.475*44/12</f>
        <v>#N/A</v>
      </c>
      <c r="NU155" s="21" t="e">
        <f>EXP(-LN(2)/2)*NU154+(1-EXP(-LN(2)/2))/(LN(2)/2)*NO155*NR155*VLOOKUP('Données projet'!$B$26,Paramètres!$A$1:$I$89,3,0)*0.475*44/12</f>
        <v>#N/A</v>
      </c>
      <c r="NV155" s="22" t="e">
        <f t="shared" si="277"/>
        <v>#N/A</v>
      </c>
      <c r="NW155" s="74">
        <f>('Scénario référence'!$F$8+'Scénario référence'!$F$9+'Scénario référence'!$B$17+'Scénario référence'!$B$9+'Scénario référence'!$B$10)*70+IF((45+25*(1-EXP(-0.0175*$A155)))&lt;70,'Scénario référence'!$B$16*(45+25*(1-EXP(-0.0175*$A155))),70*'Scénario référence'!$B$16)+IF((32+38*(1-EXP(-0.0175*$A155)))&lt;70,'Scénario référence'!$B$18*(32+38*(1-EXP(-0.0175*$A155))),70*'Scénario référence'!$B$18)</f>
        <v>70</v>
      </c>
      <c r="NX155" s="12">
        <f>IF($A155&gt;30,10,('Scénario référence'!$B$16+'Scénario référence'!$B$17+'Scénario référence'!$B$18+'Scénario référence'!$B$9+'Scénario référence'!$B$10)*$A155*10/30+('Scénario référence'!$F$8+'Scénario référence'!$F$9)*10)</f>
        <v>10</v>
      </c>
      <c r="NY155" s="12" t="e">
        <f>VLOOKUP($A155,'Données projet'!$A$512:$I$532,2,0)</f>
        <v>#N/A</v>
      </c>
      <c r="NZ155" s="12" t="e">
        <f>VLOOKUP($A155,'Données projet'!$A$512:$I$532,9,0)</f>
        <v>#N/A</v>
      </c>
      <c r="OA155" s="12">
        <f t="array" ref="OA155">INDEX(NZ:NZ,MIN(IF(ISNUMBER(NZ155:NZ351),ROW(NZ155:NZ351),"")))</f>
        <v>0</v>
      </c>
      <c r="OB155" s="12">
        <f>IF('Données projet'!$A$512&gt;35,OB154+OA155-OJ154,IF($A155&lt;'Données projet'!$A$512,$CQ$205^$A155,IF($A155='Données projet'!$A$512,'Données projet'!$B$512,OB154+OA155-OJ154)))</f>
        <v>0</v>
      </c>
      <c r="OC155" s="17" t="e">
        <f>OB155*VLOOKUP('Données projet'!$B$27,Paramètres!$A$1:$I$89,3,0)*VLOOKUP('Données projet'!$B$27,Paramètres!$A$1:$I$89,5,0)</f>
        <v>#N/A</v>
      </c>
      <c r="OD155" s="13" t="e">
        <f t="shared" si="322"/>
        <v>#N/A</v>
      </c>
      <c r="OE155" s="14" t="e">
        <f t="shared" si="278"/>
        <v>#N/A</v>
      </c>
      <c r="OF155" s="59" t="e">
        <f t="shared" si="279"/>
        <v>#N/A</v>
      </c>
      <c r="OG155" s="20" t="e">
        <f ca="1">AVERAGE(OFFSET($OF$3,0,0,'Données projet'!$E$27+1,1))-AVERAGE(OFFSET($H$3,0,0,'Données projet'!$E$27+1,1))</f>
        <v>#N/A</v>
      </c>
      <c r="OH155" s="59" t="e">
        <f t="shared" si="323"/>
        <v>#N/A</v>
      </c>
      <c r="OI155" s="15">
        <f>IF(ISNA(VLOOKUP($A155,'Données projet'!$A$512:$I$532,3,0)),0,VLOOKUP($A155,'Données projet'!$A$512:$I$532,3,0))</f>
        <v>0</v>
      </c>
      <c r="OJ155" s="15">
        <f>IF(ISNA(VLOOKUP($A155,'Données projet'!$A$512:$I$532,4,0)),0,VLOOKUP($A155,'Données projet'!$A$512:$I$532,4,0))</f>
        <v>0</v>
      </c>
      <c r="OK155" s="16">
        <f>IF(ISNA(VLOOKUP($A155,'Données projet'!$A$512:$I$532,5,0)),0%,VLOOKUP($A155,'Données projet'!$A$512:$I$532,5,0)*VLOOKUP('Données projet'!$B$27,Paramètres!$A$1:$I$89,7,0))</f>
        <v>0</v>
      </c>
      <c r="OL155" s="16">
        <f>IF(ISNA(VLOOKUP($A155,'Données projet'!$A$512:$I$532,6,0)),0%,VLOOKUP($A155,'Données projet'!$A$512:$I$532,6,0)*VLOOKUP('Données projet'!$B$27,Paramètres!$A$1:$I$89,7,0))</f>
        <v>0</v>
      </c>
      <c r="OM155" s="16">
        <f>IF(ISNA(VLOOKUP($A155,'Données projet'!$A$512:$I$532,7,0)),0%,VLOOKUP($A155,'Données projet'!$A$512:$I$532,7,0))</f>
        <v>0</v>
      </c>
      <c r="ON155" s="21" t="e">
        <f>EXP(-LN(2)/35)*ON154+(1-EXP(-LN(2)/35))/(LN(2)/35)*OJ155*OK155*VLOOKUP('Données projet'!$B$27,Paramètres!$A$1:$I$89,3,0)*0.475*44/12</f>
        <v>#N/A</v>
      </c>
      <c r="OO155" s="21" t="e">
        <f>EXP(-LN(2)/25)*OO154+(1-EXP(-LN(2)/25))/(LN(2)/25)*Calculateur!OJ155*Calculateur!OL155*VLOOKUP('Données projet'!$B$27,Paramètres!$A$1:$I$89,3,0)*0.475*44/12</f>
        <v>#N/A</v>
      </c>
      <c r="OP155" s="21" t="e">
        <f>EXP(-LN(2)/2)*OP154+(1-EXP(-LN(2)/2))/(LN(2)/2)*OJ155*OM155*VLOOKUP('Données projet'!$B$27,Paramètres!$A$1:$I$89,3,0)*0.475*44/12</f>
        <v>#N/A</v>
      </c>
      <c r="OQ155" s="22" t="e">
        <f t="shared" si="280"/>
        <v>#N/A</v>
      </c>
      <c r="OR155" s="74">
        <f>('Scénario référence'!$F$8+'Scénario référence'!$F$9+'Scénario référence'!$B$17+'Scénario référence'!$B$9+'Scénario référence'!$B$10)*70+IF((45+25*(1-EXP(-0.0175*$A155)))&lt;70,'Scénario référence'!$B$16*(45+25*(1-EXP(-0.0175*$A155))),70*'Scénario référence'!$B$16)+IF((32+38*(1-EXP(-0.0175*$A155)))&lt;70,'Scénario référence'!$B$18*(32+38*(1-EXP(-0.0175*$A155))),70*'Scénario référence'!$B$18)</f>
        <v>70</v>
      </c>
      <c r="OS155" s="12">
        <f>IF($A155&gt;30,10,('Scénario référence'!$B$16+'Scénario référence'!$B$17+'Scénario référence'!$B$18+'Scénario référence'!$B$9+'Scénario référence'!$B$10)*$A155*10/30+('Scénario référence'!$F$8+'Scénario référence'!$F$9)*10)</f>
        <v>10</v>
      </c>
      <c r="OT155" s="12" t="e">
        <f>VLOOKUP($A155,'Données projet'!$A$538:$I$558,2,0)</f>
        <v>#N/A</v>
      </c>
      <c r="OU155" s="12" t="e">
        <f>VLOOKUP($A155,'Données projet'!$A$538:$I$558,9,0)</f>
        <v>#N/A</v>
      </c>
      <c r="OV155" s="12">
        <f t="array" ref="OV155">INDEX(OU:OU,MIN(IF(ISNUMBER(OU155:OU351),ROW(OU155:OU351),"")))</f>
        <v>0</v>
      </c>
      <c r="OW155" s="12">
        <f>IF('Données projet'!$A$538&gt;35,OW154+OV155-PE154,IF($A155&lt;'Données projet'!$A$538,$CQ$205^$A155,IF($A155='Données projet'!$A$538,'Données projet'!$B$538,OW154+OV155-PE154)))</f>
        <v>0</v>
      </c>
      <c r="OX155" s="17" t="e">
        <f>OW155*VLOOKUP('Données projet'!$B$28,Paramètres!$A$1:$I$89,3,0)*VLOOKUP('Données projet'!$B$28,Paramètres!$A$1:$I$89,5,0)</f>
        <v>#N/A</v>
      </c>
      <c r="OY155" s="13" t="e">
        <f t="shared" si="324"/>
        <v>#N/A</v>
      </c>
      <c r="OZ155" s="14" t="e">
        <f t="shared" si="281"/>
        <v>#N/A</v>
      </c>
      <c r="PA155" s="59" t="e">
        <f t="shared" si="282"/>
        <v>#N/A</v>
      </c>
      <c r="PB155" s="20" t="e">
        <f ca="1">AVERAGE(OFFSET($PA$3,0,0,'Données projet'!$E$28+1,1))-AVERAGE(OFFSET($H$3,0,0,'Données projet'!$E$28+1,1))</f>
        <v>#N/A</v>
      </c>
      <c r="PC155" s="59" t="e">
        <f t="shared" si="325"/>
        <v>#N/A</v>
      </c>
      <c r="PD155" s="15">
        <f>IF(ISNA(VLOOKUP($A155,'Données projet'!$A$538:$I$558,3,0)),0,VLOOKUP($A155,'Données projet'!$A$538:$I$558,3,0))</f>
        <v>0</v>
      </c>
      <c r="PE155" s="15">
        <f>IF(ISNA(VLOOKUP($A155,'Données projet'!$A$538:$I$558,4,0)),0,VLOOKUP($A155,'Données projet'!$A$538:$I$558,4,0))</f>
        <v>0</v>
      </c>
      <c r="PF155" s="16">
        <f>IF(ISNA(VLOOKUP($A155,'Données projet'!$A$538:$I$558,5,0)),0%,VLOOKUP($A155,'Données projet'!$A$538:$I$558,5,0)*VLOOKUP('Données projet'!$B$28,Paramètres!$A$1:$I$89,7,0))</f>
        <v>0</v>
      </c>
      <c r="PG155" s="16">
        <f>IF(ISNA(VLOOKUP($A155,'Données projet'!$A$538:$I$558,6,0)),0%,VLOOKUP($A155,'Données projet'!$A$538:$I$558,6,0)*VLOOKUP('Données projet'!$B$28,Paramètres!$A$1:$I$89,7,0))</f>
        <v>0</v>
      </c>
      <c r="PH155" s="16">
        <f>IF(ISNA(VLOOKUP($A155,'Données projet'!$A$538:$I$558,7,0)),0%,VLOOKUP($A155,'Données projet'!$A$538:$I$558,7,0))</f>
        <v>0</v>
      </c>
      <c r="PI155" s="21" t="e">
        <f>EXP(-LN(2)/35)*PI154+(1-EXP(-LN(2)/35))/(LN(2)/35)*PE155*PF155*VLOOKUP('Données projet'!$B$28,Paramètres!$A$1:$I$89,3,0)*0.475*44/12</f>
        <v>#N/A</v>
      </c>
      <c r="PJ155" s="21" t="e">
        <f>EXP(-LN(2)/25)*PJ154+(1-EXP(-LN(2)/25))/(LN(2)/25)*Calculateur!PE155*Calculateur!PG155*VLOOKUP('Données projet'!$B$28,Paramètres!$A$1:$I$89,3,0)*0.475*44/12</f>
        <v>#N/A</v>
      </c>
      <c r="PK155" s="21" t="e">
        <f>EXP(-LN(2)/2)*PK154+(1-EXP(-LN(2)/2))/(LN(2)/2)*PE155*PH155*VLOOKUP('Données projet'!$B$28,Paramètres!$A$1:$I$89,3,0)*0.475*44/12</f>
        <v>#N/A</v>
      </c>
      <c r="PL155" s="22" t="e">
        <f t="shared" si="283"/>
        <v>#N/A</v>
      </c>
    </row>
    <row r="156" spans="1:428" x14ac:dyDescent="0.35">
      <c r="A156" s="10">
        <f t="shared" si="326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285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225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projet'!$A$45:$I$65,2,0)</f>
        <v>#N/A</v>
      </c>
      <c r="L156" s="12" t="e">
        <f>VLOOKUP(A156,'Données projet'!$A$45:$I$65,9,0)</f>
        <v>#N/A</v>
      </c>
      <c r="M156" s="12">
        <f t="array" ref="M156">INDEX(L:L,MIN(IF(ISNUMBER(L156:L352),ROW(L156:L352),"")))</f>
        <v>0</v>
      </c>
      <c r="N156" s="13">
        <f>IF('Données projet'!$A$46&gt;35,N155+M156-V155,IF(A156&lt;'Données projet'!$A$46,$K$205^A156,IF(A156='Données projet'!$A$46,'Données projet'!$B$46,N155+M156-V155)))</f>
        <v>-1.1368683772161603E-13</v>
      </c>
      <c r="O156" s="13">
        <f>N156*VLOOKUP('Données projet'!$B$9,Paramètres!$A$1:$I$89,3,0)*VLOOKUP('Données projet'!$B$9,Paramètres!$A$1:$I$89,5,0)</f>
        <v>-6.3550942286383367E-14</v>
      </c>
      <c r="P156" s="13" t="e">
        <f t="shared" si="286"/>
        <v>#NUM!</v>
      </c>
      <c r="Q156" s="20" t="e">
        <f t="shared" si="327"/>
        <v>#NUM!</v>
      </c>
      <c r="R156" s="59" t="e">
        <f t="shared" si="224"/>
        <v>#NUM!</v>
      </c>
      <c r="S156" s="59">
        <f ca="1">AVERAGE(OFFSET($R$3,0,0,'Données projet'!$E$9+1,1))-AVERAGE(OFFSET($H$3,0,0,'Données projet'!$E$9+1,1))</f>
        <v>274.57619581652199</v>
      </c>
      <c r="T156" s="59">
        <f t="shared" si="287"/>
        <v>366.15117322598775</v>
      </c>
      <c r="U156" s="15">
        <f>IF(ISNA(VLOOKUP(A156,'Données projet'!$A$45:$I$65,3,0)),0,VLOOKUP(A156,'Données projet'!$A$45:$I$65,3,0))</f>
        <v>0</v>
      </c>
      <c r="V156" s="15">
        <f>IF(ISNA(VLOOKUP(A156,'Données projet'!$A$45:$I$65,4,0)),0,VLOOKUP(A156,'Données projet'!$A$45:$I$65,4,0))</f>
        <v>0</v>
      </c>
      <c r="W156" s="16">
        <f>IF(ISNA(VLOOKUP(A156,'Données projet'!$A$45:$I$65,5,0)),0%,VLOOKUP(A156,'Données projet'!$A$45:$I$65,5,0)*VLOOKUP('Données projet'!$B$9,Paramètres!$A$1:$I$89,7,0))</f>
        <v>0</v>
      </c>
      <c r="X156" s="16">
        <f>IF(ISNA(VLOOKUP(A156,'Données projet'!$A$45:$I$65,6,0)),0%,VLOOKUP(A156,'Données projet'!$A$45:$I$65,6,0)*VLOOKUP('Données projet'!$B$9,Paramètres!$A$1:$I$89,7,0))</f>
        <v>0</v>
      </c>
      <c r="Y156" s="16">
        <f>IF(ISNA(VLOOKUP(A156,'Données projet'!$A$45:$I$65,7,0)),0%,VLOOKUP(A156,'Données projet'!$A$45:$I$65,7,0))</f>
        <v>0</v>
      </c>
      <c r="Z156" s="21">
        <f>EXP(-LN(2)/35)*Z155+(1-EXP(-LN(2)/35))/(LN(2)/35)*V156*W156*VLOOKUP('Données projet'!$B$9,Paramètres!$A$1:$I$89,3,0)*0.475*44/12</f>
        <v>32.545077149853263</v>
      </c>
      <c r="AA156" s="21">
        <f>EXP(-LN(2)/25)*AA155+(1-EXP(-LN(2)/25))/(LN(2)/25)*Calculateur!V156*Calculateur!X156*VLOOKUP('Données projet'!$B$9,Paramètres!$A$1:$I$89,3,0)*0.475*44/12</f>
        <v>3.8057723403289803</v>
      </c>
      <c r="AB156" s="21">
        <f>EXP(-LN(2)/2)*AB155+(1-EXP(-LN(2)/2))/(LN(2)/2)*V156*Y156*VLOOKUP('Données projet'!$B$9,Paramètres!$A$1:$I$89,3,0)*0.475*44/12</f>
        <v>6.0682666010536354E-14</v>
      </c>
      <c r="AC156" s="22">
        <f t="shared" si="328"/>
        <v>36.350849490182306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projet'!$A$71:$I$91,2,0)</f>
        <v>#N/A</v>
      </c>
      <c r="AG156" s="12" t="e">
        <f>VLOOKUP(A156,'Données projet'!$A$71:$I$91,9,0)</f>
        <v>#N/A</v>
      </c>
      <c r="AH156" s="12">
        <f t="array" ref="AH156">INDEX(AG:AG,MIN(IF(ISNUMBER(AG156:AG352),ROW(AG156:AG352),"")))</f>
        <v>0</v>
      </c>
      <c r="AI156" s="13">
        <f>IF('Données projet'!$A$72&gt;35,AI155+AH156-AQ155,IF(A156&lt;'Données projet'!$A$72,$AF$205^A156,IF(A156='Données projet'!$A$72,'Données projet'!$B$72,AI155+AH156-AQ155)))</f>
        <v>5.6843418860808015E-13</v>
      </c>
      <c r="AJ156" s="13">
        <f>AI156*VLOOKUP('Données projet'!$B$10,Paramètres!$A$1:$I$89,3,0)*VLOOKUP('Données projet'!$B$10,Paramètres!$A$1:$I$89,5,0)</f>
        <v>5.1431925385259092E-13</v>
      </c>
      <c r="AK156" s="13">
        <f t="shared" si="329"/>
        <v>6.3855359115685756E-12</v>
      </c>
      <c r="AL156" s="20">
        <f t="shared" si="330"/>
        <v>1.2017247746441865E-11</v>
      </c>
      <c r="AM156" s="59">
        <f t="shared" si="228"/>
        <v>293.33333333334531</v>
      </c>
      <c r="AN156" s="59">
        <f ca="1">AVERAGE(OFFSET($AM$3,0,0,'Données projet'!$E$10+1,1))-AVERAGE(OFFSET($H$3,0,0,'Données projet'!$E$10+1,1))</f>
        <v>270.87836509222456</v>
      </c>
      <c r="AO156" s="59">
        <f t="shared" si="289"/>
        <v>205.24998237949734</v>
      </c>
      <c r="AP156" s="15">
        <f>IF(ISNA(VLOOKUP(A156,'Données projet'!$A$71:$I$91,3,0)),0,VLOOKUP(A156,'Données projet'!$A$71:$I$91,3,0))</f>
        <v>0</v>
      </c>
      <c r="AQ156" s="15">
        <f>IF(ISNA(VLOOKUP(A156,'Données projet'!$A$71:$I$91,4,0)),0,VLOOKUP(A156,'Données projet'!$A$71:$I$91,4,0))</f>
        <v>0</v>
      </c>
      <c r="AR156" s="16">
        <f>IF(ISNA(VLOOKUP(A156,'Données projet'!$A$71:$I$91,5,0)),0%,VLOOKUP(A156,'Données projet'!$A$71:$I$91,5,0)*VLOOKUP('Données projet'!$B$10,Paramètres!$A$1:$I$89,7,0))</f>
        <v>0</v>
      </c>
      <c r="AS156" s="16">
        <f>IF(ISNA(VLOOKUP(A156,'Données projet'!$A$71:$I$91,6,0)),0%,VLOOKUP(A156,'Données projet'!$A$71:$I$91,6,0)*VLOOKUP('Données projet'!$B$10,Paramètres!$A$1:$I$89,7,0))</f>
        <v>0</v>
      </c>
      <c r="AT156" s="16">
        <f>IF(ISNA(VLOOKUP(A156,'Données projet'!$A$71:$I$91,7,0)),0%,VLOOKUP(A156,'Données projet'!$A$71:$I$91,7,0))</f>
        <v>0</v>
      </c>
      <c r="AU156" s="21">
        <f>EXP(-LN(2)/35)*AU155+(1-EXP(-LN(2)/35))/(LN(2)/35)*AQ156*AR156*VLOOKUP('Données projet'!$B$10,Paramètres!$A$1:$I$89,3,0)*0.475*44/12</f>
        <v>110.59646389623396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331"/>
        <v>110.59646389623396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projet'!$A$97:$I$117,2,0)</f>
        <v>#N/A</v>
      </c>
      <c r="BB156" s="12" t="e">
        <f>VLOOKUP(A156,'Données projet'!$A$97:$I$117,9,0)</f>
        <v>#N/A</v>
      </c>
      <c r="BC156" s="12">
        <f t="array" ref="BC156">INDEX(BB:BB,MIN(IF(ISNUMBER(BB156:BB352),ROW(BB156:BB352),"")))</f>
        <v>0</v>
      </c>
      <c r="BD156" s="12">
        <f>IF('Données projet'!$A$98&gt;35,BD155+BC156-BL155,IF(A156&lt;'Données projet'!$A$98,$BA$205^A156,IF(A156='Données projet'!$A$98,'Données projet'!$B$98,BD155+BC156-BL155)))</f>
        <v>-1.1368683772161603E-13</v>
      </c>
      <c r="BE156" s="13">
        <f>BD156*VLOOKUP('Données projet'!$B$11,Paramètres!$A$1:$I$89,3,0)*VLOOKUP('Données projet'!$B$11,Paramètres!$A$1:$I$89,5,0)</f>
        <v>-5.0249582272954292E-14</v>
      </c>
      <c r="BF156" s="13" t="e">
        <f t="shared" si="332"/>
        <v>#NUM!</v>
      </c>
      <c r="BG156" s="20" t="e">
        <f t="shared" si="333"/>
        <v>#NUM!</v>
      </c>
      <c r="BH156" s="59" t="e">
        <f t="shared" si="231"/>
        <v>#NUM!</v>
      </c>
      <c r="BI156" s="59">
        <f ca="1">AVERAGE(OFFSET($BH$3,0,0,'Données projet'!$E$11+1,1))-AVERAGE(OFFSET($H$3,0,0,'Données projet'!$E$11+1,1))</f>
        <v>211.31057120485542</v>
      </c>
      <c r="BJ156" s="59">
        <f t="shared" si="291"/>
        <v>283.33292006714777</v>
      </c>
      <c r="BK156" s="15">
        <f>IF(ISNA(VLOOKUP(A156,'Données projet'!$A$97:$I$117,3,0)),0,VLOOKUP(A156,'Données projet'!$A$97:$I$117,3,0))</f>
        <v>0</v>
      </c>
      <c r="BL156" s="15">
        <f>IF(ISNA(VLOOKUP(A156,'Données projet'!$A$97:$I$117,4,0)),0,VLOOKUP(A156,'Données projet'!$A$97:$I$117,4,0))</f>
        <v>0</v>
      </c>
      <c r="BM156" s="16">
        <f>IF(ISNA(VLOOKUP(A156,'Données projet'!$A$97:$I$117,5,0)),0%,VLOOKUP(A156,'Données projet'!$A$97:$I$117,5,0)*VLOOKUP('Données projet'!$B$11,Paramètres!$A$1:$I$89,7,0))</f>
        <v>0</v>
      </c>
      <c r="BN156" s="16">
        <f>IF(ISNA(VLOOKUP(A156,'Données projet'!$A$97:$I$117,6,0)),0%,VLOOKUP(A156,'Données projet'!$A$97:$I$117,6,0)*VLOOKUP('Données projet'!$B$11,Paramètres!$A$1:$I$89,7,0))</f>
        <v>0</v>
      </c>
      <c r="BO156" s="16">
        <f>IF(ISNA(VLOOKUP(A156,'Données projet'!$A$97:$I$117,7,0)),0%,VLOOKUP(A156,'Données projet'!$A$97:$I$117,7,0))</f>
        <v>0</v>
      </c>
      <c r="BP156" s="21">
        <f>EXP(-LN(2)/35)*BP155+(1-EXP(-LN(2)/35))/(LN(2)/35)*BL156*BM156*VLOOKUP('Données projet'!$B$11,Paramètres!$A$1:$I$89,3,0)*0.475*44/12</f>
        <v>25.733316816163065</v>
      </c>
      <c r="BQ156" s="21">
        <f>EXP(-LN(2)/25)*BQ155+(1-EXP(-LN(2)/25))/(LN(2)/25)*Calculateur!BL156*Calculateur!BN156*VLOOKUP('Données projet'!$B$11,Paramètres!$A$1:$I$89,3,0)*0.475*44/12</f>
        <v>3.0092153388647733</v>
      </c>
      <c r="BR156" s="21">
        <f>EXP(-LN(2)/2)*BR155+(1-EXP(-LN(2)/2))/(LN(2)/2)*BL156*BO156*VLOOKUP('Données projet'!$B$11,Paramètres!$A$1:$I$89,3,0)*0.475*44/12</f>
        <v>4.7981642892051992E-14</v>
      </c>
      <c r="BS156" s="22">
        <f t="shared" si="334"/>
        <v>28.742532155027888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projet'!$A$123:$I$143,2,0)</f>
        <v>#N/A</v>
      </c>
      <c r="BW156" s="12" t="e">
        <f>VLOOKUP(A156,'Données projet'!$A$123:$I$143,9,0)</f>
        <v>#N/A</v>
      </c>
      <c r="BX156" s="12">
        <f t="array" ref="BX156">INDEX(BW:BW,MIN(IF(ISNUMBER(BW156:BW352),ROW(BW156:BW352),"")))</f>
        <v>0</v>
      </c>
      <c r="BY156" s="12">
        <f>IF('Données projet'!$A$124&gt;35,BY155+BX156-CG155,IF(A156&lt;'Données projet'!$A$124,$BV$205^A156,IF(A156='Données projet'!$A$124,'Données projet'!$B$124,BY155+BX156-CG155)))</f>
        <v>0</v>
      </c>
      <c r="BZ156" s="13">
        <f>BY156*VLOOKUP('Données projet'!$B$12,Paramètres!$A$1:$I$89,3,0)*VLOOKUP('Données projet'!$B$12,Paramètres!$A$1:$I$89,5,0)</f>
        <v>0</v>
      </c>
      <c r="CA156" s="13" t="e">
        <f t="shared" si="335"/>
        <v>#NUM!</v>
      </c>
      <c r="CB156" s="20" t="e">
        <f t="shared" si="336"/>
        <v>#NUM!</v>
      </c>
      <c r="CC156" s="59" t="e">
        <f t="shared" si="234"/>
        <v>#NUM!</v>
      </c>
      <c r="CD156" s="59">
        <f ca="1">AVERAGE(OFFSET($CC$3,0,0,'Données projet'!$E$12+1,1))-AVERAGE(OFFSET($H$3,0,0,'Données projet'!$E$12+1,1))</f>
        <v>322.93502595881938</v>
      </c>
      <c r="CE156" s="59">
        <f t="shared" si="293"/>
        <v>302.67072119588164</v>
      </c>
      <c r="CF156" s="15">
        <f>IF(ISNA(VLOOKUP(A156,'Données projet'!$A$123:$I$143,3,0)),0,VLOOKUP(A156,'Données projet'!$A$123:$I$143,3,0))</f>
        <v>0</v>
      </c>
      <c r="CG156" s="15">
        <f>IF(ISNA(VLOOKUP(A156,'Données projet'!$A$123:$I$143,4,0)),0,VLOOKUP(A156,'Données projet'!$A$123:$I$143,4,0))</f>
        <v>0</v>
      </c>
      <c r="CH156" s="16">
        <f>IF(ISNA(VLOOKUP(A156,'Données projet'!$A$123:$I$143,5,0)),0%,VLOOKUP(A156,'Données projet'!$A$123:$I$143,5,0)*VLOOKUP('Données projet'!$B$12,Paramètres!$A$1:$I$89,7,0))</f>
        <v>0</v>
      </c>
      <c r="CI156" s="16">
        <f>IF(ISNA(VLOOKUP(A156,'Données projet'!$A$123:$I$143,6,0)),0%,VLOOKUP(A156,'Données projet'!$A$123:$I$143,6,0)*VLOOKUP('Données projet'!$B$12,Paramètres!$A$1:$I$89,7,0))</f>
        <v>0</v>
      </c>
      <c r="CJ156" s="16">
        <f>IF(ISNA(VLOOKUP(A156,'Données projet'!$A$123:$I$143,7,0)),0%,VLOOKUP(A156,'Données projet'!$A$123:$I$143,7,0))</f>
        <v>0</v>
      </c>
      <c r="CK156" s="21">
        <f>EXP(-LN(2)/35)*CK155+(1-EXP(-LN(2)/35))/(LN(2)/35)*CG156*CH156*VLOOKUP('Données projet'!$B$12,Paramètres!$A$1:$I$89,3,0)*0.475*44/12</f>
        <v>40.999391737882512</v>
      </c>
      <c r="CL156" s="21">
        <f>EXP(-LN(2)/25)*CL155+(1-EXP(-LN(2)/25))/(LN(2)/25)*Calculateur!CG156*Calculateur!CI156*VLOOKUP('Données projet'!$B$12,Paramètres!$A$1:$I$89,3,0)*0.475*44/12</f>
        <v>9.631309776913092</v>
      </c>
      <c r="CM156" s="21">
        <f>EXP(-LN(2)/2)*CM155+(1-EXP(-LN(2)/2))/(LN(2)/2)*CG156*CJ156*VLOOKUP('Données projet'!$B$12,Paramètres!$A$1:$I$89,3,0)*0.475*44/12</f>
        <v>0</v>
      </c>
      <c r="CN156" s="22">
        <f t="shared" si="337"/>
        <v>50.630701514795604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>
        <f>VLOOKUP(A156,'Données projet'!$A$149:$I$169,2,0)</f>
        <v>195.05769230769226</v>
      </c>
      <c r="CR156" s="12">
        <f>VLOOKUP(A156,'Données projet'!$A$149:$I$169,9,0)</f>
        <v>3.0945512820512704</v>
      </c>
      <c r="CS156" s="12">
        <f t="array" ref="CS156">INDEX(CR:CR,MIN(IF(ISNUMBER(CR156:CR352),ROW(CR156:CR352),"")))</f>
        <v>3.0945512820512704</v>
      </c>
      <c r="CT156" s="12">
        <f>IF('Données projet'!$A$150&gt;35,CT155+CS156-DB155,IF(A156&lt;'Données projet'!$A$150,$CQ$205^A156,IF(A156='Données projet'!$A$150,'Données projet'!$B$150,CT155+CS156-DB155)))</f>
        <v>195.05769230769175</v>
      </c>
      <c r="CU156" s="17">
        <f>CT156*VLOOKUP('Données projet'!$B$13,Paramètres!$A$1:$I$89,3,0)*VLOOKUP('Données projet'!$B$13,Paramètres!$A$1:$I$89,5,0)</f>
        <v>197.78849999999943</v>
      </c>
      <c r="CV156" s="13">
        <f t="shared" si="338"/>
        <v>49.257832889250977</v>
      </c>
      <c r="CW156" s="20">
        <f t="shared" si="339"/>
        <v>430.27236311544448</v>
      </c>
      <c r="CX156" s="59">
        <f t="shared" si="237"/>
        <v>723.60569644877773</v>
      </c>
      <c r="CY156" s="59">
        <f ca="1">AVERAGE(OFFSET($CX$3,0,0,'Données projet'!$E$13+1,1))-AVERAGE(OFFSET($H$3,0,0,'Données projet'!$E$13+1,1))</f>
        <v>250.31277422753283</v>
      </c>
      <c r="CZ156" s="59">
        <f t="shared" si="295"/>
        <v>159.20429420478047</v>
      </c>
      <c r="DA156" s="15">
        <f>IF(ISNA(VLOOKUP(A156,'Données projet'!$A$149:$I$169,3,0)),0,VLOOKUP(A156,'Données projet'!$A$149:$I$169,3,0))</f>
        <v>13</v>
      </c>
      <c r="DB156" s="15">
        <f>IF(ISNA(VLOOKUP(A156,'Données projet'!$A$149:$I$169,4,0)),0,VLOOKUP(A156,'Données projet'!$A$149:$I$169,4,0))</f>
        <v>70.115384615384613</v>
      </c>
      <c r="DC156" s="16">
        <f>IF(ISNA(VLOOKUP(A156,'Données projet'!$A$149:$I$169,5,0)),0%,VLOOKUP(A156,'Données projet'!$A$149:$I$169,5,0)*VLOOKUP('Données projet'!$B$13,Paramètres!$A$1:$I$89,7,0))</f>
        <v>0.38700000000000001</v>
      </c>
      <c r="DD156" s="16">
        <f>IF(ISNA(VLOOKUP(A156,'Données projet'!$A$149:$I$169,6,0)),0%,VLOOKUP(A156,'Données projet'!$A$149:$I$169,6,0)*VLOOKUP('Données projet'!$B$13,Paramètres!$A$1:$I$89,7,0))</f>
        <v>0</v>
      </c>
      <c r="DE156" s="16">
        <f>IF(ISNA(VLOOKUP(A156,'Données projet'!$A$149:$I$169,7,0)),0%,VLOOKUP(A156,'Données projet'!$A$149:$I$169,7,0))</f>
        <v>0</v>
      </c>
      <c r="DF156" s="21">
        <f>EXP(-LN(2)/35)*DF155+(1-EXP(-LN(2)/35))/(LN(2)/35)*DB156*DC156*VLOOKUP('Données projet'!$B$13,Paramètres!$A$1:$I$89,3,0)*0.475*44/12</f>
        <v>118.73753980699942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340"/>
        <v>118.73753980699942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projet'!$A$175:$I$195,2,0)</f>
        <v>#N/A</v>
      </c>
      <c r="DM156" s="12" t="e">
        <f>VLOOKUP(A156,'Données projet'!$A$175:$I$195,9,0)</f>
        <v>#N/A</v>
      </c>
      <c r="DN156" s="12">
        <f t="array" ref="DN156">INDEX(DM:DM,MIN(IF(ISNUMBER(DM156:DM352),ROW(DM156:DM352),"")))</f>
        <v>0</v>
      </c>
      <c r="DO156" s="12">
        <f>IF('Données projet'!$A$176&gt;35,DO155+DN156-DW155,IF(A156&lt;'Données projet'!$A$176,$DL$205^A156,IF(A156='Données projet'!$A$176,'Données projet'!$B$176,DO155+DN156-DW155)))</f>
        <v>-2.8421709430404007E-13</v>
      </c>
      <c r="DP156" s="17">
        <f>DO156*VLOOKUP('Données projet'!$B$14,Paramètres!$A$1:$I$89,3,0)*VLOOKUP('Données projet'!$B$14,Paramètres!$A$1:$I$89,5,0)</f>
        <v>-2.0838797354372215E-13</v>
      </c>
      <c r="DQ156" s="13" t="e">
        <f t="shared" si="341"/>
        <v>#NUM!</v>
      </c>
      <c r="DR156" s="20" t="e">
        <f t="shared" si="342"/>
        <v>#NUM!</v>
      </c>
      <c r="DS156" s="59" t="e">
        <f t="shared" si="240"/>
        <v>#NUM!</v>
      </c>
      <c r="DT156" s="59">
        <f ca="1">AVERAGE(OFFSET($DS$3,0,0,'Données projet'!$E$14+1,1))-AVERAGE(OFFSET($H$3,0,0,'Données projet'!$E$14+1,1))</f>
        <v>296.91321813251051</v>
      </c>
      <c r="DU156" s="59">
        <f t="shared" si="297"/>
        <v>291.0718079639509</v>
      </c>
      <c r="DV156" s="15">
        <f>IF(ISNA(VLOOKUP(A156,'Données projet'!$A$175:$I$195,3,0)),0,VLOOKUP(A156,'Données projet'!$A$175:$I$195,3,0))</f>
        <v>0</v>
      </c>
      <c r="DW156" s="15">
        <f>IF(ISNA(VLOOKUP(A156,'Données projet'!$A$175:$I$195,4,0)),0,VLOOKUP(A156,'Données projet'!$A$175:$I$195,4,0))</f>
        <v>0</v>
      </c>
      <c r="DX156" s="16">
        <f>IF(ISNA(VLOOKUP(A156,'Données projet'!$A$175:$I$195,5,0)),0%,VLOOKUP(A156,'Données projet'!$A$175:$I$195,5,0)*VLOOKUP('Données projet'!$B$14,Paramètres!$A$1:$I$89,7,0))</f>
        <v>0</v>
      </c>
      <c r="DY156" s="16">
        <f>IF(ISNA(VLOOKUP(A156,'Données projet'!$A$175:$I$195,6,0)),0%,VLOOKUP(A156,'Données projet'!$A$175:$I$195,6,0)*VLOOKUP('Données projet'!$B$14,Paramètres!$A$1:$I$89,7,0))</f>
        <v>0</v>
      </c>
      <c r="DZ156" s="16">
        <f>IF(ISNA(VLOOKUP(A156,'Données projet'!$A$175:$I$195,7,0)),0%,VLOOKUP(A156,'Données projet'!$A$175:$I$195,7,0))</f>
        <v>0</v>
      </c>
      <c r="EA156" s="21">
        <f>EXP(-LN(2)/35)*EA155+(1-EXP(-LN(2)/35))/(LN(2)/35)*DW156*DX156*VLOOKUP('Données projet'!$B$14,Paramètres!$A$1:$I$89,3,0)*0.475*44/12</f>
        <v>40.863230997134714</v>
      </c>
      <c r="EB156" s="21">
        <f>EXP(-LN(2)/25)*EB155+(1-EXP(-LN(2)/25))/(LN(2)/25)*Calculateur!DW156*Calculateur!DY156*VLOOKUP('Données projet'!$B$14,Paramètres!$A$1:$I$89,3,0)*0.475*44/12</f>
        <v>0.7075247512860392</v>
      </c>
      <c r="EC156" s="21">
        <f>EXP(-LN(2)/2)*EC155+(1-EXP(-LN(2)/2))/(LN(2)/2)*DW156*DZ156*VLOOKUP('Données projet'!$B$14,Paramètres!$A$1:$I$89,3,0)*0.475*44/12</f>
        <v>0</v>
      </c>
      <c r="ED156" s="22">
        <f t="shared" si="343"/>
        <v>41.570755748420751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projet'!$A$201:$I$221,2,0)</f>
        <v>#N/A</v>
      </c>
      <c r="EH156" s="12" t="e">
        <f>VLOOKUP(A156,'Données projet'!$A$201:$I$221,9,0)</f>
        <v>#N/A</v>
      </c>
      <c r="EI156" s="12">
        <f t="array" ref="EI156">INDEX(EH:EH,MIN(IF(ISNUMBER(EH156:EH352),ROW(EH156:EH352),"")))</f>
        <v>0</v>
      </c>
      <c r="EJ156" s="12">
        <f>IF('Données projet'!$A$202&gt;35,EJ155+EI156-ER155,IF(A156&lt;'Données projet'!$A$202,$EG$205^A156,IF(A156='Données projet'!$A$202,'Données projet'!$B$202,EJ155+EI156-ER155)))</f>
        <v>5.1159076974727213E-13</v>
      </c>
      <c r="EK156" s="17">
        <f>EJ156*VLOOKUP('Données projet'!$B$15,Paramètres!$A$1:$I$89,3,0)*VLOOKUP('Données projet'!$B$15,Paramètres!$A$1:$I$89,5,0)</f>
        <v>2.3942448024172334E-13</v>
      </c>
      <c r="EL156" s="13">
        <f t="shared" si="344"/>
        <v>3.2492669905861755E-12</v>
      </c>
      <c r="EM156" s="20">
        <f t="shared" si="345"/>
        <v>6.0761376450252565E-12</v>
      </c>
      <c r="EN156" s="59">
        <f t="shared" si="243"/>
        <v>293.3333333333394</v>
      </c>
      <c r="EO156" s="59">
        <f ca="1">AVERAGE(OFFSET($EN$3,0,0,'Données projet'!$E$15+1,1))-AVERAGE(OFFSET($H$3,0,0,'Données projet'!$E$15+1,1))</f>
        <v>147.64256291235483</v>
      </c>
      <c r="EP156" s="59">
        <f t="shared" si="299"/>
        <v>70.859031694091868</v>
      </c>
      <c r="EQ156" s="15">
        <f>IF(ISNA(VLOOKUP(A156,'Données projet'!$A$201:$I$221,3,0)),0,VLOOKUP(A156,'Données projet'!$A$201:$I$221,3,0))</f>
        <v>0</v>
      </c>
      <c r="ER156" s="15">
        <f>IF(ISNA(VLOOKUP(A156,'Données projet'!$A$201:$I$221,4,0)),0,VLOOKUP(A156,'Données projet'!$A$201:$I$221,4,0))</f>
        <v>0</v>
      </c>
      <c r="ES156" s="16">
        <f>IF(ISNA(VLOOKUP(A156,'Données projet'!$A$201:$I$221,5,0)),0%,VLOOKUP(A156,'Données projet'!$A$201:$I$221,5,0)*VLOOKUP('Données projet'!$B$15,Paramètres!$A$1:$I$89,7,0))</f>
        <v>0</v>
      </c>
      <c r="ET156" s="16">
        <f>IF(ISNA(VLOOKUP(A156,'Données projet'!$A$201:$I$221,6,0)),0%,VLOOKUP(A156,'Données projet'!$A$201:$I$221,6,0)*VLOOKUP('Données projet'!$B$15,Paramètres!$A$1:$I$89,7,0))</f>
        <v>0</v>
      </c>
      <c r="EU156" s="16">
        <f>IF(ISNA(VLOOKUP(A156,'Données projet'!$A$201:$I$221,7,0)),0%,VLOOKUP(A156,'Données projet'!$A$201:$I$221,7,0))</f>
        <v>0</v>
      </c>
      <c r="EV156" s="21">
        <f>EXP(-LN(2)/35)*EV155+(1-EXP(-LN(2)/35))/(LN(2)/35)*ER156*ES156*VLOOKUP('Données projet'!$B$15,Paramètres!$A$1:$I$89,3,0)*0.475*44/12</f>
        <v>55.942407355626429</v>
      </c>
      <c r="EW156" s="21">
        <f>EXP(-LN(2)/25)*EW155+(1-EXP(-LN(2)/25))/(LN(2)/25)*Calculateur!ER156*Calculateur!ET156*VLOOKUP('Données projet'!$B$15,Paramètres!$A$1:$I$89,3,0)*0.475*44/12</f>
        <v>9.8161931049545288</v>
      </c>
      <c r="EX156" s="21">
        <f>EXP(-LN(2)/2)*EX155+(1-EXP(-LN(2)/2))/(LN(2)/2)*ER156*EU156*VLOOKUP('Données projet'!$B$15,Paramètres!$A$1:$I$89,3,0)*0.475*44/12</f>
        <v>4.3746684371741673E-6</v>
      </c>
      <c r="EY156" s="22">
        <f t="shared" si="346"/>
        <v>65.7586048352494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projet'!$A$227:$I$247,2,0)</f>
        <v>#N/A</v>
      </c>
      <c r="FC156" s="12" t="e">
        <f>VLOOKUP(A156,'Données projet'!$A$227:$I$247,9,0)</f>
        <v>#N/A</v>
      </c>
      <c r="FD156" s="12">
        <f t="array" ref="FD156">INDEX(FC:FC,MIN(IF(ISNUMBER(FC156:FC352),ROW(FC156:FC352),"")))</f>
        <v>0</v>
      </c>
      <c r="FE156" s="12">
        <f>IF('Données projet'!$A$228&gt;35,FE155+FD156-FM155,IF(A156&lt;'Données projet'!$A$228,$FB$205^A156,IF(A156='Données projet'!$A$228,'Données projet'!$B$228,FE155+FD156-FM155)))</f>
        <v>8.5265128291212022E-14</v>
      </c>
      <c r="FF156" s="17">
        <f>FE156*VLOOKUP('Données projet'!$B$16,Paramètres!$A$1:$I$89,3,0)*VLOOKUP('Données projet'!$B$16,Paramètres!$A$1:$I$89,5,0)</f>
        <v>8.9119112089974823E-14</v>
      </c>
      <c r="FG156" s="13">
        <f t="shared" si="347"/>
        <v>1.3568952080113142E-12</v>
      </c>
      <c r="FH156" s="20">
        <f t="shared" si="348"/>
        <v>2.5184749408430782E-12</v>
      </c>
      <c r="FI156" s="59">
        <f t="shared" si="246"/>
        <v>293.33333333333582</v>
      </c>
      <c r="FJ156" s="59">
        <f ca="1">AVERAGE(OFFSET($FI$3,0,0,'Données projet'!$E$16+1,1))-AVERAGE(OFFSET($H$3,0,0,'Données projet'!$E$16+1,1))</f>
        <v>259.03906550253788</v>
      </c>
      <c r="FK156" s="59">
        <f t="shared" si="301"/>
        <v>235.54542903570831</v>
      </c>
      <c r="FL156" s="15">
        <f>IF(ISNA(VLOOKUP(A156,'Données projet'!$A$227:$I$247,3,0)),0,VLOOKUP(A156,'Données projet'!$A$227:$I$247,3,0))</f>
        <v>0</v>
      </c>
      <c r="FM156" s="15">
        <f>IF(ISNA(VLOOKUP(A156,'Données projet'!$A$227:$I$247,4,0)),0,VLOOKUP(A156,'Données projet'!$A$227:$I$247,4,0))</f>
        <v>0</v>
      </c>
      <c r="FN156" s="16">
        <f>IF(ISNA(VLOOKUP(A156,'Données projet'!$A$227:$I$247,5,0)),0%,VLOOKUP(A156,'Données projet'!$A$227:$I$247,5,0)*VLOOKUP('Données projet'!$B$16,Paramètres!$A$1:$I$89,7,0))</f>
        <v>0</v>
      </c>
      <c r="FO156" s="16">
        <f>IF(ISNA(VLOOKUP(A156,'Données projet'!$A$227:$I$247,6,0)),0%,VLOOKUP(A156,'Données projet'!$A$227:$I$247,6,0)*VLOOKUP('Données projet'!$B$16,Paramètres!$A$1:$I$89,7,0))</f>
        <v>0</v>
      </c>
      <c r="FP156" s="16">
        <f>IF(ISNA(VLOOKUP(A156,'Données projet'!$A$227:$I$247,7,0)),0%,VLOOKUP(A156,'Données projet'!$A$227:$I$247,7,0))</f>
        <v>0</v>
      </c>
      <c r="FQ156" s="21">
        <f>EXP(-LN(2)/35)*FQ155+(1-EXP(-LN(2)/35))/(LN(2)/35)*FM156*FN156*VLOOKUP('Données projet'!$B$16,Paramètres!$A$1:$I$89,3,0)*0.475*44/12</f>
        <v>24.691458265479806</v>
      </c>
      <c r="FR156" s="21">
        <f>EXP(-LN(2)/25)*FR155+(1-EXP(-LN(2)/25))/(LN(2)/25)*Calculateur!FM156*Calculateur!FO156*VLOOKUP('Données projet'!$B$16,Paramètres!$A$1:$I$89,3,0)*0.475*44/12</f>
        <v>13.503888083593878</v>
      </c>
      <c r="FS156" s="21">
        <f>EXP(-LN(2)/2)*FS155+(1-EXP(-LN(2)/2))/(LN(2)/2)*FM156*FP156*VLOOKUP('Données projet'!$B$16,Paramètres!$A$1:$I$89,3,0)*0.475*44/12</f>
        <v>0</v>
      </c>
      <c r="FT156" s="22">
        <f t="shared" si="349"/>
        <v>38.195346349073688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projet'!$A$253:$I$273,2,0)</f>
        <v>#N/A</v>
      </c>
      <c r="FX156" s="12" t="e">
        <f>VLOOKUP(A156,'Données projet'!$A$253:$I$273,9,0)</f>
        <v>#N/A</v>
      </c>
      <c r="FY156" s="12">
        <f t="array" ref="FY156">INDEX(FX:FX,MIN(IF(ISNUMBER(FX156:FX352),ROW(FX156:FX352),"")))</f>
        <v>0</v>
      </c>
      <c r="FZ156" s="12">
        <f>IF('Données projet'!$A$254&gt;35,FZ155+FY156-GH155,IF(A156&lt;'Données projet'!$A$254,$FW$205^A156,IF(A156='Données projet'!$A$254,'Données projet'!$B$254,FZ155+FY156-GH155)))</f>
        <v>-1.7053025658242404E-13</v>
      </c>
      <c r="GA156" s="17">
        <f>FZ156*VLOOKUP('Données projet'!$B$17,Paramètres!$A$1:$I$89,3,0)*VLOOKUP('Données projet'!$B$17,Paramètres!$A$1:$I$89,5,0)</f>
        <v>-1.4897523215040567E-13</v>
      </c>
      <c r="GB156" s="13" t="e">
        <f t="shared" si="350"/>
        <v>#NUM!</v>
      </c>
      <c r="GC156" s="20" t="e">
        <f t="shared" si="351"/>
        <v>#NUM!</v>
      </c>
      <c r="GD156" s="59" t="e">
        <f t="shared" si="249"/>
        <v>#NUM!</v>
      </c>
      <c r="GE156" s="59">
        <f ca="1">AVERAGE(OFFSET($GD$3,0,0,'Données projet'!$E$17+1,1))-AVERAGE(OFFSET($H$3,0,0,'Données projet'!$E$17+1,1))</f>
        <v>245.1983232777614</v>
      </c>
      <c r="GF156" s="59">
        <f t="shared" si="303"/>
        <v>242.34010522344573</v>
      </c>
      <c r="GG156" s="15">
        <f>IF(ISNA(VLOOKUP(A156,'Données projet'!$A$253:$I$273,3,0)),0,VLOOKUP(A156,'Données projet'!$A$253:$I$273,3,0))</f>
        <v>0</v>
      </c>
      <c r="GH156" s="15">
        <f>IF(ISNA(VLOOKUP(A156,'Données projet'!$A$253:$I$273,4,0)),0,VLOOKUP(A156,'Données projet'!$A$253:$I$273,4,0))</f>
        <v>0</v>
      </c>
      <c r="GI156" s="16">
        <f>IF(ISNA(VLOOKUP(A156,'Données projet'!$A$253:$I$273,5,0)),0%,VLOOKUP(A156,'Données projet'!$A$253:$I$273,5,0)*VLOOKUP('Données projet'!$B$17,Paramètres!$A$1:$I$89,7,0))</f>
        <v>0</v>
      </c>
      <c r="GJ156" s="16">
        <f>IF(ISNA(VLOOKUP(A156,'Données projet'!$A$253:$I$273,6,0)),0%,VLOOKUP(A156,'Données projet'!$A$253:$I$273,6,0)*VLOOKUP('Données projet'!$B$17,Paramètres!$A$1:$I$89,7,0))</f>
        <v>0</v>
      </c>
      <c r="GK156" s="16">
        <f>IF(ISNA(VLOOKUP(A156,'Données projet'!$A$253:$I$273,7,0)),0%,VLOOKUP(A156,'Données projet'!$A$253:$I$273,7,0))</f>
        <v>0</v>
      </c>
      <c r="GL156" s="21">
        <f>EXP(-LN(2)/35)*GL155+(1-EXP(-LN(2)/35))/(LN(2)/35)*GH156*GI156*VLOOKUP('Données projet'!$B$17,Paramètres!$A$1:$I$89,3,0)*0.475*44/12</f>
        <v>29.028196915857553</v>
      </c>
      <c r="GM156" s="21">
        <f>EXP(-LN(2)/25)*GM155+(1-EXP(-LN(2)/25))/(LN(2)/25)*Calculateur!GH156*Calculateur!GJ156*VLOOKUP('Données projet'!$B$17,Paramètres!$A$1:$I$89,3,0)*0.475*44/12</f>
        <v>2.8773495738366277</v>
      </c>
      <c r="GN156" s="21">
        <f>EXP(-LN(2)/2)*GN155+(1-EXP(-LN(2)/2))/(LN(2)/2)*GH156*GK156*VLOOKUP('Données projet'!$B$17,Paramètres!$A$1:$I$89,3,0)*0.475*44/12</f>
        <v>0</v>
      </c>
      <c r="GO156" s="21">
        <f t="shared" si="352"/>
        <v>31.905546489694181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projet'!$A$279:$I$299,2,0)</f>
        <v>#N/A</v>
      </c>
      <c r="GS156" s="12" t="e">
        <f>VLOOKUP(A156,'Données projet'!$A$279:$I$299,9,0)</f>
        <v>#N/A</v>
      </c>
      <c r="GT156" s="12">
        <f t="array" ref="GT156">INDEX(GS:GS,MIN(IF(ISNUMBER(GS156:GS352),ROW(GS156:GS352),"")))</f>
        <v>0</v>
      </c>
      <c r="GU156" s="12">
        <f>IF('Données projet'!$A$280&gt;35,GU155+GT156-HC155,IF(A156&lt;'Données projet'!$A$280,$GR$205^A156,IF(A156='Données projet'!$A$280,'Données projet'!$B$280,GU155+GT156-HC155)))</f>
        <v>-1.1368683772161603E-13</v>
      </c>
      <c r="GV156" s="17">
        <f>GU156*VLOOKUP('Données projet'!$B$18,Paramètres!$A$1:$I$89,3,0)*VLOOKUP('Données projet'!$B$18,Paramètres!$A$1:$I$89,5,0)</f>
        <v>-4.5815795601811263E-14</v>
      </c>
      <c r="GW156" s="13" t="e">
        <f t="shared" si="353"/>
        <v>#NUM!</v>
      </c>
      <c r="GX156" s="20" t="e">
        <f t="shared" si="354"/>
        <v>#NUM!</v>
      </c>
      <c r="GY156" s="59" t="e">
        <f t="shared" si="252"/>
        <v>#NUM!</v>
      </c>
      <c r="GZ156" s="59">
        <f ca="1">AVERAGE(OFFSET($GY$3,0,0,'Données projet'!$E$18+1,1))-AVERAGE(OFFSET($H$3,0,0,'Données projet'!$E$18+1,1))</f>
        <v>324.36162935850876</v>
      </c>
      <c r="HA156" s="59">
        <f t="shared" si="305"/>
        <v>265.23571072429735</v>
      </c>
      <c r="HB156" s="15">
        <f>IF(ISNA(VLOOKUP(A156,'Données projet'!$A$279:$I$299,3,0)),0,VLOOKUP(A156,'Données projet'!$A$279:$I$299,3,0))</f>
        <v>0</v>
      </c>
      <c r="HC156" s="15">
        <f>IF(ISNA(VLOOKUP(A156,'Données projet'!$A$279:$I$299,4,0)),0,VLOOKUP(A156,'Données projet'!$A$279:$I$299,4,0))</f>
        <v>0</v>
      </c>
      <c r="HD156" s="16">
        <f>IF(ISNA(VLOOKUP(A156,'Données projet'!$A$279:$I$299,5,0)),0%,VLOOKUP(A156,'Données projet'!$A$279:$I$299,5,0)*VLOOKUP('Données projet'!$B$18,Paramètres!$A$1:$I$89,7,0))</f>
        <v>0</v>
      </c>
      <c r="HE156" s="16">
        <f>IF(ISNA(VLOOKUP(A156,'Données projet'!$A$279:$I$299,6,0)),0%,VLOOKUP(A156,'Données projet'!$A$279:$I$299,6,0)*VLOOKUP('Données projet'!$B$18,Paramètres!$A$1:$I$89,7,0))</f>
        <v>0</v>
      </c>
      <c r="HF156" s="16">
        <f>IF(ISNA(VLOOKUP($A156,'Données projet'!$A$279:$I$299,7,0)),0%,VLOOKUP($A156,'Données projet'!$A$279:$I$299,7,0))</f>
        <v>0</v>
      </c>
      <c r="HG156" s="21">
        <f>EXP(-LN(2)/35)*HG155+(1-EXP(-LN(2)/35))/(LN(2)/35)*HC156*HD156*VLOOKUP('Données projet'!$B$18,Paramètres!$A$1:$I$89,3,0)*0.475*44/12</f>
        <v>55.625613807481876</v>
      </c>
      <c r="HH156" s="21">
        <f>EXP(-LN(2)/25)*HH155+(1-EXP(-LN(2)/25))/(LN(2)/25)*Calculateur!HC156*Calculateur!HE156*VLOOKUP('Données projet'!$B$18,Paramètres!$A$1:$I$89,3,0)*0.475*44/12</f>
        <v>3.2001273862721868</v>
      </c>
      <c r="HI156" s="21">
        <f>EXP(-LN(2)/2)*HI155+(1-EXP(-LN(2)/2))/(LN(2)/2)*HC156*HF156*VLOOKUP('Données projet'!$B$18,Paramètres!$A$1:$I$89,3,0)*0.475*44/12</f>
        <v>8.7948718948261334E-11</v>
      </c>
      <c r="HJ156" s="22">
        <f t="shared" si="355"/>
        <v>58.825741193842013</v>
      </c>
      <c r="HK156" s="74">
        <f>('Scénario référence'!$F$8+'Scénario référence'!$F$9+'Scénario référence'!$B$17+'Scénario référence'!$B$9+'Scénario référence'!$B$10)*70+IF((45+25*(1-EXP(-0.0175*$A156)))&lt;70,'Scénario référence'!$B$16*(45+25*(1-EXP(-0.0175*$A156))),70*'Scénario référence'!$B$16)+IF((32+38*(1-EXP(-0.0175*$A156)))&lt;70,'Scénario référence'!$B$18*(32+38*(1-EXP(-0.0175*$A156))),70*'Scénario référence'!$B$18)</f>
        <v>70</v>
      </c>
      <c r="HL156" s="12">
        <f>IF($A156&gt;30,10,('Scénario référence'!$B$16+'Scénario référence'!$B$17+'Scénario référence'!$B$18+'Scénario référence'!$B$9+'Scénario référence'!$B$10)*$A156*10/30+('Scénario référence'!$F$8+'Scénario référence'!$F$9)*10)</f>
        <v>10</v>
      </c>
      <c r="HM156" s="12" t="e">
        <f>VLOOKUP($A156,'Données projet'!$A$304:$I$324,2,0)</f>
        <v>#N/A</v>
      </c>
      <c r="HN156" s="12" t="e">
        <f>VLOOKUP($A156,'Données projet'!$A$304:$I$324,9,0)</f>
        <v>#N/A</v>
      </c>
      <c r="HO156" s="12">
        <f t="array" ref="HO156">INDEX(HN:HN,MIN(IF(ISNUMBER(HN156:HN352),ROW(HN156:HN352),"")))</f>
        <v>0</v>
      </c>
      <c r="HP156" s="12">
        <f>IF('Données projet'!$A$304&gt;35,HP155+HO156-HX155,IF($A156&lt;'Données projet'!$A$304,$CQ$205^$A156,IF($A156='Données projet'!$A$304,'Données projet'!$B$304,HP155+HO156-HX155)))</f>
        <v>0</v>
      </c>
      <c r="HQ156" s="17">
        <f>HP156*VLOOKUP('Données projet'!$B$19,Paramètres!$A$1:$I$89,3,0)*VLOOKUP('Données projet'!$B$19,Paramètres!$A$1:$I$89,5,0)</f>
        <v>0</v>
      </c>
      <c r="HR156" s="13" t="e">
        <f t="shared" si="306"/>
        <v>#NUM!</v>
      </c>
      <c r="HS156" s="14" t="e">
        <f t="shared" si="254"/>
        <v>#NUM!</v>
      </c>
      <c r="HT156" s="59" t="e">
        <f t="shared" si="255"/>
        <v>#NUM!</v>
      </c>
      <c r="HU156" s="59">
        <f ca="1">AVERAGE(OFFSET(HT$3,0,0,'Données projet'!$E$19+1,1))-AVERAGE(OFFSET($H$3,0,0,'Données projet'!$E$19+1,1))</f>
        <v>91.60721429656013</v>
      </c>
      <c r="HV156" s="59">
        <f t="shared" si="307"/>
        <v>258.94957804210856</v>
      </c>
      <c r="HW156" s="15">
        <f>IF(ISNA(VLOOKUP($A156,'Données projet'!$A$304:$I$324,3,0)),0,VLOOKUP($A156,'Données projet'!$A$304:$I$324,3,0))</f>
        <v>0</v>
      </c>
      <c r="HX156" s="15">
        <f>IF(ISNA(VLOOKUP($A156,'Données projet'!$A$304:$I$324,4,0)),0,VLOOKUP($A156,'Données projet'!$A$304:$I$324,4,0))</f>
        <v>0</v>
      </c>
      <c r="HY156" s="16">
        <f>IF(ISNA(VLOOKUP($A156,'Données projet'!$A$304:$I$324,5,0)),0%,VLOOKUP($A156,'Données projet'!$A$304:$I$324,5,0)*VLOOKUP('Données projet'!$B$19,Paramètres!$A$1:$I$89,7,0))</f>
        <v>0</v>
      </c>
      <c r="HZ156" s="16">
        <f>IF(ISNA(VLOOKUP($A156,'Données projet'!$A$304:$I$324,6,0)),0%,VLOOKUP($A156,'Données projet'!$A$304:$I$324,6,0)*VLOOKUP('Données projet'!$B$19,Paramètres!$A$1:$I$89,7,0))</f>
        <v>0</v>
      </c>
      <c r="IA156" s="16">
        <f>IF(ISNA(VLOOKUP($A156,'Données projet'!$A$304:$I$324,7,0)),0%,VLOOKUP($A156,'Données projet'!$A$304:$I$324,7,0))</f>
        <v>0</v>
      </c>
      <c r="IB156" s="21">
        <f>EXP(-LN(2)/35)*IB155+(1-EXP(-LN(2)/35))/(LN(2)/35)*HX156*HY156*VLOOKUP('Données projet'!$B$19,Paramètres!$A$1:$I$89,3,0)*0.475*44/12</f>
        <v>4.3174718376510741</v>
      </c>
      <c r="IC156" s="21">
        <f>EXP(-LN(2)/25)*IC155+(1-EXP(-LN(2)/25))/(LN(2)/25)*Calculateur!HX156*Calculateur!HZ156*VLOOKUP('Données projet'!$B$19,Paramètres!$A$1:$I$89,3,0)*0.475*44/12</f>
        <v>0.32132445594781495</v>
      </c>
      <c r="ID156" s="21">
        <f>EXP(-LN(2)/2)*ID155+(1-EXP(-LN(2)/2))/(LN(2)/2)*HX156*IA156*VLOOKUP('Données projet'!$B$19,Paramètres!$A$1:$I$89,3,0)*0.475*44/12</f>
        <v>1.7567013566577854E-19</v>
      </c>
      <c r="IE156" s="22">
        <f t="shared" si="256"/>
        <v>4.6387962935988893</v>
      </c>
      <c r="IF156" s="74">
        <f>('Scénario référence'!$F$8+'Scénario référence'!$F$9+'Scénario référence'!$B$17+'Scénario référence'!$B$9+'Scénario référence'!$B$10)*70+IF((45+25*(1-EXP(-0.0175*$A156)))&lt;70,'Scénario référence'!$B$16*(45+25*(1-EXP(-0.0175*$A156))),70*'Scénario référence'!$B$16)+IF((32+38*(1-EXP(-0.0175*$A156)))&lt;70,'Scénario référence'!$B$18*(32+38*(1-EXP(-0.0175*$A156))),70*'Scénario référence'!$B$18)</f>
        <v>70</v>
      </c>
      <c r="IG156" s="12">
        <f>IF($A156&gt;30,10,('Scénario référence'!$B$16+'Scénario référence'!$B$17+'Scénario référence'!$B$18+'Scénario référence'!$B$9+'Scénario référence'!$B$10)*$A156*10/30+('Scénario référence'!$F$8+'Scénario référence'!$F$9)*10)</f>
        <v>10</v>
      </c>
      <c r="IH156" s="12" t="e">
        <f>VLOOKUP($A156,'Données projet'!$A$330:$I$350,2,0)</f>
        <v>#N/A</v>
      </c>
      <c r="II156" s="12" t="e">
        <f>VLOOKUP($A156,'Données projet'!$A$330:$I$350,9,0)</f>
        <v>#N/A</v>
      </c>
      <c r="IJ156" s="12">
        <f t="array" ref="IJ156">INDEX(II:II,MIN(IF(ISNUMBER(II156:II352),ROW(II156:II352),"")))</f>
        <v>0</v>
      </c>
      <c r="IK156" s="12">
        <f>IF('Données projet'!$A$330&gt;35,IK155+IJ156-IS155,IF($A156&lt;'Données projet'!$A$330,$CQ$205^$A156,IF($A156='Données projet'!$A$330,'Données projet'!$B$330,IK155+IJ156-IS155)))</f>
        <v>0</v>
      </c>
      <c r="IL156" s="17">
        <f>IK156*VLOOKUP('Données projet'!$B$20,Paramètres!$A$1:$I$89,3,0)*VLOOKUP('Données projet'!$B$20,Paramètres!$A$1:$I$89,5,0)</f>
        <v>0</v>
      </c>
      <c r="IM156" s="13" t="e">
        <f t="shared" si="308"/>
        <v>#NUM!</v>
      </c>
      <c r="IN156" s="20" t="e">
        <f t="shared" si="257"/>
        <v>#NUM!</v>
      </c>
      <c r="IO156" s="59" t="e">
        <f t="shared" si="258"/>
        <v>#NUM!</v>
      </c>
      <c r="IP156" s="59">
        <f ca="1">AVERAGE(OFFSET(IO$3,0,0,'Données projet'!$E$20+1,1))-AVERAGE(OFFSET($H$3,0,0,'Données projet'!$E$20+1,1))</f>
        <v>91.60721429656013</v>
      </c>
      <c r="IQ156" s="59">
        <f t="shared" si="309"/>
        <v>258.94957804210856</v>
      </c>
      <c r="IR156" s="15">
        <f>IF(ISNA(VLOOKUP($A156,'Données projet'!$A$330:$I$350,3,0)),0,VLOOKUP($A156,'Données projet'!$A$330:$I$350,3,0))</f>
        <v>0</v>
      </c>
      <c r="IS156" s="15">
        <f>IF(ISNA(VLOOKUP($A156,'Données projet'!$A$330:$I$350,4,0)),0,VLOOKUP($A156,'Données projet'!$A$330:$I$350,4,0))</f>
        <v>0</v>
      </c>
      <c r="IT156" s="16">
        <f>IF(ISNA(VLOOKUP($A156,'Données projet'!$A$330:$I$350,5,0)),0%,VLOOKUP($A156,'Données projet'!$A$330:$I$350,5,0)*VLOOKUP('Données projet'!$B$20,Paramètres!$A$1:$I$89,7,0))</f>
        <v>0</v>
      </c>
      <c r="IU156" s="16">
        <f>IF(ISNA(VLOOKUP($A156,'Données projet'!$A$330:$I$350,6,0)),0%,VLOOKUP($A156,'Données projet'!$A$330:$I$350,6,0)*VLOOKUP('Données projet'!$B$20,Paramètres!$A$1:$I$89,7,0))</f>
        <v>0</v>
      </c>
      <c r="IV156" s="16">
        <f>IF(ISNA(VLOOKUP($A156,'Données projet'!$A$330:$I$350,7,0)),0%,VLOOKUP($A156,'Données projet'!$A$330:$I$350,7,0))</f>
        <v>0</v>
      </c>
      <c r="IW156" s="21">
        <f>EXP(-LN(2)/35)*IW155+(1-EXP(-LN(2)/35))/(LN(2)/35)*IS156*IT156*VLOOKUP('Données projet'!$B$20,Paramètres!$A$1:$I$89,3,0)*0.475*44/12</f>
        <v>4.3174718376510741</v>
      </c>
      <c r="IX156" s="21">
        <f>EXP(-LN(2)/25)*IX155+(1-EXP(-LN(2)/25))/(LN(2)/25)*Calculateur!IS156*Calculateur!IU156*VLOOKUP('Données projet'!$B$20,Paramètres!$A$1:$I$89,3,0)*0.475*44/12</f>
        <v>0.32132445594781495</v>
      </c>
      <c r="IY156" s="21">
        <f>EXP(-LN(2)/2)*IY155+(1-EXP(-LN(2)/2))/(LN(2)/2)*IS156*IV156*VLOOKUP('Données projet'!$B$20,Paramètres!$A$1:$I$89,3,0)*0.475*44/12</f>
        <v>1.7567013566577854E-19</v>
      </c>
      <c r="IZ156" s="22">
        <f t="shared" si="259"/>
        <v>4.6387962935988893</v>
      </c>
      <c r="JA156" s="74">
        <f>('Scénario référence'!$F$8+'Scénario référence'!$F$9+'Scénario référence'!$B$17+'Scénario référence'!$B$9+'Scénario référence'!$B$10)*70+IF((45+25*(1-EXP(-0.0175*$A156)))&lt;70,'Scénario référence'!$B$16*(45+25*(1-EXP(-0.0175*$A156))),70*'Scénario référence'!$B$16)+IF((32+38*(1-EXP(-0.0175*$A156)))&lt;70,'Scénario référence'!$B$18*(32+38*(1-EXP(-0.0175*$A156))),70*'Scénario référence'!$B$18)</f>
        <v>70</v>
      </c>
      <c r="JB156" s="12">
        <f>IF($A156&gt;30,10,('Scénario référence'!$B$16+'Scénario référence'!$B$17+'Scénario référence'!$B$18+'Scénario référence'!$B$9+'Scénario référence'!$B$10)*$A156*10/30+('Scénario référence'!$F$8+'Scénario référence'!$F$9)*10)</f>
        <v>10</v>
      </c>
      <c r="JC156" s="12" t="e">
        <f>VLOOKUP($A156,'Données projet'!$A$356:$I$376,2,0)</f>
        <v>#N/A</v>
      </c>
      <c r="JD156" s="12" t="e">
        <f>VLOOKUP($A156,'Données projet'!$A$356:$I$376,9,0)</f>
        <v>#N/A</v>
      </c>
      <c r="JE156" s="12">
        <f t="array" ref="JE156">INDEX(JD:JD,MIN(IF(ISNUMBER(JD156:JD352),ROW(JD156:JD352),"")))</f>
        <v>0</v>
      </c>
      <c r="JF156" s="12">
        <f>IF('Données projet'!$A$356&gt;35,JF155+JE156-JN155,IF($A156&lt;'Données projet'!$A$356,$CQ$205^$A156,IF($A156='Données projet'!$A$356,'Données projet'!$B$356,JF155+JE156-JN155)))</f>
        <v>-1.3073986337985843E-12</v>
      </c>
      <c r="JG156" s="17">
        <f>JF156*VLOOKUP('Données projet'!$B$21,Paramètres!$A$1:$I$89,3,0)*VLOOKUP('Données projet'!$B$21,Paramètres!$A$1:$I$89,5,0)</f>
        <v>-1.0605617717374117E-12</v>
      </c>
      <c r="JH156" s="13" t="e">
        <f t="shared" si="310"/>
        <v>#NUM!</v>
      </c>
      <c r="JI156" s="20" t="e">
        <f t="shared" si="260"/>
        <v>#NUM!</v>
      </c>
      <c r="JJ156" s="59" t="e">
        <f t="shared" si="261"/>
        <v>#NUM!</v>
      </c>
      <c r="JK156" s="59">
        <f ca="1">AVERAGE(OFFSET($JJ$3,0,0,'Données projet'!$E$22+1,1))-AVERAGE(OFFSET($H$3,0,0,'Données projet'!$E$22+1,1))</f>
        <v>353.35574633294613</v>
      </c>
      <c r="JL156" s="59">
        <f t="shared" si="311"/>
        <v>170.36796666474726</v>
      </c>
      <c r="JM156" s="15">
        <f>IF(ISNA(VLOOKUP($A156,'Données projet'!$A$356:$I$376,3,0)),0,VLOOKUP($A156,'Données projet'!$A$356:$I$376,3,0))</f>
        <v>0</v>
      </c>
      <c r="JN156" s="15">
        <f>IF(ISNA(VLOOKUP($A156,'Données projet'!$A$356:$I$376,4,0)),0,VLOOKUP($A156,'Données projet'!$A$356:$I$376,4,0))</f>
        <v>0</v>
      </c>
      <c r="JO156" s="16">
        <f>IF(ISNA(VLOOKUP($A156,'Données projet'!$A$356:$I$376,5,0)),0%,VLOOKUP($A156,'Données projet'!$A$356:$I$376,5,0)*VLOOKUP('Données projet'!$B$21,Paramètres!$A$1:$I$89,7,0))</f>
        <v>0</v>
      </c>
      <c r="JP156" s="16">
        <f>IF(ISNA(VLOOKUP($A156,'Données projet'!$A$356:$I$376,6,0)),0%,VLOOKUP($A156,'Données projet'!$A$356:$I$376,6,0)*VLOOKUP('Données projet'!$B$21,Paramètres!$A$1:$I$89,7,0))</f>
        <v>0</v>
      </c>
      <c r="JQ156" s="16">
        <f>IF(ISNA(VLOOKUP($A156,'Données projet'!$A$356:$I$376,7,0)),0%,VLOOKUP($A156,'Données projet'!$A$356:$I$376,7,0))</f>
        <v>0</v>
      </c>
      <c r="JR156" s="21">
        <f>EXP(-LN(2)/35)*JR155+(1-EXP(-LN(2)/35))/(LN(2)/35)*JN156*JO156*VLOOKUP('Données projet'!$B$21,Paramètres!$A$1:$I$89,3,0)*0.475*44/12</f>
        <v>69.215511448193794</v>
      </c>
      <c r="JS156" s="21">
        <f>EXP(-LN(2)/25)*JS155+(1-EXP(-LN(2)/25))/(LN(2)/25)*Calculateur!JN156*Calculateur!JP156*VLOOKUP('Données projet'!$B$21,Paramètres!$A$1:$I$89,3,0)*0.475*44/12</f>
        <v>70.327110913747589</v>
      </c>
      <c r="JT156" s="21">
        <f>EXP(-LN(2)/2)*JT155+(1-EXP(-LN(2)/2))/(LN(2)/2)*JN156*JQ156*VLOOKUP('Données projet'!$B$21,Paramètres!$A$1:$I$89,3,0)*0.475*44/12</f>
        <v>12.123673476168936</v>
      </c>
      <c r="JU156" s="18">
        <f t="shared" si="262"/>
        <v>151.6662958381103</v>
      </c>
      <c r="JV156" s="74">
        <f>('Scénario référence'!$F$8+'Scénario référence'!$F$9+'Scénario référence'!$B$17+'Scénario référence'!$B$9+'Scénario référence'!$B$10)*70+IF((45+25*(1-EXP(-0.0175*$A156)))&lt;70,'Scénario référence'!$B$16*(45+25*(1-EXP(-0.0175*$A156))),70*'Scénario référence'!$B$16)+IF((32+38*(1-EXP(-0.0175*$A156)))&lt;70,'Scénario référence'!$B$18*(32+38*(1-EXP(-0.0175*$A156))),70*'Scénario référence'!$B$18)</f>
        <v>70</v>
      </c>
      <c r="JW156" s="12">
        <f>IF($A156&gt;30,10,('Scénario référence'!$B$16+'Scénario référence'!$B$17+'Scénario référence'!$B$18+'Scénario référence'!$B$9+'Scénario référence'!$B$10)*$A156*10/30+('Scénario référence'!$F$8+'Scénario référence'!$F$9)*10)</f>
        <v>10</v>
      </c>
      <c r="JX156" s="12" t="e">
        <f>VLOOKUP($A156,'Données projet'!$A$382:$I$402,2,0)</f>
        <v>#N/A</v>
      </c>
      <c r="JY156" s="12" t="e">
        <f>VLOOKUP($A156,'Données projet'!$A$382:$I$402,9,0)</f>
        <v>#N/A</v>
      </c>
      <c r="JZ156" s="12">
        <f t="array" ref="JZ156">INDEX(JY:JY,MIN(IF(ISNUMBER(JY156:JY352),ROW(JY156:JY352),"")))</f>
        <v>0</v>
      </c>
      <c r="KA156" s="12">
        <f>IF('Données projet'!$A$382&gt;35,KA155+JZ156-KI155,IF($A156&lt;'Données projet'!$A$382,$CQ$205^$A156,IF($A156='Données projet'!$A$382,'Données projet'!$B$382,KA155+JZ156-KI155)))</f>
        <v>5.6843418860808015E-13</v>
      </c>
      <c r="KB156" s="17">
        <f>KA156*VLOOKUP('Données projet'!$B$22,Paramètres!$A$1:$I$89,3,0)*VLOOKUP('Données projet'!$B$22,Paramètres!$A$1:$I$89,5,0)</f>
        <v>3.8130565371830017E-13</v>
      </c>
      <c r="KC156" s="13">
        <f t="shared" si="312"/>
        <v>4.9019074112354236E-12</v>
      </c>
      <c r="KD156" s="20">
        <f t="shared" si="263"/>
        <v>9.2015960881277352E-12</v>
      </c>
      <c r="KE156" s="59">
        <f t="shared" si="264"/>
        <v>293.33333333334252</v>
      </c>
      <c r="KF156" s="59">
        <f ca="1">AVERAGE(OFFSET($KE$3,0,0,'Données projet'!$E$22+1,1))-AVERAGE(OFFSET($H$3,0,0,'Données projet'!$E$22+1,1))</f>
        <v>193.91714772848269</v>
      </c>
      <c r="KG156" s="59">
        <f t="shared" si="313"/>
        <v>159.20429420478047</v>
      </c>
      <c r="KH156" s="15">
        <f>IF(ISNA(VLOOKUP($A156,'Données projet'!$A$382:$I$402,3,0)),0,VLOOKUP($A156,'Données projet'!$A$382:$I$402,3,0))</f>
        <v>0</v>
      </c>
      <c r="KI156" s="15">
        <f>IF(ISNA(VLOOKUP($A156,'Données projet'!$A$382:$I$402,4,0)),0,VLOOKUP($A156,'Données projet'!$A$382:$I$402,4,0))</f>
        <v>0</v>
      </c>
      <c r="KJ156" s="16">
        <f>IF(ISNA(VLOOKUP($A156,'Données projet'!$A$382:$I$402,5,0)),0%,VLOOKUP($A156,'Données projet'!$A$382:$I$402,5,0)*VLOOKUP('Données projet'!$B$22,Paramètres!$A$1:$I$89,7,0))</f>
        <v>0</v>
      </c>
      <c r="KK156" s="16">
        <f>IF(ISNA(VLOOKUP($A156,'Données projet'!$A$382:$I$402,6,0)),0%,VLOOKUP($A156,'Données projet'!$A$382:$I$402,6,0)*VLOOKUP('Données projet'!$B$22,Paramètres!$A$1:$I$89,7,0))</f>
        <v>0</v>
      </c>
      <c r="KL156" s="16">
        <f>IF(ISNA(VLOOKUP($A156,'Données projet'!$A$382:$I$402,7,0)),0%,VLOOKUP($A156,'Données projet'!$A$382:$I$402,7,0))</f>
        <v>0</v>
      </c>
      <c r="KM156" s="21">
        <f>EXP(-LN(2)/35)*KM155+(1-EXP(-LN(2)/35))/(LN(2)/35)*KI156*KJ156*VLOOKUP('Données projet'!$B$22,Paramètres!$A$1:$I$89,3,0)*0.475*44/12</f>
        <v>101.06228597414481</v>
      </c>
      <c r="KN156" s="21">
        <f>EXP(-LN(2)/25)*KN155+(1-EXP(-LN(2)/25))/(LN(2)/25)*Calculateur!KI156*Calculateur!KK156*VLOOKUP('Données projet'!$B$22,Paramètres!$A$1:$I$89,3,0)*0.475*44/12</f>
        <v>0</v>
      </c>
      <c r="KO156" s="21">
        <f>EXP(-LN(2)/2)*KO155+(1-EXP(-LN(2)/2))/(LN(2)/2)*KI156*KL156*VLOOKUP('Données projet'!$B$22,Paramètres!$A$1:$I$89,3,0)*0.475*44/12</f>
        <v>0</v>
      </c>
      <c r="KP156" s="22">
        <f t="shared" si="265"/>
        <v>101.06228597414481</v>
      </c>
      <c r="KQ156" s="74">
        <f>('Scénario référence'!$F$8+'Scénario référence'!$F$9+'Scénario référence'!$B$17+'Scénario référence'!$B$9+'Scénario référence'!$B$10)*70+IF((45+25*(1-EXP(-0.0175*$A156)))&lt;70,'Scénario référence'!$B$16*(45+25*(1-EXP(-0.0175*$A156))),70*'Scénario référence'!$B$16)+IF((32+38*(1-EXP(-0.0175*$A156)))&lt;70,'Scénario référence'!$B$18*(32+38*(1-EXP(-0.0175*$A156))),70*'Scénario référence'!$B$18)</f>
        <v>70</v>
      </c>
      <c r="KR156" s="12">
        <f>IF($A156&gt;30,10,('Scénario référence'!$B$16+'Scénario référence'!$B$17+'Scénario référence'!$B$18+'Scénario référence'!$B$9+'Scénario référence'!$B$10)*$A156*10/30+('Scénario référence'!$F$8+'Scénario référence'!$F$9)*10)</f>
        <v>10</v>
      </c>
      <c r="KS156" s="12" t="e">
        <f>VLOOKUP($A156,'Données projet'!$A$408:$I$428,2,0)</f>
        <v>#N/A</v>
      </c>
      <c r="KT156" s="12" t="e">
        <f>VLOOKUP($A156,'Données projet'!$A$408:$I$428,9,0)</f>
        <v>#N/A</v>
      </c>
      <c r="KU156" s="12">
        <f t="array" ref="KU156">INDEX(KT:KT,MIN(IF(ISNUMBER(KT156:KT352),ROW(KT156:KT352),"")))</f>
        <v>0</v>
      </c>
      <c r="KV156" s="12">
        <f>IF('Données projet'!$A$408&gt;35,KV155+KU156-LD155,IF($A156&lt;'Données projet'!$A$408,$CQ$205^$A156,IF($A156='Données projet'!$A$408,'Données projet'!$B$408,KV155+KU156-LD155)))</f>
        <v>-1.1368683772161603E-13</v>
      </c>
      <c r="KW156" s="17">
        <f>KV156*VLOOKUP('Données projet'!$B$23,Paramètres!$A$1:$I$89,3,0)*VLOOKUP('Données projet'!$B$23,Paramètres!$A$1:$I$89,5,0)</f>
        <v>-9.9316821433603781E-14</v>
      </c>
      <c r="KX156" s="13" t="e">
        <f t="shared" si="314"/>
        <v>#NUM!</v>
      </c>
      <c r="KY156" s="14" t="e">
        <f t="shared" si="266"/>
        <v>#NUM!</v>
      </c>
      <c r="KZ156" s="59" t="e">
        <f t="shared" si="267"/>
        <v>#NUM!</v>
      </c>
      <c r="LA156" s="59">
        <f ca="1">AVERAGE(OFFSET($KZ$3,0,0,'Données projet'!$E$23+1,1))-AVERAGE(OFFSET($H$3,0,0,'Données projet'!$E$23+1,1))</f>
        <v>248.33596943633819</v>
      </c>
      <c r="LB156" s="59">
        <f t="shared" si="315"/>
        <v>242.34010522344573</v>
      </c>
      <c r="LC156" s="15">
        <f>IF(ISNA(VLOOKUP($A156,'Données projet'!$A$408:$I$428,3,0)),0,VLOOKUP($A156,'Données projet'!$A$408:$I$428,3,0))</f>
        <v>0</v>
      </c>
      <c r="LD156" s="15">
        <f>IF(ISNA(VLOOKUP($A156,'Données projet'!$A$408:$I$428,4,0)),0,VLOOKUP($A156,'Données projet'!$A$408:$I$428,4,0))</f>
        <v>0</v>
      </c>
      <c r="LE156" s="16">
        <f>IF(ISNA(VLOOKUP($A156,'Données projet'!$A$408:$I$428,5,0)),0%,VLOOKUP($A156,'Données projet'!$A$408:$I$428,5,0)*VLOOKUP('Données projet'!$B$23,Paramètres!$A$1:$I$89,7,0))</f>
        <v>0</v>
      </c>
      <c r="LF156" s="16">
        <f>IF(ISNA(VLOOKUP($A156,'Données projet'!$A$408:$I$428,6,0)),0%,VLOOKUP($A156,'Données projet'!$A$408:$I$428,6,0)*VLOOKUP('Données projet'!$B$23,Paramètres!$A$1:$I$89,7,0))</f>
        <v>0</v>
      </c>
      <c r="LG156" s="16">
        <f>IF(ISNA(VLOOKUP($A156,'Données projet'!$A$408:$I$428,7,0)),0%,VLOOKUP($A156,'Données projet'!$A$408:$I$428,7,0))</f>
        <v>0</v>
      </c>
      <c r="LH156" s="21">
        <f>EXP(-LN(2)/35)*LH155+(1-EXP(-LN(2)/35))/(LN(2)/35)*LD156*LE156*VLOOKUP('Données projet'!$B$23,Paramètres!$A$1:$I$89,3,0)*0.475*44/12</f>
        <v>29.028196915857553</v>
      </c>
      <c r="LI156" s="21">
        <f>EXP(-LN(2)/25)*LI155+(1-EXP(-LN(2)/25))/(LN(2)/25)*Calculateur!LD156*Calculateur!LF156*VLOOKUP('Données projet'!$B$23,Paramètres!$A$1:$I$89,3,0)*0.475*44/12</f>
        <v>2.8773495738366277</v>
      </c>
      <c r="LJ156" s="21">
        <f>EXP(-LN(2)/2)*LJ155+(1-EXP(-LN(2)/2))/(LN(2)/2)*LD156*LG156*VLOOKUP('Données projet'!$B$23,Paramètres!$A$1:$I$89,3,0)*0.475*44/12</f>
        <v>0</v>
      </c>
      <c r="LK156" s="22">
        <f t="shared" si="268"/>
        <v>31.905546489694181</v>
      </c>
      <c r="LL156" s="74">
        <f>('Scénario référence'!$F$8+'Scénario référence'!$F$9+'Scénario référence'!$B$17+'Scénario référence'!$B$9+'Scénario référence'!$B$10)*70+IF((45+25*(1-EXP(-0.0175*$A156)))&lt;70,'Scénario référence'!$B$16*(45+25*(1-EXP(-0.0175*$A156))),70*'Scénario référence'!$B$16)+IF((32+38*(1-EXP(-0.0175*$A156)))&lt;70,'Scénario référence'!$B$18*(32+38*(1-EXP(-0.0175*$A156))),70*'Scénario référence'!$B$18)</f>
        <v>70</v>
      </c>
      <c r="LM156" s="12">
        <f>IF($A156&gt;30,10,('Scénario référence'!$B$16+'Scénario référence'!$B$17+'Scénario référence'!$B$18+'Scénario référence'!$B$9+'Scénario référence'!$B$10)*$A156*10/30+('Scénario référence'!$F$8+'Scénario référence'!$F$9)*10)</f>
        <v>10</v>
      </c>
      <c r="LN156" s="12">
        <f>VLOOKUP($A156,'Données projet'!$A$434:$I$454,2,0)</f>
        <v>195.05769230769226</v>
      </c>
      <c r="LO156" s="12">
        <f>VLOOKUP($A156,'Données projet'!$A$434:$I$454,9,0)</f>
        <v>3.0945512820512704</v>
      </c>
      <c r="LP156" s="12">
        <f t="array" ref="LP156">INDEX(LO:LO,MIN(IF(ISNUMBER(LO156:LO352),ROW(LO156:LO352),"")))</f>
        <v>3.0945512820512704</v>
      </c>
      <c r="LQ156" s="12">
        <f>IF('Données projet'!$A$434&gt;35,LQ155+LP156-LY155,IF($A156&lt;'Données projet'!$A$434,$CQ$205^$A156,IF($A156='Données projet'!$A$434,'Données projet'!$B$434,LQ155+LP156-LY155)))</f>
        <v>195.05769230769175</v>
      </c>
      <c r="LR156" s="17">
        <f>LQ156*VLOOKUP('Données projet'!$B$24,Paramètres!$A$1:$I$89,3,0)*VLOOKUP('Données projet'!$B$24,Paramètres!$A$1:$I$89,5,0)</f>
        <v>197.78849999999943</v>
      </c>
      <c r="LS156" s="13">
        <f t="shared" si="316"/>
        <v>49.257832889250977</v>
      </c>
      <c r="LT156" s="14">
        <f t="shared" si="269"/>
        <v>430.27236311544448</v>
      </c>
      <c r="LU156" s="59">
        <f t="shared" si="270"/>
        <v>723.60569644877773</v>
      </c>
      <c r="LV156" s="59">
        <f ca="1">AVERAGE(OFFSET($LU$3,0,0,'Données projet'!$E$24+1,1))-AVERAGE(OFFSET($H$3,0,0,'Données projet'!$E$24+1,1))</f>
        <v>260.52627655062872</v>
      </c>
      <c r="LW156" s="59">
        <f t="shared" si="317"/>
        <v>159.20429420478047</v>
      </c>
      <c r="LX156" s="15">
        <f>IF(ISNA(VLOOKUP($A156,'Données projet'!$A$434:$I$454,3,0)),0,VLOOKUP($A156,'Données projet'!$A$434:$I$454,3,0))</f>
        <v>13</v>
      </c>
      <c r="LY156" s="15">
        <f>IF(ISNA(VLOOKUP($A156,'Données projet'!$A$434:$I$454,4,0)),0,VLOOKUP($A156,'Données projet'!$A$434:$I$454,4,0))</f>
        <v>70.115384615384613</v>
      </c>
      <c r="LZ156" s="16">
        <f>IF(ISNA(VLOOKUP($A156,'Données projet'!$A$434:$I$454,5,0)),0%,VLOOKUP($A156,'Données projet'!$A$434:$I$454,5,0)*VLOOKUP('Données projet'!$B$24,Paramètres!$A$1:$I$89,7,0))</f>
        <v>0.38700000000000001</v>
      </c>
      <c r="MA156" s="16">
        <f>IF(ISNA(VLOOKUP($A156,'Données projet'!$A$434:$I$454,6,0)),0%,VLOOKUP($A156,'Données projet'!$A$434:$I$454,6,0)*VLOOKUP('Données projet'!$B$24,Paramètres!$A$1:$I$89,7,0))</f>
        <v>0</v>
      </c>
      <c r="MB156" s="16">
        <f>IF(ISNA(VLOOKUP($A156,'Données projet'!$A$434:$I$454,7,0)),0%,VLOOKUP($A156,'Données projet'!$A$434:$I$454,7,0))</f>
        <v>0</v>
      </c>
      <c r="MC156" s="21">
        <f>EXP(-LN(2)/35)*MC155+(1-EXP(-LN(2)/35))/(LN(2)/35)*LY156*LZ156*VLOOKUP('Données projet'!$B$24,Paramètres!$A$1:$I$89,3,0)*0.475*44/12</f>
        <v>118.73753980699942</v>
      </c>
      <c r="MD156" s="21">
        <f>EXP(-LN(2)/25)*MD155+(1-EXP(-LN(2)/25))/(LN(2)/25)*Calculateur!LY156*Calculateur!MA156*VLOOKUP('Données projet'!$B$24,Paramètres!$A$1:$I$89,3,0)*0.475*44/12</f>
        <v>0</v>
      </c>
      <c r="ME156" s="21">
        <f>EXP(-LN(2)/2)*ME155+(1-EXP(-LN(2)/2))/(LN(2)/2)*LY156*MB156*VLOOKUP('Données projet'!$B$24,Paramètres!$A$1:$I$89,3,0)*0.475*44/12</f>
        <v>0</v>
      </c>
      <c r="MF156" s="22">
        <f t="shared" si="271"/>
        <v>118.73753980699942</v>
      </c>
      <c r="MG156" s="74">
        <f>('Scénario référence'!$F$8+'Scénario référence'!$F$9+'Scénario référence'!$B$17+'Scénario référence'!$B$9+'Scénario référence'!$B$10)*70+IF((45+25*(1-EXP(-0.0175*$A156)))&lt;70,'Scénario référence'!$B$16*(45+25*(1-EXP(-0.0175*$A156))),70*'Scénario référence'!$B$16)+IF((32+38*(1-EXP(-0.0175*$A156)))&lt;70,'Scénario référence'!$B$18*(32+38*(1-EXP(-0.0175*$A156))),70*'Scénario référence'!$B$18)</f>
        <v>70</v>
      </c>
      <c r="MH156" s="12">
        <f>IF($A156&gt;30,10,('Scénario référence'!$B$16+'Scénario référence'!$B$17+'Scénario référence'!$B$18+'Scénario référence'!$B$9+'Scénario référence'!$B$10)*$A156*10/30+('Scénario référence'!$F$8+'Scénario référence'!$F$9)*10)</f>
        <v>10</v>
      </c>
      <c r="MI156" s="12" t="e">
        <f>VLOOKUP($A156,'Données projet'!$A$460:$I$480,2,0)</f>
        <v>#N/A</v>
      </c>
      <c r="MJ156" s="12" t="e">
        <f>VLOOKUP($A156,'Données projet'!$A$460:$I$480,9,0)</f>
        <v>#N/A</v>
      </c>
      <c r="MK156" s="12">
        <f t="array" ref="MK156">INDEX(MJ:MJ,MIN(IF(ISNUMBER(MJ156:MJ352),ROW(MJ156:MJ352),"")))</f>
        <v>0</v>
      </c>
      <c r="ML156" s="12">
        <f>IF('Données projet'!$A$460&gt;35,ML155+MK156-MT155,IF($A156&lt;'Données projet'!$A$460,$CQ$205^$A156,IF($A156='Données projet'!$A$460,'Données projet'!$B$460,ML155+MK156-MT155)))</f>
        <v>0</v>
      </c>
      <c r="MM156" s="17" t="e">
        <f>ML156*VLOOKUP('Données projet'!$B$25,Paramètres!$A$1:$I$89,3,0)*VLOOKUP('Données projet'!$B$25,Paramètres!$A$1:$I$89,5,0)</f>
        <v>#N/A</v>
      </c>
      <c r="MN156" s="13" t="e">
        <f t="shared" si="318"/>
        <v>#N/A</v>
      </c>
      <c r="MO156" s="14" t="e">
        <f t="shared" si="272"/>
        <v>#N/A</v>
      </c>
      <c r="MP156" s="59" t="e">
        <f t="shared" si="273"/>
        <v>#N/A</v>
      </c>
      <c r="MQ156" s="20" t="e">
        <f ca="1">AVERAGE(OFFSET($MP$3,0,0,'Données projet'!$E$25+1,1))-AVERAGE(OFFSET($H$3,0,0,'Données projet'!$E$25+1,1))</f>
        <v>#N/A</v>
      </c>
      <c r="MR156" s="59" t="e">
        <f t="shared" si="319"/>
        <v>#N/A</v>
      </c>
      <c r="MS156" s="15">
        <f>IF(ISNA(VLOOKUP($A156,'Données projet'!$A$460:$I$480,3,0)),0,VLOOKUP($A156,'Données projet'!$A$460:$I$480,3,0))</f>
        <v>0</v>
      </c>
      <c r="MT156" s="15">
        <f>IF(ISNA(VLOOKUP($A156,'Données projet'!$A$460:$I$480,4,0)),0,VLOOKUP($A156,'Données projet'!$A$460:$I$480,4,0))</f>
        <v>0</v>
      </c>
      <c r="MU156" s="16">
        <f>IF(ISNA(VLOOKUP($A156,'Données projet'!$A$460:$I$480,5,0)),0%,VLOOKUP($A156,'Données projet'!$A$460:$I$480,5,0)*VLOOKUP('Données projet'!$B$25,Paramètres!$A$1:$I$89,7,0))</f>
        <v>0</v>
      </c>
      <c r="MV156" s="16">
        <f>IF(ISNA(VLOOKUP($A156,'Données projet'!$A$460:$I$480,6,0)),0%,VLOOKUP($A156,'Données projet'!$A$460:$I$480,6,0)*VLOOKUP('Données projet'!$B$25,Paramètres!$A$1:$I$89,7,0))</f>
        <v>0</v>
      </c>
      <c r="MW156" s="16">
        <f>IF(ISNA(VLOOKUP($A156,'Données projet'!$A$460:$I$480,7,0)),0%,VLOOKUP($A156,'Données projet'!$A$460:$I$480,7,0))</f>
        <v>0</v>
      </c>
      <c r="MX156" s="21" t="e">
        <f>EXP(-LN(2)/35)*MX155+(1-EXP(-LN(2)/35))/(LN(2)/35)*MT156*MU156*VLOOKUP('Données projet'!$B$25,Paramètres!$A$1:$I$89,3,0)*0.475*44/12</f>
        <v>#N/A</v>
      </c>
      <c r="MY156" s="21" t="e">
        <f>EXP(-LN(2)/25)*MY155+(1-EXP(-LN(2)/25))/(LN(2)/25)*Calculateur!MT156*Calculateur!MV156*VLOOKUP('Données projet'!$B$25,Paramètres!$A$1:$I$89,3,0)*0.475*44/12</f>
        <v>#N/A</v>
      </c>
      <c r="MZ156" s="21" t="e">
        <f>EXP(-LN(2)/2)*MZ155+(1-EXP(-LN(2)/2))/(LN(2)/2)*MT156*MW156*VLOOKUP('Données projet'!$B$25,Paramètres!$A$1:$I$89,3,0)*0.475*44/12</f>
        <v>#N/A</v>
      </c>
      <c r="NA156" s="22" t="e">
        <f t="shared" si="274"/>
        <v>#N/A</v>
      </c>
      <c r="NB156" s="74">
        <f>('Scénario référence'!$F$8+'Scénario référence'!$F$9+'Scénario référence'!$B$17+'Scénario référence'!$B$9+'Scénario référence'!$B$10)*70+IF((45+25*(1-EXP(-0.0175*$A156)))&lt;70,'Scénario référence'!$B$16*(45+25*(1-EXP(-0.0175*$A156))),70*'Scénario référence'!$B$16)+IF((32+38*(1-EXP(-0.0175*$A156)))&lt;70,'Scénario référence'!$B$18*(32+38*(1-EXP(-0.0175*$A156))),70*'Scénario référence'!$B$18)</f>
        <v>70</v>
      </c>
      <c r="NC156" s="12">
        <f>IF($A156&gt;30,10,('Scénario référence'!$B$16+'Scénario référence'!$B$17+'Scénario référence'!$B$18+'Scénario référence'!$B$9+'Scénario référence'!$B$10)*$A156*10/30+('Scénario référence'!$F$8+'Scénario référence'!$F$9)*10)</f>
        <v>10</v>
      </c>
      <c r="ND156" s="12" t="e">
        <f>VLOOKUP($A156,'Données projet'!$A$486:$I$506,2,0)</f>
        <v>#N/A</v>
      </c>
      <c r="NE156" s="12" t="e">
        <f>VLOOKUP($A156,'Données projet'!$A$486:$I$506,9,0)</f>
        <v>#N/A</v>
      </c>
      <c r="NF156" s="12">
        <f t="array" ref="NF156">INDEX(NE:NE,MIN(IF(ISNUMBER(NE156:NE352),ROW(NE156:NE352),"")))</f>
        <v>0</v>
      </c>
      <c r="NG156" s="12">
        <f>IF('Données projet'!$A$486&gt;35,NG155+NF156-NO155,IF($A156&lt;'Données projet'!$A$486,$CQ$205^$A156,IF($A156='Données projet'!$A$486,'Données projet'!$B$486,NG155+NF156-NO155)))</f>
        <v>0</v>
      </c>
      <c r="NH156" s="17" t="e">
        <f>NG156*VLOOKUP('Données projet'!$B$26,Paramètres!$A$1:$I$89,3,0)*VLOOKUP('Données projet'!$B$26,Paramètres!$A$1:$I$89,5,0)</f>
        <v>#N/A</v>
      </c>
      <c r="NI156" s="13" t="e">
        <f t="shared" si="320"/>
        <v>#N/A</v>
      </c>
      <c r="NJ156" s="14" t="e">
        <f t="shared" si="275"/>
        <v>#N/A</v>
      </c>
      <c r="NK156" s="59" t="e">
        <f t="shared" si="276"/>
        <v>#N/A</v>
      </c>
      <c r="NL156" s="20" t="e">
        <f ca="1">AVERAGE(OFFSET($NK$3,0,0,'Données projet'!$E$26+1,1))-AVERAGE(OFFSET($H$3,0,0,'Données projet'!$E$26+1,1))</f>
        <v>#N/A</v>
      </c>
      <c r="NM156" s="59" t="e">
        <f t="shared" si="321"/>
        <v>#N/A</v>
      </c>
      <c r="NN156" s="15">
        <f>IF(ISNA(VLOOKUP($A156,'Données projet'!$A$486:$I$506,3,0)),0,VLOOKUP($A156,'Données projet'!$A$486:$I$506,3,0))</f>
        <v>0</v>
      </c>
      <c r="NO156" s="15">
        <f>IF(ISNA(VLOOKUP($A156,'Données projet'!$A$486:$I$506,4,0)),0,VLOOKUP($A156,'Données projet'!$A$486:$I$506,4,0))</f>
        <v>0</v>
      </c>
      <c r="NP156" s="16">
        <f>IF(ISNA(VLOOKUP($A156,'Données projet'!$A$486:$I$506,5,0)),0%,VLOOKUP($A156,'Données projet'!$A$486:$I$506,5,0)*VLOOKUP('Données projet'!$B$26,Paramètres!$A$1:$I$89,7,0))</f>
        <v>0</v>
      </c>
      <c r="NQ156" s="16">
        <f>IF(ISNA(VLOOKUP($A156,'Données projet'!$A$486:$I$506,6,0)),0%,VLOOKUP($A156,'Données projet'!$A$486:$I$506,6,0)*VLOOKUP('Données projet'!$B$26,Paramètres!$A$1:$I$89,7,0))</f>
        <v>0</v>
      </c>
      <c r="NR156" s="16">
        <f>IF(ISNA(VLOOKUP($A156,'Données projet'!$A$486:$I$506,7,0)),0%,VLOOKUP($A156,'Données projet'!$A$486:$I$506,7,0))</f>
        <v>0</v>
      </c>
      <c r="NS156" s="21" t="e">
        <f>EXP(-LN(2)/35)*NS155+(1-EXP(-LN(2)/35))/(LN(2)/35)*NO156*NP156*VLOOKUP('Données projet'!$B$26,Paramètres!$A$1:$I$89,3,0)*0.475*44/12</f>
        <v>#N/A</v>
      </c>
      <c r="NT156" s="21" t="e">
        <f>EXP(-LN(2)/25)*NT155+(1-EXP(-LN(2)/25))/(LN(2)/25)*Calculateur!NO156*Calculateur!NQ156*VLOOKUP('Données projet'!$B$26,Paramètres!$A$1:$I$89,3,0)*0.475*44/12</f>
        <v>#N/A</v>
      </c>
      <c r="NU156" s="21" t="e">
        <f>EXP(-LN(2)/2)*NU155+(1-EXP(-LN(2)/2))/(LN(2)/2)*NO156*NR156*VLOOKUP('Données projet'!$B$26,Paramètres!$A$1:$I$89,3,0)*0.475*44/12</f>
        <v>#N/A</v>
      </c>
      <c r="NV156" s="22" t="e">
        <f t="shared" si="277"/>
        <v>#N/A</v>
      </c>
      <c r="NW156" s="74">
        <f>('Scénario référence'!$F$8+'Scénario référence'!$F$9+'Scénario référence'!$B$17+'Scénario référence'!$B$9+'Scénario référence'!$B$10)*70+IF((45+25*(1-EXP(-0.0175*$A156)))&lt;70,'Scénario référence'!$B$16*(45+25*(1-EXP(-0.0175*$A156))),70*'Scénario référence'!$B$16)+IF((32+38*(1-EXP(-0.0175*$A156)))&lt;70,'Scénario référence'!$B$18*(32+38*(1-EXP(-0.0175*$A156))),70*'Scénario référence'!$B$18)</f>
        <v>70</v>
      </c>
      <c r="NX156" s="12">
        <f>IF($A156&gt;30,10,('Scénario référence'!$B$16+'Scénario référence'!$B$17+'Scénario référence'!$B$18+'Scénario référence'!$B$9+'Scénario référence'!$B$10)*$A156*10/30+('Scénario référence'!$F$8+'Scénario référence'!$F$9)*10)</f>
        <v>10</v>
      </c>
      <c r="NY156" s="12" t="e">
        <f>VLOOKUP($A156,'Données projet'!$A$512:$I$532,2,0)</f>
        <v>#N/A</v>
      </c>
      <c r="NZ156" s="12" t="e">
        <f>VLOOKUP($A156,'Données projet'!$A$512:$I$532,9,0)</f>
        <v>#N/A</v>
      </c>
      <c r="OA156" s="12">
        <f t="array" ref="OA156">INDEX(NZ:NZ,MIN(IF(ISNUMBER(NZ156:NZ352),ROW(NZ156:NZ352),"")))</f>
        <v>0</v>
      </c>
      <c r="OB156" s="12">
        <f>IF('Données projet'!$A$512&gt;35,OB155+OA156-OJ155,IF($A156&lt;'Données projet'!$A$512,$CQ$205^$A156,IF($A156='Données projet'!$A$512,'Données projet'!$B$512,OB155+OA156-OJ155)))</f>
        <v>0</v>
      </c>
      <c r="OC156" s="17" t="e">
        <f>OB156*VLOOKUP('Données projet'!$B$27,Paramètres!$A$1:$I$89,3,0)*VLOOKUP('Données projet'!$B$27,Paramètres!$A$1:$I$89,5,0)</f>
        <v>#N/A</v>
      </c>
      <c r="OD156" s="13" t="e">
        <f t="shared" si="322"/>
        <v>#N/A</v>
      </c>
      <c r="OE156" s="14" t="e">
        <f t="shared" si="278"/>
        <v>#N/A</v>
      </c>
      <c r="OF156" s="59" t="e">
        <f t="shared" si="279"/>
        <v>#N/A</v>
      </c>
      <c r="OG156" s="20" t="e">
        <f ca="1">AVERAGE(OFFSET($OF$3,0,0,'Données projet'!$E$27+1,1))-AVERAGE(OFFSET($H$3,0,0,'Données projet'!$E$27+1,1))</f>
        <v>#N/A</v>
      </c>
      <c r="OH156" s="59" t="e">
        <f t="shared" si="323"/>
        <v>#N/A</v>
      </c>
      <c r="OI156" s="15">
        <f>IF(ISNA(VLOOKUP($A156,'Données projet'!$A$512:$I$532,3,0)),0,VLOOKUP($A156,'Données projet'!$A$512:$I$532,3,0))</f>
        <v>0</v>
      </c>
      <c r="OJ156" s="15">
        <f>IF(ISNA(VLOOKUP($A156,'Données projet'!$A$512:$I$532,4,0)),0,VLOOKUP($A156,'Données projet'!$A$512:$I$532,4,0))</f>
        <v>0</v>
      </c>
      <c r="OK156" s="16">
        <f>IF(ISNA(VLOOKUP($A156,'Données projet'!$A$512:$I$532,5,0)),0%,VLOOKUP($A156,'Données projet'!$A$512:$I$532,5,0)*VLOOKUP('Données projet'!$B$27,Paramètres!$A$1:$I$89,7,0))</f>
        <v>0</v>
      </c>
      <c r="OL156" s="16">
        <f>IF(ISNA(VLOOKUP($A156,'Données projet'!$A$512:$I$532,6,0)),0%,VLOOKUP($A156,'Données projet'!$A$512:$I$532,6,0)*VLOOKUP('Données projet'!$B$27,Paramètres!$A$1:$I$89,7,0))</f>
        <v>0</v>
      </c>
      <c r="OM156" s="16">
        <f>IF(ISNA(VLOOKUP($A156,'Données projet'!$A$512:$I$532,7,0)),0%,VLOOKUP($A156,'Données projet'!$A$512:$I$532,7,0))</f>
        <v>0</v>
      </c>
      <c r="ON156" s="21" t="e">
        <f>EXP(-LN(2)/35)*ON155+(1-EXP(-LN(2)/35))/(LN(2)/35)*OJ156*OK156*VLOOKUP('Données projet'!$B$27,Paramètres!$A$1:$I$89,3,0)*0.475*44/12</f>
        <v>#N/A</v>
      </c>
      <c r="OO156" s="21" t="e">
        <f>EXP(-LN(2)/25)*OO155+(1-EXP(-LN(2)/25))/(LN(2)/25)*Calculateur!OJ156*Calculateur!OL156*VLOOKUP('Données projet'!$B$27,Paramètres!$A$1:$I$89,3,0)*0.475*44/12</f>
        <v>#N/A</v>
      </c>
      <c r="OP156" s="21" t="e">
        <f>EXP(-LN(2)/2)*OP155+(1-EXP(-LN(2)/2))/(LN(2)/2)*OJ156*OM156*VLOOKUP('Données projet'!$B$27,Paramètres!$A$1:$I$89,3,0)*0.475*44/12</f>
        <v>#N/A</v>
      </c>
      <c r="OQ156" s="22" t="e">
        <f t="shared" si="280"/>
        <v>#N/A</v>
      </c>
      <c r="OR156" s="74">
        <f>('Scénario référence'!$F$8+'Scénario référence'!$F$9+'Scénario référence'!$B$17+'Scénario référence'!$B$9+'Scénario référence'!$B$10)*70+IF((45+25*(1-EXP(-0.0175*$A156)))&lt;70,'Scénario référence'!$B$16*(45+25*(1-EXP(-0.0175*$A156))),70*'Scénario référence'!$B$16)+IF((32+38*(1-EXP(-0.0175*$A156)))&lt;70,'Scénario référence'!$B$18*(32+38*(1-EXP(-0.0175*$A156))),70*'Scénario référence'!$B$18)</f>
        <v>70</v>
      </c>
      <c r="OS156" s="12">
        <f>IF($A156&gt;30,10,('Scénario référence'!$B$16+'Scénario référence'!$B$17+'Scénario référence'!$B$18+'Scénario référence'!$B$9+'Scénario référence'!$B$10)*$A156*10/30+('Scénario référence'!$F$8+'Scénario référence'!$F$9)*10)</f>
        <v>10</v>
      </c>
      <c r="OT156" s="12" t="e">
        <f>VLOOKUP($A156,'Données projet'!$A$538:$I$558,2,0)</f>
        <v>#N/A</v>
      </c>
      <c r="OU156" s="12" t="e">
        <f>VLOOKUP($A156,'Données projet'!$A$538:$I$558,9,0)</f>
        <v>#N/A</v>
      </c>
      <c r="OV156" s="12">
        <f t="array" ref="OV156">INDEX(OU:OU,MIN(IF(ISNUMBER(OU156:OU352),ROW(OU156:OU352),"")))</f>
        <v>0</v>
      </c>
      <c r="OW156" s="12">
        <f>IF('Données projet'!$A$538&gt;35,OW155+OV156-PE155,IF($A156&lt;'Données projet'!$A$538,$CQ$205^$A156,IF($A156='Données projet'!$A$538,'Données projet'!$B$538,OW155+OV156-PE155)))</f>
        <v>0</v>
      </c>
      <c r="OX156" s="17" t="e">
        <f>OW156*VLOOKUP('Données projet'!$B$28,Paramètres!$A$1:$I$89,3,0)*VLOOKUP('Données projet'!$B$28,Paramètres!$A$1:$I$89,5,0)</f>
        <v>#N/A</v>
      </c>
      <c r="OY156" s="13" t="e">
        <f t="shared" si="324"/>
        <v>#N/A</v>
      </c>
      <c r="OZ156" s="14" t="e">
        <f t="shared" si="281"/>
        <v>#N/A</v>
      </c>
      <c r="PA156" s="59" t="e">
        <f t="shared" si="282"/>
        <v>#N/A</v>
      </c>
      <c r="PB156" s="20" t="e">
        <f ca="1">AVERAGE(OFFSET($PA$3,0,0,'Données projet'!$E$28+1,1))-AVERAGE(OFFSET($H$3,0,0,'Données projet'!$E$28+1,1))</f>
        <v>#N/A</v>
      </c>
      <c r="PC156" s="59" t="e">
        <f t="shared" si="325"/>
        <v>#N/A</v>
      </c>
      <c r="PD156" s="15">
        <f>IF(ISNA(VLOOKUP($A156,'Données projet'!$A$538:$I$558,3,0)),0,VLOOKUP($A156,'Données projet'!$A$538:$I$558,3,0))</f>
        <v>0</v>
      </c>
      <c r="PE156" s="15">
        <f>IF(ISNA(VLOOKUP($A156,'Données projet'!$A$538:$I$558,4,0)),0,VLOOKUP($A156,'Données projet'!$A$538:$I$558,4,0))</f>
        <v>0</v>
      </c>
      <c r="PF156" s="16">
        <f>IF(ISNA(VLOOKUP($A156,'Données projet'!$A$538:$I$558,5,0)),0%,VLOOKUP($A156,'Données projet'!$A$538:$I$558,5,0)*VLOOKUP('Données projet'!$B$28,Paramètres!$A$1:$I$89,7,0))</f>
        <v>0</v>
      </c>
      <c r="PG156" s="16">
        <f>IF(ISNA(VLOOKUP($A156,'Données projet'!$A$538:$I$558,6,0)),0%,VLOOKUP($A156,'Données projet'!$A$538:$I$558,6,0)*VLOOKUP('Données projet'!$B$28,Paramètres!$A$1:$I$89,7,0))</f>
        <v>0</v>
      </c>
      <c r="PH156" s="16">
        <f>IF(ISNA(VLOOKUP($A156,'Données projet'!$A$538:$I$558,7,0)),0%,VLOOKUP($A156,'Données projet'!$A$538:$I$558,7,0))</f>
        <v>0</v>
      </c>
      <c r="PI156" s="21" t="e">
        <f>EXP(-LN(2)/35)*PI155+(1-EXP(-LN(2)/35))/(LN(2)/35)*PE156*PF156*VLOOKUP('Données projet'!$B$28,Paramètres!$A$1:$I$89,3,0)*0.475*44/12</f>
        <v>#N/A</v>
      </c>
      <c r="PJ156" s="21" t="e">
        <f>EXP(-LN(2)/25)*PJ155+(1-EXP(-LN(2)/25))/(LN(2)/25)*Calculateur!PE156*Calculateur!PG156*VLOOKUP('Données projet'!$B$28,Paramètres!$A$1:$I$89,3,0)*0.475*44/12</f>
        <v>#N/A</v>
      </c>
      <c r="PK156" s="21" t="e">
        <f>EXP(-LN(2)/2)*PK155+(1-EXP(-LN(2)/2))/(LN(2)/2)*PE156*PH156*VLOOKUP('Données projet'!$B$28,Paramètres!$A$1:$I$89,3,0)*0.475*44/12</f>
        <v>#N/A</v>
      </c>
      <c r="PL156" s="22" t="e">
        <f t="shared" si="283"/>
        <v>#N/A</v>
      </c>
    </row>
    <row r="157" spans="1:428" x14ac:dyDescent="0.35">
      <c r="A157" s="10">
        <f t="shared" si="326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285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225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projet'!$A$45:$I$65,2,0)</f>
        <v>#N/A</v>
      </c>
      <c r="L157" s="12" t="e">
        <f>VLOOKUP(A157,'Données projet'!$A$45:$I$65,9,0)</f>
        <v>#N/A</v>
      </c>
      <c r="M157" s="12">
        <f t="array" ref="M157">INDEX(L:L,MIN(IF(ISNUMBER(L157:L353),ROW(L157:L353),"")))</f>
        <v>0</v>
      </c>
      <c r="N157" s="13">
        <f>IF('Données projet'!$A$46&gt;35,N156+M157-V156,IF(A157&lt;'Données projet'!$A$46,$K$205^A157,IF(A157='Données projet'!$A$46,'Données projet'!$B$46,N156+M157-V156)))</f>
        <v>-1.1368683772161603E-13</v>
      </c>
      <c r="O157" s="13">
        <f>N157*VLOOKUP('Données projet'!$B$9,Paramètres!$A$1:$I$89,3,0)*VLOOKUP('Données projet'!$B$9,Paramètres!$A$1:$I$89,5,0)</f>
        <v>-6.3550942286383367E-14</v>
      </c>
      <c r="P157" s="13" t="e">
        <f t="shared" si="286"/>
        <v>#NUM!</v>
      </c>
      <c r="Q157" s="20" t="e">
        <f t="shared" si="327"/>
        <v>#NUM!</v>
      </c>
      <c r="R157" s="59" t="e">
        <f t="shared" si="224"/>
        <v>#NUM!</v>
      </c>
      <c r="S157" s="59">
        <f ca="1">AVERAGE(OFFSET($R$3,0,0,'Données projet'!$E$9+1,1))-AVERAGE(OFFSET($H$3,0,0,'Données projet'!$E$9+1,1))</f>
        <v>274.57619581652199</v>
      </c>
      <c r="T157" s="59">
        <f t="shared" si="287"/>
        <v>366.15117322598775</v>
      </c>
      <c r="U157" s="15">
        <f>IF(ISNA(VLOOKUP(A157,'Données projet'!$A$45:$I$65,3,0)),0,VLOOKUP(A157,'Données projet'!$A$45:$I$65,3,0))</f>
        <v>0</v>
      </c>
      <c r="V157" s="15">
        <f>IF(ISNA(VLOOKUP(A157,'Données projet'!$A$45:$I$65,4,0)),0,VLOOKUP(A157,'Données projet'!$A$45:$I$65,4,0))</f>
        <v>0</v>
      </c>
      <c r="W157" s="16">
        <f>IF(ISNA(VLOOKUP(A157,'Données projet'!$A$45:$I$65,5,0)),0%,VLOOKUP(A157,'Données projet'!$A$45:$I$65,5,0)*VLOOKUP('Données projet'!$B$9,Paramètres!$A$1:$I$89,7,0))</f>
        <v>0</v>
      </c>
      <c r="X157" s="16">
        <f>IF(ISNA(VLOOKUP(A157,'Données projet'!$A$45:$I$65,6,0)),0%,VLOOKUP(A157,'Données projet'!$A$45:$I$65,6,0)*VLOOKUP('Données projet'!$B$9,Paramètres!$A$1:$I$89,7,0))</f>
        <v>0</v>
      </c>
      <c r="Y157" s="16">
        <f>IF(ISNA(VLOOKUP(A157,'Données projet'!$A$45:$I$65,7,0)),0%,VLOOKUP(A157,'Données projet'!$A$45:$I$65,7,0))</f>
        <v>0</v>
      </c>
      <c r="Z157" s="21">
        <f>EXP(-LN(2)/35)*Z156+(1-EXP(-LN(2)/35))/(LN(2)/35)*V157*W157*VLOOKUP('Données projet'!$B$9,Paramètres!$A$1:$I$89,3,0)*0.475*44/12</f>
        <v>31.906888037481625</v>
      </c>
      <c r="AA157" s="21">
        <f>EXP(-LN(2)/25)*AA156+(1-EXP(-LN(2)/25))/(LN(2)/25)*Calculateur!V157*Calculateur!X157*VLOOKUP('Données projet'!$B$9,Paramètres!$A$1:$I$89,3,0)*0.475*44/12</f>
        <v>3.7017032955458151</v>
      </c>
      <c r="AB157" s="21">
        <f>EXP(-LN(2)/2)*AB156+(1-EXP(-LN(2)/2))/(LN(2)/2)*V157*Y157*VLOOKUP('Données projet'!$B$9,Paramètres!$A$1:$I$89,3,0)*0.475*44/12</f>
        <v>4.2909124636528675E-14</v>
      </c>
      <c r="AC157" s="22">
        <f t="shared" si="328"/>
        <v>35.608591333027483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projet'!$A$71:$I$91,2,0)</f>
        <v>#N/A</v>
      </c>
      <c r="AG157" s="12" t="e">
        <f>VLOOKUP(A157,'Données projet'!$A$71:$I$91,9,0)</f>
        <v>#N/A</v>
      </c>
      <c r="AH157" s="12">
        <f t="array" ref="AH157">INDEX(AG:AG,MIN(IF(ISNUMBER(AG157:AG353),ROW(AG157:AG353),"")))</f>
        <v>0</v>
      </c>
      <c r="AI157" s="13">
        <f>IF('Données projet'!$A$72&gt;35,AI156+AH157-AQ156,IF(A157&lt;'Données projet'!$A$72,$AF$205^A157,IF(A157='Données projet'!$A$72,'Données projet'!$B$72,AI156+AH157-AQ156)))</f>
        <v>5.6843418860808015E-13</v>
      </c>
      <c r="AJ157" s="13">
        <f>AI157*VLOOKUP('Données projet'!$B$10,Paramètres!$A$1:$I$89,3,0)*VLOOKUP('Données projet'!$B$10,Paramètres!$A$1:$I$89,5,0)</f>
        <v>5.1431925385259092E-13</v>
      </c>
      <c r="AK157" s="13">
        <f t="shared" si="329"/>
        <v>6.3855359115685756E-12</v>
      </c>
      <c r="AL157" s="20">
        <f t="shared" si="330"/>
        <v>1.2017247746441865E-11</v>
      </c>
      <c r="AM157" s="59">
        <f t="shared" si="228"/>
        <v>293.33333333334531</v>
      </c>
      <c r="AN157" s="59">
        <f ca="1">AVERAGE(OFFSET($AM$3,0,0,'Données projet'!$E$10+1,1))-AVERAGE(OFFSET($H$3,0,0,'Données projet'!$E$10+1,1))</f>
        <v>270.87836509222456</v>
      </c>
      <c r="AO157" s="59">
        <f t="shared" si="289"/>
        <v>205.24998237949734</v>
      </c>
      <c r="AP157" s="15">
        <f>IF(ISNA(VLOOKUP(A157,'Données projet'!$A$71:$I$91,3,0)),0,VLOOKUP(A157,'Données projet'!$A$71:$I$91,3,0))</f>
        <v>0</v>
      </c>
      <c r="AQ157" s="15">
        <f>IF(ISNA(VLOOKUP(A157,'Données projet'!$A$71:$I$91,4,0)),0,VLOOKUP(A157,'Données projet'!$A$71:$I$91,4,0))</f>
        <v>0</v>
      </c>
      <c r="AR157" s="16">
        <f>IF(ISNA(VLOOKUP(A157,'Données projet'!$A$71:$I$91,5,0)),0%,VLOOKUP(A157,'Données projet'!$A$71:$I$91,5,0)*VLOOKUP('Données projet'!$B$10,Paramètres!$A$1:$I$89,7,0))</f>
        <v>0</v>
      </c>
      <c r="AS157" s="16">
        <f>IF(ISNA(VLOOKUP(A157,'Données projet'!$A$71:$I$91,6,0)),0%,VLOOKUP(A157,'Données projet'!$A$71:$I$91,6,0)*VLOOKUP('Données projet'!$B$10,Paramètres!$A$1:$I$89,7,0))</f>
        <v>0</v>
      </c>
      <c r="AT157" s="16">
        <f>IF(ISNA(VLOOKUP(A157,'Données projet'!$A$71:$I$91,7,0)),0%,VLOOKUP(A157,'Données projet'!$A$71:$I$91,7,0))</f>
        <v>0</v>
      </c>
      <c r="AU157" s="21">
        <f>EXP(-LN(2)/35)*AU156+(1-EXP(-LN(2)/35))/(LN(2)/35)*AQ157*AR157*VLOOKUP('Données projet'!$B$10,Paramètres!$A$1:$I$89,3,0)*0.475*44/12</f>
        <v>108.42773469641094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331"/>
        <v>108.42773469641094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projet'!$A$97:$I$117,2,0)</f>
        <v>#N/A</v>
      </c>
      <c r="BB157" s="12" t="e">
        <f>VLOOKUP(A157,'Données projet'!$A$97:$I$117,9,0)</f>
        <v>#N/A</v>
      </c>
      <c r="BC157" s="12">
        <f t="array" ref="BC157">INDEX(BB:BB,MIN(IF(ISNUMBER(BB157:BB353),ROW(BB157:BB353),"")))</f>
        <v>0</v>
      </c>
      <c r="BD157" s="12">
        <f>IF('Données projet'!$A$98&gt;35,BD156+BC157-BL156,IF(A157&lt;'Données projet'!$A$98,$BA$205^A157,IF(A157='Données projet'!$A$98,'Données projet'!$B$98,BD156+BC157-BL156)))</f>
        <v>-1.1368683772161603E-13</v>
      </c>
      <c r="BE157" s="13">
        <f>BD157*VLOOKUP('Données projet'!$B$11,Paramètres!$A$1:$I$89,3,0)*VLOOKUP('Données projet'!$B$11,Paramètres!$A$1:$I$89,5,0)</f>
        <v>-5.0249582272954292E-14</v>
      </c>
      <c r="BF157" s="13" t="e">
        <f t="shared" si="332"/>
        <v>#NUM!</v>
      </c>
      <c r="BG157" s="20" t="e">
        <f t="shared" si="333"/>
        <v>#NUM!</v>
      </c>
      <c r="BH157" s="59" t="e">
        <f t="shared" si="231"/>
        <v>#NUM!</v>
      </c>
      <c r="BI157" s="59">
        <f ca="1">AVERAGE(OFFSET($BH$3,0,0,'Données projet'!$E$11+1,1))-AVERAGE(OFFSET($H$3,0,0,'Données projet'!$E$11+1,1))</f>
        <v>211.31057120485542</v>
      </c>
      <c r="BJ157" s="59">
        <f t="shared" si="291"/>
        <v>283.33292006714777</v>
      </c>
      <c r="BK157" s="15">
        <f>IF(ISNA(VLOOKUP(A157,'Données projet'!$A$97:$I$117,3,0)),0,VLOOKUP(A157,'Données projet'!$A$97:$I$117,3,0))</f>
        <v>0</v>
      </c>
      <c r="BL157" s="15">
        <f>IF(ISNA(VLOOKUP(A157,'Données projet'!$A$97:$I$117,4,0)),0,VLOOKUP(A157,'Données projet'!$A$97:$I$117,4,0))</f>
        <v>0</v>
      </c>
      <c r="BM157" s="16">
        <f>IF(ISNA(VLOOKUP(A157,'Données projet'!$A$97:$I$117,5,0)),0%,VLOOKUP(A157,'Données projet'!$A$97:$I$117,5,0)*VLOOKUP('Données projet'!$B$11,Paramètres!$A$1:$I$89,7,0))</f>
        <v>0</v>
      </c>
      <c r="BN157" s="16">
        <f>IF(ISNA(VLOOKUP(A157,'Données projet'!$A$97:$I$117,6,0)),0%,VLOOKUP(A157,'Données projet'!$A$97:$I$117,6,0)*VLOOKUP('Données projet'!$B$11,Paramètres!$A$1:$I$89,7,0))</f>
        <v>0</v>
      </c>
      <c r="BO157" s="16">
        <f>IF(ISNA(VLOOKUP(A157,'Données projet'!$A$97:$I$117,7,0)),0%,VLOOKUP(A157,'Données projet'!$A$97:$I$117,7,0))</f>
        <v>0</v>
      </c>
      <c r="BP157" s="21">
        <f>EXP(-LN(2)/35)*BP156+(1-EXP(-LN(2)/35))/(LN(2)/35)*BL157*BM157*VLOOKUP('Données projet'!$B$11,Paramètres!$A$1:$I$89,3,0)*0.475*44/12</f>
        <v>25.228702169171537</v>
      </c>
      <c r="BQ157" s="21">
        <f>EXP(-LN(2)/25)*BQ156+(1-EXP(-LN(2)/25))/(LN(2)/25)*Calculateur!BL157*Calculateur!BN157*VLOOKUP('Données projet'!$B$11,Paramètres!$A$1:$I$89,3,0)*0.475*44/12</f>
        <v>2.9269281871757591</v>
      </c>
      <c r="BR157" s="21">
        <f>EXP(-LN(2)/2)*BR156+(1-EXP(-LN(2)/2))/(LN(2)/2)*BL157*BO157*VLOOKUP('Données projet'!$B$11,Paramètres!$A$1:$I$89,3,0)*0.475*44/12</f>
        <v>3.3928145061441271E-14</v>
      </c>
      <c r="BS157" s="22">
        <f t="shared" si="334"/>
        <v>28.155630356347331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projet'!$A$123:$I$143,2,0)</f>
        <v>#N/A</v>
      </c>
      <c r="BW157" s="12" t="e">
        <f>VLOOKUP(A157,'Données projet'!$A$123:$I$143,9,0)</f>
        <v>#N/A</v>
      </c>
      <c r="BX157" s="12">
        <f t="array" ref="BX157">INDEX(BW:BW,MIN(IF(ISNUMBER(BW157:BW353),ROW(BW157:BW353),"")))</f>
        <v>0</v>
      </c>
      <c r="BY157" s="12">
        <f>IF('Données projet'!$A$124&gt;35,BY156+BX157-CG156,IF(A157&lt;'Données projet'!$A$124,$BV$205^A157,IF(A157='Données projet'!$A$124,'Données projet'!$B$124,BY156+BX157-CG156)))</f>
        <v>0</v>
      </c>
      <c r="BZ157" s="13">
        <f>BY157*VLOOKUP('Données projet'!$B$12,Paramètres!$A$1:$I$89,3,0)*VLOOKUP('Données projet'!$B$12,Paramètres!$A$1:$I$89,5,0)</f>
        <v>0</v>
      </c>
      <c r="CA157" s="13" t="e">
        <f t="shared" si="335"/>
        <v>#NUM!</v>
      </c>
      <c r="CB157" s="20" t="e">
        <f t="shared" si="336"/>
        <v>#NUM!</v>
      </c>
      <c r="CC157" s="59" t="e">
        <f t="shared" si="234"/>
        <v>#NUM!</v>
      </c>
      <c r="CD157" s="59">
        <f ca="1">AVERAGE(OFFSET($CC$3,0,0,'Données projet'!$E$12+1,1))-AVERAGE(OFFSET($H$3,0,0,'Données projet'!$E$12+1,1))</f>
        <v>322.93502595881938</v>
      </c>
      <c r="CE157" s="59">
        <f t="shared" si="293"/>
        <v>302.67072119588164</v>
      </c>
      <c r="CF157" s="15">
        <f>IF(ISNA(VLOOKUP(A157,'Données projet'!$A$123:$I$143,3,0)),0,VLOOKUP(A157,'Données projet'!$A$123:$I$143,3,0))</f>
        <v>0</v>
      </c>
      <c r="CG157" s="15">
        <f>IF(ISNA(VLOOKUP(A157,'Données projet'!$A$123:$I$143,4,0)),0,VLOOKUP(A157,'Données projet'!$A$123:$I$143,4,0))</f>
        <v>0</v>
      </c>
      <c r="CH157" s="16">
        <f>IF(ISNA(VLOOKUP(A157,'Données projet'!$A$123:$I$143,5,0)),0%,VLOOKUP(A157,'Données projet'!$A$123:$I$143,5,0)*VLOOKUP('Données projet'!$B$12,Paramètres!$A$1:$I$89,7,0))</f>
        <v>0</v>
      </c>
      <c r="CI157" s="16">
        <f>IF(ISNA(VLOOKUP(A157,'Données projet'!$A$123:$I$143,6,0)),0%,VLOOKUP(A157,'Données projet'!$A$123:$I$143,6,0)*VLOOKUP('Données projet'!$B$12,Paramètres!$A$1:$I$89,7,0))</f>
        <v>0</v>
      </c>
      <c r="CJ157" s="16">
        <f>IF(ISNA(VLOOKUP(A157,'Données projet'!$A$123:$I$143,7,0)),0%,VLOOKUP(A157,'Données projet'!$A$123:$I$143,7,0))</f>
        <v>0</v>
      </c>
      <c r="CK157" s="21">
        <f>EXP(-LN(2)/35)*CK156+(1-EXP(-LN(2)/35))/(LN(2)/35)*CG157*CH157*VLOOKUP('Données projet'!$B$12,Paramètres!$A$1:$I$89,3,0)*0.475*44/12</f>
        <v>40.195418673062342</v>
      </c>
      <c r="CL157" s="21">
        <f>EXP(-LN(2)/25)*CL156+(1-EXP(-LN(2)/25))/(LN(2)/25)*Calculateur!CG157*Calculateur!CI157*VLOOKUP('Données projet'!$B$12,Paramètres!$A$1:$I$89,3,0)*0.475*44/12</f>
        <v>9.3679411045748342</v>
      </c>
      <c r="CM157" s="21">
        <f>EXP(-LN(2)/2)*CM156+(1-EXP(-LN(2)/2))/(LN(2)/2)*CG157*CJ157*VLOOKUP('Données projet'!$B$12,Paramètres!$A$1:$I$89,3,0)*0.475*44/12</f>
        <v>0</v>
      </c>
      <c r="CN157" s="22">
        <f t="shared" si="337"/>
        <v>49.563359777637174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projet'!$A$149:$I$169,2,0)</f>
        <v>#N/A</v>
      </c>
      <c r="CR157" s="12" t="e">
        <f>VLOOKUP(A157,'Données projet'!$A$149:$I$169,9,0)</f>
        <v>#N/A</v>
      </c>
      <c r="CS157" s="12">
        <f t="array" ref="CS157">INDEX(CR:CR,MIN(IF(ISNUMBER(CR157:CR353),ROW(CR157:CR353),"")))</f>
        <v>1.8717948717948829</v>
      </c>
      <c r="CT157" s="12">
        <f>IF('Données projet'!$A$150&gt;35,CT156+CS157-DB156,IF(A157&lt;'Données projet'!$A$150,$CQ$205^A157,IF(A157='Données projet'!$A$150,'Données projet'!$B$150,CT156+CS157-DB156)))</f>
        <v>126.81410256410203</v>
      </c>
      <c r="CU157" s="17">
        <f>CT157*VLOOKUP('Données projet'!$B$13,Paramètres!$A$1:$I$89,3,0)*VLOOKUP('Données projet'!$B$13,Paramètres!$A$1:$I$89,5,0)</f>
        <v>128.58949999999948</v>
      </c>
      <c r="CV157" s="13">
        <f t="shared" si="338"/>
        <v>33.670227547903842</v>
      </c>
      <c r="CW157" s="20">
        <f t="shared" si="339"/>
        <v>282.60235881259825</v>
      </c>
      <c r="CX157" s="59">
        <f t="shared" si="237"/>
        <v>575.93569214593163</v>
      </c>
      <c r="CY157" s="59">
        <f ca="1">AVERAGE(OFFSET($CX$3,0,0,'Données projet'!$E$13+1,1))-AVERAGE(OFFSET($H$3,0,0,'Données projet'!$E$13+1,1))</f>
        <v>250.31277422753283</v>
      </c>
      <c r="CZ157" s="59">
        <f t="shared" si="295"/>
        <v>159.20429420478047</v>
      </c>
      <c r="DA157" s="15">
        <f>IF(ISNA(VLOOKUP(A157,'Données projet'!$A$149:$I$169,3,0)),0,VLOOKUP(A157,'Données projet'!$A$149:$I$169,3,0))</f>
        <v>0</v>
      </c>
      <c r="DB157" s="15">
        <f>IF(ISNA(VLOOKUP(A157,'Données projet'!$A$149:$I$169,4,0)),0,VLOOKUP(A157,'Données projet'!$A$149:$I$169,4,0))</f>
        <v>0</v>
      </c>
      <c r="DC157" s="16">
        <f>IF(ISNA(VLOOKUP(A157,'Données projet'!$A$149:$I$169,5,0)),0%,VLOOKUP(A157,'Données projet'!$A$149:$I$169,5,0)*VLOOKUP('Données projet'!$B$13,Paramètres!$A$1:$I$89,7,0))</f>
        <v>0</v>
      </c>
      <c r="DD157" s="16">
        <f>IF(ISNA(VLOOKUP(A157,'Données projet'!$A$149:$I$169,6,0)),0%,VLOOKUP(A157,'Données projet'!$A$149:$I$169,6,0)*VLOOKUP('Données projet'!$B$13,Paramètres!$A$1:$I$89,7,0))</f>
        <v>0</v>
      </c>
      <c r="DE157" s="16">
        <f>IF(ISNA(VLOOKUP(A157,'Données projet'!$A$149:$I$169,7,0)),0%,VLOOKUP(A157,'Données projet'!$A$149:$I$169,7,0))</f>
        <v>0</v>
      </c>
      <c r="DF157" s="21">
        <f>EXP(-LN(2)/35)*DF156+(1-EXP(-LN(2)/35))/(LN(2)/35)*DB157*DC157*VLOOKUP('Données projet'!$B$13,Paramètres!$A$1:$I$89,3,0)*0.475*44/12</f>
        <v>116.40916907413229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340"/>
        <v>116.40916907413229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projet'!$A$175:$I$195,2,0)</f>
        <v>#N/A</v>
      </c>
      <c r="DM157" s="12" t="e">
        <f>VLOOKUP(A157,'Données projet'!$A$175:$I$195,9,0)</f>
        <v>#N/A</v>
      </c>
      <c r="DN157" s="12">
        <f t="array" ref="DN157">INDEX(DM:DM,MIN(IF(ISNUMBER(DM157:DM353),ROW(DM157:DM353),"")))</f>
        <v>0</v>
      </c>
      <c r="DO157" s="12">
        <f>IF('Données projet'!$A$176&gt;35,DO156+DN157-DW156,IF(A157&lt;'Données projet'!$A$176,$DL$205^A157,IF(A157='Données projet'!$A$176,'Données projet'!$B$176,DO156+DN157-DW156)))</f>
        <v>-2.8421709430404007E-13</v>
      </c>
      <c r="DP157" s="17">
        <f>DO157*VLOOKUP('Données projet'!$B$14,Paramètres!$A$1:$I$89,3,0)*VLOOKUP('Données projet'!$B$14,Paramètres!$A$1:$I$89,5,0)</f>
        <v>-2.0838797354372215E-13</v>
      </c>
      <c r="DQ157" s="13" t="e">
        <f t="shared" si="341"/>
        <v>#NUM!</v>
      </c>
      <c r="DR157" s="20" t="e">
        <f t="shared" si="342"/>
        <v>#NUM!</v>
      </c>
      <c r="DS157" s="59" t="e">
        <f t="shared" si="240"/>
        <v>#NUM!</v>
      </c>
      <c r="DT157" s="59">
        <f ca="1">AVERAGE(OFFSET($DS$3,0,0,'Données projet'!$E$14+1,1))-AVERAGE(OFFSET($H$3,0,0,'Données projet'!$E$14+1,1))</f>
        <v>296.91321813251051</v>
      </c>
      <c r="DU157" s="59">
        <f t="shared" si="297"/>
        <v>291.0718079639509</v>
      </c>
      <c r="DV157" s="15">
        <f>IF(ISNA(VLOOKUP(A157,'Données projet'!$A$175:$I$195,3,0)),0,VLOOKUP(A157,'Données projet'!$A$175:$I$195,3,0))</f>
        <v>0</v>
      </c>
      <c r="DW157" s="15">
        <f>IF(ISNA(VLOOKUP(A157,'Données projet'!$A$175:$I$195,4,0)),0,VLOOKUP(A157,'Données projet'!$A$175:$I$195,4,0))</f>
        <v>0</v>
      </c>
      <c r="DX157" s="16">
        <f>IF(ISNA(VLOOKUP(A157,'Données projet'!$A$175:$I$195,5,0)),0%,VLOOKUP(A157,'Données projet'!$A$175:$I$195,5,0)*VLOOKUP('Données projet'!$B$14,Paramètres!$A$1:$I$89,7,0))</f>
        <v>0</v>
      </c>
      <c r="DY157" s="16">
        <f>IF(ISNA(VLOOKUP(A157,'Données projet'!$A$175:$I$195,6,0)),0%,VLOOKUP(A157,'Données projet'!$A$175:$I$195,6,0)*VLOOKUP('Données projet'!$B$14,Paramètres!$A$1:$I$89,7,0))</f>
        <v>0</v>
      </c>
      <c r="DZ157" s="16">
        <f>IF(ISNA(VLOOKUP(A157,'Données projet'!$A$175:$I$195,7,0)),0%,VLOOKUP(A157,'Données projet'!$A$175:$I$195,7,0))</f>
        <v>0</v>
      </c>
      <c r="EA157" s="21">
        <f>EXP(-LN(2)/35)*EA156+(1-EXP(-LN(2)/35))/(LN(2)/35)*DW157*DX157*VLOOKUP('Données projet'!$B$14,Paramètres!$A$1:$I$89,3,0)*0.475*44/12</f>
        <v>40.061927961390758</v>
      </c>
      <c r="EB157" s="21">
        <f>EXP(-LN(2)/25)*EB156+(1-EXP(-LN(2)/25))/(LN(2)/25)*Calculateur!DW157*Calculateur!DY157*VLOOKUP('Données projet'!$B$14,Paramètres!$A$1:$I$89,3,0)*0.475*44/12</f>
        <v>0.68817744975501283</v>
      </c>
      <c r="EC157" s="21">
        <f>EXP(-LN(2)/2)*EC156+(1-EXP(-LN(2)/2))/(LN(2)/2)*DW157*DZ157*VLOOKUP('Données projet'!$B$14,Paramètres!$A$1:$I$89,3,0)*0.475*44/12</f>
        <v>0</v>
      </c>
      <c r="ED157" s="22">
        <f t="shared" si="343"/>
        <v>40.750105411145768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projet'!$A$201:$I$221,2,0)</f>
        <v>#N/A</v>
      </c>
      <c r="EH157" s="12" t="e">
        <f>VLOOKUP(A157,'Données projet'!$A$201:$I$221,9,0)</f>
        <v>#N/A</v>
      </c>
      <c r="EI157" s="12">
        <f t="array" ref="EI157">INDEX(EH:EH,MIN(IF(ISNUMBER(EH157:EH353),ROW(EH157:EH353),"")))</f>
        <v>0</v>
      </c>
      <c r="EJ157" s="12">
        <f>IF('Données projet'!$A$202&gt;35,EJ156+EI157-ER156,IF(A157&lt;'Données projet'!$A$202,$EG$205^A157,IF(A157='Données projet'!$A$202,'Données projet'!$B$202,EJ156+EI157-ER156)))</f>
        <v>5.1159076974727213E-13</v>
      </c>
      <c r="EK157" s="17">
        <f>EJ157*VLOOKUP('Données projet'!$B$15,Paramètres!$A$1:$I$89,3,0)*VLOOKUP('Données projet'!$B$15,Paramètres!$A$1:$I$89,5,0)</f>
        <v>2.3942448024172334E-13</v>
      </c>
      <c r="EL157" s="13">
        <f t="shared" si="344"/>
        <v>3.2492669905861755E-12</v>
      </c>
      <c r="EM157" s="20">
        <f t="shared" si="345"/>
        <v>6.0761376450252565E-12</v>
      </c>
      <c r="EN157" s="59">
        <f t="shared" si="243"/>
        <v>293.3333333333394</v>
      </c>
      <c r="EO157" s="59">
        <f ca="1">AVERAGE(OFFSET($EN$3,0,0,'Données projet'!$E$15+1,1))-AVERAGE(OFFSET($H$3,0,0,'Données projet'!$E$15+1,1))</f>
        <v>147.64256291235483</v>
      </c>
      <c r="EP157" s="59">
        <f t="shared" si="299"/>
        <v>70.859031694091868</v>
      </c>
      <c r="EQ157" s="15">
        <f>IF(ISNA(VLOOKUP(A157,'Données projet'!$A$201:$I$221,3,0)),0,VLOOKUP(A157,'Données projet'!$A$201:$I$221,3,0))</f>
        <v>0</v>
      </c>
      <c r="ER157" s="15">
        <f>IF(ISNA(VLOOKUP(A157,'Données projet'!$A$201:$I$221,4,0)),0,VLOOKUP(A157,'Données projet'!$A$201:$I$221,4,0))</f>
        <v>0</v>
      </c>
      <c r="ES157" s="16">
        <f>IF(ISNA(VLOOKUP(A157,'Données projet'!$A$201:$I$221,5,0)),0%,VLOOKUP(A157,'Données projet'!$A$201:$I$221,5,0)*VLOOKUP('Données projet'!$B$15,Paramètres!$A$1:$I$89,7,0))</f>
        <v>0</v>
      </c>
      <c r="ET157" s="16">
        <f>IF(ISNA(VLOOKUP(A157,'Données projet'!$A$201:$I$221,6,0)),0%,VLOOKUP(A157,'Données projet'!$A$201:$I$221,6,0)*VLOOKUP('Données projet'!$B$15,Paramètres!$A$1:$I$89,7,0))</f>
        <v>0</v>
      </c>
      <c r="EU157" s="16">
        <f>IF(ISNA(VLOOKUP(A157,'Données projet'!$A$201:$I$221,7,0)),0%,VLOOKUP(A157,'Données projet'!$A$201:$I$221,7,0))</f>
        <v>0</v>
      </c>
      <c r="EV157" s="21">
        <f>EXP(-LN(2)/35)*EV156+(1-EXP(-LN(2)/35))/(LN(2)/35)*ER157*ES157*VLOOKUP('Données projet'!$B$15,Paramètres!$A$1:$I$89,3,0)*0.475*44/12</f>
        <v>54.845410868881864</v>
      </c>
      <c r="EW157" s="21">
        <f>EXP(-LN(2)/25)*EW156+(1-EXP(-LN(2)/25))/(LN(2)/25)*Calculateur!ER157*Calculateur!ET157*VLOOKUP('Données projet'!$B$15,Paramètres!$A$1:$I$89,3,0)*0.475*44/12</f>
        <v>9.547768788288387</v>
      </c>
      <c r="EX157" s="21">
        <f>EXP(-LN(2)/2)*EX156+(1-EXP(-LN(2)/2))/(LN(2)/2)*ER157*EU157*VLOOKUP('Données projet'!$B$15,Paramètres!$A$1:$I$89,3,0)*0.475*44/12</f>
        <v>3.0933577173686098E-6</v>
      </c>
      <c r="EY157" s="22">
        <f t="shared" si="346"/>
        <v>64.39318275052797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projet'!$A$227:$I$247,2,0)</f>
        <v>#N/A</v>
      </c>
      <c r="FC157" s="12" t="e">
        <f>VLOOKUP(A157,'Données projet'!$A$227:$I$247,9,0)</f>
        <v>#N/A</v>
      </c>
      <c r="FD157" s="12">
        <f t="array" ref="FD157">INDEX(FC:FC,MIN(IF(ISNUMBER(FC157:FC353),ROW(FC157:FC353),"")))</f>
        <v>0</v>
      </c>
      <c r="FE157" s="12">
        <f>IF('Données projet'!$A$228&gt;35,FE156+FD157-FM156,IF(A157&lt;'Données projet'!$A$228,$FB$205^A157,IF(A157='Données projet'!$A$228,'Données projet'!$B$228,FE156+FD157-FM156)))</f>
        <v>8.5265128291212022E-14</v>
      </c>
      <c r="FF157" s="17">
        <f>FE157*VLOOKUP('Données projet'!$B$16,Paramètres!$A$1:$I$89,3,0)*VLOOKUP('Données projet'!$B$16,Paramètres!$A$1:$I$89,5,0)</f>
        <v>8.9119112089974823E-14</v>
      </c>
      <c r="FG157" s="13">
        <f t="shared" si="347"/>
        <v>1.3568952080113142E-12</v>
      </c>
      <c r="FH157" s="20">
        <f t="shared" si="348"/>
        <v>2.5184749408430782E-12</v>
      </c>
      <c r="FI157" s="59">
        <f t="shared" si="246"/>
        <v>293.33333333333582</v>
      </c>
      <c r="FJ157" s="59">
        <f ca="1">AVERAGE(OFFSET($FI$3,0,0,'Données projet'!$E$16+1,1))-AVERAGE(OFFSET($H$3,0,0,'Données projet'!$E$16+1,1))</f>
        <v>259.03906550253788</v>
      </c>
      <c r="FK157" s="59">
        <f t="shared" si="301"/>
        <v>235.54542903570831</v>
      </c>
      <c r="FL157" s="15">
        <f>IF(ISNA(VLOOKUP(A157,'Données projet'!$A$227:$I$247,3,0)),0,VLOOKUP(A157,'Données projet'!$A$227:$I$247,3,0))</f>
        <v>0</v>
      </c>
      <c r="FM157" s="15">
        <f>IF(ISNA(VLOOKUP(A157,'Données projet'!$A$227:$I$247,4,0)),0,VLOOKUP(A157,'Données projet'!$A$227:$I$247,4,0))</f>
        <v>0</v>
      </c>
      <c r="FN157" s="16">
        <f>IF(ISNA(VLOOKUP(A157,'Données projet'!$A$227:$I$247,5,0)),0%,VLOOKUP(A157,'Données projet'!$A$227:$I$247,5,0)*VLOOKUP('Données projet'!$B$16,Paramètres!$A$1:$I$89,7,0))</f>
        <v>0</v>
      </c>
      <c r="FO157" s="16">
        <f>IF(ISNA(VLOOKUP(A157,'Données projet'!$A$227:$I$247,6,0)),0%,VLOOKUP(A157,'Données projet'!$A$227:$I$247,6,0)*VLOOKUP('Données projet'!$B$16,Paramètres!$A$1:$I$89,7,0))</f>
        <v>0</v>
      </c>
      <c r="FP157" s="16">
        <f>IF(ISNA(VLOOKUP(A157,'Données projet'!$A$227:$I$247,7,0)),0%,VLOOKUP(A157,'Données projet'!$A$227:$I$247,7,0))</f>
        <v>0</v>
      </c>
      <c r="FQ157" s="21">
        <f>EXP(-LN(2)/35)*FQ156+(1-EXP(-LN(2)/35))/(LN(2)/35)*FM157*FN157*VLOOKUP('Données projet'!$B$16,Paramètres!$A$1:$I$89,3,0)*0.475*44/12</f>
        <v>24.207273829196208</v>
      </c>
      <c r="FR157" s="21">
        <f>EXP(-LN(2)/25)*FR156+(1-EXP(-LN(2)/25))/(LN(2)/25)*Calculateur!FM157*Calculateur!FO157*VLOOKUP('Données projet'!$B$16,Paramètres!$A$1:$I$89,3,0)*0.475*44/12</f>
        <v>13.134623553809393</v>
      </c>
      <c r="FS157" s="21">
        <f>EXP(-LN(2)/2)*FS156+(1-EXP(-LN(2)/2))/(LN(2)/2)*FM157*FP157*VLOOKUP('Données projet'!$B$16,Paramètres!$A$1:$I$89,3,0)*0.475*44/12</f>
        <v>0</v>
      </c>
      <c r="FT157" s="22">
        <f t="shared" si="349"/>
        <v>37.341897383005602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projet'!$A$253:$I$273,2,0)</f>
        <v>#N/A</v>
      </c>
      <c r="FX157" s="12" t="e">
        <f>VLOOKUP(A157,'Données projet'!$A$253:$I$273,9,0)</f>
        <v>#N/A</v>
      </c>
      <c r="FY157" s="12">
        <f t="array" ref="FY157">INDEX(FX:FX,MIN(IF(ISNUMBER(FX157:FX353),ROW(FX157:FX353),"")))</f>
        <v>0</v>
      </c>
      <c r="FZ157" s="12">
        <f>IF('Données projet'!$A$254&gt;35,FZ156+FY157-GH156,IF(A157&lt;'Données projet'!$A$254,$FW$205^A157,IF(A157='Données projet'!$A$254,'Données projet'!$B$254,FZ156+FY157-GH156)))</f>
        <v>-1.7053025658242404E-13</v>
      </c>
      <c r="GA157" s="17">
        <f>FZ157*VLOOKUP('Données projet'!$B$17,Paramètres!$A$1:$I$89,3,0)*VLOOKUP('Données projet'!$B$17,Paramètres!$A$1:$I$89,5,0)</f>
        <v>-1.4897523215040567E-13</v>
      </c>
      <c r="GB157" s="13" t="e">
        <f t="shared" si="350"/>
        <v>#NUM!</v>
      </c>
      <c r="GC157" s="20" t="e">
        <f t="shared" si="351"/>
        <v>#NUM!</v>
      </c>
      <c r="GD157" s="59" t="e">
        <f t="shared" si="249"/>
        <v>#NUM!</v>
      </c>
      <c r="GE157" s="59">
        <f ca="1">AVERAGE(OFFSET($GD$3,0,0,'Données projet'!$E$17+1,1))-AVERAGE(OFFSET($H$3,0,0,'Données projet'!$E$17+1,1))</f>
        <v>245.1983232777614</v>
      </c>
      <c r="GF157" s="59">
        <f t="shared" si="303"/>
        <v>242.34010522344573</v>
      </c>
      <c r="GG157" s="15">
        <f>IF(ISNA(VLOOKUP(A157,'Données projet'!$A$253:$I$273,3,0)),0,VLOOKUP(A157,'Données projet'!$A$253:$I$273,3,0))</f>
        <v>0</v>
      </c>
      <c r="GH157" s="15">
        <f>IF(ISNA(VLOOKUP(A157,'Données projet'!$A$253:$I$273,4,0)),0,VLOOKUP(A157,'Données projet'!$A$253:$I$273,4,0))</f>
        <v>0</v>
      </c>
      <c r="GI157" s="16">
        <f>IF(ISNA(VLOOKUP(A157,'Données projet'!$A$253:$I$273,5,0)),0%,VLOOKUP(A157,'Données projet'!$A$253:$I$273,5,0)*VLOOKUP('Données projet'!$B$17,Paramètres!$A$1:$I$89,7,0))</f>
        <v>0</v>
      </c>
      <c r="GJ157" s="16">
        <f>IF(ISNA(VLOOKUP(A157,'Données projet'!$A$253:$I$273,6,0)),0%,VLOOKUP(A157,'Données projet'!$A$253:$I$273,6,0)*VLOOKUP('Données projet'!$B$17,Paramètres!$A$1:$I$89,7,0))</f>
        <v>0</v>
      </c>
      <c r="GK157" s="16">
        <f>IF(ISNA(VLOOKUP(A157,'Données projet'!$A$253:$I$273,7,0)),0%,VLOOKUP(A157,'Données projet'!$A$253:$I$273,7,0))</f>
        <v>0</v>
      </c>
      <c r="GL157" s="21">
        <f>EXP(-LN(2)/35)*GL156+(1-EXP(-LN(2)/35))/(LN(2)/35)*GH157*GI157*VLOOKUP('Données projet'!$B$17,Paramètres!$A$1:$I$89,3,0)*0.475*44/12</f>
        <v>28.458971679789435</v>
      </c>
      <c r="GM157" s="21">
        <f>EXP(-LN(2)/25)*GM156+(1-EXP(-LN(2)/25))/(LN(2)/25)*Calculateur!GH157*Calculateur!GJ157*VLOOKUP('Données projet'!$B$17,Paramètres!$A$1:$I$89,3,0)*0.475*44/12</f>
        <v>2.7986682984268274</v>
      </c>
      <c r="GN157" s="21">
        <f>EXP(-LN(2)/2)*GN156+(1-EXP(-LN(2)/2))/(LN(2)/2)*GH157*GK157*VLOOKUP('Données projet'!$B$17,Paramètres!$A$1:$I$89,3,0)*0.475*44/12</f>
        <v>0</v>
      </c>
      <c r="GO157" s="21">
        <f t="shared" si="352"/>
        <v>31.257639978216261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projet'!$A$279:$I$299,2,0)</f>
        <v>#N/A</v>
      </c>
      <c r="GS157" s="12" t="e">
        <f>VLOOKUP(A157,'Données projet'!$A$279:$I$299,9,0)</f>
        <v>#N/A</v>
      </c>
      <c r="GT157" s="12">
        <f t="array" ref="GT157">INDEX(GS:GS,MIN(IF(ISNUMBER(GS157:GS353),ROW(GS157:GS353),"")))</f>
        <v>0</v>
      </c>
      <c r="GU157" s="12">
        <f>IF('Données projet'!$A$280&gt;35,GU156+GT157-HC156,IF(A157&lt;'Données projet'!$A$280,$GR$205^A157,IF(A157='Données projet'!$A$280,'Données projet'!$B$280,GU156+GT157-HC156)))</f>
        <v>-1.1368683772161603E-13</v>
      </c>
      <c r="GV157" s="17">
        <f>GU157*VLOOKUP('Données projet'!$B$18,Paramètres!$A$1:$I$89,3,0)*VLOOKUP('Données projet'!$B$18,Paramètres!$A$1:$I$89,5,0)</f>
        <v>-4.5815795601811263E-14</v>
      </c>
      <c r="GW157" s="13" t="e">
        <f t="shared" si="353"/>
        <v>#NUM!</v>
      </c>
      <c r="GX157" s="20" t="e">
        <f t="shared" si="354"/>
        <v>#NUM!</v>
      </c>
      <c r="GY157" s="59" t="e">
        <f t="shared" si="252"/>
        <v>#NUM!</v>
      </c>
      <c r="GZ157" s="59">
        <f ca="1">AVERAGE(OFFSET($GY$3,0,0,'Données projet'!$E$18+1,1))-AVERAGE(OFFSET($H$3,0,0,'Données projet'!$E$18+1,1))</f>
        <v>324.36162935850876</v>
      </c>
      <c r="HA157" s="59">
        <f t="shared" si="305"/>
        <v>265.23571072429735</v>
      </c>
      <c r="HB157" s="15">
        <f>IF(ISNA(VLOOKUP(A157,'Données projet'!$A$279:$I$299,3,0)),0,VLOOKUP(A157,'Données projet'!$A$279:$I$299,3,0))</f>
        <v>0</v>
      </c>
      <c r="HC157" s="15">
        <f>IF(ISNA(VLOOKUP(A157,'Données projet'!$A$279:$I$299,4,0)),0,VLOOKUP(A157,'Données projet'!$A$279:$I$299,4,0))</f>
        <v>0</v>
      </c>
      <c r="HD157" s="16">
        <f>IF(ISNA(VLOOKUP(A157,'Données projet'!$A$279:$I$299,5,0)),0%,VLOOKUP(A157,'Données projet'!$A$279:$I$299,5,0)*VLOOKUP('Données projet'!$B$18,Paramètres!$A$1:$I$89,7,0))</f>
        <v>0</v>
      </c>
      <c r="HE157" s="16">
        <f>IF(ISNA(VLOOKUP(A157,'Données projet'!$A$279:$I$299,6,0)),0%,VLOOKUP(A157,'Données projet'!$A$279:$I$299,6,0)*VLOOKUP('Données projet'!$B$18,Paramètres!$A$1:$I$89,7,0))</f>
        <v>0</v>
      </c>
      <c r="HF157" s="16">
        <f>IF(ISNA(VLOOKUP($A157,'Données projet'!$A$279:$I$299,7,0)),0%,VLOOKUP($A157,'Données projet'!$A$279:$I$299,7,0))</f>
        <v>0</v>
      </c>
      <c r="HG157" s="21">
        <f>EXP(-LN(2)/35)*HG156+(1-EXP(-LN(2)/35))/(LN(2)/35)*HC157*HD157*VLOOKUP('Données projet'!$B$18,Paramètres!$A$1:$I$89,3,0)*0.475*44/12</f>
        <v>54.534829448991438</v>
      </c>
      <c r="HH157" s="21">
        <f>EXP(-LN(2)/25)*HH156+(1-EXP(-LN(2)/25))/(LN(2)/25)*Calculateur!HC157*Calculateur!HE157*VLOOKUP('Données projet'!$B$18,Paramètres!$A$1:$I$89,3,0)*0.475*44/12</f>
        <v>3.1126197346071884</v>
      </c>
      <c r="HI157" s="21">
        <f>EXP(-LN(2)/2)*HI156+(1-EXP(-LN(2)/2))/(LN(2)/2)*HC157*HF157*VLOOKUP('Données projet'!$B$18,Paramètres!$A$1:$I$89,3,0)*0.475*44/12</f>
        <v>6.2189135564985392E-11</v>
      </c>
      <c r="HJ157" s="22">
        <f t="shared" si="355"/>
        <v>57.647449183660811</v>
      </c>
      <c r="HK157" s="74">
        <f>('Scénario référence'!$F$8+'Scénario référence'!$F$9+'Scénario référence'!$B$17+'Scénario référence'!$B$9+'Scénario référence'!$B$10)*70+IF((45+25*(1-EXP(-0.0175*$A157)))&lt;70,'Scénario référence'!$B$16*(45+25*(1-EXP(-0.0175*$A157))),70*'Scénario référence'!$B$16)+IF((32+38*(1-EXP(-0.0175*$A157)))&lt;70,'Scénario référence'!$B$18*(32+38*(1-EXP(-0.0175*$A157))),70*'Scénario référence'!$B$18)</f>
        <v>70</v>
      </c>
      <c r="HL157" s="12">
        <f>IF($A157&gt;30,10,('Scénario référence'!$B$16+'Scénario référence'!$B$17+'Scénario référence'!$B$18+'Scénario référence'!$B$9+'Scénario référence'!$B$10)*$A157*10/30+('Scénario référence'!$F$8+'Scénario référence'!$F$9)*10)</f>
        <v>10</v>
      </c>
      <c r="HM157" s="12" t="e">
        <f>VLOOKUP($A157,'Données projet'!$A$304:$I$324,2,0)</f>
        <v>#N/A</v>
      </c>
      <c r="HN157" s="12" t="e">
        <f>VLOOKUP($A157,'Données projet'!$A$304:$I$324,9,0)</f>
        <v>#N/A</v>
      </c>
      <c r="HO157" s="12">
        <f t="array" ref="HO157">INDEX(HN:HN,MIN(IF(ISNUMBER(HN157:HN353),ROW(HN157:HN353),"")))</f>
        <v>0</v>
      </c>
      <c r="HP157" s="12">
        <f>IF('Données projet'!$A$304&gt;35,HP156+HO157-HX156,IF($A157&lt;'Données projet'!$A$304,$CQ$205^$A157,IF($A157='Données projet'!$A$304,'Données projet'!$B$304,HP156+HO157-HX156)))</f>
        <v>0</v>
      </c>
      <c r="HQ157" s="17">
        <f>HP157*VLOOKUP('Données projet'!$B$19,Paramètres!$A$1:$I$89,3,0)*VLOOKUP('Données projet'!$B$19,Paramètres!$A$1:$I$89,5,0)</f>
        <v>0</v>
      </c>
      <c r="HR157" s="13" t="e">
        <f t="shared" si="306"/>
        <v>#NUM!</v>
      </c>
      <c r="HS157" s="14" t="e">
        <f t="shared" si="254"/>
        <v>#NUM!</v>
      </c>
      <c r="HT157" s="59" t="e">
        <f t="shared" si="255"/>
        <v>#NUM!</v>
      </c>
      <c r="HU157" s="59">
        <f ca="1">AVERAGE(OFFSET(HT$3,0,0,'Données projet'!$E$19+1,1))-AVERAGE(OFFSET($H$3,0,0,'Données projet'!$E$19+1,1))</f>
        <v>91.60721429656013</v>
      </c>
      <c r="HV157" s="59">
        <f t="shared" si="307"/>
        <v>258.94957804210856</v>
      </c>
      <c r="HW157" s="15">
        <f>IF(ISNA(VLOOKUP($A157,'Données projet'!$A$304:$I$324,3,0)),0,VLOOKUP($A157,'Données projet'!$A$304:$I$324,3,0))</f>
        <v>0</v>
      </c>
      <c r="HX157" s="15">
        <f>IF(ISNA(VLOOKUP($A157,'Données projet'!$A$304:$I$324,4,0)),0,VLOOKUP($A157,'Données projet'!$A$304:$I$324,4,0))</f>
        <v>0</v>
      </c>
      <c r="HY157" s="16">
        <f>IF(ISNA(VLOOKUP($A157,'Données projet'!$A$304:$I$324,5,0)),0%,VLOOKUP($A157,'Données projet'!$A$304:$I$324,5,0)*VLOOKUP('Données projet'!$B$19,Paramètres!$A$1:$I$89,7,0))</f>
        <v>0</v>
      </c>
      <c r="HZ157" s="16">
        <f>IF(ISNA(VLOOKUP($A157,'Données projet'!$A$304:$I$324,6,0)),0%,VLOOKUP($A157,'Données projet'!$A$304:$I$324,6,0)*VLOOKUP('Données projet'!$B$19,Paramètres!$A$1:$I$89,7,0))</f>
        <v>0</v>
      </c>
      <c r="IA157" s="16">
        <f>IF(ISNA(VLOOKUP($A157,'Données projet'!$A$304:$I$324,7,0)),0%,VLOOKUP($A157,'Données projet'!$A$304:$I$324,7,0))</f>
        <v>0</v>
      </c>
      <c r="IB157" s="21">
        <f>EXP(-LN(2)/35)*IB156+(1-EXP(-LN(2)/35))/(LN(2)/35)*HX157*HY157*VLOOKUP('Données projet'!$B$19,Paramètres!$A$1:$I$89,3,0)*0.475*44/12</f>
        <v>4.2328088483125308</v>
      </c>
      <c r="IC157" s="21">
        <f>EXP(-LN(2)/25)*IC156+(1-EXP(-LN(2)/25))/(LN(2)/25)*Calculateur!HX157*Calculateur!HZ157*VLOOKUP('Données projet'!$B$19,Paramètres!$A$1:$I$89,3,0)*0.475*44/12</f>
        <v>0.31253782180220319</v>
      </c>
      <c r="ID157" s="21">
        <f>EXP(-LN(2)/2)*ID156+(1-EXP(-LN(2)/2))/(LN(2)/2)*HX157*IA157*VLOOKUP('Données projet'!$B$19,Paramètres!$A$1:$I$89,3,0)*0.475*44/12</f>
        <v>1.2421754418123278E-19</v>
      </c>
      <c r="IE157" s="22">
        <f t="shared" si="256"/>
        <v>4.5453466701147338</v>
      </c>
      <c r="IF157" s="74">
        <f>('Scénario référence'!$F$8+'Scénario référence'!$F$9+'Scénario référence'!$B$17+'Scénario référence'!$B$9+'Scénario référence'!$B$10)*70+IF((45+25*(1-EXP(-0.0175*$A157)))&lt;70,'Scénario référence'!$B$16*(45+25*(1-EXP(-0.0175*$A157))),70*'Scénario référence'!$B$16)+IF((32+38*(1-EXP(-0.0175*$A157)))&lt;70,'Scénario référence'!$B$18*(32+38*(1-EXP(-0.0175*$A157))),70*'Scénario référence'!$B$18)</f>
        <v>70</v>
      </c>
      <c r="IG157" s="12">
        <f>IF($A157&gt;30,10,('Scénario référence'!$B$16+'Scénario référence'!$B$17+'Scénario référence'!$B$18+'Scénario référence'!$B$9+'Scénario référence'!$B$10)*$A157*10/30+('Scénario référence'!$F$8+'Scénario référence'!$F$9)*10)</f>
        <v>10</v>
      </c>
      <c r="IH157" s="12" t="e">
        <f>VLOOKUP($A157,'Données projet'!$A$330:$I$350,2,0)</f>
        <v>#N/A</v>
      </c>
      <c r="II157" s="12" t="e">
        <f>VLOOKUP($A157,'Données projet'!$A$330:$I$350,9,0)</f>
        <v>#N/A</v>
      </c>
      <c r="IJ157" s="12">
        <f t="array" ref="IJ157">INDEX(II:II,MIN(IF(ISNUMBER(II157:II353),ROW(II157:II353),"")))</f>
        <v>0</v>
      </c>
      <c r="IK157" s="12">
        <f>IF('Données projet'!$A$330&gt;35,IK156+IJ157-IS156,IF($A157&lt;'Données projet'!$A$330,$CQ$205^$A157,IF($A157='Données projet'!$A$330,'Données projet'!$B$330,IK156+IJ157-IS156)))</f>
        <v>0</v>
      </c>
      <c r="IL157" s="17">
        <f>IK157*VLOOKUP('Données projet'!$B$20,Paramètres!$A$1:$I$89,3,0)*VLOOKUP('Données projet'!$B$20,Paramètres!$A$1:$I$89,5,0)</f>
        <v>0</v>
      </c>
      <c r="IM157" s="13" t="e">
        <f t="shared" si="308"/>
        <v>#NUM!</v>
      </c>
      <c r="IN157" s="20" t="e">
        <f t="shared" si="257"/>
        <v>#NUM!</v>
      </c>
      <c r="IO157" s="59" t="e">
        <f t="shared" si="258"/>
        <v>#NUM!</v>
      </c>
      <c r="IP157" s="59">
        <f ca="1">AVERAGE(OFFSET(IO$3,0,0,'Données projet'!$E$20+1,1))-AVERAGE(OFFSET($H$3,0,0,'Données projet'!$E$20+1,1))</f>
        <v>91.60721429656013</v>
      </c>
      <c r="IQ157" s="59">
        <f t="shared" si="309"/>
        <v>258.94957804210856</v>
      </c>
      <c r="IR157" s="15">
        <f>IF(ISNA(VLOOKUP($A157,'Données projet'!$A$330:$I$350,3,0)),0,VLOOKUP($A157,'Données projet'!$A$330:$I$350,3,0))</f>
        <v>0</v>
      </c>
      <c r="IS157" s="15">
        <f>IF(ISNA(VLOOKUP($A157,'Données projet'!$A$330:$I$350,4,0)),0,VLOOKUP($A157,'Données projet'!$A$330:$I$350,4,0))</f>
        <v>0</v>
      </c>
      <c r="IT157" s="16">
        <f>IF(ISNA(VLOOKUP($A157,'Données projet'!$A$330:$I$350,5,0)),0%,VLOOKUP($A157,'Données projet'!$A$330:$I$350,5,0)*VLOOKUP('Données projet'!$B$20,Paramètres!$A$1:$I$89,7,0))</f>
        <v>0</v>
      </c>
      <c r="IU157" s="16">
        <f>IF(ISNA(VLOOKUP($A157,'Données projet'!$A$330:$I$350,6,0)),0%,VLOOKUP($A157,'Données projet'!$A$330:$I$350,6,0)*VLOOKUP('Données projet'!$B$20,Paramètres!$A$1:$I$89,7,0))</f>
        <v>0</v>
      </c>
      <c r="IV157" s="16">
        <f>IF(ISNA(VLOOKUP($A157,'Données projet'!$A$330:$I$350,7,0)),0%,VLOOKUP($A157,'Données projet'!$A$330:$I$350,7,0))</f>
        <v>0</v>
      </c>
      <c r="IW157" s="21">
        <f>EXP(-LN(2)/35)*IW156+(1-EXP(-LN(2)/35))/(LN(2)/35)*IS157*IT157*VLOOKUP('Données projet'!$B$20,Paramètres!$A$1:$I$89,3,0)*0.475*44/12</f>
        <v>4.2328088483125308</v>
      </c>
      <c r="IX157" s="21">
        <f>EXP(-LN(2)/25)*IX156+(1-EXP(-LN(2)/25))/(LN(2)/25)*Calculateur!IS157*Calculateur!IU157*VLOOKUP('Données projet'!$B$20,Paramètres!$A$1:$I$89,3,0)*0.475*44/12</f>
        <v>0.31253782180220319</v>
      </c>
      <c r="IY157" s="21">
        <f>EXP(-LN(2)/2)*IY156+(1-EXP(-LN(2)/2))/(LN(2)/2)*IS157*IV157*VLOOKUP('Données projet'!$B$20,Paramètres!$A$1:$I$89,3,0)*0.475*44/12</f>
        <v>1.2421754418123278E-19</v>
      </c>
      <c r="IZ157" s="22">
        <f t="shared" si="259"/>
        <v>4.5453466701147338</v>
      </c>
      <c r="JA157" s="74">
        <f>('Scénario référence'!$F$8+'Scénario référence'!$F$9+'Scénario référence'!$B$17+'Scénario référence'!$B$9+'Scénario référence'!$B$10)*70+IF((45+25*(1-EXP(-0.0175*$A157)))&lt;70,'Scénario référence'!$B$16*(45+25*(1-EXP(-0.0175*$A157))),70*'Scénario référence'!$B$16)+IF((32+38*(1-EXP(-0.0175*$A157)))&lt;70,'Scénario référence'!$B$18*(32+38*(1-EXP(-0.0175*$A157))),70*'Scénario référence'!$B$18)</f>
        <v>70</v>
      </c>
      <c r="JB157" s="12">
        <f>IF($A157&gt;30,10,('Scénario référence'!$B$16+'Scénario référence'!$B$17+'Scénario référence'!$B$18+'Scénario référence'!$B$9+'Scénario référence'!$B$10)*$A157*10/30+('Scénario référence'!$F$8+'Scénario référence'!$F$9)*10)</f>
        <v>10</v>
      </c>
      <c r="JC157" s="12" t="e">
        <f>VLOOKUP($A157,'Données projet'!$A$356:$I$376,2,0)</f>
        <v>#N/A</v>
      </c>
      <c r="JD157" s="12" t="e">
        <f>VLOOKUP($A157,'Données projet'!$A$356:$I$376,9,0)</f>
        <v>#N/A</v>
      </c>
      <c r="JE157" s="12">
        <f t="array" ref="JE157">INDEX(JD:JD,MIN(IF(ISNUMBER(JD157:JD353),ROW(JD157:JD353),"")))</f>
        <v>0</v>
      </c>
      <c r="JF157" s="12">
        <f>IF('Données projet'!$A$356&gt;35,JF156+JE157-JN156,IF($A157&lt;'Données projet'!$A$356,$CQ$205^$A157,IF($A157='Données projet'!$A$356,'Données projet'!$B$356,JF156+JE157-JN156)))</f>
        <v>-1.3073986337985843E-12</v>
      </c>
      <c r="JG157" s="17">
        <f>JF157*VLOOKUP('Données projet'!$B$21,Paramètres!$A$1:$I$89,3,0)*VLOOKUP('Données projet'!$B$21,Paramètres!$A$1:$I$89,5,0)</f>
        <v>-1.0605617717374117E-12</v>
      </c>
      <c r="JH157" s="13" t="e">
        <f t="shared" si="310"/>
        <v>#NUM!</v>
      </c>
      <c r="JI157" s="20" t="e">
        <f t="shared" si="260"/>
        <v>#NUM!</v>
      </c>
      <c r="JJ157" s="59" t="e">
        <f t="shared" si="261"/>
        <v>#NUM!</v>
      </c>
      <c r="JK157" s="59">
        <f ca="1">AVERAGE(OFFSET($JJ$3,0,0,'Données projet'!$E$22+1,1))-AVERAGE(OFFSET($H$3,0,0,'Données projet'!$E$22+1,1))</f>
        <v>353.35574633294613</v>
      </c>
      <c r="JL157" s="59">
        <f t="shared" si="311"/>
        <v>170.36796666474726</v>
      </c>
      <c r="JM157" s="15">
        <f>IF(ISNA(VLOOKUP($A157,'Données projet'!$A$356:$I$376,3,0)),0,VLOOKUP($A157,'Données projet'!$A$356:$I$376,3,0))</f>
        <v>0</v>
      </c>
      <c r="JN157" s="15">
        <f>IF(ISNA(VLOOKUP($A157,'Données projet'!$A$356:$I$376,4,0)),0,VLOOKUP($A157,'Données projet'!$A$356:$I$376,4,0))</f>
        <v>0</v>
      </c>
      <c r="JO157" s="16">
        <f>IF(ISNA(VLOOKUP($A157,'Données projet'!$A$356:$I$376,5,0)),0%,VLOOKUP($A157,'Données projet'!$A$356:$I$376,5,0)*VLOOKUP('Données projet'!$B$21,Paramètres!$A$1:$I$89,7,0))</f>
        <v>0</v>
      </c>
      <c r="JP157" s="16">
        <f>IF(ISNA(VLOOKUP($A157,'Données projet'!$A$356:$I$376,6,0)),0%,VLOOKUP($A157,'Données projet'!$A$356:$I$376,6,0)*VLOOKUP('Données projet'!$B$21,Paramètres!$A$1:$I$89,7,0))</f>
        <v>0</v>
      </c>
      <c r="JQ157" s="16">
        <f>IF(ISNA(VLOOKUP($A157,'Données projet'!$A$356:$I$376,7,0)),0%,VLOOKUP($A157,'Données projet'!$A$356:$I$376,7,0))</f>
        <v>0</v>
      </c>
      <c r="JR157" s="21">
        <f>EXP(-LN(2)/35)*JR156+(1-EXP(-LN(2)/35))/(LN(2)/35)*JN157*JO157*VLOOKUP('Données projet'!$B$21,Paramètres!$A$1:$I$89,3,0)*0.475*44/12</f>
        <v>67.858237485988084</v>
      </c>
      <c r="JS157" s="21">
        <f>EXP(-LN(2)/25)*JS156+(1-EXP(-LN(2)/25))/(LN(2)/25)*Calculateur!JN157*Calculateur!JP157*VLOOKUP('Données projet'!$B$21,Paramètres!$A$1:$I$89,3,0)*0.475*44/12</f>
        <v>68.404012367469136</v>
      </c>
      <c r="JT157" s="21">
        <f>EXP(-LN(2)/2)*JT156+(1-EXP(-LN(2)/2))/(LN(2)/2)*JN157*JQ157*VLOOKUP('Données projet'!$B$21,Paramètres!$A$1:$I$89,3,0)*0.475*44/12</f>
        <v>8.5727317278905382</v>
      </c>
      <c r="JU157" s="18">
        <f t="shared" si="262"/>
        <v>144.83498158134773</v>
      </c>
      <c r="JV157" s="74">
        <f>('Scénario référence'!$F$8+'Scénario référence'!$F$9+'Scénario référence'!$B$17+'Scénario référence'!$B$9+'Scénario référence'!$B$10)*70+IF((45+25*(1-EXP(-0.0175*$A157)))&lt;70,'Scénario référence'!$B$16*(45+25*(1-EXP(-0.0175*$A157))),70*'Scénario référence'!$B$16)+IF((32+38*(1-EXP(-0.0175*$A157)))&lt;70,'Scénario référence'!$B$18*(32+38*(1-EXP(-0.0175*$A157))),70*'Scénario référence'!$B$18)</f>
        <v>70</v>
      </c>
      <c r="JW157" s="12">
        <f>IF($A157&gt;30,10,('Scénario référence'!$B$16+'Scénario référence'!$B$17+'Scénario référence'!$B$18+'Scénario référence'!$B$9+'Scénario référence'!$B$10)*$A157*10/30+('Scénario référence'!$F$8+'Scénario référence'!$F$9)*10)</f>
        <v>10</v>
      </c>
      <c r="JX157" s="12" t="e">
        <f>VLOOKUP($A157,'Données projet'!$A$382:$I$402,2,0)</f>
        <v>#N/A</v>
      </c>
      <c r="JY157" s="12" t="e">
        <f>VLOOKUP($A157,'Données projet'!$A$382:$I$402,9,0)</f>
        <v>#N/A</v>
      </c>
      <c r="JZ157" s="12">
        <f t="array" ref="JZ157">INDEX(JY:JY,MIN(IF(ISNUMBER(JY157:JY353),ROW(JY157:JY353),"")))</f>
        <v>0</v>
      </c>
      <c r="KA157" s="12">
        <f>IF('Données projet'!$A$382&gt;35,KA156+JZ157-KI156,IF($A157&lt;'Données projet'!$A$382,$CQ$205^$A157,IF($A157='Données projet'!$A$382,'Données projet'!$B$382,KA156+JZ157-KI156)))</f>
        <v>5.6843418860808015E-13</v>
      </c>
      <c r="KB157" s="17">
        <f>KA157*VLOOKUP('Données projet'!$B$22,Paramètres!$A$1:$I$89,3,0)*VLOOKUP('Données projet'!$B$22,Paramètres!$A$1:$I$89,5,0)</f>
        <v>3.8130565371830017E-13</v>
      </c>
      <c r="KC157" s="13">
        <f t="shared" si="312"/>
        <v>4.9019074112354236E-12</v>
      </c>
      <c r="KD157" s="20">
        <f t="shared" si="263"/>
        <v>9.2015960881277352E-12</v>
      </c>
      <c r="KE157" s="59">
        <f t="shared" si="264"/>
        <v>293.33333333334252</v>
      </c>
      <c r="KF157" s="59">
        <f ca="1">AVERAGE(OFFSET($KE$3,0,0,'Données projet'!$E$22+1,1))-AVERAGE(OFFSET($H$3,0,0,'Données projet'!$E$22+1,1))</f>
        <v>193.91714772848269</v>
      </c>
      <c r="KG157" s="59">
        <f t="shared" si="313"/>
        <v>159.20429420478047</v>
      </c>
      <c r="KH157" s="15">
        <f>IF(ISNA(VLOOKUP($A157,'Données projet'!$A$382:$I$402,3,0)),0,VLOOKUP($A157,'Données projet'!$A$382:$I$402,3,0))</f>
        <v>0</v>
      </c>
      <c r="KI157" s="15">
        <f>IF(ISNA(VLOOKUP($A157,'Données projet'!$A$382:$I$402,4,0)),0,VLOOKUP($A157,'Données projet'!$A$382:$I$402,4,0))</f>
        <v>0</v>
      </c>
      <c r="KJ157" s="16">
        <f>IF(ISNA(VLOOKUP($A157,'Données projet'!$A$382:$I$402,5,0)),0%,VLOOKUP($A157,'Données projet'!$A$382:$I$402,5,0)*VLOOKUP('Données projet'!$B$22,Paramètres!$A$1:$I$89,7,0))</f>
        <v>0</v>
      </c>
      <c r="KK157" s="16">
        <f>IF(ISNA(VLOOKUP($A157,'Données projet'!$A$382:$I$402,6,0)),0%,VLOOKUP($A157,'Données projet'!$A$382:$I$402,6,0)*VLOOKUP('Données projet'!$B$22,Paramètres!$A$1:$I$89,7,0))</f>
        <v>0</v>
      </c>
      <c r="KL157" s="16">
        <f>IF(ISNA(VLOOKUP($A157,'Données projet'!$A$382:$I$402,7,0)),0%,VLOOKUP($A157,'Données projet'!$A$382:$I$402,7,0))</f>
        <v>0</v>
      </c>
      <c r="KM157" s="21">
        <f>EXP(-LN(2)/35)*KM156+(1-EXP(-LN(2)/35))/(LN(2)/35)*KI157*KJ157*VLOOKUP('Données projet'!$B$22,Paramètres!$A$1:$I$89,3,0)*0.475*44/12</f>
        <v>99.080516188099651</v>
      </c>
      <c r="KN157" s="21">
        <f>EXP(-LN(2)/25)*KN156+(1-EXP(-LN(2)/25))/(LN(2)/25)*Calculateur!KI157*Calculateur!KK157*VLOOKUP('Données projet'!$B$22,Paramètres!$A$1:$I$89,3,0)*0.475*44/12</f>
        <v>0</v>
      </c>
      <c r="KO157" s="21">
        <f>EXP(-LN(2)/2)*KO156+(1-EXP(-LN(2)/2))/(LN(2)/2)*KI157*KL157*VLOOKUP('Données projet'!$B$22,Paramètres!$A$1:$I$89,3,0)*0.475*44/12</f>
        <v>0</v>
      </c>
      <c r="KP157" s="22">
        <f t="shared" si="265"/>
        <v>99.080516188099651</v>
      </c>
      <c r="KQ157" s="74">
        <f>('Scénario référence'!$F$8+'Scénario référence'!$F$9+'Scénario référence'!$B$17+'Scénario référence'!$B$9+'Scénario référence'!$B$10)*70+IF((45+25*(1-EXP(-0.0175*$A157)))&lt;70,'Scénario référence'!$B$16*(45+25*(1-EXP(-0.0175*$A157))),70*'Scénario référence'!$B$16)+IF((32+38*(1-EXP(-0.0175*$A157)))&lt;70,'Scénario référence'!$B$18*(32+38*(1-EXP(-0.0175*$A157))),70*'Scénario référence'!$B$18)</f>
        <v>70</v>
      </c>
      <c r="KR157" s="12">
        <f>IF($A157&gt;30,10,('Scénario référence'!$B$16+'Scénario référence'!$B$17+'Scénario référence'!$B$18+'Scénario référence'!$B$9+'Scénario référence'!$B$10)*$A157*10/30+('Scénario référence'!$F$8+'Scénario référence'!$F$9)*10)</f>
        <v>10</v>
      </c>
      <c r="KS157" s="12" t="e">
        <f>VLOOKUP($A157,'Données projet'!$A$408:$I$428,2,0)</f>
        <v>#N/A</v>
      </c>
      <c r="KT157" s="12" t="e">
        <f>VLOOKUP($A157,'Données projet'!$A$408:$I$428,9,0)</f>
        <v>#N/A</v>
      </c>
      <c r="KU157" s="12">
        <f t="array" ref="KU157">INDEX(KT:KT,MIN(IF(ISNUMBER(KT157:KT353),ROW(KT157:KT353),"")))</f>
        <v>0</v>
      </c>
      <c r="KV157" s="12">
        <f>IF('Données projet'!$A$408&gt;35,KV156+KU157-LD156,IF($A157&lt;'Données projet'!$A$408,$CQ$205^$A157,IF($A157='Données projet'!$A$408,'Données projet'!$B$408,KV156+KU157-LD156)))</f>
        <v>-1.1368683772161603E-13</v>
      </c>
      <c r="KW157" s="17">
        <f>KV157*VLOOKUP('Données projet'!$B$23,Paramètres!$A$1:$I$89,3,0)*VLOOKUP('Données projet'!$B$23,Paramètres!$A$1:$I$89,5,0)</f>
        <v>-9.9316821433603781E-14</v>
      </c>
      <c r="KX157" s="13" t="e">
        <f t="shared" si="314"/>
        <v>#NUM!</v>
      </c>
      <c r="KY157" s="14" t="e">
        <f t="shared" si="266"/>
        <v>#NUM!</v>
      </c>
      <c r="KZ157" s="59" t="e">
        <f t="shared" si="267"/>
        <v>#NUM!</v>
      </c>
      <c r="LA157" s="59">
        <f ca="1">AVERAGE(OFFSET($KZ$3,0,0,'Données projet'!$E$23+1,1))-AVERAGE(OFFSET($H$3,0,0,'Données projet'!$E$23+1,1))</f>
        <v>248.33596943633819</v>
      </c>
      <c r="LB157" s="59">
        <f t="shared" si="315"/>
        <v>242.34010522344573</v>
      </c>
      <c r="LC157" s="15">
        <f>IF(ISNA(VLOOKUP($A157,'Données projet'!$A$408:$I$428,3,0)),0,VLOOKUP($A157,'Données projet'!$A$408:$I$428,3,0))</f>
        <v>0</v>
      </c>
      <c r="LD157" s="15">
        <f>IF(ISNA(VLOOKUP($A157,'Données projet'!$A$408:$I$428,4,0)),0,VLOOKUP($A157,'Données projet'!$A$408:$I$428,4,0))</f>
        <v>0</v>
      </c>
      <c r="LE157" s="16">
        <f>IF(ISNA(VLOOKUP($A157,'Données projet'!$A$408:$I$428,5,0)),0%,VLOOKUP($A157,'Données projet'!$A$408:$I$428,5,0)*VLOOKUP('Données projet'!$B$23,Paramètres!$A$1:$I$89,7,0))</f>
        <v>0</v>
      </c>
      <c r="LF157" s="16">
        <f>IF(ISNA(VLOOKUP($A157,'Données projet'!$A$408:$I$428,6,0)),0%,VLOOKUP($A157,'Données projet'!$A$408:$I$428,6,0)*VLOOKUP('Données projet'!$B$23,Paramètres!$A$1:$I$89,7,0))</f>
        <v>0</v>
      </c>
      <c r="LG157" s="16">
        <f>IF(ISNA(VLOOKUP($A157,'Données projet'!$A$408:$I$428,7,0)),0%,VLOOKUP($A157,'Données projet'!$A$408:$I$428,7,0))</f>
        <v>0</v>
      </c>
      <c r="LH157" s="21">
        <f>EXP(-LN(2)/35)*LH156+(1-EXP(-LN(2)/35))/(LN(2)/35)*LD157*LE157*VLOOKUP('Données projet'!$B$23,Paramètres!$A$1:$I$89,3,0)*0.475*44/12</f>
        <v>28.458971679789435</v>
      </c>
      <c r="LI157" s="21">
        <f>EXP(-LN(2)/25)*LI156+(1-EXP(-LN(2)/25))/(LN(2)/25)*Calculateur!LD157*Calculateur!LF157*VLOOKUP('Données projet'!$B$23,Paramètres!$A$1:$I$89,3,0)*0.475*44/12</f>
        <v>2.7986682984268274</v>
      </c>
      <c r="LJ157" s="21">
        <f>EXP(-LN(2)/2)*LJ156+(1-EXP(-LN(2)/2))/(LN(2)/2)*LD157*LG157*VLOOKUP('Données projet'!$B$23,Paramètres!$A$1:$I$89,3,0)*0.475*44/12</f>
        <v>0</v>
      </c>
      <c r="LK157" s="22">
        <f t="shared" si="268"/>
        <v>31.257639978216261</v>
      </c>
      <c r="LL157" s="74">
        <f>('Scénario référence'!$F$8+'Scénario référence'!$F$9+'Scénario référence'!$B$17+'Scénario référence'!$B$9+'Scénario référence'!$B$10)*70+IF((45+25*(1-EXP(-0.0175*$A157)))&lt;70,'Scénario référence'!$B$16*(45+25*(1-EXP(-0.0175*$A157))),70*'Scénario référence'!$B$16)+IF((32+38*(1-EXP(-0.0175*$A157)))&lt;70,'Scénario référence'!$B$18*(32+38*(1-EXP(-0.0175*$A157))),70*'Scénario référence'!$B$18)</f>
        <v>70</v>
      </c>
      <c r="LM157" s="12">
        <f>IF($A157&gt;30,10,('Scénario référence'!$B$16+'Scénario référence'!$B$17+'Scénario référence'!$B$18+'Scénario référence'!$B$9+'Scénario référence'!$B$10)*$A157*10/30+('Scénario référence'!$F$8+'Scénario référence'!$F$9)*10)</f>
        <v>10</v>
      </c>
      <c r="LN157" s="12" t="e">
        <f>VLOOKUP($A157,'Données projet'!$A$434:$I$454,2,0)</f>
        <v>#N/A</v>
      </c>
      <c r="LO157" s="12" t="e">
        <f>VLOOKUP($A157,'Données projet'!$A$434:$I$454,9,0)</f>
        <v>#N/A</v>
      </c>
      <c r="LP157" s="12">
        <f t="array" ref="LP157">INDEX(LO:LO,MIN(IF(ISNUMBER(LO157:LO353),ROW(LO157:LO353),"")))</f>
        <v>1.8717948717948829</v>
      </c>
      <c r="LQ157" s="12">
        <f>IF('Données projet'!$A$434&gt;35,LQ156+LP157-LY156,IF($A157&lt;'Données projet'!$A$434,$CQ$205^$A157,IF($A157='Données projet'!$A$434,'Données projet'!$B$434,LQ156+LP157-LY156)))</f>
        <v>126.81410256410203</v>
      </c>
      <c r="LR157" s="17">
        <f>LQ157*VLOOKUP('Données projet'!$B$24,Paramètres!$A$1:$I$89,3,0)*VLOOKUP('Données projet'!$B$24,Paramètres!$A$1:$I$89,5,0)</f>
        <v>128.58949999999948</v>
      </c>
      <c r="LS157" s="13">
        <f t="shared" si="316"/>
        <v>33.670227547903842</v>
      </c>
      <c r="LT157" s="14">
        <f t="shared" si="269"/>
        <v>282.60235881259825</v>
      </c>
      <c r="LU157" s="59">
        <f t="shared" si="270"/>
        <v>575.93569214593163</v>
      </c>
      <c r="LV157" s="59">
        <f ca="1">AVERAGE(OFFSET($LU$3,0,0,'Données projet'!$E$24+1,1))-AVERAGE(OFFSET($H$3,0,0,'Données projet'!$E$24+1,1))</f>
        <v>260.52627655062872</v>
      </c>
      <c r="LW157" s="59">
        <f t="shared" si="317"/>
        <v>159.20429420478047</v>
      </c>
      <c r="LX157" s="15">
        <f>IF(ISNA(VLOOKUP($A157,'Données projet'!$A$434:$I$454,3,0)),0,VLOOKUP($A157,'Données projet'!$A$434:$I$454,3,0))</f>
        <v>0</v>
      </c>
      <c r="LY157" s="15">
        <f>IF(ISNA(VLOOKUP($A157,'Données projet'!$A$434:$I$454,4,0)),0,VLOOKUP($A157,'Données projet'!$A$434:$I$454,4,0))</f>
        <v>0</v>
      </c>
      <c r="LZ157" s="16">
        <f>IF(ISNA(VLOOKUP($A157,'Données projet'!$A$434:$I$454,5,0)),0%,VLOOKUP($A157,'Données projet'!$A$434:$I$454,5,0)*VLOOKUP('Données projet'!$B$24,Paramètres!$A$1:$I$89,7,0))</f>
        <v>0</v>
      </c>
      <c r="MA157" s="16">
        <f>IF(ISNA(VLOOKUP($A157,'Données projet'!$A$434:$I$454,6,0)),0%,VLOOKUP($A157,'Données projet'!$A$434:$I$454,6,0)*VLOOKUP('Données projet'!$B$24,Paramètres!$A$1:$I$89,7,0))</f>
        <v>0</v>
      </c>
      <c r="MB157" s="16">
        <f>IF(ISNA(VLOOKUP($A157,'Données projet'!$A$434:$I$454,7,0)),0%,VLOOKUP($A157,'Données projet'!$A$434:$I$454,7,0))</f>
        <v>0</v>
      </c>
      <c r="MC157" s="21">
        <f>EXP(-LN(2)/35)*MC156+(1-EXP(-LN(2)/35))/(LN(2)/35)*LY157*LZ157*VLOOKUP('Données projet'!$B$24,Paramètres!$A$1:$I$89,3,0)*0.475*44/12</f>
        <v>116.40916907413229</v>
      </c>
      <c r="MD157" s="21">
        <f>EXP(-LN(2)/25)*MD156+(1-EXP(-LN(2)/25))/(LN(2)/25)*Calculateur!LY157*Calculateur!MA157*VLOOKUP('Données projet'!$B$24,Paramètres!$A$1:$I$89,3,0)*0.475*44/12</f>
        <v>0</v>
      </c>
      <c r="ME157" s="21">
        <f>EXP(-LN(2)/2)*ME156+(1-EXP(-LN(2)/2))/(LN(2)/2)*LY157*MB157*VLOOKUP('Données projet'!$B$24,Paramètres!$A$1:$I$89,3,0)*0.475*44/12</f>
        <v>0</v>
      </c>
      <c r="MF157" s="22">
        <f t="shared" si="271"/>
        <v>116.40916907413229</v>
      </c>
      <c r="MG157" s="74">
        <f>('Scénario référence'!$F$8+'Scénario référence'!$F$9+'Scénario référence'!$B$17+'Scénario référence'!$B$9+'Scénario référence'!$B$10)*70+IF((45+25*(1-EXP(-0.0175*$A157)))&lt;70,'Scénario référence'!$B$16*(45+25*(1-EXP(-0.0175*$A157))),70*'Scénario référence'!$B$16)+IF((32+38*(1-EXP(-0.0175*$A157)))&lt;70,'Scénario référence'!$B$18*(32+38*(1-EXP(-0.0175*$A157))),70*'Scénario référence'!$B$18)</f>
        <v>70</v>
      </c>
      <c r="MH157" s="12">
        <f>IF($A157&gt;30,10,('Scénario référence'!$B$16+'Scénario référence'!$B$17+'Scénario référence'!$B$18+'Scénario référence'!$B$9+'Scénario référence'!$B$10)*$A157*10/30+('Scénario référence'!$F$8+'Scénario référence'!$F$9)*10)</f>
        <v>10</v>
      </c>
      <c r="MI157" s="12" t="e">
        <f>VLOOKUP($A157,'Données projet'!$A$460:$I$480,2,0)</f>
        <v>#N/A</v>
      </c>
      <c r="MJ157" s="12" t="e">
        <f>VLOOKUP($A157,'Données projet'!$A$460:$I$480,9,0)</f>
        <v>#N/A</v>
      </c>
      <c r="MK157" s="12">
        <f t="array" ref="MK157">INDEX(MJ:MJ,MIN(IF(ISNUMBER(MJ157:MJ353),ROW(MJ157:MJ353),"")))</f>
        <v>0</v>
      </c>
      <c r="ML157" s="12">
        <f>IF('Données projet'!$A$460&gt;35,ML156+MK157-MT156,IF($A157&lt;'Données projet'!$A$460,$CQ$205^$A157,IF($A157='Données projet'!$A$460,'Données projet'!$B$460,ML156+MK157-MT156)))</f>
        <v>0</v>
      </c>
      <c r="MM157" s="17" t="e">
        <f>ML157*VLOOKUP('Données projet'!$B$25,Paramètres!$A$1:$I$89,3,0)*VLOOKUP('Données projet'!$B$25,Paramètres!$A$1:$I$89,5,0)</f>
        <v>#N/A</v>
      </c>
      <c r="MN157" s="13" t="e">
        <f t="shared" si="318"/>
        <v>#N/A</v>
      </c>
      <c r="MO157" s="14" t="e">
        <f t="shared" si="272"/>
        <v>#N/A</v>
      </c>
      <c r="MP157" s="59" t="e">
        <f t="shared" si="273"/>
        <v>#N/A</v>
      </c>
      <c r="MQ157" s="20" t="e">
        <f ca="1">AVERAGE(OFFSET($MP$3,0,0,'Données projet'!$E$25+1,1))-AVERAGE(OFFSET($H$3,0,0,'Données projet'!$E$25+1,1))</f>
        <v>#N/A</v>
      </c>
      <c r="MR157" s="59" t="e">
        <f t="shared" si="319"/>
        <v>#N/A</v>
      </c>
      <c r="MS157" s="15">
        <f>IF(ISNA(VLOOKUP($A157,'Données projet'!$A$460:$I$480,3,0)),0,VLOOKUP($A157,'Données projet'!$A$460:$I$480,3,0))</f>
        <v>0</v>
      </c>
      <c r="MT157" s="15">
        <f>IF(ISNA(VLOOKUP($A157,'Données projet'!$A$460:$I$480,4,0)),0,VLOOKUP($A157,'Données projet'!$A$460:$I$480,4,0))</f>
        <v>0</v>
      </c>
      <c r="MU157" s="16">
        <f>IF(ISNA(VLOOKUP($A157,'Données projet'!$A$460:$I$480,5,0)),0%,VLOOKUP($A157,'Données projet'!$A$460:$I$480,5,0)*VLOOKUP('Données projet'!$B$25,Paramètres!$A$1:$I$89,7,0))</f>
        <v>0</v>
      </c>
      <c r="MV157" s="16">
        <f>IF(ISNA(VLOOKUP($A157,'Données projet'!$A$460:$I$480,6,0)),0%,VLOOKUP($A157,'Données projet'!$A$460:$I$480,6,0)*VLOOKUP('Données projet'!$B$25,Paramètres!$A$1:$I$89,7,0))</f>
        <v>0</v>
      </c>
      <c r="MW157" s="16">
        <f>IF(ISNA(VLOOKUP($A157,'Données projet'!$A$460:$I$480,7,0)),0%,VLOOKUP($A157,'Données projet'!$A$460:$I$480,7,0))</f>
        <v>0</v>
      </c>
      <c r="MX157" s="21" t="e">
        <f>EXP(-LN(2)/35)*MX156+(1-EXP(-LN(2)/35))/(LN(2)/35)*MT157*MU157*VLOOKUP('Données projet'!$B$25,Paramètres!$A$1:$I$89,3,0)*0.475*44/12</f>
        <v>#N/A</v>
      </c>
      <c r="MY157" s="21" t="e">
        <f>EXP(-LN(2)/25)*MY156+(1-EXP(-LN(2)/25))/(LN(2)/25)*Calculateur!MT157*Calculateur!MV157*VLOOKUP('Données projet'!$B$25,Paramètres!$A$1:$I$89,3,0)*0.475*44/12</f>
        <v>#N/A</v>
      </c>
      <c r="MZ157" s="21" t="e">
        <f>EXP(-LN(2)/2)*MZ156+(1-EXP(-LN(2)/2))/(LN(2)/2)*MT157*MW157*VLOOKUP('Données projet'!$B$25,Paramètres!$A$1:$I$89,3,0)*0.475*44/12</f>
        <v>#N/A</v>
      </c>
      <c r="NA157" s="22" t="e">
        <f t="shared" si="274"/>
        <v>#N/A</v>
      </c>
      <c r="NB157" s="74">
        <f>('Scénario référence'!$F$8+'Scénario référence'!$F$9+'Scénario référence'!$B$17+'Scénario référence'!$B$9+'Scénario référence'!$B$10)*70+IF((45+25*(1-EXP(-0.0175*$A157)))&lt;70,'Scénario référence'!$B$16*(45+25*(1-EXP(-0.0175*$A157))),70*'Scénario référence'!$B$16)+IF((32+38*(1-EXP(-0.0175*$A157)))&lt;70,'Scénario référence'!$B$18*(32+38*(1-EXP(-0.0175*$A157))),70*'Scénario référence'!$B$18)</f>
        <v>70</v>
      </c>
      <c r="NC157" s="12">
        <f>IF($A157&gt;30,10,('Scénario référence'!$B$16+'Scénario référence'!$B$17+'Scénario référence'!$B$18+'Scénario référence'!$B$9+'Scénario référence'!$B$10)*$A157*10/30+('Scénario référence'!$F$8+'Scénario référence'!$F$9)*10)</f>
        <v>10</v>
      </c>
      <c r="ND157" s="12" t="e">
        <f>VLOOKUP($A157,'Données projet'!$A$486:$I$506,2,0)</f>
        <v>#N/A</v>
      </c>
      <c r="NE157" s="12" t="e">
        <f>VLOOKUP($A157,'Données projet'!$A$486:$I$506,9,0)</f>
        <v>#N/A</v>
      </c>
      <c r="NF157" s="12">
        <f t="array" ref="NF157">INDEX(NE:NE,MIN(IF(ISNUMBER(NE157:NE353),ROW(NE157:NE353),"")))</f>
        <v>0</v>
      </c>
      <c r="NG157" s="12">
        <f>IF('Données projet'!$A$486&gt;35,NG156+NF157-NO156,IF($A157&lt;'Données projet'!$A$486,$CQ$205^$A157,IF($A157='Données projet'!$A$486,'Données projet'!$B$486,NG156+NF157-NO156)))</f>
        <v>0</v>
      </c>
      <c r="NH157" s="17" t="e">
        <f>NG157*VLOOKUP('Données projet'!$B$26,Paramètres!$A$1:$I$89,3,0)*VLOOKUP('Données projet'!$B$26,Paramètres!$A$1:$I$89,5,0)</f>
        <v>#N/A</v>
      </c>
      <c r="NI157" s="13" t="e">
        <f t="shared" si="320"/>
        <v>#N/A</v>
      </c>
      <c r="NJ157" s="14" t="e">
        <f t="shared" si="275"/>
        <v>#N/A</v>
      </c>
      <c r="NK157" s="59" t="e">
        <f t="shared" si="276"/>
        <v>#N/A</v>
      </c>
      <c r="NL157" s="20" t="e">
        <f ca="1">AVERAGE(OFFSET($NK$3,0,0,'Données projet'!$E$26+1,1))-AVERAGE(OFFSET($H$3,0,0,'Données projet'!$E$26+1,1))</f>
        <v>#N/A</v>
      </c>
      <c r="NM157" s="59" t="e">
        <f t="shared" si="321"/>
        <v>#N/A</v>
      </c>
      <c r="NN157" s="15">
        <f>IF(ISNA(VLOOKUP($A157,'Données projet'!$A$486:$I$506,3,0)),0,VLOOKUP($A157,'Données projet'!$A$486:$I$506,3,0))</f>
        <v>0</v>
      </c>
      <c r="NO157" s="15">
        <f>IF(ISNA(VLOOKUP($A157,'Données projet'!$A$486:$I$506,4,0)),0,VLOOKUP($A157,'Données projet'!$A$486:$I$506,4,0))</f>
        <v>0</v>
      </c>
      <c r="NP157" s="16">
        <f>IF(ISNA(VLOOKUP($A157,'Données projet'!$A$486:$I$506,5,0)),0%,VLOOKUP($A157,'Données projet'!$A$486:$I$506,5,0)*VLOOKUP('Données projet'!$B$26,Paramètres!$A$1:$I$89,7,0))</f>
        <v>0</v>
      </c>
      <c r="NQ157" s="16">
        <f>IF(ISNA(VLOOKUP($A157,'Données projet'!$A$486:$I$506,6,0)),0%,VLOOKUP($A157,'Données projet'!$A$486:$I$506,6,0)*VLOOKUP('Données projet'!$B$26,Paramètres!$A$1:$I$89,7,0))</f>
        <v>0</v>
      </c>
      <c r="NR157" s="16">
        <f>IF(ISNA(VLOOKUP($A157,'Données projet'!$A$486:$I$506,7,0)),0%,VLOOKUP($A157,'Données projet'!$A$486:$I$506,7,0))</f>
        <v>0</v>
      </c>
      <c r="NS157" s="21" t="e">
        <f>EXP(-LN(2)/35)*NS156+(1-EXP(-LN(2)/35))/(LN(2)/35)*NO157*NP157*VLOOKUP('Données projet'!$B$26,Paramètres!$A$1:$I$89,3,0)*0.475*44/12</f>
        <v>#N/A</v>
      </c>
      <c r="NT157" s="21" t="e">
        <f>EXP(-LN(2)/25)*NT156+(1-EXP(-LN(2)/25))/(LN(2)/25)*Calculateur!NO157*Calculateur!NQ157*VLOOKUP('Données projet'!$B$26,Paramètres!$A$1:$I$89,3,0)*0.475*44/12</f>
        <v>#N/A</v>
      </c>
      <c r="NU157" s="21" t="e">
        <f>EXP(-LN(2)/2)*NU156+(1-EXP(-LN(2)/2))/(LN(2)/2)*NO157*NR157*VLOOKUP('Données projet'!$B$26,Paramètres!$A$1:$I$89,3,0)*0.475*44/12</f>
        <v>#N/A</v>
      </c>
      <c r="NV157" s="22" t="e">
        <f t="shared" si="277"/>
        <v>#N/A</v>
      </c>
      <c r="NW157" s="74">
        <f>('Scénario référence'!$F$8+'Scénario référence'!$F$9+'Scénario référence'!$B$17+'Scénario référence'!$B$9+'Scénario référence'!$B$10)*70+IF((45+25*(1-EXP(-0.0175*$A157)))&lt;70,'Scénario référence'!$B$16*(45+25*(1-EXP(-0.0175*$A157))),70*'Scénario référence'!$B$16)+IF((32+38*(1-EXP(-0.0175*$A157)))&lt;70,'Scénario référence'!$B$18*(32+38*(1-EXP(-0.0175*$A157))),70*'Scénario référence'!$B$18)</f>
        <v>70</v>
      </c>
      <c r="NX157" s="12">
        <f>IF($A157&gt;30,10,('Scénario référence'!$B$16+'Scénario référence'!$B$17+'Scénario référence'!$B$18+'Scénario référence'!$B$9+'Scénario référence'!$B$10)*$A157*10/30+('Scénario référence'!$F$8+'Scénario référence'!$F$9)*10)</f>
        <v>10</v>
      </c>
      <c r="NY157" s="12" t="e">
        <f>VLOOKUP($A157,'Données projet'!$A$512:$I$532,2,0)</f>
        <v>#N/A</v>
      </c>
      <c r="NZ157" s="12" t="e">
        <f>VLOOKUP($A157,'Données projet'!$A$512:$I$532,9,0)</f>
        <v>#N/A</v>
      </c>
      <c r="OA157" s="12">
        <f t="array" ref="OA157">INDEX(NZ:NZ,MIN(IF(ISNUMBER(NZ157:NZ353),ROW(NZ157:NZ353),"")))</f>
        <v>0</v>
      </c>
      <c r="OB157" s="12">
        <f>IF('Données projet'!$A$512&gt;35,OB156+OA157-OJ156,IF($A157&lt;'Données projet'!$A$512,$CQ$205^$A157,IF($A157='Données projet'!$A$512,'Données projet'!$B$512,OB156+OA157-OJ156)))</f>
        <v>0</v>
      </c>
      <c r="OC157" s="17" t="e">
        <f>OB157*VLOOKUP('Données projet'!$B$27,Paramètres!$A$1:$I$89,3,0)*VLOOKUP('Données projet'!$B$27,Paramètres!$A$1:$I$89,5,0)</f>
        <v>#N/A</v>
      </c>
      <c r="OD157" s="13" t="e">
        <f t="shared" si="322"/>
        <v>#N/A</v>
      </c>
      <c r="OE157" s="14" t="e">
        <f t="shared" si="278"/>
        <v>#N/A</v>
      </c>
      <c r="OF157" s="59" t="e">
        <f t="shared" si="279"/>
        <v>#N/A</v>
      </c>
      <c r="OG157" s="20" t="e">
        <f ca="1">AVERAGE(OFFSET($OF$3,0,0,'Données projet'!$E$27+1,1))-AVERAGE(OFFSET($H$3,0,0,'Données projet'!$E$27+1,1))</f>
        <v>#N/A</v>
      </c>
      <c r="OH157" s="59" t="e">
        <f t="shared" si="323"/>
        <v>#N/A</v>
      </c>
      <c r="OI157" s="15">
        <f>IF(ISNA(VLOOKUP($A157,'Données projet'!$A$512:$I$532,3,0)),0,VLOOKUP($A157,'Données projet'!$A$512:$I$532,3,0))</f>
        <v>0</v>
      </c>
      <c r="OJ157" s="15">
        <f>IF(ISNA(VLOOKUP($A157,'Données projet'!$A$512:$I$532,4,0)),0,VLOOKUP($A157,'Données projet'!$A$512:$I$532,4,0))</f>
        <v>0</v>
      </c>
      <c r="OK157" s="16">
        <f>IF(ISNA(VLOOKUP($A157,'Données projet'!$A$512:$I$532,5,0)),0%,VLOOKUP($A157,'Données projet'!$A$512:$I$532,5,0)*VLOOKUP('Données projet'!$B$27,Paramètres!$A$1:$I$89,7,0))</f>
        <v>0</v>
      </c>
      <c r="OL157" s="16">
        <f>IF(ISNA(VLOOKUP($A157,'Données projet'!$A$512:$I$532,6,0)),0%,VLOOKUP($A157,'Données projet'!$A$512:$I$532,6,0)*VLOOKUP('Données projet'!$B$27,Paramètres!$A$1:$I$89,7,0))</f>
        <v>0</v>
      </c>
      <c r="OM157" s="16">
        <f>IF(ISNA(VLOOKUP($A157,'Données projet'!$A$512:$I$532,7,0)),0%,VLOOKUP($A157,'Données projet'!$A$512:$I$532,7,0))</f>
        <v>0</v>
      </c>
      <c r="ON157" s="21" t="e">
        <f>EXP(-LN(2)/35)*ON156+(1-EXP(-LN(2)/35))/(LN(2)/35)*OJ157*OK157*VLOOKUP('Données projet'!$B$27,Paramètres!$A$1:$I$89,3,0)*0.475*44/12</f>
        <v>#N/A</v>
      </c>
      <c r="OO157" s="21" t="e">
        <f>EXP(-LN(2)/25)*OO156+(1-EXP(-LN(2)/25))/(LN(2)/25)*Calculateur!OJ157*Calculateur!OL157*VLOOKUP('Données projet'!$B$27,Paramètres!$A$1:$I$89,3,0)*0.475*44/12</f>
        <v>#N/A</v>
      </c>
      <c r="OP157" s="21" t="e">
        <f>EXP(-LN(2)/2)*OP156+(1-EXP(-LN(2)/2))/(LN(2)/2)*OJ157*OM157*VLOOKUP('Données projet'!$B$27,Paramètres!$A$1:$I$89,3,0)*0.475*44/12</f>
        <v>#N/A</v>
      </c>
      <c r="OQ157" s="22" t="e">
        <f t="shared" si="280"/>
        <v>#N/A</v>
      </c>
      <c r="OR157" s="74">
        <f>('Scénario référence'!$F$8+'Scénario référence'!$F$9+'Scénario référence'!$B$17+'Scénario référence'!$B$9+'Scénario référence'!$B$10)*70+IF((45+25*(1-EXP(-0.0175*$A157)))&lt;70,'Scénario référence'!$B$16*(45+25*(1-EXP(-0.0175*$A157))),70*'Scénario référence'!$B$16)+IF((32+38*(1-EXP(-0.0175*$A157)))&lt;70,'Scénario référence'!$B$18*(32+38*(1-EXP(-0.0175*$A157))),70*'Scénario référence'!$B$18)</f>
        <v>70</v>
      </c>
      <c r="OS157" s="12">
        <f>IF($A157&gt;30,10,('Scénario référence'!$B$16+'Scénario référence'!$B$17+'Scénario référence'!$B$18+'Scénario référence'!$B$9+'Scénario référence'!$B$10)*$A157*10/30+('Scénario référence'!$F$8+'Scénario référence'!$F$9)*10)</f>
        <v>10</v>
      </c>
      <c r="OT157" s="12" t="e">
        <f>VLOOKUP($A157,'Données projet'!$A$538:$I$558,2,0)</f>
        <v>#N/A</v>
      </c>
      <c r="OU157" s="12" t="e">
        <f>VLOOKUP($A157,'Données projet'!$A$538:$I$558,9,0)</f>
        <v>#N/A</v>
      </c>
      <c r="OV157" s="12">
        <f t="array" ref="OV157">INDEX(OU:OU,MIN(IF(ISNUMBER(OU157:OU353),ROW(OU157:OU353),"")))</f>
        <v>0</v>
      </c>
      <c r="OW157" s="12">
        <f>IF('Données projet'!$A$538&gt;35,OW156+OV157-PE156,IF($A157&lt;'Données projet'!$A$538,$CQ$205^$A157,IF($A157='Données projet'!$A$538,'Données projet'!$B$538,OW156+OV157-PE156)))</f>
        <v>0</v>
      </c>
      <c r="OX157" s="17" t="e">
        <f>OW157*VLOOKUP('Données projet'!$B$28,Paramètres!$A$1:$I$89,3,0)*VLOOKUP('Données projet'!$B$28,Paramètres!$A$1:$I$89,5,0)</f>
        <v>#N/A</v>
      </c>
      <c r="OY157" s="13" t="e">
        <f t="shared" si="324"/>
        <v>#N/A</v>
      </c>
      <c r="OZ157" s="14" t="e">
        <f t="shared" si="281"/>
        <v>#N/A</v>
      </c>
      <c r="PA157" s="59" t="e">
        <f t="shared" si="282"/>
        <v>#N/A</v>
      </c>
      <c r="PB157" s="20" t="e">
        <f ca="1">AVERAGE(OFFSET($PA$3,0,0,'Données projet'!$E$28+1,1))-AVERAGE(OFFSET($H$3,0,0,'Données projet'!$E$28+1,1))</f>
        <v>#N/A</v>
      </c>
      <c r="PC157" s="59" t="e">
        <f t="shared" si="325"/>
        <v>#N/A</v>
      </c>
      <c r="PD157" s="15">
        <f>IF(ISNA(VLOOKUP($A157,'Données projet'!$A$538:$I$558,3,0)),0,VLOOKUP($A157,'Données projet'!$A$538:$I$558,3,0))</f>
        <v>0</v>
      </c>
      <c r="PE157" s="15">
        <f>IF(ISNA(VLOOKUP($A157,'Données projet'!$A$538:$I$558,4,0)),0,VLOOKUP($A157,'Données projet'!$A$538:$I$558,4,0))</f>
        <v>0</v>
      </c>
      <c r="PF157" s="16">
        <f>IF(ISNA(VLOOKUP($A157,'Données projet'!$A$538:$I$558,5,0)),0%,VLOOKUP($A157,'Données projet'!$A$538:$I$558,5,0)*VLOOKUP('Données projet'!$B$28,Paramètres!$A$1:$I$89,7,0))</f>
        <v>0</v>
      </c>
      <c r="PG157" s="16">
        <f>IF(ISNA(VLOOKUP($A157,'Données projet'!$A$538:$I$558,6,0)),0%,VLOOKUP($A157,'Données projet'!$A$538:$I$558,6,0)*VLOOKUP('Données projet'!$B$28,Paramètres!$A$1:$I$89,7,0))</f>
        <v>0</v>
      </c>
      <c r="PH157" s="16">
        <f>IF(ISNA(VLOOKUP($A157,'Données projet'!$A$538:$I$558,7,0)),0%,VLOOKUP($A157,'Données projet'!$A$538:$I$558,7,0))</f>
        <v>0</v>
      </c>
      <c r="PI157" s="21" t="e">
        <f>EXP(-LN(2)/35)*PI156+(1-EXP(-LN(2)/35))/(LN(2)/35)*PE157*PF157*VLOOKUP('Données projet'!$B$28,Paramètres!$A$1:$I$89,3,0)*0.475*44/12</f>
        <v>#N/A</v>
      </c>
      <c r="PJ157" s="21" t="e">
        <f>EXP(-LN(2)/25)*PJ156+(1-EXP(-LN(2)/25))/(LN(2)/25)*Calculateur!PE157*Calculateur!PG157*VLOOKUP('Données projet'!$B$28,Paramètres!$A$1:$I$89,3,0)*0.475*44/12</f>
        <v>#N/A</v>
      </c>
      <c r="PK157" s="21" t="e">
        <f>EXP(-LN(2)/2)*PK156+(1-EXP(-LN(2)/2))/(LN(2)/2)*PE157*PH157*VLOOKUP('Données projet'!$B$28,Paramètres!$A$1:$I$89,3,0)*0.475*44/12</f>
        <v>#N/A</v>
      </c>
      <c r="PL157" s="22" t="e">
        <f t="shared" si="283"/>
        <v>#N/A</v>
      </c>
    </row>
    <row r="158" spans="1:428" x14ac:dyDescent="0.35">
      <c r="A158" s="10">
        <f t="shared" si="326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285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225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projet'!$A$45:$I$65,2,0)</f>
        <v>#N/A</v>
      </c>
      <c r="L158" s="12" t="e">
        <f>VLOOKUP(A158,'Données projet'!$A$45:$I$65,9,0)</f>
        <v>#N/A</v>
      </c>
      <c r="M158" s="12">
        <f t="array" ref="M158">INDEX(L:L,MIN(IF(ISNUMBER(L158:L354),ROW(L158:L354),"")))</f>
        <v>0</v>
      </c>
      <c r="N158" s="13">
        <f>IF('Données projet'!$A$46&gt;35,N157+M158-V157,IF(A158&lt;'Données projet'!$A$46,$K$205^A158,IF(A158='Données projet'!$A$46,'Données projet'!$B$46,N157+M158-V157)))</f>
        <v>-1.1368683772161603E-13</v>
      </c>
      <c r="O158" s="13">
        <f>N158*VLOOKUP('Données projet'!$B$9,Paramètres!$A$1:$I$89,3,0)*VLOOKUP('Données projet'!$B$9,Paramètres!$A$1:$I$89,5,0)</f>
        <v>-6.3550942286383367E-14</v>
      </c>
      <c r="P158" s="13" t="e">
        <f t="shared" si="286"/>
        <v>#NUM!</v>
      </c>
      <c r="Q158" s="20" t="e">
        <f t="shared" si="327"/>
        <v>#NUM!</v>
      </c>
      <c r="R158" s="59" t="e">
        <f t="shared" si="224"/>
        <v>#NUM!</v>
      </c>
      <c r="S158" s="59">
        <f ca="1">AVERAGE(OFFSET($R$3,0,0,'Données projet'!$E$9+1,1))-AVERAGE(OFFSET($H$3,0,0,'Données projet'!$E$9+1,1))</f>
        <v>274.57619581652199</v>
      </c>
      <c r="T158" s="59">
        <f t="shared" si="287"/>
        <v>366.15117322598775</v>
      </c>
      <c r="U158" s="15">
        <f>IF(ISNA(VLOOKUP(A158,'Données projet'!$A$45:$I$65,3,0)),0,VLOOKUP(A158,'Données projet'!$A$45:$I$65,3,0))</f>
        <v>0</v>
      </c>
      <c r="V158" s="15">
        <f>IF(ISNA(VLOOKUP(A158,'Données projet'!$A$45:$I$65,4,0)),0,VLOOKUP(A158,'Données projet'!$A$45:$I$65,4,0))</f>
        <v>0</v>
      </c>
      <c r="W158" s="16">
        <f>IF(ISNA(VLOOKUP(A158,'Données projet'!$A$45:$I$65,5,0)),0%,VLOOKUP(A158,'Données projet'!$A$45:$I$65,5,0)*VLOOKUP('Données projet'!$B$9,Paramètres!$A$1:$I$89,7,0))</f>
        <v>0</v>
      </c>
      <c r="X158" s="16">
        <f>IF(ISNA(VLOOKUP(A158,'Données projet'!$A$45:$I$65,6,0)),0%,VLOOKUP(A158,'Données projet'!$A$45:$I$65,6,0)*VLOOKUP('Données projet'!$B$9,Paramètres!$A$1:$I$89,7,0))</f>
        <v>0</v>
      </c>
      <c r="Y158" s="16">
        <f>IF(ISNA(VLOOKUP(A158,'Données projet'!$A$45:$I$65,7,0)),0%,VLOOKUP(A158,'Données projet'!$A$45:$I$65,7,0))</f>
        <v>0</v>
      </c>
      <c r="Z158" s="21">
        <f>EXP(-LN(2)/35)*Z157+(1-EXP(-LN(2)/35))/(LN(2)/35)*V158*W158*VLOOKUP('Données projet'!$B$9,Paramètres!$A$1:$I$89,3,0)*0.475*44/12</f>
        <v>31.281213424346671</v>
      </c>
      <c r="AA158" s="21">
        <f>EXP(-LN(2)/25)*AA157+(1-EXP(-LN(2)/25))/(LN(2)/25)*Calculateur!V158*Calculateur!X158*VLOOKUP('Données projet'!$B$9,Paramètres!$A$1:$I$89,3,0)*0.475*44/12</f>
        <v>3.600480024264999</v>
      </c>
      <c r="AB158" s="21">
        <f>EXP(-LN(2)/2)*AB157+(1-EXP(-LN(2)/2))/(LN(2)/2)*V158*Y158*VLOOKUP('Données projet'!$B$9,Paramètres!$A$1:$I$89,3,0)*0.475*44/12</f>
        <v>3.0341333005268177E-14</v>
      </c>
      <c r="AC158" s="22">
        <f t="shared" si="328"/>
        <v>34.881693448611699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projet'!$A$71:$I$91,2,0)</f>
        <v>#N/A</v>
      </c>
      <c r="AG158" s="12" t="e">
        <f>VLOOKUP(A158,'Données projet'!$A$71:$I$91,9,0)</f>
        <v>#N/A</v>
      </c>
      <c r="AH158" s="12">
        <f t="array" ref="AH158">INDEX(AG:AG,MIN(IF(ISNUMBER(AG158:AG354),ROW(AG158:AG354),"")))</f>
        <v>0</v>
      </c>
      <c r="AI158" s="13">
        <f>IF('Données projet'!$A$72&gt;35,AI157+AH158-AQ157,IF(A158&lt;'Données projet'!$A$72,$AF$205^A158,IF(A158='Données projet'!$A$72,'Données projet'!$B$72,AI157+AH158-AQ157)))</f>
        <v>5.6843418860808015E-13</v>
      </c>
      <c r="AJ158" s="13">
        <f>AI158*VLOOKUP('Données projet'!$B$10,Paramètres!$A$1:$I$89,3,0)*VLOOKUP('Données projet'!$B$10,Paramètres!$A$1:$I$89,5,0)</f>
        <v>5.1431925385259092E-13</v>
      </c>
      <c r="AK158" s="13">
        <f t="shared" si="329"/>
        <v>6.3855359115685756E-12</v>
      </c>
      <c r="AL158" s="20">
        <f t="shared" si="330"/>
        <v>1.2017247746441865E-11</v>
      </c>
      <c r="AM158" s="59">
        <f t="shared" si="228"/>
        <v>293.33333333334531</v>
      </c>
      <c r="AN158" s="59">
        <f ca="1">AVERAGE(OFFSET($AM$3,0,0,'Données projet'!$E$10+1,1))-AVERAGE(OFFSET($H$3,0,0,'Données projet'!$E$10+1,1))</f>
        <v>270.87836509222456</v>
      </c>
      <c r="AO158" s="59">
        <f t="shared" si="289"/>
        <v>205.24998237949734</v>
      </c>
      <c r="AP158" s="15">
        <f>IF(ISNA(VLOOKUP(A158,'Données projet'!$A$71:$I$91,3,0)),0,VLOOKUP(A158,'Données projet'!$A$71:$I$91,3,0))</f>
        <v>0</v>
      </c>
      <c r="AQ158" s="15">
        <f>IF(ISNA(VLOOKUP(A158,'Données projet'!$A$71:$I$91,4,0)),0,VLOOKUP(A158,'Données projet'!$A$71:$I$91,4,0))</f>
        <v>0</v>
      </c>
      <c r="AR158" s="16">
        <f>IF(ISNA(VLOOKUP(A158,'Données projet'!$A$71:$I$91,5,0)),0%,VLOOKUP(A158,'Données projet'!$A$71:$I$91,5,0)*VLOOKUP('Données projet'!$B$10,Paramètres!$A$1:$I$89,7,0))</f>
        <v>0</v>
      </c>
      <c r="AS158" s="16">
        <f>IF(ISNA(VLOOKUP(A158,'Données projet'!$A$71:$I$91,6,0)),0%,VLOOKUP(A158,'Données projet'!$A$71:$I$91,6,0)*VLOOKUP('Données projet'!$B$10,Paramètres!$A$1:$I$89,7,0))</f>
        <v>0</v>
      </c>
      <c r="AT158" s="16">
        <f>IF(ISNA(VLOOKUP(A158,'Données projet'!$A$71:$I$91,7,0)),0%,VLOOKUP(A158,'Données projet'!$A$71:$I$91,7,0))</f>
        <v>0</v>
      </c>
      <c r="AU158" s="21">
        <f>EXP(-LN(2)/35)*AU157+(1-EXP(-LN(2)/35))/(LN(2)/35)*AQ158*AR158*VLOOKUP('Données projet'!$B$10,Paramètres!$A$1:$I$89,3,0)*0.475*44/12</f>
        <v>106.30153295340226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331"/>
        <v>106.30153295340226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projet'!$A$97:$I$117,2,0)</f>
        <v>#N/A</v>
      </c>
      <c r="BB158" s="12" t="e">
        <f>VLOOKUP(A158,'Données projet'!$A$97:$I$117,9,0)</f>
        <v>#N/A</v>
      </c>
      <c r="BC158" s="12">
        <f t="array" ref="BC158">INDEX(BB:BB,MIN(IF(ISNUMBER(BB158:BB354),ROW(BB158:BB354),"")))</f>
        <v>0</v>
      </c>
      <c r="BD158" s="12">
        <f>IF('Données projet'!$A$98&gt;35,BD157+BC158-BL157,IF(A158&lt;'Données projet'!$A$98,$BA$205^A158,IF(A158='Données projet'!$A$98,'Données projet'!$B$98,BD157+BC158-BL157)))</f>
        <v>-1.1368683772161603E-13</v>
      </c>
      <c r="BE158" s="13">
        <f>BD158*VLOOKUP('Données projet'!$B$11,Paramètres!$A$1:$I$89,3,0)*VLOOKUP('Données projet'!$B$11,Paramètres!$A$1:$I$89,5,0)</f>
        <v>-5.0249582272954292E-14</v>
      </c>
      <c r="BF158" s="13" t="e">
        <f t="shared" si="332"/>
        <v>#NUM!</v>
      </c>
      <c r="BG158" s="20" t="e">
        <f t="shared" si="333"/>
        <v>#NUM!</v>
      </c>
      <c r="BH158" s="59" t="e">
        <f t="shared" si="231"/>
        <v>#NUM!</v>
      </c>
      <c r="BI158" s="59">
        <f ca="1">AVERAGE(OFFSET($BH$3,0,0,'Données projet'!$E$11+1,1))-AVERAGE(OFFSET($H$3,0,0,'Données projet'!$E$11+1,1))</f>
        <v>211.31057120485542</v>
      </c>
      <c r="BJ158" s="59">
        <f t="shared" si="291"/>
        <v>283.33292006714777</v>
      </c>
      <c r="BK158" s="15">
        <f>IF(ISNA(VLOOKUP(A158,'Données projet'!$A$97:$I$117,3,0)),0,VLOOKUP(A158,'Données projet'!$A$97:$I$117,3,0))</f>
        <v>0</v>
      </c>
      <c r="BL158" s="15">
        <f>IF(ISNA(VLOOKUP(A158,'Données projet'!$A$97:$I$117,4,0)),0,VLOOKUP(A158,'Données projet'!$A$97:$I$117,4,0))</f>
        <v>0</v>
      </c>
      <c r="BM158" s="16">
        <f>IF(ISNA(VLOOKUP(A158,'Données projet'!$A$97:$I$117,5,0)),0%,VLOOKUP(A158,'Données projet'!$A$97:$I$117,5,0)*VLOOKUP('Données projet'!$B$11,Paramètres!$A$1:$I$89,7,0))</f>
        <v>0</v>
      </c>
      <c r="BN158" s="16">
        <f>IF(ISNA(VLOOKUP(A158,'Données projet'!$A$97:$I$117,6,0)),0%,VLOOKUP(A158,'Données projet'!$A$97:$I$117,6,0)*VLOOKUP('Données projet'!$B$11,Paramètres!$A$1:$I$89,7,0))</f>
        <v>0</v>
      </c>
      <c r="BO158" s="16">
        <f>IF(ISNA(VLOOKUP(A158,'Données projet'!$A$97:$I$117,7,0)),0%,VLOOKUP(A158,'Données projet'!$A$97:$I$117,7,0))</f>
        <v>0</v>
      </c>
      <c r="BP158" s="21">
        <f>EXP(-LN(2)/35)*BP157+(1-EXP(-LN(2)/35))/(LN(2)/35)*BL158*BM158*VLOOKUP('Données projet'!$B$11,Paramètres!$A$1:$I$89,3,0)*0.475*44/12</f>
        <v>24.733982707622967</v>
      </c>
      <c r="BQ158" s="21">
        <f>EXP(-LN(2)/25)*BQ157+(1-EXP(-LN(2)/25))/(LN(2)/25)*Calculateur!BL158*Calculateur!BN158*VLOOKUP('Données projet'!$B$11,Paramètres!$A$1:$I$89,3,0)*0.475*44/12</f>
        <v>2.8468911819769742</v>
      </c>
      <c r="BR158" s="21">
        <f>EXP(-LN(2)/2)*BR157+(1-EXP(-LN(2)/2))/(LN(2)/2)*BL158*BO158*VLOOKUP('Données projet'!$B$11,Paramètres!$A$1:$I$89,3,0)*0.475*44/12</f>
        <v>2.3990821446025996E-14</v>
      </c>
      <c r="BS158" s="22">
        <f t="shared" si="334"/>
        <v>27.580873889599967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projet'!$A$123:$I$143,2,0)</f>
        <v>#N/A</v>
      </c>
      <c r="BW158" s="12" t="e">
        <f>VLOOKUP(A158,'Données projet'!$A$123:$I$143,9,0)</f>
        <v>#N/A</v>
      </c>
      <c r="BX158" s="12">
        <f t="array" ref="BX158">INDEX(BW:BW,MIN(IF(ISNUMBER(BW158:BW354),ROW(BW158:BW354),"")))</f>
        <v>0</v>
      </c>
      <c r="BY158" s="12">
        <f>IF('Données projet'!$A$124&gt;35,BY157+BX158-CG157,IF(A158&lt;'Données projet'!$A$124,$BV$205^A158,IF(A158='Données projet'!$A$124,'Données projet'!$B$124,BY157+BX158-CG157)))</f>
        <v>0</v>
      </c>
      <c r="BZ158" s="13">
        <f>BY158*VLOOKUP('Données projet'!$B$12,Paramètres!$A$1:$I$89,3,0)*VLOOKUP('Données projet'!$B$12,Paramètres!$A$1:$I$89,5,0)</f>
        <v>0</v>
      </c>
      <c r="CA158" s="13" t="e">
        <f t="shared" si="335"/>
        <v>#NUM!</v>
      </c>
      <c r="CB158" s="20" t="e">
        <f t="shared" si="336"/>
        <v>#NUM!</v>
      </c>
      <c r="CC158" s="59" t="e">
        <f t="shared" si="234"/>
        <v>#NUM!</v>
      </c>
      <c r="CD158" s="59">
        <f ca="1">AVERAGE(OFFSET($CC$3,0,0,'Données projet'!$E$12+1,1))-AVERAGE(OFFSET($H$3,0,0,'Données projet'!$E$12+1,1))</f>
        <v>322.93502595881938</v>
      </c>
      <c r="CE158" s="59">
        <f t="shared" si="293"/>
        <v>302.67072119588164</v>
      </c>
      <c r="CF158" s="15">
        <f>IF(ISNA(VLOOKUP(A158,'Données projet'!$A$123:$I$143,3,0)),0,VLOOKUP(A158,'Données projet'!$A$123:$I$143,3,0))</f>
        <v>0</v>
      </c>
      <c r="CG158" s="15">
        <f>IF(ISNA(VLOOKUP(A158,'Données projet'!$A$123:$I$143,4,0)),0,VLOOKUP(A158,'Données projet'!$A$123:$I$143,4,0))</f>
        <v>0</v>
      </c>
      <c r="CH158" s="16">
        <f>IF(ISNA(VLOOKUP(A158,'Données projet'!$A$123:$I$143,5,0)),0%,VLOOKUP(A158,'Données projet'!$A$123:$I$143,5,0)*VLOOKUP('Données projet'!$B$12,Paramètres!$A$1:$I$89,7,0))</f>
        <v>0</v>
      </c>
      <c r="CI158" s="16">
        <f>IF(ISNA(VLOOKUP(A158,'Données projet'!$A$123:$I$143,6,0)),0%,VLOOKUP(A158,'Données projet'!$A$123:$I$143,6,0)*VLOOKUP('Données projet'!$B$12,Paramètres!$A$1:$I$89,7,0))</f>
        <v>0</v>
      </c>
      <c r="CJ158" s="16">
        <f>IF(ISNA(VLOOKUP(A158,'Données projet'!$A$123:$I$143,7,0)),0%,VLOOKUP(A158,'Données projet'!$A$123:$I$143,7,0))</f>
        <v>0</v>
      </c>
      <c r="CK158" s="21">
        <f>EXP(-LN(2)/35)*CK157+(1-EXP(-LN(2)/35))/(LN(2)/35)*CG158*CH158*VLOOKUP('Données projet'!$B$12,Paramètres!$A$1:$I$89,3,0)*0.475*44/12</f>
        <v>39.407211029668147</v>
      </c>
      <c r="CL158" s="21">
        <f>EXP(-LN(2)/25)*CL157+(1-EXP(-LN(2)/25))/(LN(2)/25)*Calculateur!CG158*Calculateur!CI158*VLOOKUP('Données projet'!$B$12,Paramètres!$A$1:$I$89,3,0)*0.475*44/12</f>
        <v>9.1117742624316236</v>
      </c>
      <c r="CM158" s="21">
        <f>EXP(-LN(2)/2)*CM157+(1-EXP(-LN(2)/2))/(LN(2)/2)*CG158*CJ158*VLOOKUP('Données projet'!$B$12,Paramètres!$A$1:$I$89,3,0)*0.475*44/12</f>
        <v>0</v>
      </c>
      <c r="CN158" s="22">
        <f t="shared" si="337"/>
        <v>48.518985292099771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projet'!$A$149:$I$169,2,0)</f>
        <v>#N/A</v>
      </c>
      <c r="CR158" s="12" t="e">
        <f>VLOOKUP(A158,'Données projet'!$A$149:$I$169,9,0)</f>
        <v>#N/A</v>
      </c>
      <c r="CS158" s="12">
        <f t="array" ref="CS158">INDEX(CR:CR,MIN(IF(ISNUMBER(CR158:CR354),ROW(CR158:CR354),"")))</f>
        <v>1.8717948717948829</v>
      </c>
      <c r="CT158" s="12">
        <f>IF('Données projet'!$A$150&gt;35,CT157+CS158-DB157,IF(A158&lt;'Données projet'!$A$150,$CQ$205^A158,IF(A158='Données projet'!$A$150,'Données projet'!$B$150,CT157+CS158-DB157)))</f>
        <v>128.68589743589692</v>
      </c>
      <c r="CU158" s="17">
        <f>CT158*VLOOKUP('Données projet'!$B$13,Paramètres!$A$1:$I$89,3,0)*VLOOKUP('Données projet'!$B$13,Paramètres!$A$1:$I$89,5,0)</f>
        <v>130.4874999999995</v>
      </c>
      <c r="CV158" s="13">
        <f t="shared" si="338"/>
        <v>34.108981718044198</v>
      </c>
      <c r="CW158" s="20">
        <f t="shared" si="339"/>
        <v>286.67220565892609</v>
      </c>
      <c r="CX158" s="59">
        <f t="shared" si="237"/>
        <v>580.0055389922594</v>
      </c>
      <c r="CY158" s="59">
        <f ca="1">AVERAGE(OFFSET($CX$3,0,0,'Données projet'!$E$13+1,1))-AVERAGE(OFFSET($H$3,0,0,'Données projet'!$E$13+1,1))</f>
        <v>250.31277422753283</v>
      </c>
      <c r="CZ158" s="59">
        <f t="shared" si="295"/>
        <v>159.20429420478047</v>
      </c>
      <c r="DA158" s="15">
        <f>IF(ISNA(VLOOKUP(A158,'Données projet'!$A$149:$I$169,3,0)),0,VLOOKUP(A158,'Données projet'!$A$149:$I$169,3,0))</f>
        <v>0</v>
      </c>
      <c r="DB158" s="15">
        <f>IF(ISNA(VLOOKUP(A158,'Données projet'!$A$149:$I$169,4,0)),0,VLOOKUP(A158,'Données projet'!$A$149:$I$169,4,0))</f>
        <v>0</v>
      </c>
      <c r="DC158" s="16">
        <f>IF(ISNA(VLOOKUP(A158,'Données projet'!$A$149:$I$169,5,0)),0%,VLOOKUP(A158,'Données projet'!$A$149:$I$169,5,0)*VLOOKUP('Données projet'!$B$13,Paramètres!$A$1:$I$89,7,0))</f>
        <v>0</v>
      </c>
      <c r="DD158" s="16">
        <f>IF(ISNA(VLOOKUP(A158,'Données projet'!$A$149:$I$169,6,0)),0%,VLOOKUP(A158,'Données projet'!$A$149:$I$169,6,0)*VLOOKUP('Données projet'!$B$13,Paramètres!$A$1:$I$89,7,0))</f>
        <v>0</v>
      </c>
      <c r="DE158" s="16">
        <f>IF(ISNA(VLOOKUP(A158,'Données projet'!$A$149:$I$169,7,0)),0%,VLOOKUP(A158,'Données projet'!$A$149:$I$169,7,0))</f>
        <v>0</v>
      </c>
      <c r="DF158" s="21">
        <f>EXP(-LN(2)/35)*DF157+(1-EXP(-LN(2)/35))/(LN(2)/35)*DB158*DC158*VLOOKUP('Données projet'!$B$13,Paramètres!$A$1:$I$89,3,0)*0.475*44/12</f>
        <v>114.12645627117077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340"/>
        <v>114.12645627117077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projet'!$A$175:$I$195,2,0)</f>
        <v>#N/A</v>
      </c>
      <c r="DM158" s="12" t="e">
        <f>VLOOKUP(A158,'Données projet'!$A$175:$I$195,9,0)</f>
        <v>#N/A</v>
      </c>
      <c r="DN158" s="12">
        <f t="array" ref="DN158">INDEX(DM:DM,MIN(IF(ISNUMBER(DM158:DM354),ROW(DM158:DM354),"")))</f>
        <v>0</v>
      </c>
      <c r="DO158" s="12">
        <f>IF('Données projet'!$A$176&gt;35,DO157+DN158-DW157,IF(A158&lt;'Données projet'!$A$176,$DL$205^A158,IF(A158='Données projet'!$A$176,'Données projet'!$B$176,DO157+DN158-DW157)))</f>
        <v>-2.8421709430404007E-13</v>
      </c>
      <c r="DP158" s="17">
        <f>DO158*VLOOKUP('Données projet'!$B$14,Paramètres!$A$1:$I$89,3,0)*VLOOKUP('Données projet'!$B$14,Paramètres!$A$1:$I$89,5,0)</f>
        <v>-2.0838797354372215E-13</v>
      </c>
      <c r="DQ158" s="13" t="e">
        <f t="shared" si="341"/>
        <v>#NUM!</v>
      </c>
      <c r="DR158" s="20" t="e">
        <f t="shared" si="342"/>
        <v>#NUM!</v>
      </c>
      <c r="DS158" s="59" t="e">
        <f t="shared" si="240"/>
        <v>#NUM!</v>
      </c>
      <c r="DT158" s="59">
        <f ca="1">AVERAGE(OFFSET($DS$3,0,0,'Données projet'!$E$14+1,1))-AVERAGE(OFFSET($H$3,0,0,'Données projet'!$E$14+1,1))</f>
        <v>296.91321813251051</v>
      </c>
      <c r="DU158" s="59">
        <f t="shared" si="297"/>
        <v>291.0718079639509</v>
      </c>
      <c r="DV158" s="15">
        <f>IF(ISNA(VLOOKUP(A158,'Données projet'!$A$175:$I$195,3,0)),0,VLOOKUP(A158,'Données projet'!$A$175:$I$195,3,0))</f>
        <v>0</v>
      </c>
      <c r="DW158" s="15">
        <f>IF(ISNA(VLOOKUP(A158,'Données projet'!$A$175:$I$195,4,0)),0,VLOOKUP(A158,'Données projet'!$A$175:$I$195,4,0))</f>
        <v>0</v>
      </c>
      <c r="DX158" s="16">
        <f>IF(ISNA(VLOOKUP(A158,'Données projet'!$A$175:$I$195,5,0)),0%,VLOOKUP(A158,'Données projet'!$A$175:$I$195,5,0)*VLOOKUP('Données projet'!$B$14,Paramètres!$A$1:$I$89,7,0))</f>
        <v>0</v>
      </c>
      <c r="DY158" s="16">
        <f>IF(ISNA(VLOOKUP(A158,'Données projet'!$A$175:$I$195,6,0)),0%,VLOOKUP(A158,'Données projet'!$A$175:$I$195,6,0)*VLOOKUP('Données projet'!$B$14,Paramètres!$A$1:$I$89,7,0))</f>
        <v>0</v>
      </c>
      <c r="DZ158" s="16">
        <f>IF(ISNA(VLOOKUP(A158,'Données projet'!$A$175:$I$195,7,0)),0%,VLOOKUP(A158,'Données projet'!$A$175:$I$195,7,0))</f>
        <v>0</v>
      </c>
      <c r="EA158" s="21">
        <f>EXP(-LN(2)/35)*EA157+(1-EXP(-LN(2)/35))/(LN(2)/35)*DW158*DX158*VLOOKUP('Données projet'!$B$14,Paramètres!$A$1:$I$89,3,0)*0.475*44/12</f>
        <v>39.276337989431148</v>
      </c>
      <c r="EB158" s="21">
        <f>EXP(-LN(2)/25)*EB157+(1-EXP(-LN(2)/25))/(LN(2)/25)*Calculateur!DW158*Calculateur!DY158*VLOOKUP('Données projet'!$B$14,Paramètres!$A$1:$I$89,3,0)*0.475*44/12</f>
        <v>0.66935920120178272</v>
      </c>
      <c r="EC158" s="21">
        <f>EXP(-LN(2)/2)*EC157+(1-EXP(-LN(2)/2))/(LN(2)/2)*DW158*DZ158*VLOOKUP('Données projet'!$B$14,Paramètres!$A$1:$I$89,3,0)*0.475*44/12</f>
        <v>0</v>
      </c>
      <c r="ED158" s="22">
        <f t="shared" si="343"/>
        <v>39.945697190632934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projet'!$A$201:$I$221,2,0)</f>
        <v>#N/A</v>
      </c>
      <c r="EH158" s="12" t="e">
        <f>VLOOKUP(A158,'Données projet'!$A$201:$I$221,9,0)</f>
        <v>#N/A</v>
      </c>
      <c r="EI158" s="12">
        <f t="array" ref="EI158">INDEX(EH:EH,MIN(IF(ISNUMBER(EH158:EH354),ROW(EH158:EH354),"")))</f>
        <v>0</v>
      </c>
      <c r="EJ158" s="12">
        <f>IF('Données projet'!$A$202&gt;35,EJ157+EI158-ER157,IF(A158&lt;'Données projet'!$A$202,$EG$205^A158,IF(A158='Données projet'!$A$202,'Données projet'!$B$202,EJ157+EI158-ER157)))</f>
        <v>5.1159076974727213E-13</v>
      </c>
      <c r="EK158" s="17">
        <f>EJ158*VLOOKUP('Données projet'!$B$15,Paramètres!$A$1:$I$89,3,0)*VLOOKUP('Données projet'!$B$15,Paramètres!$A$1:$I$89,5,0)</f>
        <v>2.3942448024172334E-13</v>
      </c>
      <c r="EL158" s="13">
        <f t="shared" si="344"/>
        <v>3.2492669905861755E-12</v>
      </c>
      <c r="EM158" s="20">
        <f t="shared" si="345"/>
        <v>6.0761376450252565E-12</v>
      </c>
      <c r="EN158" s="59">
        <f t="shared" si="243"/>
        <v>293.3333333333394</v>
      </c>
      <c r="EO158" s="59">
        <f ca="1">AVERAGE(OFFSET($EN$3,0,0,'Données projet'!$E$15+1,1))-AVERAGE(OFFSET($H$3,0,0,'Données projet'!$E$15+1,1))</f>
        <v>147.64256291235483</v>
      </c>
      <c r="EP158" s="59">
        <f t="shared" si="299"/>
        <v>70.859031694091868</v>
      </c>
      <c r="EQ158" s="15">
        <f>IF(ISNA(VLOOKUP(A158,'Données projet'!$A$201:$I$221,3,0)),0,VLOOKUP(A158,'Données projet'!$A$201:$I$221,3,0))</f>
        <v>0</v>
      </c>
      <c r="ER158" s="15">
        <f>IF(ISNA(VLOOKUP(A158,'Données projet'!$A$201:$I$221,4,0)),0,VLOOKUP(A158,'Données projet'!$A$201:$I$221,4,0))</f>
        <v>0</v>
      </c>
      <c r="ES158" s="16">
        <f>IF(ISNA(VLOOKUP(A158,'Données projet'!$A$201:$I$221,5,0)),0%,VLOOKUP(A158,'Données projet'!$A$201:$I$221,5,0)*VLOOKUP('Données projet'!$B$15,Paramètres!$A$1:$I$89,7,0))</f>
        <v>0</v>
      </c>
      <c r="ET158" s="16">
        <f>IF(ISNA(VLOOKUP(A158,'Données projet'!$A$201:$I$221,6,0)),0%,VLOOKUP(A158,'Données projet'!$A$201:$I$221,6,0)*VLOOKUP('Données projet'!$B$15,Paramètres!$A$1:$I$89,7,0))</f>
        <v>0</v>
      </c>
      <c r="EU158" s="16">
        <f>IF(ISNA(VLOOKUP(A158,'Données projet'!$A$201:$I$221,7,0)),0%,VLOOKUP(A158,'Données projet'!$A$201:$I$221,7,0))</f>
        <v>0</v>
      </c>
      <c r="EV158" s="21">
        <f>EXP(-LN(2)/35)*EV157+(1-EXP(-LN(2)/35))/(LN(2)/35)*ER158*ES158*VLOOKUP('Données projet'!$B$15,Paramètres!$A$1:$I$89,3,0)*0.475*44/12</f>
        <v>53.769925814140571</v>
      </c>
      <c r="EW158" s="21">
        <f>EXP(-LN(2)/25)*EW157+(1-EXP(-LN(2)/25))/(LN(2)/25)*Calculateur!ER158*Calculateur!ET158*VLOOKUP('Données projet'!$B$15,Paramètres!$A$1:$I$89,3,0)*0.475*44/12</f>
        <v>9.286684548677302</v>
      </c>
      <c r="EX158" s="21">
        <f>EXP(-LN(2)/2)*EX157+(1-EXP(-LN(2)/2))/(LN(2)/2)*ER158*EU158*VLOOKUP('Données projet'!$B$15,Paramètres!$A$1:$I$89,3,0)*0.475*44/12</f>
        <v>2.1873342185870837E-6</v>
      </c>
      <c r="EY158" s="22">
        <f t="shared" si="346"/>
        <v>63.056612550152089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projet'!$A$227:$I$247,2,0)</f>
        <v>#N/A</v>
      </c>
      <c r="FC158" s="12" t="e">
        <f>VLOOKUP(A158,'Données projet'!$A$227:$I$247,9,0)</f>
        <v>#N/A</v>
      </c>
      <c r="FD158" s="12">
        <f t="array" ref="FD158">INDEX(FC:FC,MIN(IF(ISNUMBER(FC158:FC354),ROW(FC158:FC354),"")))</f>
        <v>0</v>
      </c>
      <c r="FE158" s="12">
        <f>IF('Données projet'!$A$228&gt;35,FE157+FD158-FM157,IF(A158&lt;'Données projet'!$A$228,$FB$205^A158,IF(A158='Données projet'!$A$228,'Données projet'!$B$228,FE157+FD158-FM157)))</f>
        <v>8.5265128291212022E-14</v>
      </c>
      <c r="FF158" s="17">
        <f>FE158*VLOOKUP('Données projet'!$B$16,Paramètres!$A$1:$I$89,3,0)*VLOOKUP('Données projet'!$B$16,Paramètres!$A$1:$I$89,5,0)</f>
        <v>8.9119112089974823E-14</v>
      </c>
      <c r="FG158" s="13">
        <f t="shared" si="347"/>
        <v>1.3568952080113142E-12</v>
      </c>
      <c r="FH158" s="20">
        <f t="shared" si="348"/>
        <v>2.5184749408430782E-12</v>
      </c>
      <c r="FI158" s="59">
        <f t="shared" si="246"/>
        <v>293.33333333333582</v>
      </c>
      <c r="FJ158" s="59">
        <f ca="1">AVERAGE(OFFSET($FI$3,0,0,'Données projet'!$E$16+1,1))-AVERAGE(OFFSET($H$3,0,0,'Données projet'!$E$16+1,1))</f>
        <v>259.03906550253788</v>
      </c>
      <c r="FK158" s="59">
        <f t="shared" si="301"/>
        <v>235.54542903570831</v>
      </c>
      <c r="FL158" s="15">
        <f>IF(ISNA(VLOOKUP(A158,'Données projet'!$A$227:$I$247,3,0)),0,VLOOKUP(A158,'Données projet'!$A$227:$I$247,3,0))</f>
        <v>0</v>
      </c>
      <c r="FM158" s="15">
        <f>IF(ISNA(VLOOKUP(A158,'Données projet'!$A$227:$I$247,4,0)),0,VLOOKUP(A158,'Données projet'!$A$227:$I$247,4,0))</f>
        <v>0</v>
      </c>
      <c r="FN158" s="16">
        <f>IF(ISNA(VLOOKUP(A158,'Données projet'!$A$227:$I$247,5,0)),0%,VLOOKUP(A158,'Données projet'!$A$227:$I$247,5,0)*VLOOKUP('Données projet'!$B$16,Paramètres!$A$1:$I$89,7,0))</f>
        <v>0</v>
      </c>
      <c r="FO158" s="16">
        <f>IF(ISNA(VLOOKUP(A158,'Données projet'!$A$227:$I$247,6,0)),0%,VLOOKUP(A158,'Données projet'!$A$227:$I$247,6,0)*VLOOKUP('Données projet'!$B$16,Paramètres!$A$1:$I$89,7,0))</f>
        <v>0</v>
      </c>
      <c r="FP158" s="16">
        <f>IF(ISNA(VLOOKUP(A158,'Données projet'!$A$227:$I$247,7,0)),0%,VLOOKUP(A158,'Données projet'!$A$227:$I$247,7,0))</f>
        <v>0</v>
      </c>
      <c r="FQ158" s="21">
        <f>EXP(-LN(2)/35)*FQ157+(1-EXP(-LN(2)/35))/(LN(2)/35)*FM158*FN158*VLOOKUP('Données projet'!$B$16,Paramètres!$A$1:$I$89,3,0)*0.475*44/12</f>
        <v>23.732583954384786</v>
      </c>
      <c r="FR158" s="21">
        <f>EXP(-LN(2)/25)*FR157+(1-EXP(-LN(2)/25))/(LN(2)/25)*Calculateur!FM158*Calculateur!FO158*VLOOKUP('Données projet'!$B$16,Paramètres!$A$1:$I$89,3,0)*0.475*44/12</f>
        <v>12.775456582010641</v>
      </c>
      <c r="FS158" s="21">
        <f>EXP(-LN(2)/2)*FS157+(1-EXP(-LN(2)/2))/(LN(2)/2)*FM158*FP158*VLOOKUP('Données projet'!$B$16,Paramètres!$A$1:$I$89,3,0)*0.475*44/12</f>
        <v>0</v>
      </c>
      <c r="FT158" s="22">
        <f t="shared" si="349"/>
        <v>36.508040536395427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projet'!$A$253:$I$273,2,0)</f>
        <v>#N/A</v>
      </c>
      <c r="FX158" s="12" t="e">
        <f>VLOOKUP(A158,'Données projet'!$A$253:$I$273,9,0)</f>
        <v>#N/A</v>
      </c>
      <c r="FY158" s="12">
        <f t="array" ref="FY158">INDEX(FX:FX,MIN(IF(ISNUMBER(FX158:FX354),ROW(FX158:FX354),"")))</f>
        <v>0</v>
      </c>
      <c r="FZ158" s="12">
        <f>IF('Données projet'!$A$254&gt;35,FZ157+FY158-GH157,IF(A158&lt;'Données projet'!$A$254,$FW$205^A158,IF(A158='Données projet'!$A$254,'Données projet'!$B$254,FZ157+FY158-GH157)))</f>
        <v>-1.7053025658242404E-13</v>
      </c>
      <c r="GA158" s="17">
        <f>FZ158*VLOOKUP('Données projet'!$B$17,Paramètres!$A$1:$I$89,3,0)*VLOOKUP('Données projet'!$B$17,Paramètres!$A$1:$I$89,5,0)</f>
        <v>-1.4897523215040567E-13</v>
      </c>
      <c r="GB158" s="13" t="e">
        <f t="shared" si="350"/>
        <v>#NUM!</v>
      </c>
      <c r="GC158" s="20" t="e">
        <f t="shared" si="351"/>
        <v>#NUM!</v>
      </c>
      <c r="GD158" s="59" t="e">
        <f t="shared" si="249"/>
        <v>#NUM!</v>
      </c>
      <c r="GE158" s="59">
        <f ca="1">AVERAGE(OFFSET($GD$3,0,0,'Données projet'!$E$17+1,1))-AVERAGE(OFFSET($H$3,0,0,'Données projet'!$E$17+1,1))</f>
        <v>245.1983232777614</v>
      </c>
      <c r="GF158" s="59">
        <f t="shared" si="303"/>
        <v>242.34010522344573</v>
      </c>
      <c r="GG158" s="15">
        <f>IF(ISNA(VLOOKUP(A158,'Données projet'!$A$253:$I$273,3,0)),0,VLOOKUP(A158,'Données projet'!$A$253:$I$273,3,0))</f>
        <v>0</v>
      </c>
      <c r="GH158" s="15">
        <f>IF(ISNA(VLOOKUP(A158,'Données projet'!$A$253:$I$273,4,0)),0,VLOOKUP(A158,'Données projet'!$A$253:$I$273,4,0))</f>
        <v>0</v>
      </c>
      <c r="GI158" s="16">
        <f>IF(ISNA(VLOOKUP(A158,'Données projet'!$A$253:$I$273,5,0)),0%,VLOOKUP(A158,'Données projet'!$A$253:$I$273,5,0)*VLOOKUP('Données projet'!$B$17,Paramètres!$A$1:$I$89,7,0))</f>
        <v>0</v>
      </c>
      <c r="GJ158" s="16">
        <f>IF(ISNA(VLOOKUP(A158,'Données projet'!$A$253:$I$273,6,0)),0%,VLOOKUP(A158,'Données projet'!$A$253:$I$273,6,0)*VLOOKUP('Données projet'!$B$17,Paramètres!$A$1:$I$89,7,0))</f>
        <v>0</v>
      </c>
      <c r="GK158" s="16">
        <f>IF(ISNA(VLOOKUP(A158,'Données projet'!$A$253:$I$273,7,0)),0%,VLOOKUP(A158,'Données projet'!$A$253:$I$273,7,0))</f>
        <v>0</v>
      </c>
      <c r="GL158" s="21">
        <f>EXP(-LN(2)/35)*GL157+(1-EXP(-LN(2)/35))/(LN(2)/35)*GH158*GI158*VLOOKUP('Données projet'!$B$17,Paramètres!$A$1:$I$89,3,0)*0.475*44/12</f>
        <v>27.900908603407505</v>
      </c>
      <c r="GM158" s="21">
        <f>EXP(-LN(2)/25)*GM157+(1-EXP(-LN(2)/25))/(LN(2)/25)*Calculateur!GH158*Calculateur!GJ158*VLOOKUP('Données projet'!$B$17,Paramètres!$A$1:$I$89,3,0)*0.475*44/12</f>
        <v>2.7221385666307762</v>
      </c>
      <c r="GN158" s="21">
        <f>EXP(-LN(2)/2)*GN157+(1-EXP(-LN(2)/2))/(LN(2)/2)*GH158*GK158*VLOOKUP('Données projet'!$B$17,Paramètres!$A$1:$I$89,3,0)*0.475*44/12</f>
        <v>0</v>
      </c>
      <c r="GO158" s="21">
        <f t="shared" si="352"/>
        <v>30.62304717003828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projet'!$A$279:$I$299,2,0)</f>
        <v>#N/A</v>
      </c>
      <c r="GS158" s="12" t="e">
        <f>VLOOKUP(A158,'Données projet'!$A$279:$I$299,9,0)</f>
        <v>#N/A</v>
      </c>
      <c r="GT158" s="12">
        <f t="array" ref="GT158">INDEX(GS:GS,MIN(IF(ISNUMBER(GS158:GS354),ROW(GS158:GS354),"")))</f>
        <v>0</v>
      </c>
      <c r="GU158" s="12">
        <f>IF('Données projet'!$A$280&gt;35,GU157+GT158-HC157,IF(A158&lt;'Données projet'!$A$280,$GR$205^A158,IF(A158='Données projet'!$A$280,'Données projet'!$B$280,GU157+GT158-HC157)))</f>
        <v>-1.1368683772161603E-13</v>
      </c>
      <c r="GV158" s="17">
        <f>GU158*VLOOKUP('Données projet'!$B$18,Paramètres!$A$1:$I$89,3,0)*VLOOKUP('Données projet'!$B$18,Paramètres!$A$1:$I$89,5,0)</f>
        <v>-4.5815795601811263E-14</v>
      </c>
      <c r="GW158" s="13" t="e">
        <f t="shared" si="353"/>
        <v>#NUM!</v>
      </c>
      <c r="GX158" s="20" t="e">
        <f t="shared" si="354"/>
        <v>#NUM!</v>
      </c>
      <c r="GY158" s="59" t="e">
        <f t="shared" si="252"/>
        <v>#NUM!</v>
      </c>
      <c r="GZ158" s="59">
        <f ca="1">AVERAGE(OFFSET($GY$3,0,0,'Données projet'!$E$18+1,1))-AVERAGE(OFFSET($H$3,0,0,'Données projet'!$E$18+1,1))</f>
        <v>324.36162935850876</v>
      </c>
      <c r="HA158" s="59">
        <f t="shared" si="305"/>
        <v>265.23571072429735</v>
      </c>
      <c r="HB158" s="15">
        <f>IF(ISNA(VLOOKUP(A158,'Données projet'!$A$279:$I$299,3,0)),0,VLOOKUP(A158,'Données projet'!$A$279:$I$299,3,0))</f>
        <v>0</v>
      </c>
      <c r="HC158" s="15">
        <f>IF(ISNA(VLOOKUP(A158,'Données projet'!$A$279:$I$299,4,0)),0,VLOOKUP(A158,'Données projet'!$A$279:$I$299,4,0))</f>
        <v>0</v>
      </c>
      <c r="HD158" s="16">
        <f>IF(ISNA(VLOOKUP(A158,'Données projet'!$A$279:$I$299,5,0)),0%,VLOOKUP(A158,'Données projet'!$A$279:$I$299,5,0)*VLOOKUP('Données projet'!$B$18,Paramètres!$A$1:$I$89,7,0))</f>
        <v>0</v>
      </c>
      <c r="HE158" s="16">
        <f>IF(ISNA(VLOOKUP(A158,'Données projet'!$A$279:$I$299,6,0)),0%,VLOOKUP(A158,'Données projet'!$A$279:$I$299,6,0)*VLOOKUP('Données projet'!$B$18,Paramètres!$A$1:$I$89,7,0))</f>
        <v>0</v>
      </c>
      <c r="HF158" s="16">
        <f>IF(ISNA(VLOOKUP($A158,'Données projet'!$A$279:$I$299,7,0)),0%,VLOOKUP($A158,'Données projet'!$A$279:$I$299,7,0))</f>
        <v>0</v>
      </c>
      <c r="HG158" s="21">
        <f>EXP(-LN(2)/35)*HG157+(1-EXP(-LN(2)/35))/(LN(2)/35)*HC158*HD158*VLOOKUP('Données projet'!$B$18,Paramètres!$A$1:$I$89,3,0)*0.475*44/12</f>
        <v>53.465434706458232</v>
      </c>
      <c r="HH158" s="21">
        <f>EXP(-LN(2)/25)*HH157+(1-EXP(-LN(2)/25))/(LN(2)/25)*Calculateur!HC158*Calculateur!HE158*VLOOKUP('Données projet'!$B$18,Paramètres!$A$1:$I$89,3,0)*0.475*44/12</f>
        <v>3.0275049842787971</v>
      </c>
      <c r="HI158" s="21">
        <f>EXP(-LN(2)/2)*HI157+(1-EXP(-LN(2)/2))/(LN(2)/2)*HC158*HF158*VLOOKUP('Données projet'!$B$18,Paramètres!$A$1:$I$89,3,0)*0.475*44/12</f>
        <v>4.3974359474130667E-11</v>
      </c>
      <c r="HJ158" s="22">
        <f t="shared" si="355"/>
        <v>56.492939690781007</v>
      </c>
      <c r="HK158" s="74">
        <f>('Scénario référence'!$F$8+'Scénario référence'!$F$9+'Scénario référence'!$B$17+'Scénario référence'!$B$9+'Scénario référence'!$B$10)*70+IF((45+25*(1-EXP(-0.0175*$A158)))&lt;70,'Scénario référence'!$B$16*(45+25*(1-EXP(-0.0175*$A158))),70*'Scénario référence'!$B$16)+IF((32+38*(1-EXP(-0.0175*$A158)))&lt;70,'Scénario référence'!$B$18*(32+38*(1-EXP(-0.0175*$A158))),70*'Scénario référence'!$B$18)</f>
        <v>70</v>
      </c>
      <c r="HL158" s="12">
        <f>IF($A158&gt;30,10,('Scénario référence'!$B$16+'Scénario référence'!$B$17+'Scénario référence'!$B$18+'Scénario référence'!$B$9+'Scénario référence'!$B$10)*$A158*10/30+('Scénario référence'!$F$8+'Scénario référence'!$F$9)*10)</f>
        <v>10</v>
      </c>
      <c r="HM158" s="12" t="e">
        <f>VLOOKUP($A158,'Données projet'!$A$304:$I$324,2,0)</f>
        <v>#N/A</v>
      </c>
      <c r="HN158" s="12" t="e">
        <f>VLOOKUP($A158,'Données projet'!$A$304:$I$324,9,0)</f>
        <v>#N/A</v>
      </c>
      <c r="HO158" s="12">
        <f t="array" ref="HO158">INDEX(HN:HN,MIN(IF(ISNUMBER(HN158:HN354),ROW(HN158:HN354),"")))</f>
        <v>0</v>
      </c>
      <c r="HP158" s="12">
        <f>IF('Données projet'!$A$304&gt;35,HP157+HO158-HX157,IF($A158&lt;'Données projet'!$A$304,$CQ$205^$A158,IF($A158='Données projet'!$A$304,'Données projet'!$B$304,HP157+HO158-HX157)))</f>
        <v>0</v>
      </c>
      <c r="HQ158" s="17">
        <f>HP158*VLOOKUP('Données projet'!$B$19,Paramètres!$A$1:$I$89,3,0)*VLOOKUP('Données projet'!$B$19,Paramètres!$A$1:$I$89,5,0)</f>
        <v>0</v>
      </c>
      <c r="HR158" s="13" t="e">
        <f t="shared" si="306"/>
        <v>#NUM!</v>
      </c>
      <c r="HS158" s="14" t="e">
        <f t="shared" si="254"/>
        <v>#NUM!</v>
      </c>
      <c r="HT158" s="59" t="e">
        <f t="shared" si="255"/>
        <v>#NUM!</v>
      </c>
      <c r="HU158" s="59">
        <f ca="1">AVERAGE(OFFSET(HT$3,0,0,'Données projet'!$E$19+1,1))-AVERAGE(OFFSET($H$3,0,0,'Données projet'!$E$19+1,1))</f>
        <v>91.60721429656013</v>
      </c>
      <c r="HV158" s="59">
        <f t="shared" si="307"/>
        <v>258.94957804210856</v>
      </c>
      <c r="HW158" s="15">
        <f>IF(ISNA(VLOOKUP($A158,'Données projet'!$A$304:$I$324,3,0)),0,VLOOKUP($A158,'Données projet'!$A$304:$I$324,3,0))</f>
        <v>0</v>
      </c>
      <c r="HX158" s="15">
        <f>IF(ISNA(VLOOKUP($A158,'Données projet'!$A$304:$I$324,4,0)),0,VLOOKUP($A158,'Données projet'!$A$304:$I$324,4,0))</f>
        <v>0</v>
      </c>
      <c r="HY158" s="16">
        <f>IF(ISNA(VLOOKUP($A158,'Données projet'!$A$304:$I$324,5,0)),0%,VLOOKUP($A158,'Données projet'!$A$304:$I$324,5,0)*VLOOKUP('Données projet'!$B$19,Paramètres!$A$1:$I$89,7,0))</f>
        <v>0</v>
      </c>
      <c r="HZ158" s="16">
        <f>IF(ISNA(VLOOKUP($A158,'Données projet'!$A$304:$I$324,6,0)),0%,VLOOKUP($A158,'Données projet'!$A$304:$I$324,6,0)*VLOOKUP('Données projet'!$B$19,Paramètres!$A$1:$I$89,7,0))</f>
        <v>0</v>
      </c>
      <c r="IA158" s="16">
        <f>IF(ISNA(VLOOKUP($A158,'Données projet'!$A$304:$I$324,7,0)),0%,VLOOKUP($A158,'Données projet'!$A$304:$I$324,7,0))</f>
        <v>0</v>
      </c>
      <c r="IB158" s="21">
        <f>EXP(-LN(2)/35)*IB157+(1-EXP(-LN(2)/35))/(LN(2)/35)*HX158*HY158*VLOOKUP('Données projet'!$B$19,Paramètres!$A$1:$I$89,3,0)*0.475*44/12</f>
        <v>4.1498060485555923</v>
      </c>
      <c r="IC158" s="21">
        <f>EXP(-LN(2)/25)*IC157+(1-EXP(-LN(2)/25))/(LN(2)/25)*Calculateur!HX158*Calculateur!HZ158*VLOOKUP('Données projet'!$B$19,Paramètres!$A$1:$I$89,3,0)*0.475*44/12</f>
        <v>0.30399145862937221</v>
      </c>
      <c r="ID158" s="21">
        <f>EXP(-LN(2)/2)*ID157+(1-EXP(-LN(2)/2))/(LN(2)/2)*HX158*IA158*VLOOKUP('Données projet'!$B$19,Paramètres!$A$1:$I$89,3,0)*0.475*44/12</f>
        <v>8.7835067832889268E-20</v>
      </c>
      <c r="IE158" s="22">
        <f t="shared" si="256"/>
        <v>4.4537975071849649</v>
      </c>
      <c r="IF158" s="74">
        <f>('Scénario référence'!$F$8+'Scénario référence'!$F$9+'Scénario référence'!$B$17+'Scénario référence'!$B$9+'Scénario référence'!$B$10)*70+IF((45+25*(1-EXP(-0.0175*$A158)))&lt;70,'Scénario référence'!$B$16*(45+25*(1-EXP(-0.0175*$A158))),70*'Scénario référence'!$B$16)+IF((32+38*(1-EXP(-0.0175*$A158)))&lt;70,'Scénario référence'!$B$18*(32+38*(1-EXP(-0.0175*$A158))),70*'Scénario référence'!$B$18)</f>
        <v>70</v>
      </c>
      <c r="IG158" s="12">
        <f>IF($A158&gt;30,10,('Scénario référence'!$B$16+'Scénario référence'!$B$17+'Scénario référence'!$B$18+'Scénario référence'!$B$9+'Scénario référence'!$B$10)*$A158*10/30+('Scénario référence'!$F$8+'Scénario référence'!$F$9)*10)</f>
        <v>10</v>
      </c>
      <c r="IH158" s="12" t="e">
        <f>VLOOKUP($A158,'Données projet'!$A$330:$I$350,2,0)</f>
        <v>#N/A</v>
      </c>
      <c r="II158" s="12" t="e">
        <f>VLOOKUP($A158,'Données projet'!$A$330:$I$350,9,0)</f>
        <v>#N/A</v>
      </c>
      <c r="IJ158" s="12">
        <f t="array" ref="IJ158">INDEX(II:II,MIN(IF(ISNUMBER(II158:II354),ROW(II158:II354),"")))</f>
        <v>0</v>
      </c>
      <c r="IK158" s="12">
        <f>IF('Données projet'!$A$330&gt;35,IK157+IJ158-IS157,IF($A158&lt;'Données projet'!$A$330,$CQ$205^$A158,IF($A158='Données projet'!$A$330,'Données projet'!$B$330,IK157+IJ158-IS157)))</f>
        <v>0</v>
      </c>
      <c r="IL158" s="17">
        <f>IK158*VLOOKUP('Données projet'!$B$20,Paramètres!$A$1:$I$89,3,0)*VLOOKUP('Données projet'!$B$20,Paramètres!$A$1:$I$89,5,0)</f>
        <v>0</v>
      </c>
      <c r="IM158" s="13" t="e">
        <f t="shared" si="308"/>
        <v>#NUM!</v>
      </c>
      <c r="IN158" s="20" t="e">
        <f t="shared" si="257"/>
        <v>#NUM!</v>
      </c>
      <c r="IO158" s="59" t="e">
        <f t="shared" si="258"/>
        <v>#NUM!</v>
      </c>
      <c r="IP158" s="59">
        <f ca="1">AVERAGE(OFFSET(IO$3,0,0,'Données projet'!$E$20+1,1))-AVERAGE(OFFSET($H$3,0,0,'Données projet'!$E$20+1,1))</f>
        <v>91.60721429656013</v>
      </c>
      <c r="IQ158" s="59">
        <f t="shared" si="309"/>
        <v>258.94957804210856</v>
      </c>
      <c r="IR158" s="15">
        <f>IF(ISNA(VLOOKUP($A158,'Données projet'!$A$330:$I$350,3,0)),0,VLOOKUP($A158,'Données projet'!$A$330:$I$350,3,0))</f>
        <v>0</v>
      </c>
      <c r="IS158" s="15">
        <f>IF(ISNA(VLOOKUP($A158,'Données projet'!$A$330:$I$350,4,0)),0,VLOOKUP($A158,'Données projet'!$A$330:$I$350,4,0))</f>
        <v>0</v>
      </c>
      <c r="IT158" s="16">
        <f>IF(ISNA(VLOOKUP($A158,'Données projet'!$A$330:$I$350,5,0)),0%,VLOOKUP($A158,'Données projet'!$A$330:$I$350,5,0)*VLOOKUP('Données projet'!$B$20,Paramètres!$A$1:$I$89,7,0))</f>
        <v>0</v>
      </c>
      <c r="IU158" s="16">
        <f>IF(ISNA(VLOOKUP($A158,'Données projet'!$A$330:$I$350,6,0)),0%,VLOOKUP($A158,'Données projet'!$A$330:$I$350,6,0)*VLOOKUP('Données projet'!$B$20,Paramètres!$A$1:$I$89,7,0))</f>
        <v>0</v>
      </c>
      <c r="IV158" s="16">
        <f>IF(ISNA(VLOOKUP($A158,'Données projet'!$A$330:$I$350,7,0)),0%,VLOOKUP($A158,'Données projet'!$A$330:$I$350,7,0))</f>
        <v>0</v>
      </c>
      <c r="IW158" s="21">
        <f>EXP(-LN(2)/35)*IW157+(1-EXP(-LN(2)/35))/(LN(2)/35)*IS158*IT158*VLOOKUP('Données projet'!$B$20,Paramètres!$A$1:$I$89,3,0)*0.475*44/12</f>
        <v>4.1498060485555923</v>
      </c>
      <c r="IX158" s="21">
        <f>EXP(-LN(2)/25)*IX157+(1-EXP(-LN(2)/25))/(LN(2)/25)*Calculateur!IS158*Calculateur!IU158*VLOOKUP('Données projet'!$B$20,Paramètres!$A$1:$I$89,3,0)*0.475*44/12</f>
        <v>0.30399145862937221</v>
      </c>
      <c r="IY158" s="21">
        <f>EXP(-LN(2)/2)*IY157+(1-EXP(-LN(2)/2))/(LN(2)/2)*IS158*IV158*VLOOKUP('Données projet'!$B$20,Paramètres!$A$1:$I$89,3,0)*0.475*44/12</f>
        <v>8.7835067832889268E-20</v>
      </c>
      <c r="IZ158" s="22">
        <f t="shared" si="259"/>
        <v>4.4537975071849649</v>
      </c>
      <c r="JA158" s="74">
        <f>('Scénario référence'!$F$8+'Scénario référence'!$F$9+'Scénario référence'!$B$17+'Scénario référence'!$B$9+'Scénario référence'!$B$10)*70+IF((45+25*(1-EXP(-0.0175*$A158)))&lt;70,'Scénario référence'!$B$16*(45+25*(1-EXP(-0.0175*$A158))),70*'Scénario référence'!$B$16)+IF((32+38*(1-EXP(-0.0175*$A158)))&lt;70,'Scénario référence'!$B$18*(32+38*(1-EXP(-0.0175*$A158))),70*'Scénario référence'!$B$18)</f>
        <v>70</v>
      </c>
      <c r="JB158" s="12">
        <f>IF($A158&gt;30,10,('Scénario référence'!$B$16+'Scénario référence'!$B$17+'Scénario référence'!$B$18+'Scénario référence'!$B$9+'Scénario référence'!$B$10)*$A158*10/30+('Scénario référence'!$F$8+'Scénario référence'!$F$9)*10)</f>
        <v>10</v>
      </c>
      <c r="JC158" s="12" t="e">
        <f>VLOOKUP($A158,'Données projet'!$A$356:$I$376,2,0)</f>
        <v>#N/A</v>
      </c>
      <c r="JD158" s="12" t="e">
        <f>VLOOKUP($A158,'Données projet'!$A$356:$I$376,9,0)</f>
        <v>#N/A</v>
      </c>
      <c r="JE158" s="12">
        <f t="array" ref="JE158">INDEX(JD:JD,MIN(IF(ISNUMBER(JD158:JD354),ROW(JD158:JD354),"")))</f>
        <v>0</v>
      </c>
      <c r="JF158" s="12">
        <f>IF('Données projet'!$A$356&gt;35,JF157+JE158-JN157,IF($A158&lt;'Données projet'!$A$356,$CQ$205^$A158,IF($A158='Données projet'!$A$356,'Données projet'!$B$356,JF157+JE158-JN157)))</f>
        <v>-1.3073986337985843E-12</v>
      </c>
      <c r="JG158" s="17">
        <f>JF158*VLOOKUP('Données projet'!$B$21,Paramètres!$A$1:$I$89,3,0)*VLOOKUP('Données projet'!$B$21,Paramètres!$A$1:$I$89,5,0)</f>
        <v>-1.0605617717374117E-12</v>
      </c>
      <c r="JH158" s="13" t="e">
        <f t="shared" si="310"/>
        <v>#NUM!</v>
      </c>
      <c r="JI158" s="20" t="e">
        <f t="shared" si="260"/>
        <v>#NUM!</v>
      </c>
      <c r="JJ158" s="59" t="e">
        <f t="shared" si="261"/>
        <v>#NUM!</v>
      </c>
      <c r="JK158" s="59">
        <f ca="1">AVERAGE(OFFSET($JJ$3,0,0,'Données projet'!$E$22+1,1))-AVERAGE(OFFSET($H$3,0,0,'Données projet'!$E$22+1,1))</f>
        <v>353.35574633294613</v>
      </c>
      <c r="JL158" s="59">
        <f t="shared" si="311"/>
        <v>170.36796666474726</v>
      </c>
      <c r="JM158" s="15">
        <f>IF(ISNA(VLOOKUP($A158,'Données projet'!$A$356:$I$376,3,0)),0,VLOOKUP($A158,'Données projet'!$A$356:$I$376,3,0))</f>
        <v>0</v>
      </c>
      <c r="JN158" s="15">
        <f>IF(ISNA(VLOOKUP($A158,'Données projet'!$A$356:$I$376,4,0)),0,VLOOKUP($A158,'Données projet'!$A$356:$I$376,4,0))</f>
        <v>0</v>
      </c>
      <c r="JO158" s="16">
        <f>IF(ISNA(VLOOKUP($A158,'Données projet'!$A$356:$I$376,5,0)),0%,VLOOKUP($A158,'Données projet'!$A$356:$I$376,5,0)*VLOOKUP('Données projet'!$B$21,Paramètres!$A$1:$I$89,7,0))</f>
        <v>0</v>
      </c>
      <c r="JP158" s="16">
        <f>IF(ISNA(VLOOKUP($A158,'Données projet'!$A$356:$I$376,6,0)),0%,VLOOKUP($A158,'Données projet'!$A$356:$I$376,6,0)*VLOOKUP('Données projet'!$B$21,Paramètres!$A$1:$I$89,7,0))</f>
        <v>0</v>
      </c>
      <c r="JQ158" s="16">
        <f>IF(ISNA(VLOOKUP($A158,'Données projet'!$A$356:$I$376,7,0)),0%,VLOOKUP($A158,'Données projet'!$A$356:$I$376,7,0))</f>
        <v>0</v>
      </c>
      <c r="JR158" s="21">
        <f>EXP(-LN(2)/35)*JR157+(1-EXP(-LN(2)/35))/(LN(2)/35)*JN158*JO158*VLOOKUP('Données projet'!$B$21,Paramètres!$A$1:$I$89,3,0)*0.475*44/12</f>
        <v>66.527578838325852</v>
      </c>
      <c r="JS158" s="21">
        <f>EXP(-LN(2)/25)*JS157+(1-EXP(-LN(2)/25))/(LN(2)/25)*Calculateur!JN158*Calculateur!JP158*VLOOKUP('Données projet'!$B$21,Paramètres!$A$1:$I$89,3,0)*0.475*44/12</f>
        <v>66.533501052070022</v>
      </c>
      <c r="JT158" s="21">
        <f>EXP(-LN(2)/2)*JT157+(1-EXP(-LN(2)/2))/(LN(2)/2)*JN158*JQ158*VLOOKUP('Données projet'!$B$21,Paramètres!$A$1:$I$89,3,0)*0.475*44/12</f>
        <v>6.0618367380844687</v>
      </c>
      <c r="JU158" s="18">
        <f t="shared" si="262"/>
        <v>139.12291662848037</v>
      </c>
      <c r="JV158" s="74">
        <f>('Scénario référence'!$F$8+'Scénario référence'!$F$9+'Scénario référence'!$B$17+'Scénario référence'!$B$9+'Scénario référence'!$B$10)*70+IF((45+25*(1-EXP(-0.0175*$A158)))&lt;70,'Scénario référence'!$B$16*(45+25*(1-EXP(-0.0175*$A158))),70*'Scénario référence'!$B$16)+IF((32+38*(1-EXP(-0.0175*$A158)))&lt;70,'Scénario référence'!$B$18*(32+38*(1-EXP(-0.0175*$A158))),70*'Scénario référence'!$B$18)</f>
        <v>70</v>
      </c>
      <c r="JW158" s="12">
        <f>IF($A158&gt;30,10,('Scénario référence'!$B$16+'Scénario référence'!$B$17+'Scénario référence'!$B$18+'Scénario référence'!$B$9+'Scénario référence'!$B$10)*$A158*10/30+('Scénario référence'!$F$8+'Scénario référence'!$F$9)*10)</f>
        <v>10</v>
      </c>
      <c r="JX158" s="12" t="e">
        <f>VLOOKUP($A158,'Données projet'!$A$382:$I$402,2,0)</f>
        <v>#N/A</v>
      </c>
      <c r="JY158" s="12" t="e">
        <f>VLOOKUP($A158,'Données projet'!$A$382:$I$402,9,0)</f>
        <v>#N/A</v>
      </c>
      <c r="JZ158" s="12">
        <f t="array" ref="JZ158">INDEX(JY:JY,MIN(IF(ISNUMBER(JY158:JY354),ROW(JY158:JY354),"")))</f>
        <v>0</v>
      </c>
      <c r="KA158" s="12">
        <f>IF('Données projet'!$A$382&gt;35,KA157+JZ158-KI157,IF($A158&lt;'Données projet'!$A$382,$CQ$205^$A158,IF($A158='Données projet'!$A$382,'Données projet'!$B$382,KA157+JZ158-KI157)))</f>
        <v>5.6843418860808015E-13</v>
      </c>
      <c r="KB158" s="17">
        <f>KA158*VLOOKUP('Données projet'!$B$22,Paramètres!$A$1:$I$89,3,0)*VLOOKUP('Données projet'!$B$22,Paramètres!$A$1:$I$89,5,0)</f>
        <v>3.8130565371830017E-13</v>
      </c>
      <c r="KC158" s="13">
        <f t="shared" si="312"/>
        <v>4.9019074112354236E-12</v>
      </c>
      <c r="KD158" s="20">
        <f t="shared" si="263"/>
        <v>9.2015960881277352E-12</v>
      </c>
      <c r="KE158" s="59">
        <f t="shared" si="264"/>
        <v>293.33333333334252</v>
      </c>
      <c r="KF158" s="59">
        <f ca="1">AVERAGE(OFFSET($KE$3,0,0,'Données projet'!$E$22+1,1))-AVERAGE(OFFSET($H$3,0,0,'Données projet'!$E$22+1,1))</f>
        <v>193.91714772848269</v>
      </c>
      <c r="KG158" s="59">
        <f t="shared" si="313"/>
        <v>159.20429420478047</v>
      </c>
      <c r="KH158" s="15">
        <f>IF(ISNA(VLOOKUP($A158,'Données projet'!$A$382:$I$402,3,0)),0,VLOOKUP($A158,'Données projet'!$A$382:$I$402,3,0))</f>
        <v>0</v>
      </c>
      <c r="KI158" s="15">
        <f>IF(ISNA(VLOOKUP($A158,'Données projet'!$A$382:$I$402,4,0)),0,VLOOKUP($A158,'Données projet'!$A$382:$I$402,4,0))</f>
        <v>0</v>
      </c>
      <c r="KJ158" s="16">
        <f>IF(ISNA(VLOOKUP($A158,'Données projet'!$A$382:$I$402,5,0)),0%,VLOOKUP($A158,'Données projet'!$A$382:$I$402,5,0)*VLOOKUP('Données projet'!$B$22,Paramètres!$A$1:$I$89,7,0))</f>
        <v>0</v>
      </c>
      <c r="KK158" s="16">
        <f>IF(ISNA(VLOOKUP($A158,'Données projet'!$A$382:$I$402,6,0)),0%,VLOOKUP($A158,'Données projet'!$A$382:$I$402,6,0)*VLOOKUP('Données projet'!$B$22,Paramètres!$A$1:$I$89,7,0))</f>
        <v>0</v>
      </c>
      <c r="KL158" s="16">
        <f>IF(ISNA(VLOOKUP($A158,'Données projet'!$A$382:$I$402,7,0)),0%,VLOOKUP($A158,'Données projet'!$A$382:$I$402,7,0))</f>
        <v>0</v>
      </c>
      <c r="KM158" s="21">
        <f>EXP(-LN(2)/35)*KM157+(1-EXP(-LN(2)/35))/(LN(2)/35)*KI158*KJ158*VLOOKUP('Données projet'!$B$22,Paramètres!$A$1:$I$89,3,0)*0.475*44/12</f>
        <v>97.137607698798618</v>
      </c>
      <c r="KN158" s="21">
        <f>EXP(-LN(2)/25)*KN157+(1-EXP(-LN(2)/25))/(LN(2)/25)*Calculateur!KI158*Calculateur!KK158*VLOOKUP('Données projet'!$B$22,Paramètres!$A$1:$I$89,3,0)*0.475*44/12</f>
        <v>0</v>
      </c>
      <c r="KO158" s="21">
        <f>EXP(-LN(2)/2)*KO157+(1-EXP(-LN(2)/2))/(LN(2)/2)*KI158*KL158*VLOOKUP('Données projet'!$B$22,Paramètres!$A$1:$I$89,3,0)*0.475*44/12</f>
        <v>0</v>
      </c>
      <c r="KP158" s="22">
        <f t="shared" si="265"/>
        <v>97.137607698798618</v>
      </c>
      <c r="KQ158" s="74">
        <f>('Scénario référence'!$F$8+'Scénario référence'!$F$9+'Scénario référence'!$B$17+'Scénario référence'!$B$9+'Scénario référence'!$B$10)*70+IF((45+25*(1-EXP(-0.0175*$A158)))&lt;70,'Scénario référence'!$B$16*(45+25*(1-EXP(-0.0175*$A158))),70*'Scénario référence'!$B$16)+IF((32+38*(1-EXP(-0.0175*$A158)))&lt;70,'Scénario référence'!$B$18*(32+38*(1-EXP(-0.0175*$A158))),70*'Scénario référence'!$B$18)</f>
        <v>70</v>
      </c>
      <c r="KR158" s="12">
        <f>IF($A158&gt;30,10,('Scénario référence'!$B$16+'Scénario référence'!$B$17+'Scénario référence'!$B$18+'Scénario référence'!$B$9+'Scénario référence'!$B$10)*$A158*10/30+('Scénario référence'!$F$8+'Scénario référence'!$F$9)*10)</f>
        <v>10</v>
      </c>
      <c r="KS158" s="12" t="e">
        <f>VLOOKUP($A158,'Données projet'!$A$408:$I$428,2,0)</f>
        <v>#N/A</v>
      </c>
      <c r="KT158" s="12" t="e">
        <f>VLOOKUP($A158,'Données projet'!$A$408:$I$428,9,0)</f>
        <v>#N/A</v>
      </c>
      <c r="KU158" s="12">
        <f t="array" ref="KU158">INDEX(KT:KT,MIN(IF(ISNUMBER(KT158:KT354),ROW(KT158:KT354),"")))</f>
        <v>0</v>
      </c>
      <c r="KV158" s="12">
        <f>IF('Données projet'!$A$408&gt;35,KV157+KU158-LD157,IF($A158&lt;'Données projet'!$A$408,$CQ$205^$A158,IF($A158='Données projet'!$A$408,'Données projet'!$B$408,KV157+KU158-LD157)))</f>
        <v>-1.1368683772161603E-13</v>
      </c>
      <c r="KW158" s="17">
        <f>KV158*VLOOKUP('Données projet'!$B$23,Paramètres!$A$1:$I$89,3,0)*VLOOKUP('Données projet'!$B$23,Paramètres!$A$1:$I$89,5,0)</f>
        <v>-9.9316821433603781E-14</v>
      </c>
      <c r="KX158" s="13" t="e">
        <f t="shared" si="314"/>
        <v>#NUM!</v>
      </c>
      <c r="KY158" s="14" t="e">
        <f t="shared" si="266"/>
        <v>#NUM!</v>
      </c>
      <c r="KZ158" s="59" t="e">
        <f t="shared" si="267"/>
        <v>#NUM!</v>
      </c>
      <c r="LA158" s="59">
        <f ca="1">AVERAGE(OFFSET($KZ$3,0,0,'Données projet'!$E$23+1,1))-AVERAGE(OFFSET($H$3,0,0,'Données projet'!$E$23+1,1))</f>
        <v>248.33596943633819</v>
      </c>
      <c r="LB158" s="59">
        <f t="shared" si="315"/>
        <v>242.34010522344573</v>
      </c>
      <c r="LC158" s="15">
        <f>IF(ISNA(VLOOKUP($A158,'Données projet'!$A$408:$I$428,3,0)),0,VLOOKUP($A158,'Données projet'!$A$408:$I$428,3,0))</f>
        <v>0</v>
      </c>
      <c r="LD158" s="15">
        <f>IF(ISNA(VLOOKUP($A158,'Données projet'!$A$408:$I$428,4,0)),0,VLOOKUP($A158,'Données projet'!$A$408:$I$428,4,0))</f>
        <v>0</v>
      </c>
      <c r="LE158" s="16">
        <f>IF(ISNA(VLOOKUP($A158,'Données projet'!$A$408:$I$428,5,0)),0%,VLOOKUP($A158,'Données projet'!$A$408:$I$428,5,0)*VLOOKUP('Données projet'!$B$23,Paramètres!$A$1:$I$89,7,0))</f>
        <v>0</v>
      </c>
      <c r="LF158" s="16">
        <f>IF(ISNA(VLOOKUP($A158,'Données projet'!$A$408:$I$428,6,0)),0%,VLOOKUP($A158,'Données projet'!$A$408:$I$428,6,0)*VLOOKUP('Données projet'!$B$23,Paramètres!$A$1:$I$89,7,0))</f>
        <v>0</v>
      </c>
      <c r="LG158" s="16">
        <f>IF(ISNA(VLOOKUP($A158,'Données projet'!$A$408:$I$428,7,0)),0%,VLOOKUP($A158,'Données projet'!$A$408:$I$428,7,0))</f>
        <v>0</v>
      </c>
      <c r="LH158" s="21">
        <f>EXP(-LN(2)/35)*LH157+(1-EXP(-LN(2)/35))/(LN(2)/35)*LD158*LE158*VLOOKUP('Données projet'!$B$23,Paramètres!$A$1:$I$89,3,0)*0.475*44/12</f>
        <v>27.900908603407505</v>
      </c>
      <c r="LI158" s="21">
        <f>EXP(-LN(2)/25)*LI157+(1-EXP(-LN(2)/25))/(LN(2)/25)*Calculateur!LD158*Calculateur!LF158*VLOOKUP('Données projet'!$B$23,Paramètres!$A$1:$I$89,3,0)*0.475*44/12</f>
        <v>2.7221385666307762</v>
      </c>
      <c r="LJ158" s="21">
        <f>EXP(-LN(2)/2)*LJ157+(1-EXP(-LN(2)/2))/(LN(2)/2)*LD158*LG158*VLOOKUP('Données projet'!$B$23,Paramètres!$A$1:$I$89,3,0)*0.475*44/12</f>
        <v>0</v>
      </c>
      <c r="LK158" s="22">
        <f t="shared" si="268"/>
        <v>30.62304717003828</v>
      </c>
      <c r="LL158" s="74">
        <f>('Scénario référence'!$F$8+'Scénario référence'!$F$9+'Scénario référence'!$B$17+'Scénario référence'!$B$9+'Scénario référence'!$B$10)*70+IF((45+25*(1-EXP(-0.0175*$A158)))&lt;70,'Scénario référence'!$B$16*(45+25*(1-EXP(-0.0175*$A158))),70*'Scénario référence'!$B$16)+IF((32+38*(1-EXP(-0.0175*$A158)))&lt;70,'Scénario référence'!$B$18*(32+38*(1-EXP(-0.0175*$A158))),70*'Scénario référence'!$B$18)</f>
        <v>70</v>
      </c>
      <c r="LM158" s="12">
        <f>IF($A158&gt;30,10,('Scénario référence'!$B$16+'Scénario référence'!$B$17+'Scénario référence'!$B$18+'Scénario référence'!$B$9+'Scénario référence'!$B$10)*$A158*10/30+('Scénario référence'!$F$8+'Scénario référence'!$F$9)*10)</f>
        <v>10</v>
      </c>
      <c r="LN158" s="12" t="e">
        <f>VLOOKUP($A158,'Données projet'!$A$434:$I$454,2,0)</f>
        <v>#N/A</v>
      </c>
      <c r="LO158" s="12" t="e">
        <f>VLOOKUP($A158,'Données projet'!$A$434:$I$454,9,0)</f>
        <v>#N/A</v>
      </c>
      <c r="LP158" s="12">
        <f t="array" ref="LP158">INDEX(LO:LO,MIN(IF(ISNUMBER(LO158:LO354),ROW(LO158:LO354),"")))</f>
        <v>1.8717948717948829</v>
      </c>
      <c r="LQ158" s="12">
        <f>IF('Données projet'!$A$434&gt;35,LQ157+LP158-LY157,IF($A158&lt;'Données projet'!$A$434,$CQ$205^$A158,IF($A158='Données projet'!$A$434,'Données projet'!$B$434,LQ157+LP158-LY157)))</f>
        <v>128.68589743589692</v>
      </c>
      <c r="LR158" s="17">
        <f>LQ158*VLOOKUP('Données projet'!$B$24,Paramètres!$A$1:$I$89,3,0)*VLOOKUP('Données projet'!$B$24,Paramètres!$A$1:$I$89,5,0)</f>
        <v>130.4874999999995</v>
      </c>
      <c r="LS158" s="13">
        <f t="shared" si="316"/>
        <v>34.108981718044198</v>
      </c>
      <c r="LT158" s="14">
        <f t="shared" si="269"/>
        <v>286.67220565892609</v>
      </c>
      <c r="LU158" s="59">
        <f t="shared" si="270"/>
        <v>580.0055389922594</v>
      </c>
      <c r="LV158" s="59">
        <f ca="1">AVERAGE(OFFSET($LU$3,0,0,'Données projet'!$E$24+1,1))-AVERAGE(OFFSET($H$3,0,0,'Données projet'!$E$24+1,1))</f>
        <v>260.52627655062872</v>
      </c>
      <c r="LW158" s="59">
        <f t="shared" si="317"/>
        <v>159.20429420478047</v>
      </c>
      <c r="LX158" s="15">
        <f>IF(ISNA(VLOOKUP($A158,'Données projet'!$A$434:$I$454,3,0)),0,VLOOKUP($A158,'Données projet'!$A$434:$I$454,3,0))</f>
        <v>0</v>
      </c>
      <c r="LY158" s="15">
        <f>IF(ISNA(VLOOKUP($A158,'Données projet'!$A$434:$I$454,4,0)),0,VLOOKUP($A158,'Données projet'!$A$434:$I$454,4,0))</f>
        <v>0</v>
      </c>
      <c r="LZ158" s="16">
        <f>IF(ISNA(VLOOKUP($A158,'Données projet'!$A$434:$I$454,5,0)),0%,VLOOKUP($A158,'Données projet'!$A$434:$I$454,5,0)*VLOOKUP('Données projet'!$B$24,Paramètres!$A$1:$I$89,7,0))</f>
        <v>0</v>
      </c>
      <c r="MA158" s="16">
        <f>IF(ISNA(VLOOKUP($A158,'Données projet'!$A$434:$I$454,6,0)),0%,VLOOKUP($A158,'Données projet'!$A$434:$I$454,6,0)*VLOOKUP('Données projet'!$B$24,Paramètres!$A$1:$I$89,7,0))</f>
        <v>0</v>
      </c>
      <c r="MB158" s="16">
        <f>IF(ISNA(VLOOKUP($A158,'Données projet'!$A$434:$I$454,7,0)),0%,VLOOKUP($A158,'Données projet'!$A$434:$I$454,7,0))</f>
        <v>0</v>
      </c>
      <c r="MC158" s="21">
        <f>EXP(-LN(2)/35)*MC157+(1-EXP(-LN(2)/35))/(LN(2)/35)*LY158*LZ158*VLOOKUP('Données projet'!$B$24,Paramètres!$A$1:$I$89,3,0)*0.475*44/12</f>
        <v>114.12645627117077</v>
      </c>
      <c r="MD158" s="21">
        <f>EXP(-LN(2)/25)*MD157+(1-EXP(-LN(2)/25))/(LN(2)/25)*Calculateur!LY158*Calculateur!MA158*VLOOKUP('Données projet'!$B$24,Paramètres!$A$1:$I$89,3,0)*0.475*44/12</f>
        <v>0</v>
      </c>
      <c r="ME158" s="21">
        <f>EXP(-LN(2)/2)*ME157+(1-EXP(-LN(2)/2))/(LN(2)/2)*LY158*MB158*VLOOKUP('Données projet'!$B$24,Paramètres!$A$1:$I$89,3,0)*0.475*44/12</f>
        <v>0</v>
      </c>
      <c r="MF158" s="22">
        <f t="shared" si="271"/>
        <v>114.12645627117077</v>
      </c>
      <c r="MG158" s="74">
        <f>('Scénario référence'!$F$8+'Scénario référence'!$F$9+'Scénario référence'!$B$17+'Scénario référence'!$B$9+'Scénario référence'!$B$10)*70+IF((45+25*(1-EXP(-0.0175*$A158)))&lt;70,'Scénario référence'!$B$16*(45+25*(1-EXP(-0.0175*$A158))),70*'Scénario référence'!$B$16)+IF((32+38*(1-EXP(-0.0175*$A158)))&lt;70,'Scénario référence'!$B$18*(32+38*(1-EXP(-0.0175*$A158))),70*'Scénario référence'!$B$18)</f>
        <v>70</v>
      </c>
      <c r="MH158" s="12">
        <f>IF($A158&gt;30,10,('Scénario référence'!$B$16+'Scénario référence'!$B$17+'Scénario référence'!$B$18+'Scénario référence'!$B$9+'Scénario référence'!$B$10)*$A158*10/30+('Scénario référence'!$F$8+'Scénario référence'!$F$9)*10)</f>
        <v>10</v>
      </c>
      <c r="MI158" s="12" t="e">
        <f>VLOOKUP($A158,'Données projet'!$A$460:$I$480,2,0)</f>
        <v>#N/A</v>
      </c>
      <c r="MJ158" s="12" t="e">
        <f>VLOOKUP($A158,'Données projet'!$A$460:$I$480,9,0)</f>
        <v>#N/A</v>
      </c>
      <c r="MK158" s="12">
        <f t="array" ref="MK158">INDEX(MJ:MJ,MIN(IF(ISNUMBER(MJ158:MJ354),ROW(MJ158:MJ354),"")))</f>
        <v>0</v>
      </c>
      <c r="ML158" s="12">
        <f>IF('Données projet'!$A$460&gt;35,ML157+MK158-MT157,IF($A158&lt;'Données projet'!$A$460,$CQ$205^$A158,IF($A158='Données projet'!$A$460,'Données projet'!$B$460,ML157+MK158-MT157)))</f>
        <v>0</v>
      </c>
      <c r="MM158" s="17" t="e">
        <f>ML158*VLOOKUP('Données projet'!$B$25,Paramètres!$A$1:$I$89,3,0)*VLOOKUP('Données projet'!$B$25,Paramètres!$A$1:$I$89,5,0)</f>
        <v>#N/A</v>
      </c>
      <c r="MN158" s="13" t="e">
        <f t="shared" si="318"/>
        <v>#N/A</v>
      </c>
      <c r="MO158" s="14" t="e">
        <f t="shared" si="272"/>
        <v>#N/A</v>
      </c>
      <c r="MP158" s="59" t="e">
        <f t="shared" si="273"/>
        <v>#N/A</v>
      </c>
      <c r="MQ158" s="20" t="e">
        <f ca="1">AVERAGE(OFFSET($MP$3,0,0,'Données projet'!$E$25+1,1))-AVERAGE(OFFSET($H$3,0,0,'Données projet'!$E$25+1,1))</f>
        <v>#N/A</v>
      </c>
      <c r="MR158" s="59" t="e">
        <f t="shared" si="319"/>
        <v>#N/A</v>
      </c>
      <c r="MS158" s="15">
        <f>IF(ISNA(VLOOKUP($A158,'Données projet'!$A$460:$I$480,3,0)),0,VLOOKUP($A158,'Données projet'!$A$460:$I$480,3,0))</f>
        <v>0</v>
      </c>
      <c r="MT158" s="15">
        <f>IF(ISNA(VLOOKUP($A158,'Données projet'!$A$460:$I$480,4,0)),0,VLOOKUP($A158,'Données projet'!$A$460:$I$480,4,0))</f>
        <v>0</v>
      </c>
      <c r="MU158" s="16">
        <f>IF(ISNA(VLOOKUP($A158,'Données projet'!$A$460:$I$480,5,0)),0%,VLOOKUP($A158,'Données projet'!$A$460:$I$480,5,0)*VLOOKUP('Données projet'!$B$25,Paramètres!$A$1:$I$89,7,0))</f>
        <v>0</v>
      </c>
      <c r="MV158" s="16">
        <f>IF(ISNA(VLOOKUP($A158,'Données projet'!$A$460:$I$480,6,0)),0%,VLOOKUP($A158,'Données projet'!$A$460:$I$480,6,0)*VLOOKUP('Données projet'!$B$25,Paramètres!$A$1:$I$89,7,0))</f>
        <v>0</v>
      </c>
      <c r="MW158" s="16">
        <f>IF(ISNA(VLOOKUP($A158,'Données projet'!$A$460:$I$480,7,0)),0%,VLOOKUP($A158,'Données projet'!$A$460:$I$480,7,0))</f>
        <v>0</v>
      </c>
      <c r="MX158" s="21" t="e">
        <f>EXP(-LN(2)/35)*MX157+(1-EXP(-LN(2)/35))/(LN(2)/35)*MT158*MU158*VLOOKUP('Données projet'!$B$25,Paramètres!$A$1:$I$89,3,0)*0.475*44/12</f>
        <v>#N/A</v>
      </c>
      <c r="MY158" s="21" t="e">
        <f>EXP(-LN(2)/25)*MY157+(1-EXP(-LN(2)/25))/(LN(2)/25)*Calculateur!MT158*Calculateur!MV158*VLOOKUP('Données projet'!$B$25,Paramètres!$A$1:$I$89,3,0)*0.475*44/12</f>
        <v>#N/A</v>
      </c>
      <c r="MZ158" s="21" t="e">
        <f>EXP(-LN(2)/2)*MZ157+(1-EXP(-LN(2)/2))/(LN(2)/2)*MT158*MW158*VLOOKUP('Données projet'!$B$25,Paramètres!$A$1:$I$89,3,0)*0.475*44/12</f>
        <v>#N/A</v>
      </c>
      <c r="NA158" s="22" t="e">
        <f t="shared" si="274"/>
        <v>#N/A</v>
      </c>
      <c r="NB158" s="74">
        <f>('Scénario référence'!$F$8+'Scénario référence'!$F$9+'Scénario référence'!$B$17+'Scénario référence'!$B$9+'Scénario référence'!$B$10)*70+IF((45+25*(1-EXP(-0.0175*$A158)))&lt;70,'Scénario référence'!$B$16*(45+25*(1-EXP(-0.0175*$A158))),70*'Scénario référence'!$B$16)+IF((32+38*(1-EXP(-0.0175*$A158)))&lt;70,'Scénario référence'!$B$18*(32+38*(1-EXP(-0.0175*$A158))),70*'Scénario référence'!$B$18)</f>
        <v>70</v>
      </c>
      <c r="NC158" s="12">
        <f>IF($A158&gt;30,10,('Scénario référence'!$B$16+'Scénario référence'!$B$17+'Scénario référence'!$B$18+'Scénario référence'!$B$9+'Scénario référence'!$B$10)*$A158*10/30+('Scénario référence'!$F$8+'Scénario référence'!$F$9)*10)</f>
        <v>10</v>
      </c>
      <c r="ND158" s="12" t="e">
        <f>VLOOKUP($A158,'Données projet'!$A$486:$I$506,2,0)</f>
        <v>#N/A</v>
      </c>
      <c r="NE158" s="12" t="e">
        <f>VLOOKUP($A158,'Données projet'!$A$486:$I$506,9,0)</f>
        <v>#N/A</v>
      </c>
      <c r="NF158" s="12">
        <f t="array" ref="NF158">INDEX(NE:NE,MIN(IF(ISNUMBER(NE158:NE354),ROW(NE158:NE354),"")))</f>
        <v>0</v>
      </c>
      <c r="NG158" s="12">
        <f>IF('Données projet'!$A$486&gt;35,NG157+NF158-NO157,IF($A158&lt;'Données projet'!$A$486,$CQ$205^$A158,IF($A158='Données projet'!$A$486,'Données projet'!$B$486,NG157+NF158-NO157)))</f>
        <v>0</v>
      </c>
      <c r="NH158" s="17" t="e">
        <f>NG158*VLOOKUP('Données projet'!$B$26,Paramètres!$A$1:$I$89,3,0)*VLOOKUP('Données projet'!$B$26,Paramètres!$A$1:$I$89,5,0)</f>
        <v>#N/A</v>
      </c>
      <c r="NI158" s="13" t="e">
        <f t="shared" si="320"/>
        <v>#N/A</v>
      </c>
      <c r="NJ158" s="14" t="e">
        <f t="shared" si="275"/>
        <v>#N/A</v>
      </c>
      <c r="NK158" s="59" t="e">
        <f t="shared" si="276"/>
        <v>#N/A</v>
      </c>
      <c r="NL158" s="20" t="e">
        <f ca="1">AVERAGE(OFFSET($NK$3,0,0,'Données projet'!$E$26+1,1))-AVERAGE(OFFSET($H$3,0,0,'Données projet'!$E$26+1,1))</f>
        <v>#N/A</v>
      </c>
      <c r="NM158" s="59" t="e">
        <f t="shared" si="321"/>
        <v>#N/A</v>
      </c>
      <c r="NN158" s="15">
        <f>IF(ISNA(VLOOKUP($A158,'Données projet'!$A$486:$I$506,3,0)),0,VLOOKUP($A158,'Données projet'!$A$486:$I$506,3,0))</f>
        <v>0</v>
      </c>
      <c r="NO158" s="15">
        <f>IF(ISNA(VLOOKUP($A158,'Données projet'!$A$486:$I$506,4,0)),0,VLOOKUP($A158,'Données projet'!$A$486:$I$506,4,0))</f>
        <v>0</v>
      </c>
      <c r="NP158" s="16">
        <f>IF(ISNA(VLOOKUP($A158,'Données projet'!$A$486:$I$506,5,0)),0%,VLOOKUP($A158,'Données projet'!$A$486:$I$506,5,0)*VLOOKUP('Données projet'!$B$26,Paramètres!$A$1:$I$89,7,0))</f>
        <v>0</v>
      </c>
      <c r="NQ158" s="16">
        <f>IF(ISNA(VLOOKUP($A158,'Données projet'!$A$486:$I$506,6,0)),0%,VLOOKUP($A158,'Données projet'!$A$486:$I$506,6,0)*VLOOKUP('Données projet'!$B$26,Paramètres!$A$1:$I$89,7,0))</f>
        <v>0</v>
      </c>
      <c r="NR158" s="16">
        <f>IF(ISNA(VLOOKUP($A158,'Données projet'!$A$486:$I$506,7,0)),0%,VLOOKUP($A158,'Données projet'!$A$486:$I$506,7,0))</f>
        <v>0</v>
      </c>
      <c r="NS158" s="21" t="e">
        <f>EXP(-LN(2)/35)*NS157+(1-EXP(-LN(2)/35))/(LN(2)/35)*NO158*NP158*VLOOKUP('Données projet'!$B$26,Paramètres!$A$1:$I$89,3,0)*0.475*44/12</f>
        <v>#N/A</v>
      </c>
      <c r="NT158" s="21" t="e">
        <f>EXP(-LN(2)/25)*NT157+(1-EXP(-LN(2)/25))/(LN(2)/25)*Calculateur!NO158*Calculateur!NQ158*VLOOKUP('Données projet'!$B$26,Paramètres!$A$1:$I$89,3,0)*0.475*44/12</f>
        <v>#N/A</v>
      </c>
      <c r="NU158" s="21" t="e">
        <f>EXP(-LN(2)/2)*NU157+(1-EXP(-LN(2)/2))/(LN(2)/2)*NO158*NR158*VLOOKUP('Données projet'!$B$26,Paramètres!$A$1:$I$89,3,0)*0.475*44/12</f>
        <v>#N/A</v>
      </c>
      <c r="NV158" s="22" t="e">
        <f t="shared" si="277"/>
        <v>#N/A</v>
      </c>
      <c r="NW158" s="74">
        <f>('Scénario référence'!$F$8+'Scénario référence'!$F$9+'Scénario référence'!$B$17+'Scénario référence'!$B$9+'Scénario référence'!$B$10)*70+IF((45+25*(1-EXP(-0.0175*$A158)))&lt;70,'Scénario référence'!$B$16*(45+25*(1-EXP(-0.0175*$A158))),70*'Scénario référence'!$B$16)+IF((32+38*(1-EXP(-0.0175*$A158)))&lt;70,'Scénario référence'!$B$18*(32+38*(1-EXP(-0.0175*$A158))),70*'Scénario référence'!$B$18)</f>
        <v>70</v>
      </c>
      <c r="NX158" s="12">
        <f>IF($A158&gt;30,10,('Scénario référence'!$B$16+'Scénario référence'!$B$17+'Scénario référence'!$B$18+'Scénario référence'!$B$9+'Scénario référence'!$B$10)*$A158*10/30+('Scénario référence'!$F$8+'Scénario référence'!$F$9)*10)</f>
        <v>10</v>
      </c>
      <c r="NY158" s="12" t="e">
        <f>VLOOKUP($A158,'Données projet'!$A$512:$I$532,2,0)</f>
        <v>#N/A</v>
      </c>
      <c r="NZ158" s="12" t="e">
        <f>VLOOKUP($A158,'Données projet'!$A$512:$I$532,9,0)</f>
        <v>#N/A</v>
      </c>
      <c r="OA158" s="12">
        <f t="array" ref="OA158">INDEX(NZ:NZ,MIN(IF(ISNUMBER(NZ158:NZ354),ROW(NZ158:NZ354),"")))</f>
        <v>0</v>
      </c>
      <c r="OB158" s="12">
        <f>IF('Données projet'!$A$512&gt;35,OB157+OA158-OJ157,IF($A158&lt;'Données projet'!$A$512,$CQ$205^$A158,IF($A158='Données projet'!$A$512,'Données projet'!$B$512,OB157+OA158-OJ157)))</f>
        <v>0</v>
      </c>
      <c r="OC158" s="17" t="e">
        <f>OB158*VLOOKUP('Données projet'!$B$27,Paramètres!$A$1:$I$89,3,0)*VLOOKUP('Données projet'!$B$27,Paramètres!$A$1:$I$89,5,0)</f>
        <v>#N/A</v>
      </c>
      <c r="OD158" s="13" t="e">
        <f t="shared" si="322"/>
        <v>#N/A</v>
      </c>
      <c r="OE158" s="14" t="e">
        <f t="shared" si="278"/>
        <v>#N/A</v>
      </c>
      <c r="OF158" s="59" t="e">
        <f t="shared" si="279"/>
        <v>#N/A</v>
      </c>
      <c r="OG158" s="20" t="e">
        <f ca="1">AVERAGE(OFFSET($OF$3,0,0,'Données projet'!$E$27+1,1))-AVERAGE(OFFSET($H$3,0,0,'Données projet'!$E$27+1,1))</f>
        <v>#N/A</v>
      </c>
      <c r="OH158" s="59" t="e">
        <f t="shared" si="323"/>
        <v>#N/A</v>
      </c>
      <c r="OI158" s="15">
        <f>IF(ISNA(VLOOKUP($A158,'Données projet'!$A$512:$I$532,3,0)),0,VLOOKUP($A158,'Données projet'!$A$512:$I$532,3,0))</f>
        <v>0</v>
      </c>
      <c r="OJ158" s="15">
        <f>IF(ISNA(VLOOKUP($A158,'Données projet'!$A$512:$I$532,4,0)),0,VLOOKUP($A158,'Données projet'!$A$512:$I$532,4,0))</f>
        <v>0</v>
      </c>
      <c r="OK158" s="16">
        <f>IF(ISNA(VLOOKUP($A158,'Données projet'!$A$512:$I$532,5,0)),0%,VLOOKUP($A158,'Données projet'!$A$512:$I$532,5,0)*VLOOKUP('Données projet'!$B$27,Paramètres!$A$1:$I$89,7,0))</f>
        <v>0</v>
      </c>
      <c r="OL158" s="16">
        <f>IF(ISNA(VLOOKUP($A158,'Données projet'!$A$512:$I$532,6,0)),0%,VLOOKUP($A158,'Données projet'!$A$512:$I$532,6,0)*VLOOKUP('Données projet'!$B$27,Paramètres!$A$1:$I$89,7,0))</f>
        <v>0</v>
      </c>
      <c r="OM158" s="16">
        <f>IF(ISNA(VLOOKUP($A158,'Données projet'!$A$512:$I$532,7,0)),0%,VLOOKUP($A158,'Données projet'!$A$512:$I$532,7,0))</f>
        <v>0</v>
      </c>
      <c r="ON158" s="21" t="e">
        <f>EXP(-LN(2)/35)*ON157+(1-EXP(-LN(2)/35))/(LN(2)/35)*OJ158*OK158*VLOOKUP('Données projet'!$B$27,Paramètres!$A$1:$I$89,3,0)*0.475*44/12</f>
        <v>#N/A</v>
      </c>
      <c r="OO158" s="21" t="e">
        <f>EXP(-LN(2)/25)*OO157+(1-EXP(-LN(2)/25))/(LN(2)/25)*Calculateur!OJ158*Calculateur!OL158*VLOOKUP('Données projet'!$B$27,Paramètres!$A$1:$I$89,3,0)*0.475*44/12</f>
        <v>#N/A</v>
      </c>
      <c r="OP158" s="21" t="e">
        <f>EXP(-LN(2)/2)*OP157+(1-EXP(-LN(2)/2))/(LN(2)/2)*OJ158*OM158*VLOOKUP('Données projet'!$B$27,Paramètres!$A$1:$I$89,3,0)*0.475*44/12</f>
        <v>#N/A</v>
      </c>
      <c r="OQ158" s="22" t="e">
        <f t="shared" si="280"/>
        <v>#N/A</v>
      </c>
      <c r="OR158" s="74">
        <f>('Scénario référence'!$F$8+'Scénario référence'!$F$9+'Scénario référence'!$B$17+'Scénario référence'!$B$9+'Scénario référence'!$B$10)*70+IF((45+25*(1-EXP(-0.0175*$A158)))&lt;70,'Scénario référence'!$B$16*(45+25*(1-EXP(-0.0175*$A158))),70*'Scénario référence'!$B$16)+IF((32+38*(1-EXP(-0.0175*$A158)))&lt;70,'Scénario référence'!$B$18*(32+38*(1-EXP(-0.0175*$A158))),70*'Scénario référence'!$B$18)</f>
        <v>70</v>
      </c>
      <c r="OS158" s="12">
        <f>IF($A158&gt;30,10,('Scénario référence'!$B$16+'Scénario référence'!$B$17+'Scénario référence'!$B$18+'Scénario référence'!$B$9+'Scénario référence'!$B$10)*$A158*10/30+('Scénario référence'!$F$8+'Scénario référence'!$F$9)*10)</f>
        <v>10</v>
      </c>
      <c r="OT158" s="12" t="e">
        <f>VLOOKUP($A158,'Données projet'!$A$538:$I$558,2,0)</f>
        <v>#N/A</v>
      </c>
      <c r="OU158" s="12" t="e">
        <f>VLOOKUP($A158,'Données projet'!$A$538:$I$558,9,0)</f>
        <v>#N/A</v>
      </c>
      <c r="OV158" s="12">
        <f t="array" ref="OV158">INDEX(OU:OU,MIN(IF(ISNUMBER(OU158:OU354),ROW(OU158:OU354),"")))</f>
        <v>0</v>
      </c>
      <c r="OW158" s="12">
        <f>IF('Données projet'!$A$538&gt;35,OW157+OV158-PE157,IF($A158&lt;'Données projet'!$A$538,$CQ$205^$A158,IF($A158='Données projet'!$A$538,'Données projet'!$B$538,OW157+OV158-PE157)))</f>
        <v>0</v>
      </c>
      <c r="OX158" s="17" t="e">
        <f>OW158*VLOOKUP('Données projet'!$B$28,Paramètres!$A$1:$I$89,3,0)*VLOOKUP('Données projet'!$B$28,Paramètres!$A$1:$I$89,5,0)</f>
        <v>#N/A</v>
      </c>
      <c r="OY158" s="13" t="e">
        <f t="shared" si="324"/>
        <v>#N/A</v>
      </c>
      <c r="OZ158" s="14" t="e">
        <f t="shared" si="281"/>
        <v>#N/A</v>
      </c>
      <c r="PA158" s="59" t="e">
        <f t="shared" si="282"/>
        <v>#N/A</v>
      </c>
      <c r="PB158" s="20" t="e">
        <f ca="1">AVERAGE(OFFSET($PA$3,0,0,'Données projet'!$E$28+1,1))-AVERAGE(OFFSET($H$3,0,0,'Données projet'!$E$28+1,1))</f>
        <v>#N/A</v>
      </c>
      <c r="PC158" s="59" t="e">
        <f t="shared" si="325"/>
        <v>#N/A</v>
      </c>
      <c r="PD158" s="15">
        <f>IF(ISNA(VLOOKUP($A158,'Données projet'!$A$538:$I$558,3,0)),0,VLOOKUP($A158,'Données projet'!$A$538:$I$558,3,0))</f>
        <v>0</v>
      </c>
      <c r="PE158" s="15">
        <f>IF(ISNA(VLOOKUP($A158,'Données projet'!$A$538:$I$558,4,0)),0,VLOOKUP($A158,'Données projet'!$A$538:$I$558,4,0))</f>
        <v>0</v>
      </c>
      <c r="PF158" s="16">
        <f>IF(ISNA(VLOOKUP($A158,'Données projet'!$A$538:$I$558,5,0)),0%,VLOOKUP($A158,'Données projet'!$A$538:$I$558,5,0)*VLOOKUP('Données projet'!$B$28,Paramètres!$A$1:$I$89,7,0))</f>
        <v>0</v>
      </c>
      <c r="PG158" s="16">
        <f>IF(ISNA(VLOOKUP($A158,'Données projet'!$A$538:$I$558,6,0)),0%,VLOOKUP($A158,'Données projet'!$A$538:$I$558,6,0)*VLOOKUP('Données projet'!$B$28,Paramètres!$A$1:$I$89,7,0))</f>
        <v>0</v>
      </c>
      <c r="PH158" s="16">
        <f>IF(ISNA(VLOOKUP($A158,'Données projet'!$A$538:$I$558,7,0)),0%,VLOOKUP($A158,'Données projet'!$A$538:$I$558,7,0))</f>
        <v>0</v>
      </c>
      <c r="PI158" s="21" t="e">
        <f>EXP(-LN(2)/35)*PI157+(1-EXP(-LN(2)/35))/(LN(2)/35)*PE158*PF158*VLOOKUP('Données projet'!$B$28,Paramètres!$A$1:$I$89,3,0)*0.475*44/12</f>
        <v>#N/A</v>
      </c>
      <c r="PJ158" s="21" t="e">
        <f>EXP(-LN(2)/25)*PJ157+(1-EXP(-LN(2)/25))/(LN(2)/25)*Calculateur!PE158*Calculateur!PG158*VLOOKUP('Données projet'!$B$28,Paramètres!$A$1:$I$89,3,0)*0.475*44/12</f>
        <v>#N/A</v>
      </c>
      <c r="PK158" s="21" t="e">
        <f>EXP(-LN(2)/2)*PK157+(1-EXP(-LN(2)/2))/(LN(2)/2)*PE158*PH158*VLOOKUP('Données projet'!$B$28,Paramètres!$A$1:$I$89,3,0)*0.475*44/12</f>
        <v>#N/A</v>
      </c>
      <c r="PL158" s="22" t="e">
        <f t="shared" si="283"/>
        <v>#N/A</v>
      </c>
    </row>
    <row r="159" spans="1:428" x14ac:dyDescent="0.35">
      <c r="A159" s="10">
        <f t="shared" si="326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285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225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projet'!$A$45:$I$65,2,0)</f>
        <v>#N/A</v>
      </c>
      <c r="L159" s="12" t="e">
        <f>VLOOKUP(A159,'Données projet'!$A$45:$I$65,9,0)</f>
        <v>#N/A</v>
      </c>
      <c r="M159" s="12">
        <f t="array" ref="M159">INDEX(L:L,MIN(IF(ISNUMBER(L159:L355),ROW(L159:L355),"")))</f>
        <v>0</v>
      </c>
      <c r="N159" s="13">
        <f>IF('Données projet'!$A$46&gt;35,N158+M159-V158,IF(A159&lt;'Données projet'!$A$46,$K$205^A159,IF(A159='Données projet'!$A$46,'Données projet'!$B$46,N158+M159-V158)))</f>
        <v>-1.1368683772161603E-13</v>
      </c>
      <c r="O159" s="13">
        <f>N159*VLOOKUP('Données projet'!$B$9,Paramètres!$A$1:$I$89,3,0)*VLOOKUP('Données projet'!$B$9,Paramètres!$A$1:$I$89,5,0)</f>
        <v>-6.3550942286383367E-14</v>
      </c>
      <c r="P159" s="13" t="e">
        <f t="shared" si="286"/>
        <v>#NUM!</v>
      </c>
      <c r="Q159" s="20" t="e">
        <f t="shared" si="327"/>
        <v>#NUM!</v>
      </c>
      <c r="R159" s="59" t="e">
        <f t="shared" si="224"/>
        <v>#NUM!</v>
      </c>
      <c r="S159" s="59">
        <f ca="1">AVERAGE(OFFSET($R$3,0,0,'Données projet'!$E$9+1,1))-AVERAGE(OFFSET($H$3,0,0,'Données projet'!$E$9+1,1))</f>
        <v>274.57619581652199</v>
      </c>
      <c r="T159" s="59">
        <f t="shared" si="287"/>
        <v>366.15117322598775</v>
      </c>
      <c r="U159" s="15">
        <f>IF(ISNA(VLOOKUP(A159,'Données projet'!$A$45:$I$65,3,0)),0,VLOOKUP(A159,'Données projet'!$A$45:$I$65,3,0))</f>
        <v>0</v>
      </c>
      <c r="V159" s="15">
        <f>IF(ISNA(VLOOKUP(A159,'Données projet'!$A$45:$I$65,4,0)),0,VLOOKUP(A159,'Données projet'!$A$45:$I$65,4,0))</f>
        <v>0</v>
      </c>
      <c r="W159" s="16">
        <f>IF(ISNA(VLOOKUP(A159,'Données projet'!$A$45:$I$65,5,0)),0%,VLOOKUP(A159,'Données projet'!$A$45:$I$65,5,0)*VLOOKUP('Données projet'!$B$9,Paramètres!$A$1:$I$89,7,0))</f>
        <v>0</v>
      </c>
      <c r="X159" s="16">
        <f>IF(ISNA(VLOOKUP(A159,'Données projet'!$A$45:$I$65,6,0)),0%,VLOOKUP(A159,'Données projet'!$A$45:$I$65,6,0)*VLOOKUP('Données projet'!$B$9,Paramètres!$A$1:$I$89,7,0))</f>
        <v>0</v>
      </c>
      <c r="Y159" s="16">
        <f>IF(ISNA(VLOOKUP(A159,'Données projet'!$A$45:$I$65,7,0)),0%,VLOOKUP(A159,'Données projet'!$A$45:$I$65,7,0))</f>
        <v>0</v>
      </c>
      <c r="Z159" s="21">
        <f>EXP(-LN(2)/35)*Z158+(1-EXP(-LN(2)/35))/(LN(2)/35)*V159*W159*VLOOKUP('Données projet'!$B$9,Paramètres!$A$1:$I$89,3,0)*0.475*44/12</f>
        <v>30.667807908751463</v>
      </c>
      <c r="AA159" s="21">
        <f>EXP(-LN(2)/25)*AA158+(1-EXP(-LN(2)/25))/(LN(2)/25)*Calculateur!V159*Calculateur!X159*VLOOKUP('Données projet'!$B$9,Paramètres!$A$1:$I$89,3,0)*0.475*44/12</f>
        <v>3.502024708660457</v>
      </c>
      <c r="AB159" s="21">
        <f>EXP(-LN(2)/2)*AB158+(1-EXP(-LN(2)/2))/(LN(2)/2)*V159*Y159*VLOOKUP('Données projet'!$B$9,Paramètres!$A$1:$I$89,3,0)*0.475*44/12</f>
        <v>2.1454562318264337E-14</v>
      </c>
      <c r="AC159" s="22">
        <f t="shared" si="328"/>
        <v>34.169832617411942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projet'!$A$71:$I$91,2,0)</f>
        <v>#N/A</v>
      </c>
      <c r="AG159" s="12" t="e">
        <f>VLOOKUP(A159,'Données projet'!$A$71:$I$91,9,0)</f>
        <v>#N/A</v>
      </c>
      <c r="AH159" s="12">
        <f t="array" ref="AH159">INDEX(AG:AG,MIN(IF(ISNUMBER(AG159:AG355),ROW(AG159:AG355),"")))</f>
        <v>0</v>
      </c>
      <c r="AI159" s="13">
        <f>IF('Données projet'!$A$72&gt;35,AI158+AH159-AQ158,IF(A159&lt;'Données projet'!$A$72,$AF$205^A159,IF(A159='Données projet'!$A$72,'Données projet'!$B$72,AI158+AH159-AQ158)))</f>
        <v>5.6843418860808015E-13</v>
      </c>
      <c r="AJ159" s="13">
        <f>AI159*VLOOKUP('Données projet'!$B$10,Paramètres!$A$1:$I$89,3,0)*VLOOKUP('Données projet'!$B$10,Paramètres!$A$1:$I$89,5,0)</f>
        <v>5.1431925385259092E-13</v>
      </c>
      <c r="AK159" s="13">
        <f t="shared" si="329"/>
        <v>6.3855359115685756E-12</v>
      </c>
      <c r="AL159" s="20">
        <f t="shared" si="330"/>
        <v>1.2017247746441865E-11</v>
      </c>
      <c r="AM159" s="59">
        <f t="shared" si="228"/>
        <v>293.33333333334531</v>
      </c>
      <c r="AN159" s="59">
        <f ca="1">AVERAGE(OFFSET($AM$3,0,0,'Données projet'!$E$10+1,1))-AVERAGE(OFFSET($H$3,0,0,'Données projet'!$E$10+1,1))</f>
        <v>270.87836509222456</v>
      </c>
      <c r="AO159" s="59">
        <f t="shared" si="289"/>
        <v>205.24998237949734</v>
      </c>
      <c r="AP159" s="15">
        <f>IF(ISNA(VLOOKUP(A159,'Données projet'!$A$71:$I$91,3,0)),0,VLOOKUP(A159,'Données projet'!$A$71:$I$91,3,0))</f>
        <v>0</v>
      </c>
      <c r="AQ159" s="15">
        <f>IF(ISNA(VLOOKUP(A159,'Données projet'!$A$71:$I$91,4,0)),0,VLOOKUP(A159,'Données projet'!$A$71:$I$91,4,0))</f>
        <v>0</v>
      </c>
      <c r="AR159" s="16">
        <f>IF(ISNA(VLOOKUP(A159,'Données projet'!$A$71:$I$91,5,0)),0%,VLOOKUP(A159,'Données projet'!$A$71:$I$91,5,0)*VLOOKUP('Données projet'!$B$10,Paramètres!$A$1:$I$89,7,0))</f>
        <v>0</v>
      </c>
      <c r="AS159" s="16">
        <f>IF(ISNA(VLOOKUP(A159,'Données projet'!$A$71:$I$91,6,0)),0%,VLOOKUP(A159,'Données projet'!$A$71:$I$91,6,0)*VLOOKUP('Données projet'!$B$10,Paramètres!$A$1:$I$89,7,0))</f>
        <v>0</v>
      </c>
      <c r="AT159" s="16">
        <f>IF(ISNA(VLOOKUP(A159,'Données projet'!$A$71:$I$91,7,0)),0%,VLOOKUP(A159,'Données projet'!$A$71:$I$91,7,0))</f>
        <v>0</v>
      </c>
      <c r="AU159" s="21">
        <f>EXP(-LN(2)/35)*AU158+(1-EXP(-LN(2)/35))/(LN(2)/35)*AQ159*AR159*VLOOKUP('Données projet'!$B$10,Paramètres!$A$1:$I$89,3,0)*0.475*44/12</f>
        <v>104.21702472971897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331"/>
        <v>104.21702472971897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projet'!$A$97:$I$117,2,0)</f>
        <v>#N/A</v>
      </c>
      <c r="BB159" s="12" t="e">
        <f>VLOOKUP(A159,'Données projet'!$A$97:$I$117,9,0)</f>
        <v>#N/A</v>
      </c>
      <c r="BC159" s="12">
        <f t="array" ref="BC159">INDEX(BB:BB,MIN(IF(ISNUMBER(BB159:BB355),ROW(BB159:BB355),"")))</f>
        <v>0</v>
      </c>
      <c r="BD159" s="12">
        <f>IF('Données projet'!$A$98&gt;35,BD158+BC159-BL158,IF(A159&lt;'Données projet'!$A$98,$BA$205^A159,IF(A159='Données projet'!$A$98,'Données projet'!$B$98,BD158+BC159-BL158)))</f>
        <v>-1.1368683772161603E-13</v>
      </c>
      <c r="BE159" s="13">
        <f>BD159*VLOOKUP('Données projet'!$B$11,Paramètres!$A$1:$I$89,3,0)*VLOOKUP('Données projet'!$B$11,Paramètres!$A$1:$I$89,5,0)</f>
        <v>-5.0249582272954292E-14</v>
      </c>
      <c r="BF159" s="13" t="e">
        <f t="shared" si="332"/>
        <v>#NUM!</v>
      </c>
      <c r="BG159" s="20" t="e">
        <f t="shared" si="333"/>
        <v>#NUM!</v>
      </c>
      <c r="BH159" s="59" t="e">
        <f t="shared" si="231"/>
        <v>#NUM!</v>
      </c>
      <c r="BI159" s="59">
        <f ca="1">AVERAGE(OFFSET($BH$3,0,0,'Données projet'!$E$11+1,1))-AVERAGE(OFFSET($H$3,0,0,'Données projet'!$E$11+1,1))</f>
        <v>211.31057120485542</v>
      </c>
      <c r="BJ159" s="59">
        <f t="shared" si="291"/>
        <v>283.33292006714777</v>
      </c>
      <c r="BK159" s="15">
        <f>IF(ISNA(VLOOKUP(A159,'Données projet'!$A$97:$I$117,3,0)),0,VLOOKUP(A159,'Données projet'!$A$97:$I$117,3,0))</f>
        <v>0</v>
      </c>
      <c r="BL159" s="15">
        <f>IF(ISNA(VLOOKUP(A159,'Données projet'!$A$97:$I$117,4,0)),0,VLOOKUP(A159,'Données projet'!$A$97:$I$117,4,0))</f>
        <v>0</v>
      </c>
      <c r="BM159" s="16">
        <f>IF(ISNA(VLOOKUP(A159,'Données projet'!$A$97:$I$117,5,0)),0%,VLOOKUP(A159,'Données projet'!$A$97:$I$117,5,0)*VLOOKUP('Données projet'!$B$11,Paramètres!$A$1:$I$89,7,0))</f>
        <v>0</v>
      </c>
      <c r="BN159" s="16">
        <f>IF(ISNA(VLOOKUP(A159,'Données projet'!$A$97:$I$117,6,0)),0%,VLOOKUP(A159,'Données projet'!$A$97:$I$117,6,0)*VLOOKUP('Données projet'!$B$11,Paramètres!$A$1:$I$89,7,0))</f>
        <v>0</v>
      </c>
      <c r="BO159" s="16">
        <f>IF(ISNA(VLOOKUP(A159,'Données projet'!$A$97:$I$117,7,0)),0%,VLOOKUP(A159,'Données projet'!$A$97:$I$117,7,0))</f>
        <v>0</v>
      </c>
      <c r="BP159" s="21">
        <f>EXP(-LN(2)/35)*BP158+(1-EXP(-LN(2)/35))/(LN(2)/35)*BL159*BM159*VLOOKUP('Données projet'!$B$11,Paramètres!$A$1:$I$89,3,0)*0.475*44/12</f>
        <v>24.24896439296629</v>
      </c>
      <c r="BQ159" s="21">
        <f>EXP(-LN(2)/25)*BQ158+(1-EXP(-LN(2)/25))/(LN(2)/25)*Calculateur!BL159*Calculateur!BN159*VLOOKUP('Données projet'!$B$11,Paramètres!$A$1:$I$89,3,0)*0.475*44/12</f>
        <v>2.7690427928943131</v>
      </c>
      <c r="BR159" s="21">
        <f>EXP(-LN(2)/2)*BR158+(1-EXP(-LN(2)/2))/(LN(2)/2)*BL159*BO159*VLOOKUP('Données projet'!$B$11,Paramètres!$A$1:$I$89,3,0)*0.475*44/12</f>
        <v>1.6964072530720635E-14</v>
      </c>
      <c r="BS159" s="22">
        <f t="shared" si="334"/>
        <v>27.018007185860622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projet'!$A$123:$I$143,2,0)</f>
        <v>#N/A</v>
      </c>
      <c r="BW159" s="12" t="e">
        <f>VLOOKUP(A159,'Données projet'!$A$123:$I$143,9,0)</f>
        <v>#N/A</v>
      </c>
      <c r="BX159" s="12">
        <f t="array" ref="BX159">INDEX(BW:BW,MIN(IF(ISNUMBER(BW159:BW355),ROW(BW159:BW355),"")))</f>
        <v>0</v>
      </c>
      <c r="BY159" s="12">
        <f>IF('Données projet'!$A$124&gt;35,BY158+BX159-CG158,IF(A159&lt;'Données projet'!$A$124,$BV$205^A159,IF(A159='Données projet'!$A$124,'Données projet'!$B$124,BY158+BX159-CG158)))</f>
        <v>0</v>
      </c>
      <c r="BZ159" s="13">
        <f>BY159*VLOOKUP('Données projet'!$B$12,Paramètres!$A$1:$I$89,3,0)*VLOOKUP('Données projet'!$B$12,Paramètres!$A$1:$I$89,5,0)</f>
        <v>0</v>
      </c>
      <c r="CA159" s="13" t="e">
        <f t="shared" si="335"/>
        <v>#NUM!</v>
      </c>
      <c r="CB159" s="20" t="e">
        <f t="shared" si="336"/>
        <v>#NUM!</v>
      </c>
      <c r="CC159" s="59" t="e">
        <f t="shared" si="234"/>
        <v>#NUM!</v>
      </c>
      <c r="CD159" s="59">
        <f ca="1">AVERAGE(OFFSET($CC$3,0,0,'Données projet'!$E$12+1,1))-AVERAGE(OFFSET($H$3,0,0,'Données projet'!$E$12+1,1))</f>
        <v>322.93502595881938</v>
      </c>
      <c r="CE159" s="59">
        <f t="shared" si="293"/>
        <v>302.67072119588164</v>
      </c>
      <c r="CF159" s="15">
        <f>IF(ISNA(VLOOKUP(A159,'Données projet'!$A$123:$I$143,3,0)),0,VLOOKUP(A159,'Données projet'!$A$123:$I$143,3,0))</f>
        <v>0</v>
      </c>
      <c r="CG159" s="15">
        <f>IF(ISNA(VLOOKUP(A159,'Données projet'!$A$123:$I$143,4,0)),0,VLOOKUP(A159,'Données projet'!$A$123:$I$143,4,0))</f>
        <v>0</v>
      </c>
      <c r="CH159" s="16">
        <f>IF(ISNA(VLOOKUP(A159,'Données projet'!$A$123:$I$143,5,0)),0%,VLOOKUP(A159,'Données projet'!$A$123:$I$143,5,0)*VLOOKUP('Données projet'!$B$12,Paramètres!$A$1:$I$89,7,0))</f>
        <v>0</v>
      </c>
      <c r="CI159" s="16">
        <f>IF(ISNA(VLOOKUP(A159,'Données projet'!$A$123:$I$143,6,0)),0%,VLOOKUP(A159,'Données projet'!$A$123:$I$143,6,0)*VLOOKUP('Données projet'!$B$12,Paramètres!$A$1:$I$89,7,0))</f>
        <v>0</v>
      </c>
      <c r="CJ159" s="16">
        <f>IF(ISNA(VLOOKUP(A159,'Données projet'!$A$123:$I$143,7,0)),0%,VLOOKUP(A159,'Données projet'!$A$123:$I$143,7,0))</f>
        <v>0</v>
      </c>
      <c r="CK159" s="21">
        <f>EXP(-LN(2)/35)*CK158+(1-EXP(-LN(2)/35))/(LN(2)/35)*CG159*CH159*VLOOKUP('Données projet'!$B$12,Paramètres!$A$1:$I$89,3,0)*0.475*44/12</f>
        <v>38.63445965740172</v>
      </c>
      <c r="CL159" s="21">
        <f>EXP(-LN(2)/25)*CL158+(1-EXP(-LN(2)/25))/(LN(2)/25)*Calculateur!CG159*Calculateur!CI159*VLOOKUP('Données projet'!$B$12,Paramètres!$A$1:$I$89,3,0)*0.475*44/12</f>
        <v>8.8626123160580477</v>
      </c>
      <c r="CM159" s="21">
        <f>EXP(-LN(2)/2)*CM158+(1-EXP(-LN(2)/2))/(LN(2)/2)*CG159*CJ159*VLOOKUP('Données projet'!$B$12,Paramètres!$A$1:$I$89,3,0)*0.475*44/12</f>
        <v>0</v>
      </c>
      <c r="CN159" s="22">
        <f t="shared" si="337"/>
        <v>47.497071973459768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projet'!$A$149:$I$169,2,0)</f>
        <v>#N/A</v>
      </c>
      <c r="CR159" s="12" t="e">
        <f>VLOOKUP(A159,'Données projet'!$A$149:$I$169,9,0)</f>
        <v>#N/A</v>
      </c>
      <c r="CS159" s="12">
        <f t="array" ref="CS159">INDEX(CR:CR,MIN(IF(ISNUMBER(CR159:CR355),ROW(CR159:CR355),"")))</f>
        <v>1.8717948717948829</v>
      </c>
      <c r="CT159" s="12">
        <f>IF('Données projet'!$A$150&gt;35,CT158+CS159-DB158,IF(A159&lt;'Données projet'!$A$150,$CQ$205^A159,IF(A159='Données projet'!$A$150,'Données projet'!$B$150,CT158+CS159-DB158)))</f>
        <v>130.55769230769181</v>
      </c>
      <c r="CU159" s="17">
        <f>CT159*VLOOKUP('Données projet'!$B$13,Paramètres!$A$1:$I$89,3,0)*VLOOKUP('Données projet'!$B$13,Paramètres!$A$1:$I$89,5,0)</f>
        <v>132.38549999999952</v>
      </c>
      <c r="CV159" s="13">
        <f t="shared" si="338"/>
        <v>34.546993638315641</v>
      </c>
      <c r="CW159" s="20">
        <f t="shared" si="339"/>
        <v>290.74075975339895</v>
      </c>
      <c r="CX159" s="59">
        <f t="shared" si="237"/>
        <v>584.07409308673232</v>
      </c>
      <c r="CY159" s="59">
        <f ca="1">AVERAGE(OFFSET($CX$3,0,0,'Données projet'!$E$13+1,1))-AVERAGE(OFFSET($H$3,0,0,'Données projet'!$E$13+1,1))</f>
        <v>250.31277422753283</v>
      </c>
      <c r="CZ159" s="59">
        <f t="shared" si="295"/>
        <v>159.20429420478047</v>
      </c>
      <c r="DA159" s="15">
        <f>IF(ISNA(VLOOKUP(A159,'Données projet'!$A$149:$I$169,3,0)),0,VLOOKUP(A159,'Données projet'!$A$149:$I$169,3,0))</f>
        <v>0</v>
      </c>
      <c r="DB159" s="15">
        <f>IF(ISNA(VLOOKUP(A159,'Données projet'!$A$149:$I$169,4,0)),0,VLOOKUP(A159,'Données projet'!$A$149:$I$169,4,0))</f>
        <v>0</v>
      </c>
      <c r="DC159" s="16">
        <f>IF(ISNA(VLOOKUP(A159,'Données projet'!$A$149:$I$169,5,0)),0%,VLOOKUP(A159,'Données projet'!$A$149:$I$169,5,0)*VLOOKUP('Données projet'!$B$13,Paramètres!$A$1:$I$89,7,0))</f>
        <v>0</v>
      </c>
      <c r="DD159" s="16">
        <f>IF(ISNA(VLOOKUP(A159,'Données projet'!$A$149:$I$169,6,0)),0%,VLOOKUP(A159,'Données projet'!$A$149:$I$169,6,0)*VLOOKUP('Données projet'!$B$13,Paramètres!$A$1:$I$89,7,0))</f>
        <v>0</v>
      </c>
      <c r="DE159" s="16">
        <f>IF(ISNA(VLOOKUP(A159,'Données projet'!$A$149:$I$169,7,0)),0%,VLOOKUP(A159,'Données projet'!$A$149:$I$169,7,0))</f>
        <v>0</v>
      </c>
      <c r="DF159" s="21">
        <f>EXP(-LN(2)/35)*DF158+(1-EXP(-LN(2)/35))/(LN(2)/35)*DB159*DC159*VLOOKUP('Données projet'!$B$13,Paramètres!$A$1:$I$89,3,0)*0.475*44/12</f>
        <v>111.88850607395798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340"/>
        <v>111.88850607395798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projet'!$A$175:$I$195,2,0)</f>
        <v>#N/A</v>
      </c>
      <c r="DM159" s="12" t="e">
        <f>VLOOKUP(A159,'Données projet'!$A$175:$I$195,9,0)</f>
        <v>#N/A</v>
      </c>
      <c r="DN159" s="12">
        <f t="array" ref="DN159">INDEX(DM:DM,MIN(IF(ISNUMBER(DM159:DM355),ROW(DM159:DM355),"")))</f>
        <v>0</v>
      </c>
      <c r="DO159" s="12">
        <f>IF('Données projet'!$A$176&gt;35,DO158+DN159-DW158,IF(A159&lt;'Données projet'!$A$176,$DL$205^A159,IF(A159='Données projet'!$A$176,'Données projet'!$B$176,DO158+DN159-DW158)))</f>
        <v>-2.8421709430404007E-13</v>
      </c>
      <c r="DP159" s="17">
        <f>DO159*VLOOKUP('Données projet'!$B$14,Paramètres!$A$1:$I$89,3,0)*VLOOKUP('Données projet'!$B$14,Paramètres!$A$1:$I$89,5,0)</f>
        <v>-2.0838797354372215E-13</v>
      </c>
      <c r="DQ159" s="13" t="e">
        <f t="shared" si="341"/>
        <v>#NUM!</v>
      </c>
      <c r="DR159" s="20" t="e">
        <f t="shared" si="342"/>
        <v>#NUM!</v>
      </c>
      <c r="DS159" s="59" t="e">
        <f t="shared" si="240"/>
        <v>#NUM!</v>
      </c>
      <c r="DT159" s="59">
        <f ca="1">AVERAGE(OFFSET($DS$3,0,0,'Données projet'!$E$14+1,1))-AVERAGE(OFFSET($H$3,0,0,'Données projet'!$E$14+1,1))</f>
        <v>296.91321813251051</v>
      </c>
      <c r="DU159" s="59">
        <f t="shared" si="297"/>
        <v>291.0718079639509</v>
      </c>
      <c r="DV159" s="15">
        <f>IF(ISNA(VLOOKUP(A159,'Données projet'!$A$175:$I$195,3,0)),0,VLOOKUP(A159,'Données projet'!$A$175:$I$195,3,0))</f>
        <v>0</v>
      </c>
      <c r="DW159" s="15">
        <f>IF(ISNA(VLOOKUP(A159,'Données projet'!$A$175:$I$195,4,0)),0,VLOOKUP(A159,'Données projet'!$A$175:$I$195,4,0))</f>
        <v>0</v>
      </c>
      <c r="DX159" s="16">
        <f>IF(ISNA(VLOOKUP(A159,'Données projet'!$A$175:$I$195,5,0)),0%,VLOOKUP(A159,'Données projet'!$A$175:$I$195,5,0)*VLOOKUP('Données projet'!$B$14,Paramètres!$A$1:$I$89,7,0))</f>
        <v>0</v>
      </c>
      <c r="DY159" s="16">
        <f>IF(ISNA(VLOOKUP(A159,'Données projet'!$A$175:$I$195,6,0)),0%,VLOOKUP(A159,'Données projet'!$A$175:$I$195,6,0)*VLOOKUP('Données projet'!$B$14,Paramètres!$A$1:$I$89,7,0))</f>
        <v>0</v>
      </c>
      <c r="DZ159" s="16">
        <f>IF(ISNA(VLOOKUP(A159,'Données projet'!$A$175:$I$195,7,0)),0%,VLOOKUP(A159,'Données projet'!$A$175:$I$195,7,0))</f>
        <v>0</v>
      </c>
      <c r="EA159" s="21">
        <f>EXP(-LN(2)/35)*EA158+(1-EXP(-LN(2)/35))/(LN(2)/35)*DW159*DX159*VLOOKUP('Données projet'!$B$14,Paramètres!$A$1:$I$89,3,0)*0.475*44/12</f>
        <v>38.506152957659097</v>
      </c>
      <c r="EB159" s="21">
        <f>EXP(-LN(2)/25)*EB158+(1-EXP(-LN(2)/25))/(LN(2)/25)*Calculateur!DW159*Calculateur!DY159*VLOOKUP('Données projet'!$B$14,Paramètres!$A$1:$I$89,3,0)*0.475*44/12</f>
        <v>0.65105553864484944</v>
      </c>
      <c r="EC159" s="21">
        <f>EXP(-LN(2)/2)*EC158+(1-EXP(-LN(2)/2))/(LN(2)/2)*DW159*DZ159*VLOOKUP('Données projet'!$B$14,Paramètres!$A$1:$I$89,3,0)*0.475*44/12</f>
        <v>0</v>
      </c>
      <c r="ED159" s="22">
        <f t="shared" si="343"/>
        <v>39.157208496303944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projet'!$A$201:$I$221,2,0)</f>
        <v>#N/A</v>
      </c>
      <c r="EH159" s="12" t="e">
        <f>VLOOKUP(A159,'Données projet'!$A$201:$I$221,9,0)</f>
        <v>#N/A</v>
      </c>
      <c r="EI159" s="12">
        <f t="array" ref="EI159">INDEX(EH:EH,MIN(IF(ISNUMBER(EH159:EH355),ROW(EH159:EH355),"")))</f>
        <v>0</v>
      </c>
      <c r="EJ159" s="12">
        <f>IF('Données projet'!$A$202&gt;35,EJ158+EI159-ER158,IF(A159&lt;'Données projet'!$A$202,$EG$205^A159,IF(A159='Données projet'!$A$202,'Données projet'!$B$202,EJ158+EI159-ER158)))</f>
        <v>5.1159076974727213E-13</v>
      </c>
      <c r="EK159" s="17">
        <f>EJ159*VLOOKUP('Données projet'!$B$15,Paramètres!$A$1:$I$89,3,0)*VLOOKUP('Données projet'!$B$15,Paramètres!$A$1:$I$89,5,0)</f>
        <v>2.3942448024172334E-13</v>
      </c>
      <c r="EL159" s="13">
        <f t="shared" si="344"/>
        <v>3.2492669905861755E-12</v>
      </c>
      <c r="EM159" s="20">
        <f t="shared" si="345"/>
        <v>6.0761376450252565E-12</v>
      </c>
      <c r="EN159" s="59">
        <f t="shared" si="243"/>
        <v>293.3333333333394</v>
      </c>
      <c r="EO159" s="59">
        <f ca="1">AVERAGE(OFFSET($EN$3,0,0,'Données projet'!$E$15+1,1))-AVERAGE(OFFSET($H$3,0,0,'Données projet'!$E$15+1,1))</f>
        <v>147.64256291235483</v>
      </c>
      <c r="EP159" s="59">
        <f t="shared" si="299"/>
        <v>70.859031694091868</v>
      </c>
      <c r="EQ159" s="15">
        <f>IF(ISNA(VLOOKUP(A159,'Données projet'!$A$201:$I$221,3,0)),0,VLOOKUP(A159,'Données projet'!$A$201:$I$221,3,0))</f>
        <v>0</v>
      </c>
      <c r="ER159" s="15">
        <f>IF(ISNA(VLOOKUP(A159,'Données projet'!$A$201:$I$221,4,0)),0,VLOOKUP(A159,'Données projet'!$A$201:$I$221,4,0))</f>
        <v>0</v>
      </c>
      <c r="ES159" s="16">
        <f>IF(ISNA(VLOOKUP(A159,'Données projet'!$A$201:$I$221,5,0)),0%,VLOOKUP(A159,'Données projet'!$A$201:$I$221,5,0)*VLOOKUP('Données projet'!$B$15,Paramètres!$A$1:$I$89,7,0))</f>
        <v>0</v>
      </c>
      <c r="ET159" s="16">
        <f>IF(ISNA(VLOOKUP(A159,'Données projet'!$A$201:$I$221,6,0)),0%,VLOOKUP(A159,'Données projet'!$A$201:$I$221,6,0)*VLOOKUP('Données projet'!$B$15,Paramètres!$A$1:$I$89,7,0))</f>
        <v>0</v>
      </c>
      <c r="EU159" s="16">
        <f>IF(ISNA(VLOOKUP(A159,'Données projet'!$A$201:$I$221,7,0)),0%,VLOOKUP(A159,'Données projet'!$A$201:$I$221,7,0))</f>
        <v>0</v>
      </c>
      <c r="EV159" s="21">
        <f>EXP(-LN(2)/35)*EV158+(1-EXP(-LN(2)/35))/(LN(2)/35)*ER159*ES159*VLOOKUP('Données projet'!$B$15,Paramètres!$A$1:$I$89,3,0)*0.475*44/12</f>
        <v>52.715530365341642</v>
      </c>
      <c r="EW159" s="21">
        <f>EXP(-LN(2)/25)*EW158+(1-EXP(-LN(2)/25))/(LN(2)/25)*Calculateur!ER159*Calculateur!ET159*VLOOKUP('Données projet'!$B$15,Paramètres!$A$1:$I$89,3,0)*0.475*44/12</f>
        <v>9.0327396713282049</v>
      </c>
      <c r="EX159" s="21">
        <f>EXP(-LN(2)/2)*EX158+(1-EXP(-LN(2)/2))/(LN(2)/2)*ER159*EU159*VLOOKUP('Données projet'!$B$15,Paramètres!$A$1:$I$89,3,0)*0.475*44/12</f>
        <v>1.5466788586843049E-6</v>
      </c>
      <c r="EY159" s="22">
        <f t="shared" si="346"/>
        <v>61.748271583348711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projet'!$A$227:$I$247,2,0)</f>
        <v>#N/A</v>
      </c>
      <c r="FC159" s="12" t="e">
        <f>VLOOKUP(A159,'Données projet'!$A$227:$I$247,9,0)</f>
        <v>#N/A</v>
      </c>
      <c r="FD159" s="12">
        <f t="array" ref="FD159">INDEX(FC:FC,MIN(IF(ISNUMBER(FC159:FC355),ROW(FC159:FC355),"")))</f>
        <v>0</v>
      </c>
      <c r="FE159" s="12">
        <f>IF('Données projet'!$A$228&gt;35,FE158+FD159-FM158,IF(A159&lt;'Données projet'!$A$228,$FB$205^A159,IF(A159='Données projet'!$A$228,'Données projet'!$B$228,FE158+FD159-FM158)))</f>
        <v>8.5265128291212022E-14</v>
      </c>
      <c r="FF159" s="17">
        <f>FE159*VLOOKUP('Données projet'!$B$16,Paramètres!$A$1:$I$89,3,0)*VLOOKUP('Données projet'!$B$16,Paramètres!$A$1:$I$89,5,0)</f>
        <v>8.9119112089974823E-14</v>
      </c>
      <c r="FG159" s="13">
        <f t="shared" si="347"/>
        <v>1.3568952080113142E-12</v>
      </c>
      <c r="FH159" s="20">
        <f t="shared" si="348"/>
        <v>2.5184749408430782E-12</v>
      </c>
      <c r="FI159" s="59">
        <f t="shared" si="246"/>
        <v>293.33333333333582</v>
      </c>
      <c r="FJ159" s="59">
        <f ca="1">AVERAGE(OFFSET($FI$3,0,0,'Données projet'!$E$16+1,1))-AVERAGE(OFFSET($H$3,0,0,'Données projet'!$E$16+1,1))</f>
        <v>259.03906550253788</v>
      </c>
      <c r="FK159" s="59">
        <f t="shared" si="301"/>
        <v>235.54542903570831</v>
      </c>
      <c r="FL159" s="15">
        <f>IF(ISNA(VLOOKUP(A159,'Données projet'!$A$227:$I$247,3,0)),0,VLOOKUP(A159,'Données projet'!$A$227:$I$247,3,0))</f>
        <v>0</v>
      </c>
      <c r="FM159" s="15">
        <f>IF(ISNA(VLOOKUP(A159,'Données projet'!$A$227:$I$247,4,0)),0,VLOOKUP(A159,'Données projet'!$A$227:$I$247,4,0))</f>
        <v>0</v>
      </c>
      <c r="FN159" s="16">
        <f>IF(ISNA(VLOOKUP(A159,'Données projet'!$A$227:$I$247,5,0)),0%,VLOOKUP(A159,'Données projet'!$A$227:$I$247,5,0)*VLOOKUP('Données projet'!$B$16,Paramètres!$A$1:$I$89,7,0))</f>
        <v>0</v>
      </c>
      <c r="FO159" s="16">
        <f>IF(ISNA(VLOOKUP(A159,'Données projet'!$A$227:$I$247,6,0)),0%,VLOOKUP(A159,'Données projet'!$A$227:$I$247,6,0)*VLOOKUP('Données projet'!$B$16,Paramètres!$A$1:$I$89,7,0))</f>
        <v>0</v>
      </c>
      <c r="FP159" s="16">
        <f>IF(ISNA(VLOOKUP(A159,'Données projet'!$A$227:$I$247,7,0)),0%,VLOOKUP(A159,'Données projet'!$A$227:$I$247,7,0))</f>
        <v>0</v>
      </c>
      <c r="FQ159" s="21">
        <f>EXP(-LN(2)/35)*FQ158+(1-EXP(-LN(2)/35))/(LN(2)/35)*FM159*FN159*VLOOKUP('Données projet'!$B$16,Paramètres!$A$1:$I$89,3,0)*0.475*44/12</f>
        <v>23.267202458486182</v>
      </c>
      <c r="FR159" s="21">
        <f>EXP(-LN(2)/25)*FR158+(1-EXP(-LN(2)/25))/(LN(2)/25)*Calculateur!FM159*Calculateur!FO159*VLOOKUP('Données projet'!$B$16,Paramètres!$A$1:$I$89,3,0)*0.475*44/12</f>
        <v>12.426111049943497</v>
      </c>
      <c r="FS159" s="21">
        <f>EXP(-LN(2)/2)*FS158+(1-EXP(-LN(2)/2))/(LN(2)/2)*FM159*FP159*VLOOKUP('Données projet'!$B$16,Paramètres!$A$1:$I$89,3,0)*0.475*44/12</f>
        <v>0</v>
      </c>
      <c r="FT159" s="22">
        <f t="shared" si="349"/>
        <v>35.693313508429682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projet'!$A$253:$I$273,2,0)</f>
        <v>#N/A</v>
      </c>
      <c r="FX159" s="12" t="e">
        <f>VLOOKUP(A159,'Données projet'!$A$253:$I$273,9,0)</f>
        <v>#N/A</v>
      </c>
      <c r="FY159" s="12">
        <f t="array" ref="FY159">INDEX(FX:FX,MIN(IF(ISNUMBER(FX159:FX355),ROW(FX159:FX355),"")))</f>
        <v>0</v>
      </c>
      <c r="FZ159" s="12">
        <f>IF('Données projet'!$A$254&gt;35,FZ158+FY159-GH158,IF(A159&lt;'Données projet'!$A$254,$FW$205^A159,IF(A159='Données projet'!$A$254,'Données projet'!$B$254,FZ158+FY159-GH158)))</f>
        <v>-1.7053025658242404E-13</v>
      </c>
      <c r="GA159" s="17">
        <f>FZ159*VLOOKUP('Données projet'!$B$17,Paramètres!$A$1:$I$89,3,0)*VLOOKUP('Données projet'!$B$17,Paramètres!$A$1:$I$89,5,0)</f>
        <v>-1.4897523215040567E-13</v>
      </c>
      <c r="GB159" s="13" t="e">
        <f t="shared" si="350"/>
        <v>#NUM!</v>
      </c>
      <c r="GC159" s="20" t="e">
        <f t="shared" si="351"/>
        <v>#NUM!</v>
      </c>
      <c r="GD159" s="59" t="e">
        <f t="shared" si="249"/>
        <v>#NUM!</v>
      </c>
      <c r="GE159" s="59">
        <f ca="1">AVERAGE(OFFSET($GD$3,0,0,'Données projet'!$E$17+1,1))-AVERAGE(OFFSET($H$3,0,0,'Données projet'!$E$17+1,1))</f>
        <v>245.1983232777614</v>
      </c>
      <c r="GF159" s="59">
        <f t="shared" si="303"/>
        <v>242.34010522344573</v>
      </c>
      <c r="GG159" s="15">
        <f>IF(ISNA(VLOOKUP(A159,'Données projet'!$A$253:$I$273,3,0)),0,VLOOKUP(A159,'Données projet'!$A$253:$I$273,3,0))</f>
        <v>0</v>
      </c>
      <c r="GH159" s="15">
        <f>IF(ISNA(VLOOKUP(A159,'Données projet'!$A$253:$I$273,4,0)),0,VLOOKUP(A159,'Données projet'!$A$253:$I$273,4,0))</f>
        <v>0</v>
      </c>
      <c r="GI159" s="16">
        <f>IF(ISNA(VLOOKUP(A159,'Données projet'!$A$253:$I$273,5,0)),0%,VLOOKUP(A159,'Données projet'!$A$253:$I$273,5,0)*VLOOKUP('Données projet'!$B$17,Paramètres!$A$1:$I$89,7,0))</f>
        <v>0</v>
      </c>
      <c r="GJ159" s="16">
        <f>IF(ISNA(VLOOKUP(A159,'Données projet'!$A$253:$I$273,6,0)),0%,VLOOKUP(A159,'Données projet'!$A$253:$I$273,6,0)*VLOOKUP('Données projet'!$B$17,Paramètres!$A$1:$I$89,7,0))</f>
        <v>0</v>
      </c>
      <c r="GK159" s="16">
        <f>IF(ISNA(VLOOKUP(A159,'Données projet'!$A$253:$I$273,7,0)),0%,VLOOKUP(A159,'Données projet'!$A$253:$I$273,7,0))</f>
        <v>0</v>
      </c>
      <c r="GL159" s="21">
        <f>EXP(-LN(2)/35)*GL158+(1-EXP(-LN(2)/35))/(LN(2)/35)*GH159*GI159*VLOOKUP('Données projet'!$B$17,Paramètres!$A$1:$I$89,3,0)*0.475*44/12</f>
        <v>27.353788803568555</v>
      </c>
      <c r="GM159" s="21">
        <f>EXP(-LN(2)/25)*GM158+(1-EXP(-LN(2)/25))/(LN(2)/25)*Calculateur!GH159*Calculateur!GJ159*VLOOKUP('Données projet'!$B$17,Paramètres!$A$1:$I$89,3,0)*0.475*44/12</f>
        <v>2.6477015443752121</v>
      </c>
      <c r="GN159" s="21">
        <f>EXP(-LN(2)/2)*GN158+(1-EXP(-LN(2)/2))/(LN(2)/2)*GH159*GK159*VLOOKUP('Données projet'!$B$17,Paramètres!$A$1:$I$89,3,0)*0.475*44/12</f>
        <v>0</v>
      </c>
      <c r="GO159" s="21">
        <f t="shared" si="352"/>
        <v>30.001490347943768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projet'!$A$279:$I$299,2,0)</f>
        <v>#N/A</v>
      </c>
      <c r="GS159" s="12" t="e">
        <f>VLOOKUP(A159,'Données projet'!$A$279:$I$299,9,0)</f>
        <v>#N/A</v>
      </c>
      <c r="GT159" s="12">
        <f t="array" ref="GT159">INDEX(GS:GS,MIN(IF(ISNUMBER(GS159:GS355),ROW(GS159:GS355),"")))</f>
        <v>0</v>
      </c>
      <c r="GU159" s="12">
        <f>IF('Données projet'!$A$280&gt;35,GU158+GT159-HC158,IF(A159&lt;'Données projet'!$A$280,$GR$205^A159,IF(A159='Données projet'!$A$280,'Données projet'!$B$280,GU158+GT159-HC158)))</f>
        <v>-1.1368683772161603E-13</v>
      </c>
      <c r="GV159" s="17">
        <f>GU159*VLOOKUP('Données projet'!$B$18,Paramètres!$A$1:$I$89,3,0)*VLOOKUP('Données projet'!$B$18,Paramètres!$A$1:$I$89,5,0)</f>
        <v>-4.5815795601811263E-14</v>
      </c>
      <c r="GW159" s="13" t="e">
        <f t="shared" si="353"/>
        <v>#NUM!</v>
      </c>
      <c r="GX159" s="20" t="e">
        <f t="shared" si="354"/>
        <v>#NUM!</v>
      </c>
      <c r="GY159" s="59" t="e">
        <f t="shared" si="252"/>
        <v>#NUM!</v>
      </c>
      <c r="GZ159" s="59">
        <f ca="1">AVERAGE(OFFSET($GY$3,0,0,'Données projet'!$E$18+1,1))-AVERAGE(OFFSET($H$3,0,0,'Données projet'!$E$18+1,1))</f>
        <v>324.36162935850876</v>
      </c>
      <c r="HA159" s="59">
        <f t="shared" si="305"/>
        <v>265.23571072429735</v>
      </c>
      <c r="HB159" s="15">
        <f>IF(ISNA(VLOOKUP(A159,'Données projet'!$A$279:$I$299,3,0)),0,VLOOKUP(A159,'Données projet'!$A$279:$I$299,3,0))</f>
        <v>0</v>
      </c>
      <c r="HC159" s="15">
        <f>IF(ISNA(VLOOKUP(A159,'Données projet'!$A$279:$I$299,4,0)),0,VLOOKUP(A159,'Données projet'!$A$279:$I$299,4,0))</f>
        <v>0</v>
      </c>
      <c r="HD159" s="16">
        <f>IF(ISNA(VLOOKUP(A159,'Données projet'!$A$279:$I$299,5,0)),0%,VLOOKUP(A159,'Données projet'!$A$279:$I$299,5,0)*VLOOKUP('Données projet'!$B$18,Paramètres!$A$1:$I$89,7,0))</f>
        <v>0</v>
      </c>
      <c r="HE159" s="16">
        <f>IF(ISNA(VLOOKUP(A159,'Données projet'!$A$279:$I$299,6,0)),0%,VLOOKUP(A159,'Données projet'!$A$279:$I$299,6,0)*VLOOKUP('Données projet'!$B$18,Paramètres!$A$1:$I$89,7,0))</f>
        <v>0</v>
      </c>
      <c r="HF159" s="16">
        <f>IF(ISNA(VLOOKUP($A159,'Données projet'!$A$279:$I$299,7,0)),0%,VLOOKUP($A159,'Données projet'!$A$279:$I$299,7,0))</f>
        <v>0</v>
      </c>
      <c r="HG159" s="21">
        <f>EXP(-LN(2)/35)*HG158+(1-EXP(-LN(2)/35))/(LN(2)/35)*HC159*HD159*VLOOKUP('Données projet'!$B$18,Paramètres!$A$1:$I$89,3,0)*0.475*44/12</f>
        <v>52.417010142559718</v>
      </c>
      <c r="HH159" s="21">
        <f>EXP(-LN(2)/25)*HH158+(1-EXP(-LN(2)/25))/(LN(2)/25)*Calculateur!HC159*Calculateur!HE159*VLOOKUP('Données projet'!$B$18,Paramètres!$A$1:$I$89,3,0)*0.475*44/12</f>
        <v>2.9447177012741257</v>
      </c>
      <c r="HI159" s="21">
        <f>EXP(-LN(2)/2)*HI158+(1-EXP(-LN(2)/2))/(LN(2)/2)*HC159*HF159*VLOOKUP('Données projet'!$B$18,Paramètres!$A$1:$I$89,3,0)*0.475*44/12</f>
        <v>3.1094567782492696E-11</v>
      </c>
      <c r="HJ159" s="22">
        <f t="shared" si="355"/>
        <v>55.361727843864941</v>
      </c>
      <c r="HK159" s="74">
        <f>('Scénario référence'!$F$8+'Scénario référence'!$F$9+'Scénario référence'!$B$17+'Scénario référence'!$B$9+'Scénario référence'!$B$10)*70+IF((45+25*(1-EXP(-0.0175*$A159)))&lt;70,'Scénario référence'!$B$16*(45+25*(1-EXP(-0.0175*$A159))),70*'Scénario référence'!$B$16)+IF((32+38*(1-EXP(-0.0175*$A159)))&lt;70,'Scénario référence'!$B$18*(32+38*(1-EXP(-0.0175*$A159))),70*'Scénario référence'!$B$18)</f>
        <v>70</v>
      </c>
      <c r="HL159" s="12">
        <f>IF($A159&gt;30,10,('Scénario référence'!$B$16+'Scénario référence'!$B$17+'Scénario référence'!$B$18+'Scénario référence'!$B$9+'Scénario référence'!$B$10)*$A159*10/30+('Scénario référence'!$F$8+'Scénario référence'!$F$9)*10)</f>
        <v>10</v>
      </c>
      <c r="HM159" s="12" t="e">
        <f>VLOOKUP($A159,'Données projet'!$A$304:$I$324,2,0)</f>
        <v>#N/A</v>
      </c>
      <c r="HN159" s="12" t="e">
        <f>VLOOKUP($A159,'Données projet'!$A$304:$I$324,9,0)</f>
        <v>#N/A</v>
      </c>
      <c r="HO159" s="12">
        <f t="array" ref="HO159">INDEX(HN:HN,MIN(IF(ISNUMBER(HN159:HN355),ROW(HN159:HN355),"")))</f>
        <v>0</v>
      </c>
      <c r="HP159" s="12">
        <f>IF('Données projet'!$A$304&gt;35,HP158+HO159-HX158,IF($A159&lt;'Données projet'!$A$304,$CQ$205^$A159,IF($A159='Données projet'!$A$304,'Données projet'!$B$304,HP158+HO159-HX158)))</f>
        <v>0</v>
      </c>
      <c r="HQ159" s="17">
        <f>HP159*VLOOKUP('Données projet'!$B$19,Paramètres!$A$1:$I$89,3,0)*VLOOKUP('Données projet'!$B$19,Paramètres!$A$1:$I$89,5,0)</f>
        <v>0</v>
      </c>
      <c r="HR159" s="13" t="e">
        <f t="shared" si="306"/>
        <v>#NUM!</v>
      </c>
      <c r="HS159" s="14" t="e">
        <f t="shared" si="254"/>
        <v>#NUM!</v>
      </c>
      <c r="HT159" s="59" t="e">
        <f t="shared" si="255"/>
        <v>#NUM!</v>
      </c>
      <c r="HU159" s="59">
        <f ca="1">AVERAGE(OFFSET(HT$3,0,0,'Données projet'!$E$19+1,1))-AVERAGE(OFFSET($H$3,0,0,'Données projet'!$E$19+1,1))</f>
        <v>91.60721429656013</v>
      </c>
      <c r="HV159" s="59">
        <f t="shared" si="307"/>
        <v>258.94957804210856</v>
      </c>
      <c r="HW159" s="15">
        <f>IF(ISNA(VLOOKUP($A159,'Données projet'!$A$304:$I$324,3,0)),0,VLOOKUP($A159,'Données projet'!$A$304:$I$324,3,0))</f>
        <v>0</v>
      </c>
      <c r="HX159" s="15">
        <f>IF(ISNA(VLOOKUP($A159,'Données projet'!$A$304:$I$324,4,0)),0,VLOOKUP($A159,'Données projet'!$A$304:$I$324,4,0))</f>
        <v>0</v>
      </c>
      <c r="HY159" s="16">
        <f>IF(ISNA(VLOOKUP($A159,'Données projet'!$A$304:$I$324,5,0)),0%,VLOOKUP($A159,'Données projet'!$A$304:$I$324,5,0)*VLOOKUP('Données projet'!$B$19,Paramètres!$A$1:$I$89,7,0))</f>
        <v>0</v>
      </c>
      <c r="HZ159" s="16">
        <f>IF(ISNA(VLOOKUP($A159,'Données projet'!$A$304:$I$324,6,0)),0%,VLOOKUP($A159,'Données projet'!$A$304:$I$324,6,0)*VLOOKUP('Données projet'!$B$19,Paramètres!$A$1:$I$89,7,0))</f>
        <v>0</v>
      </c>
      <c r="IA159" s="16">
        <f>IF(ISNA(VLOOKUP($A159,'Données projet'!$A$304:$I$324,7,0)),0%,VLOOKUP($A159,'Données projet'!$A$304:$I$324,7,0))</f>
        <v>0</v>
      </c>
      <c r="IB159" s="21">
        <f>EXP(-LN(2)/35)*IB158+(1-EXP(-LN(2)/35))/(LN(2)/35)*HX159*HY159*VLOOKUP('Données projet'!$B$19,Paramètres!$A$1:$I$89,3,0)*0.475*44/12</f>
        <v>4.0684308830751785</v>
      </c>
      <c r="IC159" s="21">
        <f>EXP(-LN(2)/25)*IC158+(1-EXP(-LN(2)/25))/(LN(2)/25)*Calculateur!HX159*Calculateur!HZ159*VLOOKUP('Données projet'!$B$19,Paramètres!$A$1:$I$89,3,0)*0.475*44/12</f>
        <v>0.29567879620693599</v>
      </c>
      <c r="ID159" s="21">
        <f>EXP(-LN(2)/2)*ID158+(1-EXP(-LN(2)/2))/(LN(2)/2)*HX159*IA159*VLOOKUP('Données projet'!$B$19,Paramètres!$A$1:$I$89,3,0)*0.475*44/12</f>
        <v>6.210877209061639E-20</v>
      </c>
      <c r="IE159" s="22">
        <f t="shared" si="256"/>
        <v>4.3641096792821141</v>
      </c>
      <c r="IF159" s="74">
        <f>('Scénario référence'!$F$8+'Scénario référence'!$F$9+'Scénario référence'!$B$17+'Scénario référence'!$B$9+'Scénario référence'!$B$10)*70+IF((45+25*(1-EXP(-0.0175*$A159)))&lt;70,'Scénario référence'!$B$16*(45+25*(1-EXP(-0.0175*$A159))),70*'Scénario référence'!$B$16)+IF((32+38*(1-EXP(-0.0175*$A159)))&lt;70,'Scénario référence'!$B$18*(32+38*(1-EXP(-0.0175*$A159))),70*'Scénario référence'!$B$18)</f>
        <v>70</v>
      </c>
      <c r="IG159" s="12">
        <f>IF($A159&gt;30,10,('Scénario référence'!$B$16+'Scénario référence'!$B$17+'Scénario référence'!$B$18+'Scénario référence'!$B$9+'Scénario référence'!$B$10)*$A159*10/30+('Scénario référence'!$F$8+'Scénario référence'!$F$9)*10)</f>
        <v>10</v>
      </c>
      <c r="IH159" s="12" t="e">
        <f>VLOOKUP($A159,'Données projet'!$A$330:$I$350,2,0)</f>
        <v>#N/A</v>
      </c>
      <c r="II159" s="12" t="e">
        <f>VLOOKUP($A159,'Données projet'!$A$330:$I$350,9,0)</f>
        <v>#N/A</v>
      </c>
      <c r="IJ159" s="12">
        <f t="array" ref="IJ159">INDEX(II:II,MIN(IF(ISNUMBER(II159:II355),ROW(II159:II355),"")))</f>
        <v>0</v>
      </c>
      <c r="IK159" s="12">
        <f>IF('Données projet'!$A$330&gt;35,IK158+IJ159-IS158,IF($A159&lt;'Données projet'!$A$330,$CQ$205^$A159,IF($A159='Données projet'!$A$330,'Données projet'!$B$330,IK158+IJ159-IS158)))</f>
        <v>0</v>
      </c>
      <c r="IL159" s="17">
        <f>IK159*VLOOKUP('Données projet'!$B$20,Paramètres!$A$1:$I$89,3,0)*VLOOKUP('Données projet'!$B$20,Paramètres!$A$1:$I$89,5,0)</f>
        <v>0</v>
      </c>
      <c r="IM159" s="13" t="e">
        <f t="shared" si="308"/>
        <v>#NUM!</v>
      </c>
      <c r="IN159" s="20" t="e">
        <f t="shared" si="257"/>
        <v>#NUM!</v>
      </c>
      <c r="IO159" s="59" t="e">
        <f t="shared" si="258"/>
        <v>#NUM!</v>
      </c>
      <c r="IP159" s="59">
        <f ca="1">AVERAGE(OFFSET(IO$3,0,0,'Données projet'!$E$20+1,1))-AVERAGE(OFFSET($H$3,0,0,'Données projet'!$E$20+1,1))</f>
        <v>91.60721429656013</v>
      </c>
      <c r="IQ159" s="59">
        <f t="shared" si="309"/>
        <v>258.94957804210856</v>
      </c>
      <c r="IR159" s="15">
        <f>IF(ISNA(VLOOKUP($A159,'Données projet'!$A$330:$I$350,3,0)),0,VLOOKUP($A159,'Données projet'!$A$330:$I$350,3,0))</f>
        <v>0</v>
      </c>
      <c r="IS159" s="15">
        <f>IF(ISNA(VLOOKUP($A159,'Données projet'!$A$330:$I$350,4,0)),0,VLOOKUP($A159,'Données projet'!$A$330:$I$350,4,0))</f>
        <v>0</v>
      </c>
      <c r="IT159" s="16">
        <f>IF(ISNA(VLOOKUP($A159,'Données projet'!$A$330:$I$350,5,0)),0%,VLOOKUP($A159,'Données projet'!$A$330:$I$350,5,0)*VLOOKUP('Données projet'!$B$20,Paramètres!$A$1:$I$89,7,0))</f>
        <v>0</v>
      </c>
      <c r="IU159" s="16">
        <f>IF(ISNA(VLOOKUP($A159,'Données projet'!$A$330:$I$350,6,0)),0%,VLOOKUP($A159,'Données projet'!$A$330:$I$350,6,0)*VLOOKUP('Données projet'!$B$20,Paramètres!$A$1:$I$89,7,0))</f>
        <v>0</v>
      </c>
      <c r="IV159" s="16">
        <f>IF(ISNA(VLOOKUP($A159,'Données projet'!$A$330:$I$350,7,0)),0%,VLOOKUP($A159,'Données projet'!$A$330:$I$350,7,0))</f>
        <v>0</v>
      </c>
      <c r="IW159" s="21">
        <f>EXP(-LN(2)/35)*IW158+(1-EXP(-LN(2)/35))/(LN(2)/35)*IS159*IT159*VLOOKUP('Données projet'!$B$20,Paramètres!$A$1:$I$89,3,0)*0.475*44/12</f>
        <v>4.0684308830751785</v>
      </c>
      <c r="IX159" s="21">
        <f>EXP(-LN(2)/25)*IX158+(1-EXP(-LN(2)/25))/(LN(2)/25)*Calculateur!IS159*Calculateur!IU159*VLOOKUP('Données projet'!$B$20,Paramètres!$A$1:$I$89,3,0)*0.475*44/12</f>
        <v>0.29567879620693599</v>
      </c>
      <c r="IY159" s="21">
        <f>EXP(-LN(2)/2)*IY158+(1-EXP(-LN(2)/2))/(LN(2)/2)*IS159*IV159*VLOOKUP('Données projet'!$B$20,Paramètres!$A$1:$I$89,3,0)*0.475*44/12</f>
        <v>6.210877209061639E-20</v>
      </c>
      <c r="IZ159" s="22">
        <f t="shared" si="259"/>
        <v>4.3641096792821141</v>
      </c>
      <c r="JA159" s="74">
        <f>('Scénario référence'!$F$8+'Scénario référence'!$F$9+'Scénario référence'!$B$17+'Scénario référence'!$B$9+'Scénario référence'!$B$10)*70+IF((45+25*(1-EXP(-0.0175*$A159)))&lt;70,'Scénario référence'!$B$16*(45+25*(1-EXP(-0.0175*$A159))),70*'Scénario référence'!$B$16)+IF((32+38*(1-EXP(-0.0175*$A159)))&lt;70,'Scénario référence'!$B$18*(32+38*(1-EXP(-0.0175*$A159))),70*'Scénario référence'!$B$18)</f>
        <v>70</v>
      </c>
      <c r="JB159" s="12">
        <f>IF($A159&gt;30,10,('Scénario référence'!$B$16+'Scénario référence'!$B$17+'Scénario référence'!$B$18+'Scénario référence'!$B$9+'Scénario référence'!$B$10)*$A159*10/30+('Scénario référence'!$F$8+'Scénario référence'!$F$9)*10)</f>
        <v>10</v>
      </c>
      <c r="JC159" s="12" t="e">
        <f>VLOOKUP($A159,'Données projet'!$A$356:$I$376,2,0)</f>
        <v>#N/A</v>
      </c>
      <c r="JD159" s="12" t="e">
        <f>VLOOKUP($A159,'Données projet'!$A$356:$I$376,9,0)</f>
        <v>#N/A</v>
      </c>
      <c r="JE159" s="12">
        <f t="array" ref="JE159">INDEX(JD:JD,MIN(IF(ISNUMBER(JD159:JD355),ROW(JD159:JD355),"")))</f>
        <v>0</v>
      </c>
      <c r="JF159" s="12">
        <f>IF('Données projet'!$A$356&gt;35,JF158+JE159-JN158,IF($A159&lt;'Données projet'!$A$356,$CQ$205^$A159,IF($A159='Données projet'!$A$356,'Données projet'!$B$356,JF158+JE159-JN158)))</f>
        <v>-1.3073986337985843E-12</v>
      </c>
      <c r="JG159" s="17">
        <f>JF159*VLOOKUP('Données projet'!$B$21,Paramètres!$A$1:$I$89,3,0)*VLOOKUP('Données projet'!$B$21,Paramètres!$A$1:$I$89,5,0)</f>
        <v>-1.0605617717374117E-12</v>
      </c>
      <c r="JH159" s="13" t="e">
        <f t="shared" si="310"/>
        <v>#NUM!</v>
      </c>
      <c r="JI159" s="20" t="e">
        <f t="shared" si="260"/>
        <v>#NUM!</v>
      </c>
      <c r="JJ159" s="59" t="e">
        <f t="shared" si="261"/>
        <v>#NUM!</v>
      </c>
      <c r="JK159" s="59">
        <f ca="1">AVERAGE(OFFSET($JJ$3,0,0,'Données projet'!$E$22+1,1))-AVERAGE(OFFSET($H$3,0,0,'Données projet'!$E$22+1,1))</f>
        <v>353.35574633294613</v>
      </c>
      <c r="JL159" s="59">
        <f t="shared" si="311"/>
        <v>170.36796666474726</v>
      </c>
      <c r="JM159" s="15">
        <f>IF(ISNA(VLOOKUP($A159,'Données projet'!$A$356:$I$376,3,0)),0,VLOOKUP($A159,'Données projet'!$A$356:$I$376,3,0))</f>
        <v>0</v>
      </c>
      <c r="JN159" s="15">
        <f>IF(ISNA(VLOOKUP($A159,'Données projet'!$A$356:$I$376,4,0)),0,VLOOKUP($A159,'Données projet'!$A$356:$I$376,4,0))</f>
        <v>0</v>
      </c>
      <c r="JO159" s="16">
        <f>IF(ISNA(VLOOKUP($A159,'Données projet'!$A$356:$I$376,5,0)),0%,VLOOKUP($A159,'Données projet'!$A$356:$I$376,5,0)*VLOOKUP('Données projet'!$B$21,Paramètres!$A$1:$I$89,7,0))</f>
        <v>0</v>
      </c>
      <c r="JP159" s="16">
        <f>IF(ISNA(VLOOKUP($A159,'Données projet'!$A$356:$I$376,6,0)),0%,VLOOKUP($A159,'Données projet'!$A$356:$I$376,6,0)*VLOOKUP('Données projet'!$B$21,Paramètres!$A$1:$I$89,7,0))</f>
        <v>0</v>
      </c>
      <c r="JQ159" s="16">
        <f>IF(ISNA(VLOOKUP($A159,'Données projet'!$A$356:$I$376,7,0)),0%,VLOOKUP($A159,'Données projet'!$A$356:$I$376,7,0))</f>
        <v>0</v>
      </c>
      <c r="JR159" s="21">
        <f>EXP(-LN(2)/35)*JR158+(1-EXP(-LN(2)/35))/(LN(2)/35)*JN159*JO159*VLOOKUP('Données projet'!$B$21,Paramètres!$A$1:$I$89,3,0)*0.475*44/12</f>
        <v>65.223013595122652</v>
      </c>
      <c r="JS159" s="21">
        <f>EXP(-LN(2)/25)*JS158+(1-EXP(-LN(2)/25))/(LN(2)/25)*Calculateur!JN159*Calculateur!JP159*VLOOKUP('Données projet'!$B$21,Paramètres!$A$1:$I$89,3,0)*0.475*44/12</f>
        <v>64.714138966956412</v>
      </c>
      <c r="JT159" s="21">
        <f>EXP(-LN(2)/2)*JT158+(1-EXP(-LN(2)/2))/(LN(2)/2)*JN159*JQ159*VLOOKUP('Données projet'!$B$21,Paramètres!$A$1:$I$89,3,0)*0.475*44/12</f>
        <v>4.28636586394527</v>
      </c>
      <c r="JU159" s="18">
        <f t="shared" si="262"/>
        <v>134.22351842602433</v>
      </c>
      <c r="JV159" s="74">
        <f>('Scénario référence'!$F$8+'Scénario référence'!$F$9+'Scénario référence'!$B$17+'Scénario référence'!$B$9+'Scénario référence'!$B$10)*70+IF((45+25*(1-EXP(-0.0175*$A159)))&lt;70,'Scénario référence'!$B$16*(45+25*(1-EXP(-0.0175*$A159))),70*'Scénario référence'!$B$16)+IF((32+38*(1-EXP(-0.0175*$A159)))&lt;70,'Scénario référence'!$B$18*(32+38*(1-EXP(-0.0175*$A159))),70*'Scénario référence'!$B$18)</f>
        <v>70</v>
      </c>
      <c r="JW159" s="12">
        <f>IF($A159&gt;30,10,('Scénario référence'!$B$16+'Scénario référence'!$B$17+'Scénario référence'!$B$18+'Scénario référence'!$B$9+'Scénario référence'!$B$10)*$A159*10/30+('Scénario référence'!$F$8+'Scénario référence'!$F$9)*10)</f>
        <v>10</v>
      </c>
      <c r="JX159" s="12" t="e">
        <f>VLOOKUP($A159,'Données projet'!$A$382:$I$402,2,0)</f>
        <v>#N/A</v>
      </c>
      <c r="JY159" s="12" t="e">
        <f>VLOOKUP($A159,'Données projet'!$A$382:$I$402,9,0)</f>
        <v>#N/A</v>
      </c>
      <c r="JZ159" s="12">
        <f t="array" ref="JZ159">INDEX(JY:JY,MIN(IF(ISNUMBER(JY159:JY355),ROW(JY159:JY355),"")))</f>
        <v>0</v>
      </c>
      <c r="KA159" s="12">
        <f>IF('Données projet'!$A$382&gt;35,KA158+JZ159-KI158,IF($A159&lt;'Données projet'!$A$382,$CQ$205^$A159,IF($A159='Données projet'!$A$382,'Données projet'!$B$382,KA158+JZ159-KI158)))</f>
        <v>5.6843418860808015E-13</v>
      </c>
      <c r="KB159" s="17">
        <f>KA159*VLOOKUP('Données projet'!$B$22,Paramètres!$A$1:$I$89,3,0)*VLOOKUP('Données projet'!$B$22,Paramètres!$A$1:$I$89,5,0)</f>
        <v>3.8130565371830017E-13</v>
      </c>
      <c r="KC159" s="13">
        <f t="shared" si="312"/>
        <v>4.9019074112354236E-12</v>
      </c>
      <c r="KD159" s="20">
        <f t="shared" si="263"/>
        <v>9.2015960881277352E-12</v>
      </c>
      <c r="KE159" s="59">
        <f t="shared" si="264"/>
        <v>293.33333333334252</v>
      </c>
      <c r="KF159" s="59">
        <f ca="1">AVERAGE(OFFSET($KE$3,0,0,'Données projet'!$E$22+1,1))-AVERAGE(OFFSET($H$3,0,0,'Données projet'!$E$22+1,1))</f>
        <v>193.91714772848269</v>
      </c>
      <c r="KG159" s="59">
        <f t="shared" si="313"/>
        <v>159.20429420478047</v>
      </c>
      <c r="KH159" s="15">
        <f>IF(ISNA(VLOOKUP($A159,'Données projet'!$A$382:$I$402,3,0)),0,VLOOKUP($A159,'Données projet'!$A$382:$I$402,3,0))</f>
        <v>0</v>
      </c>
      <c r="KI159" s="15">
        <f>IF(ISNA(VLOOKUP($A159,'Données projet'!$A$382:$I$402,4,0)),0,VLOOKUP($A159,'Données projet'!$A$382:$I$402,4,0))</f>
        <v>0</v>
      </c>
      <c r="KJ159" s="16">
        <f>IF(ISNA(VLOOKUP($A159,'Données projet'!$A$382:$I$402,5,0)),0%,VLOOKUP($A159,'Données projet'!$A$382:$I$402,5,0)*VLOOKUP('Données projet'!$B$22,Paramètres!$A$1:$I$89,7,0))</f>
        <v>0</v>
      </c>
      <c r="KK159" s="16">
        <f>IF(ISNA(VLOOKUP($A159,'Données projet'!$A$382:$I$402,6,0)),0%,VLOOKUP($A159,'Données projet'!$A$382:$I$402,6,0)*VLOOKUP('Données projet'!$B$22,Paramètres!$A$1:$I$89,7,0))</f>
        <v>0</v>
      </c>
      <c r="KL159" s="16">
        <f>IF(ISNA(VLOOKUP($A159,'Données projet'!$A$382:$I$402,7,0)),0%,VLOOKUP($A159,'Données projet'!$A$382:$I$402,7,0))</f>
        <v>0</v>
      </c>
      <c r="KM159" s="21">
        <f>EXP(-LN(2)/35)*KM158+(1-EXP(-LN(2)/35))/(LN(2)/35)*KI159*KJ159*VLOOKUP('Données projet'!$B$22,Paramètres!$A$1:$I$89,3,0)*0.475*44/12</f>
        <v>95.232798459915614</v>
      </c>
      <c r="KN159" s="21">
        <f>EXP(-LN(2)/25)*KN158+(1-EXP(-LN(2)/25))/(LN(2)/25)*Calculateur!KI159*Calculateur!KK159*VLOOKUP('Données projet'!$B$22,Paramètres!$A$1:$I$89,3,0)*0.475*44/12</f>
        <v>0</v>
      </c>
      <c r="KO159" s="21">
        <f>EXP(-LN(2)/2)*KO158+(1-EXP(-LN(2)/2))/(LN(2)/2)*KI159*KL159*VLOOKUP('Données projet'!$B$22,Paramètres!$A$1:$I$89,3,0)*0.475*44/12</f>
        <v>0</v>
      </c>
      <c r="KP159" s="22">
        <f t="shared" si="265"/>
        <v>95.232798459915614</v>
      </c>
      <c r="KQ159" s="74">
        <f>('Scénario référence'!$F$8+'Scénario référence'!$F$9+'Scénario référence'!$B$17+'Scénario référence'!$B$9+'Scénario référence'!$B$10)*70+IF((45+25*(1-EXP(-0.0175*$A159)))&lt;70,'Scénario référence'!$B$16*(45+25*(1-EXP(-0.0175*$A159))),70*'Scénario référence'!$B$16)+IF((32+38*(1-EXP(-0.0175*$A159)))&lt;70,'Scénario référence'!$B$18*(32+38*(1-EXP(-0.0175*$A159))),70*'Scénario référence'!$B$18)</f>
        <v>70</v>
      </c>
      <c r="KR159" s="12">
        <f>IF($A159&gt;30,10,('Scénario référence'!$B$16+'Scénario référence'!$B$17+'Scénario référence'!$B$18+'Scénario référence'!$B$9+'Scénario référence'!$B$10)*$A159*10/30+('Scénario référence'!$F$8+'Scénario référence'!$F$9)*10)</f>
        <v>10</v>
      </c>
      <c r="KS159" s="12" t="e">
        <f>VLOOKUP($A159,'Données projet'!$A$408:$I$428,2,0)</f>
        <v>#N/A</v>
      </c>
      <c r="KT159" s="12" t="e">
        <f>VLOOKUP($A159,'Données projet'!$A$408:$I$428,9,0)</f>
        <v>#N/A</v>
      </c>
      <c r="KU159" s="12">
        <f t="array" ref="KU159">INDEX(KT:KT,MIN(IF(ISNUMBER(KT159:KT355),ROW(KT159:KT355),"")))</f>
        <v>0</v>
      </c>
      <c r="KV159" s="12">
        <f>IF('Données projet'!$A$408&gt;35,KV158+KU159-LD158,IF($A159&lt;'Données projet'!$A$408,$CQ$205^$A159,IF($A159='Données projet'!$A$408,'Données projet'!$B$408,KV158+KU159-LD158)))</f>
        <v>-1.1368683772161603E-13</v>
      </c>
      <c r="KW159" s="17">
        <f>KV159*VLOOKUP('Données projet'!$B$23,Paramètres!$A$1:$I$89,3,0)*VLOOKUP('Données projet'!$B$23,Paramètres!$A$1:$I$89,5,0)</f>
        <v>-9.9316821433603781E-14</v>
      </c>
      <c r="KX159" s="13" t="e">
        <f t="shared" si="314"/>
        <v>#NUM!</v>
      </c>
      <c r="KY159" s="14" t="e">
        <f t="shared" si="266"/>
        <v>#NUM!</v>
      </c>
      <c r="KZ159" s="59" t="e">
        <f t="shared" si="267"/>
        <v>#NUM!</v>
      </c>
      <c r="LA159" s="59">
        <f ca="1">AVERAGE(OFFSET($KZ$3,0,0,'Données projet'!$E$23+1,1))-AVERAGE(OFFSET($H$3,0,0,'Données projet'!$E$23+1,1))</f>
        <v>248.33596943633819</v>
      </c>
      <c r="LB159" s="59">
        <f t="shared" si="315"/>
        <v>242.34010522344573</v>
      </c>
      <c r="LC159" s="15">
        <f>IF(ISNA(VLOOKUP($A159,'Données projet'!$A$408:$I$428,3,0)),0,VLOOKUP($A159,'Données projet'!$A$408:$I$428,3,0))</f>
        <v>0</v>
      </c>
      <c r="LD159" s="15">
        <f>IF(ISNA(VLOOKUP($A159,'Données projet'!$A$408:$I$428,4,0)),0,VLOOKUP($A159,'Données projet'!$A$408:$I$428,4,0))</f>
        <v>0</v>
      </c>
      <c r="LE159" s="16">
        <f>IF(ISNA(VLOOKUP($A159,'Données projet'!$A$408:$I$428,5,0)),0%,VLOOKUP($A159,'Données projet'!$A$408:$I$428,5,0)*VLOOKUP('Données projet'!$B$23,Paramètres!$A$1:$I$89,7,0))</f>
        <v>0</v>
      </c>
      <c r="LF159" s="16">
        <f>IF(ISNA(VLOOKUP($A159,'Données projet'!$A$408:$I$428,6,0)),0%,VLOOKUP($A159,'Données projet'!$A$408:$I$428,6,0)*VLOOKUP('Données projet'!$B$23,Paramètres!$A$1:$I$89,7,0))</f>
        <v>0</v>
      </c>
      <c r="LG159" s="16">
        <f>IF(ISNA(VLOOKUP($A159,'Données projet'!$A$408:$I$428,7,0)),0%,VLOOKUP($A159,'Données projet'!$A$408:$I$428,7,0))</f>
        <v>0</v>
      </c>
      <c r="LH159" s="21">
        <f>EXP(-LN(2)/35)*LH158+(1-EXP(-LN(2)/35))/(LN(2)/35)*LD159*LE159*VLOOKUP('Données projet'!$B$23,Paramètres!$A$1:$I$89,3,0)*0.475*44/12</f>
        <v>27.353788803568555</v>
      </c>
      <c r="LI159" s="21">
        <f>EXP(-LN(2)/25)*LI158+(1-EXP(-LN(2)/25))/(LN(2)/25)*Calculateur!LD159*Calculateur!LF159*VLOOKUP('Données projet'!$B$23,Paramètres!$A$1:$I$89,3,0)*0.475*44/12</f>
        <v>2.6477015443752121</v>
      </c>
      <c r="LJ159" s="21">
        <f>EXP(-LN(2)/2)*LJ158+(1-EXP(-LN(2)/2))/(LN(2)/2)*LD159*LG159*VLOOKUP('Données projet'!$B$23,Paramètres!$A$1:$I$89,3,0)*0.475*44/12</f>
        <v>0</v>
      </c>
      <c r="LK159" s="22">
        <f t="shared" si="268"/>
        <v>30.001490347943768</v>
      </c>
      <c r="LL159" s="74">
        <f>('Scénario référence'!$F$8+'Scénario référence'!$F$9+'Scénario référence'!$B$17+'Scénario référence'!$B$9+'Scénario référence'!$B$10)*70+IF((45+25*(1-EXP(-0.0175*$A159)))&lt;70,'Scénario référence'!$B$16*(45+25*(1-EXP(-0.0175*$A159))),70*'Scénario référence'!$B$16)+IF((32+38*(1-EXP(-0.0175*$A159)))&lt;70,'Scénario référence'!$B$18*(32+38*(1-EXP(-0.0175*$A159))),70*'Scénario référence'!$B$18)</f>
        <v>70</v>
      </c>
      <c r="LM159" s="12">
        <f>IF($A159&gt;30,10,('Scénario référence'!$B$16+'Scénario référence'!$B$17+'Scénario référence'!$B$18+'Scénario référence'!$B$9+'Scénario référence'!$B$10)*$A159*10/30+('Scénario référence'!$F$8+'Scénario référence'!$F$9)*10)</f>
        <v>10</v>
      </c>
      <c r="LN159" s="12" t="e">
        <f>VLOOKUP($A159,'Données projet'!$A$434:$I$454,2,0)</f>
        <v>#N/A</v>
      </c>
      <c r="LO159" s="12" t="e">
        <f>VLOOKUP($A159,'Données projet'!$A$434:$I$454,9,0)</f>
        <v>#N/A</v>
      </c>
      <c r="LP159" s="12">
        <f t="array" ref="LP159">INDEX(LO:LO,MIN(IF(ISNUMBER(LO159:LO355),ROW(LO159:LO355),"")))</f>
        <v>1.8717948717948829</v>
      </c>
      <c r="LQ159" s="12">
        <f>IF('Données projet'!$A$434&gt;35,LQ158+LP159-LY158,IF($A159&lt;'Données projet'!$A$434,$CQ$205^$A159,IF($A159='Données projet'!$A$434,'Données projet'!$B$434,LQ158+LP159-LY158)))</f>
        <v>130.55769230769181</v>
      </c>
      <c r="LR159" s="17">
        <f>LQ159*VLOOKUP('Données projet'!$B$24,Paramètres!$A$1:$I$89,3,0)*VLOOKUP('Données projet'!$B$24,Paramètres!$A$1:$I$89,5,0)</f>
        <v>132.38549999999952</v>
      </c>
      <c r="LS159" s="13">
        <f t="shared" si="316"/>
        <v>34.546993638315641</v>
      </c>
      <c r="LT159" s="14">
        <f t="shared" si="269"/>
        <v>290.74075975339895</v>
      </c>
      <c r="LU159" s="59">
        <f t="shared" si="270"/>
        <v>584.07409308673232</v>
      </c>
      <c r="LV159" s="59">
        <f ca="1">AVERAGE(OFFSET($LU$3,0,0,'Données projet'!$E$24+1,1))-AVERAGE(OFFSET($H$3,0,0,'Données projet'!$E$24+1,1))</f>
        <v>260.52627655062872</v>
      </c>
      <c r="LW159" s="59">
        <f t="shared" si="317"/>
        <v>159.20429420478047</v>
      </c>
      <c r="LX159" s="15">
        <f>IF(ISNA(VLOOKUP($A159,'Données projet'!$A$434:$I$454,3,0)),0,VLOOKUP($A159,'Données projet'!$A$434:$I$454,3,0))</f>
        <v>0</v>
      </c>
      <c r="LY159" s="15">
        <f>IF(ISNA(VLOOKUP($A159,'Données projet'!$A$434:$I$454,4,0)),0,VLOOKUP($A159,'Données projet'!$A$434:$I$454,4,0))</f>
        <v>0</v>
      </c>
      <c r="LZ159" s="16">
        <f>IF(ISNA(VLOOKUP($A159,'Données projet'!$A$434:$I$454,5,0)),0%,VLOOKUP($A159,'Données projet'!$A$434:$I$454,5,0)*VLOOKUP('Données projet'!$B$24,Paramètres!$A$1:$I$89,7,0))</f>
        <v>0</v>
      </c>
      <c r="MA159" s="16">
        <f>IF(ISNA(VLOOKUP($A159,'Données projet'!$A$434:$I$454,6,0)),0%,VLOOKUP($A159,'Données projet'!$A$434:$I$454,6,0)*VLOOKUP('Données projet'!$B$24,Paramètres!$A$1:$I$89,7,0))</f>
        <v>0</v>
      </c>
      <c r="MB159" s="16">
        <f>IF(ISNA(VLOOKUP($A159,'Données projet'!$A$434:$I$454,7,0)),0%,VLOOKUP($A159,'Données projet'!$A$434:$I$454,7,0))</f>
        <v>0</v>
      </c>
      <c r="MC159" s="21">
        <f>EXP(-LN(2)/35)*MC158+(1-EXP(-LN(2)/35))/(LN(2)/35)*LY159*LZ159*VLOOKUP('Données projet'!$B$24,Paramètres!$A$1:$I$89,3,0)*0.475*44/12</f>
        <v>111.88850607395798</v>
      </c>
      <c r="MD159" s="21">
        <f>EXP(-LN(2)/25)*MD158+(1-EXP(-LN(2)/25))/(LN(2)/25)*Calculateur!LY159*Calculateur!MA159*VLOOKUP('Données projet'!$B$24,Paramètres!$A$1:$I$89,3,0)*0.475*44/12</f>
        <v>0</v>
      </c>
      <c r="ME159" s="21">
        <f>EXP(-LN(2)/2)*ME158+(1-EXP(-LN(2)/2))/(LN(2)/2)*LY159*MB159*VLOOKUP('Données projet'!$B$24,Paramètres!$A$1:$I$89,3,0)*0.475*44/12</f>
        <v>0</v>
      </c>
      <c r="MF159" s="22">
        <f t="shared" si="271"/>
        <v>111.88850607395798</v>
      </c>
      <c r="MG159" s="74">
        <f>('Scénario référence'!$F$8+'Scénario référence'!$F$9+'Scénario référence'!$B$17+'Scénario référence'!$B$9+'Scénario référence'!$B$10)*70+IF((45+25*(1-EXP(-0.0175*$A159)))&lt;70,'Scénario référence'!$B$16*(45+25*(1-EXP(-0.0175*$A159))),70*'Scénario référence'!$B$16)+IF((32+38*(1-EXP(-0.0175*$A159)))&lt;70,'Scénario référence'!$B$18*(32+38*(1-EXP(-0.0175*$A159))),70*'Scénario référence'!$B$18)</f>
        <v>70</v>
      </c>
      <c r="MH159" s="12">
        <f>IF($A159&gt;30,10,('Scénario référence'!$B$16+'Scénario référence'!$B$17+'Scénario référence'!$B$18+'Scénario référence'!$B$9+'Scénario référence'!$B$10)*$A159*10/30+('Scénario référence'!$F$8+'Scénario référence'!$F$9)*10)</f>
        <v>10</v>
      </c>
      <c r="MI159" s="12" t="e">
        <f>VLOOKUP($A159,'Données projet'!$A$460:$I$480,2,0)</f>
        <v>#N/A</v>
      </c>
      <c r="MJ159" s="12" t="e">
        <f>VLOOKUP($A159,'Données projet'!$A$460:$I$480,9,0)</f>
        <v>#N/A</v>
      </c>
      <c r="MK159" s="12">
        <f t="array" ref="MK159">INDEX(MJ:MJ,MIN(IF(ISNUMBER(MJ159:MJ355),ROW(MJ159:MJ355),"")))</f>
        <v>0</v>
      </c>
      <c r="ML159" s="12">
        <f>IF('Données projet'!$A$460&gt;35,ML158+MK159-MT158,IF($A159&lt;'Données projet'!$A$460,$CQ$205^$A159,IF($A159='Données projet'!$A$460,'Données projet'!$B$460,ML158+MK159-MT158)))</f>
        <v>0</v>
      </c>
      <c r="MM159" s="17" t="e">
        <f>ML159*VLOOKUP('Données projet'!$B$25,Paramètres!$A$1:$I$89,3,0)*VLOOKUP('Données projet'!$B$25,Paramètres!$A$1:$I$89,5,0)</f>
        <v>#N/A</v>
      </c>
      <c r="MN159" s="13" t="e">
        <f t="shared" si="318"/>
        <v>#N/A</v>
      </c>
      <c r="MO159" s="14" t="e">
        <f t="shared" si="272"/>
        <v>#N/A</v>
      </c>
      <c r="MP159" s="59" t="e">
        <f t="shared" si="273"/>
        <v>#N/A</v>
      </c>
      <c r="MQ159" s="20" t="e">
        <f ca="1">AVERAGE(OFFSET($MP$3,0,0,'Données projet'!$E$25+1,1))-AVERAGE(OFFSET($H$3,0,0,'Données projet'!$E$25+1,1))</f>
        <v>#N/A</v>
      </c>
      <c r="MR159" s="59" t="e">
        <f t="shared" si="319"/>
        <v>#N/A</v>
      </c>
      <c r="MS159" s="15">
        <f>IF(ISNA(VLOOKUP($A159,'Données projet'!$A$460:$I$480,3,0)),0,VLOOKUP($A159,'Données projet'!$A$460:$I$480,3,0))</f>
        <v>0</v>
      </c>
      <c r="MT159" s="15">
        <f>IF(ISNA(VLOOKUP($A159,'Données projet'!$A$460:$I$480,4,0)),0,VLOOKUP($A159,'Données projet'!$A$460:$I$480,4,0))</f>
        <v>0</v>
      </c>
      <c r="MU159" s="16">
        <f>IF(ISNA(VLOOKUP($A159,'Données projet'!$A$460:$I$480,5,0)),0%,VLOOKUP($A159,'Données projet'!$A$460:$I$480,5,0)*VLOOKUP('Données projet'!$B$25,Paramètres!$A$1:$I$89,7,0))</f>
        <v>0</v>
      </c>
      <c r="MV159" s="16">
        <f>IF(ISNA(VLOOKUP($A159,'Données projet'!$A$460:$I$480,6,0)),0%,VLOOKUP($A159,'Données projet'!$A$460:$I$480,6,0)*VLOOKUP('Données projet'!$B$25,Paramètres!$A$1:$I$89,7,0))</f>
        <v>0</v>
      </c>
      <c r="MW159" s="16">
        <f>IF(ISNA(VLOOKUP($A159,'Données projet'!$A$460:$I$480,7,0)),0%,VLOOKUP($A159,'Données projet'!$A$460:$I$480,7,0))</f>
        <v>0</v>
      </c>
      <c r="MX159" s="21" t="e">
        <f>EXP(-LN(2)/35)*MX158+(1-EXP(-LN(2)/35))/(LN(2)/35)*MT159*MU159*VLOOKUP('Données projet'!$B$25,Paramètres!$A$1:$I$89,3,0)*0.475*44/12</f>
        <v>#N/A</v>
      </c>
      <c r="MY159" s="21" t="e">
        <f>EXP(-LN(2)/25)*MY158+(1-EXP(-LN(2)/25))/(LN(2)/25)*Calculateur!MT159*Calculateur!MV159*VLOOKUP('Données projet'!$B$25,Paramètres!$A$1:$I$89,3,0)*0.475*44/12</f>
        <v>#N/A</v>
      </c>
      <c r="MZ159" s="21" t="e">
        <f>EXP(-LN(2)/2)*MZ158+(1-EXP(-LN(2)/2))/(LN(2)/2)*MT159*MW159*VLOOKUP('Données projet'!$B$25,Paramètres!$A$1:$I$89,3,0)*0.475*44/12</f>
        <v>#N/A</v>
      </c>
      <c r="NA159" s="22" t="e">
        <f t="shared" si="274"/>
        <v>#N/A</v>
      </c>
      <c r="NB159" s="74">
        <f>('Scénario référence'!$F$8+'Scénario référence'!$F$9+'Scénario référence'!$B$17+'Scénario référence'!$B$9+'Scénario référence'!$B$10)*70+IF((45+25*(1-EXP(-0.0175*$A159)))&lt;70,'Scénario référence'!$B$16*(45+25*(1-EXP(-0.0175*$A159))),70*'Scénario référence'!$B$16)+IF((32+38*(1-EXP(-0.0175*$A159)))&lt;70,'Scénario référence'!$B$18*(32+38*(1-EXP(-0.0175*$A159))),70*'Scénario référence'!$B$18)</f>
        <v>70</v>
      </c>
      <c r="NC159" s="12">
        <f>IF($A159&gt;30,10,('Scénario référence'!$B$16+'Scénario référence'!$B$17+'Scénario référence'!$B$18+'Scénario référence'!$B$9+'Scénario référence'!$B$10)*$A159*10/30+('Scénario référence'!$F$8+'Scénario référence'!$F$9)*10)</f>
        <v>10</v>
      </c>
      <c r="ND159" s="12" t="e">
        <f>VLOOKUP($A159,'Données projet'!$A$486:$I$506,2,0)</f>
        <v>#N/A</v>
      </c>
      <c r="NE159" s="12" t="e">
        <f>VLOOKUP($A159,'Données projet'!$A$486:$I$506,9,0)</f>
        <v>#N/A</v>
      </c>
      <c r="NF159" s="12">
        <f t="array" ref="NF159">INDEX(NE:NE,MIN(IF(ISNUMBER(NE159:NE355),ROW(NE159:NE355),"")))</f>
        <v>0</v>
      </c>
      <c r="NG159" s="12">
        <f>IF('Données projet'!$A$486&gt;35,NG158+NF159-NO158,IF($A159&lt;'Données projet'!$A$486,$CQ$205^$A159,IF($A159='Données projet'!$A$486,'Données projet'!$B$486,NG158+NF159-NO158)))</f>
        <v>0</v>
      </c>
      <c r="NH159" s="17" t="e">
        <f>NG159*VLOOKUP('Données projet'!$B$26,Paramètres!$A$1:$I$89,3,0)*VLOOKUP('Données projet'!$B$26,Paramètres!$A$1:$I$89,5,0)</f>
        <v>#N/A</v>
      </c>
      <c r="NI159" s="13" t="e">
        <f t="shared" si="320"/>
        <v>#N/A</v>
      </c>
      <c r="NJ159" s="14" t="e">
        <f t="shared" si="275"/>
        <v>#N/A</v>
      </c>
      <c r="NK159" s="59" t="e">
        <f t="shared" si="276"/>
        <v>#N/A</v>
      </c>
      <c r="NL159" s="20" t="e">
        <f ca="1">AVERAGE(OFFSET($NK$3,0,0,'Données projet'!$E$26+1,1))-AVERAGE(OFFSET($H$3,0,0,'Données projet'!$E$26+1,1))</f>
        <v>#N/A</v>
      </c>
      <c r="NM159" s="59" t="e">
        <f t="shared" si="321"/>
        <v>#N/A</v>
      </c>
      <c r="NN159" s="15">
        <f>IF(ISNA(VLOOKUP($A159,'Données projet'!$A$486:$I$506,3,0)),0,VLOOKUP($A159,'Données projet'!$A$486:$I$506,3,0))</f>
        <v>0</v>
      </c>
      <c r="NO159" s="15">
        <f>IF(ISNA(VLOOKUP($A159,'Données projet'!$A$486:$I$506,4,0)),0,VLOOKUP($A159,'Données projet'!$A$486:$I$506,4,0))</f>
        <v>0</v>
      </c>
      <c r="NP159" s="16">
        <f>IF(ISNA(VLOOKUP($A159,'Données projet'!$A$486:$I$506,5,0)),0%,VLOOKUP($A159,'Données projet'!$A$486:$I$506,5,0)*VLOOKUP('Données projet'!$B$26,Paramètres!$A$1:$I$89,7,0))</f>
        <v>0</v>
      </c>
      <c r="NQ159" s="16">
        <f>IF(ISNA(VLOOKUP($A159,'Données projet'!$A$486:$I$506,6,0)),0%,VLOOKUP($A159,'Données projet'!$A$486:$I$506,6,0)*VLOOKUP('Données projet'!$B$26,Paramètres!$A$1:$I$89,7,0))</f>
        <v>0</v>
      </c>
      <c r="NR159" s="16">
        <f>IF(ISNA(VLOOKUP($A159,'Données projet'!$A$486:$I$506,7,0)),0%,VLOOKUP($A159,'Données projet'!$A$486:$I$506,7,0))</f>
        <v>0</v>
      </c>
      <c r="NS159" s="21" t="e">
        <f>EXP(-LN(2)/35)*NS158+(1-EXP(-LN(2)/35))/(LN(2)/35)*NO159*NP159*VLOOKUP('Données projet'!$B$26,Paramètres!$A$1:$I$89,3,0)*0.475*44/12</f>
        <v>#N/A</v>
      </c>
      <c r="NT159" s="21" t="e">
        <f>EXP(-LN(2)/25)*NT158+(1-EXP(-LN(2)/25))/(LN(2)/25)*Calculateur!NO159*Calculateur!NQ159*VLOOKUP('Données projet'!$B$26,Paramètres!$A$1:$I$89,3,0)*0.475*44/12</f>
        <v>#N/A</v>
      </c>
      <c r="NU159" s="21" t="e">
        <f>EXP(-LN(2)/2)*NU158+(1-EXP(-LN(2)/2))/(LN(2)/2)*NO159*NR159*VLOOKUP('Données projet'!$B$26,Paramètres!$A$1:$I$89,3,0)*0.475*44/12</f>
        <v>#N/A</v>
      </c>
      <c r="NV159" s="22" t="e">
        <f t="shared" si="277"/>
        <v>#N/A</v>
      </c>
      <c r="NW159" s="74">
        <f>('Scénario référence'!$F$8+'Scénario référence'!$F$9+'Scénario référence'!$B$17+'Scénario référence'!$B$9+'Scénario référence'!$B$10)*70+IF((45+25*(1-EXP(-0.0175*$A159)))&lt;70,'Scénario référence'!$B$16*(45+25*(1-EXP(-0.0175*$A159))),70*'Scénario référence'!$B$16)+IF((32+38*(1-EXP(-0.0175*$A159)))&lt;70,'Scénario référence'!$B$18*(32+38*(1-EXP(-0.0175*$A159))),70*'Scénario référence'!$B$18)</f>
        <v>70</v>
      </c>
      <c r="NX159" s="12">
        <f>IF($A159&gt;30,10,('Scénario référence'!$B$16+'Scénario référence'!$B$17+'Scénario référence'!$B$18+'Scénario référence'!$B$9+'Scénario référence'!$B$10)*$A159*10/30+('Scénario référence'!$F$8+'Scénario référence'!$F$9)*10)</f>
        <v>10</v>
      </c>
      <c r="NY159" s="12" t="e">
        <f>VLOOKUP($A159,'Données projet'!$A$512:$I$532,2,0)</f>
        <v>#N/A</v>
      </c>
      <c r="NZ159" s="12" t="e">
        <f>VLOOKUP($A159,'Données projet'!$A$512:$I$532,9,0)</f>
        <v>#N/A</v>
      </c>
      <c r="OA159" s="12">
        <f t="array" ref="OA159">INDEX(NZ:NZ,MIN(IF(ISNUMBER(NZ159:NZ355),ROW(NZ159:NZ355),"")))</f>
        <v>0</v>
      </c>
      <c r="OB159" s="12">
        <f>IF('Données projet'!$A$512&gt;35,OB158+OA159-OJ158,IF($A159&lt;'Données projet'!$A$512,$CQ$205^$A159,IF($A159='Données projet'!$A$512,'Données projet'!$B$512,OB158+OA159-OJ158)))</f>
        <v>0</v>
      </c>
      <c r="OC159" s="17" t="e">
        <f>OB159*VLOOKUP('Données projet'!$B$27,Paramètres!$A$1:$I$89,3,0)*VLOOKUP('Données projet'!$B$27,Paramètres!$A$1:$I$89,5,0)</f>
        <v>#N/A</v>
      </c>
      <c r="OD159" s="13" t="e">
        <f t="shared" si="322"/>
        <v>#N/A</v>
      </c>
      <c r="OE159" s="14" t="e">
        <f t="shared" si="278"/>
        <v>#N/A</v>
      </c>
      <c r="OF159" s="59" t="e">
        <f t="shared" si="279"/>
        <v>#N/A</v>
      </c>
      <c r="OG159" s="20" t="e">
        <f ca="1">AVERAGE(OFFSET($OF$3,0,0,'Données projet'!$E$27+1,1))-AVERAGE(OFFSET($H$3,0,0,'Données projet'!$E$27+1,1))</f>
        <v>#N/A</v>
      </c>
      <c r="OH159" s="59" t="e">
        <f t="shared" si="323"/>
        <v>#N/A</v>
      </c>
      <c r="OI159" s="15">
        <f>IF(ISNA(VLOOKUP($A159,'Données projet'!$A$512:$I$532,3,0)),0,VLOOKUP($A159,'Données projet'!$A$512:$I$532,3,0))</f>
        <v>0</v>
      </c>
      <c r="OJ159" s="15">
        <f>IF(ISNA(VLOOKUP($A159,'Données projet'!$A$512:$I$532,4,0)),0,VLOOKUP($A159,'Données projet'!$A$512:$I$532,4,0))</f>
        <v>0</v>
      </c>
      <c r="OK159" s="16">
        <f>IF(ISNA(VLOOKUP($A159,'Données projet'!$A$512:$I$532,5,0)),0%,VLOOKUP($A159,'Données projet'!$A$512:$I$532,5,0)*VLOOKUP('Données projet'!$B$27,Paramètres!$A$1:$I$89,7,0))</f>
        <v>0</v>
      </c>
      <c r="OL159" s="16">
        <f>IF(ISNA(VLOOKUP($A159,'Données projet'!$A$512:$I$532,6,0)),0%,VLOOKUP($A159,'Données projet'!$A$512:$I$532,6,0)*VLOOKUP('Données projet'!$B$27,Paramètres!$A$1:$I$89,7,0))</f>
        <v>0</v>
      </c>
      <c r="OM159" s="16">
        <f>IF(ISNA(VLOOKUP($A159,'Données projet'!$A$512:$I$532,7,0)),0%,VLOOKUP($A159,'Données projet'!$A$512:$I$532,7,0))</f>
        <v>0</v>
      </c>
      <c r="ON159" s="21" t="e">
        <f>EXP(-LN(2)/35)*ON158+(1-EXP(-LN(2)/35))/(LN(2)/35)*OJ159*OK159*VLOOKUP('Données projet'!$B$27,Paramètres!$A$1:$I$89,3,0)*0.475*44/12</f>
        <v>#N/A</v>
      </c>
      <c r="OO159" s="21" t="e">
        <f>EXP(-LN(2)/25)*OO158+(1-EXP(-LN(2)/25))/(LN(2)/25)*Calculateur!OJ159*Calculateur!OL159*VLOOKUP('Données projet'!$B$27,Paramètres!$A$1:$I$89,3,0)*0.475*44/12</f>
        <v>#N/A</v>
      </c>
      <c r="OP159" s="21" t="e">
        <f>EXP(-LN(2)/2)*OP158+(1-EXP(-LN(2)/2))/(LN(2)/2)*OJ159*OM159*VLOOKUP('Données projet'!$B$27,Paramètres!$A$1:$I$89,3,0)*0.475*44/12</f>
        <v>#N/A</v>
      </c>
      <c r="OQ159" s="22" t="e">
        <f t="shared" si="280"/>
        <v>#N/A</v>
      </c>
      <c r="OR159" s="74">
        <f>('Scénario référence'!$F$8+'Scénario référence'!$F$9+'Scénario référence'!$B$17+'Scénario référence'!$B$9+'Scénario référence'!$B$10)*70+IF((45+25*(1-EXP(-0.0175*$A159)))&lt;70,'Scénario référence'!$B$16*(45+25*(1-EXP(-0.0175*$A159))),70*'Scénario référence'!$B$16)+IF((32+38*(1-EXP(-0.0175*$A159)))&lt;70,'Scénario référence'!$B$18*(32+38*(1-EXP(-0.0175*$A159))),70*'Scénario référence'!$B$18)</f>
        <v>70</v>
      </c>
      <c r="OS159" s="12">
        <f>IF($A159&gt;30,10,('Scénario référence'!$B$16+'Scénario référence'!$B$17+'Scénario référence'!$B$18+'Scénario référence'!$B$9+'Scénario référence'!$B$10)*$A159*10/30+('Scénario référence'!$F$8+'Scénario référence'!$F$9)*10)</f>
        <v>10</v>
      </c>
      <c r="OT159" s="12" t="e">
        <f>VLOOKUP($A159,'Données projet'!$A$538:$I$558,2,0)</f>
        <v>#N/A</v>
      </c>
      <c r="OU159" s="12" t="e">
        <f>VLOOKUP($A159,'Données projet'!$A$538:$I$558,9,0)</f>
        <v>#N/A</v>
      </c>
      <c r="OV159" s="12">
        <f t="array" ref="OV159">INDEX(OU:OU,MIN(IF(ISNUMBER(OU159:OU355),ROW(OU159:OU355),"")))</f>
        <v>0</v>
      </c>
      <c r="OW159" s="12">
        <f>IF('Données projet'!$A$538&gt;35,OW158+OV159-PE158,IF($A159&lt;'Données projet'!$A$538,$CQ$205^$A159,IF($A159='Données projet'!$A$538,'Données projet'!$B$538,OW158+OV159-PE158)))</f>
        <v>0</v>
      </c>
      <c r="OX159" s="17" t="e">
        <f>OW159*VLOOKUP('Données projet'!$B$28,Paramètres!$A$1:$I$89,3,0)*VLOOKUP('Données projet'!$B$28,Paramètres!$A$1:$I$89,5,0)</f>
        <v>#N/A</v>
      </c>
      <c r="OY159" s="13" t="e">
        <f t="shared" si="324"/>
        <v>#N/A</v>
      </c>
      <c r="OZ159" s="14" t="e">
        <f t="shared" si="281"/>
        <v>#N/A</v>
      </c>
      <c r="PA159" s="59" t="e">
        <f t="shared" si="282"/>
        <v>#N/A</v>
      </c>
      <c r="PB159" s="20" t="e">
        <f ca="1">AVERAGE(OFFSET($PA$3,0,0,'Données projet'!$E$28+1,1))-AVERAGE(OFFSET($H$3,0,0,'Données projet'!$E$28+1,1))</f>
        <v>#N/A</v>
      </c>
      <c r="PC159" s="59" t="e">
        <f t="shared" si="325"/>
        <v>#N/A</v>
      </c>
      <c r="PD159" s="15">
        <f>IF(ISNA(VLOOKUP($A159,'Données projet'!$A$538:$I$558,3,0)),0,VLOOKUP($A159,'Données projet'!$A$538:$I$558,3,0))</f>
        <v>0</v>
      </c>
      <c r="PE159" s="15">
        <f>IF(ISNA(VLOOKUP($A159,'Données projet'!$A$538:$I$558,4,0)),0,VLOOKUP($A159,'Données projet'!$A$538:$I$558,4,0))</f>
        <v>0</v>
      </c>
      <c r="PF159" s="16">
        <f>IF(ISNA(VLOOKUP($A159,'Données projet'!$A$538:$I$558,5,0)),0%,VLOOKUP($A159,'Données projet'!$A$538:$I$558,5,0)*VLOOKUP('Données projet'!$B$28,Paramètres!$A$1:$I$89,7,0))</f>
        <v>0</v>
      </c>
      <c r="PG159" s="16">
        <f>IF(ISNA(VLOOKUP($A159,'Données projet'!$A$538:$I$558,6,0)),0%,VLOOKUP($A159,'Données projet'!$A$538:$I$558,6,0)*VLOOKUP('Données projet'!$B$28,Paramètres!$A$1:$I$89,7,0))</f>
        <v>0</v>
      </c>
      <c r="PH159" s="16">
        <f>IF(ISNA(VLOOKUP($A159,'Données projet'!$A$538:$I$558,7,0)),0%,VLOOKUP($A159,'Données projet'!$A$538:$I$558,7,0))</f>
        <v>0</v>
      </c>
      <c r="PI159" s="21" t="e">
        <f>EXP(-LN(2)/35)*PI158+(1-EXP(-LN(2)/35))/(LN(2)/35)*PE159*PF159*VLOOKUP('Données projet'!$B$28,Paramètres!$A$1:$I$89,3,0)*0.475*44/12</f>
        <v>#N/A</v>
      </c>
      <c r="PJ159" s="21" t="e">
        <f>EXP(-LN(2)/25)*PJ158+(1-EXP(-LN(2)/25))/(LN(2)/25)*Calculateur!PE159*Calculateur!PG159*VLOOKUP('Données projet'!$B$28,Paramètres!$A$1:$I$89,3,0)*0.475*44/12</f>
        <v>#N/A</v>
      </c>
      <c r="PK159" s="21" t="e">
        <f>EXP(-LN(2)/2)*PK158+(1-EXP(-LN(2)/2))/(LN(2)/2)*PE159*PH159*VLOOKUP('Données projet'!$B$28,Paramètres!$A$1:$I$89,3,0)*0.475*44/12</f>
        <v>#N/A</v>
      </c>
      <c r="PL159" s="22" t="e">
        <f t="shared" si="283"/>
        <v>#N/A</v>
      </c>
    </row>
    <row r="160" spans="1:428" x14ac:dyDescent="0.35">
      <c r="A160" s="10">
        <f t="shared" si="326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285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225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projet'!$A$45:$I$65,2,0)</f>
        <v>#N/A</v>
      </c>
      <c r="L160" s="12" t="e">
        <f>VLOOKUP(A160,'Données projet'!$A$45:$I$65,9,0)</f>
        <v>#N/A</v>
      </c>
      <c r="M160" s="12">
        <f t="array" ref="M160">INDEX(L:L,MIN(IF(ISNUMBER(L160:L356),ROW(L160:L356),"")))</f>
        <v>0</v>
      </c>
      <c r="N160" s="13">
        <f>IF('Données projet'!$A$46&gt;35,N159+M160-V159,IF(A160&lt;'Données projet'!$A$46,$K$205^A160,IF(A160='Données projet'!$A$46,'Données projet'!$B$46,N159+M160-V159)))</f>
        <v>-1.1368683772161603E-13</v>
      </c>
      <c r="O160" s="13">
        <f>N160*VLOOKUP('Données projet'!$B$9,Paramètres!$A$1:$I$89,3,0)*VLOOKUP('Données projet'!$B$9,Paramètres!$A$1:$I$89,5,0)</f>
        <v>-6.3550942286383367E-14</v>
      </c>
      <c r="P160" s="13" t="e">
        <f t="shared" si="286"/>
        <v>#NUM!</v>
      </c>
      <c r="Q160" s="20" t="e">
        <f t="shared" si="327"/>
        <v>#NUM!</v>
      </c>
      <c r="R160" s="59" t="e">
        <f t="shared" si="224"/>
        <v>#NUM!</v>
      </c>
      <c r="S160" s="59">
        <f ca="1">AVERAGE(OFFSET($R$3,0,0,'Données projet'!$E$9+1,1))-AVERAGE(OFFSET($H$3,0,0,'Données projet'!$E$9+1,1))</f>
        <v>274.57619581652199</v>
      </c>
      <c r="T160" s="59">
        <f t="shared" si="287"/>
        <v>366.15117322598775</v>
      </c>
      <c r="U160" s="15">
        <f>IF(ISNA(VLOOKUP(A160,'Données projet'!$A$45:$I$65,3,0)),0,VLOOKUP(A160,'Données projet'!$A$45:$I$65,3,0))</f>
        <v>0</v>
      </c>
      <c r="V160" s="15">
        <f>IF(ISNA(VLOOKUP(A160,'Données projet'!$A$45:$I$65,4,0)),0,VLOOKUP(A160,'Données projet'!$A$45:$I$65,4,0))</f>
        <v>0</v>
      </c>
      <c r="W160" s="16">
        <f>IF(ISNA(VLOOKUP(A160,'Données projet'!$A$45:$I$65,5,0)),0%,VLOOKUP(A160,'Données projet'!$A$45:$I$65,5,0)*VLOOKUP('Données projet'!$B$9,Paramètres!$A$1:$I$89,7,0))</f>
        <v>0</v>
      </c>
      <c r="X160" s="16">
        <f>IF(ISNA(VLOOKUP(A160,'Données projet'!$A$45:$I$65,6,0)),0%,VLOOKUP(A160,'Données projet'!$A$45:$I$65,6,0)*VLOOKUP('Données projet'!$B$9,Paramètres!$A$1:$I$89,7,0))</f>
        <v>0</v>
      </c>
      <c r="Y160" s="16">
        <f>IF(ISNA(VLOOKUP(A160,'Données projet'!$A$45:$I$65,7,0)),0%,VLOOKUP(A160,'Données projet'!$A$45:$I$65,7,0))</f>
        <v>0</v>
      </c>
      <c r="Z160" s="21">
        <f>EXP(-LN(2)/35)*Z159+(1-EXP(-LN(2)/35))/(LN(2)/35)*V160*W160*VLOOKUP('Données projet'!$B$9,Paramètres!$A$1:$I$89,3,0)*0.475*44/12</f>
        <v>30.066430901176656</v>
      </c>
      <c r="AA160" s="21">
        <f>EXP(-LN(2)/25)*AA159+(1-EXP(-LN(2)/25))/(LN(2)/25)*Calculateur!V160*Calculateur!X160*VLOOKUP('Données projet'!$B$9,Paramètres!$A$1:$I$89,3,0)*0.475*44/12</f>
        <v>3.4062616588386612</v>
      </c>
      <c r="AB160" s="21">
        <f>EXP(-LN(2)/2)*AB159+(1-EXP(-LN(2)/2))/(LN(2)/2)*V160*Y160*VLOOKUP('Données projet'!$B$9,Paramètres!$A$1:$I$89,3,0)*0.475*44/12</f>
        <v>1.5170666502634088E-14</v>
      </c>
      <c r="AC160" s="22">
        <f t="shared" si="328"/>
        <v>33.472692560015332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projet'!$A$71:$I$91,2,0)</f>
        <v>#N/A</v>
      </c>
      <c r="AG160" s="12" t="e">
        <f>VLOOKUP(A160,'Données projet'!$A$71:$I$91,9,0)</f>
        <v>#N/A</v>
      </c>
      <c r="AH160" s="12">
        <f t="array" ref="AH160">INDEX(AG:AG,MIN(IF(ISNUMBER(AG160:AG356),ROW(AG160:AG356),"")))</f>
        <v>0</v>
      </c>
      <c r="AI160" s="13">
        <f>IF('Données projet'!$A$72&gt;35,AI159+AH160-AQ159,IF(A160&lt;'Données projet'!$A$72,$AF$205^A160,IF(A160='Données projet'!$A$72,'Données projet'!$B$72,AI159+AH160-AQ159)))</f>
        <v>5.6843418860808015E-13</v>
      </c>
      <c r="AJ160" s="13">
        <f>AI160*VLOOKUP('Données projet'!$B$10,Paramètres!$A$1:$I$89,3,0)*VLOOKUP('Données projet'!$B$10,Paramètres!$A$1:$I$89,5,0)</f>
        <v>5.1431925385259092E-13</v>
      </c>
      <c r="AK160" s="13">
        <f t="shared" si="329"/>
        <v>6.3855359115685756E-12</v>
      </c>
      <c r="AL160" s="20">
        <f t="shared" si="330"/>
        <v>1.2017247746441865E-11</v>
      </c>
      <c r="AM160" s="59">
        <f t="shared" si="228"/>
        <v>293.33333333334531</v>
      </c>
      <c r="AN160" s="59">
        <f ca="1">AVERAGE(OFFSET($AM$3,0,0,'Données projet'!$E$10+1,1))-AVERAGE(OFFSET($H$3,0,0,'Données projet'!$E$10+1,1))</f>
        <v>270.87836509222456</v>
      </c>
      <c r="AO160" s="59">
        <f t="shared" si="289"/>
        <v>205.24998237949734</v>
      </c>
      <c r="AP160" s="15">
        <f>IF(ISNA(VLOOKUP(A160,'Données projet'!$A$71:$I$91,3,0)),0,VLOOKUP(A160,'Données projet'!$A$71:$I$91,3,0))</f>
        <v>0</v>
      </c>
      <c r="AQ160" s="15">
        <f>IF(ISNA(VLOOKUP(A160,'Données projet'!$A$71:$I$91,4,0)),0,VLOOKUP(A160,'Données projet'!$A$71:$I$91,4,0))</f>
        <v>0</v>
      </c>
      <c r="AR160" s="16">
        <f>IF(ISNA(VLOOKUP(A160,'Données projet'!$A$71:$I$91,5,0)),0%,VLOOKUP(A160,'Données projet'!$A$71:$I$91,5,0)*VLOOKUP('Données projet'!$B$10,Paramètres!$A$1:$I$89,7,0))</f>
        <v>0</v>
      </c>
      <c r="AS160" s="16">
        <f>IF(ISNA(VLOOKUP(A160,'Données projet'!$A$71:$I$91,6,0)),0%,VLOOKUP(A160,'Données projet'!$A$71:$I$91,6,0)*VLOOKUP('Données projet'!$B$10,Paramètres!$A$1:$I$89,7,0))</f>
        <v>0</v>
      </c>
      <c r="AT160" s="16">
        <f>IF(ISNA(VLOOKUP(A160,'Données projet'!$A$71:$I$91,7,0)),0%,VLOOKUP(A160,'Données projet'!$A$71:$I$91,7,0))</f>
        <v>0</v>
      </c>
      <c r="AU160" s="21">
        <f>EXP(-LN(2)/35)*AU159+(1-EXP(-LN(2)/35))/(LN(2)/35)*AQ160*AR160*VLOOKUP('Données projet'!$B$10,Paramètres!$A$1:$I$89,3,0)*0.475*44/12</f>
        <v>102.17339244087763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331"/>
        <v>102.17339244087763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projet'!$A$97:$I$117,2,0)</f>
        <v>#N/A</v>
      </c>
      <c r="BB160" s="12" t="e">
        <f>VLOOKUP(A160,'Données projet'!$A$97:$I$117,9,0)</f>
        <v>#N/A</v>
      </c>
      <c r="BC160" s="12">
        <f t="array" ref="BC160">INDEX(BB:BB,MIN(IF(ISNUMBER(BB160:BB356),ROW(BB160:BB356),"")))</f>
        <v>0</v>
      </c>
      <c r="BD160" s="12">
        <f>IF('Données projet'!$A$98&gt;35,BD159+BC160-BL159,IF(A160&lt;'Données projet'!$A$98,$BA$205^A160,IF(A160='Données projet'!$A$98,'Données projet'!$B$98,BD159+BC160-BL159)))</f>
        <v>-1.1368683772161603E-13</v>
      </c>
      <c r="BE160" s="13">
        <f>BD160*VLOOKUP('Données projet'!$B$11,Paramètres!$A$1:$I$89,3,0)*VLOOKUP('Données projet'!$B$11,Paramètres!$A$1:$I$89,5,0)</f>
        <v>-5.0249582272954292E-14</v>
      </c>
      <c r="BF160" s="13" t="e">
        <f t="shared" si="332"/>
        <v>#NUM!</v>
      </c>
      <c r="BG160" s="20" t="e">
        <f t="shared" si="333"/>
        <v>#NUM!</v>
      </c>
      <c r="BH160" s="59" t="e">
        <f t="shared" si="231"/>
        <v>#NUM!</v>
      </c>
      <c r="BI160" s="59">
        <f ca="1">AVERAGE(OFFSET($BH$3,0,0,'Données projet'!$E$11+1,1))-AVERAGE(OFFSET($H$3,0,0,'Données projet'!$E$11+1,1))</f>
        <v>211.31057120485542</v>
      </c>
      <c r="BJ160" s="59">
        <f t="shared" si="291"/>
        <v>283.33292006714777</v>
      </c>
      <c r="BK160" s="15">
        <f>IF(ISNA(VLOOKUP(A160,'Données projet'!$A$97:$I$117,3,0)),0,VLOOKUP(A160,'Données projet'!$A$97:$I$117,3,0))</f>
        <v>0</v>
      </c>
      <c r="BL160" s="15">
        <f>IF(ISNA(VLOOKUP(A160,'Données projet'!$A$97:$I$117,4,0)),0,VLOOKUP(A160,'Données projet'!$A$97:$I$117,4,0))</f>
        <v>0</v>
      </c>
      <c r="BM160" s="16">
        <f>IF(ISNA(VLOOKUP(A160,'Données projet'!$A$97:$I$117,5,0)),0%,VLOOKUP(A160,'Données projet'!$A$97:$I$117,5,0)*VLOOKUP('Données projet'!$B$11,Paramètres!$A$1:$I$89,7,0))</f>
        <v>0</v>
      </c>
      <c r="BN160" s="16">
        <f>IF(ISNA(VLOOKUP(A160,'Données projet'!$A$97:$I$117,6,0)),0%,VLOOKUP(A160,'Données projet'!$A$97:$I$117,6,0)*VLOOKUP('Données projet'!$B$11,Paramètres!$A$1:$I$89,7,0))</f>
        <v>0</v>
      </c>
      <c r="BO160" s="16">
        <f>IF(ISNA(VLOOKUP(A160,'Données projet'!$A$97:$I$117,7,0)),0%,VLOOKUP(A160,'Données projet'!$A$97:$I$117,7,0))</f>
        <v>0</v>
      </c>
      <c r="BP160" s="21">
        <f>EXP(-LN(2)/35)*BP159+(1-EXP(-LN(2)/35))/(LN(2)/35)*BL160*BM160*VLOOKUP('Données projet'!$B$11,Paramètres!$A$1:$I$89,3,0)*0.475*44/12</f>
        <v>23.77345699162807</v>
      </c>
      <c r="BQ160" s="21">
        <f>EXP(-LN(2)/25)*BQ159+(1-EXP(-LN(2)/25))/(LN(2)/25)*Calculateur!BL160*Calculateur!BN160*VLOOKUP('Données projet'!$B$11,Paramètres!$A$1:$I$89,3,0)*0.475*44/12</f>
        <v>2.6933231721049862</v>
      </c>
      <c r="BR160" s="21">
        <f>EXP(-LN(2)/2)*BR159+(1-EXP(-LN(2)/2))/(LN(2)/2)*BL160*BO160*VLOOKUP('Données projet'!$B$11,Paramètres!$A$1:$I$89,3,0)*0.475*44/12</f>
        <v>1.1995410723012998E-14</v>
      </c>
      <c r="BS160" s="22">
        <f t="shared" si="334"/>
        <v>26.466780163733066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projet'!$A$123:$I$143,2,0)</f>
        <v>#N/A</v>
      </c>
      <c r="BW160" s="12" t="e">
        <f>VLOOKUP(A160,'Données projet'!$A$123:$I$143,9,0)</f>
        <v>#N/A</v>
      </c>
      <c r="BX160" s="12">
        <f t="array" ref="BX160">INDEX(BW:BW,MIN(IF(ISNUMBER(BW160:BW356),ROW(BW160:BW356),"")))</f>
        <v>0</v>
      </c>
      <c r="BY160" s="12">
        <f>IF('Données projet'!$A$124&gt;35,BY159+BX160-CG159,IF(A160&lt;'Données projet'!$A$124,$BV$205^A160,IF(A160='Données projet'!$A$124,'Données projet'!$B$124,BY159+BX160-CG159)))</f>
        <v>0</v>
      </c>
      <c r="BZ160" s="13">
        <f>BY160*VLOOKUP('Données projet'!$B$12,Paramètres!$A$1:$I$89,3,0)*VLOOKUP('Données projet'!$B$12,Paramètres!$A$1:$I$89,5,0)</f>
        <v>0</v>
      </c>
      <c r="CA160" s="13" t="e">
        <f t="shared" si="335"/>
        <v>#NUM!</v>
      </c>
      <c r="CB160" s="20" t="e">
        <f t="shared" si="336"/>
        <v>#NUM!</v>
      </c>
      <c r="CC160" s="59" t="e">
        <f t="shared" si="234"/>
        <v>#NUM!</v>
      </c>
      <c r="CD160" s="59">
        <f ca="1">AVERAGE(OFFSET($CC$3,0,0,'Données projet'!$E$12+1,1))-AVERAGE(OFFSET($H$3,0,0,'Données projet'!$E$12+1,1))</f>
        <v>322.93502595881938</v>
      </c>
      <c r="CE160" s="59">
        <f t="shared" si="293"/>
        <v>302.67072119588164</v>
      </c>
      <c r="CF160" s="15">
        <f>IF(ISNA(VLOOKUP(A160,'Données projet'!$A$123:$I$143,3,0)),0,VLOOKUP(A160,'Données projet'!$A$123:$I$143,3,0))</f>
        <v>0</v>
      </c>
      <c r="CG160" s="15">
        <f>IF(ISNA(VLOOKUP(A160,'Données projet'!$A$123:$I$143,4,0)),0,VLOOKUP(A160,'Données projet'!$A$123:$I$143,4,0))</f>
        <v>0</v>
      </c>
      <c r="CH160" s="16">
        <f>IF(ISNA(VLOOKUP(A160,'Données projet'!$A$123:$I$143,5,0)),0%,VLOOKUP(A160,'Données projet'!$A$123:$I$143,5,0)*VLOOKUP('Données projet'!$B$12,Paramètres!$A$1:$I$89,7,0))</f>
        <v>0</v>
      </c>
      <c r="CI160" s="16">
        <f>IF(ISNA(VLOOKUP(A160,'Données projet'!$A$123:$I$143,6,0)),0%,VLOOKUP(A160,'Données projet'!$A$123:$I$143,6,0)*VLOOKUP('Données projet'!$B$12,Paramètres!$A$1:$I$89,7,0))</f>
        <v>0</v>
      </c>
      <c r="CJ160" s="16">
        <f>IF(ISNA(VLOOKUP(A160,'Données projet'!$A$123:$I$143,7,0)),0%,VLOOKUP(A160,'Données projet'!$A$123:$I$143,7,0))</f>
        <v>0</v>
      </c>
      <c r="CK160" s="21">
        <f>EXP(-LN(2)/35)*CK159+(1-EXP(-LN(2)/35))/(LN(2)/35)*CG160*CH160*VLOOKUP('Données projet'!$B$12,Paramètres!$A$1:$I$89,3,0)*0.475*44/12</f>
        <v>37.87686146821364</v>
      </c>
      <c r="CL160" s="21">
        <f>EXP(-LN(2)/25)*CL159+(1-EXP(-LN(2)/25))/(LN(2)/25)*Calculateur!CG160*Calculateur!CI160*VLOOKUP('Données projet'!$B$12,Paramètres!$A$1:$I$89,3,0)*0.475*44/12</f>
        <v>8.6202637162109141</v>
      </c>
      <c r="CM160" s="21">
        <f>EXP(-LN(2)/2)*CM159+(1-EXP(-LN(2)/2))/(LN(2)/2)*CG160*CJ160*VLOOKUP('Données projet'!$B$12,Paramètres!$A$1:$I$89,3,0)*0.475*44/12</f>
        <v>0</v>
      </c>
      <c r="CN160" s="22">
        <f t="shared" si="337"/>
        <v>46.497125184424554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>
        <f>VLOOKUP(A160,'Données projet'!$A$149:$I$169,2,0)</f>
        <v>132.42948717948718</v>
      </c>
      <c r="CR160" s="12">
        <f>VLOOKUP(A160,'Données projet'!$A$149:$I$169,9,0)</f>
        <v>1.8717948717948829</v>
      </c>
      <c r="CS160" s="12">
        <f t="array" ref="CS160">INDEX(CR:CR,MIN(IF(ISNUMBER(CR160:CR356),ROW(CR160:CR356),"")))</f>
        <v>1.8717948717948829</v>
      </c>
      <c r="CT160" s="12">
        <f>IF('Données projet'!$A$150&gt;35,CT159+CS160-DB159,IF(A160&lt;'Données projet'!$A$150,$CQ$205^A160,IF(A160='Données projet'!$A$150,'Données projet'!$B$150,CT159+CS160-DB159)))</f>
        <v>132.4294871794867</v>
      </c>
      <c r="CU160" s="17">
        <f>CT160*VLOOKUP('Données projet'!$B$13,Paramètres!$A$1:$I$89,3,0)*VLOOKUP('Données projet'!$B$13,Paramètres!$A$1:$I$89,5,0)</f>
        <v>134.28349999999952</v>
      </c>
      <c r="CV160" s="13">
        <f t="shared" si="338"/>
        <v>34.984275179883873</v>
      </c>
      <c r="CW160" s="20">
        <f t="shared" si="339"/>
        <v>294.80804177163026</v>
      </c>
      <c r="CX160" s="59">
        <f t="shared" si="237"/>
        <v>588.14137510496357</v>
      </c>
      <c r="CY160" s="59">
        <f ca="1">AVERAGE(OFFSET($CX$3,0,0,'Données projet'!$E$13+1,1))-AVERAGE(OFFSET($H$3,0,0,'Données projet'!$E$13+1,1))</f>
        <v>250.31277422753283</v>
      </c>
      <c r="CZ160" s="59">
        <f t="shared" si="295"/>
        <v>159.20429420478047</v>
      </c>
      <c r="DA160" s="15">
        <f>IF(ISNA(VLOOKUP(A160,'Données projet'!$A$149:$I$169,3,0)),0,VLOOKUP(A160,'Données projet'!$A$149:$I$169,3,0))</f>
        <v>14</v>
      </c>
      <c r="DB160" s="15">
        <f>IF(ISNA(VLOOKUP(A160,'Données projet'!$A$149:$I$169,4,0)),0,VLOOKUP(A160,'Données projet'!$A$149:$I$169,4,0))</f>
        <v>45.71153846153846</v>
      </c>
      <c r="DC160" s="16">
        <f>IF(ISNA(VLOOKUP(A160,'Données projet'!$A$149:$I$169,5,0)),0%,VLOOKUP(A160,'Données projet'!$A$149:$I$169,5,0)*VLOOKUP('Données projet'!$B$13,Paramètres!$A$1:$I$89,7,0))</f>
        <v>0.38700000000000001</v>
      </c>
      <c r="DD160" s="16">
        <f>IF(ISNA(VLOOKUP(A160,'Données projet'!$A$149:$I$169,6,0)),0%,VLOOKUP(A160,'Données projet'!$A$149:$I$169,6,0)*VLOOKUP('Données projet'!$B$13,Paramètres!$A$1:$I$89,7,0))</f>
        <v>0</v>
      </c>
      <c r="DE160" s="16">
        <f>IF(ISNA(VLOOKUP(A160,'Données projet'!$A$149:$I$169,7,0)),0%,VLOOKUP(A160,'Données projet'!$A$149:$I$169,7,0))</f>
        <v>0</v>
      </c>
      <c r="DF160" s="21">
        <f>EXP(-LN(2)/35)*DF159+(1-EXP(-LN(2)/35))/(LN(2)/35)*DB160*DC160*VLOOKUP('Données projet'!$B$13,Paramètres!$A$1:$I$89,3,0)*0.475*44/12</f>
        <v>129.52440210000634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340"/>
        <v>129.52440210000634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projet'!$A$175:$I$195,2,0)</f>
        <v>#N/A</v>
      </c>
      <c r="DM160" s="12" t="e">
        <f>VLOOKUP(A160,'Données projet'!$A$175:$I$195,9,0)</f>
        <v>#N/A</v>
      </c>
      <c r="DN160" s="12">
        <f t="array" ref="DN160">INDEX(DM:DM,MIN(IF(ISNUMBER(DM160:DM356),ROW(DM160:DM356),"")))</f>
        <v>0</v>
      </c>
      <c r="DO160" s="12">
        <f>IF('Données projet'!$A$176&gt;35,DO159+DN160-DW159,IF(A160&lt;'Données projet'!$A$176,$DL$205^A160,IF(A160='Données projet'!$A$176,'Données projet'!$B$176,DO159+DN160-DW159)))</f>
        <v>-2.8421709430404007E-13</v>
      </c>
      <c r="DP160" s="17">
        <f>DO160*VLOOKUP('Données projet'!$B$14,Paramètres!$A$1:$I$89,3,0)*VLOOKUP('Données projet'!$B$14,Paramètres!$A$1:$I$89,5,0)</f>
        <v>-2.0838797354372215E-13</v>
      </c>
      <c r="DQ160" s="13" t="e">
        <f t="shared" si="341"/>
        <v>#NUM!</v>
      </c>
      <c r="DR160" s="20" t="e">
        <f t="shared" si="342"/>
        <v>#NUM!</v>
      </c>
      <c r="DS160" s="59" t="e">
        <f t="shared" si="240"/>
        <v>#NUM!</v>
      </c>
      <c r="DT160" s="59">
        <f ca="1">AVERAGE(OFFSET($DS$3,0,0,'Données projet'!$E$14+1,1))-AVERAGE(OFFSET($H$3,0,0,'Données projet'!$E$14+1,1))</f>
        <v>296.91321813251051</v>
      </c>
      <c r="DU160" s="59">
        <f t="shared" si="297"/>
        <v>291.0718079639509</v>
      </c>
      <c r="DV160" s="15">
        <f>IF(ISNA(VLOOKUP(A160,'Données projet'!$A$175:$I$195,3,0)),0,VLOOKUP(A160,'Données projet'!$A$175:$I$195,3,0))</f>
        <v>0</v>
      </c>
      <c r="DW160" s="15">
        <f>IF(ISNA(VLOOKUP(A160,'Données projet'!$A$175:$I$195,4,0)),0,VLOOKUP(A160,'Données projet'!$A$175:$I$195,4,0))</f>
        <v>0</v>
      </c>
      <c r="DX160" s="16">
        <f>IF(ISNA(VLOOKUP(A160,'Données projet'!$A$175:$I$195,5,0)),0%,VLOOKUP(A160,'Données projet'!$A$175:$I$195,5,0)*VLOOKUP('Données projet'!$B$14,Paramètres!$A$1:$I$89,7,0))</f>
        <v>0</v>
      </c>
      <c r="DY160" s="16">
        <f>IF(ISNA(VLOOKUP(A160,'Données projet'!$A$175:$I$195,6,0)),0%,VLOOKUP(A160,'Données projet'!$A$175:$I$195,6,0)*VLOOKUP('Données projet'!$B$14,Paramètres!$A$1:$I$89,7,0))</f>
        <v>0</v>
      </c>
      <c r="DZ160" s="16">
        <f>IF(ISNA(VLOOKUP(A160,'Données projet'!$A$175:$I$195,7,0)),0%,VLOOKUP(A160,'Données projet'!$A$175:$I$195,7,0))</f>
        <v>0</v>
      </c>
      <c r="EA160" s="21">
        <f>EXP(-LN(2)/35)*EA159+(1-EXP(-LN(2)/35))/(LN(2)/35)*DW160*DX160*VLOOKUP('Données projet'!$B$14,Paramètres!$A$1:$I$89,3,0)*0.475*44/12</f>
        <v>37.751070784593615</v>
      </c>
      <c r="EB160" s="21">
        <f>EXP(-LN(2)/25)*EB159+(1-EXP(-LN(2)/25))/(LN(2)/25)*Calculateur!DW160*Calculateur!DY160*VLOOKUP('Données projet'!$B$14,Paramètres!$A$1:$I$89,3,0)*0.475*44/12</f>
        <v>0.63325239070308326</v>
      </c>
      <c r="EC160" s="21">
        <f>EXP(-LN(2)/2)*EC159+(1-EXP(-LN(2)/2))/(LN(2)/2)*DW160*DZ160*VLOOKUP('Données projet'!$B$14,Paramètres!$A$1:$I$89,3,0)*0.475*44/12</f>
        <v>0</v>
      </c>
      <c r="ED160" s="22">
        <f t="shared" si="343"/>
        <v>38.3843231752967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projet'!$A$201:$I$221,2,0)</f>
        <v>#N/A</v>
      </c>
      <c r="EH160" s="12" t="e">
        <f>VLOOKUP(A160,'Données projet'!$A$201:$I$221,9,0)</f>
        <v>#N/A</v>
      </c>
      <c r="EI160" s="12">
        <f t="array" ref="EI160">INDEX(EH:EH,MIN(IF(ISNUMBER(EH160:EH356),ROW(EH160:EH356),"")))</f>
        <v>0</v>
      </c>
      <c r="EJ160" s="12">
        <f>IF('Données projet'!$A$202&gt;35,EJ159+EI160-ER159,IF(A160&lt;'Données projet'!$A$202,$EG$205^A160,IF(A160='Données projet'!$A$202,'Données projet'!$B$202,EJ159+EI160-ER159)))</f>
        <v>5.1159076974727213E-13</v>
      </c>
      <c r="EK160" s="17">
        <f>EJ160*VLOOKUP('Données projet'!$B$15,Paramètres!$A$1:$I$89,3,0)*VLOOKUP('Données projet'!$B$15,Paramètres!$A$1:$I$89,5,0)</f>
        <v>2.3942448024172334E-13</v>
      </c>
      <c r="EL160" s="13">
        <f t="shared" si="344"/>
        <v>3.2492669905861755E-12</v>
      </c>
      <c r="EM160" s="20">
        <f t="shared" si="345"/>
        <v>6.0761376450252565E-12</v>
      </c>
      <c r="EN160" s="59">
        <f t="shared" si="243"/>
        <v>293.3333333333394</v>
      </c>
      <c r="EO160" s="59">
        <f ca="1">AVERAGE(OFFSET($EN$3,0,0,'Données projet'!$E$15+1,1))-AVERAGE(OFFSET($H$3,0,0,'Données projet'!$E$15+1,1))</f>
        <v>147.64256291235483</v>
      </c>
      <c r="EP160" s="59">
        <f t="shared" si="299"/>
        <v>70.859031694091868</v>
      </c>
      <c r="EQ160" s="15">
        <f>IF(ISNA(VLOOKUP(A160,'Données projet'!$A$201:$I$221,3,0)),0,VLOOKUP(A160,'Données projet'!$A$201:$I$221,3,0))</f>
        <v>0</v>
      </c>
      <c r="ER160" s="15">
        <f>IF(ISNA(VLOOKUP(A160,'Données projet'!$A$201:$I$221,4,0)),0,VLOOKUP(A160,'Données projet'!$A$201:$I$221,4,0))</f>
        <v>0</v>
      </c>
      <c r="ES160" s="16">
        <f>IF(ISNA(VLOOKUP(A160,'Données projet'!$A$201:$I$221,5,0)),0%,VLOOKUP(A160,'Données projet'!$A$201:$I$221,5,0)*VLOOKUP('Données projet'!$B$15,Paramètres!$A$1:$I$89,7,0))</f>
        <v>0</v>
      </c>
      <c r="ET160" s="16">
        <f>IF(ISNA(VLOOKUP(A160,'Données projet'!$A$201:$I$221,6,0)),0%,VLOOKUP(A160,'Données projet'!$A$201:$I$221,6,0)*VLOOKUP('Données projet'!$B$15,Paramètres!$A$1:$I$89,7,0))</f>
        <v>0</v>
      </c>
      <c r="EU160" s="16">
        <f>IF(ISNA(VLOOKUP(A160,'Données projet'!$A$201:$I$221,7,0)),0%,VLOOKUP(A160,'Données projet'!$A$201:$I$221,7,0))</f>
        <v>0</v>
      </c>
      <c r="EV160" s="21">
        <f>EXP(-LN(2)/35)*EV159+(1-EXP(-LN(2)/35))/(LN(2)/35)*ER160*ES160*VLOOKUP('Données projet'!$B$15,Paramètres!$A$1:$I$89,3,0)*0.475*44/12</f>
        <v>51.681810968175938</v>
      </c>
      <c r="EW160" s="21">
        <f>EXP(-LN(2)/25)*EW159+(1-EXP(-LN(2)/25))/(LN(2)/25)*Calculateur!ER160*Calculateur!ET160*VLOOKUP('Données projet'!$B$15,Paramètres!$A$1:$I$89,3,0)*0.475*44/12</f>
        <v>8.7857389300045998</v>
      </c>
      <c r="EX160" s="21">
        <f>EXP(-LN(2)/2)*EX159+(1-EXP(-LN(2)/2))/(LN(2)/2)*ER160*EU160*VLOOKUP('Données projet'!$B$15,Paramètres!$A$1:$I$89,3,0)*0.475*44/12</f>
        <v>1.0936671092935418E-6</v>
      </c>
      <c r="EY160" s="22">
        <f t="shared" si="346"/>
        <v>60.467550991847645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projet'!$A$227:$I$247,2,0)</f>
        <v>#N/A</v>
      </c>
      <c r="FC160" s="12" t="e">
        <f>VLOOKUP(A160,'Données projet'!$A$227:$I$247,9,0)</f>
        <v>#N/A</v>
      </c>
      <c r="FD160" s="12">
        <f t="array" ref="FD160">INDEX(FC:FC,MIN(IF(ISNUMBER(FC160:FC356),ROW(FC160:FC356),"")))</f>
        <v>0</v>
      </c>
      <c r="FE160" s="12">
        <f>IF('Données projet'!$A$228&gt;35,FE159+FD160-FM159,IF(A160&lt;'Données projet'!$A$228,$FB$205^A160,IF(A160='Données projet'!$A$228,'Données projet'!$B$228,FE159+FD160-FM159)))</f>
        <v>8.5265128291212022E-14</v>
      </c>
      <c r="FF160" s="17">
        <f>FE160*VLOOKUP('Données projet'!$B$16,Paramètres!$A$1:$I$89,3,0)*VLOOKUP('Données projet'!$B$16,Paramètres!$A$1:$I$89,5,0)</f>
        <v>8.9119112089974823E-14</v>
      </c>
      <c r="FG160" s="13">
        <f t="shared" si="347"/>
        <v>1.3568952080113142E-12</v>
      </c>
      <c r="FH160" s="20">
        <f t="shared" si="348"/>
        <v>2.5184749408430782E-12</v>
      </c>
      <c r="FI160" s="59">
        <f t="shared" si="246"/>
        <v>293.33333333333582</v>
      </c>
      <c r="FJ160" s="59">
        <f ca="1">AVERAGE(OFFSET($FI$3,0,0,'Données projet'!$E$16+1,1))-AVERAGE(OFFSET($H$3,0,0,'Données projet'!$E$16+1,1))</f>
        <v>259.03906550253788</v>
      </c>
      <c r="FK160" s="59">
        <f t="shared" si="301"/>
        <v>235.54542903570831</v>
      </c>
      <c r="FL160" s="15">
        <f>IF(ISNA(VLOOKUP(A160,'Données projet'!$A$227:$I$247,3,0)),0,VLOOKUP(A160,'Données projet'!$A$227:$I$247,3,0))</f>
        <v>0</v>
      </c>
      <c r="FM160" s="15">
        <f>IF(ISNA(VLOOKUP(A160,'Données projet'!$A$227:$I$247,4,0)),0,VLOOKUP(A160,'Données projet'!$A$227:$I$247,4,0))</f>
        <v>0</v>
      </c>
      <c r="FN160" s="16">
        <f>IF(ISNA(VLOOKUP(A160,'Données projet'!$A$227:$I$247,5,0)),0%,VLOOKUP(A160,'Données projet'!$A$227:$I$247,5,0)*VLOOKUP('Données projet'!$B$16,Paramètres!$A$1:$I$89,7,0))</f>
        <v>0</v>
      </c>
      <c r="FO160" s="16">
        <f>IF(ISNA(VLOOKUP(A160,'Données projet'!$A$227:$I$247,6,0)),0%,VLOOKUP(A160,'Données projet'!$A$227:$I$247,6,0)*VLOOKUP('Données projet'!$B$16,Paramètres!$A$1:$I$89,7,0))</f>
        <v>0</v>
      </c>
      <c r="FP160" s="16">
        <f>IF(ISNA(VLOOKUP(A160,'Données projet'!$A$227:$I$247,7,0)),0%,VLOOKUP(A160,'Données projet'!$A$227:$I$247,7,0))</f>
        <v>0</v>
      </c>
      <c r="FQ160" s="21">
        <f>EXP(-LN(2)/35)*FQ159+(1-EXP(-LN(2)/35))/(LN(2)/35)*FM160*FN160*VLOOKUP('Données projet'!$B$16,Paramètres!$A$1:$I$89,3,0)*0.475*44/12</f>
        <v>22.810946809867463</v>
      </c>
      <c r="FR160" s="21">
        <f>EXP(-LN(2)/25)*FR159+(1-EXP(-LN(2)/25))/(LN(2)/25)*Calculateur!FM160*Calculateur!FO160*VLOOKUP('Données projet'!$B$16,Paramètres!$A$1:$I$89,3,0)*0.475*44/12</f>
        <v>12.086318389822011</v>
      </c>
      <c r="FS160" s="21">
        <f>EXP(-LN(2)/2)*FS159+(1-EXP(-LN(2)/2))/(LN(2)/2)*FM160*FP160*VLOOKUP('Données projet'!$B$16,Paramètres!$A$1:$I$89,3,0)*0.475*44/12</f>
        <v>0</v>
      </c>
      <c r="FT160" s="22">
        <f t="shared" si="349"/>
        <v>34.897265199689471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projet'!$A$253:$I$273,2,0)</f>
        <v>#N/A</v>
      </c>
      <c r="FX160" s="12" t="e">
        <f>VLOOKUP(A160,'Données projet'!$A$253:$I$273,9,0)</f>
        <v>#N/A</v>
      </c>
      <c r="FY160" s="12">
        <f t="array" ref="FY160">INDEX(FX:FX,MIN(IF(ISNUMBER(FX160:FX356),ROW(FX160:FX356),"")))</f>
        <v>0</v>
      </c>
      <c r="FZ160" s="12">
        <f>IF('Données projet'!$A$254&gt;35,FZ159+FY160-GH159,IF(A160&lt;'Données projet'!$A$254,$FW$205^A160,IF(A160='Données projet'!$A$254,'Données projet'!$B$254,FZ159+FY160-GH159)))</f>
        <v>-1.7053025658242404E-13</v>
      </c>
      <c r="GA160" s="17">
        <f>FZ160*VLOOKUP('Données projet'!$B$17,Paramètres!$A$1:$I$89,3,0)*VLOOKUP('Données projet'!$B$17,Paramètres!$A$1:$I$89,5,0)</f>
        <v>-1.4897523215040567E-13</v>
      </c>
      <c r="GB160" s="13" t="e">
        <f t="shared" si="350"/>
        <v>#NUM!</v>
      </c>
      <c r="GC160" s="20" t="e">
        <f t="shared" si="351"/>
        <v>#NUM!</v>
      </c>
      <c r="GD160" s="59" t="e">
        <f t="shared" si="249"/>
        <v>#NUM!</v>
      </c>
      <c r="GE160" s="59">
        <f ca="1">AVERAGE(OFFSET($GD$3,0,0,'Données projet'!$E$17+1,1))-AVERAGE(OFFSET($H$3,0,0,'Données projet'!$E$17+1,1))</f>
        <v>245.1983232777614</v>
      </c>
      <c r="GF160" s="59">
        <f t="shared" si="303"/>
        <v>242.34010522344573</v>
      </c>
      <c r="GG160" s="15">
        <f>IF(ISNA(VLOOKUP(A160,'Données projet'!$A$253:$I$273,3,0)),0,VLOOKUP(A160,'Données projet'!$A$253:$I$273,3,0))</f>
        <v>0</v>
      </c>
      <c r="GH160" s="15">
        <f>IF(ISNA(VLOOKUP(A160,'Données projet'!$A$253:$I$273,4,0)),0,VLOOKUP(A160,'Données projet'!$A$253:$I$273,4,0))</f>
        <v>0</v>
      </c>
      <c r="GI160" s="16">
        <f>IF(ISNA(VLOOKUP(A160,'Données projet'!$A$253:$I$273,5,0)),0%,VLOOKUP(A160,'Données projet'!$A$253:$I$273,5,0)*VLOOKUP('Données projet'!$B$17,Paramètres!$A$1:$I$89,7,0))</f>
        <v>0</v>
      </c>
      <c r="GJ160" s="16">
        <f>IF(ISNA(VLOOKUP(A160,'Données projet'!$A$253:$I$273,6,0)),0%,VLOOKUP(A160,'Données projet'!$A$253:$I$273,6,0)*VLOOKUP('Données projet'!$B$17,Paramètres!$A$1:$I$89,7,0))</f>
        <v>0</v>
      </c>
      <c r="GK160" s="16">
        <f>IF(ISNA(VLOOKUP(A160,'Données projet'!$A$253:$I$273,7,0)),0%,VLOOKUP(A160,'Données projet'!$A$253:$I$273,7,0))</f>
        <v>0</v>
      </c>
      <c r="GL160" s="21">
        <f>EXP(-LN(2)/35)*GL159+(1-EXP(-LN(2)/35))/(LN(2)/35)*GH160*GI160*VLOOKUP('Données projet'!$B$17,Paramètres!$A$1:$I$89,3,0)*0.475*44/12</f>
        <v>26.817397689294321</v>
      </c>
      <c r="GM160" s="21">
        <f>EXP(-LN(2)/25)*GM159+(1-EXP(-LN(2)/25))/(LN(2)/25)*Calculateur!GH160*Calculateur!GJ160*VLOOKUP('Données projet'!$B$17,Paramètres!$A$1:$I$89,3,0)*0.475*44/12</f>
        <v>2.5753000064076992</v>
      </c>
      <c r="GN160" s="21">
        <f>EXP(-LN(2)/2)*GN159+(1-EXP(-LN(2)/2))/(LN(2)/2)*GH160*GK160*VLOOKUP('Données projet'!$B$17,Paramètres!$A$1:$I$89,3,0)*0.475*44/12</f>
        <v>0</v>
      </c>
      <c r="GO160" s="21">
        <f t="shared" si="352"/>
        <v>29.392697695702019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projet'!$A$279:$I$299,2,0)</f>
        <v>#N/A</v>
      </c>
      <c r="GS160" s="12" t="e">
        <f>VLOOKUP(A160,'Données projet'!$A$279:$I$299,9,0)</f>
        <v>#N/A</v>
      </c>
      <c r="GT160" s="12">
        <f t="array" ref="GT160">INDEX(GS:GS,MIN(IF(ISNUMBER(GS160:GS356),ROW(GS160:GS356),"")))</f>
        <v>0</v>
      </c>
      <c r="GU160" s="12">
        <f>IF('Données projet'!$A$280&gt;35,GU159+GT160-HC159,IF(A160&lt;'Données projet'!$A$280,$GR$205^A160,IF(A160='Données projet'!$A$280,'Données projet'!$B$280,GU159+GT160-HC159)))</f>
        <v>-1.1368683772161603E-13</v>
      </c>
      <c r="GV160" s="17">
        <f>GU160*VLOOKUP('Données projet'!$B$18,Paramètres!$A$1:$I$89,3,0)*VLOOKUP('Données projet'!$B$18,Paramètres!$A$1:$I$89,5,0)</f>
        <v>-4.5815795601811263E-14</v>
      </c>
      <c r="GW160" s="13" t="e">
        <f t="shared" si="353"/>
        <v>#NUM!</v>
      </c>
      <c r="GX160" s="20" t="e">
        <f t="shared" si="354"/>
        <v>#NUM!</v>
      </c>
      <c r="GY160" s="59" t="e">
        <f t="shared" si="252"/>
        <v>#NUM!</v>
      </c>
      <c r="GZ160" s="59">
        <f ca="1">AVERAGE(OFFSET($GY$3,0,0,'Données projet'!$E$18+1,1))-AVERAGE(OFFSET($H$3,0,0,'Données projet'!$E$18+1,1))</f>
        <v>324.36162935850876</v>
      </c>
      <c r="HA160" s="59">
        <f t="shared" si="305"/>
        <v>265.23571072429735</v>
      </c>
      <c r="HB160" s="15">
        <f>IF(ISNA(VLOOKUP(A160,'Données projet'!$A$279:$I$299,3,0)),0,VLOOKUP(A160,'Données projet'!$A$279:$I$299,3,0))</f>
        <v>0</v>
      </c>
      <c r="HC160" s="15">
        <f>IF(ISNA(VLOOKUP(A160,'Données projet'!$A$279:$I$299,4,0)),0,VLOOKUP(A160,'Données projet'!$A$279:$I$299,4,0))</f>
        <v>0</v>
      </c>
      <c r="HD160" s="16">
        <f>IF(ISNA(VLOOKUP(A160,'Données projet'!$A$279:$I$299,5,0)),0%,VLOOKUP(A160,'Données projet'!$A$279:$I$299,5,0)*VLOOKUP('Données projet'!$B$18,Paramètres!$A$1:$I$89,7,0))</f>
        <v>0</v>
      </c>
      <c r="HE160" s="16">
        <f>IF(ISNA(VLOOKUP(A160,'Données projet'!$A$279:$I$299,6,0)),0%,VLOOKUP(A160,'Données projet'!$A$279:$I$299,6,0)*VLOOKUP('Données projet'!$B$18,Paramètres!$A$1:$I$89,7,0))</f>
        <v>0</v>
      </c>
      <c r="HF160" s="16">
        <f>IF(ISNA(VLOOKUP($A160,'Données projet'!$A$279:$I$299,7,0)),0%,VLOOKUP($A160,'Données projet'!$A$279:$I$299,7,0))</f>
        <v>0</v>
      </c>
      <c r="HG160" s="21">
        <f>EXP(-LN(2)/35)*HG159+(1-EXP(-LN(2)/35))/(LN(2)/35)*HC160*HD160*VLOOKUP('Données projet'!$B$18,Paramètres!$A$1:$I$89,3,0)*0.475*44/12</f>
        <v>51.389144544883415</v>
      </c>
      <c r="HH160" s="21">
        <f>EXP(-LN(2)/25)*HH159+(1-EXP(-LN(2)/25))/(LN(2)/25)*Calculateur!HC160*Calculateur!HE160*VLOOKUP('Données projet'!$B$18,Paramètres!$A$1:$I$89,3,0)*0.475*44/12</f>
        <v>2.8641942408768108</v>
      </c>
      <c r="HI160" s="21">
        <f>EXP(-LN(2)/2)*HI159+(1-EXP(-LN(2)/2))/(LN(2)/2)*HC160*HF160*VLOOKUP('Données projet'!$B$18,Paramètres!$A$1:$I$89,3,0)*0.475*44/12</f>
        <v>2.1987179737065333E-11</v>
      </c>
      <c r="HJ160" s="22">
        <f t="shared" si="355"/>
        <v>54.253338785782212</v>
      </c>
      <c r="HK160" s="74">
        <f>('Scénario référence'!$F$8+'Scénario référence'!$F$9+'Scénario référence'!$B$17+'Scénario référence'!$B$9+'Scénario référence'!$B$10)*70+IF((45+25*(1-EXP(-0.0175*$A160)))&lt;70,'Scénario référence'!$B$16*(45+25*(1-EXP(-0.0175*$A160))),70*'Scénario référence'!$B$16)+IF((32+38*(1-EXP(-0.0175*$A160)))&lt;70,'Scénario référence'!$B$18*(32+38*(1-EXP(-0.0175*$A160))),70*'Scénario référence'!$B$18)</f>
        <v>70</v>
      </c>
      <c r="HL160" s="12">
        <f>IF($A160&gt;30,10,('Scénario référence'!$B$16+'Scénario référence'!$B$17+'Scénario référence'!$B$18+'Scénario référence'!$B$9+'Scénario référence'!$B$10)*$A160*10/30+('Scénario référence'!$F$8+'Scénario référence'!$F$9)*10)</f>
        <v>10</v>
      </c>
      <c r="HM160" s="12" t="e">
        <f>VLOOKUP($A160,'Données projet'!$A$304:$I$324,2,0)</f>
        <v>#N/A</v>
      </c>
      <c r="HN160" s="12" t="e">
        <f>VLOOKUP($A160,'Données projet'!$A$304:$I$324,9,0)</f>
        <v>#N/A</v>
      </c>
      <c r="HO160" s="12">
        <f t="array" ref="HO160">INDEX(HN:HN,MIN(IF(ISNUMBER(HN160:HN356),ROW(HN160:HN356),"")))</f>
        <v>0</v>
      </c>
      <c r="HP160" s="12">
        <f>IF('Données projet'!$A$304&gt;35,HP159+HO160-HX159,IF($A160&lt;'Données projet'!$A$304,$CQ$205^$A160,IF($A160='Données projet'!$A$304,'Données projet'!$B$304,HP159+HO160-HX159)))</f>
        <v>0</v>
      </c>
      <c r="HQ160" s="17">
        <f>HP160*VLOOKUP('Données projet'!$B$19,Paramètres!$A$1:$I$89,3,0)*VLOOKUP('Données projet'!$B$19,Paramètres!$A$1:$I$89,5,0)</f>
        <v>0</v>
      </c>
      <c r="HR160" s="13" t="e">
        <f t="shared" si="306"/>
        <v>#NUM!</v>
      </c>
      <c r="HS160" s="14" t="e">
        <f t="shared" si="254"/>
        <v>#NUM!</v>
      </c>
      <c r="HT160" s="59" t="e">
        <f t="shared" si="255"/>
        <v>#NUM!</v>
      </c>
      <c r="HU160" s="59">
        <f ca="1">AVERAGE(OFFSET(HT$3,0,0,'Données projet'!$E$19+1,1))-AVERAGE(OFFSET($H$3,0,0,'Données projet'!$E$19+1,1))</f>
        <v>91.60721429656013</v>
      </c>
      <c r="HV160" s="59">
        <f t="shared" si="307"/>
        <v>258.94957804210856</v>
      </c>
      <c r="HW160" s="15">
        <f>IF(ISNA(VLOOKUP($A160,'Données projet'!$A$304:$I$324,3,0)),0,VLOOKUP($A160,'Données projet'!$A$304:$I$324,3,0))</f>
        <v>0</v>
      </c>
      <c r="HX160" s="15">
        <f>IF(ISNA(VLOOKUP($A160,'Données projet'!$A$304:$I$324,4,0)),0,VLOOKUP($A160,'Données projet'!$A$304:$I$324,4,0))</f>
        <v>0</v>
      </c>
      <c r="HY160" s="16">
        <f>IF(ISNA(VLOOKUP($A160,'Données projet'!$A$304:$I$324,5,0)),0%,VLOOKUP($A160,'Données projet'!$A$304:$I$324,5,0)*VLOOKUP('Données projet'!$B$19,Paramètres!$A$1:$I$89,7,0))</f>
        <v>0</v>
      </c>
      <c r="HZ160" s="16">
        <f>IF(ISNA(VLOOKUP($A160,'Données projet'!$A$304:$I$324,6,0)),0%,VLOOKUP($A160,'Données projet'!$A$304:$I$324,6,0)*VLOOKUP('Données projet'!$B$19,Paramètres!$A$1:$I$89,7,0))</f>
        <v>0</v>
      </c>
      <c r="IA160" s="16">
        <f>IF(ISNA(VLOOKUP($A160,'Données projet'!$A$304:$I$324,7,0)),0%,VLOOKUP($A160,'Données projet'!$A$304:$I$324,7,0))</f>
        <v>0</v>
      </c>
      <c r="IB160" s="21">
        <f>EXP(-LN(2)/35)*IB159+(1-EXP(-LN(2)/35))/(LN(2)/35)*HX160*HY160*VLOOKUP('Données projet'!$B$19,Paramètres!$A$1:$I$89,3,0)*0.475*44/12</f>
        <v>3.9886514349558855</v>
      </c>
      <c r="IC160" s="21">
        <f>EXP(-LN(2)/25)*IC159+(1-EXP(-LN(2)/25))/(LN(2)/25)*Calculateur!HX160*Calculateur!HZ160*VLOOKUP('Données projet'!$B$19,Paramètres!$A$1:$I$89,3,0)*0.475*44/12</f>
        <v>0.28759344397558523</v>
      </c>
      <c r="ID160" s="21">
        <f>EXP(-LN(2)/2)*ID159+(1-EXP(-LN(2)/2))/(LN(2)/2)*HX160*IA160*VLOOKUP('Données projet'!$B$19,Paramètres!$A$1:$I$89,3,0)*0.475*44/12</f>
        <v>4.3917533916444634E-20</v>
      </c>
      <c r="IE160" s="22">
        <f t="shared" si="256"/>
        <v>4.2762448789314709</v>
      </c>
      <c r="IF160" s="74">
        <f>('Scénario référence'!$F$8+'Scénario référence'!$F$9+'Scénario référence'!$B$17+'Scénario référence'!$B$9+'Scénario référence'!$B$10)*70+IF((45+25*(1-EXP(-0.0175*$A160)))&lt;70,'Scénario référence'!$B$16*(45+25*(1-EXP(-0.0175*$A160))),70*'Scénario référence'!$B$16)+IF((32+38*(1-EXP(-0.0175*$A160)))&lt;70,'Scénario référence'!$B$18*(32+38*(1-EXP(-0.0175*$A160))),70*'Scénario référence'!$B$18)</f>
        <v>70</v>
      </c>
      <c r="IG160" s="12">
        <f>IF($A160&gt;30,10,('Scénario référence'!$B$16+'Scénario référence'!$B$17+'Scénario référence'!$B$18+'Scénario référence'!$B$9+'Scénario référence'!$B$10)*$A160*10/30+('Scénario référence'!$F$8+'Scénario référence'!$F$9)*10)</f>
        <v>10</v>
      </c>
      <c r="IH160" s="12" t="e">
        <f>VLOOKUP($A160,'Données projet'!$A$330:$I$350,2,0)</f>
        <v>#N/A</v>
      </c>
      <c r="II160" s="12" t="e">
        <f>VLOOKUP($A160,'Données projet'!$A$330:$I$350,9,0)</f>
        <v>#N/A</v>
      </c>
      <c r="IJ160" s="12">
        <f t="array" ref="IJ160">INDEX(II:II,MIN(IF(ISNUMBER(II160:II356),ROW(II160:II356),"")))</f>
        <v>0</v>
      </c>
      <c r="IK160" s="12">
        <f>IF('Données projet'!$A$330&gt;35,IK159+IJ160-IS159,IF($A160&lt;'Données projet'!$A$330,$CQ$205^$A160,IF($A160='Données projet'!$A$330,'Données projet'!$B$330,IK159+IJ160-IS159)))</f>
        <v>0</v>
      </c>
      <c r="IL160" s="17">
        <f>IK160*VLOOKUP('Données projet'!$B$20,Paramètres!$A$1:$I$89,3,0)*VLOOKUP('Données projet'!$B$20,Paramètres!$A$1:$I$89,5,0)</f>
        <v>0</v>
      </c>
      <c r="IM160" s="13" t="e">
        <f t="shared" si="308"/>
        <v>#NUM!</v>
      </c>
      <c r="IN160" s="20" t="e">
        <f t="shared" si="257"/>
        <v>#NUM!</v>
      </c>
      <c r="IO160" s="59" t="e">
        <f t="shared" si="258"/>
        <v>#NUM!</v>
      </c>
      <c r="IP160" s="59">
        <f ca="1">AVERAGE(OFFSET(IO$3,0,0,'Données projet'!$E$20+1,1))-AVERAGE(OFFSET($H$3,0,0,'Données projet'!$E$20+1,1))</f>
        <v>91.60721429656013</v>
      </c>
      <c r="IQ160" s="59">
        <f t="shared" si="309"/>
        <v>258.94957804210856</v>
      </c>
      <c r="IR160" s="15">
        <f>IF(ISNA(VLOOKUP($A160,'Données projet'!$A$330:$I$350,3,0)),0,VLOOKUP($A160,'Données projet'!$A$330:$I$350,3,0))</f>
        <v>0</v>
      </c>
      <c r="IS160" s="15">
        <f>IF(ISNA(VLOOKUP($A160,'Données projet'!$A$330:$I$350,4,0)),0,VLOOKUP($A160,'Données projet'!$A$330:$I$350,4,0))</f>
        <v>0</v>
      </c>
      <c r="IT160" s="16">
        <f>IF(ISNA(VLOOKUP($A160,'Données projet'!$A$330:$I$350,5,0)),0%,VLOOKUP($A160,'Données projet'!$A$330:$I$350,5,0)*VLOOKUP('Données projet'!$B$20,Paramètres!$A$1:$I$89,7,0))</f>
        <v>0</v>
      </c>
      <c r="IU160" s="16">
        <f>IF(ISNA(VLOOKUP($A160,'Données projet'!$A$330:$I$350,6,0)),0%,VLOOKUP($A160,'Données projet'!$A$330:$I$350,6,0)*VLOOKUP('Données projet'!$B$20,Paramètres!$A$1:$I$89,7,0))</f>
        <v>0</v>
      </c>
      <c r="IV160" s="16">
        <f>IF(ISNA(VLOOKUP($A160,'Données projet'!$A$330:$I$350,7,0)),0%,VLOOKUP($A160,'Données projet'!$A$330:$I$350,7,0))</f>
        <v>0</v>
      </c>
      <c r="IW160" s="21">
        <f>EXP(-LN(2)/35)*IW159+(1-EXP(-LN(2)/35))/(LN(2)/35)*IS160*IT160*VLOOKUP('Données projet'!$B$20,Paramètres!$A$1:$I$89,3,0)*0.475*44/12</f>
        <v>3.9886514349558855</v>
      </c>
      <c r="IX160" s="21">
        <f>EXP(-LN(2)/25)*IX159+(1-EXP(-LN(2)/25))/(LN(2)/25)*Calculateur!IS160*Calculateur!IU160*VLOOKUP('Données projet'!$B$20,Paramètres!$A$1:$I$89,3,0)*0.475*44/12</f>
        <v>0.28759344397558523</v>
      </c>
      <c r="IY160" s="21">
        <f>EXP(-LN(2)/2)*IY159+(1-EXP(-LN(2)/2))/(LN(2)/2)*IS160*IV160*VLOOKUP('Données projet'!$B$20,Paramètres!$A$1:$I$89,3,0)*0.475*44/12</f>
        <v>4.3917533916444634E-20</v>
      </c>
      <c r="IZ160" s="22">
        <f t="shared" si="259"/>
        <v>4.2762448789314709</v>
      </c>
      <c r="JA160" s="74">
        <f>('Scénario référence'!$F$8+'Scénario référence'!$F$9+'Scénario référence'!$B$17+'Scénario référence'!$B$9+'Scénario référence'!$B$10)*70+IF((45+25*(1-EXP(-0.0175*$A160)))&lt;70,'Scénario référence'!$B$16*(45+25*(1-EXP(-0.0175*$A160))),70*'Scénario référence'!$B$16)+IF((32+38*(1-EXP(-0.0175*$A160)))&lt;70,'Scénario référence'!$B$18*(32+38*(1-EXP(-0.0175*$A160))),70*'Scénario référence'!$B$18)</f>
        <v>70</v>
      </c>
      <c r="JB160" s="12">
        <f>IF($A160&gt;30,10,('Scénario référence'!$B$16+'Scénario référence'!$B$17+'Scénario référence'!$B$18+'Scénario référence'!$B$9+'Scénario référence'!$B$10)*$A160*10/30+('Scénario référence'!$F$8+'Scénario référence'!$F$9)*10)</f>
        <v>10</v>
      </c>
      <c r="JC160" s="12" t="e">
        <f>VLOOKUP($A160,'Données projet'!$A$356:$I$376,2,0)</f>
        <v>#N/A</v>
      </c>
      <c r="JD160" s="12" t="e">
        <f>VLOOKUP($A160,'Données projet'!$A$356:$I$376,9,0)</f>
        <v>#N/A</v>
      </c>
      <c r="JE160" s="12">
        <f t="array" ref="JE160">INDEX(JD:JD,MIN(IF(ISNUMBER(JD160:JD356),ROW(JD160:JD356),"")))</f>
        <v>0</v>
      </c>
      <c r="JF160" s="12">
        <f>IF('Données projet'!$A$356&gt;35,JF159+JE160-JN159,IF($A160&lt;'Données projet'!$A$356,$CQ$205^$A160,IF($A160='Données projet'!$A$356,'Données projet'!$B$356,JF159+JE160-JN159)))</f>
        <v>-1.3073986337985843E-12</v>
      </c>
      <c r="JG160" s="17">
        <f>JF160*VLOOKUP('Données projet'!$B$21,Paramètres!$A$1:$I$89,3,0)*VLOOKUP('Données projet'!$B$21,Paramètres!$A$1:$I$89,5,0)</f>
        <v>-1.0605617717374117E-12</v>
      </c>
      <c r="JH160" s="13" t="e">
        <f t="shared" si="310"/>
        <v>#NUM!</v>
      </c>
      <c r="JI160" s="20" t="e">
        <f t="shared" si="260"/>
        <v>#NUM!</v>
      </c>
      <c r="JJ160" s="59" t="e">
        <f t="shared" si="261"/>
        <v>#NUM!</v>
      </c>
      <c r="JK160" s="59">
        <f ca="1">AVERAGE(OFFSET($JJ$3,0,0,'Données projet'!$E$22+1,1))-AVERAGE(OFFSET($H$3,0,0,'Données projet'!$E$22+1,1))</f>
        <v>353.35574633294613</v>
      </c>
      <c r="JL160" s="59">
        <f t="shared" si="311"/>
        <v>170.36796666474726</v>
      </c>
      <c r="JM160" s="15">
        <f>IF(ISNA(VLOOKUP($A160,'Données projet'!$A$356:$I$376,3,0)),0,VLOOKUP($A160,'Données projet'!$A$356:$I$376,3,0))</f>
        <v>0</v>
      </c>
      <c r="JN160" s="15">
        <f>IF(ISNA(VLOOKUP($A160,'Données projet'!$A$356:$I$376,4,0)),0,VLOOKUP($A160,'Données projet'!$A$356:$I$376,4,0))</f>
        <v>0</v>
      </c>
      <c r="JO160" s="16">
        <f>IF(ISNA(VLOOKUP($A160,'Données projet'!$A$356:$I$376,5,0)),0%,VLOOKUP($A160,'Données projet'!$A$356:$I$376,5,0)*VLOOKUP('Données projet'!$B$21,Paramètres!$A$1:$I$89,7,0))</f>
        <v>0</v>
      </c>
      <c r="JP160" s="16">
        <f>IF(ISNA(VLOOKUP($A160,'Données projet'!$A$356:$I$376,6,0)),0%,VLOOKUP($A160,'Données projet'!$A$356:$I$376,6,0)*VLOOKUP('Données projet'!$B$21,Paramètres!$A$1:$I$89,7,0))</f>
        <v>0</v>
      </c>
      <c r="JQ160" s="16">
        <f>IF(ISNA(VLOOKUP($A160,'Données projet'!$A$356:$I$376,7,0)),0%,VLOOKUP($A160,'Données projet'!$A$356:$I$376,7,0))</f>
        <v>0</v>
      </c>
      <c r="JR160" s="21">
        <f>EXP(-LN(2)/35)*JR159+(1-EXP(-LN(2)/35))/(LN(2)/35)*JN160*JO160*VLOOKUP('Données projet'!$B$21,Paramètres!$A$1:$I$89,3,0)*0.475*44/12</f>
        <v>63.94403008063243</v>
      </c>
      <c r="JS160" s="21">
        <f>EXP(-LN(2)/25)*JS159+(1-EXP(-LN(2)/25))/(LN(2)/25)*Calculateur!JN160*Calculateur!JP160*VLOOKUP('Données projet'!$B$21,Paramètres!$A$1:$I$89,3,0)*0.475*44/12</f>
        <v>62.944527433736326</v>
      </c>
      <c r="JT160" s="21">
        <f>EXP(-LN(2)/2)*JT159+(1-EXP(-LN(2)/2))/(LN(2)/2)*JN160*JQ160*VLOOKUP('Données projet'!$B$21,Paramètres!$A$1:$I$89,3,0)*0.475*44/12</f>
        <v>3.0309183690422348</v>
      </c>
      <c r="JU160" s="18">
        <f t="shared" si="262"/>
        <v>129.919475883411</v>
      </c>
      <c r="JV160" s="74">
        <f>('Scénario référence'!$F$8+'Scénario référence'!$F$9+'Scénario référence'!$B$17+'Scénario référence'!$B$9+'Scénario référence'!$B$10)*70+IF((45+25*(1-EXP(-0.0175*$A160)))&lt;70,'Scénario référence'!$B$16*(45+25*(1-EXP(-0.0175*$A160))),70*'Scénario référence'!$B$16)+IF((32+38*(1-EXP(-0.0175*$A160)))&lt;70,'Scénario référence'!$B$18*(32+38*(1-EXP(-0.0175*$A160))),70*'Scénario référence'!$B$18)</f>
        <v>70</v>
      </c>
      <c r="JW160" s="12">
        <f>IF($A160&gt;30,10,('Scénario référence'!$B$16+'Scénario référence'!$B$17+'Scénario référence'!$B$18+'Scénario référence'!$B$9+'Scénario référence'!$B$10)*$A160*10/30+('Scénario référence'!$F$8+'Scénario référence'!$F$9)*10)</f>
        <v>10</v>
      </c>
      <c r="JX160" s="12" t="e">
        <f>VLOOKUP($A160,'Données projet'!$A$382:$I$402,2,0)</f>
        <v>#N/A</v>
      </c>
      <c r="JY160" s="12" t="e">
        <f>VLOOKUP($A160,'Données projet'!$A$382:$I$402,9,0)</f>
        <v>#N/A</v>
      </c>
      <c r="JZ160" s="12">
        <f t="array" ref="JZ160">INDEX(JY:JY,MIN(IF(ISNUMBER(JY160:JY356),ROW(JY160:JY356),"")))</f>
        <v>0</v>
      </c>
      <c r="KA160" s="12">
        <f>IF('Données projet'!$A$382&gt;35,KA159+JZ160-KI159,IF($A160&lt;'Données projet'!$A$382,$CQ$205^$A160,IF($A160='Données projet'!$A$382,'Données projet'!$B$382,KA159+JZ160-KI159)))</f>
        <v>5.6843418860808015E-13</v>
      </c>
      <c r="KB160" s="17">
        <f>KA160*VLOOKUP('Données projet'!$B$22,Paramètres!$A$1:$I$89,3,0)*VLOOKUP('Données projet'!$B$22,Paramètres!$A$1:$I$89,5,0)</f>
        <v>3.8130565371830017E-13</v>
      </c>
      <c r="KC160" s="13">
        <f t="shared" si="312"/>
        <v>4.9019074112354236E-12</v>
      </c>
      <c r="KD160" s="20">
        <f t="shared" si="263"/>
        <v>9.2015960881277352E-12</v>
      </c>
      <c r="KE160" s="59">
        <f t="shared" si="264"/>
        <v>293.33333333334252</v>
      </c>
      <c r="KF160" s="59">
        <f ca="1">AVERAGE(OFFSET($KE$3,0,0,'Données projet'!$E$22+1,1))-AVERAGE(OFFSET($H$3,0,0,'Données projet'!$E$22+1,1))</f>
        <v>193.91714772848269</v>
      </c>
      <c r="KG160" s="59">
        <f t="shared" si="313"/>
        <v>159.20429420478047</v>
      </c>
      <c r="KH160" s="15">
        <f>IF(ISNA(VLOOKUP($A160,'Données projet'!$A$382:$I$402,3,0)),0,VLOOKUP($A160,'Données projet'!$A$382:$I$402,3,0))</f>
        <v>0</v>
      </c>
      <c r="KI160" s="15">
        <f>IF(ISNA(VLOOKUP($A160,'Données projet'!$A$382:$I$402,4,0)),0,VLOOKUP($A160,'Données projet'!$A$382:$I$402,4,0))</f>
        <v>0</v>
      </c>
      <c r="KJ160" s="16">
        <f>IF(ISNA(VLOOKUP($A160,'Données projet'!$A$382:$I$402,5,0)),0%,VLOOKUP($A160,'Données projet'!$A$382:$I$402,5,0)*VLOOKUP('Données projet'!$B$22,Paramètres!$A$1:$I$89,7,0))</f>
        <v>0</v>
      </c>
      <c r="KK160" s="16">
        <f>IF(ISNA(VLOOKUP($A160,'Données projet'!$A$382:$I$402,6,0)),0%,VLOOKUP($A160,'Données projet'!$A$382:$I$402,6,0)*VLOOKUP('Données projet'!$B$22,Paramètres!$A$1:$I$89,7,0))</f>
        <v>0</v>
      </c>
      <c r="KL160" s="16">
        <f>IF(ISNA(VLOOKUP($A160,'Données projet'!$A$382:$I$402,7,0)),0%,VLOOKUP($A160,'Données projet'!$A$382:$I$402,7,0))</f>
        <v>0</v>
      </c>
      <c r="KM160" s="21">
        <f>EXP(-LN(2)/35)*KM159+(1-EXP(-LN(2)/35))/(LN(2)/35)*KI160*KJ160*VLOOKUP('Données projet'!$B$22,Paramètres!$A$1:$I$89,3,0)*0.475*44/12</f>
        <v>93.365341368388187</v>
      </c>
      <c r="KN160" s="21">
        <f>EXP(-LN(2)/25)*KN159+(1-EXP(-LN(2)/25))/(LN(2)/25)*Calculateur!KI160*Calculateur!KK160*VLOOKUP('Données projet'!$B$22,Paramètres!$A$1:$I$89,3,0)*0.475*44/12</f>
        <v>0</v>
      </c>
      <c r="KO160" s="21">
        <f>EXP(-LN(2)/2)*KO159+(1-EXP(-LN(2)/2))/(LN(2)/2)*KI160*KL160*VLOOKUP('Données projet'!$B$22,Paramètres!$A$1:$I$89,3,0)*0.475*44/12</f>
        <v>0</v>
      </c>
      <c r="KP160" s="22">
        <f t="shared" si="265"/>
        <v>93.365341368388187</v>
      </c>
      <c r="KQ160" s="74">
        <f>('Scénario référence'!$F$8+'Scénario référence'!$F$9+'Scénario référence'!$B$17+'Scénario référence'!$B$9+'Scénario référence'!$B$10)*70+IF((45+25*(1-EXP(-0.0175*$A160)))&lt;70,'Scénario référence'!$B$16*(45+25*(1-EXP(-0.0175*$A160))),70*'Scénario référence'!$B$16)+IF((32+38*(1-EXP(-0.0175*$A160)))&lt;70,'Scénario référence'!$B$18*(32+38*(1-EXP(-0.0175*$A160))),70*'Scénario référence'!$B$18)</f>
        <v>70</v>
      </c>
      <c r="KR160" s="12">
        <f>IF($A160&gt;30,10,('Scénario référence'!$B$16+'Scénario référence'!$B$17+'Scénario référence'!$B$18+'Scénario référence'!$B$9+'Scénario référence'!$B$10)*$A160*10/30+('Scénario référence'!$F$8+'Scénario référence'!$F$9)*10)</f>
        <v>10</v>
      </c>
      <c r="KS160" s="12" t="e">
        <f>VLOOKUP($A160,'Données projet'!$A$408:$I$428,2,0)</f>
        <v>#N/A</v>
      </c>
      <c r="KT160" s="12" t="e">
        <f>VLOOKUP($A160,'Données projet'!$A$408:$I$428,9,0)</f>
        <v>#N/A</v>
      </c>
      <c r="KU160" s="12">
        <f t="array" ref="KU160">INDEX(KT:KT,MIN(IF(ISNUMBER(KT160:KT356),ROW(KT160:KT356),"")))</f>
        <v>0</v>
      </c>
      <c r="KV160" s="12">
        <f>IF('Données projet'!$A$408&gt;35,KV159+KU160-LD159,IF($A160&lt;'Données projet'!$A$408,$CQ$205^$A160,IF($A160='Données projet'!$A$408,'Données projet'!$B$408,KV159+KU160-LD159)))</f>
        <v>-1.1368683772161603E-13</v>
      </c>
      <c r="KW160" s="17">
        <f>KV160*VLOOKUP('Données projet'!$B$23,Paramètres!$A$1:$I$89,3,0)*VLOOKUP('Données projet'!$B$23,Paramètres!$A$1:$I$89,5,0)</f>
        <v>-9.9316821433603781E-14</v>
      </c>
      <c r="KX160" s="13" t="e">
        <f t="shared" si="314"/>
        <v>#NUM!</v>
      </c>
      <c r="KY160" s="14" t="e">
        <f t="shared" si="266"/>
        <v>#NUM!</v>
      </c>
      <c r="KZ160" s="59" t="e">
        <f t="shared" si="267"/>
        <v>#NUM!</v>
      </c>
      <c r="LA160" s="59">
        <f ca="1">AVERAGE(OFFSET($KZ$3,0,0,'Données projet'!$E$23+1,1))-AVERAGE(OFFSET($H$3,0,0,'Données projet'!$E$23+1,1))</f>
        <v>248.33596943633819</v>
      </c>
      <c r="LB160" s="59">
        <f t="shared" si="315"/>
        <v>242.34010522344573</v>
      </c>
      <c r="LC160" s="15">
        <f>IF(ISNA(VLOOKUP($A160,'Données projet'!$A$408:$I$428,3,0)),0,VLOOKUP($A160,'Données projet'!$A$408:$I$428,3,0))</f>
        <v>0</v>
      </c>
      <c r="LD160" s="15">
        <f>IF(ISNA(VLOOKUP($A160,'Données projet'!$A$408:$I$428,4,0)),0,VLOOKUP($A160,'Données projet'!$A$408:$I$428,4,0))</f>
        <v>0</v>
      </c>
      <c r="LE160" s="16">
        <f>IF(ISNA(VLOOKUP($A160,'Données projet'!$A$408:$I$428,5,0)),0%,VLOOKUP($A160,'Données projet'!$A$408:$I$428,5,0)*VLOOKUP('Données projet'!$B$23,Paramètres!$A$1:$I$89,7,0))</f>
        <v>0</v>
      </c>
      <c r="LF160" s="16">
        <f>IF(ISNA(VLOOKUP($A160,'Données projet'!$A$408:$I$428,6,0)),0%,VLOOKUP($A160,'Données projet'!$A$408:$I$428,6,0)*VLOOKUP('Données projet'!$B$23,Paramètres!$A$1:$I$89,7,0))</f>
        <v>0</v>
      </c>
      <c r="LG160" s="16">
        <f>IF(ISNA(VLOOKUP($A160,'Données projet'!$A$408:$I$428,7,0)),0%,VLOOKUP($A160,'Données projet'!$A$408:$I$428,7,0))</f>
        <v>0</v>
      </c>
      <c r="LH160" s="21">
        <f>EXP(-LN(2)/35)*LH159+(1-EXP(-LN(2)/35))/(LN(2)/35)*LD160*LE160*VLOOKUP('Données projet'!$B$23,Paramètres!$A$1:$I$89,3,0)*0.475*44/12</f>
        <v>26.817397689294321</v>
      </c>
      <c r="LI160" s="21">
        <f>EXP(-LN(2)/25)*LI159+(1-EXP(-LN(2)/25))/(LN(2)/25)*Calculateur!LD160*Calculateur!LF160*VLOOKUP('Données projet'!$B$23,Paramètres!$A$1:$I$89,3,0)*0.475*44/12</f>
        <v>2.5753000064076992</v>
      </c>
      <c r="LJ160" s="21">
        <f>EXP(-LN(2)/2)*LJ159+(1-EXP(-LN(2)/2))/(LN(2)/2)*LD160*LG160*VLOOKUP('Données projet'!$B$23,Paramètres!$A$1:$I$89,3,0)*0.475*44/12</f>
        <v>0</v>
      </c>
      <c r="LK160" s="22">
        <f t="shared" si="268"/>
        <v>29.392697695702019</v>
      </c>
      <c r="LL160" s="74">
        <f>('Scénario référence'!$F$8+'Scénario référence'!$F$9+'Scénario référence'!$B$17+'Scénario référence'!$B$9+'Scénario référence'!$B$10)*70+IF((45+25*(1-EXP(-0.0175*$A160)))&lt;70,'Scénario référence'!$B$16*(45+25*(1-EXP(-0.0175*$A160))),70*'Scénario référence'!$B$16)+IF((32+38*(1-EXP(-0.0175*$A160)))&lt;70,'Scénario référence'!$B$18*(32+38*(1-EXP(-0.0175*$A160))),70*'Scénario référence'!$B$18)</f>
        <v>70</v>
      </c>
      <c r="LM160" s="12">
        <f>IF($A160&gt;30,10,('Scénario référence'!$B$16+'Scénario référence'!$B$17+'Scénario référence'!$B$18+'Scénario référence'!$B$9+'Scénario référence'!$B$10)*$A160*10/30+('Scénario référence'!$F$8+'Scénario référence'!$F$9)*10)</f>
        <v>10</v>
      </c>
      <c r="LN160" s="12">
        <f>VLOOKUP($A160,'Données projet'!$A$434:$I$454,2,0)</f>
        <v>132.42948717948718</v>
      </c>
      <c r="LO160" s="12">
        <f>VLOOKUP($A160,'Données projet'!$A$434:$I$454,9,0)</f>
        <v>1.8717948717948829</v>
      </c>
      <c r="LP160" s="12">
        <f t="array" ref="LP160">INDEX(LO:LO,MIN(IF(ISNUMBER(LO160:LO356),ROW(LO160:LO356),"")))</f>
        <v>1.8717948717948829</v>
      </c>
      <c r="LQ160" s="12">
        <f>IF('Données projet'!$A$434&gt;35,LQ159+LP160-LY159,IF($A160&lt;'Données projet'!$A$434,$CQ$205^$A160,IF($A160='Données projet'!$A$434,'Données projet'!$B$434,LQ159+LP160-LY159)))</f>
        <v>132.4294871794867</v>
      </c>
      <c r="LR160" s="17">
        <f>LQ160*VLOOKUP('Données projet'!$B$24,Paramètres!$A$1:$I$89,3,0)*VLOOKUP('Données projet'!$B$24,Paramètres!$A$1:$I$89,5,0)</f>
        <v>134.28349999999952</v>
      </c>
      <c r="LS160" s="13">
        <f t="shared" si="316"/>
        <v>34.984275179883873</v>
      </c>
      <c r="LT160" s="14">
        <f t="shared" si="269"/>
        <v>294.80804177163026</v>
      </c>
      <c r="LU160" s="59">
        <f t="shared" si="270"/>
        <v>588.14137510496357</v>
      </c>
      <c r="LV160" s="59">
        <f ca="1">AVERAGE(OFFSET($LU$3,0,0,'Données projet'!$E$24+1,1))-AVERAGE(OFFSET($H$3,0,0,'Données projet'!$E$24+1,1))</f>
        <v>260.52627655062872</v>
      </c>
      <c r="LW160" s="59">
        <f t="shared" si="317"/>
        <v>159.20429420478047</v>
      </c>
      <c r="LX160" s="15">
        <f>IF(ISNA(VLOOKUP($A160,'Données projet'!$A$434:$I$454,3,0)),0,VLOOKUP($A160,'Données projet'!$A$434:$I$454,3,0))</f>
        <v>14</v>
      </c>
      <c r="LY160" s="15">
        <f>IF(ISNA(VLOOKUP($A160,'Données projet'!$A$434:$I$454,4,0)),0,VLOOKUP($A160,'Données projet'!$A$434:$I$454,4,0))</f>
        <v>45.71153846153846</v>
      </c>
      <c r="LZ160" s="16">
        <f>IF(ISNA(VLOOKUP($A160,'Données projet'!$A$434:$I$454,5,0)),0%,VLOOKUP($A160,'Données projet'!$A$434:$I$454,5,0)*VLOOKUP('Données projet'!$B$24,Paramètres!$A$1:$I$89,7,0))</f>
        <v>0.38700000000000001</v>
      </c>
      <c r="MA160" s="16">
        <f>IF(ISNA(VLOOKUP($A160,'Données projet'!$A$434:$I$454,6,0)),0%,VLOOKUP($A160,'Données projet'!$A$434:$I$454,6,0)*VLOOKUP('Données projet'!$B$24,Paramètres!$A$1:$I$89,7,0))</f>
        <v>0</v>
      </c>
      <c r="MB160" s="16">
        <f>IF(ISNA(VLOOKUP($A160,'Données projet'!$A$434:$I$454,7,0)),0%,VLOOKUP($A160,'Données projet'!$A$434:$I$454,7,0))</f>
        <v>0</v>
      </c>
      <c r="MC160" s="21">
        <f>EXP(-LN(2)/35)*MC159+(1-EXP(-LN(2)/35))/(LN(2)/35)*LY160*LZ160*VLOOKUP('Données projet'!$B$24,Paramètres!$A$1:$I$89,3,0)*0.475*44/12</f>
        <v>129.52440210000634</v>
      </c>
      <c r="MD160" s="21">
        <f>EXP(-LN(2)/25)*MD159+(1-EXP(-LN(2)/25))/(LN(2)/25)*Calculateur!LY160*Calculateur!MA160*VLOOKUP('Données projet'!$B$24,Paramètres!$A$1:$I$89,3,0)*0.475*44/12</f>
        <v>0</v>
      </c>
      <c r="ME160" s="21">
        <f>EXP(-LN(2)/2)*ME159+(1-EXP(-LN(2)/2))/(LN(2)/2)*LY160*MB160*VLOOKUP('Données projet'!$B$24,Paramètres!$A$1:$I$89,3,0)*0.475*44/12</f>
        <v>0</v>
      </c>
      <c r="MF160" s="22">
        <f t="shared" si="271"/>
        <v>129.52440210000634</v>
      </c>
      <c r="MG160" s="74">
        <f>('Scénario référence'!$F$8+'Scénario référence'!$F$9+'Scénario référence'!$B$17+'Scénario référence'!$B$9+'Scénario référence'!$B$10)*70+IF((45+25*(1-EXP(-0.0175*$A160)))&lt;70,'Scénario référence'!$B$16*(45+25*(1-EXP(-0.0175*$A160))),70*'Scénario référence'!$B$16)+IF((32+38*(1-EXP(-0.0175*$A160)))&lt;70,'Scénario référence'!$B$18*(32+38*(1-EXP(-0.0175*$A160))),70*'Scénario référence'!$B$18)</f>
        <v>70</v>
      </c>
      <c r="MH160" s="12">
        <f>IF($A160&gt;30,10,('Scénario référence'!$B$16+'Scénario référence'!$B$17+'Scénario référence'!$B$18+'Scénario référence'!$B$9+'Scénario référence'!$B$10)*$A160*10/30+('Scénario référence'!$F$8+'Scénario référence'!$F$9)*10)</f>
        <v>10</v>
      </c>
      <c r="MI160" s="12" t="e">
        <f>VLOOKUP($A160,'Données projet'!$A$460:$I$480,2,0)</f>
        <v>#N/A</v>
      </c>
      <c r="MJ160" s="12" t="e">
        <f>VLOOKUP($A160,'Données projet'!$A$460:$I$480,9,0)</f>
        <v>#N/A</v>
      </c>
      <c r="MK160" s="12">
        <f t="array" ref="MK160">INDEX(MJ:MJ,MIN(IF(ISNUMBER(MJ160:MJ356),ROW(MJ160:MJ356),"")))</f>
        <v>0</v>
      </c>
      <c r="ML160" s="12">
        <f>IF('Données projet'!$A$460&gt;35,ML159+MK160-MT159,IF($A160&lt;'Données projet'!$A$460,$CQ$205^$A160,IF($A160='Données projet'!$A$460,'Données projet'!$B$460,ML159+MK160-MT159)))</f>
        <v>0</v>
      </c>
      <c r="MM160" s="17" t="e">
        <f>ML160*VLOOKUP('Données projet'!$B$25,Paramètres!$A$1:$I$89,3,0)*VLOOKUP('Données projet'!$B$25,Paramètres!$A$1:$I$89,5,0)</f>
        <v>#N/A</v>
      </c>
      <c r="MN160" s="13" t="e">
        <f t="shared" si="318"/>
        <v>#N/A</v>
      </c>
      <c r="MO160" s="14" t="e">
        <f t="shared" si="272"/>
        <v>#N/A</v>
      </c>
      <c r="MP160" s="59" t="e">
        <f t="shared" si="273"/>
        <v>#N/A</v>
      </c>
      <c r="MQ160" s="20" t="e">
        <f ca="1">AVERAGE(OFFSET($MP$3,0,0,'Données projet'!$E$25+1,1))-AVERAGE(OFFSET($H$3,0,0,'Données projet'!$E$25+1,1))</f>
        <v>#N/A</v>
      </c>
      <c r="MR160" s="59" t="e">
        <f t="shared" si="319"/>
        <v>#N/A</v>
      </c>
      <c r="MS160" s="15">
        <f>IF(ISNA(VLOOKUP($A160,'Données projet'!$A$460:$I$480,3,0)),0,VLOOKUP($A160,'Données projet'!$A$460:$I$480,3,0))</f>
        <v>0</v>
      </c>
      <c r="MT160" s="15">
        <f>IF(ISNA(VLOOKUP($A160,'Données projet'!$A$460:$I$480,4,0)),0,VLOOKUP($A160,'Données projet'!$A$460:$I$480,4,0))</f>
        <v>0</v>
      </c>
      <c r="MU160" s="16">
        <f>IF(ISNA(VLOOKUP($A160,'Données projet'!$A$460:$I$480,5,0)),0%,VLOOKUP($A160,'Données projet'!$A$460:$I$480,5,0)*VLOOKUP('Données projet'!$B$25,Paramètres!$A$1:$I$89,7,0))</f>
        <v>0</v>
      </c>
      <c r="MV160" s="16">
        <f>IF(ISNA(VLOOKUP($A160,'Données projet'!$A$460:$I$480,6,0)),0%,VLOOKUP($A160,'Données projet'!$A$460:$I$480,6,0)*VLOOKUP('Données projet'!$B$25,Paramètres!$A$1:$I$89,7,0))</f>
        <v>0</v>
      </c>
      <c r="MW160" s="16">
        <f>IF(ISNA(VLOOKUP($A160,'Données projet'!$A$460:$I$480,7,0)),0%,VLOOKUP($A160,'Données projet'!$A$460:$I$480,7,0))</f>
        <v>0</v>
      </c>
      <c r="MX160" s="21" t="e">
        <f>EXP(-LN(2)/35)*MX159+(1-EXP(-LN(2)/35))/(LN(2)/35)*MT160*MU160*VLOOKUP('Données projet'!$B$25,Paramètres!$A$1:$I$89,3,0)*0.475*44/12</f>
        <v>#N/A</v>
      </c>
      <c r="MY160" s="21" t="e">
        <f>EXP(-LN(2)/25)*MY159+(1-EXP(-LN(2)/25))/(LN(2)/25)*Calculateur!MT160*Calculateur!MV160*VLOOKUP('Données projet'!$B$25,Paramètres!$A$1:$I$89,3,0)*0.475*44/12</f>
        <v>#N/A</v>
      </c>
      <c r="MZ160" s="21" t="e">
        <f>EXP(-LN(2)/2)*MZ159+(1-EXP(-LN(2)/2))/(LN(2)/2)*MT160*MW160*VLOOKUP('Données projet'!$B$25,Paramètres!$A$1:$I$89,3,0)*0.475*44/12</f>
        <v>#N/A</v>
      </c>
      <c r="NA160" s="22" t="e">
        <f t="shared" si="274"/>
        <v>#N/A</v>
      </c>
      <c r="NB160" s="74">
        <f>('Scénario référence'!$F$8+'Scénario référence'!$F$9+'Scénario référence'!$B$17+'Scénario référence'!$B$9+'Scénario référence'!$B$10)*70+IF((45+25*(1-EXP(-0.0175*$A160)))&lt;70,'Scénario référence'!$B$16*(45+25*(1-EXP(-0.0175*$A160))),70*'Scénario référence'!$B$16)+IF((32+38*(1-EXP(-0.0175*$A160)))&lt;70,'Scénario référence'!$B$18*(32+38*(1-EXP(-0.0175*$A160))),70*'Scénario référence'!$B$18)</f>
        <v>70</v>
      </c>
      <c r="NC160" s="12">
        <f>IF($A160&gt;30,10,('Scénario référence'!$B$16+'Scénario référence'!$B$17+'Scénario référence'!$B$18+'Scénario référence'!$B$9+'Scénario référence'!$B$10)*$A160*10/30+('Scénario référence'!$F$8+'Scénario référence'!$F$9)*10)</f>
        <v>10</v>
      </c>
      <c r="ND160" s="12" t="e">
        <f>VLOOKUP($A160,'Données projet'!$A$486:$I$506,2,0)</f>
        <v>#N/A</v>
      </c>
      <c r="NE160" s="12" t="e">
        <f>VLOOKUP($A160,'Données projet'!$A$486:$I$506,9,0)</f>
        <v>#N/A</v>
      </c>
      <c r="NF160" s="12">
        <f t="array" ref="NF160">INDEX(NE:NE,MIN(IF(ISNUMBER(NE160:NE356),ROW(NE160:NE356),"")))</f>
        <v>0</v>
      </c>
      <c r="NG160" s="12">
        <f>IF('Données projet'!$A$486&gt;35,NG159+NF160-NO159,IF($A160&lt;'Données projet'!$A$486,$CQ$205^$A160,IF($A160='Données projet'!$A$486,'Données projet'!$B$486,NG159+NF160-NO159)))</f>
        <v>0</v>
      </c>
      <c r="NH160" s="17" t="e">
        <f>NG160*VLOOKUP('Données projet'!$B$26,Paramètres!$A$1:$I$89,3,0)*VLOOKUP('Données projet'!$B$26,Paramètres!$A$1:$I$89,5,0)</f>
        <v>#N/A</v>
      </c>
      <c r="NI160" s="13" t="e">
        <f t="shared" si="320"/>
        <v>#N/A</v>
      </c>
      <c r="NJ160" s="14" t="e">
        <f t="shared" si="275"/>
        <v>#N/A</v>
      </c>
      <c r="NK160" s="59" t="e">
        <f t="shared" si="276"/>
        <v>#N/A</v>
      </c>
      <c r="NL160" s="20" t="e">
        <f ca="1">AVERAGE(OFFSET($NK$3,0,0,'Données projet'!$E$26+1,1))-AVERAGE(OFFSET($H$3,0,0,'Données projet'!$E$26+1,1))</f>
        <v>#N/A</v>
      </c>
      <c r="NM160" s="59" t="e">
        <f t="shared" si="321"/>
        <v>#N/A</v>
      </c>
      <c r="NN160" s="15">
        <f>IF(ISNA(VLOOKUP($A160,'Données projet'!$A$486:$I$506,3,0)),0,VLOOKUP($A160,'Données projet'!$A$486:$I$506,3,0))</f>
        <v>0</v>
      </c>
      <c r="NO160" s="15">
        <f>IF(ISNA(VLOOKUP($A160,'Données projet'!$A$486:$I$506,4,0)),0,VLOOKUP($A160,'Données projet'!$A$486:$I$506,4,0))</f>
        <v>0</v>
      </c>
      <c r="NP160" s="16">
        <f>IF(ISNA(VLOOKUP($A160,'Données projet'!$A$486:$I$506,5,0)),0%,VLOOKUP($A160,'Données projet'!$A$486:$I$506,5,0)*VLOOKUP('Données projet'!$B$26,Paramètres!$A$1:$I$89,7,0))</f>
        <v>0</v>
      </c>
      <c r="NQ160" s="16">
        <f>IF(ISNA(VLOOKUP($A160,'Données projet'!$A$486:$I$506,6,0)),0%,VLOOKUP($A160,'Données projet'!$A$486:$I$506,6,0)*VLOOKUP('Données projet'!$B$26,Paramètres!$A$1:$I$89,7,0))</f>
        <v>0</v>
      </c>
      <c r="NR160" s="16">
        <f>IF(ISNA(VLOOKUP($A160,'Données projet'!$A$486:$I$506,7,0)),0%,VLOOKUP($A160,'Données projet'!$A$486:$I$506,7,0))</f>
        <v>0</v>
      </c>
      <c r="NS160" s="21" t="e">
        <f>EXP(-LN(2)/35)*NS159+(1-EXP(-LN(2)/35))/(LN(2)/35)*NO160*NP160*VLOOKUP('Données projet'!$B$26,Paramètres!$A$1:$I$89,3,0)*0.475*44/12</f>
        <v>#N/A</v>
      </c>
      <c r="NT160" s="21" t="e">
        <f>EXP(-LN(2)/25)*NT159+(1-EXP(-LN(2)/25))/(LN(2)/25)*Calculateur!NO160*Calculateur!NQ160*VLOOKUP('Données projet'!$B$26,Paramètres!$A$1:$I$89,3,0)*0.475*44/12</f>
        <v>#N/A</v>
      </c>
      <c r="NU160" s="21" t="e">
        <f>EXP(-LN(2)/2)*NU159+(1-EXP(-LN(2)/2))/(LN(2)/2)*NO160*NR160*VLOOKUP('Données projet'!$B$26,Paramètres!$A$1:$I$89,3,0)*0.475*44/12</f>
        <v>#N/A</v>
      </c>
      <c r="NV160" s="22" t="e">
        <f t="shared" si="277"/>
        <v>#N/A</v>
      </c>
      <c r="NW160" s="74">
        <f>('Scénario référence'!$F$8+'Scénario référence'!$F$9+'Scénario référence'!$B$17+'Scénario référence'!$B$9+'Scénario référence'!$B$10)*70+IF((45+25*(1-EXP(-0.0175*$A160)))&lt;70,'Scénario référence'!$B$16*(45+25*(1-EXP(-0.0175*$A160))),70*'Scénario référence'!$B$16)+IF((32+38*(1-EXP(-0.0175*$A160)))&lt;70,'Scénario référence'!$B$18*(32+38*(1-EXP(-0.0175*$A160))),70*'Scénario référence'!$B$18)</f>
        <v>70</v>
      </c>
      <c r="NX160" s="12">
        <f>IF($A160&gt;30,10,('Scénario référence'!$B$16+'Scénario référence'!$B$17+'Scénario référence'!$B$18+'Scénario référence'!$B$9+'Scénario référence'!$B$10)*$A160*10/30+('Scénario référence'!$F$8+'Scénario référence'!$F$9)*10)</f>
        <v>10</v>
      </c>
      <c r="NY160" s="12" t="e">
        <f>VLOOKUP($A160,'Données projet'!$A$512:$I$532,2,0)</f>
        <v>#N/A</v>
      </c>
      <c r="NZ160" s="12" t="e">
        <f>VLOOKUP($A160,'Données projet'!$A$512:$I$532,9,0)</f>
        <v>#N/A</v>
      </c>
      <c r="OA160" s="12">
        <f t="array" ref="OA160">INDEX(NZ:NZ,MIN(IF(ISNUMBER(NZ160:NZ356),ROW(NZ160:NZ356),"")))</f>
        <v>0</v>
      </c>
      <c r="OB160" s="12">
        <f>IF('Données projet'!$A$512&gt;35,OB159+OA160-OJ159,IF($A160&lt;'Données projet'!$A$512,$CQ$205^$A160,IF($A160='Données projet'!$A$512,'Données projet'!$B$512,OB159+OA160-OJ159)))</f>
        <v>0</v>
      </c>
      <c r="OC160" s="17" t="e">
        <f>OB160*VLOOKUP('Données projet'!$B$27,Paramètres!$A$1:$I$89,3,0)*VLOOKUP('Données projet'!$B$27,Paramètres!$A$1:$I$89,5,0)</f>
        <v>#N/A</v>
      </c>
      <c r="OD160" s="13" t="e">
        <f t="shared" si="322"/>
        <v>#N/A</v>
      </c>
      <c r="OE160" s="14" t="e">
        <f t="shared" si="278"/>
        <v>#N/A</v>
      </c>
      <c r="OF160" s="59" t="e">
        <f t="shared" si="279"/>
        <v>#N/A</v>
      </c>
      <c r="OG160" s="20" t="e">
        <f ca="1">AVERAGE(OFFSET($OF$3,0,0,'Données projet'!$E$27+1,1))-AVERAGE(OFFSET($H$3,0,0,'Données projet'!$E$27+1,1))</f>
        <v>#N/A</v>
      </c>
      <c r="OH160" s="59" t="e">
        <f t="shared" si="323"/>
        <v>#N/A</v>
      </c>
      <c r="OI160" s="15">
        <f>IF(ISNA(VLOOKUP($A160,'Données projet'!$A$512:$I$532,3,0)),0,VLOOKUP($A160,'Données projet'!$A$512:$I$532,3,0))</f>
        <v>0</v>
      </c>
      <c r="OJ160" s="15">
        <f>IF(ISNA(VLOOKUP($A160,'Données projet'!$A$512:$I$532,4,0)),0,VLOOKUP($A160,'Données projet'!$A$512:$I$532,4,0))</f>
        <v>0</v>
      </c>
      <c r="OK160" s="16">
        <f>IF(ISNA(VLOOKUP($A160,'Données projet'!$A$512:$I$532,5,0)),0%,VLOOKUP($A160,'Données projet'!$A$512:$I$532,5,0)*VLOOKUP('Données projet'!$B$27,Paramètres!$A$1:$I$89,7,0))</f>
        <v>0</v>
      </c>
      <c r="OL160" s="16">
        <f>IF(ISNA(VLOOKUP($A160,'Données projet'!$A$512:$I$532,6,0)),0%,VLOOKUP($A160,'Données projet'!$A$512:$I$532,6,0)*VLOOKUP('Données projet'!$B$27,Paramètres!$A$1:$I$89,7,0))</f>
        <v>0</v>
      </c>
      <c r="OM160" s="16">
        <f>IF(ISNA(VLOOKUP($A160,'Données projet'!$A$512:$I$532,7,0)),0%,VLOOKUP($A160,'Données projet'!$A$512:$I$532,7,0))</f>
        <v>0</v>
      </c>
      <c r="ON160" s="21" t="e">
        <f>EXP(-LN(2)/35)*ON159+(1-EXP(-LN(2)/35))/(LN(2)/35)*OJ160*OK160*VLOOKUP('Données projet'!$B$27,Paramètres!$A$1:$I$89,3,0)*0.475*44/12</f>
        <v>#N/A</v>
      </c>
      <c r="OO160" s="21" t="e">
        <f>EXP(-LN(2)/25)*OO159+(1-EXP(-LN(2)/25))/(LN(2)/25)*Calculateur!OJ160*Calculateur!OL160*VLOOKUP('Données projet'!$B$27,Paramètres!$A$1:$I$89,3,0)*0.475*44/12</f>
        <v>#N/A</v>
      </c>
      <c r="OP160" s="21" t="e">
        <f>EXP(-LN(2)/2)*OP159+(1-EXP(-LN(2)/2))/(LN(2)/2)*OJ160*OM160*VLOOKUP('Données projet'!$B$27,Paramètres!$A$1:$I$89,3,0)*0.475*44/12</f>
        <v>#N/A</v>
      </c>
      <c r="OQ160" s="22" t="e">
        <f t="shared" si="280"/>
        <v>#N/A</v>
      </c>
      <c r="OR160" s="74">
        <f>('Scénario référence'!$F$8+'Scénario référence'!$F$9+'Scénario référence'!$B$17+'Scénario référence'!$B$9+'Scénario référence'!$B$10)*70+IF((45+25*(1-EXP(-0.0175*$A160)))&lt;70,'Scénario référence'!$B$16*(45+25*(1-EXP(-0.0175*$A160))),70*'Scénario référence'!$B$16)+IF((32+38*(1-EXP(-0.0175*$A160)))&lt;70,'Scénario référence'!$B$18*(32+38*(1-EXP(-0.0175*$A160))),70*'Scénario référence'!$B$18)</f>
        <v>70</v>
      </c>
      <c r="OS160" s="12">
        <f>IF($A160&gt;30,10,('Scénario référence'!$B$16+'Scénario référence'!$B$17+'Scénario référence'!$B$18+'Scénario référence'!$B$9+'Scénario référence'!$B$10)*$A160*10/30+('Scénario référence'!$F$8+'Scénario référence'!$F$9)*10)</f>
        <v>10</v>
      </c>
      <c r="OT160" s="12" t="e">
        <f>VLOOKUP($A160,'Données projet'!$A$538:$I$558,2,0)</f>
        <v>#N/A</v>
      </c>
      <c r="OU160" s="12" t="e">
        <f>VLOOKUP($A160,'Données projet'!$A$538:$I$558,9,0)</f>
        <v>#N/A</v>
      </c>
      <c r="OV160" s="12">
        <f t="array" ref="OV160">INDEX(OU:OU,MIN(IF(ISNUMBER(OU160:OU356),ROW(OU160:OU356),"")))</f>
        <v>0</v>
      </c>
      <c r="OW160" s="12">
        <f>IF('Données projet'!$A$538&gt;35,OW159+OV160-PE159,IF($A160&lt;'Données projet'!$A$538,$CQ$205^$A160,IF($A160='Données projet'!$A$538,'Données projet'!$B$538,OW159+OV160-PE159)))</f>
        <v>0</v>
      </c>
      <c r="OX160" s="17" t="e">
        <f>OW160*VLOOKUP('Données projet'!$B$28,Paramètres!$A$1:$I$89,3,0)*VLOOKUP('Données projet'!$B$28,Paramètres!$A$1:$I$89,5,0)</f>
        <v>#N/A</v>
      </c>
      <c r="OY160" s="13" t="e">
        <f t="shared" si="324"/>
        <v>#N/A</v>
      </c>
      <c r="OZ160" s="14" t="e">
        <f t="shared" si="281"/>
        <v>#N/A</v>
      </c>
      <c r="PA160" s="59" t="e">
        <f t="shared" si="282"/>
        <v>#N/A</v>
      </c>
      <c r="PB160" s="20" t="e">
        <f ca="1">AVERAGE(OFFSET($PA$3,0,0,'Données projet'!$E$28+1,1))-AVERAGE(OFFSET($H$3,0,0,'Données projet'!$E$28+1,1))</f>
        <v>#N/A</v>
      </c>
      <c r="PC160" s="59" t="e">
        <f t="shared" si="325"/>
        <v>#N/A</v>
      </c>
      <c r="PD160" s="15">
        <f>IF(ISNA(VLOOKUP($A160,'Données projet'!$A$538:$I$558,3,0)),0,VLOOKUP($A160,'Données projet'!$A$538:$I$558,3,0))</f>
        <v>0</v>
      </c>
      <c r="PE160" s="15">
        <f>IF(ISNA(VLOOKUP($A160,'Données projet'!$A$538:$I$558,4,0)),0,VLOOKUP($A160,'Données projet'!$A$538:$I$558,4,0))</f>
        <v>0</v>
      </c>
      <c r="PF160" s="16">
        <f>IF(ISNA(VLOOKUP($A160,'Données projet'!$A$538:$I$558,5,0)),0%,VLOOKUP($A160,'Données projet'!$A$538:$I$558,5,0)*VLOOKUP('Données projet'!$B$28,Paramètres!$A$1:$I$89,7,0))</f>
        <v>0</v>
      </c>
      <c r="PG160" s="16">
        <f>IF(ISNA(VLOOKUP($A160,'Données projet'!$A$538:$I$558,6,0)),0%,VLOOKUP($A160,'Données projet'!$A$538:$I$558,6,0)*VLOOKUP('Données projet'!$B$28,Paramètres!$A$1:$I$89,7,0))</f>
        <v>0</v>
      </c>
      <c r="PH160" s="16">
        <f>IF(ISNA(VLOOKUP($A160,'Données projet'!$A$538:$I$558,7,0)),0%,VLOOKUP($A160,'Données projet'!$A$538:$I$558,7,0))</f>
        <v>0</v>
      </c>
      <c r="PI160" s="21" t="e">
        <f>EXP(-LN(2)/35)*PI159+(1-EXP(-LN(2)/35))/(LN(2)/35)*PE160*PF160*VLOOKUP('Données projet'!$B$28,Paramètres!$A$1:$I$89,3,0)*0.475*44/12</f>
        <v>#N/A</v>
      </c>
      <c r="PJ160" s="21" t="e">
        <f>EXP(-LN(2)/25)*PJ159+(1-EXP(-LN(2)/25))/(LN(2)/25)*Calculateur!PE160*Calculateur!PG160*VLOOKUP('Données projet'!$B$28,Paramètres!$A$1:$I$89,3,0)*0.475*44/12</f>
        <v>#N/A</v>
      </c>
      <c r="PK160" s="21" t="e">
        <f>EXP(-LN(2)/2)*PK159+(1-EXP(-LN(2)/2))/(LN(2)/2)*PE160*PH160*VLOOKUP('Données projet'!$B$28,Paramètres!$A$1:$I$89,3,0)*0.475*44/12</f>
        <v>#N/A</v>
      </c>
      <c r="PL160" s="22" t="e">
        <f t="shared" si="283"/>
        <v>#N/A</v>
      </c>
    </row>
    <row r="161" spans="1:428" x14ac:dyDescent="0.35">
      <c r="A161" s="10">
        <f t="shared" si="326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285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225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projet'!$A$45:$I$65,2,0)</f>
        <v>#N/A</v>
      </c>
      <c r="L161" s="12" t="e">
        <f>VLOOKUP(A161,'Données projet'!$A$45:$I$65,9,0)</f>
        <v>#N/A</v>
      </c>
      <c r="M161" s="12">
        <f t="array" ref="M161">INDEX(L:L,MIN(IF(ISNUMBER(L161:L357),ROW(L161:L357),"")))</f>
        <v>0</v>
      </c>
      <c r="N161" s="13">
        <f>IF('Données projet'!$A$46&gt;35,N160+M161-V160,IF(A161&lt;'Données projet'!$A$46,$K$205^A161,IF(A161='Données projet'!$A$46,'Données projet'!$B$46,N160+M161-V160)))</f>
        <v>-1.1368683772161603E-13</v>
      </c>
      <c r="O161" s="13">
        <f>N161*VLOOKUP('Données projet'!$B$9,Paramètres!$A$1:$I$89,3,0)*VLOOKUP('Données projet'!$B$9,Paramètres!$A$1:$I$89,5,0)</f>
        <v>-6.3550942286383367E-14</v>
      </c>
      <c r="P161" s="13" t="e">
        <f t="shared" si="286"/>
        <v>#NUM!</v>
      </c>
      <c r="Q161" s="20" t="e">
        <f t="shared" si="327"/>
        <v>#NUM!</v>
      </c>
      <c r="R161" s="59" t="e">
        <f t="shared" si="224"/>
        <v>#NUM!</v>
      </c>
      <c r="S161" s="59">
        <f ca="1">AVERAGE(OFFSET($R$3,0,0,'Données projet'!$E$9+1,1))-AVERAGE(OFFSET($H$3,0,0,'Données projet'!$E$9+1,1))</f>
        <v>274.57619581652199</v>
      </c>
      <c r="T161" s="59">
        <f t="shared" si="287"/>
        <v>366.15117322598775</v>
      </c>
      <c r="U161" s="15">
        <f>IF(ISNA(VLOOKUP(A161,'Données projet'!$A$45:$I$65,3,0)),0,VLOOKUP(A161,'Données projet'!$A$45:$I$65,3,0))</f>
        <v>0</v>
      </c>
      <c r="V161" s="15">
        <f>IF(ISNA(VLOOKUP(A161,'Données projet'!$A$45:$I$65,4,0)),0,VLOOKUP(A161,'Données projet'!$A$45:$I$65,4,0))</f>
        <v>0</v>
      </c>
      <c r="W161" s="16">
        <f>IF(ISNA(VLOOKUP(A161,'Données projet'!$A$45:$I$65,5,0)),0%,VLOOKUP(A161,'Données projet'!$A$45:$I$65,5,0)*VLOOKUP('Données projet'!$B$9,Paramètres!$A$1:$I$89,7,0))</f>
        <v>0</v>
      </c>
      <c r="X161" s="16">
        <f>IF(ISNA(VLOOKUP(A161,'Données projet'!$A$45:$I$65,6,0)),0%,VLOOKUP(A161,'Données projet'!$A$45:$I$65,6,0)*VLOOKUP('Données projet'!$B$9,Paramètres!$A$1:$I$89,7,0))</f>
        <v>0</v>
      </c>
      <c r="Y161" s="16">
        <f>IF(ISNA(VLOOKUP(A161,'Données projet'!$A$45:$I$65,7,0)),0%,VLOOKUP(A161,'Données projet'!$A$45:$I$65,7,0))</f>
        <v>0</v>
      </c>
      <c r="Z161" s="21">
        <f>EXP(-LN(2)/35)*Z160+(1-EXP(-LN(2)/35))/(LN(2)/35)*V161*W161*VLOOKUP('Données projet'!$B$9,Paramètres!$A$1:$I$89,3,0)*0.475*44/12</f>
        <v>29.476846529916635</v>
      </c>
      <c r="AA161" s="21">
        <f>EXP(-LN(2)/25)*AA160+(1-EXP(-LN(2)/25))/(LN(2)/25)*Calculateur!V161*Calculateur!X161*VLOOKUP('Données projet'!$B$9,Paramètres!$A$1:$I$89,3,0)*0.475*44/12</f>
        <v>3.3131172546502023</v>
      </c>
      <c r="AB161" s="21">
        <f>EXP(-LN(2)/2)*AB160+(1-EXP(-LN(2)/2))/(LN(2)/2)*V161*Y161*VLOOKUP('Données projet'!$B$9,Paramètres!$A$1:$I$89,3,0)*0.475*44/12</f>
        <v>1.0727281159132169E-14</v>
      </c>
      <c r="AC161" s="22">
        <f t="shared" si="328"/>
        <v>32.789963784566851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projet'!$A$71:$I$91,2,0)</f>
        <v>#N/A</v>
      </c>
      <c r="AG161" s="12" t="e">
        <f>VLOOKUP(A161,'Données projet'!$A$71:$I$91,9,0)</f>
        <v>#N/A</v>
      </c>
      <c r="AH161" s="12">
        <f t="array" ref="AH161">INDEX(AG:AG,MIN(IF(ISNUMBER(AG161:AG357),ROW(AG161:AG357),"")))</f>
        <v>0</v>
      </c>
      <c r="AI161" s="13">
        <f>IF('Données projet'!$A$72&gt;35,AI160+AH161-AQ160,IF(A161&lt;'Données projet'!$A$72,$AF$205^A161,IF(A161='Données projet'!$A$72,'Données projet'!$B$72,AI160+AH161-AQ160)))</f>
        <v>5.6843418860808015E-13</v>
      </c>
      <c r="AJ161" s="13">
        <f>AI161*VLOOKUP('Données projet'!$B$10,Paramètres!$A$1:$I$89,3,0)*VLOOKUP('Données projet'!$B$10,Paramètres!$A$1:$I$89,5,0)</f>
        <v>5.1431925385259092E-13</v>
      </c>
      <c r="AK161" s="13">
        <f t="shared" si="329"/>
        <v>6.3855359115685756E-12</v>
      </c>
      <c r="AL161" s="20">
        <f t="shared" si="330"/>
        <v>1.2017247746441865E-11</v>
      </c>
      <c r="AM161" s="59">
        <f t="shared" si="228"/>
        <v>293.33333333334531</v>
      </c>
      <c r="AN161" s="59">
        <f ca="1">AVERAGE(OFFSET($AM$3,0,0,'Données projet'!$E$10+1,1))-AVERAGE(OFFSET($H$3,0,0,'Données projet'!$E$10+1,1))</f>
        <v>270.87836509222456</v>
      </c>
      <c r="AO161" s="59">
        <f t="shared" si="289"/>
        <v>205.24998237949734</v>
      </c>
      <c r="AP161" s="15">
        <f>IF(ISNA(VLOOKUP(A161,'Données projet'!$A$71:$I$91,3,0)),0,VLOOKUP(A161,'Données projet'!$A$71:$I$91,3,0))</f>
        <v>0</v>
      </c>
      <c r="AQ161" s="15">
        <f>IF(ISNA(VLOOKUP(A161,'Données projet'!$A$71:$I$91,4,0)),0,VLOOKUP(A161,'Données projet'!$A$71:$I$91,4,0))</f>
        <v>0</v>
      </c>
      <c r="AR161" s="16">
        <f>IF(ISNA(VLOOKUP(A161,'Données projet'!$A$71:$I$91,5,0)),0%,VLOOKUP(A161,'Données projet'!$A$71:$I$91,5,0)*VLOOKUP('Données projet'!$B$10,Paramètres!$A$1:$I$89,7,0))</f>
        <v>0</v>
      </c>
      <c r="AS161" s="16">
        <f>IF(ISNA(VLOOKUP(A161,'Données projet'!$A$71:$I$91,6,0)),0%,VLOOKUP(A161,'Données projet'!$A$71:$I$91,6,0)*VLOOKUP('Données projet'!$B$10,Paramètres!$A$1:$I$89,7,0))</f>
        <v>0</v>
      </c>
      <c r="AT161" s="16">
        <f>IF(ISNA(VLOOKUP(A161,'Données projet'!$A$71:$I$91,7,0)),0%,VLOOKUP(A161,'Données projet'!$A$71:$I$91,7,0))</f>
        <v>0</v>
      </c>
      <c r="AU161" s="21">
        <f>EXP(-LN(2)/35)*AU160+(1-EXP(-LN(2)/35))/(LN(2)/35)*AQ161*AR161*VLOOKUP('Données projet'!$B$10,Paramètres!$A$1:$I$89,3,0)*0.475*44/12</f>
        <v>100.16983453472787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331"/>
        <v>100.16983453472787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projet'!$A$97:$I$117,2,0)</f>
        <v>#N/A</v>
      </c>
      <c r="BB161" s="12" t="e">
        <f>VLOOKUP(A161,'Données projet'!$A$97:$I$117,9,0)</f>
        <v>#N/A</v>
      </c>
      <c r="BC161" s="12">
        <f t="array" ref="BC161">INDEX(BB:BB,MIN(IF(ISNUMBER(BB161:BB357),ROW(BB161:BB357),"")))</f>
        <v>0</v>
      </c>
      <c r="BD161" s="12">
        <f>IF('Données projet'!$A$98&gt;35,BD160+BC161-BL160,IF(A161&lt;'Données projet'!$A$98,$BA$205^A161,IF(A161='Données projet'!$A$98,'Données projet'!$B$98,BD160+BC161-BL160)))</f>
        <v>-1.1368683772161603E-13</v>
      </c>
      <c r="BE161" s="13">
        <f>BD161*VLOOKUP('Données projet'!$B$11,Paramètres!$A$1:$I$89,3,0)*VLOOKUP('Données projet'!$B$11,Paramètres!$A$1:$I$89,5,0)</f>
        <v>-5.0249582272954292E-14</v>
      </c>
      <c r="BF161" s="13" t="e">
        <f t="shared" si="332"/>
        <v>#NUM!</v>
      </c>
      <c r="BG161" s="20" t="e">
        <f t="shared" si="333"/>
        <v>#NUM!</v>
      </c>
      <c r="BH161" s="59" t="e">
        <f t="shared" si="231"/>
        <v>#NUM!</v>
      </c>
      <c r="BI161" s="59">
        <f ca="1">AVERAGE(OFFSET($BH$3,0,0,'Données projet'!$E$11+1,1))-AVERAGE(OFFSET($H$3,0,0,'Données projet'!$E$11+1,1))</f>
        <v>211.31057120485542</v>
      </c>
      <c r="BJ161" s="59">
        <f t="shared" si="291"/>
        <v>283.33292006714777</v>
      </c>
      <c r="BK161" s="15">
        <f>IF(ISNA(VLOOKUP(A161,'Données projet'!$A$97:$I$117,3,0)),0,VLOOKUP(A161,'Données projet'!$A$97:$I$117,3,0))</f>
        <v>0</v>
      </c>
      <c r="BL161" s="15">
        <f>IF(ISNA(VLOOKUP(A161,'Données projet'!$A$97:$I$117,4,0)),0,VLOOKUP(A161,'Données projet'!$A$97:$I$117,4,0))</f>
        <v>0</v>
      </c>
      <c r="BM161" s="16">
        <f>IF(ISNA(VLOOKUP(A161,'Données projet'!$A$97:$I$117,5,0)),0%,VLOOKUP(A161,'Données projet'!$A$97:$I$117,5,0)*VLOOKUP('Données projet'!$B$11,Paramètres!$A$1:$I$89,7,0))</f>
        <v>0</v>
      </c>
      <c r="BN161" s="16">
        <f>IF(ISNA(VLOOKUP(A161,'Données projet'!$A$97:$I$117,6,0)),0%,VLOOKUP(A161,'Données projet'!$A$97:$I$117,6,0)*VLOOKUP('Données projet'!$B$11,Paramètres!$A$1:$I$89,7,0))</f>
        <v>0</v>
      </c>
      <c r="BO161" s="16">
        <f>IF(ISNA(VLOOKUP(A161,'Données projet'!$A$97:$I$117,7,0)),0%,VLOOKUP(A161,'Données projet'!$A$97:$I$117,7,0))</f>
        <v>0</v>
      </c>
      <c r="BP161" s="21">
        <f>EXP(-LN(2)/35)*BP160+(1-EXP(-LN(2)/35))/(LN(2)/35)*BL161*BM161*VLOOKUP('Données projet'!$B$11,Paramètres!$A$1:$I$89,3,0)*0.475*44/12</f>
        <v>23.307274000399214</v>
      </c>
      <c r="BQ161" s="21">
        <f>EXP(-LN(2)/25)*BQ160+(1-EXP(-LN(2)/25))/(LN(2)/25)*Calculateur!BL161*Calculateur!BN161*VLOOKUP('Données projet'!$B$11,Paramètres!$A$1:$I$89,3,0)*0.475*44/12</f>
        <v>2.6196741083280655</v>
      </c>
      <c r="BR161" s="21">
        <f>EXP(-LN(2)/2)*BR160+(1-EXP(-LN(2)/2))/(LN(2)/2)*BL161*BO161*VLOOKUP('Données projet'!$B$11,Paramètres!$A$1:$I$89,3,0)*0.475*44/12</f>
        <v>8.4820362653603177E-15</v>
      </c>
      <c r="BS161" s="22">
        <f t="shared" si="334"/>
        <v>25.926948108727288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projet'!$A$123:$I$143,2,0)</f>
        <v>#N/A</v>
      </c>
      <c r="BW161" s="12" t="e">
        <f>VLOOKUP(A161,'Données projet'!$A$123:$I$143,9,0)</f>
        <v>#N/A</v>
      </c>
      <c r="BX161" s="12">
        <f t="array" ref="BX161">INDEX(BW:BW,MIN(IF(ISNUMBER(BW161:BW357),ROW(BW161:BW357),"")))</f>
        <v>0</v>
      </c>
      <c r="BY161" s="12">
        <f>IF('Données projet'!$A$124&gt;35,BY160+BX161-CG160,IF(A161&lt;'Données projet'!$A$124,$BV$205^A161,IF(A161='Données projet'!$A$124,'Données projet'!$B$124,BY160+BX161-CG160)))</f>
        <v>0</v>
      </c>
      <c r="BZ161" s="13">
        <f>BY161*VLOOKUP('Données projet'!$B$12,Paramètres!$A$1:$I$89,3,0)*VLOOKUP('Données projet'!$B$12,Paramètres!$A$1:$I$89,5,0)</f>
        <v>0</v>
      </c>
      <c r="CA161" s="13" t="e">
        <f t="shared" si="335"/>
        <v>#NUM!</v>
      </c>
      <c r="CB161" s="20" t="e">
        <f t="shared" si="336"/>
        <v>#NUM!</v>
      </c>
      <c r="CC161" s="59" t="e">
        <f t="shared" si="234"/>
        <v>#NUM!</v>
      </c>
      <c r="CD161" s="59">
        <f ca="1">AVERAGE(OFFSET($CC$3,0,0,'Données projet'!$E$12+1,1))-AVERAGE(OFFSET($H$3,0,0,'Données projet'!$E$12+1,1))</f>
        <v>322.93502595881938</v>
      </c>
      <c r="CE161" s="59">
        <f t="shared" si="293"/>
        <v>302.67072119588164</v>
      </c>
      <c r="CF161" s="15">
        <f>IF(ISNA(VLOOKUP(A161,'Données projet'!$A$123:$I$143,3,0)),0,VLOOKUP(A161,'Données projet'!$A$123:$I$143,3,0))</f>
        <v>0</v>
      </c>
      <c r="CG161" s="15">
        <f>IF(ISNA(VLOOKUP(A161,'Données projet'!$A$123:$I$143,4,0)),0,VLOOKUP(A161,'Données projet'!$A$123:$I$143,4,0))</f>
        <v>0</v>
      </c>
      <c r="CH161" s="16">
        <f>IF(ISNA(VLOOKUP(A161,'Données projet'!$A$123:$I$143,5,0)),0%,VLOOKUP(A161,'Données projet'!$A$123:$I$143,5,0)*VLOOKUP('Données projet'!$B$12,Paramètres!$A$1:$I$89,7,0))</f>
        <v>0</v>
      </c>
      <c r="CI161" s="16">
        <f>IF(ISNA(VLOOKUP(A161,'Données projet'!$A$123:$I$143,6,0)),0%,VLOOKUP(A161,'Données projet'!$A$123:$I$143,6,0)*VLOOKUP('Données projet'!$B$12,Paramètres!$A$1:$I$89,7,0))</f>
        <v>0</v>
      </c>
      <c r="CJ161" s="16">
        <f>IF(ISNA(VLOOKUP(A161,'Données projet'!$A$123:$I$143,7,0)),0%,VLOOKUP(A161,'Données projet'!$A$123:$I$143,7,0))</f>
        <v>0</v>
      </c>
      <c r="CK161" s="21">
        <f>EXP(-LN(2)/35)*CK160+(1-EXP(-LN(2)/35))/(LN(2)/35)*CG161*CH161*VLOOKUP('Données projet'!$B$12,Paramètres!$A$1:$I$89,3,0)*0.475*44/12</f>
        <v>37.134119317426276</v>
      </c>
      <c r="CL161" s="21">
        <f>EXP(-LN(2)/25)*CL160+(1-EXP(-LN(2)/25))/(LN(2)/25)*Calculateur!CG161*Calculateur!CI161*VLOOKUP('Données projet'!$B$12,Paramètres!$A$1:$I$89,3,0)*0.475*44/12</f>
        <v>8.3845421515711589</v>
      </c>
      <c r="CM161" s="21">
        <f>EXP(-LN(2)/2)*CM160+(1-EXP(-LN(2)/2))/(LN(2)/2)*CG161*CJ161*VLOOKUP('Données projet'!$B$12,Paramètres!$A$1:$I$89,3,0)*0.475*44/12</f>
        <v>0</v>
      </c>
      <c r="CN161" s="22">
        <f t="shared" si="337"/>
        <v>45.518661468997436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projet'!$A$149:$I$169,2,0)</f>
        <v>#N/A</v>
      </c>
      <c r="CR161" s="12" t="e">
        <f>VLOOKUP(A161,'Données projet'!$A$149:$I$169,9,0)</f>
        <v>#N/A</v>
      </c>
      <c r="CS161" s="12">
        <f t="array" ref="CS161">INDEX(CR:CR,MIN(IF(ISNUMBER(CR161:CR357),ROW(CR161:CR357),"")))</f>
        <v>1.1618589743589709</v>
      </c>
      <c r="CT161" s="12">
        <f>IF('Données projet'!$A$150&gt;35,CT160+CS161-DB160,IF(A161&lt;'Données projet'!$A$150,$CQ$205^A161,IF(A161='Données projet'!$A$150,'Données projet'!$B$150,CT160+CS161-DB160)))</f>
        <v>87.879807692307224</v>
      </c>
      <c r="CU161" s="17">
        <f>CT161*VLOOKUP('Données projet'!$B$13,Paramètres!$A$1:$I$89,3,0)*VLOOKUP('Données projet'!$B$13,Paramètres!$A$1:$I$89,5,0)</f>
        <v>89.110124999999528</v>
      </c>
      <c r="CV161" s="13">
        <f t="shared" si="338"/>
        <v>24.350484613685058</v>
      </c>
      <c r="CW161" s="20">
        <f t="shared" si="339"/>
        <v>197.61056174383398</v>
      </c>
      <c r="CX161" s="59">
        <f t="shared" si="237"/>
        <v>490.94389507716733</v>
      </c>
      <c r="CY161" s="59">
        <f ca="1">AVERAGE(OFFSET($CX$3,0,0,'Données projet'!$E$13+1,1))-AVERAGE(OFFSET($H$3,0,0,'Données projet'!$E$13+1,1))</f>
        <v>250.31277422753283</v>
      </c>
      <c r="CZ161" s="59">
        <f t="shared" si="295"/>
        <v>159.20429420478047</v>
      </c>
      <c r="DA161" s="15">
        <f>IF(ISNA(VLOOKUP(A161,'Données projet'!$A$149:$I$169,3,0)),0,VLOOKUP(A161,'Données projet'!$A$149:$I$169,3,0))</f>
        <v>0</v>
      </c>
      <c r="DB161" s="15">
        <f>IF(ISNA(VLOOKUP(A161,'Données projet'!$A$149:$I$169,4,0)),0,VLOOKUP(A161,'Données projet'!$A$149:$I$169,4,0))</f>
        <v>0</v>
      </c>
      <c r="DC161" s="16">
        <f>IF(ISNA(VLOOKUP(A161,'Données projet'!$A$149:$I$169,5,0)),0%,VLOOKUP(A161,'Données projet'!$A$149:$I$169,5,0)*VLOOKUP('Données projet'!$B$13,Paramètres!$A$1:$I$89,7,0))</f>
        <v>0</v>
      </c>
      <c r="DD161" s="16">
        <f>IF(ISNA(VLOOKUP(A161,'Données projet'!$A$149:$I$169,6,0)),0%,VLOOKUP(A161,'Données projet'!$A$149:$I$169,6,0)*VLOOKUP('Données projet'!$B$13,Paramètres!$A$1:$I$89,7,0))</f>
        <v>0</v>
      </c>
      <c r="DE161" s="16">
        <f>IF(ISNA(VLOOKUP(A161,'Données projet'!$A$149:$I$169,7,0)),0%,VLOOKUP(A161,'Données projet'!$A$149:$I$169,7,0))</f>
        <v>0</v>
      </c>
      <c r="DF161" s="21">
        <f>EXP(-LN(2)/35)*DF160+(1-EXP(-LN(2)/35))/(LN(2)/35)*DB161*DC161*VLOOKUP('Données projet'!$B$13,Paramètres!$A$1:$I$89,3,0)*0.475*44/12</f>
        <v>126.98450757690969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340"/>
        <v>126.98450757690969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projet'!$A$175:$I$195,2,0)</f>
        <v>#N/A</v>
      </c>
      <c r="DM161" s="12" t="e">
        <f>VLOOKUP(A161,'Données projet'!$A$175:$I$195,9,0)</f>
        <v>#N/A</v>
      </c>
      <c r="DN161" s="12">
        <f t="array" ref="DN161">INDEX(DM:DM,MIN(IF(ISNUMBER(DM161:DM357),ROW(DM161:DM357),"")))</f>
        <v>0</v>
      </c>
      <c r="DO161" s="12">
        <f>IF('Données projet'!$A$176&gt;35,DO160+DN161-DW160,IF(A161&lt;'Données projet'!$A$176,$DL$205^A161,IF(A161='Données projet'!$A$176,'Données projet'!$B$176,DO160+DN161-DW160)))</f>
        <v>-2.8421709430404007E-13</v>
      </c>
      <c r="DP161" s="17">
        <f>DO161*VLOOKUP('Données projet'!$B$14,Paramètres!$A$1:$I$89,3,0)*VLOOKUP('Données projet'!$B$14,Paramètres!$A$1:$I$89,5,0)</f>
        <v>-2.0838797354372215E-13</v>
      </c>
      <c r="DQ161" s="13" t="e">
        <f t="shared" si="341"/>
        <v>#NUM!</v>
      </c>
      <c r="DR161" s="20" t="e">
        <f t="shared" si="342"/>
        <v>#NUM!</v>
      </c>
      <c r="DS161" s="59" t="e">
        <f t="shared" si="240"/>
        <v>#NUM!</v>
      </c>
      <c r="DT161" s="59">
        <f ca="1">AVERAGE(OFFSET($DS$3,0,0,'Données projet'!$E$14+1,1))-AVERAGE(OFFSET($H$3,0,0,'Données projet'!$E$14+1,1))</f>
        <v>296.91321813251051</v>
      </c>
      <c r="DU161" s="59">
        <f t="shared" si="297"/>
        <v>291.0718079639509</v>
      </c>
      <c r="DV161" s="15">
        <f>IF(ISNA(VLOOKUP(A161,'Données projet'!$A$175:$I$195,3,0)),0,VLOOKUP(A161,'Données projet'!$A$175:$I$195,3,0))</f>
        <v>0</v>
      </c>
      <c r="DW161" s="15">
        <f>IF(ISNA(VLOOKUP(A161,'Données projet'!$A$175:$I$195,4,0)),0,VLOOKUP(A161,'Données projet'!$A$175:$I$195,4,0))</f>
        <v>0</v>
      </c>
      <c r="DX161" s="16">
        <f>IF(ISNA(VLOOKUP(A161,'Données projet'!$A$175:$I$195,5,0)),0%,VLOOKUP(A161,'Données projet'!$A$175:$I$195,5,0)*VLOOKUP('Données projet'!$B$14,Paramètres!$A$1:$I$89,7,0))</f>
        <v>0</v>
      </c>
      <c r="DY161" s="16">
        <f>IF(ISNA(VLOOKUP(A161,'Données projet'!$A$175:$I$195,6,0)),0%,VLOOKUP(A161,'Données projet'!$A$175:$I$195,6,0)*VLOOKUP('Données projet'!$B$14,Paramètres!$A$1:$I$89,7,0))</f>
        <v>0</v>
      </c>
      <c r="DZ161" s="16">
        <f>IF(ISNA(VLOOKUP(A161,'Données projet'!$A$175:$I$195,7,0)),0%,VLOOKUP(A161,'Données projet'!$A$175:$I$195,7,0))</f>
        <v>0</v>
      </c>
      <c r="EA161" s="21">
        <f>EXP(-LN(2)/35)*EA160+(1-EXP(-LN(2)/35))/(LN(2)/35)*DW161*DX161*VLOOKUP('Données projet'!$B$14,Paramètres!$A$1:$I$89,3,0)*0.475*44/12</f>
        <v>37.010795312387295</v>
      </c>
      <c r="EB161" s="21">
        <f>EXP(-LN(2)/25)*EB160+(1-EXP(-LN(2)/25))/(LN(2)/25)*Calculateur!DW161*Calculateur!DY161*VLOOKUP('Données projet'!$B$14,Paramètres!$A$1:$I$89,3,0)*0.475*44/12</f>
        <v>0.61593607077801149</v>
      </c>
      <c r="EC161" s="21">
        <f>EXP(-LN(2)/2)*EC160+(1-EXP(-LN(2)/2))/(LN(2)/2)*DW161*DZ161*VLOOKUP('Données projet'!$B$14,Paramètres!$A$1:$I$89,3,0)*0.475*44/12</f>
        <v>0</v>
      </c>
      <c r="ED161" s="22">
        <f t="shared" si="343"/>
        <v>37.626731383165307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projet'!$A$201:$I$221,2,0)</f>
        <v>#N/A</v>
      </c>
      <c r="EH161" s="12" t="e">
        <f>VLOOKUP(A161,'Données projet'!$A$201:$I$221,9,0)</f>
        <v>#N/A</v>
      </c>
      <c r="EI161" s="12">
        <f t="array" ref="EI161">INDEX(EH:EH,MIN(IF(ISNUMBER(EH161:EH357),ROW(EH161:EH357),"")))</f>
        <v>0</v>
      </c>
      <c r="EJ161" s="12">
        <f>IF('Données projet'!$A$202&gt;35,EJ160+EI161-ER160,IF(A161&lt;'Données projet'!$A$202,$EG$205^A161,IF(A161='Données projet'!$A$202,'Données projet'!$B$202,EJ160+EI161-ER160)))</f>
        <v>5.1159076974727213E-13</v>
      </c>
      <c r="EK161" s="17">
        <f>EJ161*VLOOKUP('Données projet'!$B$15,Paramètres!$A$1:$I$89,3,0)*VLOOKUP('Données projet'!$B$15,Paramètres!$A$1:$I$89,5,0)</f>
        <v>2.3942448024172334E-13</v>
      </c>
      <c r="EL161" s="13">
        <f t="shared" si="344"/>
        <v>3.2492669905861755E-12</v>
      </c>
      <c r="EM161" s="20">
        <f t="shared" si="345"/>
        <v>6.0761376450252565E-12</v>
      </c>
      <c r="EN161" s="59">
        <f t="shared" si="243"/>
        <v>293.3333333333394</v>
      </c>
      <c r="EO161" s="59">
        <f ca="1">AVERAGE(OFFSET($EN$3,0,0,'Données projet'!$E$15+1,1))-AVERAGE(OFFSET($H$3,0,0,'Données projet'!$E$15+1,1))</f>
        <v>147.64256291235483</v>
      </c>
      <c r="EP161" s="59">
        <f t="shared" si="299"/>
        <v>70.859031694091868</v>
      </c>
      <c r="EQ161" s="15">
        <f>IF(ISNA(VLOOKUP(A161,'Données projet'!$A$201:$I$221,3,0)),0,VLOOKUP(A161,'Données projet'!$A$201:$I$221,3,0))</f>
        <v>0</v>
      </c>
      <c r="ER161" s="15">
        <f>IF(ISNA(VLOOKUP(A161,'Données projet'!$A$201:$I$221,4,0)),0,VLOOKUP(A161,'Données projet'!$A$201:$I$221,4,0))</f>
        <v>0</v>
      </c>
      <c r="ES161" s="16">
        <f>IF(ISNA(VLOOKUP(A161,'Données projet'!$A$201:$I$221,5,0)),0%,VLOOKUP(A161,'Données projet'!$A$201:$I$221,5,0)*VLOOKUP('Données projet'!$B$15,Paramètres!$A$1:$I$89,7,0))</f>
        <v>0</v>
      </c>
      <c r="ET161" s="16">
        <f>IF(ISNA(VLOOKUP(A161,'Données projet'!$A$201:$I$221,6,0)),0%,VLOOKUP(A161,'Données projet'!$A$201:$I$221,6,0)*VLOOKUP('Données projet'!$B$15,Paramètres!$A$1:$I$89,7,0))</f>
        <v>0</v>
      </c>
      <c r="EU161" s="16">
        <f>IF(ISNA(VLOOKUP(A161,'Données projet'!$A$201:$I$221,7,0)),0%,VLOOKUP(A161,'Données projet'!$A$201:$I$221,7,0))</f>
        <v>0</v>
      </c>
      <c r="EV161" s="21">
        <f>EXP(-LN(2)/35)*EV160+(1-EXP(-LN(2)/35))/(LN(2)/35)*ER161*ES161*VLOOKUP('Données projet'!$B$15,Paramètres!$A$1:$I$89,3,0)*0.475*44/12</f>
        <v>50.668362177882081</v>
      </c>
      <c r="EW161" s="21">
        <f>EXP(-LN(2)/25)*EW160+(1-EXP(-LN(2)/25))/(LN(2)/25)*Calculateur!ER161*Calculateur!ET161*VLOOKUP('Données projet'!$B$15,Paramètres!$A$1:$I$89,3,0)*0.475*44/12</f>
        <v>8.5454924369416929</v>
      </c>
      <c r="EX161" s="21">
        <f>EXP(-LN(2)/2)*EX160+(1-EXP(-LN(2)/2))/(LN(2)/2)*ER161*EU161*VLOOKUP('Données projet'!$B$15,Paramètres!$A$1:$I$89,3,0)*0.475*44/12</f>
        <v>7.7333942934215246E-7</v>
      </c>
      <c r="EY161" s="22">
        <f t="shared" si="346"/>
        <v>59.213855388163203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projet'!$A$227:$I$247,2,0)</f>
        <v>#N/A</v>
      </c>
      <c r="FC161" s="12" t="e">
        <f>VLOOKUP(A161,'Données projet'!$A$227:$I$247,9,0)</f>
        <v>#N/A</v>
      </c>
      <c r="FD161" s="12">
        <f t="array" ref="FD161">INDEX(FC:FC,MIN(IF(ISNUMBER(FC161:FC357),ROW(FC161:FC357),"")))</f>
        <v>0</v>
      </c>
      <c r="FE161" s="12">
        <f>IF('Données projet'!$A$228&gt;35,FE160+FD161-FM160,IF(A161&lt;'Données projet'!$A$228,$FB$205^A161,IF(A161='Données projet'!$A$228,'Données projet'!$B$228,FE160+FD161-FM160)))</f>
        <v>8.5265128291212022E-14</v>
      </c>
      <c r="FF161" s="17">
        <f>FE161*VLOOKUP('Données projet'!$B$16,Paramètres!$A$1:$I$89,3,0)*VLOOKUP('Données projet'!$B$16,Paramètres!$A$1:$I$89,5,0)</f>
        <v>8.9119112089974823E-14</v>
      </c>
      <c r="FG161" s="13">
        <f t="shared" si="347"/>
        <v>1.3568952080113142E-12</v>
      </c>
      <c r="FH161" s="20">
        <f t="shared" si="348"/>
        <v>2.5184749408430782E-12</v>
      </c>
      <c r="FI161" s="59">
        <f t="shared" si="246"/>
        <v>293.33333333333582</v>
      </c>
      <c r="FJ161" s="59">
        <f ca="1">AVERAGE(OFFSET($FI$3,0,0,'Données projet'!$E$16+1,1))-AVERAGE(OFFSET($H$3,0,0,'Données projet'!$E$16+1,1))</f>
        <v>259.03906550253788</v>
      </c>
      <c r="FK161" s="59">
        <f t="shared" si="301"/>
        <v>235.54542903570831</v>
      </c>
      <c r="FL161" s="15">
        <f>IF(ISNA(VLOOKUP(A161,'Données projet'!$A$227:$I$247,3,0)),0,VLOOKUP(A161,'Données projet'!$A$227:$I$247,3,0))</f>
        <v>0</v>
      </c>
      <c r="FM161" s="15">
        <f>IF(ISNA(VLOOKUP(A161,'Données projet'!$A$227:$I$247,4,0)),0,VLOOKUP(A161,'Données projet'!$A$227:$I$247,4,0))</f>
        <v>0</v>
      </c>
      <c r="FN161" s="16">
        <f>IF(ISNA(VLOOKUP(A161,'Données projet'!$A$227:$I$247,5,0)),0%,VLOOKUP(A161,'Données projet'!$A$227:$I$247,5,0)*VLOOKUP('Données projet'!$B$16,Paramètres!$A$1:$I$89,7,0))</f>
        <v>0</v>
      </c>
      <c r="FO161" s="16">
        <f>IF(ISNA(VLOOKUP(A161,'Données projet'!$A$227:$I$247,6,0)),0%,VLOOKUP(A161,'Données projet'!$A$227:$I$247,6,0)*VLOOKUP('Données projet'!$B$16,Paramètres!$A$1:$I$89,7,0))</f>
        <v>0</v>
      </c>
      <c r="FP161" s="16">
        <f>IF(ISNA(VLOOKUP(A161,'Données projet'!$A$227:$I$247,7,0)),0%,VLOOKUP(A161,'Données projet'!$A$227:$I$247,7,0))</f>
        <v>0</v>
      </c>
      <c r="FQ161" s="21">
        <f>EXP(-LN(2)/35)*FQ160+(1-EXP(-LN(2)/35))/(LN(2)/35)*FM161*FN161*VLOOKUP('Données projet'!$B$16,Paramètres!$A$1:$I$89,3,0)*0.475*44/12</f>
        <v>22.363638056229693</v>
      </c>
      <c r="FR161" s="21">
        <f>EXP(-LN(2)/25)*FR160+(1-EXP(-LN(2)/25))/(LN(2)/25)*Calculateur!FM161*Calculateur!FO161*VLOOKUP('Données projet'!$B$16,Paramètres!$A$1:$I$89,3,0)*0.475*44/12</f>
        <v>11.755817377860469</v>
      </c>
      <c r="FS161" s="21">
        <f>EXP(-LN(2)/2)*FS160+(1-EXP(-LN(2)/2))/(LN(2)/2)*FM161*FP161*VLOOKUP('Données projet'!$B$16,Paramètres!$A$1:$I$89,3,0)*0.475*44/12</f>
        <v>0</v>
      </c>
      <c r="FT161" s="22">
        <f t="shared" si="349"/>
        <v>34.119455434090163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projet'!$A$253:$I$273,2,0)</f>
        <v>#N/A</v>
      </c>
      <c r="FX161" s="12" t="e">
        <f>VLOOKUP(A161,'Données projet'!$A$253:$I$273,9,0)</f>
        <v>#N/A</v>
      </c>
      <c r="FY161" s="12">
        <f t="array" ref="FY161">INDEX(FX:FX,MIN(IF(ISNUMBER(FX161:FX357),ROW(FX161:FX357),"")))</f>
        <v>0</v>
      </c>
      <c r="FZ161" s="12">
        <f>IF('Données projet'!$A$254&gt;35,FZ160+FY161-GH160,IF(A161&lt;'Données projet'!$A$254,$FW$205^A161,IF(A161='Données projet'!$A$254,'Données projet'!$B$254,FZ160+FY161-GH160)))</f>
        <v>-1.7053025658242404E-13</v>
      </c>
      <c r="GA161" s="17">
        <f>FZ161*VLOOKUP('Données projet'!$B$17,Paramètres!$A$1:$I$89,3,0)*VLOOKUP('Données projet'!$B$17,Paramètres!$A$1:$I$89,5,0)</f>
        <v>-1.4897523215040567E-13</v>
      </c>
      <c r="GB161" s="13" t="e">
        <f t="shared" si="350"/>
        <v>#NUM!</v>
      </c>
      <c r="GC161" s="20" t="e">
        <f t="shared" si="351"/>
        <v>#NUM!</v>
      </c>
      <c r="GD161" s="59" t="e">
        <f t="shared" si="249"/>
        <v>#NUM!</v>
      </c>
      <c r="GE161" s="59">
        <f ca="1">AVERAGE(OFFSET($GD$3,0,0,'Données projet'!$E$17+1,1))-AVERAGE(OFFSET($H$3,0,0,'Données projet'!$E$17+1,1))</f>
        <v>245.1983232777614</v>
      </c>
      <c r="GF161" s="59">
        <f t="shared" si="303"/>
        <v>242.34010522344573</v>
      </c>
      <c r="GG161" s="15">
        <f>IF(ISNA(VLOOKUP(A161,'Données projet'!$A$253:$I$273,3,0)),0,VLOOKUP(A161,'Données projet'!$A$253:$I$273,3,0))</f>
        <v>0</v>
      </c>
      <c r="GH161" s="15">
        <f>IF(ISNA(VLOOKUP(A161,'Données projet'!$A$253:$I$273,4,0)),0,VLOOKUP(A161,'Données projet'!$A$253:$I$273,4,0))</f>
        <v>0</v>
      </c>
      <c r="GI161" s="16">
        <f>IF(ISNA(VLOOKUP(A161,'Données projet'!$A$253:$I$273,5,0)),0%,VLOOKUP(A161,'Données projet'!$A$253:$I$273,5,0)*VLOOKUP('Données projet'!$B$17,Paramètres!$A$1:$I$89,7,0))</f>
        <v>0</v>
      </c>
      <c r="GJ161" s="16">
        <f>IF(ISNA(VLOOKUP(A161,'Données projet'!$A$253:$I$273,6,0)),0%,VLOOKUP(A161,'Données projet'!$A$253:$I$273,6,0)*VLOOKUP('Données projet'!$B$17,Paramètres!$A$1:$I$89,7,0))</f>
        <v>0</v>
      </c>
      <c r="GK161" s="16">
        <f>IF(ISNA(VLOOKUP(A161,'Données projet'!$A$253:$I$273,7,0)),0%,VLOOKUP(A161,'Données projet'!$A$253:$I$273,7,0))</f>
        <v>0</v>
      </c>
      <c r="GL161" s="21">
        <f>EXP(-LN(2)/35)*GL160+(1-EXP(-LN(2)/35))/(LN(2)/35)*GH161*GI161*VLOOKUP('Données projet'!$B$17,Paramètres!$A$1:$I$89,3,0)*0.475*44/12</f>
        <v>26.291524877604729</v>
      </c>
      <c r="GM161" s="21">
        <f>EXP(-LN(2)/25)*GM160+(1-EXP(-LN(2)/25))/(LN(2)/25)*Calculateur!GH161*Calculateur!GJ161*VLOOKUP('Données projet'!$B$17,Paramètres!$A$1:$I$89,3,0)*0.475*44/12</f>
        <v>2.504878292303339</v>
      </c>
      <c r="GN161" s="21">
        <f>EXP(-LN(2)/2)*GN160+(1-EXP(-LN(2)/2))/(LN(2)/2)*GH161*GK161*VLOOKUP('Données projet'!$B$17,Paramètres!$A$1:$I$89,3,0)*0.475*44/12</f>
        <v>0</v>
      </c>
      <c r="GO161" s="21">
        <f t="shared" si="352"/>
        <v>28.796403169908068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projet'!$A$279:$I$299,2,0)</f>
        <v>#N/A</v>
      </c>
      <c r="GS161" s="12" t="e">
        <f>VLOOKUP(A161,'Données projet'!$A$279:$I$299,9,0)</f>
        <v>#N/A</v>
      </c>
      <c r="GT161" s="12">
        <f t="array" ref="GT161">INDEX(GS:GS,MIN(IF(ISNUMBER(GS161:GS357),ROW(GS161:GS357),"")))</f>
        <v>0</v>
      </c>
      <c r="GU161" s="12">
        <f>IF('Données projet'!$A$280&gt;35,GU160+GT161-HC160,IF(A161&lt;'Données projet'!$A$280,$GR$205^A161,IF(A161='Données projet'!$A$280,'Données projet'!$B$280,GU160+GT161-HC160)))</f>
        <v>-1.1368683772161603E-13</v>
      </c>
      <c r="GV161" s="17">
        <f>GU161*VLOOKUP('Données projet'!$B$18,Paramètres!$A$1:$I$89,3,0)*VLOOKUP('Données projet'!$B$18,Paramètres!$A$1:$I$89,5,0)</f>
        <v>-4.5815795601811263E-14</v>
      </c>
      <c r="GW161" s="13" t="e">
        <f t="shared" si="353"/>
        <v>#NUM!</v>
      </c>
      <c r="GX161" s="20" t="e">
        <f t="shared" si="354"/>
        <v>#NUM!</v>
      </c>
      <c r="GY161" s="59" t="e">
        <f t="shared" si="252"/>
        <v>#NUM!</v>
      </c>
      <c r="GZ161" s="59">
        <f ca="1">AVERAGE(OFFSET($GY$3,0,0,'Données projet'!$E$18+1,1))-AVERAGE(OFFSET($H$3,0,0,'Données projet'!$E$18+1,1))</f>
        <v>324.36162935850876</v>
      </c>
      <c r="HA161" s="59">
        <f t="shared" si="305"/>
        <v>265.23571072429735</v>
      </c>
      <c r="HB161" s="15">
        <f>IF(ISNA(VLOOKUP(A161,'Données projet'!$A$279:$I$299,3,0)),0,VLOOKUP(A161,'Données projet'!$A$279:$I$299,3,0))</f>
        <v>0</v>
      </c>
      <c r="HC161" s="15">
        <f>IF(ISNA(VLOOKUP(A161,'Données projet'!$A$279:$I$299,4,0)),0,VLOOKUP(A161,'Données projet'!$A$279:$I$299,4,0))</f>
        <v>0</v>
      </c>
      <c r="HD161" s="16">
        <f>IF(ISNA(VLOOKUP(A161,'Données projet'!$A$279:$I$299,5,0)),0%,VLOOKUP(A161,'Données projet'!$A$279:$I$299,5,0)*VLOOKUP('Données projet'!$B$18,Paramètres!$A$1:$I$89,7,0))</f>
        <v>0</v>
      </c>
      <c r="HE161" s="16">
        <f>IF(ISNA(VLOOKUP(A161,'Données projet'!$A$279:$I$299,6,0)),0%,VLOOKUP(A161,'Données projet'!$A$279:$I$299,6,0)*VLOOKUP('Données projet'!$B$18,Paramètres!$A$1:$I$89,7,0))</f>
        <v>0</v>
      </c>
      <c r="HF161" s="16">
        <f>IF(ISNA(VLOOKUP($A161,'Données projet'!$A$279:$I$299,7,0)),0%,VLOOKUP($A161,'Données projet'!$A$279:$I$299,7,0))</f>
        <v>0</v>
      </c>
      <c r="HG161" s="21">
        <f>EXP(-LN(2)/35)*HG160+(1-EXP(-LN(2)/35))/(LN(2)/35)*HC161*HD161*VLOOKUP('Données projet'!$B$18,Paramètres!$A$1:$I$89,3,0)*0.475*44/12</f>
        <v>50.381434764641433</v>
      </c>
      <c r="HH161" s="21">
        <f>EXP(-LN(2)/25)*HH160+(1-EXP(-LN(2)/25))/(LN(2)/25)*Calculateur!HC161*Calculateur!HE161*VLOOKUP('Données projet'!$B$18,Paramètres!$A$1:$I$89,3,0)*0.475*44/12</f>
        <v>2.7858726987386055</v>
      </c>
      <c r="HI161" s="21">
        <f>EXP(-LN(2)/2)*HI160+(1-EXP(-LN(2)/2))/(LN(2)/2)*HC161*HF161*VLOOKUP('Données projet'!$B$18,Paramètres!$A$1:$I$89,3,0)*0.475*44/12</f>
        <v>1.5547283891246348E-11</v>
      </c>
      <c r="HJ161" s="22">
        <f t="shared" si="355"/>
        <v>53.167307463395588</v>
      </c>
      <c r="HK161" s="74">
        <f>('Scénario référence'!$F$8+'Scénario référence'!$F$9+'Scénario référence'!$B$17+'Scénario référence'!$B$9+'Scénario référence'!$B$10)*70+IF((45+25*(1-EXP(-0.0175*$A161)))&lt;70,'Scénario référence'!$B$16*(45+25*(1-EXP(-0.0175*$A161))),70*'Scénario référence'!$B$16)+IF((32+38*(1-EXP(-0.0175*$A161)))&lt;70,'Scénario référence'!$B$18*(32+38*(1-EXP(-0.0175*$A161))),70*'Scénario référence'!$B$18)</f>
        <v>70</v>
      </c>
      <c r="HL161" s="12">
        <f>IF($A161&gt;30,10,('Scénario référence'!$B$16+'Scénario référence'!$B$17+'Scénario référence'!$B$18+'Scénario référence'!$B$9+'Scénario référence'!$B$10)*$A161*10/30+('Scénario référence'!$F$8+'Scénario référence'!$F$9)*10)</f>
        <v>10</v>
      </c>
      <c r="HM161" s="12" t="e">
        <f>VLOOKUP($A161,'Données projet'!$A$304:$I$324,2,0)</f>
        <v>#N/A</v>
      </c>
      <c r="HN161" s="12" t="e">
        <f>VLOOKUP($A161,'Données projet'!$A$304:$I$324,9,0)</f>
        <v>#N/A</v>
      </c>
      <c r="HO161" s="12">
        <f t="array" ref="HO161">INDEX(HN:HN,MIN(IF(ISNUMBER(HN161:HN357),ROW(HN161:HN357),"")))</f>
        <v>0</v>
      </c>
      <c r="HP161" s="12">
        <f>IF('Données projet'!$A$304&gt;35,HP160+HO161-HX160,IF($A161&lt;'Données projet'!$A$304,$CQ$205^$A161,IF($A161='Données projet'!$A$304,'Données projet'!$B$304,HP160+HO161-HX160)))</f>
        <v>0</v>
      </c>
      <c r="HQ161" s="17">
        <f>HP161*VLOOKUP('Données projet'!$B$19,Paramètres!$A$1:$I$89,3,0)*VLOOKUP('Données projet'!$B$19,Paramètres!$A$1:$I$89,5,0)</f>
        <v>0</v>
      </c>
      <c r="HR161" s="13" t="e">
        <f t="shared" si="306"/>
        <v>#NUM!</v>
      </c>
      <c r="HS161" s="14" t="e">
        <f t="shared" si="254"/>
        <v>#NUM!</v>
      </c>
      <c r="HT161" s="59" t="e">
        <f t="shared" si="255"/>
        <v>#NUM!</v>
      </c>
      <c r="HU161" s="59">
        <f ca="1">AVERAGE(OFFSET(HT$3,0,0,'Données projet'!$E$19+1,1))-AVERAGE(OFFSET($H$3,0,0,'Données projet'!$E$19+1,1))</f>
        <v>91.60721429656013</v>
      </c>
      <c r="HV161" s="59">
        <f t="shared" si="307"/>
        <v>258.94957804210856</v>
      </c>
      <c r="HW161" s="15">
        <f>IF(ISNA(VLOOKUP($A161,'Données projet'!$A$304:$I$324,3,0)),0,VLOOKUP($A161,'Données projet'!$A$304:$I$324,3,0))</f>
        <v>0</v>
      </c>
      <c r="HX161" s="15">
        <f>IF(ISNA(VLOOKUP($A161,'Données projet'!$A$304:$I$324,4,0)),0,VLOOKUP($A161,'Données projet'!$A$304:$I$324,4,0))</f>
        <v>0</v>
      </c>
      <c r="HY161" s="16">
        <f>IF(ISNA(VLOOKUP($A161,'Données projet'!$A$304:$I$324,5,0)),0%,VLOOKUP($A161,'Données projet'!$A$304:$I$324,5,0)*VLOOKUP('Données projet'!$B$19,Paramètres!$A$1:$I$89,7,0))</f>
        <v>0</v>
      </c>
      <c r="HZ161" s="16">
        <f>IF(ISNA(VLOOKUP($A161,'Données projet'!$A$304:$I$324,6,0)),0%,VLOOKUP($A161,'Données projet'!$A$304:$I$324,6,0)*VLOOKUP('Données projet'!$B$19,Paramètres!$A$1:$I$89,7,0))</f>
        <v>0</v>
      </c>
      <c r="IA161" s="16">
        <f>IF(ISNA(VLOOKUP($A161,'Données projet'!$A$304:$I$324,7,0)),0%,VLOOKUP($A161,'Données projet'!$A$304:$I$324,7,0))</f>
        <v>0</v>
      </c>
      <c r="IB161" s="21">
        <f>EXP(-LN(2)/35)*IB160+(1-EXP(-LN(2)/35))/(LN(2)/35)*HX161*HY161*VLOOKUP('Données projet'!$B$19,Paramètres!$A$1:$I$89,3,0)*0.475*44/12</f>
        <v>3.9104364131535529</v>
      </c>
      <c r="IC161" s="21">
        <f>EXP(-LN(2)/25)*IC160+(1-EXP(-LN(2)/25))/(LN(2)/25)*Calculateur!HX161*Calculateur!HZ161*VLOOKUP('Données projet'!$B$19,Paramètres!$A$1:$I$89,3,0)*0.475*44/12</f>
        <v>0.27972918612619091</v>
      </c>
      <c r="ID161" s="21">
        <f>EXP(-LN(2)/2)*ID160+(1-EXP(-LN(2)/2))/(LN(2)/2)*HX161*IA161*VLOOKUP('Données projet'!$B$19,Paramètres!$A$1:$I$89,3,0)*0.475*44/12</f>
        <v>3.1054386045308195E-20</v>
      </c>
      <c r="IE161" s="22">
        <f t="shared" si="256"/>
        <v>4.1901655992797435</v>
      </c>
      <c r="IF161" s="74">
        <f>('Scénario référence'!$F$8+'Scénario référence'!$F$9+'Scénario référence'!$B$17+'Scénario référence'!$B$9+'Scénario référence'!$B$10)*70+IF((45+25*(1-EXP(-0.0175*$A161)))&lt;70,'Scénario référence'!$B$16*(45+25*(1-EXP(-0.0175*$A161))),70*'Scénario référence'!$B$16)+IF((32+38*(1-EXP(-0.0175*$A161)))&lt;70,'Scénario référence'!$B$18*(32+38*(1-EXP(-0.0175*$A161))),70*'Scénario référence'!$B$18)</f>
        <v>70</v>
      </c>
      <c r="IG161" s="12">
        <f>IF($A161&gt;30,10,('Scénario référence'!$B$16+'Scénario référence'!$B$17+'Scénario référence'!$B$18+'Scénario référence'!$B$9+'Scénario référence'!$B$10)*$A161*10/30+('Scénario référence'!$F$8+'Scénario référence'!$F$9)*10)</f>
        <v>10</v>
      </c>
      <c r="IH161" s="12" t="e">
        <f>VLOOKUP($A161,'Données projet'!$A$330:$I$350,2,0)</f>
        <v>#N/A</v>
      </c>
      <c r="II161" s="12" t="e">
        <f>VLOOKUP($A161,'Données projet'!$A$330:$I$350,9,0)</f>
        <v>#N/A</v>
      </c>
      <c r="IJ161" s="12">
        <f t="array" ref="IJ161">INDEX(II:II,MIN(IF(ISNUMBER(II161:II357),ROW(II161:II357),"")))</f>
        <v>0</v>
      </c>
      <c r="IK161" s="12">
        <f>IF('Données projet'!$A$330&gt;35,IK160+IJ161-IS160,IF($A161&lt;'Données projet'!$A$330,$CQ$205^$A161,IF($A161='Données projet'!$A$330,'Données projet'!$B$330,IK160+IJ161-IS160)))</f>
        <v>0</v>
      </c>
      <c r="IL161" s="17">
        <f>IK161*VLOOKUP('Données projet'!$B$20,Paramètres!$A$1:$I$89,3,0)*VLOOKUP('Données projet'!$B$20,Paramètres!$A$1:$I$89,5,0)</f>
        <v>0</v>
      </c>
      <c r="IM161" s="13" t="e">
        <f t="shared" si="308"/>
        <v>#NUM!</v>
      </c>
      <c r="IN161" s="20" t="e">
        <f t="shared" si="257"/>
        <v>#NUM!</v>
      </c>
      <c r="IO161" s="59" t="e">
        <f t="shared" si="258"/>
        <v>#NUM!</v>
      </c>
      <c r="IP161" s="59">
        <f ca="1">AVERAGE(OFFSET(IO$3,0,0,'Données projet'!$E$20+1,1))-AVERAGE(OFFSET($H$3,0,0,'Données projet'!$E$20+1,1))</f>
        <v>91.60721429656013</v>
      </c>
      <c r="IQ161" s="59">
        <f t="shared" si="309"/>
        <v>258.94957804210856</v>
      </c>
      <c r="IR161" s="15">
        <f>IF(ISNA(VLOOKUP($A161,'Données projet'!$A$330:$I$350,3,0)),0,VLOOKUP($A161,'Données projet'!$A$330:$I$350,3,0))</f>
        <v>0</v>
      </c>
      <c r="IS161" s="15">
        <f>IF(ISNA(VLOOKUP($A161,'Données projet'!$A$330:$I$350,4,0)),0,VLOOKUP($A161,'Données projet'!$A$330:$I$350,4,0))</f>
        <v>0</v>
      </c>
      <c r="IT161" s="16">
        <f>IF(ISNA(VLOOKUP($A161,'Données projet'!$A$330:$I$350,5,0)),0%,VLOOKUP($A161,'Données projet'!$A$330:$I$350,5,0)*VLOOKUP('Données projet'!$B$20,Paramètres!$A$1:$I$89,7,0))</f>
        <v>0</v>
      </c>
      <c r="IU161" s="16">
        <f>IF(ISNA(VLOOKUP($A161,'Données projet'!$A$330:$I$350,6,0)),0%,VLOOKUP($A161,'Données projet'!$A$330:$I$350,6,0)*VLOOKUP('Données projet'!$B$20,Paramètres!$A$1:$I$89,7,0))</f>
        <v>0</v>
      </c>
      <c r="IV161" s="16">
        <f>IF(ISNA(VLOOKUP($A161,'Données projet'!$A$330:$I$350,7,0)),0%,VLOOKUP($A161,'Données projet'!$A$330:$I$350,7,0))</f>
        <v>0</v>
      </c>
      <c r="IW161" s="21">
        <f>EXP(-LN(2)/35)*IW160+(1-EXP(-LN(2)/35))/(LN(2)/35)*IS161*IT161*VLOOKUP('Données projet'!$B$20,Paramètres!$A$1:$I$89,3,0)*0.475*44/12</f>
        <v>3.9104364131535529</v>
      </c>
      <c r="IX161" s="21">
        <f>EXP(-LN(2)/25)*IX160+(1-EXP(-LN(2)/25))/(LN(2)/25)*Calculateur!IS161*Calculateur!IU161*VLOOKUP('Données projet'!$B$20,Paramètres!$A$1:$I$89,3,0)*0.475*44/12</f>
        <v>0.27972918612619091</v>
      </c>
      <c r="IY161" s="21">
        <f>EXP(-LN(2)/2)*IY160+(1-EXP(-LN(2)/2))/(LN(2)/2)*IS161*IV161*VLOOKUP('Données projet'!$B$20,Paramètres!$A$1:$I$89,3,0)*0.475*44/12</f>
        <v>3.1054386045308195E-20</v>
      </c>
      <c r="IZ161" s="22">
        <f t="shared" si="259"/>
        <v>4.1901655992797435</v>
      </c>
      <c r="JA161" s="74">
        <f>('Scénario référence'!$F$8+'Scénario référence'!$F$9+'Scénario référence'!$B$17+'Scénario référence'!$B$9+'Scénario référence'!$B$10)*70+IF((45+25*(1-EXP(-0.0175*$A161)))&lt;70,'Scénario référence'!$B$16*(45+25*(1-EXP(-0.0175*$A161))),70*'Scénario référence'!$B$16)+IF((32+38*(1-EXP(-0.0175*$A161)))&lt;70,'Scénario référence'!$B$18*(32+38*(1-EXP(-0.0175*$A161))),70*'Scénario référence'!$B$18)</f>
        <v>70</v>
      </c>
      <c r="JB161" s="12">
        <f>IF($A161&gt;30,10,('Scénario référence'!$B$16+'Scénario référence'!$B$17+'Scénario référence'!$B$18+'Scénario référence'!$B$9+'Scénario référence'!$B$10)*$A161*10/30+('Scénario référence'!$F$8+'Scénario référence'!$F$9)*10)</f>
        <v>10</v>
      </c>
      <c r="JC161" s="12" t="e">
        <f>VLOOKUP($A161,'Données projet'!$A$356:$I$376,2,0)</f>
        <v>#N/A</v>
      </c>
      <c r="JD161" s="12" t="e">
        <f>VLOOKUP($A161,'Données projet'!$A$356:$I$376,9,0)</f>
        <v>#N/A</v>
      </c>
      <c r="JE161" s="12">
        <f t="array" ref="JE161">INDEX(JD:JD,MIN(IF(ISNUMBER(JD161:JD357),ROW(JD161:JD357),"")))</f>
        <v>0</v>
      </c>
      <c r="JF161" s="12">
        <f>IF('Données projet'!$A$356&gt;35,JF160+JE161-JN160,IF($A161&lt;'Données projet'!$A$356,$CQ$205^$A161,IF($A161='Données projet'!$A$356,'Données projet'!$B$356,JF160+JE161-JN160)))</f>
        <v>-1.3073986337985843E-12</v>
      </c>
      <c r="JG161" s="17">
        <f>JF161*VLOOKUP('Données projet'!$B$21,Paramètres!$A$1:$I$89,3,0)*VLOOKUP('Données projet'!$B$21,Paramètres!$A$1:$I$89,5,0)</f>
        <v>-1.0605617717374117E-12</v>
      </c>
      <c r="JH161" s="13" t="e">
        <f t="shared" si="310"/>
        <v>#NUM!</v>
      </c>
      <c r="JI161" s="20" t="e">
        <f t="shared" si="260"/>
        <v>#NUM!</v>
      </c>
      <c r="JJ161" s="59" t="e">
        <f t="shared" si="261"/>
        <v>#NUM!</v>
      </c>
      <c r="JK161" s="59">
        <f ca="1">AVERAGE(OFFSET($JJ$3,0,0,'Données projet'!$E$22+1,1))-AVERAGE(OFFSET($H$3,0,0,'Données projet'!$E$22+1,1))</f>
        <v>353.35574633294613</v>
      </c>
      <c r="JL161" s="59">
        <f t="shared" si="311"/>
        <v>170.36796666474726</v>
      </c>
      <c r="JM161" s="15">
        <f>IF(ISNA(VLOOKUP($A161,'Données projet'!$A$356:$I$376,3,0)),0,VLOOKUP($A161,'Données projet'!$A$356:$I$376,3,0))</f>
        <v>0</v>
      </c>
      <c r="JN161" s="15">
        <f>IF(ISNA(VLOOKUP($A161,'Données projet'!$A$356:$I$376,4,0)),0,VLOOKUP($A161,'Données projet'!$A$356:$I$376,4,0))</f>
        <v>0</v>
      </c>
      <c r="JO161" s="16">
        <f>IF(ISNA(VLOOKUP($A161,'Données projet'!$A$356:$I$376,5,0)),0%,VLOOKUP($A161,'Données projet'!$A$356:$I$376,5,0)*VLOOKUP('Données projet'!$B$21,Paramètres!$A$1:$I$89,7,0))</f>
        <v>0</v>
      </c>
      <c r="JP161" s="16">
        <f>IF(ISNA(VLOOKUP($A161,'Données projet'!$A$356:$I$376,6,0)),0%,VLOOKUP($A161,'Données projet'!$A$356:$I$376,6,0)*VLOOKUP('Données projet'!$B$21,Paramètres!$A$1:$I$89,7,0))</f>
        <v>0</v>
      </c>
      <c r="JQ161" s="16">
        <f>IF(ISNA(VLOOKUP($A161,'Données projet'!$A$356:$I$376,7,0)),0%,VLOOKUP($A161,'Données projet'!$A$356:$I$376,7,0))</f>
        <v>0</v>
      </c>
      <c r="JR161" s="21">
        <f>EXP(-LN(2)/35)*JR160+(1-EXP(-LN(2)/35))/(LN(2)/35)*JN161*JO161*VLOOKUP('Données projet'!$B$21,Paramètres!$A$1:$I$89,3,0)*0.475*44/12</f>
        <v>62.690126652758451</v>
      </c>
      <c r="JS161" s="21">
        <f>EXP(-LN(2)/25)*JS160+(1-EXP(-LN(2)/25))/(LN(2)/25)*Calculateur!JN161*Calculateur!JP161*VLOOKUP('Données projet'!$B$21,Paramètres!$A$1:$I$89,3,0)*0.475*44/12</f>
        <v>61.223306020951973</v>
      </c>
      <c r="JT161" s="21">
        <f>EXP(-LN(2)/2)*JT160+(1-EXP(-LN(2)/2))/(LN(2)/2)*JN161*JQ161*VLOOKUP('Données projet'!$B$21,Paramètres!$A$1:$I$89,3,0)*0.475*44/12</f>
        <v>2.143182931972635</v>
      </c>
      <c r="JU161" s="18">
        <f t="shared" si="262"/>
        <v>126.05661560568305</v>
      </c>
      <c r="JV161" s="74">
        <f>('Scénario référence'!$F$8+'Scénario référence'!$F$9+'Scénario référence'!$B$17+'Scénario référence'!$B$9+'Scénario référence'!$B$10)*70+IF((45+25*(1-EXP(-0.0175*$A161)))&lt;70,'Scénario référence'!$B$16*(45+25*(1-EXP(-0.0175*$A161))),70*'Scénario référence'!$B$16)+IF((32+38*(1-EXP(-0.0175*$A161)))&lt;70,'Scénario référence'!$B$18*(32+38*(1-EXP(-0.0175*$A161))),70*'Scénario référence'!$B$18)</f>
        <v>70</v>
      </c>
      <c r="JW161" s="12">
        <f>IF($A161&gt;30,10,('Scénario référence'!$B$16+'Scénario référence'!$B$17+'Scénario référence'!$B$18+'Scénario référence'!$B$9+'Scénario référence'!$B$10)*$A161*10/30+('Scénario référence'!$F$8+'Scénario référence'!$F$9)*10)</f>
        <v>10</v>
      </c>
      <c r="JX161" s="12" t="e">
        <f>VLOOKUP($A161,'Données projet'!$A$382:$I$402,2,0)</f>
        <v>#N/A</v>
      </c>
      <c r="JY161" s="12" t="e">
        <f>VLOOKUP($A161,'Données projet'!$A$382:$I$402,9,0)</f>
        <v>#N/A</v>
      </c>
      <c r="JZ161" s="12">
        <f t="array" ref="JZ161">INDEX(JY:JY,MIN(IF(ISNUMBER(JY161:JY357),ROW(JY161:JY357),"")))</f>
        <v>0</v>
      </c>
      <c r="KA161" s="12">
        <f>IF('Données projet'!$A$382&gt;35,KA160+JZ161-KI160,IF($A161&lt;'Données projet'!$A$382,$CQ$205^$A161,IF($A161='Données projet'!$A$382,'Données projet'!$B$382,KA160+JZ161-KI160)))</f>
        <v>5.6843418860808015E-13</v>
      </c>
      <c r="KB161" s="17">
        <f>KA161*VLOOKUP('Données projet'!$B$22,Paramètres!$A$1:$I$89,3,0)*VLOOKUP('Données projet'!$B$22,Paramètres!$A$1:$I$89,5,0)</f>
        <v>3.8130565371830017E-13</v>
      </c>
      <c r="KC161" s="13">
        <f t="shared" si="312"/>
        <v>4.9019074112354236E-12</v>
      </c>
      <c r="KD161" s="20">
        <f t="shared" si="263"/>
        <v>9.2015960881277352E-12</v>
      </c>
      <c r="KE161" s="59">
        <f t="shared" si="264"/>
        <v>293.33333333334252</v>
      </c>
      <c r="KF161" s="59">
        <f ca="1">AVERAGE(OFFSET($KE$3,0,0,'Données projet'!$E$22+1,1))-AVERAGE(OFFSET($H$3,0,0,'Données projet'!$E$22+1,1))</f>
        <v>193.91714772848269</v>
      </c>
      <c r="KG161" s="59">
        <f t="shared" si="313"/>
        <v>159.20429420478047</v>
      </c>
      <c r="KH161" s="15">
        <f>IF(ISNA(VLOOKUP($A161,'Données projet'!$A$382:$I$402,3,0)),0,VLOOKUP($A161,'Données projet'!$A$382:$I$402,3,0))</f>
        <v>0</v>
      </c>
      <c r="KI161" s="15">
        <f>IF(ISNA(VLOOKUP($A161,'Données projet'!$A$382:$I$402,4,0)),0,VLOOKUP($A161,'Données projet'!$A$382:$I$402,4,0))</f>
        <v>0</v>
      </c>
      <c r="KJ161" s="16">
        <f>IF(ISNA(VLOOKUP($A161,'Données projet'!$A$382:$I$402,5,0)),0%,VLOOKUP($A161,'Données projet'!$A$382:$I$402,5,0)*VLOOKUP('Données projet'!$B$22,Paramètres!$A$1:$I$89,7,0))</f>
        <v>0</v>
      </c>
      <c r="KK161" s="16">
        <f>IF(ISNA(VLOOKUP($A161,'Données projet'!$A$382:$I$402,6,0)),0%,VLOOKUP($A161,'Données projet'!$A$382:$I$402,6,0)*VLOOKUP('Données projet'!$B$22,Paramètres!$A$1:$I$89,7,0))</f>
        <v>0</v>
      </c>
      <c r="KL161" s="16">
        <f>IF(ISNA(VLOOKUP($A161,'Données projet'!$A$382:$I$402,7,0)),0%,VLOOKUP($A161,'Données projet'!$A$382:$I$402,7,0))</f>
        <v>0</v>
      </c>
      <c r="KM161" s="21">
        <f>EXP(-LN(2)/35)*KM160+(1-EXP(-LN(2)/35))/(LN(2)/35)*KI161*KJ161*VLOOKUP('Données projet'!$B$22,Paramètres!$A$1:$I$89,3,0)*0.475*44/12</f>
        <v>91.534503971389256</v>
      </c>
      <c r="KN161" s="21">
        <f>EXP(-LN(2)/25)*KN160+(1-EXP(-LN(2)/25))/(LN(2)/25)*Calculateur!KI161*Calculateur!KK161*VLOOKUP('Données projet'!$B$22,Paramètres!$A$1:$I$89,3,0)*0.475*44/12</f>
        <v>0</v>
      </c>
      <c r="KO161" s="21">
        <f>EXP(-LN(2)/2)*KO160+(1-EXP(-LN(2)/2))/(LN(2)/2)*KI161*KL161*VLOOKUP('Données projet'!$B$22,Paramètres!$A$1:$I$89,3,0)*0.475*44/12</f>
        <v>0</v>
      </c>
      <c r="KP161" s="22">
        <f t="shared" si="265"/>
        <v>91.534503971389256</v>
      </c>
      <c r="KQ161" s="74">
        <f>('Scénario référence'!$F$8+'Scénario référence'!$F$9+'Scénario référence'!$B$17+'Scénario référence'!$B$9+'Scénario référence'!$B$10)*70+IF((45+25*(1-EXP(-0.0175*$A161)))&lt;70,'Scénario référence'!$B$16*(45+25*(1-EXP(-0.0175*$A161))),70*'Scénario référence'!$B$16)+IF((32+38*(1-EXP(-0.0175*$A161)))&lt;70,'Scénario référence'!$B$18*(32+38*(1-EXP(-0.0175*$A161))),70*'Scénario référence'!$B$18)</f>
        <v>70</v>
      </c>
      <c r="KR161" s="12">
        <f>IF($A161&gt;30,10,('Scénario référence'!$B$16+'Scénario référence'!$B$17+'Scénario référence'!$B$18+'Scénario référence'!$B$9+'Scénario référence'!$B$10)*$A161*10/30+('Scénario référence'!$F$8+'Scénario référence'!$F$9)*10)</f>
        <v>10</v>
      </c>
      <c r="KS161" s="12" t="e">
        <f>VLOOKUP($A161,'Données projet'!$A$408:$I$428,2,0)</f>
        <v>#N/A</v>
      </c>
      <c r="KT161" s="12" t="e">
        <f>VLOOKUP($A161,'Données projet'!$A$408:$I$428,9,0)</f>
        <v>#N/A</v>
      </c>
      <c r="KU161" s="12">
        <f t="array" ref="KU161">INDEX(KT:KT,MIN(IF(ISNUMBER(KT161:KT357),ROW(KT161:KT357),"")))</f>
        <v>0</v>
      </c>
      <c r="KV161" s="12">
        <f>IF('Données projet'!$A$408&gt;35,KV160+KU161-LD160,IF($A161&lt;'Données projet'!$A$408,$CQ$205^$A161,IF($A161='Données projet'!$A$408,'Données projet'!$B$408,KV160+KU161-LD160)))</f>
        <v>-1.1368683772161603E-13</v>
      </c>
      <c r="KW161" s="17">
        <f>KV161*VLOOKUP('Données projet'!$B$23,Paramètres!$A$1:$I$89,3,0)*VLOOKUP('Données projet'!$B$23,Paramètres!$A$1:$I$89,5,0)</f>
        <v>-9.9316821433603781E-14</v>
      </c>
      <c r="KX161" s="13" t="e">
        <f t="shared" si="314"/>
        <v>#NUM!</v>
      </c>
      <c r="KY161" s="14" t="e">
        <f t="shared" si="266"/>
        <v>#NUM!</v>
      </c>
      <c r="KZ161" s="59" t="e">
        <f t="shared" si="267"/>
        <v>#NUM!</v>
      </c>
      <c r="LA161" s="59">
        <f ca="1">AVERAGE(OFFSET($KZ$3,0,0,'Données projet'!$E$23+1,1))-AVERAGE(OFFSET($H$3,0,0,'Données projet'!$E$23+1,1))</f>
        <v>248.33596943633819</v>
      </c>
      <c r="LB161" s="59">
        <f t="shared" si="315"/>
        <v>242.34010522344573</v>
      </c>
      <c r="LC161" s="15">
        <f>IF(ISNA(VLOOKUP($A161,'Données projet'!$A$408:$I$428,3,0)),0,VLOOKUP($A161,'Données projet'!$A$408:$I$428,3,0))</f>
        <v>0</v>
      </c>
      <c r="LD161" s="15">
        <f>IF(ISNA(VLOOKUP($A161,'Données projet'!$A$408:$I$428,4,0)),0,VLOOKUP($A161,'Données projet'!$A$408:$I$428,4,0))</f>
        <v>0</v>
      </c>
      <c r="LE161" s="16">
        <f>IF(ISNA(VLOOKUP($A161,'Données projet'!$A$408:$I$428,5,0)),0%,VLOOKUP($A161,'Données projet'!$A$408:$I$428,5,0)*VLOOKUP('Données projet'!$B$23,Paramètres!$A$1:$I$89,7,0))</f>
        <v>0</v>
      </c>
      <c r="LF161" s="16">
        <f>IF(ISNA(VLOOKUP($A161,'Données projet'!$A$408:$I$428,6,0)),0%,VLOOKUP($A161,'Données projet'!$A$408:$I$428,6,0)*VLOOKUP('Données projet'!$B$23,Paramètres!$A$1:$I$89,7,0))</f>
        <v>0</v>
      </c>
      <c r="LG161" s="16">
        <f>IF(ISNA(VLOOKUP($A161,'Données projet'!$A$408:$I$428,7,0)),0%,VLOOKUP($A161,'Données projet'!$A$408:$I$428,7,0))</f>
        <v>0</v>
      </c>
      <c r="LH161" s="21">
        <f>EXP(-LN(2)/35)*LH160+(1-EXP(-LN(2)/35))/(LN(2)/35)*LD161*LE161*VLOOKUP('Données projet'!$B$23,Paramètres!$A$1:$I$89,3,0)*0.475*44/12</f>
        <v>26.291524877604729</v>
      </c>
      <c r="LI161" s="21">
        <f>EXP(-LN(2)/25)*LI160+(1-EXP(-LN(2)/25))/(LN(2)/25)*Calculateur!LD161*Calculateur!LF161*VLOOKUP('Données projet'!$B$23,Paramètres!$A$1:$I$89,3,0)*0.475*44/12</f>
        <v>2.504878292303339</v>
      </c>
      <c r="LJ161" s="21">
        <f>EXP(-LN(2)/2)*LJ160+(1-EXP(-LN(2)/2))/(LN(2)/2)*LD161*LG161*VLOOKUP('Données projet'!$B$23,Paramètres!$A$1:$I$89,3,0)*0.475*44/12</f>
        <v>0</v>
      </c>
      <c r="LK161" s="22">
        <f t="shared" si="268"/>
        <v>28.796403169908068</v>
      </c>
      <c r="LL161" s="74">
        <f>('Scénario référence'!$F$8+'Scénario référence'!$F$9+'Scénario référence'!$B$17+'Scénario référence'!$B$9+'Scénario référence'!$B$10)*70+IF((45+25*(1-EXP(-0.0175*$A161)))&lt;70,'Scénario référence'!$B$16*(45+25*(1-EXP(-0.0175*$A161))),70*'Scénario référence'!$B$16)+IF((32+38*(1-EXP(-0.0175*$A161)))&lt;70,'Scénario référence'!$B$18*(32+38*(1-EXP(-0.0175*$A161))),70*'Scénario référence'!$B$18)</f>
        <v>70</v>
      </c>
      <c r="LM161" s="12">
        <f>IF($A161&gt;30,10,('Scénario référence'!$B$16+'Scénario référence'!$B$17+'Scénario référence'!$B$18+'Scénario référence'!$B$9+'Scénario référence'!$B$10)*$A161*10/30+('Scénario référence'!$F$8+'Scénario référence'!$F$9)*10)</f>
        <v>10</v>
      </c>
      <c r="LN161" s="12" t="e">
        <f>VLOOKUP($A161,'Données projet'!$A$434:$I$454,2,0)</f>
        <v>#N/A</v>
      </c>
      <c r="LO161" s="12" t="e">
        <f>VLOOKUP($A161,'Données projet'!$A$434:$I$454,9,0)</f>
        <v>#N/A</v>
      </c>
      <c r="LP161" s="12">
        <f t="array" ref="LP161">INDEX(LO:LO,MIN(IF(ISNUMBER(LO161:LO357),ROW(LO161:LO357),"")))</f>
        <v>1.1618589743589709</v>
      </c>
      <c r="LQ161" s="12">
        <f>IF('Données projet'!$A$434&gt;35,LQ160+LP161-LY160,IF($A161&lt;'Données projet'!$A$434,$CQ$205^$A161,IF($A161='Données projet'!$A$434,'Données projet'!$B$434,LQ160+LP161-LY160)))</f>
        <v>87.879807692307224</v>
      </c>
      <c r="LR161" s="17">
        <f>LQ161*VLOOKUP('Données projet'!$B$24,Paramètres!$A$1:$I$89,3,0)*VLOOKUP('Données projet'!$B$24,Paramètres!$A$1:$I$89,5,0)</f>
        <v>89.110124999999528</v>
      </c>
      <c r="LS161" s="13">
        <f t="shared" si="316"/>
        <v>24.350484613685058</v>
      </c>
      <c r="LT161" s="14">
        <f t="shared" si="269"/>
        <v>197.61056174383398</v>
      </c>
      <c r="LU161" s="59">
        <f t="shared" si="270"/>
        <v>490.94389507716733</v>
      </c>
      <c r="LV161" s="59">
        <f ca="1">AVERAGE(OFFSET($LU$3,0,0,'Données projet'!$E$24+1,1))-AVERAGE(OFFSET($H$3,0,0,'Données projet'!$E$24+1,1))</f>
        <v>260.52627655062872</v>
      </c>
      <c r="LW161" s="59">
        <f t="shared" si="317"/>
        <v>159.20429420478047</v>
      </c>
      <c r="LX161" s="15">
        <f>IF(ISNA(VLOOKUP($A161,'Données projet'!$A$434:$I$454,3,0)),0,VLOOKUP($A161,'Données projet'!$A$434:$I$454,3,0))</f>
        <v>0</v>
      </c>
      <c r="LY161" s="15">
        <f>IF(ISNA(VLOOKUP($A161,'Données projet'!$A$434:$I$454,4,0)),0,VLOOKUP($A161,'Données projet'!$A$434:$I$454,4,0))</f>
        <v>0</v>
      </c>
      <c r="LZ161" s="16">
        <f>IF(ISNA(VLOOKUP($A161,'Données projet'!$A$434:$I$454,5,0)),0%,VLOOKUP($A161,'Données projet'!$A$434:$I$454,5,0)*VLOOKUP('Données projet'!$B$24,Paramètres!$A$1:$I$89,7,0))</f>
        <v>0</v>
      </c>
      <c r="MA161" s="16">
        <f>IF(ISNA(VLOOKUP($A161,'Données projet'!$A$434:$I$454,6,0)),0%,VLOOKUP($A161,'Données projet'!$A$434:$I$454,6,0)*VLOOKUP('Données projet'!$B$24,Paramètres!$A$1:$I$89,7,0))</f>
        <v>0</v>
      </c>
      <c r="MB161" s="16">
        <f>IF(ISNA(VLOOKUP($A161,'Données projet'!$A$434:$I$454,7,0)),0%,VLOOKUP($A161,'Données projet'!$A$434:$I$454,7,0))</f>
        <v>0</v>
      </c>
      <c r="MC161" s="21">
        <f>EXP(-LN(2)/35)*MC160+(1-EXP(-LN(2)/35))/(LN(2)/35)*LY161*LZ161*VLOOKUP('Données projet'!$B$24,Paramètres!$A$1:$I$89,3,0)*0.475*44/12</f>
        <v>126.98450757690969</v>
      </c>
      <c r="MD161" s="21">
        <f>EXP(-LN(2)/25)*MD160+(1-EXP(-LN(2)/25))/(LN(2)/25)*Calculateur!LY161*Calculateur!MA161*VLOOKUP('Données projet'!$B$24,Paramètres!$A$1:$I$89,3,0)*0.475*44/12</f>
        <v>0</v>
      </c>
      <c r="ME161" s="21">
        <f>EXP(-LN(2)/2)*ME160+(1-EXP(-LN(2)/2))/(LN(2)/2)*LY161*MB161*VLOOKUP('Données projet'!$B$24,Paramètres!$A$1:$I$89,3,0)*0.475*44/12</f>
        <v>0</v>
      </c>
      <c r="MF161" s="22">
        <f t="shared" si="271"/>
        <v>126.98450757690969</v>
      </c>
      <c r="MG161" s="74">
        <f>('Scénario référence'!$F$8+'Scénario référence'!$F$9+'Scénario référence'!$B$17+'Scénario référence'!$B$9+'Scénario référence'!$B$10)*70+IF((45+25*(1-EXP(-0.0175*$A161)))&lt;70,'Scénario référence'!$B$16*(45+25*(1-EXP(-0.0175*$A161))),70*'Scénario référence'!$B$16)+IF((32+38*(1-EXP(-0.0175*$A161)))&lt;70,'Scénario référence'!$B$18*(32+38*(1-EXP(-0.0175*$A161))),70*'Scénario référence'!$B$18)</f>
        <v>70</v>
      </c>
      <c r="MH161" s="12">
        <f>IF($A161&gt;30,10,('Scénario référence'!$B$16+'Scénario référence'!$B$17+'Scénario référence'!$B$18+'Scénario référence'!$B$9+'Scénario référence'!$B$10)*$A161*10/30+('Scénario référence'!$F$8+'Scénario référence'!$F$9)*10)</f>
        <v>10</v>
      </c>
      <c r="MI161" s="12" t="e">
        <f>VLOOKUP($A161,'Données projet'!$A$460:$I$480,2,0)</f>
        <v>#N/A</v>
      </c>
      <c r="MJ161" s="12" t="e">
        <f>VLOOKUP($A161,'Données projet'!$A$460:$I$480,9,0)</f>
        <v>#N/A</v>
      </c>
      <c r="MK161" s="12">
        <f t="array" ref="MK161">INDEX(MJ:MJ,MIN(IF(ISNUMBER(MJ161:MJ357),ROW(MJ161:MJ357),"")))</f>
        <v>0</v>
      </c>
      <c r="ML161" s="12">
        <f>IF('Données projet'!$A$460&gt;35,ML160+MK161-MT160,IF($A161&lt;'Données projet'!$A$460,$CQ$205^$A161,IF($A161='Données projet'!$A$460,'Données projet'!$B$460,ML160+MK161-MT160)))</f>
        <v>0</v>
      </c>
      <c r="MM161" s="17" t="e">
        <f>ML161*VLOOKUP('Données projet'!$B$25,Paramètres!$A$1:$I$89,3,0)*VLOOKUP('Données projet'!$B$25,Paramètres!$A$1:$I$89,5,0)</f>
        <v>#N/A</v>
      </c>
      <c r="MN161" s="13" t="e">
        <f t="shared" si="318"/>
        <v>#N/A</v>
      </c>
      <c r="MO161" s="14" t="e">
        <f t="shared" si="272"/>
        <v>#N/A</v>
      </c>
      <c r="MP161" s="59" t="e">
        <f t="shared" si="273"/>
        <v>#N/A</v>
      </c>
      <c r="MQ161" s="20" t="e">
        <f ca="1">AVERAGE(OFFSET($MP$3,0,0,'Données projet'!$E$25+1,1))-AVERAGE(OFFSET($H$3,0,0,'Données projet'!$E$25+1,1))</f>
        <v>#N/A</v>
      </c>
      <c r="MR161" s="59" t="e">
        <f t="shared" si="319"/>
        <v>#N/A</v>
      </c>
      <c r="MS161" s="15">
        <f>IF(ISNA(VLOOKUP($A161,'Données projet'!$A$460:$I$480,3,0)),0,VLOOKUP($A161,'Données projet'!$A$460:$I$480,3,0))</f>
        <v>0</v>
      </c>
      <c r="MT161" s="15">
        <f>IF(ISNA(VLOOKUP($A161,'Données projet'!$A$460:$I$480,4,0)),0,VLOOKUP($A161,'Données projet'!$A$460:$I$480,4,0))</f>
        <v>0</v>
      </c>
      <c r="MU161" s="16">
        <f>IF(ISNA(VLOOKUP($A161,'Données projet'!$A$460:$I$480,5,0)),0%,VLOOKUP($A161,'Données projet'!$A$460:$I$480,5,0)*VLOOKUP('Données projet'!$B$25,Paramètres!$A$1:$I$89,7,0))</f>
        <v>0</v>
      </c>
      <c r="MV161" s="16">
        <f>IF(ISNA(VLOOKUP($A161,'Données projet'!$A$460:$I$480,6,0)),0%,VLOOKUP($A161,'Données projet'!$A$460:$I$480,6,0)*VLOOKUP('Données projet'!$B$25,Paramètres!$A$1:$I$89,7,0))</f>
        <v>0</v>
      </c>
      <c r="MW161" s="16">
        <f>IF(ISNA(VLOOKUP($A161,'Données projet'!$A$460:$I$480,7,0)),0%,VLOOKUP($A161,'Données projet'!$A$460:$I$480,7,0))</f>
        <v>0</v>
      </c>
      <c r="MX161" s="21" t="e">
        <f>EXP(-LN(2)/35)*MX160+(1-EXP(-LN(2)/35))/(LN(2)/35)*MT161*MU161*VLOOKUP('Données projet'!$B$25,Paramètres!$A$1:$I$89,3,0)*0.475*44/12</f>
        <v>#N/A</v>
      </c>
      <c r="MY161" s="21" t="e">
        <f>EXP(-LN(2)/25)*MY160+(1-EXP(-LN(2)/25))/(LN(2)/25)*Calculateur!MT161*Calculateur!MV161*VLOOKUP('Données projet'!$B$25,Paramètres!$A$1:$I$89,3,0)*0.475*44/12</f>
        <v>#N/A</v>
      </c>
      <c r="MZ161" s="21" t="e">
        <f>EXP(-LN(2)/2)*MZ160+(1-EXP(-LN(2)/2))/(LN(2)/2)*MT161*MW161*VLOOKUP('Données projet'!$B$25,Paramètres!$A$1:$I$89,3,0)*0.475*44/12</f>
        <v>#N/A</v>
      </c>
      <c r="NA161" s="22" t="e">
        <f t="shared" si="274"/>
        <v>#N/A</v>
      </c>
      <c r="NB161" s="74">
        <f>('Scénario référence'!$F$8+'Scénario référence'!$F$9+'Scénario référence'!$B$17+'Scénario référence'!$B$9+'Scénario référence'!$B$10)*70+IF((45+25*(1-EXP(-0.0175*$A161)))&lt;70,'Scénario référence'!$B$16*(45+25*(1-EXP(-0.0175*$A161))),70*'Scénario référence'!$B$16)+IF((32+38*(1-EXP(-0.0175*$A161)))&lt;70,'Scénario référence'!$B$18*(32+38*(1-EXP(-0.0175*$A161))),70*'Scénario référence'!$B$18)</f>
        <v>70</v>
      </c>
      <c r="NC161" s="12">
        <f>IF($A161&gt;30,10,('Scénario référence'!$B$16+'Scénario référence'!$B$17+'Scénario référence'!$B$18+'Scénario référence'!$B$9+'Scénario référence'!$B$10)*$A161*10/30+('Scénario référence'!$F$8+'Scénario référence'!$F$9)*10)</f>
        <v>10</v>
      </c>
      <c r="ND161" s="12" t="e">
        <f>VLOOKUP($A161,'Données projet'!$A$486:$I$506,2,0)</f>
        <v>#N/A</v>
      </c>
      <c r="NE161" s="12" t="e">
        <f>VLOOKUP($A161,'Données projet'!$A$486:$I$506,9,0)</f>
        <v>#N/A</v>
      </c>
      <c r="NF161" s="12">
        <f t="array" ref="NF161">INDEX(NE:NE,MIN(IF(ISNUMBER(NE161:NE357),ROW(NE161:NE357),"")))</f>
        <v>0</v>
      </c>
      <c r="NG161" s="12">
        <f>IF('Données projet'!$A$486&gt;35,NG160+NF161-NO160,IF($A161&lt;'Données projet'!$A$486,$CQ$205^$A161,IF($A161='Données projet'!$A$486,'Données projet'!$B$486,NG160+NF161-NO160)))</f>
        <v>0</v>
      </c>
      <c r="NH161" s="17" t="e">
        <f>NG161*VLOOKUP('Données projet'!$B$26,Paramètres!$A$1:$I$89,3,0)*VLOOKUP('Données projet'!$B$26,Paramètres!$A$1:$I$89,5,0)</f>
        <v>#N/A</v>
      </c>
      <c r="NI161" s="13" t="e">
        <f t="shared" si="320"/>
        <v>#N/A</v>
      </c>
      <c r="NJ161" s="14" t="e">
        <f t="shared" si="275"/>
        <v>#N/A</v>
      </c>
      <c r="NK161" s="59" t="e">
        <f t="shared" si="276"/>
        <v>#N/A</v>
      </c>
      <c r="NL161" s="20" t="e">
        <f ca="1">AVERAGE(OFFSET($NK$3,0,0,'Données projet'!$E$26+1,1))-AVERAGE(OFFSET($H$3,0,0,'Données projet'!$E$26+1,1))</f>
        <v>#N/A</v>
      </c>
      <c r="NM161" s="59" t="e">
        <f t="shared" si="321"/>
        <v>#N/A</v>
      </c>
      <c r="NN161" s="15">
        <f>IF(ISNA(VLOOKUP($A161,'Données projet'!$A$486:$I$506,3,0)),0,VLOOKUP($A161,'Données projet'!$A$486:$I$506,3,0))</f>
        <v>0</v>
      </c>
      <c r="NO161" s="15">
        <f>IF(ISNA(VLOOKUP($A161,'Données projet'!$A$486:$I$506,4,0)),0,VLOOKUP($A161,'Données projet'!$A$486:$I$506,4,0))</f>
        <v>0</v>
      </c>
      <c r="NP161" s="16">
        <f>IF(ISNA(VLOOKUP($A161,'Données projet'!$A$486:$I$506,5,0)),0%,VLOOKUP($A161,'Données projet'!$A$486:$I$506,5,0)*VLOOKUP('Données projet'!$B$26,Paramètres!$A$1:$I$89,7,0))</f>
        <v>0</v>
      </c>
      <c r="NQ161" s="16">
        <f>IF(ISNA(VLOOKUP($A161,'Données projet'!$A$486:$I$506,6,0)),0%,VLOOKUP($A161,'Données projet'!$A$486:$I$506,6,0)*VLOOKUP('Données projet'!$B$26,Paramètres!$A$1:$I$89,7,0))</f>
        <v>0</v>
      </c>
      <c r="NR161" s="16">
        <f>IF(ISNA(VLOOKUP($A161,'Données projet'!$A$486:$I$506,7,0)),0%,VLOOKUP($A161,'Données projet'!$A$486:$I$506,7,0))</f>
        <v>0</v>
      </c>
      <c r="NS161" s="21" t="e">
        <f>EXP(-LN(2)/35)*NS160+(1-EXP(-LN(2)/35))/(LN(2)/35)*NO161*NP161*VLOOKUP('Données projet'!$B$26,Paramètres!$A$1:$I$89,3,0)*0.475*44/12</f>
        <v>#N/A</v>
      </c>
      <c r="NT161" s="21" t="e">
        <f>EXP(-LN(2)/25)*NT160+(1-EXP(-LN(2)/25))/(LN(2)/25)*Calculateur!NO161*Calculateur!NQ161*VLOOKUP('Données projet'!$B$26,Paramètres!$A$1:$I$89,3,0)*0.475*44/12</f>
        <v>#N/A</v>
      </c>
      <c r="NU161" s="21" t="e">
        <f>EXP(-LN(2)/2)*NU160+(1-EXP(-LN(2)/2))/(LN(2)/2)*NO161*NR161*VLOOKUP('Données projet'!$B$26,Paramètres!$A$1:$I$89,3,0)*0.475*44/12</f>
        <v>#N/A</v>
      </c>
      <c r="NV161" s="22" t="e">
        <f t="shared" si="277"/>
        <v>#N/A</v>
      </c>
      <c r="NW161" s="74">
        <f>('Scénario référence'!$F$8+'Scénario référence'!$F$9+'Scénario référence'!$B$17+'Scénario référence'!$B$9+'Scénario référence'!$B$10)*70+IF((45+25*(1-EXP(-0.0175*$A161)))&lt;70,'Scénario référence'!$B$16*(45+25*(1-EXP(-0.0175*$A161))),70*'Scénario référence'!$B$16)+IF((32+38*(1-EXP(-0.0175*$A161)))&lt;70,'Scénario référence'!$B$18*(32+38*(1-EXP(-0.0175*$A161))),70*'Scénario référence'!$B$18)</f>
        <v>70</v>
      </c>
      <c r="NX161" s="12">
        <f>IF($A161&gt;30,10,('Scénario référence'!$B$16+'Scénario référence'!$B$17+'Scénario référence'!$B$18+'Scénario référence'!$B$9+'Scénario référence'!$B$10)*$A161*10/30+('Scénario référence'!$F$8+'Scénario référence'!$F$9)*10)</f>
        <v>10</v>
      </c>
      <c r="NY161" s="12" t="e">
        <f>VLOOKUP($A161,'Données projet'!$A$512:$I$532,2,0)</f>
        <v>#N/A</v>
      </c>
      <c r="NZ161" s="12" t="e">
        <f>VLOOKUP($A161,'Données projet'!$A$512:$I$532,9,0)</f>
        <v>#N/A</v>
      </c>
      <c r="OA161" s="12">
        <f t="array" ref="OA161">INDEX(NZ:NZ,MIN(IF(ISNUMBER(NZ161:NZ357),ROW(NZ161:NZ357),"")))</f>
        <v>0</v>
      </c>
      <c r="OB161" s="12">
        <f>IF('Données projet'!$A$512&gt;35,OB160+OA161-OJ160,IF($A161&lt;'Données projet'!$A$512,$CQ$205^$A161,IF($A161='Données projet'!$A$512,'Données projet'!$B$512,OB160+OA161-OJ160)))</f>
        <v>0</v>
      </c>
      <c r="OC161" s="17" t="e">
        <f>OB161*VLOOKUP('Données projet'!$B$27,Paramètres!$A$1:$I$89,3,0)*VLOOKUP('Données projet'!$B$27,Paramètres!$A$1:$I$89,5,0)</f>
        <v>#N/A</v>
      </c>
      <c r="OD161" s="13" t="e">
        <f t="shared" si="322"/>
        <v>#N/A</v>
      </c>
      <c r="OE161" s="14" t="e">
        <f t="shared" si="278"/>
        <v>#N/A</v>
      </c>
      <c r="OF161" s="59" t="e">
        <f t="shared" si="279"/>
        <v>#N/A</v>
      </c>
      <c r="OG161" s="20" t="e">
        <f ca="1">AVERAGE(OFFSET($OF$3,0,0,'Données projet'!$E$27+1,1))-AVERAGE(OFFSET($H$3,0,0,'Données projet'!$E$27+1,1))</f>
        <v>#N/A</v>
      </c>
      <c r="OH161" s="59" t="e">
        <f t="shared" si="323"/>
        <v>#N/A</v>
      </c>
      <c r="OI161" s="15">
        <f>IF(ISNA(VLOOKUP($A161,'Données projet'!$A$512:$I$532,3,0)),0,VLOOKUP($A161,'Données projet'!$A$512:$I$532,3,0))</f>
        <v>0</v>
      </c>
      <c r="OJ161" s="15">
        <f>IF(ISNA(VLOOKUP($A161,'Données projet'!$A$512:$I$532,4,0)),0,VLOOKUP($A161,'Données projet'!$A$512:$I$532,4,0))</f>
        <v>0</v>
      </c>
      <c r="OK161" s="16">
        <f>IF(ISNA(VLOOKUP($A161,'Données projet'!$A$512:$I$532,5,0)),0%,VLOOKUP($A161,'Données projet'!$A$512:$I$532,5,0)*VLOOKUP('Données projet'!$B$27,Paramètres!$A$1:$I$89,7,0))</f>
        <v>0</v>
      </c>
      <c r="OL161" s="16">
        <f>IF(ISNA(VLOOKUP($A161,'Données projet'!$A$512:$I$532,6,0)),0%,VLOOKUP($A161,'Données projet'!$A$512:$I$532,6,0)*VLOOKUP('Données projet'!$B$27,Paramètres!$A$1:$I$89,7,0))</f>
        <v>0</v>
      </c>
      <c r="OM161" s="16">
        <f>IF(ISNA(VLOOKUP($A161,'Données projet'!$A$512:$I$532,7,0)),0%,VLOOKUP($A161,'Données projet'!$A$512:$I$532,7,0))</f>
        <v>0</v>
      </c>
      <c r="ON161" s="21" t="e">
        <f>EXP(-LN(2)/35)*ON160+(1-EXP(-LN(2)/35))/(LN(2)/35)*OJ161*OK161*VLOOKUP('Données projet'!$B$27,Paramètres!$A$1:$I$89,3,0)*0.475*44/12</f>
        <v>#N/A</v>
      </c>
      <c r="OO161" s="21" t="e">
        <f>EXP(-LN(2)/25)*OO160+(1-EXP(-LN(2)/25))/(LN(2)/25)*Calculateur!OJ161*Calculateur!OL161*VLOOKUP('Données projet'!$B$27,Paramètres!$A$1:$I$89,3,0)*0.475*44/12</f>
        <v>#N/A</v>
      </c>
      <c r="OP161" s="21" t="e">
        <f>EXP(-LN(2)/2)*OP160+(1-EXP(-LN(2)/2))/(LN(2)/2)*OJ161*OM161*VLOOKUP('Données projet'!$B$27,Paramètres!$A$1:$I$89,3,0)*0.475*44/12</f>
        <v>#N/A</v>
      </c>
      <c r="OQ161" s="22" t="e">
        <f t="shared" si="280"/>
        <v>#N/A</v>
      </c>
      <c r="OR161" s="74">
        <f>('Scénario référence'!$F$8+'Scénario référence'!$F$9+'Scénario référence'!$B$17+'Scénario référence'!$B$9+'Scénario référence'!$B$10)*70+IF((45+25*(1-EXP(-0.0175*$A161)))&lt;70,'Scénario référence'!$B$16*(45+25*(1-EXP(-0.0175*$A161))),70*'Scénario référence'!$B$16)+IF((32+38*(1-EXP(-0.0175*$A161)))&lt;70,'Scénario référence'!$B$18*(32+38*(1-EXP(-0.0175*$A161))),70*'Scénario référence'!$B$18)</f>
        <v>70</v>
      </c>
      <c r="OS161" s="12">
        <f>IF($A161&gt;30,10,('Scénario référence'!$B$16+'Scénario référence'!$B$17+'Scénario référence'!$B$18+'Scénario référence'!$B$9+'Scénario référence'!$B$10)*$A161*10/30+('Scénario référence'!$F$8+'Scénario référence'!$F$9)*10)</f>
        <v>10</v>
      </c>
      <c r="OT161" s="12" t="e">
        <f>VLOOKUP($A161,'Données projet'!$A$538:$I$558,2,0)</f>
        <v>#N/A</v>
      </c>
      <c r="OU161" s="12" t="e">
        <f>VLOOKUP($A161,'Données projet'!$A$538:$I$558,9,0)</f>
        <v>#N/A</v>
      </c>
      <c r="OV161" s="12">
        <f t="array" ref="OV161">INDEX(OU:OU,MIN(IF(ISNUMBER(OU161:OU357),ROW(OU161:OU357),"")))</f>
        <v>0</v>
      </c>
      <c r="OW161" s="12">
        <f>IF('Données projet'!$A$538&gt;35,OW160+OV161-PE160,IF($A161&lt;'Données projet'!$A$538,$CQ$205^$A161,IF($A161='Données projet'!$A$538,'Données projet'!$B$538,OW160+OV161-PE160)))</f>
        <v>0</v>
      </c>
      <c r="OX161" s="17" t="e">
        <f>OW161*VLOOKUP('Données projet'!$B$28,Paramètres!$A$1:$I$89,3,0)*VLOOKUP('Données projet'!$B$28,Paramètres!$A$1:$I$89,5,0)</f>
        <v>#N/A</v>
      </c>
      <c r="OY161" s="13" t="e">
        <f t="shared" si="324"/>
        <v>#N/A</v>
      </c>
      <c r="OZ161" s="14" t="e">
        <f t="shared" si="281"/>
        <v>#N/A</v>
      </c>
      <c r="PA161" s="59" t="e">
        <f t="shared" si="282"/>
        <v>#N/A</v>
      </c>
      <c r="PB161" s="20" t="e">
        <f ca="1">AVERAGE(OFFSET($PA$3,0,0,'Données projet'!$E$28+1,1))-AVERAGE(OFFSET($H$3,0,0,'Données projet'!$E$28+1,1))</f>
        <v>#N/A</v>
      </c>
      <c r="PC161" s="59" t="e">
        <f t="shared" si="325"/>
        <v>#N/A</v>
      </c>
      <c r="PD161" s="15">
        <f>IF(ISNA(VLOOKUP($A161,'Données projet'!$A$538:$I$558,3,0)),0,VLOOKUP($A161,'Données projet'!$A$538:$I$558,3,0))</f>
        <v>0</v>
      </c>
      <c r="PE161" s="15">
        <f>IF(ISNA(VLOOKUP($A161,'Données projet'!$A$538:$I$558,4,0)),0,VLOOKUP($A161,'Données projet'!$A$538:$I$558,4,0))</f>
        <v>0</v>
      </c>
      <c r="PF161" s="16">
        <f>IF(ISNA(VLOOKUP($A161,'Données projet'!$A$538:$I$558,5,0)),0%,VLOOKUP($A161,'Données projet'!$A$538:$I$558,5,0)*VLOOKUP('Données projet'!$B$28,Paramètres!$A$1:$I$89,7,0))</f>
        <v>0</v>
      </c>
      <c r="PG161" s="16">
        <f>IF(ISNA(VLOOKUP($A161,'Données projet'!$A$538:$I$558,6,0)),0%,VLOOKUP($A161,'Données projet'!$A$538:$I$558,6,0)*VLOOKUP('Données projet'!$B$28,Paramètres!$A$1:$I$89,7,0))</f>
        <v>0</v>
      </c>
      <c r="PH161" s="16">
        <f>IF(ISNA(VLOOKUP($A161,'Données projet'!$A$538:$I$558,7,0)),0%,VLOOKUP($A161,'Données projet'!$A$538:$I$558,7,0))</f>
        <v>0</v>
      </c>
      <c r="PI161" s="21" t="e">
        <f>EXP(-LN(2)/35)*PI160+(1-EXP(-LN(2)/35))/(LN(2)/35)*PE161*PF161*VLOOKUP('Données projet'!$B$28,Paramètres!$A$1:$I$89,3,0)*0.475*44/12</f>
        <v>#N/A</v>
      </c>
      <c r="PJ161" s="21" t="e">
        <f>EXP(-LN(2)/25)*PJ160+(1-EXP(-LN(2)/25))/(LN(2)/25)*Calculateur!PE161*Calculateur!PG161*VLOOKUP('Données projet'!$B$28,Paramètres!$A$1:$I$89,3,0)*0.475*44/12</f>
        <v>#N/A</v>
      </c>
      <c r="PK161" s="21" t="e">
        <f>EXP(-LN(2)/2)*PK160+(1-EXP(-LN(2)/2))/(LN(2)/2)*PE161*PH161*VLOOKUP('Données projet'!$B$28,Paramètres!$A$1:$I$89,3,0)*0.475*44/12</f>
        <v>#N/A</v>
      </c>
      <c r="PL161" s="22" t="e">
        <f t="shared" si="283"/>
        <v>#N/A</v>
      </c>
    </row>
    <row r="162" spans="1:428" x14ac:dyDescent="0.35">
      <c r="A162" s="10">
        <f t="shared" si="326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285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225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projet'!$A$45:$I$65,2,0)</f>
        <v>#N/A</v>
      </c>
      <c r="L162" s="12" t="e">
        <f>VLOOKUP(A162,'Données projet'!$A$45:$I$65,9,0)</f>
        <v>#N/A</v>
      </c>
      <c r="M162" s="12">
        <f t="array" ref="M162">INDEX(L:L,MIN(IF(ISNUMBER(L162:L358),ROW(L162:L358),"")))</f>
        <v>0</v>
      </c>
      <c r="N162" s="13">
        <f>IF('Données projet'!$A$46&gt;35,N161+M162-V161,IF(A162&lt;'Données projet'!$A$46,$K$205^A162,IF(A162='Données projet'!$A$46,'Données projet'!$B$46,N161+M162-V161)))</f>
        <v>-1.1368683772161603E-13</v>
      </c>
      <c r="O162" s="13">
        <f>N162*VLOOKUP('Données projet'!$B$9,Paramètres!$A$1:$I$89,3,0)*VLOOKUP('Données projet'!$B$9,Paramètres!$A$1:$I$89,5,0)</f>
        <v>-6.3550942286383367E-14</v>
      </c>
      <c r="P162" s="13" t="e">
        <f t="shared" si="286"/>
        <v>#NUM!</v>
      </c>
      <c r="Q162" s="20" t="e">
        <f t="shared" si="327"/>
        <v>#NUM!</v>
      </c>
      <c r="R162" s="59" t="e">
        <f t="shared" si="224"/>
        <v>#NUM!</v>
      </c>
      <c r="S162" s="59">
        <f ca="1">AVERAGE(OFFSET($R$3,0,0,'Données projet'!$E$9+1,1))-AVERAGE(OFFSET($H$3,0,0,'Données projet'!$E$9+1,1))</f>
        <v>274.57619581652199</v>
      </c>
      <c r="T162" s="59">
        <f t="shared" si="287"/>
        <v>366.15117322598775</v>
      </c>
      <c r="U162" s="15">
        <f>IF(ISNA(VLOOKUP(A162,'Données projet'!$A$45:$I$65,3,0)),0,VLOOKUP(A162,'Données projet'!$A$45:$I$65,3,0))</f>
        <v>0</v>
      </c>
      <c r="V162" s="15">
        <f>IF(ISNA(VLOOKUP(A162,'Données projet'!$A$45:$I$65,4,0)),0,VLOOKUP(A162,'Données projet'!$A$45:$I$65,4,0))</f>
        <v>0</v>
      </c>
      <c r="W162" s="16">
        <f>IF(ISNA(VLOOKUP(A162,'Données projet'!$A$45:$I$65,5,0)),0%,VLOOKUP(A162,'Données projet'!$A$45:$I$65,5,0)*VLOOKUP('Données projet'!$B$9,Paramètres!$A$1:$I$89,7,0))</f>
        <v>0</v>
      </c>
      <c r="X162" s="16">
        <f>IF(ISNA(VLOOKUP(A162,'Données projet'!$A$45:$I$65,6,0)),0%,VLOOKUP(A162,'Données projet'!$A$45:$I$65,6,0)*VLOOKUP('Données projet'!$B$9,Paramètres!$A$1:$I$89,7,0))</f>
        <v>0</v>
      </c>
      <c r="Y162" s="16">
        <f>IF(ISNA(VLOOKUP(A162,'Données projet'!$A$45:$I$65,7,0)),0%,VLOOKUP(A162,'Données projet'!$A$45:$I$65,7,0))</f>
        <v>0</v>
      </c>
      <c r="Z162" s="21">
        <f>EXP(-LN(2)/35)*Z161+(1-EXP(-LN(2)/35))/(LN(2)/35)*V162*W162*VLOOKUP('Données projet'!$B$9,Paramètres!$A$1:$I$89,3,0)*0.475*44/12</f>
        <v>28.898823548566064</v>
      </c>
      <c r="AA162" s="21">
        <f>EXP(-LN(2)/25)*AA161+(1-EXP(-LN(2)/25))/(LN(2)/25)*Calculateur!V162*Calculateur!X162*VLOOKUP('Données projet'!$B$9,Paramètres!$A$1:$I$89,3,0)*0.475*44/12</f>
        <v>3.2225198890925282</v>
      </c>
      <c r="AB162" s="21">
        <f>EXP(-LN(2)/2)*AB161+(1-EXP(-LN(2)/2))/(LN(2)/2)*V162*Y162*VLOOKUP('Données projet'!$B$9,Paramètres!$A$1:$I$89,3,0)*0.475*44/12</f>
        <v>7.5853332513170442E-15</v>
      </c>
      <c r="AC162" s="22">
        <f t="shared" si="328"/>
        <v>32.121343437658602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projet'!$A$71:$I$91,2,0)</f>
        <v>#N/A</v>
      </c>
      <c r="AG162" s="12" t="e">
        <f>VLOOKUP(A162,'Données projet'!$A$71:$I$91,9,0)</f>
        <v>#N/A</v>
      </c>
      <c r="AH162" s="12">
        <f t="array" ref="AH162">INDEX(AG:AG,MIN(IF(ISNUMBER(AG162:AG358),ROW(AG162:AG358),"")))</f>
        <v>0</v>
      </c>
      <c r="AI162" s="13">
        <f>IF('Données projet'!$A$72&gt;35,AI161+AH162-AQ161,IF(A162&lt;'Données projet'!$A$72,$AF$205^A162,IF(A162='Données projet'!$A$72,'Données projet'!$B$72,AI161+AH162-AQ161)))</f>
        <v>5.6843418860808015E-13</v>
      </c>
      <c r="AJ162" s="13">
        <f>AI162*VLOOKUP('Données projet'!$B$10,Paramètres!$A$1:$I$89,3,0)*VLOOKUP('Données projet'!$B$10,Paramètres!$A$1:$I$89,5,0)</f>
        <v>5.1431925385259092E-13</v>
      </c>
      <c r="AK162" s="13">
        <f t="shared" si="329"/>
        <v>6.3855359115685756E-12</v>
      </c>
      <c r="AL162" s="20">
        <f t="shared" si="330"/>
        <v>1.2017247746441865E-11</v>
      </c>
      <c r="AM162" s="59">
        <f t="shared" si="228"/>
        <v>293.33333333334531</v>
      </c>
      <c r="AN162" s="59">
        <f ca="1">AVERAGE(OFFSET($AM$3,0,0,'Données projet'!$E$10+1,1))-AVERAGE(OFFSET($H$3,0,0,'Données projet'!$E$10+1,1))</f>
        <v>270.87836509222456</v>
      </c>
      <c r="AO162" s="59">
        <f t="shared" si="289"/>
        <v>205.24998237949734</v>
      </c>
      <c r="AP162" s="15">
        <f>IF(ISNA(VLOOKUP(A162,'Données projet'!$A$71:$I$91,3,0)),0,VLOOKUP(A162,'Données projet'!$A$71:$I$91,3,0))</f>
        <v>0</v>
      </c>
      <c r="AQ162" s="15">
        <f>IF(ISNA(VLOOKUP(A162,'Données projet'!$A$71:$I$91,4,0)),0,VLOOKUP(A162,'Données projet'!$A$71:$I$91,4,0))</f>
        <v>0</v>
      </c>
      <c r="AR162" s="16">
        <f>IF(ISNA(VLOOKUP(A162,'Données projet'!$A$71:$I$91,5,0)),0%,VLOOKUP(A162,'Données projet'!$A$71:$I$91,5,0)*VLOOKUP('Données projet'!$B$10,Paramètres!$A$1:$I$89,7,0))</f>
        <v>0</v>
      </c>
      <c r="AS162" s="16">
        <f>IF(ISNA(VLOOKUP(A162,'Données projet'!$A$71:$I$91,6,0)),0%,VLOOKUP(A162,'Données projet'!$A$71:$I$91,6,0)*VLOOKUP('Données projet'!$B$10,Paramètres!$A$1:$I$89,7,0))</f>
        <v>0</v>
      </c>
      <c r="AT162" s="16">
        <f>IF(ISNA(VLOOKUP(A162,'Données projet'!$A$71:$I$91,7,0)),0%,VLOOKUP(A162,'Données projet'!$A$71:$I$91,7,0))</f>
        <v>0</v>
      </c>
      <c r="AU162" s="21">
        <f>EXP(-LN(2)/35)*AU161+(1-EXP(-LN(2)/35))/(LN(2)/35)*AQ162*AR162*VLOOKUP('Données projet'!$B$10,Paramètres!$A$1:$I$89,3,0)*0.475*44/12</f>
        <v>98.205565177068038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331"/>
        <v>98.205565177068038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projet'!$A$97:$I$117,2,0)</f>
        <v>#N/A</v>
      </c>
      <c r="BB162" s="12" t="e">
        <f>VLOOKUP(A162,'Données projet'!$A$97:$I$117,9,0)</f>
        <v>#N/A</v>
      </c>
      <c r="BC162" s="12">
        <f t="array" ref="BC162">INDEX(BB:BB,MIN(IF(ISNUMBER(BB162:BB358),ROW(BB162:BB358),"")))</f>
        <v>0</v>
      </c>
      <c r="BD162" s="12">
        <f>IF('Données projet'!$A$98&gt;35,BD161+BC162-BL161,IF(A162&lt;'Données projet'!$A$98,$BA$205^A162,IF(A162='Données projet'!$A$98,'Données projet'!$B$98,BD161+BC162-BL161)))</f>
        <v>-1.1368683772161603E-13</v>
      </c>
      <c r="BE162" s="13">
        <f>BD162*VLOOKUP('Données projet'!$B$11,Paramètres!$A$1:$I$89,3,0)*VLOOKUP('Données projet'!$B$11,Paramètres!$A$1:$I$89,5,0)</f>
        <v>-5.0249582272954292E-14</v>
      </c>
      <c r="BF162" s="13" t="e">
        <f t="shared" si="332"/>
        <v>#NUM!</v>
      </c>
      <c r="BG162" s="20" t="e">
        <f t="shared" si="333"/>
        <v>#NUM!</v>
      </c>
      <c r="BH162" s="59" t="e">
        <f t="shared" si="231"/>
        <v>#NUM!</v>
      </c>
      <c r="BI162" s="59">
        <f ca="1">AVERAGE(OFFSET($BH$3,0,0,'Données projet'!$E$11+1,1))-AVERAGE(OFFSET($H$3,0,0,'Données projet'!$E$11+1,1))</f>
        <v>211.31057120485542</v>
      </c>
      <c r="BJ162" s="59">
        <f t="shared" si="291"/>
        <v>283.33292006714777</v>
      </c>
      <c r="BK162" s="15">
        <f>IF(ISNA(VLOOKUP(A162,'Données projet'!$A$97:$I$117,3,0)),0,VLOOKUP(A162,'Données projet'!$A$97:$I$117,3,0))</f>
        <v>0</v>
      </c>
      <c r="BL162" s="15">
        <f>IF(ISNA(VLOOKUP(A162,'Données projet'!$A$97:$I$117,4,0)),0,VLOOKUP(A162,'Données projet'!$A$97:$I$117,4,0))</f>
        <v>0</v>
      </c>
      <c r="BM162" s="16">
        <f>IF(ISNA(VLOOKUP(A162,'Données projet'!$A$97:$I$117,5,0)),0%,VLOOKUP(A162,'Données projet'!$A$97:$I$117,5,0)*VLOOKUP('Données projet'!$B$11,Paramètres!$A$1:$I$89,7,0))</f>
        <v>0</v>
      </c>
      <c r="BN162" s="16">
        <f>IF(ISNA(VLOOKUP(A162,'Données projet'!$A$97:$I$117,6,0)),0%,VLOOKUP(A162,'Données projet'!$A$97:$I$117,6,0)*VLOOKUP('Données projet'!$B$11,Paramètres!$A$1:$I$89,7,0))</f>
        <v>0</v>
      </c>
      <c r="BO162" s="16">
        <f>IF(ISNA(VLOOKUP(A162,'Données projet'!$A$97:$I$117,7,0)),0%,VLOOKUP(A162,'Données projet'!$A$97:$I$117,7,0))</f>
        <v>0</v>
      </c>
      <c r="BP162" s="21">
        <f>EXP(-LN(2)/35)*BP161+(1-EXP(-LN(2)/35))/(LN(2)/35)*BL162*BM162*VLOOKUP('Données projet'!$B$11,Paramètres!$A$1:$I$89,3,0)*0.475*44/12</f>
        <v>22.85023257328481</v>
      </c>
      <c r="BQ162" s="21">
        <f>EXP(-LN(2)/25)*BQ161+(1-EXP(-LN(2)/25))/(LN(2)/25)*Calculateur!BL162*Calculateur!BN162*VLOOKUP('Données projet'!$B$11,Paramètres!$A$1:$I$89,3,0)*0.475*44/12</f>
        <v>2.5480389820731606</v>
      </c>
      <c r="BR162" s="21">
        <f>EXP(-LN(2)/2)*BR161+(1-EXP(-LN(2)/2))/(LN(2)/2)*BL162*BO162*VLOOKUP('Données projet'!$B$11,Paramètres!$A$1:$I$89,3,0)*0.475*44/12</f>
        <v>5.9977053615064989E-15</v>
      </c>
      <c r="BS162" s="22">
        <f t="shared" si="334"/>
        <v>25.398271555357979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projet'!$A$123:$I$143,2,0)</f>
        <v>#N/A</v>
      </c>
      <c r="BW162" s="12" t="e">
        <f>VLOOKUP(A162,'Données projet'!$A$123:$I$143,9,0)</f>
        <v>#N/A</v>
      </c>
      <c r="BX162" s="12">
        <f t="array" ref="BX162">INDEX(BW:BW,MIN(IF(ISNUMBER(BW162:BW358),ROW(BW162:BW358),"")))</f>
        <v>0</v>
      </c>
      <c r="BY162" s="12">
        <f>IF('Données projet'!$A$124&gt;35,BY161+BX162-CG161,IF(A162&lt;'Données projet'!$A$124,$BV$205^A162,IF(A162='Données projet'!$A$124,'Données projet'!$B$124,BY161+BX162-CG161)))</f>
        <v>0</v>
      </c>
      <c r="BZ162" s="13">
        <f>BY162*VLOOKUP('Données projet'!$B$12,Paramètres!$A$1:$I$89,3,0)*VLOOKUP('Données projet'!$B$12,Paramètres!$A$1:$I$89,5,0)</f>
        <v>0</v>
      </c>
      <c r="CA162" s="13" t="e">
        <f t="shared" si="335"/>
        <v>#NUM!</v>
      </c>
      <c r="CB162" s="20" t="e">
        <f t="shared" si="336"/>
        <v>#NUM!</v>
      </c>
      <c r="CC162" s="59" t="e">
        <f t="shared" si="234"/>
        <v>#NUM!</v>
      </c>
      <c r="CD162" s="59">
        <f ca="1">AVERAGE(OFFSET($CC$3,0,0,'Données projet'!$E$12+1,1))-AVERAGE(OFFSET($H$3,0,0,'Données projet'!$E$12+1,1))</f>
        <v>322.93502595881938</v>
      </c>
      <c r="CE162" s="59">
        <f t="shared" si="293"/>
        <v>302.67072119588164</v>
      </c>
      <c r="CF162" s="15">
        <f>IF(ISNA(VLOOKUP(A162,'Données projet'!$A$123:$I$143,3,0)),0,VLOOKUP(A162,'Données projet'!$A$123:$I$143,3,0))</f>
        <v>0</v>
      </c>
      <c r="CG162" s="15">
        <f>IF(ISNA(VLOOKUP(A162,'Données projet'!$A$123:$I$143,4,0)),0,VLOOKUP(A162,'Données projet'!$A$123:$I$143,4,0))</f>
        <v>0</v>
      </c>
      <c r="CH162" s="16">
        <f>IF(ISNA(VLOOKUP(A162,'Données projet'!$A$123:$I$143,5,0)),0%,VLOOKUP(A162,'Données projet'!$A$123:$I$143,5,0)*VLOOKUP('Données projet'!$B$12,Paramètres!$A$1:$I$89,7,0))</f>
        <v>0</v>
      </c>
      <c r="CI162" s="16">
        <f>IF(ISNA(VLOOKUP(A162,'Données projet'!$A$123:$I$143,6,0)),0%,VLOOKUP(A162,'Données projet'!$A$123:$I$143,6,0)*VLOOKUP('Données projet'!$B$12,Paramètres!$A$1:$I$89,7,0))</f>
        <v>0</v>
      </c>
      <c r="CJ162" s="16">
        <f>IF(ISNA(VLOOKUP(A162,'Données projet'!$A$123:$I$143,7,0)),0%,VLOOKUP(A162,'Données projet'!$A$123:$I$143,7,0))</f>
        <v>0</v>
      </c>
      <c r="CK162" s="21">
        <f>EXP(-LN(2)/35)*CK161+(1-EXP(-LN(2)/35))/(LN(2)/35)*CG162*CH162*VLOOKUP('Données projet'!$B$12,Paramètres!$A$1:$I$89,3,0)*0.475*44/12</f>
        <v>36.405941887187872</v>
      </c>
      <c r="CL162" s="21">
        <f>EXP(-LN(2)/25)*CL161+(1-EXP(-LN(2)/25))/(LN(2)/25)*Calculateur!CG162*Calculateur!CI162*VLOOKUP('Données projet'!$B$12,Paramètres!$A$1:$I$89,3,0)*0.475*44/12</f>
        <v>8.1552664055125366</v>
      </c>
      <c r="CM162" s="21">
        <f>EXP(-LN(2)/2)*CM161+(1-EXP(-LN(2)/2))/(LN(2)/2)*CG162*CJ162*VLOOKUP('Données projet'!$B$12,Paramètres!$A$1:$I$89,3,0)*0.475*44/12</f>
        <v>0</v>
      </c>
      <c r="CN162" s="22">
        <f t="shared" si="337"/>
        <v>44.561208292700407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projet'!$A$149:$I$169,2,0)</f>
        <v>#N/A</v>
      </c>
      <c r="CR162" s="12" t="e">
        <f>VLOOKUP(A162,'Données projet'!$A$149:$I$169,9,0)</f>
        <v>#N/A</v>
      </c>
      <c r="CS162" s="12">
        <f t="array" ref="CS162">INDEX(CR:CR,MIN(IF(ISNUMBER(CR162:CR358),ROW(CR162:CR358),"")))</f>
        <v>1.1618589743589709</v>
      </c>
      <c r="CT162" s="12">
        <f>IF('Données projet'!$A$150&gt;35,CT161+CS162-DB161,IF(A162&lt;'Données projet'!$A$150,$CQ$205^A162,IF(A162='Données projet'!$A$150,'Données projet'!$B$150,CT161+CS162-DB161)))</f>
        <v>89.041666666666202</v>
      </c>
      <c r="CU162" s="17">
        <f>CT162*VLOOKUP('Données projet'!$B$13,Paramètres!$A$1:$I$89,3,0)*VLOOKUP('Données projet'!$B$13,Paramètres!$A$1:$I$89,5,0)</f>
        <v>90.288249999999536</v>
      </c>
      <c r="CV162" s="13">
        <f t="shared" si="338"/>
        <v>24.634731009832841</v>
      </c>
      <c r="CW162" s="20">
        <f t="shared" si="339"/>
        <v>200.15752525879137</v>
      </c>
      <c r="CX162" s="59">
        <f t="shared" si="237"/>
        <v>493.49085859212471</v>
      </c>
      <c r="CY162" s="59">
        <f ca="1">AVERAGE(OFFSET($CX$3,0,0,'Données projet'!$E$13+1,1))-AVERAGE(OFFSET($H$3,0,0,'Données projet'!$E$13+1,1))</f>
        <v>250.31277422753283</v>
      </c>
      <c r="CZ162" s="59">
        <f t="shared" si="295"/>
        <v>159.20429420478047</v>
      </c>
      <c r="DA162" s="15">
        <f>IF(ISNA(VLOOKUP(A162,'Données projet'!$A$149:$I$169,3,0)),0,VLOOKUP(A162,'Données projet'!$A$149:$I$169,3,0))</f>
        <v>0</v>
      </c>
      <c r="DB162" s="15">
        <f>IF(ISNA(VLOOKUP(A162,'Données projet'!$A$149:$I$169,4,0)),0,VLOOKUP(A162,'Données projet'!$A$149:$I$169,4,0))</f>
        <v>0</v>
      </c>
      <c r="DC162" s="16">
        <f>IF(ISNA(VLOOKUP(A162,'Données projet'!$A$149:$I$169,5,0)),0%,VLOOKUP(A162,'Données projet'!$A$149:$I$169,5,0)*VLOOKUP('Données projet'!$B$13,Paramètres!$A$1:$I$89,7,0))</f>
        <v>0</v>
      </c>
      <c r="DD162" s="16">
        <f>IF(ISNA(VLOOKUP(A162,'Données projet'!$A$149:$I$169,6,0)),0%,VLOOKUP(A162,'Données projet'!$A$149:$I$169,6,0)*VLOOKUP('Données projet'!$B$13,Paramètres!$A$1:$I$89,7,0))</f>
        <v>0</v>
      </c>
      <c r="DE162" s="16">
        <f>IF(ISNA(VLOOKUP(A162,'Données projet'!$A$149:$I$169,7,0)),0%,VLOOKUP(A162,'Données projet'!$A$149:$I$169,7,0))</f>
        <v>0</v>
      </c>
      <c r="DF162" s="21">
        <f>EXP(-LN(2)/35)*DF161+(1-EXP(-LN(2)/35))/(LN(2)/35)*DB162*DC162*VLOOKUP('Données projet'!$B$13,Paramètres!$A$1:$I$89,3,0)*0.475*44/12</f>
        <v>124.49441883622828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340"/>
        <v>124.49441883622828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projet'!$A$175:$I$195,2,0)</f>
        <v>#N/A</v>
      </c>
      <c r="DM162" s="12" t="e">
        <f>VLOOKUP(A162,'Données projet'!$A$175:$I$195,9,0)</f>
        <v>#N/A</v>
      </c>
      <c r="DN162" s="12">
        <f t="array" ref="DN162">INDEX(DM:DM,MIN(IF(ISNUMBER(DM162:DM358),ROW(DM162:DM358),"")))</f>
        <v>0</v>
      </c>
      <c r="DO162" s="12">
        <f>IF('Données projet'!$A$176&gt;35,DO161+DN162-DW161,IF(A162&lt;'Données projet'!$A$176,$DL$205^A162,IF(A162='Données projet'!$A$176,'Données projet'!$B$176,DO161+DN162-DW161)))</f>
        <v>-2.8421709430404007E-13</v>
      </c>
      <c r="DP162" s="17">
        <f>DO162*VLOOKUP('Données projet'!$B$14,Paramètres!$A$1:$I$89,3,0)*VLOOKUP('Données projet'!$B$14,Paramètres!$A$1:$I$89,5,0)</f>
        <v>-2.0838797354372215E-13</v>
      </c>
      <c r="DQ162" s="13" t="e">
        <f t="shared" si="341"/>
        <v>#NUM!</v>
      </c>
      <c r="DR162" s="20" t="e">
        <f t="shared" si="342"/>
        <v>#NUM!</v>
      </c>
      <c r="DS162" s="59" t="e">
        <f t="shared" si="240"/>
        <v>#NUM!</v>
      </c>
      <c r="DT162" s="59">
        <f ca="1">AVERAGE(OFFSET($DS$3,0,0,'Données projet'!$E$14+1,1))-AVERAGE(OFFSET($H$3,0,0,'Données projet'!$E$14+1,1))</f>
        <v>296.91321813251051</v>
      </c>
      <c r="DU162" s="59">
        <f t="shared" si="297"/>
        <v>291.0718079639509</v>
      </c>
      <c r="DV162" s="15">
        <f>IF(ISNA(VLOOKUP(A162,'Données projet'!$A$175:$I$195,3,0)),0,VLOOKUP(A162,'Données projet'!$A$175:$I$195,3,0))</f>
        <v>0</v>
      </c>
      <c r="DW162" s="15">
        <f>IF(ISNA(VLOOKUP(A162,'Données projet'!$A$175:$I$195,4,0)),0,VLOOKUP(A162,'Données projet'!$A$175:$I$195,4,0))</f>
        <v>0</v>
      </c>
      <c r="DX162" s="16">
        <f>IF(ISNA(VLOOKUP(A162,'Données projet'!$A$175:$I$195,5,0)),0%,VLOOKUP(A162,'Données projet'!$A$175:$I$195,5,0)*VLOOKUP('Données projet'!$B$14,Paramètres!$A$1:$I$89,7,0))</f>
        <v>0</v>
      </c>
      <c r="DY162" s="16">
        <f>IF(ISNA(VLOOKUP(A162,'Données projet'!$A$175:$I$195,6,0)),0%,VLOOKUP(A162,'Données projet'!$A$175:$I$195,6,0)*VLOOKUP('Données projet'!$B$14,Paramètres!$A$1:$I$89,7,0))</f>
        <v>0</v>
      </c>
      <c r="DZ162" s="16">
        <f>IF(ISNA(VLOOKUP(A162,'Données projet'!$A$175:$I$195,7,0)),0%,VLOOKUP(A162,'Données projet'!$A$175:$I$195,7,0))</f>
        <v>0</v>
      </c>
      <c r="EA162" s="21">
        <f>EXP(-LN(2)/35)*EA161+(1-EXP(-LN(2)/35))/(LN(2)/35)*DW162*DX162*VLOOKUP('Données projet'!$B$14,Paramètres!$A$1:$I$89,3,0)*0.475*44/12</f>
        <v>36.285036190667491</v>
      </c>
      <c r="EB162" s="21">
        <f>EXP(-LN(2)/25)*EB161+(1-EXP(-LN(2)/25))/(LN(2)/25)*Calculateur!DW162*Calculateur!DY162*VLOOKUP('Données projet'!$B$14,Paramètres!$A$1:$I$89,3,0)*0.475*44/12</f>
        <v>0.59909326653191652</v>
      </c>
      <c r="EC162" s="21">
        <f>EXP(-LN(2)/2)*EC161+(1-EXP(-LN(2)/2))/(LN(2)/2)*DW162*DZ162*VLOOKUP('Données projet'!$B$14,Paramètres!$A$1:$I$89,3,0)*0.475*44/12</f>
        <v>0</v>
      </c>
      <c r="ED162" s="22">
        <f t="shared" si="343"/>
        <v>36.884129457199407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projet'!$A$201:$I$221,2,0)</f>
        <v>#N/A</v>
      </c>
      <c r="EH162" s="12" t="e">
        <f>VLOOKUP(A162,'Données projet'!$A$201:$I$221,9,0)</f>
        <v>#N/A</v>
      </c>
      <c r="EI162" s="12">
        <f t="array" ref="EI162">INDEX(EH:EH,MIN(IF(ISNUMBER(EH162:EH358),ROW(EH162:EH358),"")))</f>
        <v>0</v>
      </c>
      <c r="EJ162" s="12">
        <f>IF('Données projet'!$A$202&gt;35,EJ161+EI162-ER161,IF(A162&lt;'Données projet'!$A$202,$EG$205^A162,IF(A162='Données projet'!$A$202,'Données projet'!$B$202,EJ161+EI162-ER161)))</f>
        <v>5.1159076974727213E-13</v>
      </c>
      <c r="EK162" s="17">
        <f>EJ162*VLOOKUP('Données projet'!$B$15,Paramètres!$A$1:$I$89,3,0)*VLOOKUP('Données projet'!$B$15,Paramètres!$A$1:$I$89,5,0)</f>
        <v>2.3942448024172334E-13</v>
      </c>
      <c r="EL162" s="13">
        <f t="shared" si="344"/>
        <v>3.2492669905861755E-12</v>
      </c>
      <c r="EM162" s="20">
        <f t="shared" si="345"/>
        <v>6.0761376450252565E-12</v>
      </c>
      <c r="EN162" s="59">
        <f t="shared" si="243"/>
        <v>293.3333333333394</v>
      </c>
      <c r="EO162" s="59">
        <f ca="1">AVERAGE(OFFSET($EN$3,0,0,'Données projet'!$E$15+1,1))-AVERAGE(OFFSET($H$3,0,0,'Données projet'!$E$15+1,1))</f>
        <v>147.64256291235483</v>
      </c>
      <c r="EP162" s="59">
        <f t="shared" si="299"/>
        <v>70.859031694091868</v>
      </c>
      <c r="EQ162" s="15">
        <f>IF(ISNA(VLOOKUP(A162,'Données projet'!$A$201:$I$221,3,0)),0,VLOOKUP(A162,'Données projet'!$A$201:$I$221,3,0))</f>
        <v>0</v>
      </c>
      <c r="ER162" s="15">
        <f>IF(ISNA(VLOOKUP(A162,'Données projet'!$A$201:$I$221,4,0)),0,VLOOKUP(A162,'Données projet'!$A$201:$I$221,4,0))</f>
        <v>0</v>
      </c>
      <c r="ES162" s="16">
        <f>IF(ISNA(VLOOKUP(A162,'Données projet'!$A$201:$I$221,5,0)),0%,VLOOKUP(A162,'Données projet'!$A$201:$I$221,5,0)*VLOOKUP('Données projet'!$B$15,Paramètres!$A$1:$I$89,7,0))</f>
        <v>0</v>
      </c>
      <c r="ET162" s="16">
        <f>IF(ISNA(VLOOKUP(A162,'Données projet'!$A$201:$I$221,6,0)),0%,VLOOKUP(A162,'Données projet'!$A$201:$I$221,6,0)*VLOOKUP('Données projet'!$B$15,Paramètres!$A$1:$I$89,7,0))</f>
        <v>0</v>
      </c>
      <c r="EU162" s="16">
        <f>IF(ISNA(VLOOKUP(A162,'Données projet'!$A$201:$I$221,7,0)),0%,VLOOKUP(A162,'Données projet'!$A$201:$I$221,7,0))</f>
        <v>0</v>
      </c>
      <c r="EV162" s="21">
        <f>EXP(-LN(2)/35)*EV161+(1-EXP(-LN(2)/35))/(LN(2)/35)*ER162*ES162*VLOOKUP('Données projet'!$B$15,Paramètres!$A$1:$I$89,3,0)*0.475*44/12</f>
        <v>49.674786500223163</v>
      </c>
      <c r="EW162" s="21">
        <f>EXP(-LN(2)/25)*EW161+(1-EXP(-LN(2)/25))/(LN(2)/25)*Calculateur!ER162*Calculateur!ET162*VLOOKUP('Données projet'!$B$15,Paramètres!$A$1:$I$89,3,0)*0.475*44/12</f>
        <v>8.3118154968656057</v>
      </c>
      <c r="EX162" s="21">
        <f>EXP(-LN(2)/2)*EX161+(1-EXP(-LN(2)/2))/(LN(2)/2)*ER162*EU162*VLOOKUP('Données projet'!$B$15,Paramètres!$A$1:$I$89,3,0)*0.475*44/12</f>
        <v>5.4683355464677091E-7</v>
      </c>
      <c r="EY162" s="22">
        <f t="shared" si="346"/>
        <v>57.986602543922324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projet'!$A$227:$I$247,2,0)</f>
        <v>#N/A</v>
      </c>
      <c r="FC162" s="12" t="e">
        <f>VLOOKUP(A162,'Données projet'!$A$227:$I$247,9,0)</f>
        <v>#N/A</v>
      </c>
      <c r="FD162" s="12">
        <f t="array" ref="FD162">INDEX(FC:FC,MIN(IF(ISNUMBER(FC162:FC358),ROW(FC162:FC358),"")))</f>
        <v>0</v>
      </c>
      <c r="FE162" s="12">
        <f>IF('Données projet'!$A$228&gt;35,FE161+FD162-FM161,IF(A162&lt;'Données projet'!$A$228,$FB$205^A162,IF(A162='Données projet'!$A$228,'Données projet'!$B$228,FE161+FD162-FM161)))</f>
        <v>8.5265128291212022E-14</v>
      </c>
      <c r="FF162" s="17">
        <f>FE162*VLOOKUP('Données projet'!$B$16,Paramètres!$A$1:$I$89,3,0)*VLOOKUP('Données projet'!$B$16,Paramètres!$A$1:$I$89,5,0)</f>
        <v>8.9119112089974823E-14</v>
      </c>
      <c r="FG162" s="13">
        <f t="shared" si="347"/>
        <v>1.3568952080113142E-12</v>
      </c>
      <c r="FH162" s="20">
        <f t="shared" si="348"/>
        <v>2.5184749408430782E-12</v>
      </c>
      <c r="FI162" s="59">
        <f t="shared" si="246"/>
        <v>293.33333333333582</v>
      </c>
      <c r="FJ162" s="59">
        <f ca="1">AVERAGE(OFFSET($FI$3,0,0,'Données projet'!$E$16+1,1))-AVERAGE(OFFSET($H$3,0,0,'Données projet'!$E$16+1,1))</f>
        <v>259.03906550253788</v>
      </c>
      <c r="FK162" s="59">
        <f t="shared" si="301"/>
        <v>235.54542903570831</v>
      </c>
      <c r="FL162" s="15">
        <f>IF(ISNA(VLOOKUP(A162,'Données projet'!$A$227:$I$247,3,0)),0,VLOOKUP(A162,'Données projet'!$A$227:$I$247,3,0))</f>
        <v>0</v>
      </c>
      <c r="FM162" s="15">
        <f>IF(ISNA(VLOOKUP(A162,'Données projet'!$A$227:$I$247,4,0)),0,VLOOKUP(A162,'Données projet'!$A$227:$I$247,4,0))</f>
        <v>0</v>
      </c>
      <c r="FN162" s="16">
        <f>IF(ISNA(VLOOKUP(A162,'Données projet'!$A$227:$I$247,5,0)),0%,VLOOKUP(A162,'Données projet'!$A$227:$I$247,5,0)*VLOOKUP('Données projet'!$B$16,Paramètres!$A$1:$I$89,7,0))</f>
        <v>0</v>
      </c>
      <c r="FO162" s="16">
        <f>IF(ISNA(VLOOKUP(A162,'Données projet'!$A$227:$I$247,6,0)),0%,VLOOKUP(A162,'Données projet'!$A$227:$I$247,6,0)*VLOOKUP('Données projet'!$B$16,Paramètres!$A$1:$I$89,7,0))</f>
        <v>0</v>
      </c>
      <c r="FP162" s="16">
        <f>IF(ISNA(VLOOKUP(A162,'Données projet'!$A$227:$I$247,7,0)),0%,VLOOKUP(A162,'Données projet'!$A$227:$I$247,7,0))</f>
        <v>0</v>
      </c>
      <c r="FQ162" s="21">
        <f>EXP(-LN(2)/35)*FQ161+(1-EXP(-LN(2)/35))/(LN(2)/35)*FM162*FN162*VLOOKUP('Données projet'!$B$16,Paramètres!$A$1:$I$89,3,0)*0.475*44/12</f>
        <v>21.925100754419358</v>
      </c>
      <c r="FR162" s="21">
        <f>EXP(-LN(2)/25)*FR161+(1-EXP(-LN(2)/25))/(LN(2)/25)*Calculateur!FM162*Calculateur!FO162*VLOOKUP('Données projet'!$B$16,Paramètres!$A$1:$I$89,3,0)*0.475*44/12</f>
        <v>11.434353933451307</v>
      </c>
      <c r="FS162" s="21">
        <f>EXP(-LN(2)/2)*FS161+(1-EXP(-LN(2)/2))/(LN(2)/2)*FM162*FP162*VLOOKUP('Données projet'!$B$16,Paramètres!$A$1:$I$89,3,0)*0.475*44/12</f>
        <v>0</v>
      </c>
      <c r="FT162" s="22">
        <f t="shared" si="349"/>
        <v>33.359454687870667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projet'!$A$253:$I$273,2,0)</f>
        <v>#N/A</v>
      </c>
      <c r="FX162" s="12" t="e">
        <f>VLOOKUP(A162,'Données projet'!$A$253:$I$273,9,0)</f>
        <v>#N/A</v>
      </c>
      <c r="FY162" s="12">
        <f t="array" ref="FY162">INDEX(FX:FX,MIN(IF(ISNUMBER(FX162:FX358),ROW(FX162:FX358),"")))</f>
        <v>0</v>
      </c>
      <c r="FZ162" s="12">
        <f>IF('Données projet'!$A$254&gt;35,FZ161+FY162-GH161,IF(A162&lt;'Données projet'!$A$254,$FW$205^A162,IF(A162='Données projet'!$A$254,'Données projet'!$B$254,FZ161+FY162-GH161)))</f>
        <v>-1.7053025658242404E-13</v>
      </c>
      <c r="GA162" s="17">
        <f>FZ162*VLOOKUP('Données projet'!$B$17,Paramètres!$A$1:$I$89,3,0)*VLOOKUP('Données projet'!$B$17,Paramètres!$A$1:$I$89,5,0)</f>
        <v>-1.4897523215040567E-13</v>
      </c>
      <c r="GB162" s="13" t="e">
        <f t="shared" si="350"/>
        <v>#NUM!</v>
      </c>
      <c r="GC162" s="20" t="e">
        <f t="shared" si="351"/>
        <v>#NUM!</v>
      </c>
      <c r="GD162" s="59" t="e">
        <f t="shared" si="249"/>
        <v>#NUM!</v>
      </c>
      <c r="GE162" s="59">
        <f ca="1">AVERAGE(OFFSET($GD$3,0,0,'Données projet'!$E$17+1,1))-AVERAGE(OFFSET($H$3,0,0,'Données projet'!$E$17+1,1))</f>
        <v>245.1983232777614</v>
      </c>
      <c r="GF162" s="59">
        <f t="shared" si="303"/>
        <v>242.34010522344573</v>
      </c>
      <c r="GG162" s="15">
        <f>IF(ISNA(VLOOKUP(A162,'Données projet'!$A$253:$I$273,3,0)),0,VLOOKUP(A162,'Données projet'!$A$253:$I$273,3,0))</f>
        <v>0</v>
      </c>
      <c r="GH162" s="15">
        <f>IF(ISNA(VLOOKUP(A162,'Données projet'!$A$253:$I$273,4,0)),0,VLOOKUP(A162,'Données projet'!$A$253:$I$273,4,0))</f>
        <v>0</v>
      </c>
      <c r="GI162" s="16">
        <f>IF(ISNA(VLOOKUP(A162,'Données projet'!$A$253:$I$273,5,0)),0%,VLOOKUP(A162,'Données projet'!$A$253:$I$273,5,0)*VLOOKUP('Données projet'!$B$17,Paramètres!$A$1:$I$89,7,0))</f>
        <v>0</v>
      </c>
      <c r="GJ162" s="16">
        <f>IF(ISNA(VLOOKUP(A162,'Données projet'!$A$253:$I$273,6,0)),0%,VLOOKUP(A162,'Données projet'!$A$253:$I$273,6,0)*VLOOKUP('Données projet'!$B$17,Paramètres!$A$1:$I$89,7,0))</f>
        <v>0</v>
      </c>
      <c r="GK162" s="16">
        <f>IF(ISNA(VLOOKUP(A162,'Données projet'!$A$253:$I$273,7,0)),0%,VLOOKUP(A162,'Données projet'!$A$253:$I$273,7,0))</f>
        <v>0</v>
      </c>
      <c r="GL162" s="21">
        <f>EXP(-LN(2)/35)*GL161+(1-EXP(-LN(2)/35))/(LN(2)/35)*GH162*GI162*VLOOKUP('Données projet'!$B$17,Paramètres!$A$1:$I$89,3,0)*0.475*44/12</f>
        <v>25.775964111001628</v>
      </c>
      <c r="GM162" s="21">
        <f>EXP(-LN(2)/25)*GM161+(1-EXP(-LN(2)/25))/(LN(2)/25)*Calculateur!GH162*Calculateur!GJ162*VLOOKUP('Données projet'!$B$17,Paramètres!$A$1:$I$89,3,0)*0.475*44/12</f>
        <v>2.4363822636744796</v>
      </c>
      <c r="GN162" s="21">
        <f>EXP(-LN(2)/2)*GN161+(1-EXP(-LN(2)/2))/(LN(2)/2)*GH162*GK162*VLOOKUP('Données projet'!$B$17,Paramètres!$A$1:$I$89,3,0)*0.475*44/12</f>
        <v>0</v>
      </c>
      <c r="GO162" s="21">
        <f t="shared" si="352"/>
        <v>28.212346374676109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projet'!$A$279:$I$299,2,0)</f>
        <v>#N/A</v>
      </c>
      <c r="GS162" s="12" t="e">
        <f>VLOOKUP(A162,'Données projet'!$A$279:$I$299,9,0)</f>
        <v>#N/A</v>
      </c>
      <c r="GT162" s="12">
        <f t="array" ref="GT162">INDEX(GS:GS,MIN(IF(ISNUMBER(GS162:GS358),ROW(GS162:GS358),"")))</f>
        <v>0</v>
      </c>
      <c r="GU162" s="12">
        <f>IF('Données projet'!$A$280&gt;35,GU161+GT162-HC161,IF(A162&lt;'Données projet'!$A$280,$GR$205^A162,IF(A162='Données projet'!$A$280,'Données projet'!$B$280,GU161+GT162-HC161)))</f>
        <v>-1.1368683772161603E-13</v>
      </c>
      <c r="GV162" s="17">
        <f>GU162*VLOOKUP('Données projet'!$B$18,Paramètres!$A$1:$I$89,3,0)*VLOOKUP('Données projet'!$B$18,Paramètres!$A$1:$I$89,5,0)</f>
        <v>-4.5815795601811263E-14</v>
      </c>
      <c r="GW162" s="13" t="e">
        <f t="shared" si="353"/>
        <v>#NUM!</v>
      </c>
      <c r="GX162" s="20" t="e">
        <f t="shared" si="354"/>
        <v>#NUM!</v>
      </c>
      <c r="GY162" s="59" t="e">
        <f t="shared" si="252"/>
        <v>#NUM!</v>
      </c>
      <c r="GZ162" s="59">
        <f ca="1">AVERAGE(OFFSET($GY$3,0,0,'Données projet'!$E$18+1,1))-AVERAGE(OFFSET($H$3,0,0,'Données projet'!$E$18+1,1))</f>
        <v>324.36162935850876</v>
      </c>
      <c r="HA162" s="59">
        <f t="shared" si="305"/>
        <v>265.23571072429735</v>
      </c>
      <c r="HB162" s="15">
        <f>IF(ISNA(VLOOKUP(A162,'Données projet'!$A$279:$I$299,3,0)),0,VLOOKUP(A162,'Données projet'!$A$279:$I$299,3,0))</f>
        <v>0</v>
      </c>
      <c r="HC162" s="15">
        <f>IF(ISNA(VLOOKUP(A162,'Données projet'!$A$279:$I$299,4,0)),0,VLOOKUP(A162,'Données projet'!$A$279:$I$299,4,0))</f>
        <v>0</v>
      </c>
      <c r="HD162" s="16">
        <f>IF(ISNA(VLOOKUP(A162,'Données projet'!$A$279:$I$299,5,0)),0%,VLOOKUP(A162,'Données projet'!$A$279:$I$299,5,0)*VLOOKUP('Données projet'!$B$18,Paramètres!$A$1:$I$89,7,0))</f>
        <v>0</v>
      </c>
      <c r="HE162" s="16">
        <f>IF(ISNA(VLOOKUP(A162,'Données projet'!$A$279:$I$299,6,0)),0%,VLOOKUP(A162,'Données projet'!$A$279:$I$299,6,0)*VLOOKUP('Données projet'!$B$18,Paramètres!$A$1:$I$89,7,0))</f>
        <v>0</v>
      </c>
      <c r="HF162" s="16">
        <f>IF(ISNA(VLOOKUP($A162,'Données projet'!$A$279:$I$299,7,0)),0%,VLOOKUP($A162,'Données projet'!$A$279:$I$299,7,0))</f>
        <v>0</v>
      </c>
      <c r="HG162" s="21">
        <f>EXP(-LN(2)/35)*HG161+(1-EXP(-LN(2)/35))/(LN(2)/35)*HC162*HD162*VLOOKUP('Données projet'!$B$18,Paramètres!$A$1:$I$89,3,0)*0.475*44/12</f>
        <v>49.393485558547724</v>
      </c>
      <c r="HH162" s="21">
        <f>EXP(-LN(2)/25)*HH161+(1-EXP(-LN(2)/25))/(LN(2)/25)*Calculateur!HC162*Calculateur!HE162*VLOOKUP('Données projet'!$B$18,Paramètres!$A$1:$I$89,3,0)*0.475*44/12</f>
        <v>2.7096928632889203</v>
      </c>
      <c r="HI162" s="21">
        <f>EXP(-LN(2)/2)*HI161+(1-EXP(-LN(2)/2))/(LN(2)/2)*HC162*HF162*VLOOKUP('Données projet'!$B$18,Paramètres!$A$1:$I$89,3,0)*0.475*44/12</f>
        <v>1.0993589868532667E-11</v>
      </c>
      <c r="HJ162" s="22">
        <f t="shared" si="355"/>
        <v>52.103178421847637</v>
      </c>
      <c r="HK162" s="74">
        <f>('Scénario référence'!$F$8+'Scénario référence'!$F$9+'Scénario référence'!$B$17+'Scénario référence'!$B$9+'Scénario référence'!$B$10)*70+IF((45+25*(1-EXP(-0.0175*$A162)))&lt;70,'Scénario référence'!$B$16*(45+25*(1-EXP(-0.0175*$A162))),70*'Scénario référence'!$B$16)+IF((32+38*(1-EXP(-0.0175*$A162)))&lt;70,'Scénario référence'!$B$18*(32+38*(1-EXP(-0.0175*$A162))),70*'Scénario référence'!$B$18)</f>
        <v>70</v>
      </c>
      <c r="HL162" s="12">
        <f>IF($A162&gt;30,10,('Scénario référence'!$B$16+'Scénario référence'!$B$17+'Scénario référence'!$B$18+'Scénario référence'!$B$9+'Scénario référence'!$B$10)*$A162*10/30+('Scénario référence'!$F$8+'Scénario référence'!$F$9)*10)</f>
        <v>10</v>
      </c>
      <c r="HM162" s="12" t="e">
        <f>VLOOKUP($A162,'Données projet'!$A$304:$I$324,2,0)</f>
        <v>#N/A</v>
      </c>
      <c r="HN162" s="12" t="e">
        <f>VLOOKUP($A162,'Données projet'!$A$304:$I$324,9,0)</f>
        <v>#N/A</v>
      </c>
      <c r="HO162" s="12">
        <f t="array" ref="HO162">INDEX(HN:HN,MIN(IF(ISNUMBER(HN162:HN358),ROW(HN162:HN358),"")))</f>
        <v>0</v>
      </c>
      <c r="HP162" s="12">
        <f>IF('Données projet'!$A$304&gt;35,HP161+HO162-HX161,IF($A162&lt;'Données projet'!$A$304,$CQ$205^$A162,IF($A162='Données projet'!$A$304,'Données projet'!$B$304,HP161+HO162-HX161)))</f>
        <v>0</v>
      </c>
      <c r="HQ162" s="17">
        <f>HP162*VLOOKUP('Données projet'!$B$19,Paramètres!$A$1:$I$89,3,0)*VLOOKUP('Données projet'!$B$19,Paramètres!$A$1:$I$89,5,0)</f>
        <v>0</v>
      </c>
      <c r="HR162" s="13" t="e">
        <f t="shared" si="306"/>
        <v>#NUM!</v>
      </c>
      <c r="HS162" s="14" t="e">
        <f t="shared" si="254"/>
        <v>#NUM!</v>
      </c>
      <c r="HT162" s="59" t="e">
        <f t="shared" si="255"/>
        <v>#NUM!</v>
      </c>
      <c r="HU162" s="59">
        <f ca="1">AVERAGE(OFFSET(HT$3,0,0,'Données projet'!$E$19+1,1))-AVERAGE(OFFSET($H$3,0,0,'Données projet'!$E$19+1,1))</f>
        <v>91.60721429656013</v>
      </c>
      <c r="HV162" s="59">
        <f t="shared" si="307"/>
        <v>258.94957804210856</v>
      </c>
      <c r="HW162" s="15">
        <f>IF(ISNA(VLOOKUP($A162,'Données projet'!$A$304:$I$324,3,0)),0,VLOOKUP($A162,'Données projet'!$A$304:$I$324,3,0))</f>
        <v>0</v>
      </c>
      <c r="HX162" s="15">
        <f>IF(ISNA(VLOOKUP($A162,'Données projet'!$A$304:$I$324,4,0)),0,VLOOKUP($A162,'Données projet'!$A$304:$I$324,4,0))</f>
        <v>0</v>
      </c>
      <c r="HY162" s="16">
        <f>IF(ISNA(VLOOKUP($A162,'Données projet'!$A$304:$I$324,5,0)),0%,VLOOKUP($A162,'Données projet'!$A$304:$I$324,5,0)*VLOOKUP('Données projet'!$B$19,Paramètres!$A$1:$I$89,7,0))</f>
        <v>0</v>
      </c>
      <c r="HZ162" s="16">
        <f>IF(ISNA(VLOOKUP($A162,'Données projet'!$A$304:$I$324,6,0)),0%,VLOOKUP($A162,'Données projet'!$A$304:$I$324,6,0)*VLOOKUP('Données projet'!$B$19,Paramètres!$A$1:$I$89,7,0))</f>
        <v>0</v>
      </c>
      <c r="IA162" s="16">
        <f>IF(ISNA(VLOOKUP($A162,'Données projet'!$A$304:$I$324,7,0)),0%,VLOOKUP($A162,'Données projet'!$A$304:$I$324,7,0))</f>
        <v>0</v>
      </c>
      <c r="IB162" s="21">
        <f>EXP(-LN(2)/35)*IB161+(1-EXP(-LN(2)/35))/(LN(2)/35)*HX162*HY162*VLOOKUP('Données projet'!$B$19,Paramètres!$A$1:$I$89,3,0)*0.475*44/12</f>
        <v>3.8337551402223116</v>
      </c>
      <c r="IC162" s="21">
        <f>EXP(-LN(2)/25)*IC161+(1-EXP(-LN(2)/25))/(LN(2)/25)*Calculateur!HX162*Calculateur!HZ162*VLOOKUP('Données projet'!$B$19,Paramètres!$A$1:$I$89,3,0)*0.475*44/12</f>
        <v>0.27207997682125162</v>
      </c>
      <c r="ID162" s="21">
        <f>EXP(-LN(2)/2)*ID161+(1-EXP(-LN(2)/2))/(LN(2)/2)*HX162*IA162*VLOOKUP('Données projet'!$B$19,Paramètres!$A$1:$I$89,3,0)*0.475*44/12</f>
        <v>2.1958766958222317E-20</v>
      </c>
      <c r="IE162" s="22">
        <f t="shared" si="256"/>
        <v>4.1058351170435632</v>
      </c>
      <c r="IF162" s="74">
        <f>('Scénario référence'!$F$8+'Scénario référence'!$F$9+'Scénario référence'!$B$17+'Scénario référence'!$B$9+'Scénario référence'!$B$10)*70+IF((45+25*(1-EXP(-0.0175*$A162)))&lt;70,'Scénario référence'!$B$16*(45+25*(1-EXP(-0.0175*$A162))),70*'Scénario référence'!$B$16)+IF((32+38*(1-EXP(-0.0175*$A162)))&lt;70,'Scénario référence'!$B$18*(32+38*(1-EXP(-0.0175*$A162))),70*'Scénario référence'!$B$18)</f>
        <v>70</v>
      </c>
      <c r="IG162" s="12">
        <f>IF($A162&gt;30,10,('Scénario référence'!$B$16+'Scénario référence'!$B$17+'Scénario référence'!$B$18+'Scénario référence'!$B$9+'Scénario référence'!$B$10)*$A162*10/30+('Scénario référence'!$F$8+'Scénario référence'!$F$9)*10)</f>
        <v>10</v>
      </c>
      <c r="IH162" s="12" t="e">
        <f>VLOOKUP($A162,'Données projet'!$A$330:$I$350,2,0)</f>
        <v>#N/A</v>
      </c>
      <c r="II162" s="12" t="e">
        <f>VLOOKUP($A162,'Données projet'!$A$330:$I$350,9,0)</f>
        <v>#N/A</v>
      </c>
      <c r="IJ162" s="12">
        <f t="array" ref="IJ162">INDEX(II:II,MIN(IF(ISNUMBER(II162:II358),ROW(II162:II358),"")))</f>
        <v>0</v>
      </c>
      <c r="IK162" s="12">
        <f>IF('Données projet'!$A$330&gt;35,IK161+IJ162-IS161,IF($A162&lt;'Données projet'!$A$330,$CQ$205^$A162,IF($A162='Données projet'!$A$330,'Données projet'!$B$330,IK161+IJ162-IS161)))</f>
        <v>0</v>
      </c>
      <c r="IL162" s="17">
        <f>IK162*VLOOKUP('Données projet'!$B$20,Paramètres!$A$1:$I$89,3,0)*VLOOKUP('Données projet'!$B$20,Paramètres!$A$1:$I$89,5,0)</f>
        <v>0</v>
      </c>
      <c r="IM162" s="13" t="e">
        <f t="shared" si="308"/>
        <v>#NUM!</v>
      </c>
      <c r="IN162" s="20" t="e">
        <f t="shared" si="257"/>
        <v>#NUM!</v>
      </c>
      <c r="IO162" s="59" t="e">
        <f t="shared" si="258"/>
        <v>#NUM!</v>
      </c>
      <c r="IP162" s="59">
        <f ca="1">AVERAGE(OFFSET(IO$3,0,0,'Données projet'!$E$20+1,1))-AVERAGE(OFFSET($H$3,0,0,'Données projet'!$E$20+1,1))</f>
        <v>91.60721429656013</v>
      </c>
      <c r="IQ162" s="59">
        <f t="shared" si="309"/>
        <v>258.94957804210856</v>
      </c>
      <c r="IR162" s="15">
        <f>IF(ISNA(VLOOKUP($A162,'Données projet'!$A$330:$I$350,3,0)),0,VLOOKUP($A162,'Données projet'!$A$330:$I$350,3,0))</f>
        <v>0</v>
      </c>
      <c r="IS162" s="15">
        <f>IF(ISNA(VLOOKUP($A162,'Données projet'!$A$330:$I$350,4,0)),0,VLOOKUP($A162,'Données projet'!$A$330:$I$350,4,0))</f>
        <v>0</v>
      </c>
      <c r="IT162" s="16">
        <f>IF(ISNA(VLOOKUP($A162,'Données projet'!$A$330:$I$350,5,0)),0%,VLOOKUP($A162,'Données projet'!$A$330:$I$350,5,0)*VLOOKUP('Données projet'!$B$20,Paramètres!$A$1:$I$89,7,0))</f>
        <v>0</v>
      </c>
      <c r="IU162" s="16">
        <f>IF(ISNA(VLOOKUP($A162,'Données projet'!$A$330:$I$350,6,0)),0%,VLOOKUP($A162,'Données projet'!$A$330:$I$350,6,0)*VLOOKUP('Données projet'!$B$20,Paramètres!$A$1:$I$89,7,0))</f>
        <v>0</v>
      </c>
      <c r="IV162" s="16">
        <f>IF(ISNA(VLOOKUP($A162,'Données projet'!$A$330:$I$350,7,0)),0%,VLOOKUP($A162,'Données projet'!$A$330:$I$350,7,0))</f>
        <v>0</v>
      </c>
      <c r="IW162" s="21">
        <f>EXP(-LN(2)/35)*IW161+(1-EXP(-LN(2)/35))/(LN(2)/35)*IS162*IT162*VLOOKUP('Données projet'!$B$20,Paramètres!$A$1:$I$89,3,0)*0.475*44/12</f>
        <v>3.8337551402223116</v>
      </c>
      <c r="IX162" s="21">
        <f>EXP(-LN(2)/25)*IX161+(1-EXP(-LN(2)/25))/(LN(2)/25)*Calculateur!IS162*Calculateur!IU162*VLOOKUP('Données projet'!$B$20,Paramètres!$A$1:$I$89,3,0)*0.475*44/12</f>
        <v>0.27207997682125162</v>
      </c>
      <c r="IY162" s="21">
        <f>EXP(-LN(2)/2)*IY161+(1-EXP(-LN(2)/2))/(LN(2)/2)*IS162*IV162*VLOOKUP('Données projet'!$B$20,Paramètres!$A$1:$I$89,3,0)*0.475*44/12</f>
        <v>2.1958766958222317E-20</v>
      </c>
      <c r="IZ162" s="22">
        <f t="shared" si="259"/>
        <v>4.1058351170435632</v>
      </c>
      <c r="JA162" s="74">
        <f>('Scénario référence'!$F$8+'Scénario référence'!$F$9+'Scénario référence'!$B$17+'Scénario référence'!$B$9+'Scénario référence'!$B$10)*70+IF((45+25*(1-EXP(-0.0175*$A162)))&lt;70,'Scénario référence'!$B$16*(45+25*(1-EXP(-0.0175*$A162))),70*'Scénario référence'!$B$16)+IF((32+38*(1-EXP(-0.0175*$A162)))&lt;70,'Scénario référence'!$B$18*(32+38*(1-EXP(-0.0175*$A162))),70*'Scénario référence'!$B$18)</f>
        <v>70</v>
      </c>
      <c r="JB162" s="12">
        <f>IF($A162&gt;30,10,('Scénario référence'!$B$16+'Scénario référence'!$B$17+'Scénario référence'!$B$18+'Scénario référence'!$B$9+'Scénario référence'!$B$10)*$A162*10/30+('Scénario référence'!$F$8+'Scénario référence'!$F$9)*10)</f>
        <v>10</v>
      </c>
      <c r="JC162" s="12" t="e">
        <f>VLOOKUP($A162,'Données projet'!$A$356:$I$376,2,0)</f>
        <v>#N/A</v>
      </c>
      <c r="JD162" s="12" t="e">
        <f>VLOOKUP($A162,'Données projet'!$A$356:$I$376,9,0)</f>
        <v>#N/A</v>
      </c>
      <c r="JE162" s="12">
        <f t="array" ref="JE162">INDEX(JD:JD,MIN(IF(ISNUMBER(JD162:JD358),ROW(JD162:JD358),"")))</f>
        <v>0</v>
      </c>
      <c r="JF162" s="12">
        <f>IF('Données projet'!$A$356&gt;35,JF161+JE162-JN161,IF($A162&lt;'Données projet'!$A$356,$CQ$205^$A162,IF($A162='Données projet'!$A$356,'Données projet'!$B$356,JF161+JE162-JN161)))</f>
        <v>-1.3073986337985843E-12</v>
      </c>
      <c r="JG162" s="17">
        <f>JF162*VLOOKUP('Données projet'!$B$21,Paramètres!$A$1:$I$89,3,0)*VLOOKUP('Données projet'!$B$21,Paramètres!$A$1:$I$89,5,0)</f>
        <v>-1.0605617717374117E-12</v>
      </c>
      <c r="JH162" s="13" t="e">
        <f t="shared" si="310"/>
        <v>#NUM!</v>
      </c>
      <c r="JI162" s="20" t="e">
        <f t="shared" si="260"/>
        <v>#NUM!</v>
      </c>
      <c r="JJ162" s="59" t="e">
        <f t="shared" si="261"/>
        <v>#NUM!</v>
      </c>
      <c r="JK162" s="59">
        <f ca="1">AVERAGE(OFFSET($JJ$3,0,0,'Données projet'!$E$22+1,1))-AVERAGE(OFFSET($H$3,0,0,'Données projet'!$E$22+1,1))</f>
        <v>353.35574633294613</v>
      </c>
      <c r="JL162" s="59">
        <f t="shared" si="311"/>
        <v>170.36796666474726</v>
      </c>
      <c r="JM162" s="15">
        <f>IF(ISNA(VLOOKUP($A162,'Données projet'!$A$356:$I$376,3,0)),0,VLOOKUP($A162,'Données projet'!$A$356:$I$376,3,0))</f>
        <v>0</v>
      </c>
      <c r="JN162" s="15">
        <f>IF(ISNA(VLOOKUP($A162,'Données projet'!$A$356:$I$376,4,0)),0,VLOOKUP($A162,'Données projet'!$A$356:$I$376,4,0))</f>
        <v>0</v>
      </c>
      <c r="JO162" s="16">
        <f>IF(ISNA(VLOOKUP($A162,'Données projet'!$A$356:$I$376,5,0)),0%,VLOOKUP($A162,'Données projet'!$A$356:$I$376,5,0)*VLOOKUP('Données projet'!$B$21,Paramètres!$A$1:$I$89,7,0))</f>
        <v>0</v>
      </c>
      <c r="JP162" s="16">
        <f>IF(ISNA(VLOOKUP($A162,'Données projet'!$A$356:$I$376,6,0)),0%,VLOOKUP($A162,'Données projet'!$A$356:$I$376,6,0)*VLOOKUP('Données projet'!$B$21,Paramètres!$A$1:$I$89,7,0))</f>
        <v>0</v>
      </c>
      <c r="JQ162" s="16">
        <f>IF(ISNA(VLOOKUP($A162,'Données projet'!$A$356:$I$376,7,0)),0%,VLOOKUP($A162,'Données projet'!$A$356:$I$376,7,0))</f>
        <v>0</v>
      </c>
      <c r="JR162" s="21">
        <f>EXP(-LN(2)/35)*JR161+(1-EXP(-LN(2)/35))/(LN(2)/35)*JN162*JO162*VLOOKUP('Données projet'!$B$21,Paramètres!$A$1:$I$89,3,0)*0.475*44/12</f>
        <v>61.460811506299507</v>
      </c>
      <c r="JS162" s="21">
        <f>EXP(-LN(2)/25)*JS161+(1-EXP(-LN(2)/25))/(LN(2)/25)*Calculateur!JN162*Calculateur!JP162*VLOOKUP('Données projet'!$B$21,Paramètres!$A$1:$I$89,3,0)*0.475*44/12</f>
        <v>59.549151498215309</v>
      </c>
      <c r="JT162" s="21">
        <f>EXP(-LN(2)/2)*JT161+(1-EXP(-LN(2)/2))/(LN(2)/2)*JN162*JQ162*VLOOKUP('Données projet'!$B$21,Paramètres!$A$1:$I$89,3,0)*0.475*44/12</f>
        <v>1.5154591845211174</v>
      </c>
      <c r="JU162" s="18">
        <f t="shared" si="262"/>
        <v>122.52542218903594</v>
      </c>
      <c r="JV162" s="74">
        <f>('Scénario référence'!$F$8+'Scénario référence'!$F$9+'Scénario référence'!$B$17+'Scénario référence'!$B$9+'Scénario référence'!$B$10)*70+IF((45+25*(1-EXP(-0.0175*$A162)))&lt;70,'Scénario référence'!$B$16*(45+25*(1-EXP(-0.0175*$A162))),70*'Scénario référence'!$B$16)+IF((32+38*(1-EXP(-0.0175*$A162)))&lt;70,'Scénario référence'!$B$18*(32+38*(1-EXP(-0.0175*$A162))),70*'Scénario référence'!$B$18)</f>
        <v>70</v>
      </c>
      <c r="JW162" s="12">
        <f>IF($A162&gt;30,10,('Scénario référence'!$B$16+'Scénario référence'!$B$17+'Scénario référence'!$B$18+'Scénario référence'!$B$9+'Scénario référence'!$B$10)*$A162*10/30+('Scénario référence'!$F$8+'Scénario référence'!$F$9)*10)</f>
        <v>10</v>
      </c>
      <c r="JX162" s="12" t="e">
        <f>VLOOKUP($A162,'Données projet'!$A$382:$I$402,2,0)</f>
        <v>#N/A</v>
      </c>
      <c r="JY162" s="12" t="e">
        <f>VLOOKUP($A162,'Données projet'!$A$382:$I$402,9,0)</f>
        <v>#N/A</v>
      </c>
      <c r="JZ162" s="12">
        <f t="array" ref="JZ162">INDEX(JY:JY,MIN(IF(ISNUMBER(JY162:JY358),ROW(JY162:JY358),"")))</f>
        <v>0</v>
      </c>
      <c r="KA162" s="12">
        <f>IF('Données projet'!$A$382&gt;35,KA161+JZ162-KI161,IF($A162&lt;'Données projet'!$A$382,$CQ$205^$A162,IF($A162='Données projet'!$A$382,'Données projet'!$B$382,KA161+JZ162-KI161)))</f>
        <v>5.6843418860808015E-13</v>
      </c>
      <c r="KB162" s="17">
        <f>KA162*VLOOKUP('Données projet'!$B$22,Paramètres!$A$1:$I$89,3,0)*VLOOKUP('Données projet'!$B$22,Paramètres!$A$1:$I$89,5,0)</f>
        <v>3.8130565371830017E-13</v>
      </c>
      <c r="KC162" s="13">
        <f t="shared" si="312"/>
        <v>4.9019074112354236E-12</v>
      </c>
      <c r="KD162" s="20">
        <f t="shared" si="263"/>
        <v>9.2015960881277352E-12</v>
      </c>
      <c r="KE162" s="59">
        <f t="shared" si="264"/>
        <v>293.33333333334252</v>
      </c>
      <c r="KF162" s="59">
        <f ca="1">AVERAGE(OFFSET($KE$3,0,0,'Données projet'!$E$22+1,1))-AVERAGE(OFFSET($H$3,0,0,'Données projet'!$E$22+1,1))</f>
        <v>193.91714772848269</v>
      </c>
      <c r="KG162" s="59">
        <f t="shared" si="313"/>
        <v>159.20429420478047</v>
      </c>
      <c r="KH162" s="15">
        <f>IF(ISNA(VLOOKUP($A162,'Données projet'!$A$382:$I$402,3,0)),0,VLOOKUP($A162,'Données projet'!$A$382:$I$402,3,0))</f>
        <v>0</v>
      </c>
      <c r="KI162" s="15">
        <f>IF(ISNA(VLOOKUP($A162,'Données projet'!$A$382:$I$402,4,0)),0,VLOOKUP($A162,'Données projet'!$A$382:$I$402,4,0))</f>
        <v>0</v>
      </c>
      <c r="KJ162" s="16">
        <f>IF(ISNA(VLOOKUP($A162,'Données projet'!$A$382:$I$402,5,0)),0%,VLOOKUP($A162,'Données projet'!$A$382:$I$402,5,0)*VLOOKUP('Données projet'!$B$22,Paramètres!$A$1:$I$89,7,0))</f>
        <v>0</v>
      </c>
      <c r="KK162" s="16">
        <f>IF(ISNA(VLOOKUP($A162,'Données projet'!$A$382:$I$402,6,0)),0%,VLOOKUP($A162,'Données projet'!$A$382:$I$402,6,0)*VLOOKUP('Données projet'!$B$22,Paramètres!$A$1:$I$89,7,0))</f>
        <v>0</v>
      </c>
      <c r="KL162" s="16">
        <f>IF(ISNA(VLOOKUP($A162,'Données projet'!$A$382:$I$402,7,0)),0%,VLOOKUP($A162,'Données projet'!$A$382:$I$402,7,0))</f>
        <v>0</v>
      </c>
      <c r="KM162" s="21">
        <f>EXP(-LN(2)/35)*KM161+(1-EXP(-LN(2)/35))/(LN(2)/35)*KI162*KJ162*VLOOKUP('Données projet'!$B$22,Paramètres!$A$1:$I$89,3,0)*0.475*44/12</f>
        <v>89.739568179044923</v>
      </c>
      <c r="KN162" s="21">
        <f>EXP(-LN(2)/25)*KN161+(1-EXP(-LN(2)/25))/(LN(2)/25)*Calculateur!KI162*Calculateur!KK162*VLOOKUP('Données projet'!$B$22,Paramètres!$A$1:$I$89,3,0)*0.475*44/12</f>
        <v>0</v>
      </c>
      <c r="KO162" s="21">
        <f>EXP(-LN(2)/2)*KO161+(1-EXP(-LN(2)/2))/(LN(2)/2)*KI162*KL162*VLOOKUP('Données projet'!$B$22,Paramètres!$A$1:$I$89,3,0)*0.475*44/12</f>
        <v>0</v>
      </c>
      <c r="KP162" s="22">
        <f t="shared" si="265"/>
        <v>89.739568179044923</v>
      </c>
      <c r="KQ162" s="74">
        <f>('Scénario référence'!$F$8+'Scénario référence'!$F$9+'Scénario référence'!$B$17+'Scénario référence'!$B$9+'Scénario référence'!$B$10)*70+IF((45+25*(1-EXP(-0.0175*$A162)))&lt;70,'Scénario référence'!$B$16*(45+25*(1-EXP(-0.0175*$A162))),70*'Scénario référence'!$B$16)+IF((32+38*(1-EXP(-0.0175*$A162)))&lt;70,'Scénario référence'!$B$18*(32+38*(1-EXP(-0.0175*$A162))),70*'Scénario référence'!$B$18)</f>
        <v>70</v>
      </c>
      <c r="KR162" s="12">
        <f>IF($A162&gt;30,10,('Scénario référence'!$B$16+'Scénario référence'!$B$17+'Scénario référence'!$B$18+'Scénario référence'!$B$9+'Scénario référence'!$B$10)*$A162*10/30+('Scénario référence'!$F$8+'Scénario référence'!$F$9)*10)</f>
        <v>10</v>
      </c>
      <c r="KS162" s="12" t="e">
        <f>VLOOKUP($A162,'Données projet'!$A$408:$I$428,2,0)</f>
        <v>#N/A</v>
      </c>
      <c r="KT162" s="12" t="e">
        <f>VLOOKUP($A162,'Données projet'!$A$408:$I$428,9,0)</f>
        <v>#N/A</v>
      </c>
      <c r="KU162" s="12">
        <f t="array" ref="KU162">INDEX(KT:KT,MIN(IF(ISNUMBER(KT162:KT358),ROW(KT162:KT358),"")))</f>
        <v>0</v>
      </c>
      <c r="KV162" s="12">
        <f>IF('Données projet'!$A$408&gt;35,KV161+KU162-LD161,IF($A162&lt;'Données projet'!$A$408,$CQ$205^$A162,IF($A162='Données projet'!$A$408,'Données projet'!$B$408,KV161+KU162-LD161)))</f>
        <v>-1.1368683772161603E-13</v>
      </c>
      <c r="KW162" s="17">
        <f>KV162*VLOOKUP('Données projet'!$B$23,Paramètres!$A$1:$I$89,3,0)*VLOOKUP('Données projet'!$B$23,Paramètres!$A$1:$I$89,5,0)</f>
        <v>-9.9316821433603781E-14</v>
      </c>
      <c r="KX162" s="13" t="e">
        <f t="shared" si="314"/>
        <v>#NUM!</v>
      </c>
      <c r="KY162" s="14" t="e">
        <f t="shared" si="266"/>
        <v>#NUM!</v>
      </c>
      <c r="KZ162" s="59" t="e">
        <f t="shared" si="267"/>
        <v>#NUM!</v>
      </c>
      <c r="LA162" s="59">
        <f ca="1">AVERAGE(OFFSET($KZ$3,0,0,'Données projet'!$E$23+1,1))-AVERAGE(OFFSET($H$3,0,0,'Données projet'!$E$23+1,1))</f>
        <v>248.33596943633819</v>
      </c>
      <c r="LB162" s="59">
        <f t="shared" si="315"/>
        <v>242.34010522344573</v>
      </c>
      <c r="LC162" s="15">
        <f>IF(ISNA(VLOOKUP($A162,'Données projet'!$A$408:$I$428,3,0)),0,VLOOKUP($A162,'Données projet'!$A$408:$I$428,3,0))</f>
        <v>0</v>
      </c>
      <c r="LD162" s="15">
        <f>IF(ISNA(VLOOKUP($A162,'Données projet'!$A$408:$I$428,4,0)),0,VLOOKUP($A162,'Données projet'!$A$408:$I$428,4,0))</f>
        <v>0</v>
      </c>
      <c r="LE162" s="16">
        <f>IF(ISNA(VLOOKUP($A162,'Données projet'!$A$408:$I$428,5,0)),0%,VLOOKUP($A162,'Données projet'!$A$408:$I$428,5,0)*VLOOKUP('Données projet'!$B$23,Paramètres!$A$1:$I$89,7,0))</f>
        <v>0</v>
      </c>
      <c r="LF162" s="16">
        <f>IF(ISNA(VLOOKUP($A162,'Données projet'!$A$408:$I$428,6,0)),0%,VLOOKUP($A162,'Données projet'!$A$408:$I$428,6,0)*VLOOKUP('Données projet'!$B$23,Paramètres!$A$1:$I$89,7,0))</f>
        <v>0</v>
      </c>
      <c r="LG162" s="16">
        <f>IF(ISNA(VLOOKUP($A162,'Données projet'!$A$408:$I$428,7,0)),0%,VLOOKUP($A162,'Données projet'!$A$408:$I$428,7,0))</f>
        <v>0</v>
      </c>
      <c r="LH162" s="21">
        <f>EXP(-LN(2)/35)*LH161+(1-EXP(-LN(2)/35))/(LN(2)/35)*LD162*LE162*VLOOKUP('Données projet'!$B$23,Paramètres!$A$1:$I$89,3,0)*0.475*44/12</f>
        <v>25.775964111001628</v>
      </c>
      <c r="LI162" s="21">
        <f>EXP(-LN(2)/25)*LI161+(1-EXP(-LN(2)/25))/(LN(2)/25)*Calculateur!LD162*Calculateur!LF162*VLOOKUP('Données projet'!$B$23,Paramètres!$A$1:$I$89,3,0)*0.475*44/12</f>
        <v>2.4363822636744796</v>
      </c>
      <c r="LJ162" s="21">
        <f>EXP(-LN(2)/2)*LJ161+(1-EXP(-LN(2)/2))/(LN(2)/2)*LD162*LG162*VLOOKUP('Données projet'!$B$23,Paramètres!$A$1:$I$89,3,0)*0.475*44/12</f>
        <v>0</v>
      </c>
      <c r="LK162" s="22">
        <f t="shared" si="268"/>
        <v>28.212346374676109</v>
      </c>
      <c r="LL162" s="74">
        <f>('Scénario référence'!$F$8+'Scénario référence'!$F$9+'Scénario référence'!$B$17+'Scénario référence'!$B$9+'Scénario référence'!$B$10)*70+IF((45+25*(1-EXP(-0.0175*$A162)))&lt;70,'Scénario référence'!$B$16*(45+25*(1-EXP(-0.0175*$A162))),70*'Scénario référence'!$B$16)+IF((32+38*(1-EXP(-0.0175*$A162)))&lt;70,'Scénario référence'!$B$18*(32+38*(1-EXP(-0.0175*$A162))),70*'Scénario référence'!$B$18)</f>
        <v>70</v>
      </c>
      <c r="LM162" s="12">
        <f>IF($A162&gt;30,10,('Scénario référence'!$B$16+'Scénario référence'!$B$17+'Scénario référence'!$B$18+'Scénario référence'!$B$9+'Scénario référence'!$B$10)*$A162*10/30+('Scénario référence'!$F$8+'Scénario référence'!$F$9)*10)</f>
        <v>10</v>
      </c>
      <c r="LN162" s="12" t="e">
        <f>VLOOKUP($A162,'Données projet'!$A$434:$I$454,2,0)</f>
        <v>#N/A</v>
      </c>
      <c r="LO162" s="12" t="e">
        <f>VLOOKUP($A162,'Données projet'!$A$434:$I$454,9,0)</f>
        <v>#N/A</v>
      </c>
      <c r="LP162" s="12">
        <f t="array" ref="LP162">INDEX(LO:LO,MIN(IF(ISNUMBER(LO162:LO358),ROW(LO162:LO358),"")))</f>
        <v>1.1618589743589709</v>
      </c>
      <c r="LQ162" s="12">
        <f>IF('Données projet'!$A$434&gt;35,LQ161+LP162-LY161,IF($A162&lt;'Données projet'!$A$434,$CQ$205^$A162,IF($A162='Données projet'!$A$434,'Données projet'!$B$434,LQ161+LP162-LY161)))</f>
        <v>89.041666666666202</v>
      </c>
      <c r="LR162" s="17">
        <f>LQ162*VLOOKUP('Données projet'!$B$24,Paramètres!$A$1:$I$89,3,0)*VLOOKUP('Données projet'!$B$24,Paramètres!$A$1:$I$89,5,0)</f>
        <v>90.288249999999536</v>
      </c>
      <c r="LS162" s="13">
        <f t="shared" si="316"/>
        <v>24.634731009832841</v>
      </c>
      <c r="LT162" s="14">
        <f t="shared" si="269"/>
        <v>200.15752525879137</v>
      </c>
      <c r="LU162" s="59">
        <f t="shared" si="270"/>
        <v>493.49085859212471</v>
      </c>
      <c r="LV162" s="59">
        <f ca="1">AVERAGE(OFFSET($LU$3,0,0,'Données projet'!$E$24+1,1))-AVERAGE(OFFSET($H$3,0,0,'Données projet'!$E$24+1,1))</f>
        <v>260.52627655062872</v>
      </c>
      <c r="LW162" s="59">
        <f t="shared" si="317"/>
        <v>159.20429420478047</v>
      </c>
      <c r="LX162" s="15">
        <f>IF(ISNA(VLOOKUP($A162,'Données projet'!$A$434:$I$454,3,0)),0,VLOOKUP($A162,'Données projet'!$A$434:$I$454,3,0))</f>
        <v>0</v>
      </c>
      <c r="LY162" s="15">
        <f>IF(ISNA(VLOOKUP($A162,'Données projet'!$A$434:$I$454,4,0)),0,VLOOKUP($A162,'Données projet'!$A$434:$I$454,4,0))</f>
        <v>0</v>
      </c>
      <c r="LZ162" s="16">
        <f>IF(ISNA(VLOOKUP($A162,'Données projet'!$A$434:$I$454,5,0)),0%,VLOOKUP($A162,'Données projet'!$A$434:$I$454,5,0)*VLOOKUP('Données projet'!$B$24,Paramètres!$A$1:$I$89,7,0))</f>
        <v>0</v>
      </c>
      <c r="MA162" s="16">
        <f>IF(ISNA(VLOOKUP($A162,'Données projet'!$A$434:$I$454,6,0)),0%,VLOOKUP($A162,'Données projet'!$A$434:$I$454,6,0)*VLOOKUP('Données projet'!$B$24,Paramètres!$A$1:$I$89,7,0))</f>
        <v>0</v>
      </c>
      <c r="MB162" s="16">
        <f>IF(ISNA(VLOOKUP($A162,'Données projet'!$A$434:$I$454,7,0)),0%,VLOOKUP($A162,'Données projet'!$A$434:$I$454,7,0))</f>
        <v>0</v>
      </c>
      <c r="MC162" s="21">
        <f>EXP(-LN(2)/35)*MC161+(1-EXP(-LN(2)/35))/(LN(2)/35)*LY162*LZ162*VLOOKUP('Données projet'!$B$24,Paramètres!$A$1:$I$89,3,0)*0.475*44/12</f>
        <v>124.49441883622828</v>
      </c>
      <c r="MD162" s="21">
        <f>EXP(-LN(2)/25)*MD161+(1-EXP(-LN(2)/25))/(LN(2)/25)*Calculateur!LY162*Calculateur!MA162*VLOOKUP('Données projet'!$B$24,Paramètres!$A$1:$I$89,3,0)*0.475*44/12</f>
        <v>0</v>
      </c>
      <c r="ME162" s="21">
        <f>EXP(-LN(2)/2)*ME161+(1-EXP(-LN(2)/2))/(LN(2)/2)*LY162*MB162*VLOOKUP('Données projet'!$B$24,Paramètres!$A$1:$I$89,3,0)*0.475*44/12</f>
        <v>0</v>
      </c>
      <c r="MF162" s="22">
        <f t="shared" si="271"/>
        <v>124.49441883622828</v>
      </c>
      <c r="MG162" s="74">
        <f>('Scénario référence'!$F$8+'Scénario référence'!$F$9+'Scénario référence'!$B$17+'Scénario référence'!$B$9+'Scénario référence'!$B$10)*70+IF((45+25*(1-EXP(-0.0175*$A162)))&lt;70,'Scénario référence'!$B$16*(45+25*(1-EXP(-0.0175*$A162))),70*'Scénario référence'!$B$16)+IF((32+38*(1-EXP(-0.0175*$A162)))&lt;70,'Scénario référence'!$B$18*(32+38*(1-EXP(-0.0175*$A162))),70*'Scénario référence'!$B$18)</f>
        <v>70</v>
      </c>
      <c r="MH162" s="12">
        <f>IF($A162&gt;30,10,('Scénario référence'!$B$16+'Scénario référence'!$B$17+'Scénario référence'!$B$18+'Scénario référence'!$B$9+'Scénario référence'!$B$10)*$A162*10/30+('Scénario référence'!$F$8+'Scénario référence'!$F$9)*10)</f>
        <v>10</v>
      </c>
      <c r="MI162" s="12" t="e">
        <f>VLOOKUP($A162,'Données projet'!$A$460:$I$480,2,0)</f>
        <v>#N/A</v>
      </c>
      <c r="MJ162" s="12" t="e">
        <f>VLOOKUP($A162,'Données projet'!$A$460:$I$480,9,0)</f>
        <v>#N/A</v>
      </c>
      <c r="MK162" s="12">
        <f t="array" ref="MK162">INDEX(MJ:MJ,MIN(IF(ISNUMBER(MJ162:MJ358),ROW(MJ162:MJ358),"")))</f>
        <v>0</v>
      </c>
      <c r="ML162" s="12">
        <f>IF('Données projet'!$A$460&gt;35,ML161+MK162-MT161,IF($A162&lt;'Données projet'!$A$460,$CQ$205^$A162,IF($A162='Données projet'!$A$460,'Données projet'!$B$460,ML161+MK162-MT161)))</f>
        <v>0</v>
      </c>
      <c r="MM162" s="17" t="e">
        <f>ML162*VLOOKUP('Données projet'!$B$25,Paramètres!$A$1:$I$89,3,0)*VLOOKUP('Données projet'!$B$25,Paramètres!$A$1:$I$89,5,0)</f>
        <v>#N/A</v>
      </c>
      <c r="MN162" s="13" t="e">
        <f t="shared" si="318"/>
        <v>#N/A</v>
      </c>
      <c r="MO162" s="14" t="e">
        <f t="shared" si="272"/>
        <v>#N/A</v>
      </c>
      <c r="MP162" s="59" t="e">
        <f t="shared" si="273"/>
        <v>#N/A</v>
      </c>
      <c r="MQ162" s="20" t="e">
        <f ca="1">AVERAGE(OFFSET($MP$3,0,0,'Données projet'!$E$25+1,1))-AVERAGE(OFFSET($H$3,0,0,'Données projet'!$E$25+1,1))</f>
        <v>#N/A</v>
      </c>
      <c r="MR162" s="59" t="e">
        <f t="shared" si="319"/>
        <v>#N/A</v>
      </c>
      <c r="MS162" s="15">
        <f>IF(ISNA(VLOOKUP($A162,'Données projet'!$A$460:$I$480,3,0)),0,VLOOKUP($A162,'Données projet'!$A$460:$I$480,3,0))</f>
        <v>0</v>
      </c>
      <c r="MT162" s="15">
        <f>IF(ISNA(VLOOKUP($A162,'Données projet'!$A$460:$I$480,4,0)),0,VLOOKUP($A162,'Données projet'!$A$460:$I$480,4,0))</f>
        <v>0</v>
      </c>
      <c r="MU162" s="16">
        <f>IF(ISNA(VLOOKUP($A162,'Données projet'!$A$460:$I$480,5,0)),0%,VLOOKUP($A162,'Données projet'!$A$460:$I$480,5,0)*VLOOKUP('Données projet'!$B$25,Paramètres!$A$1:$I$89,7,0))</f>
        <v>0</v>
      </c>
      <c r="MV162" s="16">
        <f>IF(ISNA(VLOOKUP($A162,'Données projet'!$A$460:$I$480,6,0)),0%,VLOOKUP($A162,'Données projet'!$A$460:$I$480,6,0)*VLOOKUP('Données projet'!$B$25,Paramètres!$A$1:$I$89,7,0))</f>
        <v>0</v>
      </c>
      <c r="MW162" s="16">
        <f>IF(ISNA(VLOOKUP($A162,'Données projet'!$A$460:$I$480,7,0)),0%,VLOOKUP($A162,'Données projet'!$A$460:$I$480,7,0))</f>
        <v>0</v>
      </c>
      <c r="MX162" s="21" t="e">
        <f>EXP(-LN(2)/35)*MX161+(1-EXP(-LN(2)/35))/(LN(2)/35)*MT162*MU162*VLOOKUP('Données projet'!$B$25,Paramètres!$A$1:$I$89,3,0)*0.475*44/12</f>
        <v>#N/A</v>
      </c>
      <c r="MY162" s="21" t="e">
        <f>EXP(-LN(2)/25)*MY161+(1-EXP(-LN(2)/25))/(LN(2)/25)*Calculateur!MT162*Calculateur!MV162*VLOOKUP('Données projet'!$B$25,Paramètres!$A$1:$I$89,3,0)*0.475*44/12</f>
        <v>#N/A</v>
      </c>
      <c r="MZ162" s="21" t="e">
        <f>EXP(-LN(2)/2)*MZ161+(1-EXP(-LN(2)/2))/(LN(2)/2)*MT162*MW162*VLOOKUP('Données projet'!$B$25,Paramètres!$A$1:$I$89,3,0)*0.475*44/12</f>
        <v>#N/A</v>
      </c>
      <c r="NA162" s="22" t="e">
        <f t="shared" si="274"/>
        <v>#N/A</v>
      </c>
      <c r="NB162" s="74">
        <f>('Scénario référence'!$F$8+'Scénario référence'!$F$9+'Scénario référence'!$B$17+'Scénario référence'!$B$9+'Scénario référence'!$B$10)*70+IF((45+25*(1-EXP(-0.0175*$A162)))&lt;70,'Scénario référence'!$B$16*(45+25*(1-EXP(-0.0175*$A162))),70*'Scénario référence'!$B$16)+IF((32+38*(1-EXP(-0.0175*$A162)))&lt;70,'Scénario référence'!$B$18*(32+38*(1-EXP(-0.0175*$A162))),70*'Scénario référence'!$B$18)</f>
        <v>70</v>
      </c>
      <c r="NC162" s="12">
        <f>IF($A162&gt;30,10,('Scénario référence'!$B$16+'Scénario référence'!$B$17+'Scénario référence'!$B$18+'Scénario référence'!$B$9+'Scénario référence'!$B$10)*$A162*10/30+('Scénario référence'!$F$8+'Scénario référence'!$F$9)*10)</f>
        <v>10</v>
      </c>
      <c r="ND162" s="12" t="e">
        <f>VLOOKUP($A162,'Données projet'!$A$486:$I$506,2,0)</f>
        <v>#N/A</v>
      </c>
      <c r="NE162" s="12" t="e">
        <f>VLOOKUP($A162,'Données projet'!$A$486:$I$506,9,0)</f>
        <v>#N/A</v>
      </c>
      <c r="NF162" s="12">
        <f t="array" ref="NF162">INDEX(NE:NE,MIN(IF(ISNUMBER(NE162:NE358),ROW(NE162:NE358),"")))</f>
        <v>0</v>
      </c>
      <c r="NG162" s="12">
        <f>IF('Données projet'!$A$486&gt;35,NG161+NF162-NO161,IF($A162&lt;'Données projet'!$A$486,$CQ$205^$A162,IF($A162='Données projet'!$A$486,'Données projet'!$B$486,NG161+NF162-NO161)))</f>
        <v>0</v>
      </c>
      <c r="NH162" s="17" t="e">
        <f>NG162*VLOOKUP('Données projet'!$B$26,Paramètres!$A$1:$I$89,3,0)*VLOOKUP('Données projet'!$B$26,Paramètres!$A$1:$I$89,5,0)</f>
        <v>#N/A</v>
      </c>
      <c r="NI162" s="13" t="e">
        <f t="shared" si="320"/>
        <v>#N/A</v>
      </c>
      <c r="NJ162" s="14" t="e">
        <f t="shared" si="275"/>
        <v>#N/A</v>
      </c>
      <c r="NK162" s="59" t="e">
        <f t="shared" si="276"/>
        <v>#N/A</v>
      </c>
      <c r="NL162" s="20" t="e">
        <f ca="1">AVERAGE(OFFSET($NK$3,0,0,'Données projet'!$E$26+1,1))-AVERAGE(OFFSET($H$3,0,0,'Données projet'!$E$26+1,1))</f>
        <v>#N/A</v>
      </c>
      <c r="NM162" s="59" t="e">
        <f t="shared" si="321"/>
        <v>#N/A</v>
      </c>
      <c r="NN162" s="15">
        <f>IF(ISNA(VLOOKUP($A162,'Données projet'!$A$486:$I$506,3,0)),0,VLOOKUP($A162,'Données projet'!$A$486:$I$506,3,0))</f>
        <v>0</v>
      </c>
      <c r="NO162" s="15">
        <f>IF(ISNA(VLOOKUP($A162,'Données projet'!$A$486:$I$506,4,0)),0,VLOOKUP($A162,'Données projet'!$A$486:$I$506,4,0))</f>
        <v>0</v>
      </c>
      <c r="NP162" s="16">
        <f>IF(ISNA(VLOOKUP($A162,'Données projet'!$A$486:$I$506,5,0)),0%,VLOOKUP($A162,'Données projet'!$A$486:$I$506,5,0)*VLOOKUP('Données projet'!$B$26,Paramètres!$A$1:$I$89,7,0))</f>
        <v>0</v>
      </c>
      <c r="NQ162" s="16">
        <f>IF(ISNA(VLOOKUP($A162,'Données projet'!$A$486:$I$506,6,0)),0%,VLOOKUP($A162,'Données projet'!$A$486:$I$506,6,0)*VLOOKUP('Données projet'!$B$26,Paramètres!$A$1:$I$89,7,0))</f>
        <v>0</v>
      </c>
      <c r="NR162" s="16">
        <f>IF(ISNA(VLOOKUP($A162,'Données projet'!$A$486:$I$506,7,0)),0%,VLOOKUP($A162,'Données projet'!$A$486:$I$506,7,0))</f>
        <v>0</v>
      </c>
      <c r="NS162" s="21" t="e">
        <f>EXP(-LN(2)/35)*NS161+(1-EXP(-LN(2)/35))/(LN(2)/35)*NO162*NP162*VLOOKUP('Données projet'!$B$26,Paramètres!$A$1:$I$89,3,0)*0.475*44/12</f>
        <v>#N/A</v>
      </c>
      <c r="NT162" s="21" t="e">
        <f>EXP(-LN(2)/25)*NT161+(1-EXP(-LN(2)/25))/(LN(2)/25)*Calculateur!NO162*Calculateur!NQ162*VLOOKUP('Données projet'!$B$26,Paramètres!$A$1:$I$89,3,0)*0.475*44/12</f>
        <v>#N/A</v>
      </c>
      <c r="NU162" s="21" t="e">
        <f>EXP(-LN(2)/2)*NU161+(1-EXP(-LN(2)/2))/(LN(2)/2)*NO162*NR162*VLOOKUP('Données projet'!$B$26,Paramètres!$A$1:$I$89,3,0)*0.475*44/12</f>
        <v>#N/A</v>
      </c>
      <c r="NV162" s="22" t="e">
        <f t="shared" si="277"/>
        <v>#N/A</v>
      </c>
      <c r="NW162" s="74">
        <f>('Scénario référence'!$F$8+'Scénario référence'!$F$9+'Scénario référence'!$B$17+'Scénario référence'!$B$9+'Scénario référence'!$B$10)*70+IF((45+25*(1-EXP(-0.0175*$A162)))&lt;70,'Scénario référence'!$B$16*(45+25*(1-EXP(-0.0175*$A162))),70*'Scénario référence'!$B$16)+IF((32+38*(1-EXP(-0.0175*$A162)))&lt;70,'Scénario référence'!$B$18*(32+38*(1-EXP(-0.0175*$A162))),70*'Scénario référence'!$B$18)</f>
        <v>70</v>
      </c>
      <c r="NX162" s="12">
        <f>IF($A162&gt;30,10,('Scénario référence'!$B$16+'Scénario référence'!$B$17+'Scénario référence'!$B$18+'Scénario référence'!$B$9+'Scénario référence'!$B$10)*$A162*10/30+('Scénario référence'!$F$8+'Scénario référence'!$F$9)*10)</f>
        <v>10</v>
      </c>
      <c r="NY162" s="12" t="e">
        <f>VLOOKUP($A162,'Données projet'!$A$512:$I$532,2,0)</f>
        <v>#N/A</v>
      </c>
      <c r="NZ162" s="12" t="e">
        <f>VLOOKUP($A162,'Données projet'!$A$512:$I$532,9,0)</f>
        <v>#N/A</v>
      </c>
      <c r="OA162" s="12">
        <f t="array" ref="OA162">INDEX(NZ:NZ,MIN(IF(ISNUMBER(NZ162:NZ358),ROW(NZ162:NZ358),"")))</f>
        <v>0</v>
      </c>
      <c r="OB162" s="12">
        <f>IF('Données projet'!$A$512&gt;35,OB161+OA162-OJ161,IF($A162&lt;'Données projet'!$A$512,$CQ$205^$A162,IF($A162='Données projet'!$A$512,'Données projet'!$B$512,OB161+OA162-OJ161)))</f>
        <v>0</v>
      </c>
      <c r="OC162" s="17" t="e">
        <f>OB162*VLOOKUP('Données projet'!$B$27,Paramètres!$A$1:$I$89,3,0)*VLOOKUP('Données projet'!$B$27,Paramètres!$A$1:$I$89,5,0)</f>
        <v>#N/A</v>
      </c>
      <c r="OD162" s="13" t="e">
        <f t="shared" si="322"/>
        <v>#N/A</v>
      </c>
      <c r="OE162" s="14" t="e">
        <f t="shared" si="278"/>
        <v>#N/A</v>
      </c>
      <c r="OF162" s="59" t="e">
        <f t="shared" si="279"/>
        <v>#N/A</v>
      </c>
      <c r="OG162" s="20" t="e">
        <f ca="1">AVERAGE(OFFSET($OF$3,0,0,'Données projet'!$E$27+1,1))-AVERAGE(OFFSET($H$3,0,0,'Données projet'!$E$27+1,1))</f>
        <v>#N/A</v>
      </c>
      <c r="OH162" s="59" t="e">
        <f t="shared" si="323"/>
        <v>#N/A</v>
      </c>
      <c r="OI162" s="15">
        <f>IF(ISNA(VLOOKUP($A162,'Données projet'!$A$512:$I$532,3,0)),0,VLOOKUP($A162,'Données projet'!$A$512:$I$532,3,0))</f>
        <v>0</v>
      </c>
      <c r="OJ162" s="15">
        <f>IF(ISNA(VLOOKUP($A162,'Données projet'!$A$512:$I$532,4,0)),0,VLOOKUP($A162,'Données projet'!$A$512:$I$532,4,0))</f>
        <v>0</v>
      </c>
      <c r="OK162" s="16">
        <f>IF(ISNA(VLOOKUP($A162,'Données projet'!$A$512:$I$532,5,0)),0%,VLOOKUP($A162,'Données projet'!$A$512:$I$532,5,0)*VLOOKUP('Données projet'!$B$27,Paramètres!$A$1:$I$89,7,0))</f>
        <v>0</v>
      </c>
      <c r="OL162" s="16">
        <f>IF(ISNA(VLOOKUP($A162,'Données projet'!$A$512:$I$532,6,0)),0%,VLOOKUP($A162,'Données projet'!$A$512:$I$532,6,0)*VLOOKUP('Données projet'!$B$27,Paramètres!$A$1:$I$89,7,0))</f>
        <v>0</v>
      </c>
      <c r="OM162" s="16">
        <f>IF(ISNA(VLOOKUP($A162,'Données projet'!$A$512:$I$532,7,0)),0%,VLOOKUP($A162,'Données projet'!$A$512:$I$532,7,0))</f>
        <v>0</v>
      </c>
      <c r="ON162" s="21" t="e">
        <f>EXP(-LN(2)/35)*ON161+(1-EXP(-LN(2)/35))/(LN(2)/35)*OJ162*OK162*VLOOKUP('Données projet'!$B$27,Paramètres!$A$1:$I$89,3,0)*0.475*44/12</f>
        <v>#N/A</v>
      </c>
      <c r="OO162" s="21" t="e">
        <f>EXP(-LN(2)/25)*OO161+(1-EXP(-LN(2)/25))/(LN(2)/25)*Calculateur!OJ162*Calculateur!OL162*VLOOKUP('Données projet'!$B$27,Paramètres!$A$1:$I$89,3,0)*0.475*44/12</f>
        <v>#N/A</v>
      </c>
      <c r="OP162" s="21" t="e">
        <f>EXP(-LN(2)/2)*OP161+(1-EXP(-LN(2)/2))/(LN(2)/2)*OJ162*OM162*VLOOKUP('Données projet'!$B$27,Paramètres!$A$1:$I$89,3,0)*0.475*44/12</f>
        <v>#N/A</v>
      </c>
      <c r="OQ162" s="22" t="e">
        <f t="shared" si="280"/>
        <v>#N/A</v>
      </c>
      <c r="OR162" s="74">
        <f>('Scénario référence'!$F$8+'Scénario référence'!$F$9+'Scénario référence'!$B$17+'Scénario référence'!$B$9+'Scénario référence'!$B$10)*70+IF((45+25*(1-EXP(-0.0175*$A162)))&lt;70,'Scénario référence'!$B$16*(45+25*(1-EXP(-0.0175*$A162))),70*'Scénario référence'!$B$16)+IF((32+38*(1-EXP(-0.0175*$A162)))&lt;70,'Scénario référence'!$B$18*(32+38*(1-EXP(-0.0175*$A162))),70*'Scénario référence'!$B$18)</f>
        <v>70</v>
      </c>
      <c r="OS162" s="12">
        <f>IF($A162&gt;30,10,('Scénario référence'!$B$16+'Scénario référence'!$B$17+'Scénario référence'!$B$18+'Scénario référence'!$B$9+'Scénario référence'!$B$10)*$A162*10/30+('Scénario référence'!$F$8+'Scénario référence'!$F$9)*10)</f>
        <v>10</v>
      </c>
      <c r="OT162" s="12" t="e">
        <f>VLOOKUP($A162,'Données projet'!$A$538:$I$558,2,0)</f>
        <v>#N/A</v>
      </c>
      <c r="OU162" s="12" t="e">
        <f>VLOOKUP($A162,'Données projet'!$A$538:$I$558,9,0)</f>
        <v>#N/A</v>
      </c>
      <c r="OV162" s="12">
        <f t="array" ref="OV162">INDEX(OU:OU,MIN(IF(ISNUMBER(OU162:OU358),ROW(OU162:OU358),"")))</f>
        <v>0</v>
      </c>
      <c r="OW162" s="12">
        <f>IF('Données projet'!$A$538&gt;35,OW161+OV162-PE161,IF($A162&lt;'Données projet'!$A$538,$CQ$205^$A162,IF($A162='Données projet'!$A$538,'Données projet'!$B$538,OW161+OV162-PE161)))</f>
        <v>0</v>
      </c>
      <c r="OX162" s="17" t="e">
        <f>OW162*VLOOKUP('Données projet'!$B$28,Paramètres!$A$1:$I$89,3,0)*VLOOKUP('Données projet'!$B$28,Paramètres!$A$1:$I$89,5,0)</f>
        <v>#N/A</v>
      </c>
      <c r="OY162" s="13" t="e">
        <f t="shared" si="324"/>
        <v>#N/A</v>
      </c>
      <c r="OZ162" s="14" t="e">
        <f t="shared" si="281"/>
        <v>#N/A</v>
      </c>
      <c r="PA162" s="59" t="e">
        <f t="shared" si="282"/>
        <v>#N/A</v>
      </c>
      <c r="PB162" s="20" t="e">
        <f ca="1">AVERAGE(OFFSET($PA$3,0,0,'Données projet'!$E$28+1,1))-AVERAGE(OFFSET($H$3,0,0,'Données projet'!$E$28+1,1))</f>
        <v>#N/A</v>
      </c>
      <c r="PC162" s="59" t="e">
        <f t="shared" si="325"/>
        <v>#N/A</v>
      </c>
      <c r="PD162" s="15">
        <f>IF(ISNA(VLOOKUP($A162,'Données projet'!$A$538:$I$558,3,0)),0,VLOOKUP($A162,'Données projet'!$A$538:$I$558,3,0))</f>
        <v>0</v>
      </c>
      <c r="PE162" s="15">
        <f>IF(ISNA(VLOOKUP($A162,'Données projet'!$A$538:$I$558,4,0)),0,VLOOKUP($A162,'Données projet'!$A$538:$I$558,4,0))</f>
        <v>0</v>
      </c>
      <c r="PF162" s="16">
        <f>IF(ISNA(VLOOKUP($A162,'Données projet'!$A$538:$I$558,5,0)),0%,VLOOKUP($A162,'Données projet'!$A$538:$I$558,5,0)*VLOOKUP('Données projet'!$B$28,Paramètres!$A$1:$I$89,7,0))</f>
        <v>0</v>
      </c>
      <c r="PG162" s="16">
        <f>IF(ISNA(VLOOKUP($A162,'Données projet'!$A$538:$I$558,6,0)),0%,VLOOKUP($A162,'Données projet'!$A$538:$I$558,6,0)*VLOOKUP('Données projet'!$B$28,Paramètres!$A$1:$I$89,7,0))</f>
        <v>0</v>
      </c>
      <c r="PH162" s="16">
        <f>IF(ISNA(VLOOKUP($A162,'Données projet'!$A$538:$I$558,7,0)),0%,VLOOKUP($A162,'Données projet'!$A$538:$I$558,7,0))</f>
        <v>0</v>
      </c>
      <c r="PI162" s="21" t="e">
        <f>EXP(-LN(2)/35)*PI161+(1-EXP(-LN(2)/35))/(LN(2)/35)*PE162*PF162*VLOOKUP('Données projet'!$B$28,Paramètres!$A$1:$I$89,3,0)*0.475*44/12</f>
        <v>#N/A</v>
      </c>
      <c r="PJ162" s="21" t="e">
        <f>EXP(-LN(2)/25)*PJ161+(1-EXP(-LN(2)/25))/(LN(2)/25)*Calculateur!PE162*Calculateur!PG162*VLOOKUP('Données projet'!$B$28,Paramètres!$A$1:$I$89,3,0)*0.475*44/12</f>
        <v>#N/A</v>
      </c>
      <c r="PK162" s="21" t="e">
        <f>EXP(-LN(2)/2)*PK161+(1-EXP(-LN(2)/2))/(LN(2)/2)*PE162*PH162*VLOOKUP('Données projet'!$B$28,Paramètres!$A$1:$I$89,3,0)*0.475*44/12</f>
        <v>#N/A</v>
      </c>
      <c r="PL162" s="22" t="e">
        <f t="shared" si="283"/>
        <v>#N/A</v>
      </c>
    </row>
    <row r="163" spans="1:428" x14ac:dyDescent="0.35">
      <c r="A163" s="10">
        <f t="shared" si="326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285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225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projet'!$A$45:$I$65,2,0)</f>
        <v>#N/A</v>
      </c>
      <c r="L163" s="12" t="e">
        <f>VLOOKUP(A163,'Données projet'!$A$45:$I$65,9,0)</f>
        <v>#N/A</v>
      </c>
      <c r="M163" s="12">
        <f t="array" ref="M163">INDEX(L:L,MIN(IF(ISNUMBER(L163:L359),ROW(L163:L359),"")))</f>
        <v>0</v>
      </c>
      <c r="N163" s="13">
        <f>IF('Données projet'!$A$46&gt;35,N162+M163-V162,IF(A163&lt;'Données projet'!$A$46,$K$205^A163,IF(A163='Données projet'!$A$46,'Données projet'!$B$46,N162+M163-V162)))</f>
        <v>-1.1368683772161603E-13</v>
      </c>
      <c r="O163" s="13">
        <f>N163*VLOOKUP('Données projet'!$B$9,Paramètres!$A$1:$I$89,3,0)*VLOOKUP('Données projet'!$B$9,Paramètres!$A$1:$I$89,5,0)</f>
        <v>-6.3550942286383367E-14</v>
      </c>
      <c r="P163" s="13" t="e">
        <f t="shared" si="286"/>
        <v>#NUM!</v>
      </c>
      <c r="Q163" s="20" t="e">
        <f t="shared" si="327"/>
        <v>#NUM!</v>
      </c>
      <c r="R163" s="59" t="e">
        <f t="shared" si="224"/>
        <v>#NUM!</v>
      </c>
      <c r="S163" s="59">
        <f ca="1">AVERAGE(OFFSET($R$3,0,0,'Données projet'!$E$9+1,1))-AVERAGE(OFFSET($H$3,0,0,'Données projet'!$E$9+1,1))</f>
        <v>274.57619581652199</v>
      </c>
      <c r="T163" s="59">
        <f t="shared" si="287"/>
        <v>366.15117322598775</v>
      </c>
      <c r="U163" s="15">
        <f>IF(ISNA(VLOOKUP(A163,'Données projet'!$A$45:$I$65,3,0)),0,VLOOKUP(A163,'Données projet'!$A$45:$I$65,3,0))</f>
        <v>0</v>
      </c>
      <c r="V163" s="15">
        <f>IF(ISNA(VLOOKUP(A163,'Données projet'!$A$45:$I$65,4,0)),0,VLOOKUP(A163,'Données projet'!$A$45:$I$65,4,0))</f>
        <v>0</v>
      </c>
      <c r="W163" s="16">
        <f>IF(ISNA(VLOOKUP(A163,'Données projet'!$A$45:$I$65,5,0)),0%,VLOOKUP(A163,'Données projet'!$A$45:$I$65,5,0)*VLOOKUP('Données projet'!$B$9,Paramètres!$A$1:$I$89,7,0))</f>
        <v>0</v>
      </c>
      <c r="X163" s="16">
        <f>IF(ISNA(VLOOKUP(A163,'Données projet'!$A$45:$I$65,6,0)),0%,VLOOKUP(A163,'Données projet'!$A$45:$I$65,6,0)*VLOOKUP('Données projet'!$B$9,Paramètres!$A$1:$I$89,7,0))</f>
        <v>0</v>
      </c>
      <c r="Y163" s="16">
        <f>IF(ISNA(VLOOKUP(A163,'Données projet'!$A$45:$I$65,7,0)),0%,VLOOKUP(A163,'Données projet'!$A$45:$I$65,7,0))</f>
        <v>0</v>
      </c>
      <c r="Z163" s="21">
        <f>EXP(-LN(2)/35)*Z162+(1-EXP(-LN(2)/35))/(LN(2)/35)*V163*W163*VLOOKUP('Données projet'!$B$9,Paramètres!$A$1:$I$89,3,0)*0.475*44/12</f>
        <v>28.332135245320572</v>
      </c>
      <c r="AA163" s="21">
        <f>EXP(-LN(2)/25)*AA162+(1-EXP(-LN(2)/25))/(LN(2)/25)*Calculateur!V163*Calculateur!X163*VLOOKUP('Données projet'!$B$9,Paramètres!$A$1:$I$89,3,0)*0.475*44/12</f>
        <v>3.1343999132603373</v>
      </c>
      <c r="AB163" s="21">
        <f>EXP(-LN(2)/2)*AB162+(1-EXP(-LN(2)/2))/(LN(2)/2)*V163*Y163*VLOOKUP('Données projet'!$B$9,Paramètres!$A$1:$I$89,3,0)*0.475*44/12</f>
        <v>5.3636405795660843E-15</v>
      </c>
      <c r="AC163" s="22">
        <f t="shared" si="328"/>
        <v>31.466535158580918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projet'!$A$71:$I$91,2,0)</f>
        <v>#N/A</v>
      </c>
      <c r="AG163" s="12" t="e">
        <f>VLOOKUP(A163,'Données projet'!$A$71:$I$91,9,0)</f>
        <v>#N/A</v>
      </c>
      <c r="AH163" s="12">
        <f t="array" ref="AH163">INDEX(AG:AG,MIN(IF(ISNUMBER(AG163:AG359),ROW(AG163:AG359),"")))</f>
        <v>0</v>
      </c>
      <c r="AI163" s="13">
        <f>IF('Données projet'!$A$72&gt;35,AI162+AH163-AQ162,IF(A163&lt;'Données projet'!$A$72,$AF$205^A163,IF(A163='Données projet'!$A$72,'Données projet'!$B$72,AI162+AH163-AQ162)))</f>
        <v>5.6843418860808015E-13</v>
      </c>
      <c r="AJ163" s="13">
        <f>AI163*VLOOKUP('Données projet'!$B$10,Paramètres!$A$1:$I$89,3,0)*VLOOKUP('Données projet'!$B$10,Paramètres!$A$1:$I$89,5,0)</f>
        <v>5.1431925385259092E-13</v>
      </c>
      <c r="AK163" s="13">
        <f t="shared" si="329"/>
        <v>6.3855359115685756E-12</v>
      </c>
      <c r="AL163" s="20">
        <f t="shared" si="330"/>
        <v>1.2017247746441865E-11</v>
      </c>
      <c r="AM163" s="59">
        <f t="shared" si="228"/>
        <v>293.33333333334531</v>
      </c>
      <c r="AN163" s="59">
        <f ca="1">AVERAGE(OFFSET($AM$3,0,0,'Données projet'!$E$10+1,1))-AVERAGE(OFFSET($H$3,0,0,'Données projet'!$E$10+1,1))</f>
        <v>270.87836509222456</v>
      </c>
      <c r="AO163" s="59">
        <f t="shared" si="289"/>
        <v>205.24998237949734</v>
      </c>
      <c r="AP163" s="15">
        <f>IF(ISNA(VLOOKUP(A163,'Données projet'!$A$71:$I$91,3,0)),0,VLOOKUP(A163,'Données projet'!$A$71:$I$91,3,0))</f>
        <v>0</v>
      </c>
      <c r="AQ163" s="15">
        <f>IF(ISNA(VLOOKUP(A163,'Données projet'!$A$71:$I$91,4,0)),0,VLOOKUP(A163,'Données projet'!$A$71:$I$91,4,0))</f>
        <v>0</v>
      </c>
      <c r="AR163" s="16">
        <f>IF(ISNA(VLOOKUP(A163,'Données projet'!$A$71:$I$91,5,0)),0%,VLOOKUP(A163,'Données projet'!$A$71:$I$91,5,0)*VLOOKUP('Données projet'!$B$10,Paramètres!$A$1:$I$89,7,0))</f>
        <v>0</v>
      </c>
      <c r="AS163" s="16">
        <f>IF(ISNA(VLOOKUP(A163,'Données projet'!$A$71:$I$91,6,0)),0%,VLOOKUP(A163,'Données projet'!$A$71:$I$91,6,0)*VLOOKUP('Données projet'!$B$10,Paramètres!$A$1:$I$89,7,0))</f>
        <v>0</v>
      </c>
      <c r="AT163" s="16">
        <f>IF(ISNA(VLOOKUP(A163,'Données projet'!$A$71:$I$91,7,0)),0%,VLOOKUP(A163,'Données projet'!$A$71:$I$91,7,0))</f>
        <v>0</v>
      </c>
      <c r="AU163" s="21">
        <f>EXP(-LN(2)/35)*AU162+(1-EXP(-LN(2)/35))/(LN(2)/35)*AQ163*AR163*VLOOKUP('Données projet'!$B$10,Paramètres!$A$1:$I$89,3,0)*0.475*44/12</f>
        <v>96.279813943425907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331"/>
        <v>96.279813943425907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projet'!$A$97:$I$117,2,0)</f>
        <v>#N/A</v>
      </c>
      <c r="BB163" s="12" t="e">
        <f>VLOOKUP(A163,'Données projet'!$A$97:$I$117,9,0)</f>
        <v>#N/A</v>
      </c>
      <c r="BC163" s="12">
        <f t="array" ref="BC163">INDEX(BB:BB,MIN(IF(ISNUMBER(BB163:BB359),ROW(BB163:BB359),"")))</f>
        <v>0</v>
      </c>
      <c r="BD163" s="12">
        <f>IF('Données projet'!$A$98&gt;35,BD162+BC163-BL162,IF(A163&lt;'Données projet'!$A$98,$BA$205^A163,IF(A163='Données projet'!$A$98,'Données projet'!$B$98,BD162+BC163-BL162)))</f>
        <v>-1.1368683772161603E-13</v>
      </c>
      <c r="BE163" s="13">
        <f>BD163*VLOOKUP('Données projet'!$B$11,Paramètres!$A$1:$I$89,3,0)*VLOOKUP('Données projet'!$B$11,Paramètres!$A$1:$I$89,5,0)</f>
        <v>-5.0249582272954292E-14</v>
      </c>
      <c r="BF163" s="13" t="e">
        <f t="shared" si="332"/>
        <v>#NUM!</v>
      </c>
      <c r="BG163" s="20" t="e">
        <f t="shared" si="333"/>
        <v>#NUM!</v>
      </c>
      <c r="BH163" s="59" t="e">
        <f t="shared" si="231"/>
        <v>#NUM!</v>
      </c>
      <c r="BI163" s="59">
        <f ca="1">AVERAGE(OFFSET($BH$3,0,0,'Données projet'!$E$11+1,1))-AVERAGE(OFFSET($H$3,0,0,'Données projet'!$E$11+1,1))</f>
        <v>211.31057120485542</v>
      </c>
      <c r="BJ163" s="59">
        <f t="shared" si="291"/>
        <v>283.33292006714777</v>
      </c>
      <c r="BK163" s="15">
        <f>IF(ISNA(VLOOKUP(A163,'Données projet'!$A$97:$I$117,3,0)),0,VLOOKUP(A163,'Données projet'!$A$97:$I$117,3,0))</f>
        <v>0</v>
      </c>
      <c r="BL163" s="15">
        <f>IF(ISNA(VLOOKUP(A163,'Données projet'!$A$97:$I$117,4,0)),0,VLOOKUP(A163,'Données projet'!$A$97:$I$117,4,0))</f>
        <v>0</v>
      </c>
      <c r="BM163" s="16">
        <f>IF(ISNA(VLOOKUP(A163,'Données projet'!$A$97:$I$117,5,0)),0%,VLOOKUP(A163,'Données projet'!$A$97:$I$117,5,0)*VLOOKUP('Données projet'!$B$11,Paramètres!$A$1:$I$89,7,0))</f>
        <v>0</v>
      </c>
      <c r="BN163" s="16">
        <f>IF(ISNA(VLOOKUP(A163,'Données projet'!$A$97:$I$117,6,0)),0%,VLOOKUP(A163,'Données projet'!$A$97:$I$117,6,0)*VLOOKUP('Données projet'!$B$11,Paramètres!$A$1:$I$89,7,0))</f>
        <v>0</v>
      </c>
      <c r="BO163" s="16">
        <f>IF(ISNA(VLOOKUP(A163,'Données projet'!$A$97:$I$117,7,0)),0%,VLOOKUP(A163,'Données projet'!$A$97:$I$117,7,0))</f>
        <v>0</v>
      </c>
      <c r="BP163" s="21">
        <f>EXP(-LN(2)/35)*BP162+(1-EXP(-LN(2)/35))/(LN(2)/35)*BL163*BM163*VLOOKUP('Données projet'!$B$11,Paramètres!$A$1:$I$89,3,0)*0.475*44/12</f>
        <v>22.402153449788372</v>
      </c>
      <c r="BQ163" s="21">
        <f>EXP(-LN(2)/25)*BQ162+(1-EXP(-LN(2)/25))/(LN(2)/25)*Calculateur!BL163*Calculateur!BN163*VLOOKUP('Données projet'!$B$11,Paramètres!$A$1:$I$89,3,0)*0.475*44/12</f>
        <v>2.4783627221128235</v>
      </c>
      <c r="BR163" s="21">
        <f>EXP(-LN(2)/2)*BR162+(1-EXP(-LN(2)/2))/(LN(2)/2)*BL163*BO163*VLOOKUP('Données projet'!$B$11,Paramètres!$A$1:$I$89,3,0)*0.475*44/12</f>
        <v>4.2410181326801588E-15</v>
      </c>
      <c r="BS163" s="22">
        <f t="shared" si="334"/>
        <v>24.880516171901199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projet'!$A$123:$I$143,2,0)</f>
        <v>#N/A</v>
      </c>
      <c r="BW163" s="12" t="e">
        <f>VLOOKUP(A163,'Données projet'!$A$123:$I$143,9,0)</f>
        <v>#N/A</v>
      </c>
      <c r="BX163" s="12">
        <f t="array" ref="BX163">INDEX(BW:BW,MIN(IF(ISNUMBER(BW163:BW359),ROW(BW163:BW359),"")))</f>
        <v>0</v>
      </c>
      <c r="BY163" s="12">
        <f>IF('Données projet'!$A$124&gt;35,BY162+BX163-CG162,IF(A163&lt;'Données projet'!$A$124,$BV$205^A163,IF(A163='Données projet'!$A$124,'Données projet'!$B$124,BY162+BX163-CG162)))</f>
        <v>0</v>
      </c>
      <c r="BZ163" s="13">
        <f>BY163*VLOOKUP('Données projet'!$B$12,Paramètres!$A$1:$I$89,3,0)*VLOOKUP('Données projet'!$B$12,Paramètres!$A$1:$I$89,5,0)</f>
        <v>0</v>
      </c>
      <c r="CA163" s="13" t="e">
        <f t="shared" si="335"/>
        <v>#NUM!</v>
      </c>
      <c r="CB163" s="20" t="e">
        <f t="shared" si="336"/>
        <v>#NUM!</v>
      </c>
      <c r="CC163" s="59" t="e">
        <f t="shared" si="234"/>
        <v>#NUM!</v>
      </c>
      <c r="CD163" s="59">
        <f ca="1">AVERAGE(OFFSET($CC$3,0,0,'Données projet'!$E$12+1,1))-AVERAGE(OFFSET($H$3,0,0,'Données projet'!$E$12+1,1))</f>
        <v>322.93502595881938</v>
      </c>
      <c r="CE163" s="59">
        <f t="shared" si="293"/>
        <v>302.67072119588164</v>
      </c>
      <c r="CF163" s="15">
        <f>IF(ISNA(VLOOKUP(A163,'Données projet'!$A$123:$I$143,3,0)),0,VLOOKUP(A163,'Données projet'!$A$123:$I$143,3,0))</f>
        <v>0</v>
      </c>
      <c r="CG163" s="15">
        <f>IF(ISNA(VLOOKUP(A163,'Données projet'!$A$123:$I$143,4,0)),0,VLOOKUP(A163,'Données projet'!$A$123:$I$143,4,0))</f>
        <v>0</v>
      </c>
      <c r="CH163" s="16">
        <f>IF(ISNA(VLOOKUP(A163,'Données projet'!$A$123:$I$143,5,0)),0%,VLOOKUP(A163,'Données projet'!$A$123:$I$143,5,0)*VLOOKUP('Données projet'!$B$12,Paramètres!$A$1:$I$89,7,0))</f>
        <v>0</v>
      </c>
      <c r="CI163" s="16">
        <f>IF(ISNA(VLOOKUP(A163,'Données projet'!$A$123:$I$143,6,0)),0%,VLOOKUP(A163,'Données projet'!$A$123:$I$143,6,0)*VLOOKUP('Données projet'!$B$12,Paramètres!$A$1:$I$89,7,0))</f>
        <v>0</v>
      </c>
      <c r="CJ163" s="16">
        <f>IF(ISNA(VLOOKUP(A163,'Données projet'!$A$123:$I$143,7,0)),0%,VLOOKUP(A163,'Données projet'!$A$123:$I$143,7,0))</f>
        <v>0</v>
      </c>
      <c r="CK163" s="21">
        <f>EXP(-LN(2)/35)*CK162+(1-EXP(-LN(2)/35))/(LN(2)/35)*CG163*CH163*VLOOKUP('Données projet'!$B$12,Paramètres!$A$1:$I$89,3,0)*0.475*44/12</f>
        <v>35.692043572212064</v>
      </c>
      <c r="CL163" s="21">
        <f>EXP(-LN(2)/25)*CL162+(1-EXP(-LN(2)/25))/(LN(2)/25)*Calculateur!CG163*Calculateur!CI163*VLOOKUP('Données projet'!$B$12,Paramètres!$A$1:$I$89,3,0)*0.475*44/12</f>
        <v>7.9322602167869753</v>
      </c>
      <c r="CM163" s="21">
        <f>EXP(-LN(2)/2)*CM162+(1-EXP(-LN(2)/2))/(LN(2)/2)*CG163*CJ163*VLOOKUP('Données projet'!$B$12,Paramètres!$A$1:$I$89,3,0)*0.475*44/12</f>
        <v>0</v>
      </c>
      <c r="CN163" s="22">
        <f t="shared" si="337"/>
        <v>43.624303788999043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projet'!$A$149:$I$169,2,0)</f>
        <v>#N/A</v>
      </c>
      <c r="CR163" s="12" t="e">
        <f>VLOOKUP(A163,'Données projet'!$A$149:$I$169,9,0)</f>
        <v>#N/A</v>
      </c>
      <c r="CS163" s="12">
        <f t="array" ref="CS163">INDEX(CR:CR,MIN(IF(ISNUMBER(CR163:CR359),ROW(CR163:CR359),"")))</f>
        <v>1.1618589743589709</v>
      </c>
      <c r="CT163" s="12">
        <f>IF('Données projet'!$A$150&gt;35,CT162+CS163-DB162,IF(A163&lt;'Données projet'!$A$150,$CQ$205^A163,IF(A163='Données projet'!$A$150,'Données projet'!$B$150,CT162+CS163-DB162)))</f>
        <v>90.20352564102518</v>
      </c>
      <c r="CU163" s="17">
        <f>CT163*VLOOKUP('Données projet'!$B$13,Paramètres!$A$1:$I$89,3,0)*VLOOKUP('Données projet'!$B$13,Paramètres!$A$1:$I$89,5,0)</f>
        <v>91.466374999999545</v>
      </c>
      <c r="CV163" s="13">
        <f t="shared" si="338"/>
        <v>24.918545994850898</v>
      </c>
      <c r="CW163" s="20">
        <f t="shared" si="339"/>
        <v>202.70373739936451</v>
      </c>
      <c r="CX163" s="59">
        <f t="shared" si="237"/>
        <v>496.03707073269783</v>
      </c>
      <c r="CY163" s="59">
        <f ca="1">AVERAGE(OFFSET($CX$3,0,0,'Données projet'!$E$13+1,1))-AVERAGE(OFFSET($H$3,0,0,'Données projet'!$E$13+1,1))</f>
        <v>250.31277422753283</v>
      </c>
      <c r="CZ163" s="59">
        <f t="shared" si="295"/>
        <v>159.20429420478047</v>
      </c>
      <c r="DA163" s="15">
        <f>IF(ISNA(VLOOKUP(A163,'Données projet'!$A$149:$I$169,3,0)),0,VLOOKUP(A163,'Données projet'!$A$149:$I$169,3,0))</f>
        <v>0</v>
      </c>
      <c r="DB163" s="15">
        <f>IF(ISNA(VLOOKUP(A163,'Données projet'!$A$149:$I$169,4,0)),0,VLOOKUP(A163,'Données projet'!$A$149:$I$169,4,0))</f>
        <v>0</v>
      </c>
      <c r="DC163" s="16">
        <f>IF(ISNA(VLOOKUP(A163,'Données projet'!$A$149:$I$169,5,0)),0%,VLOOKUP(A163,'Données projet'!$A$149:$I$169,5,0)*VLOOKUP('Données projet'!$B$13,Paramètres!$A$1:$I$89,7,0))</f>
        <v>0</v>
      </c>
      <c r="DD163" s="16">
        <f>IF(ISNA(VLOOKUP(A163,'Données projet'!$A$149:$I$169,6,0)),0%,VLOOKUP(A163,'Données projet'!$A$149:$I$169,6,0)*VLOOKUP('Données projet'!$B$13,Paramètres!$A$1:$I$89,7,0))</f>
        <v>0</v>
      </c>
      <c r="DE163" s="16">
        <f>IF(ISNA(VLOOKUP(A163,'Données projet'!$A$149:$I$169,7,0)),0%,VLOOKUP(A163,'Données projet'!$A$149:$I$169,7,0))</f>
        <v>0</v>
      </c>
      <c r="DF163" s="21">
        <f>EXP(-LN(2)/35)*DF162+(1-EXP(-LN(2)/35))/(LN(2)/35)*DB163*DC163*VLOOKUP('Données projet'!$B$13,Paramètres!$A$1:$I$89,3,0)*0.475*44/12</f>
        <v>122.05315921694746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340"/>
        <v>122.05315921694746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projet'!$A$175:$I$195,2,0)</f>
        <v>#N/A</v>
      </c>
      <c r="DM163" s="12" t="e">
        <f>VLOOKUP(A163,'Données projet'!$A$175:$I$195,9,0)</f>
        <v>#N/A</v>
      </c>
      <c r="DN163" s="12">
        <f t="array" ref="DN163">INDEX(DM:DM,MIN(IF(ISNUMBER(DM163:DM359),ROW(DM163:DM359),"")))</f>
        <v>0</v>
      </c>
      <c r="DO163" s="12">
        <f>IF('Données projet'!$A$176&gt;35,DO162+DN163-DW162,IF(A163&lt;'Données projet'!$A$176,$DL$205^A163,IF(A163='Données projet'!$A$176,'Données projet'!$B$176,DO162+DN163-DW162)))</f>
        <v>-2.8421709430404007E-13</v>
      </c>
      <c r="DP163" s="17">
        <f>DO163*VLOOKUP('Données projet'!$B$14,Paramètres!$A$1:$I$89,3,0)*VLOOKUP('Données projet'!$B$14,Paramètres!$A$1:$I$89,5,0)</f>
        <v>-2.0838797354372215E-13</v>
      </c>
      <c r="DQ163" s="13" t="e">
        <f t="shared" si="341"/>
        <v>#NUM!</v>
      </c>
      <c r="DR163" s="20" t="e">
        <f t="shared" si="342"/>
        <v>#NUM!</v>
      </c>
      <c r="DS163" s="59" t="e">
        <f t="shared" si="240"/>
        <v>#NUM!</v>
      </c>
      <c r="DT163" s="59">
        <f ca="1">AVERAGE(OFFSET($DS$3,0,0,'Données projet'!$E$14+1,1))-AVERAGE(OFFSET($H$3,0,0,'Données projet'!$E$14+1,1))</f>
        <v>296.91321813251051</v>
      </c>
      <c r="DU163" s="59">
        <f t="shared" si="297"/>
        <v>291.0718079639509</v>
      </c>
      <c r="DV163" s="15">
        <f>IF(ISNA(VLOOKUP(A163,'Données projet'!$A$175:$I$195,3,0)),0,VLOOKUP(A163,'Données projet'!$A$175:$I$195,3,0))</f>
        <v>0</v>
      </c>
      <c r="DW163" s="15">
        <f>IF(ISNA(VLOOKUP(A163,'Données projet'!$A$175:$I$195,4,0)),0,VLOOKUP(A163,'Données projet'!$A$175:$I$195,4,0))</f>
        <v>0</v>
      </c>
      <c r="DX163" s="16">
        <f>IF(ISNA(VLOOKUP(A163,'Données projet'!$A$175:$I$195,5,0)),0%,VLOOKUP(A163,'Données projet'!$A$175:$I$195,5,0)*VLOOKUP('Données projet'!$B$14,Paramètres!$A$1:$I$89,7,0))</f>
        <v>0</v>
      </c>
      <c r="DY163" s="16">
        <f>IF(ISNA(VLOOKUP(A163,'Données projet'!$A$175:$I$195,6,0)),0%,VLOOKUP(A163,'Données projet'!$A$175:$I$195,6,0)*VLOOKUP('Données projet'!$B$14,Paramètres!$A$1:$I$89,7,0))</f>
        <v>0</v>
      </c>
      <c r="DZ163" s="16">
        <f>IF(ISNA(VLOOKUP(A163,'Données projet'!$A$175:$I$195,7,0)),0%,VLOOKUP(A163,'Données projet'!$A$175:$I$195,7,0))</f>
        <v>0</v>
      </c>
      <c r="EA163" s="21">
        <f>EXP(-LN(2)/35)*EA162+(1-EXP(-LN(2)/35))/(LN(2)/35)*DW163*DX163*VLOOKUP('Données projet'!$B$14,Paramètres!$A$1:$I$89,3,0)*0.475*44/12</f>
        <v>35.573508762655251</v>
      </c>
      <c r="EB163" s="21">
        <f>EXP(-LN(2)/25)*EB162+(1-EXP(-LN(2)/25))/(LN(2)/25)*Calculateur!DW163*Calculateur!DY163*VLOOKUP('Données projet'!$B$14,Paramètres!$A$1:$I$89,3,0)*0.475*44/12</f>
        <v>0.58271102965365562</v>
      </c>
      <c r="EC163" s="21">
        <f>EXP(-LN(2)/2)*EC162+(1-EXP(-LN(2)/2))/(LN(2)/2)*DW163*DZ163*VLOOKUP('Données projet'!$B$14,Paramètres!$A$1:$I$89,3,0)*0.475*44/12</f>
        <v>0</v>
      </c>
      <c r="ED163" s="22">
        <f t="shared" si="343"/>
        <v>36.15621979230891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projet'!$A$201:$I$221,2,0)</f>
        <v>#N/A</v>
      </c>
      <c r="EH163" s="12" t="e">
        <f>VLOOKUP(A163,'Données projet'!$A$201:$I$221,9,0)</f>
        <v>#N/A</v>
      </c>
      <c r="EI163" s="12">
        <f t="array" ref="EI163">INDEX(EH:EH,MIN(IF(ISNUMBER(EH163:EH359),ROW(EH163:EH359),"")))</f>
        <v>0</v>
      </c>
      <c r="EJ163" s="12">
        <f>IF('Données projet'!$A$202&gt;35,EJ162+EI163-ER162,IF(A163&lt;'Données projet'!$A$202,$EG$205^A163,IF(A163='Données projet'!$A$202,'Données projet'!$B$202,EJ162+EI163-ER162)))</f>
        <v>5.1159076974727213E-13</v>
      </c>
      <c r="EK163" s="17">
        <f>EJ163*VLOOKUP('Données projet'!$B$15,Paramètres!$A$1:$I$89,3,0)*VLOOKUP('Données projet'!$B$15,Paramètres!$A$1:$I$89,5,0)</f>
        <v>2.3942448024172334E-13</v>
      </c>
      <c r="EL163" s="13">
        <f t="shared" si="344"/>
        <v>3.2492669905861755E-12</v>
      </c>
      <c r="EM163" s="20">
        <f t="shared" si="345"/>
        <v>6.0761376450252565E-12</v>
      </c>
      <c r="EN163" s="59">
        <f t="shared" si="243"/>
        <v>293.3333333333394</v>
      </c>
      <c r="EO163" s="59">
        <f ca="1">AVERAGE(OFFSET($EN$3,0,0,'Données projet'!$E$15+1,1))-AVERAGE(OFFSET($H$3,0,0,'Données projet'!$E$15+1,1))</f>
        <v>147.64256291235483</v>
      </c>
      <c r="EP163" s="59">
        <f t="shared" si="299"/>
        <v>70.859031694091868</v>
      </c>
      <c r="EQ163" s="15">
        <f>IF(ISNA(VLOOKUP(A163,'Données projet'!$A$201:$I$221,3,0)),0,VLOOKUP(A163,'Données projet'!$A$201:$I$221,3,0))</f>
        <v>0</v>
      </c>
      <c r="ER163" s="15">
        <f>IF(ISNA(VLOOKUP(A163,'Données projet'!$A$201:$I$221,4,0)),0,VLOOKUP(A163,'Données projet'!$A$201:$I$221,4,0))</f>
        <v>0</v>
      </c>
      <c r="ES163" s="16">
        <f>IF(ISNA(VLOOKUP(A163,'Données projet'!$A$201:$I$221,5,0)),0%,VLOOKUP(A163,'Données projet'!$A$201:$I$221,5,0)*VLOOKUP('Données projet'!$B$15,Paramètres!$A$1:$I$89,7,0))</f>
        <v>0</v>
      </c>
      <c r="ET163" s="16">
        <f>IF(ISNA(VLOOKUP(A163,'Données projet'!$A$201:$I$221,6,0)),0%,VLOOKUP(A163,'Données projet'!$A$201:$I$221,6,0)*VLOOKUP('Données projet'!$B$15,Paramètres!$A$1:$I$89,7,0))</f>
        <v>0</v>
      </c>
      <c r="EU163" s="16">
        <f>IF(ISNA(VLOOKUP(A163,'Données projet'!$A$201:$I$221,7,0)),0%,VLOOKUP(A163,'Données projet'!$A$201:$I$221,7,0))</f>
        <v>0</v>
      </c>
      <c r="EV163" s="21">
        <f>EXP(-LN(2)/35)*EV162+(1-EXP(-LN(2)/35))/(LN(2)/35)*ER163*ES163*VLOOKUP('Données projet'!$B$15,Paramètres!$A$1:$I$89,3,0)*0.475*44/12</f>
        <v>48.700694235581814</v>
      </c>
      <c r="EW163" s="21">
        <f>EXP(-LN(2)/25)*EW162+(1-EXP(-LN(2)/25))/(LN(2)/25)*Calculateur!ER163*Calculateur!ET163*VLOOKUP('Données projet'!$B$15,Paramètres!$A$1:$I$89,3,0)*0.475*44/12</f>
        <v>8.0845284650044356</v>
      </c>
      <c r="EX163" s="21">
        <f>EXP(-LN(2)/2)*EX162+(1-EXP(-LN(2)/2))/(LN(2)/2)*ER163*EU163*VLOOKUP('Données projet'!$B$15,Paramètres!$A$1:$I$89,3,0)*0.475*44/12</f>
        <v>3.8666971467107623E-7</v>
      </c>
      <c r="EY163" s="22">
        <f t="shared" si="346"/>
        <v>56.785223087255957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projet'!$A$227:$I$247,2,0)</f>
        <v>#N/A</v>
      </c>
      <c r="FC163" s="12" t="e">
        <f>VLOOKUP(A163,'Données projet'!$A$227:$I$247,9,0)</f>
        <v>#N/A</v>
      </c>
      <c r="FD163" s="12">
        <f t="array" ref="FD163">INDEX(FC:FC,MIN(IF(ISNUMBER(FC163:FC359),ROW(FC163:FC359),"")))</f>
        <v>0</v>
      </c>
      <c r="FE163" s="12">
        <f>IF('Données projet'!$A$228&gt;35,FE162+FD163-FM162,IF(A163&lt;'Données projet'!$A$228,$FB$205^A163,IF(A163='Données projet'!$A$228,'Données projet'!$B$228,FE162+FD163-FM162)))</f>
        <v>8.5265128291212022E-14</v>
      </c>
      <c r="FF163" s="17">
        <f>FE163*VLOOKUP('Données projet'!$B$16,Paramètres!$A$1:$I$89,3,0)*VLOOKUP('Données projet'!$B$16,Paramètres!$A$1:$I$89,5,0)</f>
        <v>8.9119112089974823E-14</v>
      </c>
      <c r="FG163" s="13">
        <f t="shared" si="347"/>
        <v>1.3568952080113142E-12</v>
      </c>
      <c r="FH163" s="20">
        <f t="shared" si="348"/>
        <v>2.5184749408430782E-12</v>
      </c>
      <c r="FI163" s="59">
        <f t="shared" si="246"/>
        <v>293.33333333333582</v>
      </c>
      <c r="FJ163" s="59">
        <f ca="1">AVERAGE(OFFSET($FI$3,0,0,'Données projet'!$E$16+1,1))-AVERAGE(OFFSET($H$3,0,0,'Données projet'!$E$16+1,1))</f>
        <v>259.03906550253788</v>
      </c>
      <c r="FK163" s="59">
        <f t="shared" si="301"/>
        <v>235.54542903570831</v>
      </c>
      <c r="FL163" s="15">
        <f>IF(ISNA(VLOOKUP(A163,'Données projet'!$A$227:$I$247,3,0)),0,VLOOKUP(A163,'Données projet'!$A$227:$I$247,3,0))</f>
        <v>0</v>
      </c>
      <c r="FM163" s="15">
        <f>IF(ISNA(VLOOKUP(A163,'Données projet'!$A$227:$I$247,4,0)),0,VLOOKUP(A163,'Données projet'!$A$227:$I$247,4,0))</f>
        <v>0</v>
      </c>
      <c r="FN163" s="16">
        <f>IF(ISNA(VLOOKUP(A163,'Données projet'!$A$227:$I$247,5,0)),0%,VLOOKUP(A163,'Données projet'!$A$227:$I$247,5,0)*VLOOKUP('Données projet'!$B$16,Paramètres!$A$1:$I$89,7,0))</f>
        <v>0</v>
      </c>
      <c r="FO163" s="16">
        <f>IF(ISNA(VLOOKUP(A163,'Données projet'!$A$227:$I$247,6,0)),0%,VLOOKUP(A163,'Données projet'!$A$227:$I$247,6,0)*VLOOKUP('Données projet'!$B$16,Paramètres!$A$1:$I$89,7,0))</f>
        <v>0</v>
      </c>
      <c r="FP163" s="16">
        <f>IF(ISNA(VLOOKUP(A163,'Données projet'!$A$227:$I$247,7,0)),0%,VLOOKUP(A163,'Données projet'!$A$227:$I$247,7,0))</f>
        <v>0</v>
      </c>
      <c r="FQ163" s="21">
        <f>EXP(-LN(2)/35)*FQ162+(1-EXP(-LN(2)/35))/(LN(2)/35)*FM163*FN163*VLOOKUP('Données projet'!$B$16,Paramètres!$A$1:$I$89,3,0)*0.475*44/12</f>
        <v>21.49516290161618</v>
      </c>
      <c r="FR163" s="21">
        <f>EXP(-LN(2)/25)*FR162+(1-EXP(-LN(2)/25))/(LN(2)/25)*Calculateur!FM163*Calculateur!FO163*VLOOKUP('Données projet'!$B$16,Paramètres!$A$1:$I$89,3,0)*0.475*44/12</f>
        <v>11.121680923834541</v>
      </c>
      <c r="FS163" s="21">
        <f>EXP(-LN(2)/2)*FS162+(1-EXP(-LN(2)/2))/(LN(2)/2)*FM163*FP163*VLOOKUP('Données projet'!$B$16,Paramètres!$A$1:$I$89,3,0)*0.475*44/12</f>
        <v>0</v>
      </c>
      <c r="FT163" s="22">
        <f t="shared" si="349"/>
        <v>32.616843825450722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projet'!$A$253:$I$273,2,0)</f>
        <v>#N/A</v>
      </c>
      <c r="FX163" s="12" t="e">
        <f>VLOOKUP(A163,'Données projet'!$A$253:$I$273,9,0)</f>
        <v>#N/A</v>
      </c>
      <c r="FY163" s="12">
        <f t="array" ref="FY163">INDEX(FX:FX,MIN(IF(ISNUMBER(FX163:FX359),ROW(FX163:FX359),"")))</f>
        <v>0</v>
      </c>
      <c r="FZ163" s="12">
        <f>IF('Données projet'!$A$254&gt;35,FZ162+FY163-GH162,IF(A163&lt;'Données projet'!$A$254,$FW$205^A163,IF(A163='Données projet'!$A$254,'Données projet'!$B$254,FZ162+FY163-GH162)))</f>
        <v>-1.7053025658242404E-13</v>
      </c>
      <c r="GA163" s="17">
        <f>FZ163*VLOOKUP('Données projet'!$B$17,Paramètres!$A$1:$I$89,3,0)*VLOOKUP('Données projet'!$B$17,Paramètres!$A$1:$I$89,5,0)</f>
        <v>-1.4897523215040567E-13</v>
      </c>
      <c r="GB163" s="13" t="e">
        <f t="shared" si="350"/>
        <v>#NUM!</v>
      </c>
      <c r="GC163" s="20" t="e">
        <f t="shared" si="351"/>
        <v>#NUM!</v>
      </c>
      <c r="GD163" s="59" t="e">
        <f t="shared" si="249"/>
        <v>#NUM!</v>
      </c>
      <c r="GE163" s="59">
        <f ca="1">AVERAGE(OFFSET($GD$3,0,0,'Données projet'!$E$17+1,1))-AVERAGE(OFFSET($H$3,0,0,'Données projet'!$E$17+1,1))</f>
        <v>245.1983232777614</v>
      </c>
      <c r="GF163" s="59">
        <f t="shared" si="303"/>
        <v>242.34010522344573</v>
      </c>
      <c r="GG163" s="15">
        <f>IF(ISNA(VLOOKUP(A163,'Données projet'!$A$253:$I$273,3,0)),0,VLOOKUP(A163,'Données projet'!$A$253:$I$273,3,0))</f>
        <v>0</v>
      </c>
      <c r="GH163" s="15">
        <f>IF(ISNA(VLOOKUP(A163,'Données projet'!$A$253:$I$273,4,0)),0,VLOOKUP(A163,'Données projet'!$A$253:$I$273,4,0))</f>
        <v>0</v>
      </c>
      <c r="GI163" s="16">
        <f>IF(ISNA(VLOOKUP(A163,'Données projet'!$A$253:$I$273,5,0)),0%,VLOOKUP(A163,'Données projet'!$A$253:$I$273,5,0)*VLOOKUP('Données projet'!$B$17,Paramètres!$A$1:$I$89,7,0))</f>
        <v>0</v>
      </c>
      <c r="GJ163" s="16">
        <f>IF(ISNA(VLOOKUP(A163,'Données projet'!$A$253:$I$273,6,0)),0%,VLOOKUP(A163,'Données projet'!$A$253:$I$273,6,0)*VLOOKUP('Données projet'!$B$17,Paramètres!$A$1:$I$89,7,0))</f>
        <v>0</v>
      </c>
      <c r="GK163" s="16">
        <f>IF(ISNA(VLOOKUP(A163,'Données projet'!$A$253:$I$273,7,0)),0%,VLOOKUP(A163,'Données projet'!$A$253:$I$273,7,0))</f>
        <v>0</v>
      </c>
      <c r="GL163" s="21">
        <f>EXP(-LN(2)/35)*GL162+(1-EXP(-LN(2)/35))/(LN(2)/35)*GH163*GI163*VLOOKUP('Données projet'!$B$17,Paramètres!$A$1:$I$89,3,0)*0.475*44/12</f>
        <v>25.270513176570596</v>
      </c>
      <c r="GM163" s="21">
        <f>EXP(-LN(2)/25)*GM162+(1-EXP(-LN(2)/25))/(LN(2)/25)*Calculateur!GH163*Calculateur!GJ163*VLOOKUP('Données projet'!$B$17,Paramètres!$A$1:$I$89,3,0)*0.475*44/12</f>
        <v>2.3697592625505264</v>
      </c>
      <c r="GN163" s="21">
        <f>EXP(-LN(2)/2)*GN162+(1-EXP(-LN(2)/2))/(LN(2)/2)*GH163*GK163*VLOOKUP('Données projet'!$B$17,Paramètres!$A$1:$I$89,3,0)*0.475*44/12</f>
        <v>0</v>
      </c>
      <c r="GO163" s="21">
        <f t="shared" si="352"/>
        <v>27.640272439121123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projet'!$A$279:$I$299,2,0)</f>
        <v>#N/A</v>
      </c>
      <c r="GS163" s="12" t="e">
        <f>VLOOKUP(A163,'Données projet'!$A$279:$I$299,9,0)</f>
        <v>#N/A</v>
      </c>
      <c r="GT163" s="12">
        <f t="array" ref="GT163">INDEX(GS:GS,MIN(IF(ISNUMBER(GS163:GS359),ROW(GS163:GS359),"")))</f>
        <v>0</v>
      </c>
      <c r="GU163" s="12">
        <f>IF('Données projet'!$A$280&gt;35,GU162+GT163-HC162,IF(A163&lt;'Données projet'!$A$280,$GR$205^A163,IF(A163='Données projet'!$A$280,'Données projet'!$B$280,GU162+GT163-HC162)))</f>
        <v>-1.1368683772161603E-13</v>
      </c>
      <c r="GV163" s="17">
        <f>GU163*VLOOKUP('Données projet'!$B$18,Paramètres!$A$1:$I$89,3,0)*VLOOKUP('Données projet'!$B$18,Paramètres!$A$1:$I$89,5,0)</f>
        <v>-4.5815795601811263E-14</v>
      </c>
      <c r="GW163" s="13" t="e">
        <f t="shared" si="353"/>
        <v>#NUM!</v>
      </c>
      <c r="GX163" s="20" t="e">
        <f t="shared" si="354"/>
        <v>#NUM!</v>
      </c>
      <c r="GY163" s="59" t="e">
        <f t="shared" si="252"/>
        <v>#NUM!</v>
      </c>
      <c r="GZ163" s="59">
        <f ca="1">AVERAGE(OFFSET($GY$3,0,0,'Données projet'!$E$18+1,1))-AVERAGE(OFFSET($H$3,0,0,'Données projet'!$E$18+1,1))</f>
        <v>324.36162935850876</v>
      </c>
      <c r="HA163" s="59">
        <f t="shared" si="305"/>
        <v>265.23571072429735</v>
      </c>
      <c r="HB163" s="15">
        <f>IF(ISNA(VLOOKUP(A163,'Données projet'!$A$279:$I$299,3,0)),0,VLOOKUP(A163,'Données projet'!$A$279:$I$299,3,0))</f>
        <v>0</v>
      </c>
      <c r="HC163" s="15">
        <f>IF(ISNA(VLOOKUP(A163,'Données projet'!$A$279:$I$299,4,0)),0,VLOOKUP(A163,'Données projet'!$A$279:$I$299,4,0))</f>
        <v>0</v>
      </c>
      <c r="HD163" s="16">
        <f>IF(ISNA(VLOOKUP(A163,'Données projet'!$A$279:$I$299,5,0)),0%,VLOOKUP(A163,'Données projet'!$A$279:$I$299,5,0)*VLOOKUP('Données projet'!$B$18,Paramètres!$A$1:$I$89,7,0))</f>
        <v>0</v>
      </c>
      <c r="HE163" s="16">
        <f>IF(ISNA(VLOOKUP(A163,'Données projet'!$A$279:$I$299,6,0)),0%,VLOOKUP(A163,'Données projet'!$A$279:$I$299,6,0)*VLOOKUP('Données projet'!$B$18,Paramètres!$A$1:$I$89,7,0))</f>
        <v>0</v>
      </c>
      <c r="HF163" s="16">
        <f>IF(ISNA(VLOOKUP($A163,'Données projet'!$A$279:$I$299,7,0)),0%,VLOOKUP($A163,'Données projet'!$A$279:$I$299,7,0))</f>
        <v>0</v>
      </c>
      <c r="HG163" s="21">
        <f>EXP(-LN(2)/35)*HG162+(1-EXP(-LN(2)/35))/(LN(2)/35)*HC163*HD163*VLOOKUP('Données projet'!$B$18,Paramètres!$A$1:$I$89,3,0)*0.475*44/12</f>
        <v>48.424909433795996</v>
      </c>
      <c r="HH163" s="21">
        <f>EXP(-LN(2)/25)*HH162+(1-EXP(-LN(2)/25))/(LN(2)/25)*Calculateur!HC163*Calculateur!HE163*VLOOKUP('Données projet'!$B$18,Paramètres!$A$1:$I$89,3,0)*0.475*44/12</f>
        <v>2.6355961694457304</v>
      </c>
      <c r="HI163" s="21">
        <f>EXP(-LN(2)/2)*HI162+(1-EXP(-LN(2)/2))/(LN(2)/2)*HC163*HF163*VLOOKUP('Données projet'!$B$18,Paramètres!$A$1:$I$89,3,0)*0.475*44/12</f>
        <v>7.773641945623174E-12</v>
      </c>
      <c r="HJ163" s="22">
        <f t="shared" si="355"/>
        <v>51.060505603249503</v>
      </c>
      <c r="HK163" s="74">
        <f>('Scénario référence'!$F$8+'Scénario référence'!$F$9+'Scénario référence'!$B$17+'Scénario référence'!$B$9+'Scénario référence'!$B$10)*70+IF((45+25*(1-EXP(-0.0175*$A163)))&lt;70,'Scénario référence'!$B$16*(45+25*(1-EXP(-0.0175*$A163))),70*'Scénario référence'!$B$16)+IF((32+38*(1-EXP(-0.0175*$A163)))&lt;70,'Scénario référence'!$B$18*(32+38*(1-EXP(-0.0175*$A163))),70*'Scénario référence'!$B$18)</f>
        <v>70</v>
      </c>
      <c r="HL163" s="12">
        <f>IF($A163&gt;30,10,('Scénario référence'!$B$16+'Scénario référence'!$B$17+'Scénario référence'!$B$18+'Scénario référence'!$B$9+'Scénario référence'!$B$10)*$A163*10/30+('Scénario référence'!$F$8+'Scénario référence'!$F$9)*10)</f>
        <v>10</v>
      </c>
      <c r="HM163" s="12" t="e">
        <f>VLOOKUP($A163,'Données projet'!$A$304:$I$324,2,0)</f>
        <v>#N/A</v>
      </c>
      <c r="HN163" s="12" t="e">
        <f>VLOOKUP($A163,'Données projet'!$A$304:$I$324,9,0)</f>
        <v>#N/A</v>
      </c>
      <c r="HO163" s="12">
        <f t="array" ref="HO163">INDEX(HN:HN,MIN(IF(ISNUMBER(HN163:HN359),ROW(HN163:HN359),"")))</f>
        <v>0</v>
      </c>
      <c r="HP163" s="12">
        <f>IF('Données projet'!$A$304&gt;35,HP162+HO163-HX162,IF($A163&lt;'Données projet'!$A$304,$CQ$205^$A163,IF($A163='Données projet'!$A$304,'Données projet'!$B$304,HP162+HO163-HX162)))</f>
        <v>0</v>
      </c>
      <c r="HQ163" s="17">
        <f>HP163*VLOOKUP('Données projet'!$B$19,Paramètres!$A$1:$I$89,3,0)*VLOOKUP('Données projet'!$B$19,Paramètres!$A$1:$I$89,5,0)</f>
        <v>0</v>
      </c>
      <c r="HR163" s="13" t="e">
        <f t="shared" si="306"/>
        <v>#NUM!</v>
      </c>
      <c r="HS163" s="14" t="e">
        <f t="shared" si="254"/>
        <v>#NUM!</v>
      </c>
      <c r="HT163" s="59" t="e">
        <f t="shared" si="255"/>
        <v>#NUM!</v>
      </c>
      <c r="HU163" s="59">
        <f ca="1">AVERAGE(OFFSET(HT$3,0,0,'Données projet'!$E$19+1,1))-AVERAGE(OFFSET($H$3,0,0,'Données projet'!$E$19+1,1))</f>
        <v>91.60721429656013</v>
      </c>
      <c r="HV163" s="59">
        <f t="shared" si="307"/>
        <v>258.94957804210856</v>
      </c>
      <c r="HW163" s="15">
        <f>IF(ISNA(VLOOKUP($A163,'Données projet'!$A$304:$I$324,3,0)),0,VLOOKUP($A163,'Données projet'!$A$304:$I$324,3,0))</f>
        <v>0</v>
      </c>
      <c r="HX163" s="15">
        <f>IF(ISNA(VLOOKUP($A163,'Données projet'!$A$304:$I$324,4,0)),0,VLOOKUP($A163,'Données projet'!$A$304:$I$324,4,0))</f>
        <v>0</v>
      </c>
      <c r="HY163" s="16">
        <f>IF(ISNA(VLOOKUP($A163,'Données projet'!$A$304:$I$324,5,0)),0%,VLOOKUP($A163,'Données projet'!$A$304:$I$324,5,0)*VLOOKUP('Données projet'!$B$19,Paramètres!$A$1:$I$89,7,0))</f>
        <v>0</v>
      </c>
      <c r="HZ163" s="16">
        <f>IF(ISNA(VLOOKUP($A163,'Données projet'!$A$304:$I$324,6,0)),0%,VLOOKUP($A163,'Données projet'!$A$304:$I$324,6,0)*VLOOKUP('Données projet'!$B$19,Paramètres!$A$1:$I$89,7,0))</f>
        <v>0</v>
      </c>
      <c r="IA163" s="16">
        <f>IF(ISNA(VLOOKUP($A163,'Données projet'!$A$304:$I$324,7,0)),0%,VLOOKUP($A163,'Données projet'!$A$304:$I$324,7,0))</f>
        <v>0</v>
      </c>
      <c r="IB163" s="21">
        <f>EXP(-LN(2)/35)*IB162+(1-EXP(-LN(2)/35))/(LN(2)/35)*HX163*HY163*VLOOKUP('Données projet'!$B$19,Paramètres!$A$1:$I$89,3,0)*0.475*44/12</f>
        <v>3.7585775402822938</v>
      </c>
      <c r="IC163" s="21">
        <f>EXP(-LN(2)/25)*IC162+(1-EXP(-LN(2)/25))/(LN(2)/25)*Calculateur!HX163*Calculateur!HZ163*VLOOKUP('Données projet'!$B$19,Paramètres!$A$1:$I$89,3,0)*0.475*44/12</f>
        <v>0.26463993554701037</v>
      </c>
      <c r="ID163" s="21">
        <f>EXP(-LN(2)/2)*ID162+(1-EXP(-LN(2)/2))/(LN(2)/2)*HX163*IA163*VLOOKUP('Données projet'!$B$19,Paramètres!$A$1:$I$89,3,0)*0.475*44/12</f>
        <v>1.5527193022654098E-20</v>
      </c>
      <c r="IE163" s="22">
        <f t="shared" si="256"/>
        <v>4.0232174758293038</v>
      </c>
      <c r="IF163" s="74">
        <f>('Scénario référence'!$F$8+'Scénario référence'!$F$9+'Scénario référence'!$B$17+'Scénario référence'!$B$9+'Scénario référence'!$B$10)*70+IF((45+25*(1-EXP(-0.0175*$A163)))&lt;70,'Scénario référence'!$B$16*(45+25*(1-EXP(-0.0175*$A163))),70*'Scénario référence'!$B$16)+IF((32+38*(1-EXP(-0.0175*$A163)))&lt;70,'Scénario référence'!$B$18*(32+38*(1-EXP(-0.0175*$A163))),70*'Scénario référence'!$B$18)</f>
        <v>70</v>
      </c>
      <c r="IG163" s="12">
        <f>IF($A163&gt;30,10,('Scénario référence'!$B$16+'Scénario référence'!$B$17+'Scénario référence'!$B$18+'Scénario référence'!$B$9+'Scénario référence'!$B$10)*$A163*10/30+('Scénario référence'!$F$8+'Scénario référence'!$F$9)*10)</f>
        <v>10</v>
      </c>
      <c r="IH163" s="12" t="e">
        <f>VLOOKUP($A163,'Données projet'!$A$330:$I$350,2,0)</f>
        <v>#N/A</v>
      </c>
      <c r="II163" s="12" t="e">
        <f>VLOOKUP($A163,'Données projet'!$A$330:$I$350,9,0)</f>
        <v>#N/A</v>
      </c>
      <c r="IJ163" s="12">
        <f t="array" ref="IJ163">INDEX(II:II,MIN(IF(ISNUMBER(II163:II359),ROW(II163:II359),"")))</f>
        <v>0</v>
      </c>
      <c r="IK163" s="12">
        <f>IF('Données projet'!$A$330&gt;35,IK162+IJ163-IS162,IF($A163&lt;'Données projet'!$A$330,$CQ$205^$A163,IF($A163='Données projet'!$A$330,'Données projet'!$B$330,IK162+IJ163-IS162)))</f>
        <v>0</v>
      </c>
      <c r="IL163" s="17">
        <f>IK163*VLOOKUP('Données projet'!$B$20,Paramètres!$A$1:$I$89,3,0)*VLOOKUP('Données projet'!$B$20,Paramètres!$A$1:$I$89,5,0)</f>
        <v>0</v>
      </c>
      <c r="IM163" s="13" t="e">
        <f t="shared" si="308"/>
        <v>#NUM!</v>
      </c>
      <c r="IN163" s="20" t="e">
        <f t="shared" si="257"/>
        <v>#NUM!</v>
      </c>
      <c r="IO163" s="59" t="e">
        <f t="shared" si="258"/>
        <v>#NUM!</v>
      </c>
      <c r="IP163" s="59">
        <f ca="1">AVERAGE(OFFSET(IO$3,0,0,'Données projet'!$E$20+1,1))-AVERAGE(OFFSET($H$3,0,0,'Données projet'!$E$20+1,1))</f>
        <v>91.60721429656013</v>
      </c>
      <c r="IQ163" s="59">
        <f t="shared" si="309"/>
        <v>258.94957804210856</v>
      </c>
      <c r="IR163" s="15">
        <f>IF(ISNA(VLOOKUP($A163,'Données projet'!$A$330:$I$350,3,0)),0,VLOOKUP($A163,'Données projet'!$A$330:$I$350,3,0))</f>
        <v>0</v>
      </c>
      <c r="IS163" s="15">
        <f>IF(ISNA(VLOOKUP($A163,'Données projet'!$A$330:$I$350,4,0)),0,VLOOKUP($A163,'Données projet'!$A$330:$I$350,4,0))</f>
        <v>0</v>
      </c>
      <c r="IT163" s="16">
        <f>IF(ISNA(VLOOKUP($A163,'Données projet'!$A$330:$I$350,5,0)),0%,VLOOKUP($A163,'Données projet'!$A$330:$I$350,5,0)*VLOOKUP('Données projet'!$B$20,Paramètres!$A$1:$I$89,7,0))</f>
        <v>0</v>
      </c>
      <c r="IU163" s="16">
        <f>IF(ISNA(VLOOKUP($A163,'Données projet'!$A$330:$I$350,6,0)),0%,VLOOKUP($A163,'Données projet'!$A$330:$I$350,6,0)*VLOOKUP('Données projet'!$B$20,Paramètres!$A$1:$I$89,7,0))</f>
        <v>0</v>
      </c>
      <c r="IV163" s="16">
        <f>IF(ISNA(VLOOKUP($A163,'Données projet'!$A$330:$I$350,7,0)),0%,VLOOKUP($A163,'Données projet'!$A$330:$I$350,7,0))</f>
        <v>0</v>
      </c>
      <c r="IW163" s="21">
        <f>EXP(-LN(2)/35)*IW162+(1-EXP(-LN(2)/35))/(LN(2)/35)*IS163*IT163*VLOOKUP('Données projet'!$B$20,Paramètres!$A$1:$I$89,3,0)*0.475*44/12</f>
        <v>3.7585775402822938</v>
      </c>
      <c r="IX163" s="21">
        <f>EXP(-LN(2)/25)*IX162+(1-EXP(-LN(2)/25))/(LN(2)/25)*Calculateur!IS163*Calculateur!IU163*VLOOKUP('Données projet'!$B$20,Paramètres!$A$1:$I$89,3,0)*0.475*44/12</f>
        <v>0.26463993554701037</v>
      </c>
      <c r="IY163" s="21">
        <f>EXP(-LN(2)/2)*IY162+(1-EXP(-LN(2)/2))/(LN(2)/2)*IS163*IV163*VLOOKUP('Données projet'!$B$20,Paramètres!$A$1:$I$89,3,0)*0.475*44/12</f>
        <v>1.5527193022654098E-20</v>
      </c>
      <c r="IZ163" s="22">
        <f t="shared" si="259"/>
        <v>4.0232174758293038</v>
      </c>
      <c r="JA163" s="74">
        <f>('Scénario référence'!$F$8+'Scénario référence'!$F$9+'Scénario référence'!$B$17+'Scénario référence'!$B$9+'Scénario référence'!$B$10)*70+IF((45+25*(1-EXP(-0.0175*$A163)))&lt;70,'Scénario référence'!$B$16*(45+25*(1-EXP(-0.0175*$A163))),70*'Scénario référence'!$B$16)+IF((32+38*(1-EXP(-0.0175*$A163)))&lt;70,'Scénario référence'!$B$18*(32+38*(1-EXP(-0.0175*$A163))),70*'Scénario référence'!$B$18)</f>
        <v>70</v>
      </c>
      <c r="JB163" s="12">
        <f>IF($A163&gt;30,10,('Scénario référence'!$B$16+'Scénario référence'!$B$17+'Scénario référence'!$B$18+'Scénario référence'!$B$9+'Scénario référence'!$B$10)*$A163*10/30+('Scénario référence'!$F$8+'Scénario référence'!$F$9)*10)</f>
        <v>10</v>
      </c>
      <c r="JC163" s="12" t="e">
        <f>VLOOKUP($A163,'Données projet'!$A$356:$I$376,2,0)</f>
        <v>#N/A</v>
      </c>
      <c r="JD163" s="12" t="e">
        <f>VLOOKUP($A163,'Données projet'!$A$356:$I$376,9,0)</f>
        <v>#N/A</v>
      </c>
      <c r="JE163" s="12">
        <f t="array" ref="JE163">INDEX(JD:JD,MIN(IF(ISNUMBER(JD163:JD359),ROW(JD163:JD359),"")))</f>
        <v>0</v>
      </c>
      <c r="JF163" s="12">
        <f>IF('Données projet'!$A$356&gt;35,JF162+JE163-JN162,IF($A163&lt;'Données projet'!$A$356,$CQ$205^$A163,IF($A163='Données projet'!$A$356,'Données projet'!$B$356,JF162+JE163-JN162)))</f>
        <v>-1.3073986337985843E-12</v>
      </c>
      <c r="JG163" s="17">
        <f>JF163*VLOOKUP('Données projet'!$B$21,Paramètres!$A$1:$I$89,3,0)*VLOOKUP('Données projet'!$B$21,Paramètres!$A$1:$I$89,5,0)</f>
        <v>-1.0605617717374117E-12</v>
      </c>
      <c r="JH163" s="13" t="e">
        <f t="shared" si="310"/>
        <v>#NUM!</v>
      </c>
      <c r="JI163" s="20" t="e">
        <f t="shared" si="260"/>
        <v>#NUM!</v>
      </c>
      <c r="JJ163" s="59" t="e">
        <f t="shared" si="261"/>
        <v>#NUM!</v>
      </c>
      <c r="JK163" s="59">
        <f ca="1">AVERAGE(OFFSET($JJ$3,0,0,'Données projet'!$E$22+1,1))-AVERAGE(OFFSET($H$3,0,0,'Données projet'!$E$22+1,1))</f>
        <v>353.35574633294613</v>
      </c>
      <c r="JL163" s="59">
        <f t="shared" si="311"/>
        <v>170.36796666474726</v>
      </c>
      <c r="JM163" s="15">
        <f>IF(ISNA(VLOOKUP($A163,'Données projet'!$A$356:$I$376,3,0)),0,VLOOKUP($A163,'Données projet'!$A$356:$I$376,3,0))</f>
        <v>0</v>
      </c>
      <c r="JN163" s="15">
        <f>IF(ISNA(VLOOKUP($A163,'Données projet'!$A$356:$I$376,4,0)),0,VLOOKUP($A163,'Données projet'!$A$356:$I$376,4,0))</f>
        <v>0</v>
      </c>
      <c r="JO163" s="16">
        <f>IF(ISNA(VLOOKUP($A163,'Données projet'!$A$356:$I$376,5,0)),0%,VLOOKUP($A163,'Données projet'!$A$356:$I$376,5,0)*VLOOKUP('Données projet'!$B$21,Paramètres!$A$1:$I$89,7,0))</f>
        <v>0</v>
      </c>
      <c r="JP163" s="16">
        <f>IF(ISNA(VLOOKUP($A163,'Données projet'!$A$356:$I$376,6,0)),0%,VLOOKUP($A163,'Données projet'!$A$356:$I$376,6,0)*VLOOKUP('Données projet'!$B$21,Paramètres!$A$1:$I$89,7,0))</f>
        <v>0</v>
      </c>
      <c r="JQ163" s="16">
        <f>IF(ISNA(VLOOKUP($A163,'Données projet'!$A$356:$I$376,7,0)),0%,VLOOKUP($A163,'Données projet'!$A$356:$I$376,7,0))</f>
        <v>0</v>
      </c>
      <c r="JR163" s="21">
        <f>EXP(-LN(2)/35)*JR162+(1-EXP(-LN(2)/35))/(LN(2)/35)*JN163*JO163*VLOOKUP('Données projet'!$B$21,Paramètres!$A$1:$I$89,3,0)*0.475*44/12</f>
        <v>60.255602480054421</v>
      </c>
      <c r="JS163" s="21">
        <f>EXP(-LN(2)/25)*JS162+(1-EXP(-LN(2)/25))/(LN(2)/25)*Calculateur!JN163*Calculateur!JP163*VLOOKUP('Données projet'!$B$21,Paramètres!$A$1:$I$89,3,0)*0.475*44/12</f>
        <v>57.920776818942834</v>
      </c>
      <c r="JT163" s="21">
        <f>EXP(-LN(2)/2)*JT162+(1-EXP(-LN(2)/2))/(LN(2)/2)*JN163*JQ163*VLOOKUP('Données projet'!$B$21,Paramètres!$A$1:$I$89,3,0)*0.475*44/12</f>
        <v>1.0715914659863175</v>
      </c>
      <c r="JU163" s="18">
        <f t="shared" si="262"/>
        <v>119.24797076498358</v>
      </c>
      <c r="JV163" s="74">
        <f>('Scénario référence'!$F$8+'Scénario référence'!$F$9+'Scénario référence'!$B$17+'Scénario référence'!$B$9+'Scénario référence'!$B$10)*70+IF((45+25*(1-EXP(-0.0175*$A163)))&lt;70,'Scénario référence'!$B$16*(45+25*(1-EXP(-0.0175*$A163))),70*'Scénario référence'!$B$16)+IF((32+38*(1-EXP(-0.0175*$A163)))&lt;70,'Scénario référence'!$B$18*(32+38*(1-EXP(-0.0175*$A163))),70*'Scénario référence'!$B$18)</f>
        <v>70</v>
      </c>
      <c r="JW163" s="12">
        <f>IF($A163&gt;30,10,('Scénario référence'!$B$16+'Scénario référence'!$B$17+'Scénario référence'!$B$18+'Scénario référence'!$B$9+'Scénario référence'!$B$10)*$A163*10/30+('Scénario référence'!$F$8+'Scénario référence'!$F$9)*10)</f>
        <v>10</v>
      </c>
      <c r="JX163" s="12" t="e">
        <f>VLOOKUP($A163,'Données projet'!$A$382:$I$402,2,0)</f>
        <v>#N/A</v>
      </c>
      <c r="JY163" s="12" t="e">
        <f>VLOOKUP($A163,'Données projet'!$A$382:$I$402,9,0)</f>
        <v>#N/A</v>
      </c>
      <c r="JZ163" s="12">
        <f t="array" ref="JZ163">INDEX(JY:JY,MIN(IF(ISNUMBER(JY163:JY359),ROW(JY163:JY359),"")))</f>
        <v>0</v>
      </c>
      <c r="KA163" s="12">
        <f>IF('Données projet'!$A$382&gt;35,KA162+JZ163-KI162,IF($A163&lt;'Données projet'!$A$382,$CQ$205^$A163,IF($A163='Données projet'!$A$382,'Données projet'!$B$382,KA162+JZ163-KI162)))</f>
        <v>5.6843418860808015E-13</v>
      </c>
      <c r="KB163" s="17">
        <f>KA163*VLOOKUP('Données projet'!$B$22,Paramètres!$A$1:$I$89,3,0)*VLOOKUP('Données projet'!$B$22,Paramètres!$A$1:$I$89,5,0)</f>
        <v>3.8130565371830017E-13</v>
      </c>
      <c r="KC163" s="13">
        <f t="shared" si="312"/>
        <v>4.9019074112354236E-12</v>
      </c>
      <c r="KD163" s="20">
        <f t="shared" si="263"/>
        <v>9.2015960881277352E-12</v>
      </c>
      <c r="KE163" s="59">
        <f t="shared" si="264"/>
        <v>293.33333333334252</v>
      </c>
      <c r="KF163" s="59">
        <f ca="1">AVERAGE(OFFSET($KE$3,0,0,'Données projet'!$E$22+1,1))-AVERAGE(OFFSET($H$3,0,0,'Données projet'!$E$22+1,1))</f>
        <v>193.91714772848269</v>
      </c>
      <c r="KG163" s="59">
        <f t="shared" si="313"/>
        <v>159.20429420478047</v>
      </c>
      <c r="KH163" s="15">
        <f>IF(ISNA(VLOOKUP($A163,'Données projet'!$A$382:$I$402,3,0)),0,VLOOKUP($A163,'Données projet'!$A$382:$I$402,3,0))</f>
        <v>0</v>
      </c>
      <c r="KI163" s="15">
        <f>IF(ISNA(VLOOKUP($A163,'Données projet'!$A$382:$I$402,4,0)),0,VLOOKUP($A163,'Données projet'!$A$382:$I$402,4,0))</f>
        <v>0</v>
      </c>
      <c r="KJ163" s="16">
        <f>IF(ISNA(VLOOKUP($A163,'Données projet'!$A$382:$I$402,5,0)),0%,VLOOKUP($A163,'Données projet'!$A$382:$I$402,5,0)*VLOOKUP('Données projet'!$B$22,Paramètres!$A$1:$I$89,7,0))</f>
        <v>0</v>
      </c>
      <c r="KK163" s="16">
        <f>IF(ISNA(VLOOKUP($A163,'Données projet'!$A$382:$I$402,6,0)),0%,VLOOKUP($A163,'Données projet'!$A$382:$I$402,6,0)*VLOOKUP('Données projet'!$B$22,Paramètres!$A$1:$I$89,7,0))</f>
        <v>0</v>
      </c>
      <c r="KL163" s="16">
        <f>IF(ISNA(VLOOKUP($A163,'Données projet'!$A$382:$I$402,7,0)),0%,VLOOKUP($A163,'Données projet'!$A$382:$I$402,7,0))</f>
        <v>0</v>
      </c>
      <c r="KM163" s="21">
        <f>EXP(-LN(2)/35)*KM162+(1-EXP(-LN(2)/35))/(LN(2)/35)*KI163*KJ163*VLOOKUP('Données projet'!$B$22,Paramètres!$A$1:$I$89,3,0)*0.475*44/12</f>
        <v>87.979829982785731</v>
      </c>
      <c r="KN163" s="21">
        <f>EXP(-LN(2)/25)*KN162+(1-EXP(-LN(2)/25))/(LN(2)/25)*Calculateur!KI163*Calculateur!KK163*VLOOKUP('Données projet'!$B$22,Paramètres!$A$1:$I$89,3,0)*0.475*44/12</f>
        <v>0</v>
      </c>
      <c r="KO163" s="21">
        <f>EXP(-LN(2)/2)*KO162+(1-EXP(-LN(2)/2))/(LN(2)/2)*KI163*KL163*VLOOKUP('Données projet'!$B$22,Paramètres!$A$1:$I$89,3,0)*0.475*44/12</f>
        <v>0</v>
      </c>
      <c r="KP163" s="22">
        <f t="shared" si="265"/>
        <v>87.979829982785731</v>
      </c>
      <c r="KQ163" s="74">
        <f>('Scénario référence'!$F$8+'Scénario référence'!$F$9+'Scénario référence'!$B$17+'Scénario référence'!$B$9+'Scénario référence'!$B$10)*70+IF((45+25*(1-EXP(-0.0175*$A163)))&lt;70,'Scénario référence'!$B$16*(45+25*(1-EXP(-0.0175*$A163))),70*'Scénario référence'!$B$16)+IF((32+38*(1-EXP(-0.0175*$A163)))&lt;70,'Scénario référence'!$B$18*(32+38*(1-EXP(-0.0175*$A163))),70*'Scénario référence'!$B$18)</f>
        <v>70</v>
      </c>
      <c r="KR163" s="12">
        <f>IF($A163&gt;30,10,('Scénario référence'!$B$16+'Scénario référence'!$B$17+'Scénario référence'!$B$18+'Scénario référence'!$B$9+'Scénario référence'!$B$10)*$A163*10/30+('Scénario référence'!$F$8+'Scénario référence'!$F$9)*10)</f>
        <v>10</v>
      </c>
      <c r="KS163" s="12" t="e">
        <f>VLOOKUP($A163,'Données projet'!$A$408:$I$428,2,0)</f>
        <v>#N/A</v>
      </c>
      <c r="KT163" s="12" t="e">
        <f>VLOOKUP($A163,'Données projet'!$A$408:$I$428,9,0)</f>
        <v>#N/A</v>
      </c>
      <c r="KU163" s="12">
        <f t="array" ref="KU163">INDEX(KT:KT,MIN(IF(ISNUMBER(KT163:KT359),ROW(KT163:KT359),"")))</f>
        <v>0</v>
      </c>
      <c r="KV163" s="12">
        <f>IF('Données projet'!$A$408&gt;35,KV162+KU163-LD162,IF($A163&lt;'Données projet'!$A$408,$CQ$205^$A163,IF($A163='Données projet'!$A$408,'Données projet'!$B$408,KV162+KU163-LD162)))</f>
        <v>-1.1368683772161603E-13</v>
      </c>
      <c r="KW163" s="17">
        <f>KV163*VLOOKUP('Données projet'!$B$23,Paramètres!$A$1:$I$89,3,0)*VLOOKUP('Données projet'!$B$23,Paramètres!$A$1:$I$89,5,0)</f>
        <v>-9.9316821433603781E-14</v>
      </c>
      <c r="KX163" s="13" t="e">
        <f t="shared" si="314"/>
        <v>#NUM!</v>
      </c>
      <c r="KY163" s="14" t="e">
        <f t="shared" si="266"/>
        <v>#NUM!</v>
      </c>
      <c r="KZ163" s="59" t="e">
        <f t="shared" si="267"/>
        <v>#NUM!</v>
      </c>
      <c r="LA163" s="59">
        <f ca="1">AVERAGE(OFFSET($KZ$3,0,0,'Données projet'!$E$23+1,1))-AVERAGE(OFFSET($H$3,0,0,'Données projet'!$E$23+1,1))</f>
        <v>248.33596943633819</v>
      </c>
      <c r="LB163" s="59">
        <f t="shared" si="315"/>
        <v>242.34010522344573</v>
      </c>
      <c r="LC163" s="15">
        <f>IF(ISNA(VLOOKUP($A163,'Données projet'!$A$408:$I$428,3,0)),0,VLOOKUP($A163,'Données projet'!$A$408:$I$428,3,0))</f>
        <v>0</v>
      </c>
      <c r="LD163" s="15">
        <f>IF(ISNA(VLOOKUP($A163,'Données projet'!$A$408:$I$428,4,0)),0,VLOOKUP($A163,'Données projet'!$A$408:$I$428,4,0))</f>
        <v>0</v>
      </c>
      <c r="LE163" s="16">
        <f>IF(ISNA(VLOOKUP($A163,'Données projet'!$A$408:$I$428,5,0)),0%,VLOOKUP($A163,'Données projet'!$A$408:$I$428,5,0)*VLOOKUP('Données projet'!$B$23,Paramètres!$A$1:$I$89,7,0))</f>
        <v>0</v>
      </c>
      <c r="LF163" s="16">
        <f>IF(ISNA(VLOOKUP($A163,'Données projet'!$A$408:$I$428,6,0)),0%,VLOOKUP($A163,'Données projet'!$A$408:$I$428,6,0)*VLOOKUP('Données projet'!$B$23,Paramètres!$A$1:$I$89,7,0))</f>
        <v>0</v>
      </c>
      <c r="LG163" s="16">
        <f>IF(ISNA(VLOOKUP($A163,'Données projet'!$A$408:$I$428,7,0)),0%,VLOOKUP($A163,'Données projet'!$A$408:$I$428,7,0))</f>
        <v>0</v>
      </c>
      <c r="LH163" s="21">
        <f>EXP(-LN(2)/35)*LH162+(1-EXP(-LN(2)/35))/(LN(2)/35)*LD163*LE163*VLOOKUP('Données projet'!$B$23,Paramètres!$A$1:$I$89,3,0)*0.475*44/12</f>
        <v>25.270513176570596</v>
      </c>
      <c r="LI163" s="21">
        <f>EXP(-LN(2)/25)*LI162+(1-EXP(-LN(2)/25))/(LN(2)/25)*Calculateur!LD163*Calculateur!LF163*VLOOKUP('Données projet'!$B$23,Paramètres!$A$1:$I$89,3,0)*0.475*44/12</f>
        <v>2.3697592625505264</v>
      </c>
      <c r="LJ163" s="21">
        <f>EXP(-LN(2)/2)*LJ162+(1-EXP(-LN(2)/2))/(LN(2)/2)*LD163*LG163*VLOOKUP('Données projet'!$B$23,Paramètres!$A$1:$I$89,3,0)*0.475*44/12</f>
        <v>0</v>
      </c>
      <c r="LK163" s="22">
        <f t="shared" si="268"/>
        <v>27.640272439121123</v>
      </c>
      <c r="LL163" s="74">
        <f>('Scénario référence'!$F$8+'Scénario référence'!$F$9+'Scénario référence'!$B$17+'Scénario référence'!$B$9+'Scénario référence'!$B$10)*70+IF((45+25*(1-EXP(-0.0175*$A163)))&lt;70,'Scénario référence'!$B$16*(45+25*(1-EXP(-0.0175*$A163))),70*'Scénario référence'!$B$16)+IF((32+38*(1-EXP(-0.0175*$A163)))&lt;70,'Scénario référence'!$B$18*(32+38*(1-EXP(-0.0175*$A163))),70*'Scénario référence'!$B$18)</f>
        <v>70</v>
      </c>
      <c r="LM163" s="12">
        <f>IF($A163&gt;30,10,('Scénario référence'!$B$16+'Scénario référence'!$B$17+'Scénario référence'!$B$18+'Scénario référence'!$B$9+'Scénario référence'!$B$10)*$A163*10/30+('Scénario référence'!$F$8+'Scénario référence'!$F$9)*10)</f>
        <v>10</v>
      </c>
      <c r="LN163" s="12" t="e">
        <f>VLOOKUP($A163,'Données projet'!$A$434:$I$454,2,0)</f>
        <v>#N/A</v>
      </c>
      <c r="LO163" s="12" t="e">
        <f>VLOOKUP($A163,'Données projet'!$A$434:$I$454,9,0)</f>
        <v>#N/A</v>
      </c>
      <c r="LP163" s="12">
        <f t="array" ref="LP163">INDEX(LO:LO,MIN(IF(ISNUMBER(LO163:LO359),ROW(LO163:LO359),"")))</f>
        <v>1.1618589743589709</v>
      </c>
      <c r="LQ163" s="12">
        <f>IF('Données projet'!$A$434&gt;35,LQ162+LP163-LY162,IF($A163&lt;'Données projet'!$A$434,$CQ$205^$A163,IF($A163='Données projet'!$A$434,'Données projet'!$B$434,LQ162+LP163-LY162)))</f>
        <v>90.20352564102518</v>
      </c>
      <c r="LR163" s="17">
        <f>LQ163*VLOOKUP('Données projet'!$B$24,Paramètres!$A$1:$I$89,3,0)*VLOOKUP('Données projet'!$B$24,Paramètres!$A$1:$I$89,5,0)</f>
        <v>91.466374999999545</v>
      </c>
      <c r="LS163" s="13">
        <f t="shared" si="316"/>
        <v>24.918545994850898</v>
      </c>
      <c r="LT163" s="14">
        <f t="shared" si="269"/>
        <v>202.70373739936451</v>
      </c>
      <c r="LU163" s="59">
        <f t="shared" si="270"/>
        <v>496.03707073269783</v>
      </c>
      <c r="LV163" s="59">
        <f ca="1">AVERAGE(OFFSET($LU$3,0,0,'Données projet'!$E$24+1,1))-AVERAGE(OFFSET($H$3,0,0,'Données projet'!$E$24+1,1))</f>
        <v>260.52627655062872</v>
      </c>
      <c r="LW163" s="59">
        <f t="shared" si="317"/>
        <v>159.20429420478047</v>
      </c>
      <c r="LX163" s="15">
        <f>IF(ISNA(VLOOKUP($A163,'Données projet'!$A$434:$I$454,3,0)),0,VLOOKUP($A163,'Données projet'!$A$434:$I$454,3,0))</f>
        <v>0</v>
      </c>
      <c r="LY163" s="15">
        <f>IF(ISNA(VLOOKUP($A163,'Données projet'!$A$434:$I$454,4,0)),0,VLOOKUP($A163,'Données projet'!$A$434:$I$454,4,0))</f>
        <v>0</v>
      </c>
      <c r="LZ163" s="16">
        <f>IF(ISNA(VLOOKUP($A163,'Données projet'!$A$434:$I$454,5,0)),0%,VLOOKUP($A163,'Données projet'!$A$434:$I$454,5,0)*VLOOKUP('Données projet'!$B$24,Paramètres!$A$1:$I$89,7,0))</f>
        <v>0</v>
      </c>
      <c r="MA163" s="16">
        <f>IF(ISNA(VLOOKUP($A163,'Données projet'!$A$434:$I$454,6,0)),0%,VLOOKUP($A163,'Données projet'!$A$434:$I$454,6,0)*VLOOKUP('Données projet'!$B$24,Paramètres!$A$1:$I$89,7,0))</f>
        <v>0</v>
      </c>
      <c r="MB163" s="16">
        <f>IF(ISNA(VLOOKUP($A163,'Données projet'!$A$434:$I$454,7,0)),0%,VLOOKUP($A163,'Données projet'!$A$434:$I$454,7,0))</f>
        <v>0</v>
      </c>
      <c r="MC163" s="21">
        <f>EXP(-LN(2)/35)*MC162+(1-EXP(-LN(2)/35))/(LN(2)/35)*LY163*LZ163*VLOOKUP('Données projet'!$B$24,Paramètres!$A$1:$I$89,3,0)*0.475*44/12</f>
        <v>122.05315921694746</v>
      </c>
      <c r="MD163" s="21">
        <f>EXP(-LN(2)/25)*MD162+(1-EXP(-LN(2)/25))/(LN(2)/25)*Calculateur!LY163*Calculateur!MA163*VLOOKUP('Données projet'!$B$24,Paramètres!$A$1:$I$89,3,0)*0.475*44/12</f>
        <v>0</v>
      </c>
      <c r="ME163" s="21">
        <f>EXP(-LN(2)/2)*ME162+(1-EXP(-LN(2)/2))/(LN(2)/2)*LY163*MB163*VLOOKUP('Données projet'!$B$24,Paramètres!$A$1:$I$89,3,0)*0.475*44/12</f>
        <v>0</v>
      </c>
      <c r="MF163" s="22">
        <f t="shared" si="271"/>
        <v>122.05315921694746</v>
      </c>
      <c r="MG163" s="74">
        <f>('Scénario référence'!$F$8+'Scénario référence'!$F$9+'Scénario référence'!$B$17+'Scénario référence'!$B$9+'Scénario référence'!$B$10)*70+IF((45+25*(1-EXP(-0.0175*$A163)))&lt;70,'Scénario référence'!$B$16*(45+25*(1-EXP(-0.0175*$A163))),70*'Scénario référence'!$B$16)+IF((32+38*(1-EXP(-0.0175*$A163)))&lt;70,'Scénario référence'!$B$18*(32+38*(1-EXP(-0.0175*$A163))),70*'Scénario référence'!$B$18)</f>
        <v>70</v>
      </c>
      <c r="MH163" s="12">
        <f>IF($A163&gt;30,10,('Scénario référence'!$B$16+'Scénario référence'!$B$17+'Scénario référence'!$B$18+'Scénario référence'!$B$9+'Scénario référence'!$B$10)*$A163*10/30+('Scénario référence'!$F$8+'Scénario référence'!$F$9)*10)</f>
        <v>10</v>
      </c>
      <c r="MI163" s="12" t="e">
        <f>VLOOKUP($A163,'Données projet'!$A$460:$I$480,2,0)</f>
        <v>#N/A</v>
      </c>
      <c r="MJ163" s="12" t="e">
        <f>VLOOKUP($A163,'Données projet'!$A$460:$I$480,9,0)</f>
        <v>#N/A</v>
      </c>
      <c r="MK163" s="12">
        <f t="array" ref="MK163">INDEX(MJ:MJ,MIN(IF(ISNUMBER(MJ163:MJ359),ROW(MJ163:MJ359),"")))</f>
        <v>0</v>
      </c>
      <c r="ML163" s="12">
        <f>IF('Données projet'!$A$460&gt;35,ML162+MK163-MT162,IF($A163&lt;'Données projet'!$A$460,$CQ$205^$A163,IF($A163='Données projet'!$A$460,'Données projet'!$B$460,ML162+MK163-MT162)))</f>
        <v>0</v>
      </c>
      <c r="MM163" s="17" t="e">
        <f>ML163*VLOOKUP('Données projet'!$B$25,Paramètres!$A$1:$I$89,3,0)*VLOOKUP('Données projet'!$B$25,Paramètres!$A$1:$I$89,5,0)</f>
        <v>#N/A</v>
      </c>
      <c r="MN163" s="13" t="e">
        <f t="shared" si="318"/>
        <v>#N/A</v>
      </c>
      <c r="MO163" s="14" t="e">
        <f t="shared" si="272"/>
        <v>#N/A</v>
      </c>
      <c r="MP163" s="59" t="e">
        <f t="shared" si="273"/>
        <v>#N/A</v>
      </c>
      <c r="MQ163" s="20" t="e">
        <f ca="1">AVERAGE(OFFSET($MP$3,0,0,'Données projet'!$E$25+1,1))-AVERAGE(OFFSET($H$3,0,0,'Données projet'!$E$25+1,1))</f>
        <v>#N/A</v>
      </c>
      <c r="MR163" s="59" t="e">
        <f t="shared" si="319"/>
        <v>#N/A</v>
      </c>
      <c r="MS163" s="15">
        <f>IF(ISNA(VLOOKUP($A163,'Données projet'!$A$460:$I$480,3,0)),0,VLOOKUP($A163,'Données projet'!$A$460:$I$480,3,0))</f>
        <v>0</v>
      </c>
      <c r="MT163" s="15">
        <f>IF(ISNA(VLOOKUP($A163,'Données projet'!$A$460:$I$480,4,0)),0,VLOOKUP($A163,'Données projet'!$A$460:$I$480,4,0))</f>
        <v>0</v>
      </c>
      <c r="MU163" s="16">
        <f>IF(ISNA(VLOOKUP($A163,'Données projet'!$A$460:$I$480,5,0)),0%,VLOOKUP($A163,'Données projet'!$A$460:$I$480,5,0)*VLOOKUP('Données projet'!$B$25,Paramètres!$A$1:$I$89,7,0))</f>
        <v>0</v>
      </c>
      <c r="MV163" s="16">
        <f>IF(ISNA(VLOOKUP($A163,'Données projet'!$A$460:$I$480,6,0)),0%,VLOOKUP($A163,'Données projet'!$A$460:$I$480,6,0)*VLOOKUP('Données projet'!$B$25,Paramètres!$A$1:$I$89,7,0))</f>
        <v>0</v>
      </c>
      <c r="MW163" s="16">
        <f>IF(ISNA(VLOOKUP($A163,'Données projet'!$A$460:$I$480,7,0)),0%,VLOOKUP($A163,'Données projet'!$A$460:$I$480,7,0))</f>
        <v>0</v>
      </c>
      <c r="MX163" s="21" t="e">
        <f>EXP(-LN(2)/35)*MX162+(1-EXP(-LN(2)/35))/(LN(2)/35)*MT163*MU163*VLOOKUP('Données projet'!$B$25,Paramètres!$A$1:$I$89,3,0)*0.475*44/12</f>
        <v>#N/A</v>
      </c>
      <c r="MY163" s="21" t="e">
        <f>EXP(-LN(2)/25)*MY162+(1-EXP(-LN(2)/25))/(LN(2)/25)*Calculateur!MT163*Calculateur!MV163*VLOOKUP('Données projet'!$B$25,Paramètres!$A$1:$I$89,3,0)*0.475*44/12</f>
        <v>#N/A</v>
      </c>
      <c r="MZ163" s="21" t="e">
        <f>EXP(-LN(2)/2)*MZ162+(1-EXP(-LN(2)/2))/(LN(2)/2)*MT163*MW163*VLOOKUP('Données projet'!$B$25,Paramètres!$A$1:$I$89,3,0)*0.475*44/12</f>
        <v>#N/A</v>
      </c>
      <c r="NA163" s="22" t="e">
        <f t="shared" si="274"/>
        <v>#N/A</v>
      </c>
      <c r="NB163" s="74">
        <f>('Scénario référence'!$F$8+'Scénario référence'!$F$9+'Scénario référence'!$B$17+'Scénario référence'!$B$9+'Scénario référence'!$B$10)*70+IF((45+25*(1-EXP(-0.0175*$A163)))&lt;70,'Scénario référence'!$B$16*(45+25*(1-EXP(-0.0175*$A163))),70*'Scénario référence'!$B$16)+IF((32+38*(1-EXP(-0.0175*$A163)))&lt;70,'Scénario référence'!$B$18*(32+38*(1-EXP(-0.0175*$A163))),70*'Scénario référence'!$B$18)</f>
        <v>70</v>
      </c>
      <c r="NC163" s="12">
        <f>IF($A163&gt;30,10,('Scénario référence'!$B$16+'Scénario référence'!$B$17+'Scénario référence'!$B$18+'Scénario référence'!$B$9+'Scénario référence'!$B$10)*$A163*10/30+('Scénario référence'!$F$8+'Scénario référence'!$F$9)*10)</f>
        <v>10</v>
      </c>
      <c r="ND163" s="12" t="e">
        <f>VLOOKUP($A163,'Données projet'!$A$486:$I$506,2,0)</f>
        <v>#N/A</v>
      </c>
      <c r="NE163" s="12" t="e">
        <f>VLOOKUP($A163,'Données projet'!$A$486:$I$506,9,0)</f>
        <v>#N/A</v>
      </c>
      <c r="NF163" s="12">
        <f t="array" ref="NF163">INDEX(NE:NE,MIN(IF(ISNUMBER(NE163:NE359),ROW(NE163:NE359),"")))</f>
        <v>0</v>
      </c>
      <c r="NG163" s="12">
        <f>IF('Données projet'!$A$486&gt;35,NG162+NF163-NO162,IF($A163&lt;'Données projet'!$A$486,$CQ$205^$A163,IF($A163='Données projet'!$A$486,'Données projet'!$B$486,NG162+NF163-NO162)))</f>
        <v>0</v>
      </c>
      <c r="NH163" s="17" t="e">
        <f>NG163*VLOOKUP('Données projet'!$B$26,Paramètres!$A$1:$I$89,3,0)*VLOOKUP('Données projet'!$B$26,Paramètres!$A$1:$I$89,5,0)</f>
        <v>#N/A</v>
      </c>
      <c r="NI163" s="13" t="e">
        <f t="shared" si="320"/>
        <v>#N/A</v>
      </c>
      <c r="NJ163" s="14" t="e">
        <f t="shared" si="275"/>
        <v>#N/A</v>
      </c>
      <c r="NK163" s="59" t="e">
        <f t="shared" si="276"/>
        <v>#N/A</v>
      </c>
      <c r="NL163" s="20" t="e">
        <f ca="1">AVERAGE(OFFSET($NK$3,0,0,'Données projet'!$E$26+1,1))-AVERAGE(OFFSET($H$3,0,0,'Données projet'!$E$26+1,1))</f>
        <v>#N/A</v>
      </c>
      <c r="NM163" s="59" t="e">
        <f t="shared" si="321"/>
        <v>#N/A</v>
      </c>
      <c r="NN163" s="15">
        <f>IF(ISNA(VLOOKUP($A163,'Données projet'!$A$486:$I$506,3,0)),0,VLOOKUP($A163,'Données projet'!$A$486:$I$506,3,0))</f>
        <v>0</v>
      </c>
      <c r="NO163" s="15">
        <f>IF(ISNA(VLOOKUP($A163,'Données projet'!$A$486:$I$506,4,0)),0,VLOOKUP($A163,'Données projet'!$A$486:$I$506,4,0))</f>
        <v>0</v>
      </c>
      <c r="NP163" s="16">
        <f>IF(ISNA(VLOOKUP($A163,'Données projet'!$A$486:$I$506,5,0)),0%,VLOOKUP($A163,'Données projet'!$A$486:$I$506,5,0)*VLOOKUP('Données projet'!$B$26,Paramètres!$A$1:$I$89,7,0))</f>
        <v>0</v>
      </c>
      <c r="NQ163" s="16">
        <f>IF(ISNA(VLOOKUP($A163,'Données projet'!$A$486:$I$506,6,0)),0%,VLOOKUP($A163,'Données projet'!$A$486:$I$506,6,0)*VLOOKUP('Données projet'!$B$26,Paramètres!$A$1:$I$89,7,0))</f>
        <v>0</v>
      </c>
      <c r="NR163" s="16">
        <f>IF(ISNA(VLOOKUP($A163,'Données projet'!$A$486:$I$506,7,0)),0%,VLOOKUP($A163,'Données projet'!$A$486:$I$506,7,0))</f>
        <v>0</v>
      </c>
      <c r="NS163" s="21" t="e">
        <f>EXP(-LN(2)/35)*NS162+(1-EXP(-LN(2)/35))/(LN(2)/35)*NO163*NP163*VLOOKUP('Données projet'!$B$26,Paramètres!$A$1:$I$89,3,0)*0.475*44/12</f>
        <v>#N/A</v>
      </c>
      <c r="NT163" s="21" t="e">
        <f>EXP(-LN(2)/25)*NT162+(1-EXP(-LN(2)/25))/(LN(2)/25)*Calculateur!NO163*Calculateur!NQ163*VLOOKUP('Données projet'!$B$26,Paramètres!$A$1:$I$89,3,0)*0.475*44/12</f>
        <v>#N/A</v>
      </c>
      <c r="NU163" s="21" t="e">
        <f>EXP(-LN(2)/2)*NU162+(1-EXP(-LN(2)/2))/(LN(2)/2)*NO163*NR163*VLOOKUP('Données projet'!$B$26,Paramètres!$A$1:$I$89,3,0)*0.475*44/12</f>
        <v>#N/A</v>
      </c>
      <c r="NV163" s="22" t="e">
        <f t="shared" si="277"/>
        <v>#N/A</v>
      </c>
      <c r="NW163" s="74">
        <f>('Scénario référence'!$F$8+'Scénario référence'!$F$9+'Scénario référence'!$B$17+'Scénario référence'!$B$9+'Scénario référence'!$B$10)*70+IF((45+25*(1-EXP(-0.0175*$A163)))&lt;70,'Scénario référence'!$B$16*(45+25*(1-EXP(-0.0175*$A163))),70*'Scénario référence'!$B$16)+IF((32+38*(1-EXP(-0.0175*$A163)))&lt;70,'Scénario référence'!$B$18*(32+38*(1-EXP(-0.0175*$A163))),70*'Scénario référence'!$B$18)</f>
        <v>70</v>
      </c>
      <c r="NX163" s="12">
        <f>IF($A163&gt;30,10,('Scénario référence'!$B$16+'Scénario référence'!$B$17+'Scénario référence'!$B$18+'Scénario référence'!$B$9+'Scénario référence'!$B$10)*$A163*10/30+('Scénario référence'!$F$8+'Scénario référence'!$F$9)*10)</f>
        <v>10</v>
      </c>
      <c r="NY163" s="12" t="e">
        <f>VLOOKUP($A163,'Données projet'!$A$512:$I$532,2,0)</f>
        <v>#N/A</v>
      </c>
      <c r="NZ163" s="12" t="e">
        <f>VLOOKUP($A163,'Données projet'!$A$512:$I$532,9,0)</f>
        <v>#N/A</v>
      </c>
      <c r="OA163" s="12">
        <f t="array" ref="OA163">INDEX(NZ:NZ,MIN(IF(ISNUMBER(NZ163:NZ359),ROW(NZ163:NZ359),"")))</f>
        <v>0</v>
      </c>
      <c r="OB163" s="12">
        <f>IF('Données projet'!$A$512&gt;35,OB162+OA163-OJ162,IF($A163&lt;'Données projet'!$A$512,$CQ$205^$A163,IF($A163='Données projet'!$A$512,'Données projet'!$B$512,OB162+OA163-OJ162)))</f>
        <v>0</v>
      </c>
      <c r="OC163" s="17" t="e">
        <f>OB163*VLOOKUP('Données projet'!$B$27,Paramètres!$A$1:$I$89,3,0)*VLOOKUP('Données projet'!$B$27,Paramètres!$A$1:$I$89,5,0)</f>
        <v>#N/A</v>
      </c>
      <c r="OD163" s="13" t="e">
        <f t="shared" si="322"/>
        <v>#N/A</v>
      </c>
      <c r="OE163" s="14" t="e">
        <f t="shared" si="278"/>
        <v>#N/A</v>
      </c>
      <c r="OF163" s="59" t="e">
        <f t="shared" si="279"/>
        <v>#N/A</v>
      </c>
      <c r="OG163" s="20" t="e">
        <f ca="1">AVERAGE(OFFSET($OF$3,0,0,'Données projet'!$E$27+1,1))-AVERAGE(OFFSET($H$3,0,0,'Données projet'!$E$27+1,1))</f>
        <v>#N/A</v>
      </c>
      <c r="OH163" s="59" t="e">
        <f t="shared" si="323"/>
        <v>#N/A</v>
      </c>
      <c r="OI163" s="15">
        <f>IF(ISNA(VLOOKUP($A163,'Données projet'!$A$512:$I$532,3,0)),0,VLOOKUP($A163,'Données projet'!$A$512:$I$532,3,0))</f>
        <v>0</v>
      </c>
      <c r="OJ163" s="15">
        <f>IF(ISNA(VLOOKUP($A163,'Données projet'!$A$512:$I$532,4,0)),0,VLOOKUP($A163,'Données projet'!$A$512:$I$532,4,0))</f>
        <v>0</v>
      </c>
      <c r="OK163" s="16">
        <f>IF(ISNA(VLOOKUP($A163,'Données projet'!$A$512:$I$532,5,0)),0%,VLOOKUP($A163,'Données projet'!$A$512:$I$532,5,0)*VLOOKUP('Données projet'!$B$27,Paramètres!$A$1:$I$89,7,0))</f>
        <v>0</v>
      </c>
      <c r="OL163" s="16">
        <f>IF(ISNA(VLOOKUP($A163,'Données projet'!$A$512:$I$532,6,0)),0%,VLOOKUP($A163,'Données projet'!$A$512:$I$532,6,0)*VLOOKUP('Données projet'!$B$27,Paramètres!$A$1:$I$89,7,0))</f>
        <v>0</v>
      </c>
      <c r="OM163" s="16">
        <f>IF(ISNA(VLOOKUP($A163,'Données projet'!$A$512:$I$532,7,0)),0%,VLOOKUP($A163,'Données projet'!$A$512:$I$532,7,0))</f>
        <v>0</v>
      </c>
      <c r="ON163" s="21" t="e">
        <f>EXP(-LN(2)/35)*ON162+(1-EXP(-LN(2)/35))/(LN(2)/35)*OJ163*OK163*VLOOKUP('Données projet'!$B$27,Paramètres!$A$1:$I$89,3,0)*0.475*44/12</f>
        <v>#N/A</v>
      </c>
      <c r="OO163" s="21" t="e">
        <f>EXP(-LN(2)/25)*OO162+(1-EXP(-LN(2)/25))/(LN(2)/25)*Calculateur!OJ163*Calculateur!OL163*VLOOKUP('Données projet'!$B$27,Paramètres!$A$1:$I$89,3,0)*0.475*44/12</f>
        <v>#N/A</v>
      </c>
      <c r="OP163" s="21" t="e">
        <f>EXP(-LN(2)/2)*OP162+(1-EXP(-LN(2)/2))/(LN(2)/2)*OJ163*OM163*VLOOKUP('Données projet'!$B$27,Paramètres!$A$1:$I$89,3,0)*0.475*44/12</f>
        <v>#N/A</v>
      </c>
      <c r="OQ163" s="22" t="e">
        <f t="shared" si="280"/>
        <v>#N/A</v>
      </c>
      <c r="OR163" s="74">
        <f>('Scénario référence'!$F$8+'Scénario référence'!$F$9+'Scénario référence'!$B$17+'Scénario référence'!$B$9+'Scénario référence'!$B$10)*70+IF((45+25*(1-EXP(-0.0175*$A163)))&lt;70,'Scénario référence'!$B$16*(45+25*(1-EXP(-0.0175*$A163))),70*'Scénario référence'!$B$16)+IF((32+38*(1-EXP(-0.0175*$A163)))&lt;70,'Scénario référence'!$B$18*(32+38*(1-EXP(-0.0175*$A163))),70*'Scénario référence'!$B$18)</f>
        <v>70</v>
      </c>
      <c r="OS163" s="12">
        <f>IF($A163&gt;30,10,('Scénario référence'!$B$16+'Scénario référence'!$B$17+'Scénario référence'!$B$18+'Scénario référence'!$B$9+'Scénario référence'!$B$10)*$A163*10/30+('Scénario référence'!$F$8+'Scénario référence'!$F$9)*10)</f>
        <v>10</v>
      </c>
      <c r="OT163" s="12" t="e">
        <f>VLOOKUP($A163,'Données projet'!$A$538:$I$558,2,0)</f>
        <v>#N/A</v>
      </c>
      <c r="OU163" s="12" t="e">
        <f>VLOOKUP($A163,'Données projet'!$A$538:$I$558,9,0)</f>
        <v>#N/A</v>
      </c>
      <c r="OV163" s="12">
        <f t="array" ref="OV163">INDEX(OU:OU,MIN(IF(ISNUMBER(OU163:OU359),ROW(OU163:OU359),"")))</f>
        <v>0</v>
      </c>
      <c r="OW163" s="12">
        <f>IF('Données projet'!$A$538&gt;35,OW162+OV163-PE162,IF($A163&lt;'Données projet'!$A$538,$CQ$205^$A163,IF($A163='Données projet'!$A$538,'Données projet'!$B$538,OW162+OV163-PE162)))</f>
        <v>0</v>
      </c>
      <c r="OX163" s="17" t="e">
        <f>OW163*VLOOKUP('Données projet'!$B$28,Paramètres!$A$1:$I$89,3,0)*VLOOKUP('Données projet'!$B$28,Paramètres!$A$1:$I$89,5,0)</f>
        <v>#N/A</v>
      </c>
      <c r="OY163" s="13" t="e">
        <f t="shared" si="324"/>
        <v>#N/A</v>
      </c>
      <c r="OZ163" s="14" t="e">
        <f t="shared" si="281"/>
        <v>#N/A</v>
      </c>
      <c r="PA163" s="59" t="e">
        <f t="shared" si="282"/>
        <v>#N/A</v>
      </c>
      <c r="PB163" s="20" t="e">
        <f ca="1">AVERAGE(OFFSET($PA$3,0,0,'Données projet'!$E$28+1,1))-AVERAGE(OFFSET($H$3,0,0,'Données projet'!$E$28+1,1))</f>
        <v>#N/A</v>
      </c>
      <c r="PC163" s="59" t="e">
        <f t="shared" si="325"/>
        <v>#N/A</v>
      </c>
      <c r="PD163" s="15">
        <f>IF(ISNA(VLOOKUP($A163,'Données projet'!$A$538:$I$558,3,0)),0,VLOOKUP($A163,'Données projet'!$A$538:$I$558,3,0))</f>
        <v>0</v>
      </c>
      <c r="PE163" s="15">
        <f>IF(ISNA(VLOOKUP($A163,'Données projet'!$A$538:$I$558,4,0)),0,VLOOKUP($A163,'Données projet'!$A$538:$I$558,4,0))</f>
        <v>0</v>
      </c>
      <c r="PF163" s="16">
        <f>IF(ISNA(VLOOKUP($A163,'Données projet'!$A$538:$I$558,5,0)),0%,VLOOKUP($A163,'Données projet'!$A$538:$I$558,5,0)*VLOOKUP('Données projet'!$B$28,Paramètres!$A$1:$I$89,7,0))</f>
        <v>0</v>
      </c>
      <c r="PG163" s="16">
        <f>IF(ISNA(VLOOKUP($A163,'Données projet'!$A$538:$I$558,6,0)),0%,VLOOKUP($A163,'Données projet'!$A$538:$I$558,6,0)*VLOOKUP('Données projet'!$B$28,Paramètres!$A$1:$I$89,7,0))</f>
        <v>0</v>
      </c>
      <c r="PH163" s="16">
        <f>IF(ISNA(VLOOKUP($A163,'Données projet'!$A$538:$I$558,7,0)),0%,VLOOKUP($A163,'Données projet'!$A$538:$I$558,7,0))</f>
        <v>0</v>
      </c>
      <c r="PI163" s="21" t="e">
        <f>EXP(-LN(2)/35)*PI162+(1-EXP(-LN(2)/35))/(LN(2)/35)*PE163*PF163*VLOOKUP('Données projet'!$B$28,Paramètres!$A$1:$I$89,3,0)*0.475*44/12</f>
        <v>#N/A</v>
      </c>
      <c r="PJ163" s="21" t="e">
        <f>EXP(-LN(2)/25)*PJ162+(1-EXP(-LN(2)/25))/(LN(2)/25)*Calculateur!PE163*Calculateur!PG163*VLOOKUP('Données projet'!$B$28,Paramètres!$A$1:$I$89,3,0)*0.475*44/12</f>
        <v>#N/A</v>
      </c>
      <c r="PK163" s="21" t="e">
        <f>EXP(-LN(2)/2)*PK162+(1-EXP(-LN(2)/2))/(LN(2)/2)*PE163*PH163*VLOOKUP('Données projet'!$B$28,Paramètres!$A$1:$I$89,3,0)*0.475*44/12</f>
        <v>#N/A</v>
      </c>
      <c r="PL163" s="22" t="e">
        <f t="shared" si="283"/>
        <v>#N/A</v>
      </c>
    </row>
    <row r="164" spans="1:428" x14ac:dyDescent="0.35">
      <c r="A164" s="10">
        <f t="shared" si="326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285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225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projet'!$A$45:$I$65,2,0)</f>
        <v>#N/A</v>
      </c>
      <c r="L164" s="12" t="e">
        <f>VLOOKUP(A164,'Données projet'!$A$45:$I$65,9,0)</f>
        <v>#N/A</v>
      </c>
      <c r="M164" s="12">
        <f t="array" ref="M164">INDEX(L:L,MIN(IF(ISNUMBER(L164:L360),ROW(L164:L360),"")))</f>
        <v>0</v>
      </c>
      <c r="N164" s="13">
        <f>IF('Données projet'!$A$46&gt;35,N163+M164-V163,IF(A164&lt;'Données projet'!$A$46,$K$205^A164,IF(A164='Données projet'!$A$46,'Données projet'!$B$46,N163+M164-V163)))</f>
        <v>-1.1368683772161603E-13</v>
      </c>
      <c r="O164" s="13">
        <f>N164*VLOOKUP('Données projet'!$B$9,Paramètres!$A$1:$I$89,3,0)*VLOOKUP('Données projet'!$B$9,Paramètres!$A$1:$I$89,5,0)</f>
        <v>-6.3550942286383367E-14</v>
      </c>
      <c r="P164" s="13" t="e">
        <f t="shared" si="286"/>
        <v>#NUM!</v>
      </c>
      <c r="Q164" s="20" t="e">
        <f t="shared" si="327"/>
        <v>#NUM!</v>
      </c>
      <c r="R164" s="59" t="e">
        <f t="shared" si="224"/>
        <v>#NUM!</v>
      </c>
      <c r="S164" s="59">
        <f ca="1">AVERAGE(OFFSET($R$3,0,0,'Données projet'!$E$9+1,1))-AVERAGE(OFFSET($H$3,0,0,'Données projet'!$E$9+1,1))</f>
        <v>274.57619581652199</v>
      </c>
      <c r="T164" s="59">
        <f t="shared" si="287"/>
        <v>366.15117322598775</v>
      </c>
      <c r="U164" s="15">
        <f>IF(ISNA(VLOOKUP(A164,'Données projet'!$A$45:$I$65,3,0)),0,VLOOKUP(A164,'Données projet'!$A$45:$I$65,3,0))</f>
        <v>0</v>
      </c>
      <c r="V164" s="15">
        <f>IF(ISNA(VLOOKUP(A164,'Données projet'!$A$45:$I$65,4,0)),0,VLOOKUP(A164,'Données projet'!$A$45:$I$65,4,0))</f>
        <v>0</v>
      </c>
      <c r="W164" s="16">
        <f>IF(ISNA(VLOOKUP(A164,'Données projet'!$A$45:$I$65,5,0)),0%,VLOOKUP(A164,'Données projet'!$A$45:$I$65,5,0)*VLOOKUP('Données projet'!$B$9,Paramètres!$A$1:$I$89,7,0))</f>
        <v>0</v>
      </c>
      <c r="X164" s="16">
        <f>IF(ISNA(VLOOKUP(A164,'Données projet'!$A$45:$I$65,6,0)),0%,VLOOKUP(A164,'Données projet'!$A$45:$I$65,6,0)*VLOOKUP('Données projet'!$B$9,Paramètres!$A$1:$I$89,7,0))</f>
        <v>0</v>
      </c>
      <c r="Y164" s="16">
        <f>IF(ISNA(VLOOKUP(A164,'Données projet'!$A$45:$I$65,7,0)),0%,VLOOKUP(A164,'Données projet'!$A$45:$I$65,7,0))</f>
        <v>0</v>
      </c>
      <c r="Z164" s="21">
        <f>EXP(-LN(2)/35)*Z163+(1-EXP(-LN(2)/35))/(LN(2)/35)*V164*W164*VLOOKUP('Données projet'!$B$9,Paramètres!$A$1:$I$89,3,0)*0.475*44/12</f>
        <v>27.776559354055987</v>
      </c>
      <c r="AA164" s="21">
        <f>EXP(-LN(2)/25)*AA163+(1-EXP(-LN(2)/25))/(LN(2)/25)*Calculateur!V164*Calculateur!X164*VLOOKUP('Données projet'!$B$9,Paramètres!$A$1:$I$89,3,0)*0.475*44/12</f>
        <v>3.0486895828013059</v>
      </c>
      <c r="AB164" s="21">
        <f>EXP(-LN(2)/2)*AB163+(1-EXP(-LN(2)/2))/(LN(2)/2)*V164*Y164*VLOOKUP('Données projet'!$B$9,Paramètres!$A$1:$I$89,3,0)*0.475*44/12</f>
        <v>3.7926666256585221E-15</v>
      </c>
      <c r="AC164" s="22">
        <f t="shared" si="328"/>
        <v>30.825248936857296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projet'!$A$71:$I$91,2,0)</f>
        <v>#N/A</v>
      </c>
      <c r="AG164" s="12" t="e">
        <f>VLOOKUP(A164,'Données projet'!$A$71:$I$91,9,0)</f>
        <v>#N/A</v>
      </c>
      <c r="AH164" s="12">
        <f t="array" ref="AH164">INDEX(AG:AG,MIN(IF(ISNUMBER(AG164:AG360),ROW(AG164:AG360),"")))</f>
        <v>0</v>
      </c>
      <c r="AI164" s="13">
        <f>IF('Données projet'!$A$72&gt;35,AI163+AH164-AQ163,IF(A164&lt;'Données projet'!$A$72,$AF$205^A164,IF(A164='Données projet'!$A$72,'Données projet'!$B$72,AI163+AH164-AQ163)))</f>
        <v>5.6843418860808015E-13</v>
      </c>
      <c r="AJ164" s="13">
        <f>AI164*VLOOKUP('Données projet'!$B$10,Paramètres!$A$1:$I$89,3,0)*VLOOKUP('Données projet'!$B$10,Paramètres!$A$1:$I$89,5,0)</f>
        <v>5.1431925385259092E-13</v>
      </c>
      <c r="AK164" s="13">
        <f t="shared" si="329"/>
        <v>6.3855359115685756E-12</v>
      </c>
      <c r="AL164" s="20">
        <f t="shared" si="330"/>
        <v>1.2017247746441865E-11</v>
      </c>
      <c r="AM164" s="59">
        <f t="shared" si="228"/>
        <v>293.33333333334531</v>
      </c>
      <c r="AN164" s="59">
        <f ca="1">AVERAGE(OFFSET($AM$3,0,0,'Données projet'!$E$10+1,1))-AVERAGE(OFFSET($H$3,0,0,'Données projet'!$E$10+1,1))</f>
        <v>270.87836509222456</v>
      </c>
      <c r="AO164" s="59">
        <f t="shared" si="289"/>
        <v>205.24998237949734</v>
      </c>
      <c r="AP164" s="15">
        <f>IF(ISNA(VLOOKUP(A164,'Données projet'!$A$71:$I$91,3,0)),0,VLOOKUP(A164,'Données projet'!$A$71:$I$91,3,0))</f>
        <v>0</v>
      </c>
      <c r="AQ164" s="15">
        <f>IF(ISNA(VLOOKUP(A164,'Données projet'!$A$71:$I$91,4,0)),0,VLOOKUP(A164,'Données projet'!$A$71:$I$91,4,0))</f>
        <v>0</v>
      </c>
      <c r="AR164" s="16">
        <f>IF(ISNA(VLOOKUP(A164,'Données projet'!$A$71:$I$91,5,0)),0%,VLOOKUP(A164,'Données projet'!$A$71:$I$91,5,0)*VLOOKUP('Données projet'!$B$10,Paramètres!$A$1:$I$89,7,0))</f>
        <v>0</v>
      </c>
      <c r="AS164" s="16">
        <f>IF(ISNA(VLOOKUP(A164,'Données projet'!$A$71:$I$91,6,0)),0%,VLOOKUP(A164,'Données projet'!$A$71:$I$91,6,0)*VLOOKUP('Données projet'!$B$10,Paramètres!$A$1:$I$89,7,0))</f>
        <v>0</v>
      </c>
      <c r="AT164" s="16">
        <f>IF(ISNA(VLOOKUP(A164,'Données projet'!$A$71:$I$91,7,0)),0%,VLOOKUP(A164,'Données projet'!$A$71:$I$91,7,0))</f>
        <v>0</v>
      </c>
      <c r="AU164" s="21">
        <f>EXP(-LN(2)/35)*AU163+(1-EXP(-LN(2)/35))/(LN(2)/35)*AQ164*AR164*VLOOKUP('Données projet'!$B$10,Paramètres!$A$1:$I$89,3,0)*0.475*44/12</f>
        <v>94.39182551688323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331"/>
        <v>94.39182551688323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projet'!$A$97:$I$117,2,0)</f>
        <v>#N/A</v>
      </c>
      <c r="BB164" s="12" t="e">
        <f>VLOOKUP(A164,'Données projet'!$A$97:$I$117,9,0)</f>
        <v>#N/A</v>
      </c>
      <c r="BC164" s="12">
        <f t="array" ref="BC164">INDEX(BB:BB,MIN(IF(ISNUMBER(BB164:BB360),ROW(BB164:BB360),"")))</f>
        <v>0</v>
      </c>
      <c r="BD164" s="12">
        <f>IF('Données projet'!$A$98&gt;35,BD163+BC164-BL163,IF(A164&lt;'Données projet'!$A$98,$BA$205^A164,IF(A164='Données projet'!$A$98,'Données projet'!$B$98,BD163+BC164-BL163)))</f>
        <v>-1.1368683772161603E-13</v>
      </c>
      <c r="BE164" s="13">
        <f>BD164*VLOOKUP('Données projet'!$B$11,Paramètres!$A$1:$I$89,3,0)*VLOOKUP('Données projet'!$B$11,Paramètres!$A$1:$I$89,5,0)</f>
        <v>-5.0249582272954292E-14</v>
      </c>
      <c r="BF164" s="13" t="e">
        <f t="shared" si="332"/>
        <v>#NUM!</v>
      </c>
      <c r="BG164" s="20" t="e">
        <f t="shared" si="333"/>
        <v>#NUM!</v>
      </c>
      <c r="BH164" s="59" t="e">
        <f t="shared" si="231"/>
        <v>#NUM!</v>
      </c>
      <c r="BI164" s="59">
        <f ca="1">AVERAGE(OFFSET($BH$3,0,0,'Données projet'!$E$11+1,1))-AVERAGE(OFFSET($H$3,0,0,'Données projet'!$E$11+1,1))</f>
        <v>211.31057120485542</v>
      </c>
      <c r="BJ164" s="59">
        <f t="shared" si="291"/>
        <v>283.33292006714777</v>
      </c>
      <c r="BK164" s="15">
        <f>IF(ISNA(VLOOKUP(A164,'Données projet'!$A$97:$I$117,3,0)),0,VLOOKUP(A164,'Données projet'!$A$97:$I$117,3,0))</f>
        <v>0</v>
      </c>
      <c r="BL164" s="15">
        <f>IF(ISNA(VLOOKUP(A164,'Données projet'!$A$97:$I$117,4,0)),0,VLOOKUP(A164,'Données projet'!$A$97:$I$117,4,0))</f>
        <v>0</v>
      </c>
      <c r="BM164" s="16">
        <f>IF(ISNA(VLOOKUP(A164,'Données projet'!$A$97:$I$117,5,0)),0%,VLOOKUP(A164,'Données projet'!$A$97:$I$117,5,0)*VLOOKUP('Données projet'!$B$11,Paramètres!$A$1:$I$89,7,0))</f>
        <v>0</v>
      </c>
      <c r="BN164" s="16">
        <f>IF(ISNA(VLOOKUP(A164,'Données projet'!$A$97:$I$117,6,0)),0%,VLOOKUP(A164,'Données projet'!$A$97:$I$117,6,0)*VLOOKUP('Données projet'!$B$11,Paramètres!$A$1:$I$89,7,0))</f>
        <v>0</v>
      </c>
      <c r="BO164" s="16">
        <f>IF(ISNA(VLOOKUP(A164,'Données projet'!$A$97:$I$117,7,0)),0%,VLOOKUP(A164,'Données projet'!$A$97:$I$117,7,0))</f>
        <v>0</v>
      </c>
      <c r="BP164" s="21">
        <f>EXP(-LN(2)/35)*BP163+(1-EXP(-LN(2)/35))/(LN(2)/35)*BL164*BM164*VLOOKUP('Données projet'!$B$11,Paramètres!$A$1:$I$89,3,0)*0.475*44/12</f>
        <v>21.962860884602421</v>
      </c>
      <c r="BQ164" s="21">
        <f>EXP(-LN(2)/25)*BQ163+(1-EXP(-LN(2)/25))/(LN(2)/25)*Calculateur!BL164*Calculateur!BN164*VLOOKUP('Données projet'!$B$11,Paramètres!$A$1:$I$89,3,0)*0.475*44/12</f>
        <v>2.4105917631452169</v>
      </c>
      <c r="BR164" s="21">
        <f>EXP(-LN(2)/2)*BR163+(1-EXP(-LN(2)/2))/(LN(2)/2)*BL164*BO164*VLOOKUP('Données projet'!$B$11,Paramètres!$A$1:$I$89,3,0)*0.475*44/12</f>
        <v>2.9988526807532495E-15</v>
      </c>
      <c r="BS164" s="22">
        <f t="shared" si="334"/>
        <v>24.373452647747641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projet'!$A$123:$I$143,2,0)</f>
        <v>#N/A</v>
      </c>
      <c r="BW164" s="12" t="e">
        <f>VLOOKUP(A164,'Données projet'!$A$123:$I$143,9,0)</f>
        <v>#N/A</v>
      </c>
      <c r="BX164" s="12">
        <f t="array" ref="BX164">INDEX(BW:BW,MIN(IF(ISNUMBER(BW164:BW360),ROW(BW164:BW360),"")))</f>
        <v>0</v>
      </c>
      <c r="BY164" s="12">
        <f>IF('Données projet'!$A$124&gt;35,BY163+BX164-CG163,IF(A164&lt;'Données projet'!$A$124,$BV$205^A164,IF(A164='Données projet'!$A$124,'Données projet'!$B$124,BY163+BX164-CG163)))</f>
        <v>0</v>
      </c>
      <c r="BZ164" s="13">
        <f>BY164*VLOOKUP('Données projet'!$B$12,Paramètres!$A$1:$I$89,3,0)*VLOOKUP('Données projet'!$B$12,Paramètres!$A$1:$I$89,5,0)</f>
        <v>0</v>
      </c>
      <c r="CA164" s="13" t="e">
        <f t="shared" si="335"/>
        <v>#NUM!</v>
      </c>
      <c r="CB164" s="20" t="e">
        <f t="shared" si="336"/>
        <v>#NUM!</v>
      </c>
      <c r="CC164" s="59" t="e">
        <f t="shared" si="234"/>
        <v>#NUM!</v>
      </c>
      <c r="CD164" s="59">
        <f ca="1">AVERAGE(OFFSET($CC$3,0,0,'Données projet'!$E$12+1,1))-AVERAGE(OFFSET($H$3,0,0,'Données projet'!$E$12+1,1))</f>
        <v>322.93502595881938</v>
      </c>
      <c r="CE164" s="59">
        <f t="shared" si="293"/>
        <v>302.67072119588164</v>
      </c>
      <c r="CF164" s="15">
        <f>IF(ISNA(VLOOKUP(A164,'Données projet'!$A$123:$I$143,3,0)),0,VLOOKUP(A164,'Données projet'!$A$123:$I$143,3,0))</f>
        <v>0</v>
      </c>
      <c r="CG164" s="15">
        <f>IF(ISNA(VLOOKUP(A164,'Données projet'!$A$123:$I$143,4,0)),0,VLOOKUP(A164,'Données projet'!$A$123:$I$143,4,0))</f>
        <v>0</v>
      </c>
      <c r="CH164" s="16">
        <f>IF(ISNA(VLOOKUP(A164,'Données projet'!$A$123:$I$143,5,0)),0%,VLOOKUP(A164,'Données projet'!$A$123:$I$143,5,0)*VLOOKUP('Données projet'!$B$12,Paramètres!$A$1:$I$89,7,0))</f>
        <v>0</v>
      </c>
      <c r="CI164" s="16">
        <f>IF(ISNA(VLOOKUP(A164,'Données projet'!$A$123:$I$143,6,0)),0%,VLOOKUP(A164,'Données projet'!$A$123:$I$143,6,0)*VLOOKUP('Données projet'!$B$12,Paramètres!$A$1:$I$89,7,0))</f>
        <v>0</v>
      </c>
      <c r="CJ164" s="16">
        <f>IF(ISNA(VLOOKUP(A164,'Données projet'!$A$123:$I$143,7,0)),0%,VLOOKUP(A164,'Données projet'!$A$123:$I$143,7,0))</f>
        <v>0</v>
      </c>
      <c r="CK164" s="21">
        <f>EXP(-LN(2)/35)*CK163+(1-EXP(-LN(2)/35))/(LN(2)/35)*CG164*CH164*VLOOKUP('Données projet'!$B$12,Paramètres!$A$1:$I$89,3,0)*0.475*44/12</f>
        <v>34.992144367757959</v>
      </c>
      <c r="CL164" s="21">
        <f>EXP(-LN(2)/25)*CL163+(1-EXP(-LN(2)/25))/(LN(2)/25)*Calculateur!CG164*Calculateur!CI164*VLOOKUP('Données projet'!$B$12,Paramètres!$A$1:$I$89,3,0)*0.475*44/12</f>
        <v>7.7153521440195005</v>
      </c>
      <c r="CM164" s="21">
        <f>EXP(-LN(2)/2)*CM163+(1-EXP(-LN(2)/2))/(LN(2)/2)*CG164*CJ164*VLOOKUP('Données projet'!$B$12,Paramètres!$A$1:$I$89,3,0)*0.475*44/12</f>
        <v>0</v>
      </c>
      <c r="CN164" s="22">
        <f t="shared" si="337"/>
        <v>42.707496511777457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>
        <f>VLOOKUP(A164,'Données projet'!$A$149:$I$169,2,0)</f>
        <v>91.365384615384613</v>
      </c>
      <c r="CR164" s="12">
        <f>VLOOKUP(A164,'Données projet'!$A$149:$I$169,9,0)</f>
        <v>1.1618589743589709</v>
      </c>
      <c r="CS164" s="12">
        <f t="array" ref="CS164">INDEX(CR:CR,MIN(IF(ISNUMBER(CR164:CR360),ROW(CR164:CR360),"")))</f>
        <v>1.1618589743589709</v>
      </c>
      <c r="CT164" s="12">
        <f>IF('Données projet'!$A$150&gt;35,CT163+CS164-DB163,IF(A164&lt;'Données projet'!$A$150,$CQ$205^A164,IF(A164='Données projet'!$A$150,'Données projet'!$B$150,CT163+CS164-DB163)))</f>
        <v>91.365384615384158</v>
      </c>
      <c r="CU164" s="17">
        <f>CT164*VLOOKUP('Données projet'!$B$13,Paramètres!$A$1:$I$89,3,0)*VLOOKUP('Données projet'!$B$13,Paramètres!$A$1:$I$89,5,0)</f>
        <v>92.644499999999539</v>
      </c>
      <c r="CV164" s="13">
        <f t="shared" si="338"/>
        <v>25.201935767997217</v>
      </c>
      <c r="CW164" s="20">
        <f t="shared" si="339"/>
        <v>205.24920896259434</v>
      </c>
      <c r="CX164" s="59">
        <f t="shared" si="237"/>
        <v>498.58254229592762</v>
      </c>
      <c r="CY164" s="59">
        <f ca="1">AVERAGE(OFFSET($CX$3,0,0,'Données projet'!$E$13+1,1))-AVERAGE(OFFSET($H$3,0,0,'Données projet'!$E$13+1,1))</f>
        <v>250.31277422753283</v>
      </c>
      <c r="CZ164" s="59">
        <f t="shared" si="295"/>
        <v>159.20429420478047</v>
      </c>
      <c r="DA164" s="15">
        <f>IF(ISNA(VLOOKUP(A164,'Données projet'!$A$149:$I$169,3,0)),0,VLOOKUP(A164,'Données projet'!$A$149:$I$169,3,0))</f>
        <v>15</v>
      </c>
      <c r="DB164" s="15">
        <f>IF(ISNA(VLOOKUP(A164,'Données projet'!$A$149:$I$169,4,0)),0,VLOOKUP(A164,'Données projet'!$A$149:$I$169,4,0))</f>
        <v>91.365384615384613</v>
      </c>
      <c r="DC164" s="16">
        <f>IF(ISNA(VLOOKUP(A164,'Données projet'!$A$149:$I$169,5,0)),0%,VLOOKUP(A164,'Données projet'!$A$149:$I$169,5,0)*VLOOKUP('Données projet'!$B$13,Paramètres!$A$1:$I$89,7,0))</f>
        <v>0.38700000000000001</v>
      </c>
      <c r="DD164" s="16">
        <f>IF(ISNA(VLOOKUP(A164,'Données projet'!$A$149:$I$169,6,0)),0%,VLOOKUP(A164,'Données projet'!$A$149:$I$169,6,0)*VLOOKUP('Données projet'!$B$13,Paramètres!$A$1:$I$89,7,0))</f>
        <v>0</v>
      </c>
      <c r="DE164" s="16">
        <f>IF(ISNA(VLOOKUP(A164,'Données projet'!$A$149:$I$169,7,0)),0%,VLOOKUP(A164,'Données projet'!$A$149:$I$169,7,0))</f>
        <v>0</v>
      </c>
      <c r="DF164" s="21">
        <f>EXP(-LN(2)/35)*DF163+(1-EXP(-LN(2)/35))/(LN(2)/35)*DB164*DC164*VLOOKUP('Données projet'!$B$13,Paramètres!$A$1:$I$89,3,0)*0.475*44/12</f>
        <v>159.29466668293924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340"/>
        <v>159.29466668293924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projet'!$A$175:$I$195,2,0)</f>
        <v>#N/A</v>
      </c>
      <c r="DM164" s="12" t="e">
        <f>VLOOKUP(A164,'Données projet'!$A$175:$I$195,9,0)</f>
        <v>#N/A</v>
      </c>
      <c r="DN164" s="12">
        <f t="array" ref="DN164">INDEX(DM:DM,MIN(IF(ISNUMBER(DM164:DM360),ROW(DM164:DM360),"")))</f>
        <v>0</v>
      </c>
      <c r="DO164" s="12">
        <f>IF('Données projet'!$A$176&gt;35,DO163+DN164-DW163,IF(A164&lt;'Données projet'!$A$176,$DL$205^A164,IF(A164='Données projet'!$A$176,'Données projet'!$B$176,DO163+DN164-DW163)))</f>
        <v>-2.8421709430404007E-13</v>
      </c>
      <c r="DP164" s="17">
        <f>DO164*VLOOKUP('Données projet'!$B$14,Paramètres!$A$1:$I$89,3,0)*VLOOKUP('Données projet'!$B$14,Paramètres!$A$1:$I$89,5,0)</f>
        <v>-2.0838797354372215E-13</v>
      </c>
      <c r="DQ164" s="13" t="e">
        <f t="shared" si="341"/>
        <v>#NUM!</v>
      </c>
      <c r="DR164" s="20" t="e">
        <f t="shared" si="342"/>
        <v>#NUM!</v>
      </c>
      <c r="DS164" s="59" t="e">
        <f t="shared" si="240"/>
        <v>#NUM!</v>
      </c>
      <c r="DT164" s="59">
        <f ca="1">AVERAGE(OFFSET($DS$3,0,0,'Données projet'!$E$14+1,1))-AVERAGE(OFFSET($H$3,0,0,'Données projet'!$E$14+1,1))</f>
        <v>296.91321813251051</v>
      </c>
      <c r="DU164" s="59">
        <f t="shared" si="297"/>
        <v>291.0718079639509</v>
      </c>
      <c r="DV164" s="15">
        <f>IF(ISNA(VLOOKUP(A164,'Données projet'!$A$175:$I$195,3,0)),0,VLOOKUP(A164,'Données projet'!$A$175:$I$195,3,0))</f>
        <v>0</v>
      </c>
      <c r="DW164" s="15">
        <f>IF(ISNA(VLOOKUP(A164,'Données projet'!$A$175:$I$195,4,0)),0,VLOOKUP(A164,'Données projet'!$A$175:$I$195,4,0))</f>
        <v>0</v>
      </c>
      <c r="DX164" s="16">
        <f>IF(ISNA(VLOOKUP(A164,'Données projet'!$A$175:$I$195,5,0)),0%,VLOOKUP(A164,'Données projet'!$A$175:$I$195,5,0)*VLOOKUP('Données projet'!$B$14,Paramètres!$A$1:$I$89,7,0))</f>
        <v>0</v>
      </c>
      <c r="DY164" s="16">
        <f>IF(ISNA(VLOOKUP(A164,'Données projet'!$A$175:$I$195,6,0)),0%,VLOOKUP(A164,'Données projet'!$A$175:$I$195,6,0)*VLOOKUP('Données projet'!$B$14,Paramètres!$A$1:$I$89,7,0))</f>
        <v>0</v>
      </c>
      <c r="DZ164" s="16">
        <f>IF(ISNA(VLOOKUP(A164,'Données projet'!$A$175:$I$195,7,0)),0%,VLOOKUP(A164,'Données projet'!$A$175:$I$195,7,0))</f>
        <v>0</v>
      </c>
      <c r="EA164" s="21">
        <f>EXP(-LN(2)/35)*EA163+(1-EXP(-LN(2)/35))/(LN(2)/35)*DW164*DX164*VLOOKUP('Données projet'!$B$14,Paramètres!$A$1:$I$89,3,0)*0.475*44/12</f>
        <v>34.87593395351746</v>
      </c>
      <c r="EB164" s="21">
        <f>EXP(-LN(2)/25)*EB163+(1-EXP(-LN(2)/25))/(LN(2)/25)*Calculateur!DW164*Calculateur!DY164*VLOOKUP('Données projet'!$B$14,Paramètres!$A$1:$I$89,3,0)*0.475*44/12</f>
        <v>0.56677676590433512</v>
      </c>
      <c r="EC164" s="21">
        <f>EXP(-LN(2)/2)*EC163+(1-EXP(-LN(2)/2))/(LN(2)/2)*DW164*DZ164*VLOOKUP('Données projet'!$B$14,Paramètres!$A$1:$I$89,3,0)*0.475*44/12</f>
        <v>0</v>
      </c>
      <c r="ED164" s="22">
        <f t="shared" si="343"/>
        <v>35.442710719421797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projet'!$A$201:$I$221,2,0)</f>
        <v>#N/A</v>
      </c>
      <c r="EH164" s="12" t="e">
        <f>VLOOKUP(A164,'Données projet'!$A$201:$I$221,9,0)</f>
        <v>#N/A</v>
      </c>
      <c r="EI164" s="12">
        <f t="array" ref="EI164">INDEX(EH:EH,MIN(IF(ISNUMBER(EH164:EH360),ROW(EH164:EH360),"")))</f>
        <v>0</v>
      </c>
      <c r="EJ164" s="12">
        <f>IF('Données projet'!$A$202&gt;35,EJ163+EI164-ER163,IF(A164&lt;'Données projet'!$A$202,$EG$205^A164,IF(A164='Données projet'!$A$202,'Données projet'!$B$202,EJ163+EI164-ER163)))</f>
        <v>5.1159076974727213E-13</v>
      </c>
      <c r="EK164" s="17">
        <f>EJ164*VLOOKUP('Données projet'!$B$15,Paramètres!$A$1:$I$89,3,0)*VLOOKUP('Données projet'!$B$15,Paramètres!$A$1:$I$89,5,0)</f>
        <v>2.3942448024172334E-13</v>
      </c>
      <c r="EL164" s="13">
        <f t="shared" si="344"/>
        <v>3.2492669905861755E-12</v>
      </c>
      <c r="EM164" s="20">
        <f t="shared" si="345"/>
        <v>6.0761376450252565E-12</v>
      </c>
      <c r="EN164" s="59">
        <f t="shared" si="243"/>
        <v>293.3333333333394</v>
      </c>
      <c r="EO164" s="59">
        <f ca="1">AVERAGE(OFFSET($EN$3,0,0,'Données projet'!$E$15+1,1))-AVERAGE(OFFSET($H$3,0,0,'Données projet'!$E$15+1,1))</f>
        <v>147.64256291235483</v>
      </c>
      <c r="EP164" s="59">
        <f t="shared" si="299"/>
        <v>70.859031694091868</v>
      </c>
      <c r="EQ164" s="15">
        <f>IF(ISNA(VLOOKUP(A164,'Données projet'!$A$201:$I$221,3,0)),0,VLOOKUP(A164,'Données projet'!$A$201:$I$221,3,0))</f>
        <v>0</v>
      </c>
      <c r="ER164" s="15">
        <f>IF(ISNA(VLOOKUP(A164,'Données projet'!$A$201:$I$221,4,0)),0,VLOOKUP(A164,'Données projet'!$A$201:$I$221,4,0))</f>
        <v>0</v>
      </c>
      <c r="ES164" s="16">
        <f>IF(ISNA(VLOOKUP(A164,'Données projet'!$A$201:$I$221,5,0)),0%,VLOOKUP(A164,'Données projet'!$A$201:$I$221,5,0)*VLOOKUP('Données projet'!$B$15,Paramètres!$A$1:$I$89,7,0))</f>
        <v>0</v>
      </c>
      <c r="ET164" s="16">
        <f>IF(ISNA(VLOOKUP(A164,'Données projet'!$A$201:$I$221,6,0)),0%,VLOOKUP(A164,'Données projet'!$A$201:$I$221,6,0)*VLOOKUP('Données projet'!$B$15,Paramètres!$A$1:$I$89,7,0))</f>
        <v>0</v>
      </c>
      <c r="EU164" s="16">
        <f>IF(ISNA(VLOOKUP(A164,'Données projet'!$A$201:$I$221,7,0)),0%,VLOOKUP(A164,'Données projet'!$A$201:$I$221,7,0))</f>
        <v>0</v>
      </c>
      <c r="EV164" s="21">
        <f>EXP(-LN(2)/35)*EV163+(1-EXP(-LN(2)/35))/(LN(2)/35)*ER164*ES164*VLOOKUP('Données projet'!$B$15,Paramètres!$A$1:$I$89,3,0)*0.475*44/12</f>
        <v>47.745703326112462</v>
      </c>
      <c r="EW164" s="21">
        <f>EXP(-LN(2)/25)*EW163+(1-EXP(-LN(2)/25))/(LN(2)/25)*Calculateur!ER164*Calculateur!ET164*VLOOKUP('Données projet'!$B$15,Paramètres!$A$1:$I$89,3,0)*0.475*44/12</f>
        <v>7.8634566089820144</v>
      </c>
      <c r="EX164" s="21">
        <f>EXP(-LN(2)/2)*EX163+(1-EXP(-LN(2)/2))/(LN(2)/2)*ER164*EU164*VLOOKUP('Données projet'!$B$15,Paramètres!$A$1:$I$89,3,0)*0.475*44/12</f>
        <v>2.7341677732338546E-7</v>
      </c>
      <c r="EY164" s="22">
        <f t="shared" si="346"/>
        <v>55.609160208511256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projet'!$A$227:$I$247,2,0)</f>
        <v>#N/A</v>
      </c>
      <c r="FC164" s="12" t="e">
        <f>VLOOKUP(A164,'Données projet'!$A$227:$I$247,9,0)</f>
        <v>#N/A</v>
      </c>
      <c r="FD164" s="12">
        <f t="array" ref="FD164">INDEX(FC:FC,MIN(IF(ISNUMBER(FC164:FC360),ROW(FC164:FC360),"")))</f>
        <v>0</v>
      </c>
      <c r="FE164" s="12">
        <f>IF('Données projet'!$A$228&gt;35,FE163+FD164-FM163,IF(A164&lt;'Données projet'!$A$228,$FB$205^A164,IF(A164='Données projet'!$A$228,'Données projet'!$B$228,FE163+FD164-FM163)))</f>
        <v>8.5265128291212022E-14</v>
      </c>
      <c r="FF164" s="17">
        <f>FE164*VLOOKUP('Données projet'!$B$16,Paramètres!$A$1:$I$89,3,0)*VLOOKUP('Données projet'!$B$16,Paramètres!$A$1:$I$89,5,0)</f>
        <v>8.9119112089974823E-14</v>
      </c>
      <c r="FG164" s="13">
        <f t="shared" si="347"/>
        <v>1.3568952080113142E-12</v>
      </c>
      <c r="FH164" s="20">
        <f t="shared" si="348"/>
        <v>2.5184749408430782E-12</v>
      </c>
      <c r="FI164" s="59">
        <f t="shared" si="246"/>
        <v>293.33333333333582</v>
      </c>
      <c r="FJ164" s="59">
        <f ca="1">AVERAGE(OFFSET($FI$3,0,0,'Données projet'!$E$16+1,1))-AVERAGE(OFFSET($H$3,0,0,'Données projet'!$E$16+1,1))</f>
        <v>259.03906550253788</v>
      </c>
      <c r="FK164" s="59">
        <f t="shared" si="301"/>
        <v>235.54542903570831</v>
      </c>
      <c r="FL164" s="15">
        <f>IF(ISNA(VLOOKUP(A164,'Données projet'!$A$227:$I$247,3,0)),0,VLOOKUP(A164,'Données projet'!$A$227:$I$247,3,0))</f>
        <v>0</v>
      </c>
      <c r="FM164" s="15">
        <f>IF(ISNA(VLOOKUP(A164,'Données projet'!$A$227:$I$247,4,0)),0,VLOOKUP(A164,'Données projet'!$A$227:$I$247,4,0))</f>
        <v>0</v>
      </c>
      <c r="FN164" s="16">
        <f>IF(ISNA(VLOOKUP(A164,'Données projet'!$A$227:$I$247,5,0)),0%,VLOOKUP(A164,'Données projet'!$A$227:$I$247,5,0)*VLOOKUP('Données projet'!$B$16,Paramètres!$A$1:$I$89,7,0))</f>
        <v>0</v>
      </c>
      <c r="FO164" s="16">
        <f>IF(ISNA(VLOOKUP(A164,'Données projet'!$A$227:$I$247,6,0)),0%,VLOOKUP(A164,'Données projet'!$A$227:$I$247,6,0)*VLOOKUP('Données projet'!$B$16,Paramètres!$A$1:$I$89,7,0))</f>
        <v>0</v>
      </c>
      <c r="FP164" s="16">
        <f>IF(ISNA(VLOOKUP(A164,'Données projet'!$A$227:$I$247,7,0)),0%,VLOOKUP(A164,'Données projet'!$A$227:$I$247,7,0))</f>
        <v>0</v>
      </c>
      <c r="FQ164" s="21">
        <f>EXP(-LN(2)/35)*FQ163+(1-EXP(-LN(2)/35))/(LN(2)/35)*FM164*FN164*VLOOKUP('Données projet'!$B$16,Paramètres!$A$1:$I$89,3,0)*0.475*44/12</f>
        <v>21.073655867870276</v>
      </c>
      <c r="FR164" s="21">
        <f>EXP(-LN(2)/25)*FR163+(1-EXP(-LN(2)/25))/(LN(2)/25)*Calculateur!FM164*Calculateur!FO164*VLOOKUP('Données projet'!$B$16,Paramètres!$A$1:$I$89,3,0)*0.475*44/12</f>
        <v>10.817557974108505</v>
      </c>
      <c r="FS164" s="21">
        <f>EXP(-LN(2)/2)*FS163+(1-EXP(-LN(2)/2))/(LN(2)/2)*FM164*FP164*VLOOKUP('Données projet'!$B$16,Paramètres!$A$1:$I$89,3,0)*0.475*44/12</f>
        <v>0</v>
      </c>
      <c r="FT164" s="22">
        <f t="shared" si="349"/>
        <v>31.891213841978782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projet'!$A$253:$I$273,2,0)</f>
        <v>#N/A</v>
      </c>
      <c r="FX164" s="12" t="e">
        <f>VLOOKUP(A164,'Données projet'!$A$253:$I$273,9,0)</f>
        <v>#N/A</v>
      </c>
      <c r="FY164" s="12">
        <f t="array" ref="FY164">INDEX(FX:FX,MIN(IF(ISNUMBER(FX164:FX360),ROW(FX164:FX360),"")))</f>
        <v>0</v>
      </c>
      <c r="FZ164" s="12">
        <f>IF('Données projet'!$A$254&gt;35,FZ163+FY164-GH163,IF(A164&lt;'Données projet'!$A$254,$FW$205^A164,IF(A164='Données projet'!$A$254,'Données projet'!$B$254,FZ163+FY164-GH163)))</f>
        <v>-1.7053025658242404E-13</v>
      </c>
      <c r="GA164" s="17">
        <f>FZ164*VLOOKUP('Données projet'!$B$17,Paramètres!$A$1:$I$89,3,0)*VLOOKUP('Données projet'!$B$17,Paramètres!$A$1:$I$89,5,0)</f>
        <v>-1.4897523215040567E-13</v>
      </c>
      <c r="GB164" s="13" t="e">
        <f t="shared" si="350"/>
        <v>#NUM!</v>
      </c>
      <c r="GC164" s="20" t="e">
        <f t="shared" si="351"/>
        <v>#NUM!</v>
      </c>
      <c r="GD164" s="59" t="e">
        <f t="shared" si="249"/>
        <v>#NUM!</v>
      </c>
      <c r="GE164" s="59">
        <f ca="1">AVERAGE(OFFSET($GD$3,0,0,'Données projet'!$E$17+1,1))-AVERAGE(OFFSET($H$3,0,0,'Données projet'!$E$17+1,1))</f>
        <v>245.1983232777614</v>
      </c>
      <c r="GF164" s="59">
        <f t="shared" si="303"/>
        <v>242.34010522344573</v>
      </c>
      <c r="GG164" s="15">
        <f>IF(ISNA(VLOOKUP(A164,'Données projet'!$A$253:$I$273,3,0)),0,VLOOKUP(A164,'Données projet'!$A$253:$I$273,3,0))</f>
        <v>0</v>
      </c>
      <c r="GH164" s="15">
        <f>IF(ISNA(VLOOKUP(A164,'Données projet'!$A$253:$I$273,4,0)),0,VLOOKUP(A164,'Données projet'!$A$253:$I$273,4,0))</f>
        <v>0</v>
      </c>
      <c r="GI164" s="16">
        <f>IF(ISNA(VLOOKUP(A164,'Données projet'!$A$253:$I$273,5,0)),0%,VLOOKUP(A164,'Données projet'!$A$253:$I$273,5,0)*VLOOKUP('Données projet'!$B$17,Paramètres!$A$1:$I$89,7,0))</f>
        <v>0</v>
      </c>
      <c r="GJ164" s="16">
        <f>IF(ISNA(VLOOKUP(A164,'Données projet'!$A$253:$I$273,6,0)),0%,VLOOKUP(A164,'Données projet'!$A$253:$I$273,6,0)*VLOOKUP('Données projet'!$B$17,Paramètres!$A$1:$I$89,7,0))</f>
        <v>0</v>
      </c>
      <c r="GK164" s="16">
        <f>IF(ISNA(VLOOKUP(A164,'Données projet'!$A$253:$I$273,7,0)),0%,VLOOKUP(A164,'Données projet'!$A$253:$I$273,7,0))</f>
        <v>0</v>
      </c>
      <c r="GL164" s="21">
        <f>EXP(-LN(2)/35)*GL163+(1-EXP(-LN(2)/35))/(LN(2)/35)*GH164*GI164*VLOOKUP('Données projet'!$B$17,Paramètres!$A$1:$I$89,3,0)*0.475*44/12</f>
        <v>24.774973826669129</v>
      </c>
      <c r="GM164" s="21">
        <f>EXP(-LN(2)/25)*GM163+(1-EXP(-LN(2)/25))/(LN(2)/25)*Calculateur!GH164*Calculateur!GJ164*VLOOKUP('Données projet'!$B$17,Paramètres!$A$1:$I$89,3,0)*0.475*44/12</f>
        <v>2.3049580708958586</v>
      </c>
      <c r="GN164" s="21">
        <f>EXP(-LN(2)/2)*GN163+(1-EXP(-LN(2)/2))/(LN(2)/2)*GH164*GK164*VLOOKUP('Données projet'!$B$17,Paramètres!$A$1:$I$89,3,0)*0.475*44/12</f>
        <v>0</v>
      </c>
      <c r="GO164" s="21">
        <f t="shared" si="352"/>
        <v>27.079931897564986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projet'!$A$279:$I$299,2,0)</f>
        <v>#N/A</v>
      </c>
      <c r="GS164" s="12" t="e">
        <f>VLOOKUP(A164,'Données projet'!$A$279:$I$299,9,0)</f>
        <v>#N/A</v>
      </c>
      <c r="GT164" s="12">
        <f t="array" ref="GT164">INDEX(GS:GS,MIN(IF(ISNUMBER(GS164:GS360),ROW(GS164:GS360),"")))</f>
        <v>0</v>
      </c>
      <c r="GU164" s="12">
        <f>IF('Données projet'!$A$280&gt;35,GU163+GT164-HC163,IF(A164&lt;'Données projet'!$A$280,$GR$205^A164,IF(A164='Données projet'!$A$280,'Données projet'!$B$280,GU163+GT164-HC163)))</f>
        <v>-1.1368683772161603E-13</v>
      </c>
      <c r="GV164" s="17">
        <f>GU164*VLOOKUP('Données projet'!$B$18,Paramètres!$A$1:$I$89,3,0)*VLOOKUP('Données projet'!$B$18,Paramètres!$A$1:$I$89,5,0)</f>
        <v>-4.5815795601811263E-14</v>
      </c>
      <c r="GW164" s="13" t="e">
        <f t="shared" si="353"/>
        <v>#NUM!</v>
      </c>
      <c r="GX164" s="20" t="e">
        <f t="shared" si="354"/>
        <v>#NUM!</v>
      </c>
      <c r="GY164" s="59" t="e">
        <f t="shared" si="252"/>
        <v>#NUM!</v>
      </c>
      <c r="GZ164" s="59">
        <f ca="1">AVERAGE(OFFSET($GY$3,0,0,'Données projet'!$E$18+1,1))-AVERAGE(OFFSET($H$3,0,0,'Données projet'!$E$18+1,1))</f>
        <v>324.36162935850876</v>
      </c>
      <c r="HA164" s="59">
        <f t="shared" si="305"/>
        <v>265.23571072429735</v>
      </c>
      <c r="HB164" s="15">
        <f>IF(ISNA(VLOOKUP(A164,'Données projet'!$A$279:$I$299,3,0)),0,VLOOKUP(A164,'Données projet'!$A$279:$I$299,3,0))</f>
        <v>0</v>
      </c>
      <c r="HC164" s="15">
        <f>IF(ISNA(VLOOKUP(A164,'Données projet'!$A$279:$I$299,4,0)),0,VLOOKUP(A164,'Données projet'!$A$279:$I$299,4,0))</f>
        <v>0</v>
      </c>
      <c r="HD164" s="16">
        <f>IF(ISNA(VLOOKUP(A164,'Données projet'!$A$279:$I$299,5,0)),0%,VLOOKUP(A164,'Données projet'!$A$279:$I$299,5,0)*VLOOKUP('Données projet'!$B$18,Paramètres!$A$1:$I$89,7,0))</f>
        <v>0</v>
      </c>
      <c r="HE164" s="16">
        <f>IF(ISNA(VLOOKUP(A164,'Données projet'!$A$279:$I$299,6,0)),0%,VLOOKUP(A164,'Données projet'!$A$279:$I$299,6,0)*VLOOKUP('Données projet'!$B$18,Paramètres!$A$1:$I$89,7,0))</f>
        <v>0</v>
      </c>
      <c r="HF164" s="16">
        <f>IF(ISNA(VLOOKUP($A164,'Données projet'!$A$279:$I$299,7,0)),0%,VLOOKUP($A164,'Données projet'!$A$279:$I$299,7,0))</f>
        <v>0</v>
      </c>
      <c r="HG164" s="21">
        <f>EXP(-LN(2)/35)*HG163+(1-EXP(-LN(2)/35))/(LN(2)/35)*HC164*HD164*VLOOKUP('Données projet'!$B$18,Paramètres!$A$1:$I$89,3,0)*0.475*44/12</f>
        <v>47.475326496077543</v>
      </c>
      <c r="HH164" s="21">
        <f>EXP(-LN(2)/25)*HH163+(1-EXP(-LN(2)/25))/(LN(2)/25)*Calculateur!HC164*Calculateur!HE164*VLOOKUP('Données projet'!$B$18,Paramètres!$A$1:$I$89,3,0)*0.475*44/12</f>
        <v>2.5635256535922579</v>
      </c>
      <c r="HI164" s="21">
        <f>EXP(-LN(2)/2)*HI163+(1-EXP(-LN(2)/2))/(LN(2)/2)*HC164*HF164*VLOOKUP('Données projet'!$B$18,Paramètres!$A$1:$I$89,3,0)*0.475*44/12</f>
        <v>5.4967949342663334E-12</v>
      </c>
      <c r="HJ164" s="22">
        <f t="shared" si="355"/>
        <v>50.0388521496753</v>
      </c>
      <c r="HK164" s="74">
        <f>('Scénario référence'!$F$8+'Scénario référence'!$F$9+'Scénario référence'!$B$17+'Scénario référence'!$B$9+'Scénario référence'!$B$10)*70+IF((45+25*(1-EXP(-0.0175*$A164)))&lt;70,'Scénario référence'!$B$16*(45+25*(1-EXP(-0.0175*$A164))),70*'Scénario référence'!$B$16)+IF((32+38*(1-EXP(-0.0175*$A164)))&lt;70,'Scénario référence'!$B$18*(32+38*(1-EXP(-0.0175*$A164))),70*'Scénario référence'!$B$18)</f>
        <v>70</v>
      </c>
      <c r="HL164" s="12">
        <f>IF($A164&gt;30,10,('Scénario référence'!$B$16+'Scénario référence'!$B$17+'Scénario référence'!$B$18+'Scénario référence'!$B$9+'Scénario référence'!$B$10)*$A164*10/30+('Scénario référence'!$F$8+'Scénario référence'!$F$9)*10)</f>
        <v>10</v>
      </c>
      <c r="HM164" s="12" t="e">
        <f>VLOOKUP($A164,'Données projet'!$A$304:$I$324,2,0)</f>
        <v>#N/A</v>
      </c>
      <c r="HN164" s="12" t="e">
        <f>VLOOKUP($A164,'Données projet'!$A$304:$I$324,9,0)</f>
        <v>#N/A</v>
      </c>
      <c r="HO164" s="12">
        <f t="array" ref="HO164">INDEX(HN:HN,MIN(IF(ISNUMBER(HN164:HN360),ROW(HN164:HN360),"")))</f>
        <v>0</v>
      </c>
      <c r="HP164" s="12">
        <f>IF('Données projet'!$A$304&gt;35,HP163+HO164-HX163,IF($A164&lt;'Données projet'!$A$304,$CQ$205^$A164,IF($A164='Données projet'!$A$304,'Données projet'!$B$304,HP163+HO164-HX163)))</f>
        <v>0</v>
      </c>
      <c r="HQ164" s="17">
        <f>HP164*VLOOKUP('Données projet'!$B$19,Paramètres!$A$1:$I$89,3,0)*VLOOKUP('Données projet'!$B$19,Paramètres!$A$1:$I$89,5,0)</f>
        <v>0</v>
      </c>
      <c r="HR164" s="13" t="e">
        <f t="shared" si="306"/>
        <v>#NUM!</v>
      </c>
      <c r="HS164" s="14" t="e">
        <f t="shared" si="254"/>
        <v>#NUM!</v>
      </c>
      <c r="HT164" s="59" t="e">
        <f t="shared" si="255"/>
        <v>#NUM!</v>
      </c>
      <c r="HU164" s="59">
        <f ca="1">AVERAGE(OFFSET(HT$3,0,0,'Données projet'!$E$19+1,1))-AVERAGE(OFFSET($H$3,0,0,'Données projet'!$E$19+1,1))</f>
        <v>91.60721429656013</v>
      </c>
      <c r="HV164" s="59">
        <f t="shared" si="307"/>
        <v>258.94957804210856</v>
      </c>
      <c r="HW164" s="15">
        <f>IF(ISNA(VLOOKUP($A164,'Données projet'!$A$304:$I$324,3,0)),0,VLOOKUP($A164,'Données projet'!$A$304:$I$324,3,0))</f>
        <v>0</v>
      </c>
      <c r="HX164" s="15">
        <f>IF(ISNA(VLOOKUP($A164,'Données projet'!$A$304:$I$324,4,0)),0,VLOOKUP($A164,'Données projet'!$A$304:$I$324,4,0))</f>
        <v>0</v>
      </c>
      <c r="HY164" s="16">
        <f>IF(ISNA(VLOOKUP($A164,'Données projet'!$A$304:$I$324,5,0)),0%,VLOOKUP($A164,'Données projet'!$A$304:$I$324,5,0)*VLOOKUP('Données projet'!$B$19,Paramètres!$A$1:$I$89,7,0))</f>
        <v>0</v>
      </c>
      <c r="HZ164" s="16">
        <f>IF(ISNA(VLOOKUP($A164,'Données projet'!$A$304:$I$324,6,0)),0%,VLOOKUP($A164,'Données projet'!$A$304:$I$324,6,0)*VLOOKUP('Données projet'!$B$19,Paramètres!$A$1:$I$89,7,0))</f>
        <v>0</v>
      </c>
      <c r="IA164" s="16">
        <f>IF(ISNA(VLOOKUP($A164,'Données projet'!$A$304:$I$324,7,0)),0%,VLOOKUP($A164,'Données projet'!$A$304:$I$324,7,0))</f>
        <v>0</v>
      </c>
      <c r="IB164" s="21">
        <f>EXP(-LN(2)/35)*IB163+(1-EXP(-LN(2)/35))/(LN(2)/35)*HX164*HY164*VLOOKUP('Données projet'!$B$19,Paramètres!$A$1:$I$89,3,0)*0.475*44/12</f>
        <v>3.6848741272232917</v>
      </c>
      <c r="IC164" s="21">
        <f>EXP(-LN(2)/25)*IC163+(1-EXP(-LN(2)/25))/(LN(2)/25)*Calculateur!HX164*Calculateur!HZ164*VLOOKUP('Données projet'!$B$19,Paramètres!$A$1:$I$89,3,0)*0.475*44/12</f>
        <v>0.25740334259266801</v>
      </c>
      <c r="ID164" s="21">
        <f>EXP(-LN(2)/2)*ID163+(1-EXP(-LN(2)/2))/(LN(2)/2)*HX164*IA164*VLOOKUP('Données projet'!$B$19,Paramètres!$A$1:$I$89,3,0)*0.475*44/12</f>
        <v>1.0979383479111159E-20</v>
      </c>
      <c r="IE164" s="22">
        <f t="shared" si="256"/>
        <v>3.9422774698159597</v>
      </c>
      <c r="IF164" s="74">
        <f>('Scénario référence'!$F$8+'Scénario référence'!$F$9+'Scénario référence'!$B$17+'Scénario référence'!$B$9+'Scénario référence'!$B$10)*70+IF((45+25*(1-EXP(-0.0175*$A164)))&lt;70,'Scénario référence'!$B$16*(45+25*(1-EXP(-0.0175*$A164))),70*'Scénario référence'!$B$16)+IF((32+38*(1-EXP(-0.0175*$A164)))&lt;70,'Scénario référence'!$B$18*(32+38*(1-EXP(-0.0175*$A164))),70*'Scénario référence'!$B$18)</f>
        <v>70</v>
      </c>
      <c r="IG164" s="12">
        <f>IF($A164&gt;30,10,('Scénario référence'!$B$16+'Scénario référence'!$B$17+'Scénario référence'!$B$18+'Scénario référence'!$B$9+'Scénario référence'!$B$10)*$A164*10/30+('Scénario référence'!$F$8+'Scénario référence'!$F$9)*10)</f>
        <v>10</v>
      </c>
      <c r="IH164" s="12" t="e">
        <f>VLOOKUP($A164,'Données projet'!$A$330:$I$350,2,0)</f>
        <v>#N/A</v>
      </c>
      <c r="II164" s="12" t="e">
        <f>VLOOKUP($A164,'Données projet'!$A$330:$I$350,9,0)</f>
        <v>#N/A</v>
      </c>
      <c r="IJ164" s="12">
        <f t="array" ref="IJ164">INDEX(II:II,MIN(IF(ISNUMBER(II164:II360),ROW(II164:II360),"")))</f>
        <v>0</v>
      </c>
      <c r="IK164" s="12">
        <f>IF('Données projet'!$A$330&gt;35,IK163+IJ164-IS163,IF($A164&lt;'Données projet'!$A$330,$CQ$205^$A164,IF($A164='Données projet'!$A$330,'Données projet'!$B$330,IK163+IJ164-IS163)))</f>
        <v>0</v>
      </c>
      <c r="IL164" s="17">
        <f>IK164*VLOOKUP('Données projet'!$B$20,Paramètres!$A$1:$I$89,3,0)*VLOOKUP('Données projet'!$B$20,Paramètres!$A$1:$I$89,5,0)</f>
        <v>0</v>
      </c>
      <c r="IM164" s="13" t="e">
        <f t="shared" si="308"/>
        <v>#NUM!</v>
      </c>
      <c r="IN164" s="20" t="e">
        <f t="shared" si="257"/>
        <v>#NUM!</v>
      </c>
      <c r="IO164" s="59" t="e">
        <f t="shared" si="258"/>
        <v>#NUM!</v>
      </c>
      <c r="IP164" s="59">
        <f ca="1">AVERAGE(OFFSET(IO$3,0,0,'Données projet'!$E$20+1,1))-AVERAGE(OFFSET($H$3,0,0,'Données projet'!$E$20+1,1))</f>
        <v>91.60721429656013</v>
      </c>
      <c r="IQ164" s="59">
        <f t="shared" si="309"/>
        <v>258.94957804210856</v>
      </c>
      <c r="IR164" s="15">
        <f>IF(ISNA(VLOOKUP($A164,'Données projet'!$A$330:$I$350,3,0)),0,VLOOKUP($A164,'Données projet'!$A$330:$I$350,3,0))</f>
        <v>0</v>
      </c>
      <c r="IS164" s="15">
        <f>IF(ISNA(VLOOKUP($A164,'Données projet'!$A$330:$I$350,4,0)),0,VLOOKUP($A164,'Données projet'!$A$330:$I$350,4,0))</f>
        <v>0</v>
      </c>
      <c r="IT164" s="16">
        <f>IF(ISNA(VLOOKUP($A164,'Données projet'!$A$330:$I$350,5,0)),0%,VLOOKUP($A164,'Données projet'!$A$330:$I$350,5,0)*VLOOKUP('Données projet'!$B$20,Paramètres!$A$1:$I$89,7,0))</f>
        <v>0</v>
      </c>
      <c r="IU164" s="16">
        <f>IF(ISNA(VLOOKUP($A164,'Données projet'!$A$330:$I$350,6,0)),0%,VLOOKUP($A164,'Données projet'!$A$330:$I$350,6,0)*VLOOKUP('Données projet'!$B$20,Paramètres!$A$1:$I$89,7,0))</f>
        <v>0</v>
      </c>
      <c r="IV164" s="16">
        <f>IF(ISNA(VLOOKUP($A164,'Données projet'!$A$330:$I$350,7,0)),0%,VLOOKUP($A164,'Données projet'!$A$330:$I$350,7,0))</f>
        <v>0</v>
      </c>
      <c r="IW164" s="21">
        <f>EXP(-LN(2)/35)*IW163+(1-EXP(-LN(2)/35))/(LN(2)/35)*IS164*IT164*VLOOKUP('Données projet'!$B$20,Paramètres!$A$1:$I$89,3,0)*0.475*44/12</f>
        <v>3.6848741272232917</v>
      </c>
      <c r="IX164" s="21">
        <f>EXP(-LN(2)/25)*IX163+(1-EXP(-LN(2)/25))/(LN(2)/25)*Calculateur!IS164*Calculateur!IU164*VLOOKUP('Données projet'!$B$20,Paramètres!$A$1:$I$89,3,0)*0.475*44/12</f>
        <v>0.25740334259266801</v>
      </c>
      <c r="IY164" s="21">
        <f>EXP(-LN(2)/2)*IY163+(1-EXP(-LN(2)/2))/(LN(2)/2)*IS164*IV164*VLOOKUP('Données projet'!$B$20,Paramètres!$A$1:$I$89,3,0)*0.475*44/12</f>
        <v>1.0979383479111159E-20</v>
      </c>
      <c r="IZ164" s="22">
        <f t="shared" si="259"/>
        <v>3.9422774698159597</v>
      </c>
      <c r="JA164" s="74">
        <f>('Scénario référence'!$F$8+'Scénario référence'!$F$9+'Scénario référence'!$B$17+'Scénario référence'!$B$9+'Scénario référence'!$B$10)*70+IF((45+25*(1-EXP(-0.0175*$A164)))&lt;70,'Scénario référence'!$B$16*(45+25*(1-EXP(-0.0175*$A164))),70*'Scénario référence'!$B$16)+IF((32+38*(1-EXP(-0.0175*$A164)))&lt;70,'Scénario référence'!$B$18*(32+38*(1-EXP(-0.0175*$A164))),70*'Scénario référence'!$B$18)</f>
        <v>70</v>
      </c>
      <c r="JB164" s="12">
        <f>IF($A164&gt;30,10,('Scénario référence'!$B$16+'Scénario référence'!$B$17+'Scénario référence'!$B$18+'Scénario référence'!$B$9+'Scénario référence'!$B$10)*$A164*10/30+('Scénario référence'!$F$8+'Scénario référence'!$F$9)*10)</f>
        <v>10</v>
      </c>
      <c r="JC164" s="12" t="e">
        <f>VLOOKUP($A164,'Données projet'!$A$356:$I$376,2,0)</f>
        <v>#N/A</v>
      </c>
      <c r="JD164" s="12" t="e">
        <f>VLOOKUP($A164,'Données projet'!$A$356:$I$376,9,0)</f>
        <v>#N/A</v>
      </c>
      <c r="JE164" s="12">
        <f t="array" ref="JE164">INDEX(JD:JD,MIN(IF(ISNUMBER(JD164:JD360),ROW(JD164:JD360),"")))</f>
        <v>0</v>
      </c>
      <c r="JF164" s="12">
        <f>IF('Données projet'!$A$356&gt;35,JF163+JE164-JN163,IF($A164&lt;'Données projet'!$A$356,$CQ$205^$A164,IF($A164='Données projet'!$A$356,'Données projet'!$B$356,JF163+JE164-JN163)))</f>
        <v>-1.3073986337985843E-12</v>
      </c>
      <c r="JG164" s="17">
        <f>JF164*VLOOKUP('Données projet'!$B$21,Paramètres!$A$1:$I$89,3,0)*VLOOKUP('Données projet'!$B$21,Paramètres!$A$1:$I$89,5,0)</f>
        <v>-1.0605617717374117E-12</v>
      </c>
      <c r="JH164" s="13" t="e">
        <f t="shared" si="310"/>
        <v>#NUM!</v>
      </c>
      <c r="JI164" s="20" t="e">
        <f t="shared" si="260"/>
        <v>#NUM!</v>
      </c>
      <c r="JJ164" s="59" t="e">
        <f t="shared" si="261"/>
        <v>#NUM!</v>
      </c>
      <c r="JK164" s="59">
        <f ca="1">AVERAGE(OFFSET($JJ$3,0,0,'Données projet'!$E$22+1,1))-AVERAGE(OFFSET($H$3,0,0,'Données projet'!$E$22+1,1))</f>
        <v>353.35574633294613</v>
      </c>
      <c r="JL164" s="59">
        <f t="shared" si="311"/>
        <v>170.36796666474726</v>
      </c>
      <c r="JM164" s="15">
        <f>IF(ISNA(VLOOKUP($A164,'Données projet'!$A$356:$I$376,3,0)),0,VLOOKUP($A164,'Données projet'!$A$356:$I$376,3,0))</f>
        <v>0</v>
      </c>
      <c r="JN164" s="15">
        <f>IF(ISNA(VLOOKUP($A164,'Données projet'!$A$356:$I$376,4,0)),0,VLOOKUP($A164,'Données projet'!$A$356:$I$376,4,0))</f>
        <v>0</v>
      </c>
      <c r="JO164" s="16">
        <f>IF(ISNA(VLOOKUP($A164,'Données projet'!$A$356:$I$376,5,0)),0%,VLOOKUP($A164,'Données projet'!$A$356:$I$376,5,0)*VLOOKUP('Données projet'!$B$21,Paramètres!$A$1:$I$89,7,0))</f>
        <v>0</v>
      </c>
      <c r="JP164" s="16">
        <f>IF(ISNA(VLOOKUP($A164,'Données projet'!$A$356:$I$376,6,0)),0%,VLOOKUP($A164,'Données projet'!$A$356:$I$376,6,0)*VLOOKUP('Données projet'!$B$21,Paramètres!$A$1:$I$89,7,0))</f>
        <v>0</v>
      </c>
      <c r="JQ164" s="16">
        <f>IF(ISNA(VLOOKUP($A164,'Données projet'!$A$356:$I$376,7,0)),0%,VLOOKUP($A164,'Données projet'!$A$356:$I$376,7,0))</f>
        <v>0</v>
      </c>
      <c r="JR164" s="21">
        <f>EXP(-LN(2)/35)*JR163+(1-EXP(-LN(2)/35))/(LN(2)/35)*JN164*JO164*VLOOKUP('Données projet'!$B$21,Paramètres!$A$1:$I$89,3,0)*0.475*44/12</f>
        <v>59.07402686770908</v>
      </c>
      <c r="JS164" s="21">
        <f>EXP(-LN(2)/25)*JS163+(1-EXP(-LN(2)/25))/(LN(2)/25)*Calculateur!JN164*Calculateur!JP164*VLOOKUP('Données projet'!$B$21,Paramètres!$A$1:$I$89,3,0)*0.475*44/12</f>
        <v>56.336930130907568</v>
      </c>
      <c r="JT164" s="21">
        <f>EXP(-LN(2)/2)*JT163+(1-EXP(-LN(2)/2))/(LN(2)/2)*JN164*JQ164*VLOOKUP('Données projet'!$B$21,Paramètres!$A$1:$I$89,3,0)*0.475*44/12</f>
        <v>0.75772959226055869</v>
      </c>
      <c r="JU164" s="18">
        <f t="shared" si="262"/>
        <v>116.16868659087721</v>
      </c>
      <c r="JV164" s="74">
        <f>('Scénario référence'!$F$8+'Scénario référence'!$F$9+'Scénario référence'!$B$17+'Scénario référence'!$B$9+'Scénario référence'!$B$10)*70+IF((45+25*(1-EXP(-0.0175*$A164)))&lt;70,'Scénario référence'!$B$16*(45+25*(1-EXP(-0.0175*$A164))),70*'Scénario référence'!$B$16)+IF((32+38*(1-EXP(-0.0175*$A164)))&lt;70,'Scénario référence'!$B$18*(32+38*(1-EXP(-0.0175*$A164))),70*'Scénario référence'!$B$18)</f>
        <v>70</v>
      </c>
      <c r="JW164" s="12">
        <f>IF($A164&gt;30,10,('Scénario référence'!$B$16+'Scénario référence'!$B$17+'Scénario référence'!$B$18+'Scénario référence'!$B$9+'Scénario référence'!$B$10)*$A164*10/30+('Scénario référence'!$F$8+'Scénario référence'!$F$9)*10)</f>
        <v>10</v>
      </c>
      <c r="JX164" s="12" t="e">
        <f>VLOOKUP($A164,'Données projet'!$A$382:$I$402,2,0)</f>
        <v>#N/A</v>
      </c>
      <c r="JY164" s="12" t="e">
        <f>VLOOKUP($A164,'Données projet'!$A$382:$I$402,9,0)</f>
        <v>#N/A</v>
      </c>
      <c r="JZ164" s="12">
        <f t="array" ref="JZ164">INDEX(JY:JY,MIN(IF(ISNUMBER(JY164:JY360),ROW(JY164:JY360),"")))</f>
        <v>0</v>
      </c>
      <c r="KA164" s="12">
        <f>IF('Données projet'!$A$382&gt;35,KA163+JZ164-KI163,IF($A164&lt;'Données projet'!$A$382,$CQ$205^$A164,IF($A164='Données projet'!$A$382,'Données projet'!$B$382,KA163+JZ164-KI163)))</f>
        <v>5.6843418860808015E-13</v>
      </c>
      <c r="KB164" s="17">
        <f>KA164*VLOOKUP('Données projet'!$B$22,Paramètres!$A$1:$I$89,3,0)*VLOOKUP('Données projet'!$B$22,Paramètres!$A$1:$I$89,5,0)</f>
        <v>3.8130565371830017E-13</v>
      </c>
      <c r="KC164" s="13">
        <f t="shared" si="312"/>
        <v>4.9019074112354236E-12</v>
      </c>
      <c r="KD164" s="20">
        <f t="shared" si="263"/>
        <v>9.2015960881277352E-12</v>
      </c>
      <c r="KE164" s="59">
        <f t="shared" si="264"/>
        <v>293.33333333334252</v>
      </c>
      <c r="KF164" s="59">
        <f ca="1">AVERAGE(OFFSET($KE$3,0,0,'Données projet'!$E$22+1,1))-AVERAGE(OFFSET($H$3,0,0,'Données projet'!$E$22+1,1))</f>
        <v>193.91714772848269</v>
      </c>
      <c r="KG164" s="59">
        <f t="shared" si="313"/>
        <v>159.20429420478047</v>
      </c>
      <c r="KH164" s="15">
        <f>IF(ISNA(VLOOKUP($A164,'Données projet'!$A$382:$I$402,3,0)),0,VLOOKUP($A164,'Données projet'!$A$382:$I$402,3,0))</f>
        <v>0</v>
      </c>
      <c r="KI164" s="15">
        <f>IF(ISNA(VLOOKUP($A164,'Données projet'!$A$382:$I$402,4,0)),0,VLOOKUP($A164,'Données projet'!$A$382:$I$402,4,0))</f>
        <v>0</v>
      </c>
      <c r="KJ164" s="16">
        <f>IF(ISNA(VLOOKUP($A164,'Données projet'!$A$382:$I$402,5,0)),0%,VLOOKUP($A164,'Données projet'!$A$382:$I$402,5,0)*VLOOKUP('Données projet'!$B$22,Paramètres!$A$1:$I$89,7,0))</f>
        <v>0</v>
      </c>
      <c r="KK164" s="16">
        <f>IF(ISNA(VLOOKUP($A164,'Données projet'!$A$382:$I$402,6,0)),0%,VLOOKUP($A164,'Données projet'!$A$382:$I$402,6,0)*VLOOKUP('Données projet'!$B$22,Paramètres!$A$1:$I$89,7,0))</f>
        <v>0</v>
      </c>
      <c r="KL164" s="16">
        <f>IF(ISNA(VLOOKUP($A164,'Données projet'!$A$382:$I$402,7,0)),0%,VLOOKUP($A164,'Données projet'!$A$382:$I$402,7,0))</f>
        <v>0</v>
      </c>
      <c r="KM164" s="21">
        <f>EXP(-LN(2)/35)*KM163+(1-EXP(-LN(2)/35))/(LN(2)/35)*KI164*KJ164*VLOOKUP('Données projet'!$B$22,Paramètres!$A$1:$I$89,3,0)*0.475*44/12</f>
        <v>86.254599179220875</v>
      </c>
      <c r="KN164" s="21">
        <f>EXP(-LN(2)/25)*KN163+(1-EXP(-LN(2)/25))/(LN(2)/25)*Calculateur!KI164*Calculateur!KK164*VLOOKUP('Données projet'!$B$22,Paramètres!$A$1:$I$89,3,0)*0.475*44/12</f>
        <v>0</v>
      </c>
      <c r="KO164" s="21">
        <f>EXP(-LN(2)/2)*KO163+(1-EXP(-LN(2)/2))/(LN(2)/2)*KI164*KL164*VLOOKUP('Données projet'!$B$22,Paramètres!$A$1:$I$89,3,0)*0.475*44/12</f>
        <v>0</v>
      </c>
      <c r="KP164" s="22">
        <f t="shared" si="265"/>
        <v>86.254599179220875</v>
      </c>
      <c r="KQ164" s="74">
        <f>('Scénario référence'!$F$8+'Scénario référence'!$F$9+'Scénario référence'!$B$17+'Scénario référence'!$B$9+'Scénario référence'!$B$10)*70+IF((45+25*(1-EXP(-0.0175*$A164)))&lt;70,'Scénario référence'!$B$16*(45+25*(1-EXP(-0.0175*$A164))),70*'Scénario référence'!$B$16)+IF((32+38*(1-EXP(-0.0175*$A164)))&lt;70,'Scénario référence'!$B$18*(32+38*(1-EXP(-0.0175*$A164))),70*'Scénario référence'!$B$18)</f>
        <v>70</v>
      </c>
      <c r="KR164" s="12">
        <f>IF($A164&gt;30,10,('Scénario référence'!$B$16+'Scénario référence'!$B$17+'Scénario référence'!$B$18+'Scénario référence'!$B$9+'Scénario référence'!$B$10)*$A164*10/30+('Scénario référence'!$F$8+'Scénario référence'!$F$9)*10)</f>
        <v>10</v>
      </c>
      <c r="KS164" s="12" t="e">
        <f>VLOOKUP($A164,'Données projet'!$A$408:$I$428,2,0)</f>
        <v>#N/A</v>
      </c>
      <c r="KT164" s="12" t="e">
        <f>VLOOKUP($A164,'Données projet'!$A$408:$I$428,9,0)</f>
        <v>#N/A</v>
      </c>
      <c r="KU164" s="12">
        <f t="array" ref="KU164">INDEX(KT:KT,MIN(IF(ISNUMBER(KT164:KT360),ROW(KT164:KT360),"")))</f>
        <v>0</v>
      </c>
      <c r="KV164" s="12">
        <f>IF('Données projet'!$A$408&gt;35,KV163+KU164-LD163,IF($A164&lt;'Données projet'!$A$408,$CQ$205^$A164,IF($A164='Données projet'!$A$408,'Données projet'!$B$408,KV163+KU164-LD163)))</f>
        <v>-1.1368683772161603E-13</v>
      </c>
      <c r="KW164" s="17">
        <f>KV164*VLOOKUP('Données projet'!$B$23,Paramètres!$A$1:$I$89,3,0)*VLOOKUP('Données projet'!$B$23,Paramètres!$A$1:$I$89,5,0)</f>
        <v>-9.9316821433603781E-14</v>
      </c>
      <c r="KX164" s="13" t="e">
        <f t="shared" si="314"/>
        <v>#NUM!</v>
      </c>
      <c r="KY164" s="14" t="e">
        <f t="shared" si="266"/>
        <v>#NUM!</v>
      </c>
      <c r="KZ164" s="59" t="e">
        <f t="shared" si="267"/>
        <v>#NUM!</v>
      </c>
      <c r="LA164" s="59">
        <f ca="1">AVERAGE(OFFSET($KZ$3,0,0,'Données projet'!$E$23+1,1))-AVERAGE(OFFSET($H$3,0,0,'Données projet'!$E$23+1,1))</f>
        <v>248.33596943633819</v>
      </c>
      <c r="LB164" s="59">
        <f t="shared" si="315"/>
        <v>242.34010522344573</v>
      </c>
      <c r="LC164" s="15">
        <f>IF(ISNA(VLOOKUP($A164,'Données projet'!$A$408:$I$428,3,0)),0,VLOOKUP($A164,'Données projet'!$A$408:$I$428,3,0))</f>
        <v>0</v>
      </c>
      <c r="LD164" s="15">
        <f>IF(ISNA(VLOOKUP($A164,'Données projet'!$A$408:$I$428,4,0)),0,VLOOKUP($A164,'Données projet'!$A$408:$I$428,4,0))</f>
        <v>0</v>
      </c>
      <c r="LE164" s="16">
        <f>IF(ISNA(VLOOKUP($A164,'Données projet'!$A$408:$I$428,5,0)),0%,VLOOKUP($A164,'Données projet'!$A$408:$I$428,5,0)*VLOOKUP('Données projet'!$B$23,Paramètres!$A$1:$I$89,7,0))</f>
        <v>0</v>
      </c>
      <c r="LF164" s="16">
        <f>IF(ISNA(VLOOKUP($A164,'Données projet'!$A$408:$I$428,6,0)),0%,VLOOKUP($A164,'Données projet'!$A$408:$I$428,6,0)*VLOOKUP('Données projet'!$B$23,Paramètres!$A$1:$I$89,7,0))</f>
        <v>0</v>
      </c>
      <c r="LG164" s="16">
        <f>IF(ISNA(VLOOKUP($A164,'Données projet'!$A$408:$I$428,7,0)),0%,VLOOKUP($A164,'Données projet'!$A$408:$I$428,7,0))</f>
        <v>0</v>
      </c>
      <c r="LH164" s="21">
        <f>EXP(-LN(2)/35)*LH163+(1-EXP(-LN(2)/35))/(LN(2)/35)*LD164*LE164*VLOOKUP('Données projet'!$B$23,Paramètres!$A$1:$I$89,3,0)*0.475*44/12</f>
        <v>24.774973826669129</v>
      </c>
      <c r="LI164" s="21">
        <f>EXP(-LN(2)/25)*LI163+(1-EXP(-LN(2)/25))/(LN(2)/25)*Calculateur!LD164*Calculateur!LF164*VLOOKUP('Données projet'!$B$23,Paramètres!$A$1:$I$89,3,0)*0.475*44/12</f>
        <v>2.3049580708958586</v>
      </c>
      <c r="LJ164" s="21">
        <f>EXP(-LN(2)/2)*LJ163+(1-EXP(-LN(2)/2))/(LN(2)/2)*LD164*LG164*VLOOKUP('Données projet'!$B$23,Paramètres!$A$1:$I$89,3,0)*0.475*44/12</f>
        <v>0</v>
      </c>
      <c r="LK164" s="22">
        <f t="shared" si="268"/>
        <v>27.079931897564986</v>
      </c>
      <c r="LL164" s="74">
        <f>('Scénario référence'!$F$8+'Scénario référence'!$F$9+'Scénario référence'!$B$17+'Scénario référence'!$B$9+'Scénario référence'!$B$10)*70+IF((45+25*(1-EXP(-0.0175*$A164)))&lt;70,'Scénario référence'!$B$16*(45+25*(1-EXP(-0.0175*$A164))),70*'Scénario référence'!$B$16)+IF((32+38*(1-EXP(-0.0175*$A164)))&lt;70,'Scénario référence'!$B$18*(32+38*(1-EXP(-0.0175*$A164))),70*'Scénario référence'!$B$18)</f>
        <v>70</v>
      </c>
      <c r="LM164" s="12">
        <f>IF($A164&gt;30,10,('Scénario référence'!$B$16+'Scénario référence'!$B$17+'Scénario référence'!$B$18+'Scénario référence'!$B$9+'Scénario référence'!$B$10)*$A164*10/30+('Scénario référence'!$F$8+'Scénario référence'!$F$9)*10)</f>
        <v>10</v>
      </c>
      <c r="LN164" s="12">
        <f>VLOOKUP($A164,'Données projet'!$A$434:$I$454,2,0)</f>
        <v>91.365384615384613</v>
      </c>
      <c r="LO164" s="12">
        <f>VLOOKUP($A164,'Données projet'!$A$434:$I$454,9,0)</f>
        <v>1.1618589743589709</v>
      </c>
      <c r="LP164" s="12">
        <f t="array" ref="LP164">INDEX(LO:LO,MIN(IF(ISNUMBER(LO164:LO360),ROW(LO164:LO360),"")))</f>
        <v>1.1618589743589709</v>
      </c>
      <c r="LQ164" s="12">
        <f>IF('Données projet'!$A$434&gt;35,LQ163+LP164-LY163,IF($A164&lt;'Données projet'!$A$434,$CQ$205^$A164,IF($A164='Données projet'!$A$434,'Données projet'!$B$434,LQ163+LP164-LY163)))</f>
        <v>91.365384615384158</v>
      </c>
      <c r="LR164" s="17">
        <f>LQ164*VLOOKUP('Données projet'!$B$24,Paramètres!$A$1:$I$89,3,0)*VLOOKUP('Données projet'!$B$24,Paramètres!$A$1:$I$89,5,0)</f>
        <v>92.644499999999539</v>
      </c>
      <c r="LS164" s="13">
        <f t="shared" si="316"/>
        <v>25.201935767997217</v>
      </c>
      <c r="LT164" s="14">
        <f t="shared" si="269"/>
        <v>205.24920896259434</v>
      </c>
      <c r="LU164" s="59">
        <f t="shared" si="270"/>
        <v>498.58254229592762</v>
      </c>
      <c r="LV164" s="59">
        <f ca="1">AVERAGE(OFFSET($LU$3,0,0,'Données projet'!$E$24+1,1))-AVERAGE(OFFSET($H$3,0,0,'Données projet'!$E$24+1,1))</f>
        <v>260.52627655062872</v>
      </c>
      <c r="LW164" s="59">
        <f t="shared" si="317"/>
        <v>159.20429420478047</v>
      </c>
      <c r="LX164" s="15">
        <f>IF(ISNA(VLOOKUP($A164,'Données projet'!$A$434:$I$454,3,0)),0,VLOOKUP($A164,'Données projet'!$A$434:$I$454,3,0))</f>
        <v>15</v>
      </c>
      <c r="LY164" s="15">
        <f>IF(ISNA(VLOOKUP($A164,'Données projet'!$A$434:$I$454,4,0)),0,VLOOKUP($A164,'Données projet'!$A$434:$I$454,4,0))</f>
        <v>91.365384615384613</v>
      </c>
      <c r="LZ164" s="16">
        <f>IF(ISNA(VLOOKUP($A164,'Données projet'!$A$434:$I$454,5,0)),0%,VLOOKUP($A164,'Données projet'!$A$434:$I$454,5,0)*VLOOKUP('Données projet'!$B$24,Paramètres!$A$1:$I$89,7,0))</f>
        <v>0.38700000000000001</v>
      </c>
      <c r="MA164" s="16">
        <f>IF(ISNA(VLOOKUP($A164,'Données projet'!$A$434:$I$454,6,0)),0%,VLOOKUP($A164,'Données projet'!$A$434:$I$454,6,0)*VLOOKUP('Données projet'!$B$24,Paramètres!$A$1:$I$89,7,0))</f>
        <v>0</v>
      </c>
      <c r="MB164" s="16">
        <f>IF(ISNA(VLOOKUP($A164,'Données projet'!$A$434:$I$454,7,0)),0%,VLOOKUP($A164,'Données projet'!$A$434:$I$454,7,0))</f>
        <v>0</v>
      </c>
      <c r="MC164" s="21">
        <f>EXP(-LN(2)/35)*MC163+(1-EXP(-LN(2)/35))/(LN(2)/35)*LY164*LZ164*VLOOKUP('Données projet'!$B$24,Paramètres!$A$1:$I$89,3,0)*0.475*44/12</f>
        <v>159.29466668293924</v>
      </c>
      <c r="MD164" s="21">
        <f>EXP(-LN(2)/25)*MD163+(1-EXP(-LN(2)/25))/(LN(2)/25)*Calculateur!LY164*Calculateur!MA164*VLOOKUP('Données projet'!$B$24,Paramètres!$A$1:$I$89,3,0)*0.475*44/12</f>
        <v>0</v>
      </c>
      <c r="ME164" s="21">
        <f>EXP(-LN(2)/2)*ME163+(1-EXP(-LN(2)/2))/(LN(2)/2)*LY164*MB164*VLOOKUP('Données projet'!$B$24,Paramètres!$A$1:$I$89,3,0)*0.475*44/12</f>
        <v>0</v>
      </c>
      <c r="MF164" s="22">
        <f t="shared" si="271"/>
        <v>159.29466668293924</v>
      </c>
      <c r="MG164" s="74">
        <f>('Scénario référence'!$F$8+'Scénario référence'!$F$9+'Scénario référence'!$B$17+'Scénario référence'!$B$9+'Scénario référence'!$B$10)*70+IF((45+25*(1-EXP(-0.0175*$A164)))&lt;70,'Scénario référence'!$B$16*(45+25*(1-EXP(-0.0175*$A164))),70*'Scénario référence'!$B$16)+IF((32+38*(1-EXP(-0.0175*$A164)))&lt;70,'Scénario référence'!$B$18*(32+38*(1-EXP(-0.0175*$A164))),70*'Scénario référence'!$B$18)</f>
        <v>70</v>
      </c>
      <c r="MH164" s="12">
        <f>IF($A164&gt;30,10,('Scénario référence'!$B$16+'Scénario référence'!$B$17+'Scénario référence'!$B$18+'Scénario référence'!$B$9+'Scénario référence'!$B$10)*$A164*10/30+('Scénario référence'!$F$8+'Scénario référence'!$F$9)*10)</f>
        <v>10</v>
      </c>
      <c r="MI164" s="12" t="e">
        <f>VLOOKUP($A164,'Données projet'!$A$460:$I$480,2,0)</f>
        <v>#N/A</v>
      </c>
      <c r="MJ164" s="12" t="e">
        <f>VLOOKUP($A164,'Données projet'!$A$460:$I$480,9,0)</f>
        <v>#N/A</v>
      </c>
      <c r="MK164" s="12">
        <f t="array" ref="MK164">INDEX(MJ:MJ,MIN(IF(ISNUMBER(MJ164:MJ360),ROW(MJ164:MJ360),"")))</f>
        <v>0</v>
      </c>
      <c r="ML164" s="12">
        <f>IF('Données projet'!$A$460&gt;35,ML163+MK164-MT163,IF($A164&lt;'Données projet'!$A$460,$CQ$205^$A164,IF($A164='Données projet'!$A$460,'Données projet'!$B$460,ML163+MK164-MT163)))</f>
        <v>0</v>
      </c>
      <c r="MM164" s="17" t="e">
        <f>ML164*VLOOKUP('Données projet'!$B$25,Paramètres!$A$1:$I$89,3,0)*VLOOKUP('Données projet'!$B$25,Paramètres!$A$1:$I$89,5,0)</f>
        <v>#N/A</v>
      </c>
      <c r="MN164" s="13" t="e">
        <f t="shared" si="318"/>
        <v>#N/A</v>
      </c>
      <c r="MO164" s="14" t="e">
        <f t="shared" si="272"/>
        <v>#N/A</v>
      </c>
      <c r="MP164" s="59" t="e">
        <f t="shared" si="273"/>
        <v>#N/A</v>
      </c>
      <c r="MQ164" s="20" t="e">
        <f ca="1">AVERAGE(OFFSET($MP$3,0,0,'Données projet'!$E$25+1,1))-AVERAGE(OFFSET($H$3,0,0,'Données projet'!$E$25+1,1))</f>
        <v>#N/A</v>
      </c>
      <c r="MR164" s="59" t="e">
        <f t="shared" si="319"/>
        <v>#N/A</v>
      </c>
      <c r="MS164" s="15">
        <f>IF(ISNA(VLOOKUP($A164,'Données projet'!$A$460:$I$480,3,0)),0,VLOOKUP($A164,'Données projet'!$A$460:$I$480,3,0))</f>
        <v>0</v>
      </c>
      <c r="MT164" s="15">
        <f>IF(ISNA(VLOOKUP($A164,'Données projet'!$A$460:$I$480,4,0)),0,VLOOKUP($A164,'Données projet'!$A$460:$I$480,4,0))</f>
        <v>0</v>
      </c>
      <c r="MU164" s="16">
        <f>IF(ISNA(VLOOKUP($A164,'Données projet'!$A$460:$I$480,5,0)),0%,VLOOKUP($A164,'Données projet'!$A$460:$I$480,5,0)*VLOOKUP('Données projet'!$B$25,Paramètres!$A$1:$I$89,7,0))</f>
        <v>0</v>
      </c>
      <c r="MV164" s="16">
        <f>IF(ISNA(VLOOKUP($A164,'Données projet'!$A$460:$I$480,6,0)),0%,VLOOKUP($A164,'Données projet'!$A$460:$I$480,6,0)*VLOOKUP('Données projet'!$B$25,Paramètres!$A$1:$I$89,7,0))</f>
        <v>0</v>
      </c>
      <c r="MW164" s="16">
        <f>IF(ISNA(VLOOKUP($A164,'Données projet'!$A$460:$I$480,7,0)),0%,VLOOKUP($A164,'Données projet'!$A$460:$I$480,7,0))</f>
        <v>0</v>
      </c>
      <c r="MX164" s="21" t="e">
        <f>EXP(-LN(2)/35)*MX163+(1-EXP(-LN(2)/35))/(LN(2)/35)*MT164*MU164*VLOOKUP('Données projet'!$B$25,Paramètres!$A$1:$I$89,3,0)*0.475*44/12</f>
        <v>#N/A</v>
      </c>
      <c r="MY164" s="21" t="e">
        <f>EXP(-LN(2)/25)*MY163+(1-EXP(-LN(2)/25))/(LN(2)/25)*Calculateur!MT164*Calculateur!MV164*VLOOKUP('Données projet'!$B$25,Paramètres!$A$1:$I$89,3,0)*0.475*44/12</f>
        <v>#N/A</v>
      </c>
      <c r="MZ164" s="21" t="e">
        <f>EXP(-LN(2)/2)*MZ163+(1-EXP(-LN(2)/2))/(LN(2)/2)*MT164*MW164*VLOOKUP('Données projet'!$B$25,Paramètres!$A$1:$I$89,3,0)*0.475*44/12</f>
        <v>#N/A</v>
      </c>
      <c r="NA164" s="22" t="e">
        <f t="shared" si="274"/>
        <v>#N/A</v>
      </c>
      <c r="NB164" s="74">
        <f>('Scénario référence'!$F$8+'Scénario référence'!$F$9+'Scénario référence'!$B$17+'Scénario référence'!$B$9+'Scénario référence'!$B$10)*70+IF((45+25*(1-EXP(-0.0175*$A164)))&lt;70,'Scénario référence'!$B$16*(45+25*(1-EXP(-0.0175*$A164))),70*'Scénario référence'!$B$16)+IF((32+38*(1-EXP(-0.0175*$A164)))&lt;70,'Scénario référence'!$B$18*(32+38*(1-EXP(-0.0175*$A164))),70*'Scénario référence'!$B$18)</f>
        <v>70</v>
      </c>
      <c r="NC164" s="12">
        <f>IF($A164&gt;30,10,('Scénario référence'!$B$16+'Scénario référence'!$B$17+'Scénario référence'!$B$18+'Scénario référence'!$B$9+'Scénario référence'!$B$10)*$A164*10/30+('Scénario référence'!$F$8+'Scénario référence'!$F$9)*10)</f>
        <v>10</v>
      </c>
      <c r="ND164" s="12" t="e">
        <f>VLOOKUP($A164,'Données projet'!$A$486:$I$506,2,0)</f>
        <v>#N/A</v>
      </c>
      <c r="NE164" s="12" t="e">
        <f>VLOOKUP($A164,'Données projet'!$A$486:$I$506,9,0)</f>
        <v>#N/A</v>
      </c>
      <c r="NF164" s="12">
        <f t="array" ref="NF164">INDEX(NE:NE,MIN(IF(ISNUMBER(NE164:NE360),ROW(NE164:NE360),"")))</f>
        <v>0</v>
      </c>
      <c r="NG164" s="12">
        <f>IF('Données projet'!$A$486&gt;35,NG163+NF164-NO163,IF($A164&lt;'Données projet'!$A$486,$CQ$205^$A164,IF($A164='Données projet'!$A$486,'Données projet'!$B$486,NG163+NF164-NO163)))</f>
        <v>0</v>
      </c>
      <c r="NH164" s="17" t="e">
        <f>NG164*VLOOKUP('Données projet'!$B$26,Paramètres!$A$1:$I$89,3,0)*VLOOKUP('Données projet'!$B$26,Paramètres!$A$1:$I$89,5,0)</f>
        <v>#N/A</v>
      </c>
      <c r="NI164" s="13" t="e">
        <f t="shared" si="320"/>
        <v>#N/A</v>
      </c>
      <c r="NJ164" s="14" t="e">
        <f t="shared" si="275"/>
        <v>#N/A</v>
      </c>
      <c r="NK164" s="59" t="e">
        <f t="shared" si="276"/>
        <v>#N/A</v>
      </c>
      <c r="NL164" s="20" t="e">
        <f ca="1">AVERAGE(OFFSET($NK$3,0,0,'Données projet'!$E$26+1,1))-AVERAGE(OFFSET($H$3,0,0,'Données projet'!$E$26+1,1))</f>
        <v>#N/A</v>
      </c>
      <c r="NM164" s="59" t="e">
        <f t="shared" si="321"/>
        <v>#N/A</v>
      </c>
      <c r="NN164" s="15">
        <f>IF(ISNA(VLOOKUP($A164,'Données projet'!$A$486:$I$506,3,0)),0,VLOOKUP($A164,'Données projet'!$A$486:$I$506,3,0))</f>
        <v>0</v>
      </c>
      <c r="NO164" s="15">
        <f>IF(ISNA(VLOOKUP($A164,'Données projet'!$A$486:$I$506,4,0)),0,VLOOKUP($A164,'Données projet'!$A$486:$I$506,4,0))</f>
        <v>0</v>
      </c>
      <c r="NP164" s="16">
        <f>IF(ISNA(VLOOKUP($A164,'Données projet'!$A$486:$I$506,5,0)),0%,VLOOKUP($A164,'Données projet'!$A$486:$I$506,5,0)*VLOOKUP('Données projet'!$B$26,Paramètres!$A$1:$I$89,7,0))</f>
        <v>0</v>
      </c>
      <c r="NQ164" s="16">
        <f>IF(ISNA(VLOOKUP($A164,'Données projet'!$A$486:$I$506,6,0)),0%,VLOOKUP($A164,'Données projet'!$A$486:$I$506,6,0)*VLOOKUP('Données projet'!$B$26,Paramètres!$A$1:$I$89,7,0))</f>
        <v>0</v>
      </c>
      <c r="NR164" s="16">
        <f>IF(ISNA(VLOOKUP($A164,'Données projet'!$A$486:$I$506,7,0)),0%,VLOOKUP($A164,'Données projet'!$A$486:$I$506,7,0))</f>
        <v>0</v>
      </c>
      <c r="NS164" s="21" t="e">
        <f>EXP(-LN(2)/35)*NS163+(1-EXP(-LN(2)/35))/(LN(2)/35)*NO164*NP164*VLOOKUP('Données projet'!$B$26,Paramètres!$A$1:$I$89,3,0)*0.475*44/12</f>
        <v>#N/A</v>
      </c>
      <c r="NT164" s="21" t="e">
        <f>EXP(-LN(2)/25)*NT163+(1-EXP(-LN(2)/25))/(LN(2)/25)*Calculateur!NO164*Calculateur!NQ164*VLOOKUP('Données projet'!$B$26,Paramètres!$A$1:$I$89,3,0)*0.475*44/12</f>
        <v>#N/A</v>
      </c>
      <c r="NU164" s="21" t="e">
        <f>EXP(-LN(2)/2)*NU163+(1-EXP(-LN(2)/2))/(LN(2)/2)*NO164*NR164*VLOOKUP('Données projet'!$B$26,Paramètres!$A$1:$I$89,3,0)*0.475*44/12</f>
        <v>#N/A</v>
      </c>
      <c r="NV164" s="22" t="e">
        <f t="shared" si="277"/>
        <v>#N/A</v>
      </c>
      <c r="NW164" s="74">
        <f>('Scénario référence'!$F$8+'Scénario référence'!$F$9+'Scénario référence'!$B$17+'Scénario référence'!$B$9+'Scénario référence'!$B$10)*70+IF((45+25*(1-EXP(-0.0175*$A164)))&lt;70,'Scénario référence'!$B$16*(45+25*(1-EXP(-0.0175*$A164))),70*'Scénario référence'!$B$16)+IF((32+38*(1-EXP(-0.0175*$A164)))&lt;70,'Scénario référence'!$B$18*(32+38*(1-EXP(-0.0175*$A164))),70*'Scénario référence'!$B$18)</f>
        <v>70</v>
      </c>
      <c r="NX164" s="12">
        <f>IF($A164&gt;30,10,('Scénario référence'!$B$16+'Scénario référence'!$B$17+'Scénario référence'!$B$18+'Scénario référence'!$B$9+'Scénario référence'!$B$10)*$A164*10/30+('Scénario référence'!$F$8+'Scénario référence'!$F$9)*10)</f>
        <v>10</v>
      </c>
      <c r="NY164" s="12" t="e">
        <f>VLOOKUP($A164,'Données projet'!$A$512:$I$532,2,0)</f>
        <v>#N/A</v>
      </c>
      <c r="NZ164" s="12" t="e">
        <f>VLOOKUP($A164,'Données projet'!$A$512:$I$532,9,0)</f>
        <v>#N/A</v>
      </c>
      <c r="OA164" s="12">
        <f t="array" ref="OA164">INDEX(NZ:NZ,MIN(IF(ISNUMBER(NZ164:NZ360),ROW(NZ164:NZ360),"")))</f>
        <v>0</v>
      </c>
      <c r="OB164" s="12">
        <f>IF('Données projet'!$A$512&gt;35,OB163+OA164-OJ163,IF($A164&lt;'Données projet'!$A$512,$CQ$205^$A164,IF($A164='Données projet'!$A$512,'Données projet'!$B$512,OB163+OA164-OJ163)))</f>
        <v>0</v>
      </c>
      <c r="OC164" s="17" t="e">
        <f>OB164*VLOOKUP('Données projet'!$B$27,Paramètres!$A$1:$I$89,3,0)*VLOOKUP('Données projet'!$B$27,Paramètres!$A$1:$I$89,5,0)</f>
        <v>#N/A</v>
      </c>
      <c r="OD164" s="13" t="e">
        <f t="shared" si="322"/>
        <v>#N/A</v>
      </c>
      <c r="OE164" s="14" t="e">
        <f t="shared" si="278"/>
        <v>#N/A</v>
      </c>
      <c r="OF164" s="59" t="e">
        <f t="shared" si="279"/>
        <v>#N/A</v>
      </c>
      <c r="OG164" s="20" t="e">
        <f ca="1">AVERAGE(OFFSET($OF$3,0,0,'Données projet'!$E$27+1,1))-AVERAGE(OFFSET($H$3,0,0,'Données projet'!$E$27+1,1))</f>
        <v>#N/A</v>
      </c>
      <c r="OH164" s="59" t="e">
        <f t="shared" si="323"/>
        <v>#N/A</v>
      </c>
      <c r="OI164" s="15">
        <f>IF(ISNA(VLOOKUP($A164,'Données projet'!$A$512:$I$532,3,0)),0,VLOOKUP($A164,'Données projet'!$A$512:$I$532,3,0))</f>
        <v>0</v>
      </c>
      <c r="OJ164" s="15">
        <f>IF(ISNA(VLOOKUP($A164,'Données projet'!$A$512:$I$532,4,0)),0,VLOOKUP($A164,'Données projet'!$A$512:$I$532,4,0))</f>
        <v>0</v>
      </c>
      <c r="OK164" s="16">
        <f>IF(ISNA(VLOOKUP($A164,'Données projet'!$A$512:$I$532,5,0)),0%,VLOOKUP($A164,'Données projet'!$A$512:$I$532,5,0)*VLOOKUP('Données projet'!$B$27,Paramètres!$A$1:$I$89,7,0))</f>
        <v>0</v>
      </c>
      <c r="OL164" s="16">
        <f>IF(ISNA(VLOOKUP($A164,'Données projet'!$A$512:$I$532,6,0)),0%,VLOOKUP($A164,'Données projet'!$A$512:$I$532,6,0)*VLOOKUP('Données projet'!$B$27,Paramètres!$A$1:$I$89,7,0))</f>
        <v>0</v>
      </c>
      <c r="OM164" s="16">
        <f>IF(ISNA(VLOOKUP($A164,'Données projet'!$A$512:$I$532,7,0)),0%,VLOOKUP($A164,'Données projet'!$A$512:$I$532,7,0))</f>
        <v>0</v>
      </c>
      <c r="ON164" s="21" t="e">
        <f>EXP(-LN(2)/35)*ON163+(1-EXP(-LN(2)/35))/(LN(2)/35)*OJ164*OK164*VLOOKUP('Données projet'!$B$27,Paramètres!$A$1:$I$89,3,0)*0.475*44/12</f>
        <v>#N/A</v>
      </c>
      <c r="OO164" s="21" t="e">
        <f>EXP(-LN(2)/25)*OO163+(1-EXP(-LN(2)/25))/(LN(2)/25)*Calculateur!OJ164*Calculateur!OL164*VLOOKUP('Données projet'!$B$27,Paramètres!$A$1:$I$89,3,0)*0.475*44/12</f>
        <v>#N/A</v>
      </c>
      <c r="OP164" s="21" t="e">
        <f>EXP(-LN(2)/2)*OP163+(1-EXP(-LN(2)/2))/(LN(2)/2)*OJ164*OM164*VLOOKUP('Données projet'!$B$27,Paramètres!$A$1:$I$89,3,0)*0.475*44/12</f>
        <v>#N/A</v>
      </c>
      <c r="OQ164" s="22" t="e">
        <f t="shared" si="280"/>
        <v>#N/A</v>
      </c>
      <c r="OR164" s="74">
        <f>('Scénario référence'!$F$8+'Scénario référence'!$F$9+'Scénario référence'!$B$17+'Scénario référence'!$B$9+'Scénario référence'!$B$10)*70+IF((45+25*(1-EXP(-0.0175*$A164)))&lt;70,'Scénario référence'!$B$16*(45+25*(1-EXP(-0.0175*$A164))),70*'Scénario référence'!$B$16)+IF((32+38*(1-EXP(-0.0175*$A164)))&lt;70,'Scénario référence'!$B$18*(32+38*(1-EXP(-0.0175*$A164))),70*'Scénario référence'!$B$18)</f>
        <v>70</v>
      </c>
      <c r="OS164" s="12">
        <f>IF($A164&gt;30,10,('Scénario référence'!$B$16+'Scénario référence'!$B$17+'Scénario référence'!$B$18+'Scénario référence'!$B$9+'Scénario référence'!$B$10)*$A164*10/30+('Scénario référence'!$F$8+'Scénario référence'!$F$9)*10)</f>
        <v>10</v>
      </c>
      <c r="OT164" s="12" t="e">
        <f>VLOOKUP($A164,'Données projet'!$A$538:$I$558,2,0)</f>
        <v>#N/A</v>
      </c>
      <c r="OU164" s="12" t="e">
        <f>VLOOKUP($A164,'Données projet'!$A$538:$I$558,9,0)</f>
        <v>#N/A</v>
      </c>
      <c r="OV164" s="12">
        <f t="array" ref="OV164">INDEX(OU:OU,MIN(IF(ISNUMBER(OU164:OU360),ROW(OU164:OU360),"")))</f>
        <v>0</v>
      </c>
      <c r="OW164" s="12">
        <f>IF('Données projet'!$A$538&gt;35,OW163+OV164-PE163,IF($A164&lt;'Données projet'!$A$538,$CQ$205^$A164,IF($A164='Données projet'!$A$538,'Données projet'!$B$538,OW163+OV164-PE163)))</f>
        <v>0</v>
      </c>
      <c r="OX164" s="17" t="e">
        <f>OW164*VLOOKUP('Données projet'!$B$28,Paramètres!$A$1:$I$89,3,0)*VLOOKUP('Données projet'!$B$28,Paramètres!$A$1:$I$89,5,0)</f>
        <v>#N/A</v>
      </c>
      <c r="OY164" s="13" t="e">
        <f t="shared" si="324"/>
        <v>#N/A</v>
      </c>
      <c r="OZ164" s="14" t="e">
        <f t="shared" si="281"/>
        <v>#N/A</v>
      </c>
      <c r="PA164" s="59" t="e">
        <f t="shared" si="282"/>
        <v>#N/A</v>
      </c>
      <c r="PB164" s="20" t="e">
        <f ca="1">AVERAGE(OFFSET($PA$3,0,0,'Données projet'!$E$28+1,1))-AVERAGE(OFFSET($H$3,0,0,'Données projet'!$E$28+1,1))</f>
        <v>#N/A</v>
      </c>
      <c r="PC164" s="59" t="e">
        <f t="shared" si="325"/>
        <v>#N/A</v>
      </c>
      <c r="PD164" s="15">
        <f>IF(ISNA(VLOOKUP($A164,'Données projet'!$A$538:$I$558,3,0)),0,VLOOKUP($A164,'Données projet'!$A$538:$I$558,3,0))</f>
        <v>0</v>
      </c>
      <c r="PE164" s="15">
        <f>IF(ISNA(VLOOKUP($A164,'Données projet'!$A$538:$I$558,4,0)),0,VLOOKUP($A164,'Données projet'!$A$538:$I$558,4,0))</f>
        <v>0</v>
      </c>
      <c r="PF164" s="16">
        <f>IF(ISNA(VLOOKUP($A164,'Données projet'!$A$538:$I$558,5,0)),0%,VLOOKUP($A164,'Données projet'!$A$538:$I$558,5,0)*VLOOKUP('Données projet'!$B$28,Paramètres!$A$1:$I$89,7,0))</f>
        <v>0</v>
      </c>
      <c r="PG164" s="16">
        <f>IF(ISNA(VLOOKUP($A164,'Données projet'!$A$538:$I$558,6,0)),0%,VLOOKUP($A164,'Données projet'!$A$538:$I$558,6,0)*VLOOKUP('Données projet'!$B$28,Paramètres!$A$1:$I$89,7,0))</f>
        <v>0</v>
      </c>
      <c r="PH164" s="16">
        <f>IF(ISNA(VLOOKUP($A164,'Données projet'!$A$538:$I$558,7,0)),0%,VLOOKUP($A164,'Données projet'!$A$538:$I$558,7,0))</f>
        <v>0</v>
      </c>
      <c r="PI164" s="21" t="e">
        <f>EXP(-LN(2)/35)*PI163+(1-EXP(-LN(2)/35))/(LN(2)/35)*PE164*PF164*VLOOKUP('Données projet'!$B$28,Paramètres!$A$1:$I$89,3,0)*0.475*44/12</f>
        <v>#N/A</v>
      </c>
      <c r="PJ164" s="21" t="e">
        <f>EXP(-LN(2)/25)*PJ163+(1-EXP(-LN(2)/25))/(LN(2)/25)*Calculateur!PE164*Calculateur!PG164*VLOOKUP('Données projet'!$B$28,Paramètres!$A$1:$I$89,3,0)*0.475*44/12</f>
        <v>#N/A</v>
      </c>
      <c r="PK164" s="21" t="e">
        <f>EXP(-LN(2)/2)*PK163+(1-EXP(-LN(2)/2))/(LN(2)/2)*PE164*PH164*VLOOKUP('Données projet'!$B$28,Paramètres!$A$1:$I$89,3,0)*0.475*44/12</f>
        <v>#N/A</v>
      </c>
      <c r="PL164" s="22" t="e">
        <f t="shared" si="283"/>
        <v>#N/A</v>
      </c>
    </row>
    <row r="165" spans="1:428" x14ac:dyDescent="0.35">
      <c r="A165" s="10">
        <f t="shared" si="326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285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225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projet'!$A$45:$I$65,2,0)</f>
        <v>#N/A</v>
      </c>
      <c r="L165" s="12" t="e">
        <f>VLOOKUP(A165,'Données projet'!$A$45:$I$65,9,0)</f>
        <v>#N/A</v>
      </c>
      <c r="M165" s="12">
        <f t="array" ref="M165">INDEX(L:L,MIN(IF(ISNUMBER(L165:L361),ROW(L165:L361),"")))</f>
        <v>0</v>
      </c>
      <c r="N165" s="13">
        <f>IF('Données projet'!$A$46&gt;35,N164+M165-V164,IF(A165&lt;'Données projet'!$A$46,$K$205^A165,IF(A165='Données projet'!$A$46,'Données projet'!$B$46,N164+M165-V164)))</f>
        <v>-1.1368683772161603E-13</v>
      </c>
      <c r="O165" s="13">
        <f>N165*VLOOKUP('Données projet'!$B$9,Paramètres!$A$1:$I$89,3,0)*VLOOKUP('Données projet'!$B$9,Paramètres!$A$1:$I$89,5,0)</f>
        <v>-6.3550942286383367E-14</v>
      </c>
      <c r="P165" s="13" t="e">
        <f t="shared" si="286"/>
        <v>#NUM!</v>
      </c>
      <c r="Q165" s="20" t="e">
        <f t="shared" si="327"/>
        <v>#NUM!</v>
      </c>
      <c r="R165" s="59" t="e">
        <f t="shared" si="224"/>
        <v>#NUM!</v>
      </c>
      <c r="S165" s="59">
        <f ca="1">AVERAGE(OFFSET($R$3,0,0,'Données projet'!$E$9+1,1))-AVERAGE(OFFSET($H$3,0,0,'Données projet'!$E$9+1,1))</f>
        <v>274.57619581652199</v>
      </c>
      <c r="T165" s="59">
        <f t="shared" si="287"/>
        <v>366.15117322598775</v>
      </c>
      <c r="U165" s="15">
        <f>IF(ISNA(VLOOKUP(A165,'Données projet'!$A$45:$I$65,3,0)),0,VLOOKUP(A165,'Données projet'!$A$45:$I$65,3,0))</f>
        <v>0</v>
      </c>
      <c r="V165" s="15">
        <f>IF(ISNA(VLOOKUP(A165,'Données projet'!$A$45:$I$65,4,0)),0,VLOOKUP(A165,'Données projet'!$A$45:$I$65,4,0))</f>
        <v>0</v>
      </c>
      <c r="W165" s="16">
        <f>IF(ISNA(VLOOKUP(A165,'Données projet'!$A$45:$I$65,5,0)),0%,VLOOKUP(A165,'Données projet'!$A$45:$I$65,5,0)*VLOOKUP('Données projet'!$B$9,Paramètres!$A$1:$I$89,7,0))</f>
        <v>0</v>
      </c>
      <c r="X165" s="16">
        <f>IF(ISNA(VLOOKUP(A165,'Données projet'!$A$45:$I$65,6,0)),0%,VLOOKUP(A165,'Données projet'!$A$45:$I$65,6,0)*VLOOKUP('Données projet'!$B$9,Paramètres!$A$1:$I$89,7,0))</f>
        <v>0</v>
      </c>
      <c r="Y165" s="16">
        <f>IF(ISNA(VLOOKUP(A165,'Données projet'!$A$45:$I$65,7,0)),0%,VLOOKUP(A165,'Données projet'!$A$45:$I$65,7,0))</f>
        <v>0</v>
      </c>
      <c r="Z165" s="21">
        <f>EXP(-LN(2)/35)*Z164+(1-EXP(-LN(2)/35))/(LN(2)/35)*V165*W165*VLOOKUP('Données projet'!$B$9,Paramètres!$A$1:$I$89,3,0)*0.475*44/12</f>
        <v>27.23187796715127</v>
      </c>
      <c r="AA165" s="21">
        <f>EXP(-LN(2)/25)*AA164+(1-EXP(-LN(2)/25))/(LN(2)/25)*Calculateur!V165*Calculateur!X165*VLOOKUP('Données projet'!$B$9,Paramètres!$A$1:$I$89,3,0)*0.475*44/12</f>
        <v>2.965323005835987</v>
      </c>
      <c r="AB165" s="21">
        <f>EXP(-LN(2)/2)*AB164+(1-EXP(-LN(2)/2))/(LN(2)/2)*V165*Y165*VLOOKUP('Données projet'!$B$9,Paramètres!$A$1:$I$89,3,0)*0.475*44/12</f>
        <v>2.6818202897830422E-15</v>
      </c>
      <c r="AC165" s="22">
        <f t="shared" si="328"/>
        <v>30.197200972987261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projet'!$A$71:$I$91,2,0)</f>
        <v>#N/A</v>
      </c>
      <c r="AG165" s="12" t="e">
        <f>VLOOKUP(A165,'Données projet'!$A$71:$I$91,9,0)</f>
        <v>#N/A</v>
      </c>
      <c r="AH165" s="12">
        <f t="array" ref="AH165">INDEX(AG:AG,MIN(IF(ISNUMBER(AG165:AG361),ROW(AG165:AG361),"")))</f>
        <v>0</v>
      </c>
      <c r="AI165" s="13">
        <f>IF('Données projet'!$A$72&gt;35,AI164+AH165-AQ164,IF(A165&lt;'Données projet'!$A$72,$AF$205^A165,IF(A165='Données projet'!$A$72,'Données projet'!$B$72,AI164+AH165-AQ164)))</f>
        <v>5.6843418860808015E-13</v>
      </c>
      <c r="AJ165" s="13">
        <f>AI165*VLOOKUP('Données projet'!$B$10,Paramètres!$A$1:$I$89,3,0)*VLOOKUP('Données projet'!$B$10,Paramètres!$A$1:$I$89,5,0)</f>
        <v>5.1431925385259092E-13</v>
      </c>
      <c r="AK165" s="13">
        <f t="shared" si="329"/>
        <v>6.3855359115685756E-12</v>
      </c>
      <c r="AL165" s="20">
        <f t="shared" si="330"/>
        <v>1.2017247746441865E-11</v>
      </c>
      <c r="AM165" s="59">
        <f t="shared" si="228"/>
        <v>293.33333333334531</v>
      </c>
      <c r="AN165" s="59">
        <f ca="1">AVERAGE(OFFSET($AM$3,0,0,'Données projet'!$E$10+1,1))-AVERAGE(OFFSET($H$3,0,0,'Données projet'!$E$10+1,1))</f>
        <v>270.87836509222456</v>
      </c>
      <c r="AO165" s="59">
        <f t="shared" si="289"/>
        <v>205.24998237949734</v>
      </c>
      <c r="AP165" s="15">
        <f>IF(ISNA(VLOOKUP(A165,'Données projet'!$A$71:$I$91,3,0)),0,VLOOKUP(A165,'Données projet'!$A$71:$I$91,3,0))</f>
        <v>0</v>
      </c>
      <c r="AQ165" s="15">
        <f>IF(ISNA(VLOOKUP(A165,'Données projet'!$A$71:$I$91,4,0)),0,VLOOKUP(A165,'Données projet'!$A$71:$I$91,4,0))</f>
        <v>0</v>
      </c>
      <c r="AR165" s="16">
        <f>IF(ISNA(VLOOKUP(A165,'Données projet'!$A$71:$I$91,5,0)),0%,VLOOKUP(A165,'Données projet'!$A$71:$I$91,5,0)*VLOOKUP('Données projet'!$B$10,Paramètres!$A$1:$I$89,7,0))</f>
        <v>0</v>
      </c>
      <c r="AS165" s="16">
        <f>IF(ISNA(VLOOKUP(A165,'Données projet'!$A$71:$I$91,6,0)),0%,VLOOKUP(A165,'Données projet'!$A$71:$I$91,6,0)*VLOOKUP('Données projet'!$B$10,Paramètres!$A$1:$I$89,7,0))</f>
        <v>0</v>
      </c>
      <c r="AT165" s="16">
        <f>IF(ISNA(VLOOKUP(A165,'Données projet'!$A$71:$I$91,7,0)),0%,VLOOKUP(A165,'Données projet'!$A$71:$I$91,7,0))</f>
        <v>0</v>
      </c>
      <c r="AU165" s="21">
        <f>EXP(-LN(2)/35)*AU164+(1-EXP(-LN(2)/35))/(LN(2)/35)*AQ165*AR165*VLOOKUP('Données projet'!$B$10,Paramètres!$A$1:$I$89,3,0)*0.475*44/12</f>
        <v>92.540859391825819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331"/>
        <v>92.540859391825819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projet'!$A$97:$I$117,2,0)</f>
        <v>#N/A</v>
      </c>
      <c r="BB165" s="12" t="e">
        <f>VLOOKUP(A165,'Données projet'!$A$97:$I$117,9,0)</f>
        <v>#N/A</v>
      </c>
      <c r="BC165" s="12">
        <f t="array" ref="BC165">INDEX(BB:BB,MIN(IF(ISNUMBER(BB165:BB361),ROW(BB165:BB361),"")))</f>
        <v>0</v>
      </c>
      <c r="BD165" s="12">
        <f>IF('Données projet'!$A$98&gt;35,BD164+BC165-BL164,IF(A165&lt;'Données projet'!$A$98,$BA$205^A165,IF(A165='Données projet'!$A$98,'Données projet'!$B$98,BD164+BC165-BL164)))</f>
        <v>-1.1368683772161603E-13</v>
      </c>
      <c r="BE165" s="13">
        <f>BD165*VLOOKUP('Données projet'!$B$11,Paramètres!$A$1:$I$89,3,0)*VLOOKUP('Données projet'!$B$11,Paramètres!$A$1:$I$89,5,0)</f>
        <v>-5.0249582272954292E-14</v>
      </c>
      <c r="BF165" s="13" t="e">
        <f t="shared" si="332"/>
        <v>#NUM!</v>
      </c>
      <c r="BG165" s="20" t="e">
        <f t="shared" si="333"/>
        <v>#NUM!</v>
      </c>
      <c r="BH165" s="59" t="e">
        <f t="shared" si="231"/>
        <v>#NUM!</v>
      </c>
      <c r="BI165" s="59">
        <f ca="1">AVERAGE(OFFSET($BH$3,0,0,'Données projet'!$E$11+1,1))-AVERAGE(OFFSET($H$3,0,0,'Données projet'!$E$11+1,1))</f>
        <v>211.31057120485542</v>
      </c>
      <c r="BJ165" s="59">
        <f t="shared" si="291"/>
        <v>283.33292006714777</v>
      </c>
      <c r="BK165" s="15">
        <f>IF(ISNA(VLOOKUP(A165,'Données projet'!$A$97:$I$117,3,0)),0,VLOOKUP(A165,'Données projet'!$A$97:$I$117,3,0))</f>
        <v>0</v>
      </c>
      <c r="BL165" s="15">
        <f>IF(ISNA(VLOOKUP(A165,'Données projet'!$A$97:$I$117,4,0)),0,VLOOKUP(A165,'Données projet'!$A$97:$I$117,4,0))</f>
        <v>0</v>
      </c>
      <c r="BM165" s="16">
        <f>IF(ISNA(VLOOKUP(A165,'Données projet'!$A$97:$I$117,5,0)),0%,VLOOKUP(A165,'Données projet'!$A$97:$I$117,5,0)*VLOOKUP('Données projet'!$B$11,Paramètres!$A$1:$I$89,7,0))</f>
        <v>0</v>
      </c>
      <c r="BN165" s="16">
        <f>IF(ISNA(VLOOKUP(A165,'Données projet'!$A$97:$I$117,6,0)),0%,VLOOKUP(A165,'Données projet'!$A$97:$I$117,6,0)*VLOOKUP('Données projet'!$B$11,Paramètres!$A$1:$I$89,7,0))</f>
        <v>0</v>
      </c>
      <c r="BO165" s="16">
        <f>IF(ISNA(VLOOKUP(A165,'Données projet'!$A$97:$I$117,7,0)),0%,VLOOKUP(A165,'Données projet'!$A$97:$I$117,7,0))</f>
        <v>0</v>
      </c>
      <c r="BP165" s="21">
        <f>EXP(-LN(2)/35)*BP164+(1-EXP(-LN(2)/35))/(LN(2)/35)*BL165*BM165*VLOOKUP('Données projet'!$B$11,Paramètres!$A$1:$I$89,3,0)*0.475*44/12</f>
        <v>21.532182578677759</v>
      </c>
      <c r="BQ165" s="21">
        <f>EXP(-LN(2)/25)*BQ164+(1-EXP(-LN(2)/25))/(LN(2)/25)*Calculateur!BL165*Calculateur!BN165*VLOOKUP('Données projet'!$B$11,Paramètres!$A$1:$I$89,3,0)*0.475*44/12</f>
        <v>2.3446740046144998</v>
      </c>
      <c r="BR165" s="21">
        <f>EXP(-LN(2)/2)*BR164+(1-EXP(-LN(2)/2))/(LN(2)/2)*BL165*BO165*VLOOKUP('Données projet'!$B$11,Paramètres!$A$1:$I$89,3,0)*0.475*44/12</f>
        <v>2.1205090663400794E-15</v>
      </c>
      <c r="BS165" s="22">
        <f t="shared" si="334"/>
        <v>23.876856583292263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projet'!$A$123:$I$143,2,0)</f>
        <v>#N/A</v>
      </c>
      <c r="BW165" s="12" t="e">
        <f>VLOOKUP(A165,'Données projet'!$A$123:$I$143,9,0)</f>
        <v>#N/A</v>
      </c>
      <c r="BX165" s="12">
        <f t="array" ref="BX165">INDEX(BW:BW,MIN(IF(ISNUMBER(BW165:BW361),ROW(BW165:BW361),"")))</f>
        <v>0</v>
      </c>
      <c r="BY165" s="12">
        <f>IF('Données projet'!$A$124&gt;35,BY164+BX165-CG164,IF(A165&lt;'Données projet'!$A$124,$BV$205^A165,IF(A165='Données projet'!$A$124,'Données projet'!$B$124,BY164+BX165-CG164)))</f>
        <v>0</v>
      </c>
      <c r="BZ165" s="13">
        <f>BY165*VLOOKUP('Données projet'!$B$12,Paramètres!$A$1:$I$89,3,0)*VLOOKUP('Données projet'!$B$12,Paramètres!$A$1:$I$89,5,0)</f>
        <v>0</v>
      </c>
      <c r="CA165" s="13" t="e">
        <f t="shared" si="335"/>
        <v>#NUM!</v>
      </c>
      <c r="CB165" s="20" t="e">
        <f t="shared" si="336"/>
        <v>#NUM!</v>
      </c>
      <c r="CC165" s="59" t="e">
        <f t="shared" si="234"/>
        <v>#NUM!</v>
      </c>
      <c r="CD165" s="59">
        <f ca="1">AVERAGE(OFFSET($CC$3,0,0,'Données projet'!$E$12+1,1))-AVERAGE(OFFSET($H$3,0,0,'Données projet'!$E$12+1,1))</f>
        <v>322.93502595881938</v>
      </c>
      <c r="CE165" s="59">
        <f t="shared" si="293"/>
        <v>302.67072119588164</v>
      </c>
      <c r="CF165" s="15">
        <f>IF(ISNA(VLOOKUP(A165,'Données projet'!$A$123:$I$143,3,0)),0,VLOOKUP(A165,'Données projet'!$A$123:$I$143,3,0))</f>
        <v>0</v>
      </c>
      <c r="CG165" s="15">
        <f>IF(ISNA(VLOOKUP(A165,'Données projet'!$A$123:$I$143,4,0)),0,VLOOKUP(A165,'Données projet'!$A$123:$I$143,4,0))</f>
        <v>0</v>
      </c>
      <c r="CH165" s="16">
        <f>IF(ISNA(VLOOKUP(A165,'Données projet'!$A$123:$I$143,5,0)),0%,VLOOKUP(A165,'Données projet'!$A$123:$I$143,5,0)*VLOOKUP('Données projet'!$B$12,Paramètres!$A$1:$I$89,7,0))</f>
        <v>0</v>
      </c>
      <c r="CI165" s="16">
        <f>IF(ISNA(VLOOKUP(A165,'Données projet'!$A$123:$I$143,6,0)),0%,VLOOKUP(A165,'Données projet'!$A$123:$I$143,6,0)*VLOOKUP('Données projet'!$B$12,Paramètres!$A$1:$I$89,7,0))</f>
        <v>0</v>
      </c>
      <c r="CJ165" s="16">
        <f>IF(ISNA(VLOOKUP(A165,'Données projet'!$A$123:$I$143,7,0)),0%,VLOOKUP(A165,'Données projet'!$A$123:$I$143,7,0))</f>
        <v>0</v>
      </c>
      <c r="CK165" s="21">
        <f>EXP(-LN(2)/35)*CK164+(1-EXP(-LN(2)/35))/(LN(2)/35)*CG165*CH165*VLOOKUP('Données projet'!$B$12,Paramètres!$A$1:$I$89,3,0)*0.475*44/12</f>
        <v>34.305969759806835</v>
      </c>
      <c r="CL165" s="21">
        <f>EXP(-LN(2)/25)*CL164+(1-EXP(-LN(2)/25))/(LN(2)/25)*Calculateur!CG165*Calculateur!CI165*VLOOKUP('Données projet'!$B$12,Paramètres!$A$1:$I$89,3,0)*0.475*44/12</f>
        <v>7.5043754339085513</v>
      </c>
      <c r="CM165" s="21">
        <f>EXP(-LN(2)/2)*CM164+(1-EXP(-LN(2)/2))/(LN(2)/2)*CG165*CJ165*VLOOKUP('Données projet'!$B$12,Paramètres!$A$1:$I$89,3,0)*0.475*44/12</f>
        <v>0</v>
      </c>
      <c r="CN165" s="22">
        <f t="shared" si="337"/>
        <v>41.810345193715385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projet'!$A$149:$I$169,2,0)</f>
        <v>#N/A</v>
      </c>
      <c r="CR165" s="12" t="e">
        <f>VLOOKUP(A165,'Données projet'!$A$149:$I$169,9,0)</f>
        <v>#N/A</v>
      </c>
      <c r="CS165" s="12">
        <f t="array" ref="CS165">INDEX(CR:CR,MIN(IF(ISNUMBER(CR165:CR361),ROW(CR165:CR361),"")))</f>
        <v>0</v>
      </c>
      <c r="CT165" s="12">
        <f>IF('Données projet'!$A$150&gt;35,CT164+CS165-DB164,IF(A165&lt;'Données projet'!$A$150,$CQ$205^A165,IF(A165='Données projet'!$A$150,'Données projet'!$B$150,CT164+CS165-DB164)))</f>
        <v>-4.5474735088646412E-13</v>
      </c>
      <c r="CU165" s="17">
        <f>CT165*VLOOKUP('Données projet'!$B$13,Paramètres!$A$1:$I$89,3,0)*VLOOKUP('Données projet'!$B$13,Paramètres!$A$1:$I$89,5,0)</f>
        <v>-4.6111381379887462E-13</v>
      </c>
      <c r="CV165" s="13" t="e">
        <f t="shared" si="338"/>
        <v>#NUM!</v>
      </c>
      <c r="CW165" s="20" t="e">
        <f t="shared" si="339"/>
        <v>#NUM!</v>
      </c>
      <c r="CX165" s="59" t="e">
        <f t="shared" si="237"/>
        <v>#NUM!</v>
      </c>
      <c r="CY165" s="59">
        <f ca="1">AVERAGE(OFFSET($CX$3,0,0,'Données projet'!$E$13+1,1))-AVERAGE(OFFSET($H$3,0,0,'Données projet'!$E$13+1,1))</f>
        <v>250.31277422753283</v>
      </c>
      <c r="CZ165" s="59">
        <f t="shared" si="295"/>
        <v>159.20429420478047</v>
      </c>
      <c r="DA165" s="15">
        <f>IF(ISNA(VLOOKUP(A165,'Données projet'!$A$149:$I$169,3,0)),0,VLOOKUP(A165,'Données projet'!$A$149:$I$169,3,0))</f>
        <v>0</v>
      </c>
      <c r="DB165" s="15">
        <f>IF(ISNA(VLOOKUP(A165,'Données projet'!$A$149:$I$169,4,0)),0,VLOOKUP(A165,'Données projet'!$A$149:$I$169,4,0))</f>
        <v>0</v>
      </c>
      <c r="DC165" s="16">
        <f>IF(ISNA(VLOOKUP(A165,'Données projet'!$A$149:$I$169,5,0)),0%,VLOOKUP(A165,'Données projet'!$A$149:$I$169,5,0)*VLOOKUP('Données projet'!$B$13,Paramètres!$A$1:$I$89,7,0))</f>
        <v>0</v>
      </c>
      <c r="DD165" s="16">
        <f>IF(ISNA(VLOOKUP(A165,'Données projet'!$A$149:$I$169,6,0)),0%,VLOOKUP(A165,'Données projet'!$A$149:$I$169,6,0)*VLOOKUP('Données projet'!$B$13,Paramètres!$A$1:$I$89,7,0))</f>
        <v>0</v>
      </c>
      <c r="DE165" s="16">
        <f>IF(ISNA(VLOOKUP(A165,'Données projet'!$A$149:$I$169,7,0)),0%,VLOOKUP(A165,'Données projet'!$A$149:$I$169,7,0))</f>
        <v>0</v>
      </c>
      <c r="DF165" s="21">
        <f>EXP(-LN(2)/35)*DF164+(1-EXP(-LN(2)/35))/(LN(2)/35)*DB165*DC165*VLOOKUP('Données projet'!$B$13,Paramètres!$A$1:$I$89,3,0)*0.475*44/12</f>
        <v>156.1709954294397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340"/>
        <v>156.1709954294397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projet'!$A$175:$I$195,2,0)</f>
        <v>#N/A</v>
      </c>
      <c r="DM165" s="12" t="e">
        <f>VLOOKUP(A165,'Données projet'!$A$175:$I$195,9,0)</f>
        <v>#N/A</v>
      </c>
      <c r="DN165" s="12">
        <f t="array" ref="DN165">INDEX(DM:DM,MIN(IF(ISNUMBER(DM165:DM361),ROW(DM165:DM361),"")))</f>
        <v>0</v>
      </c>
      <c r="DO165" s="12">
        <f>IF('Données projet'!$A$176&gt;35,DO164+DN165-DW164,IF(A165&lt;'Données projet'!$A$176,$DL$205^A165,IF(A165='Données projet'!$A$176,'Données projet'!$B$176,DO164+DN165-DW164)))</f>
        <v>-2.8421709430404007E-13</v>
      </c>
      <c r="DP165" s="17">
        <f>DO165*VLOOKUP('Données projet'!$B$14,Paramètres!$A$1:$I$89,3,0)*VLOOKUP('Données projet'!$B$14,Paramètres!$A$1:$I$89,5,0)</f>
        <v>-2.0838797354372215E-13</v>
      </c>
      <c r="DQ165" s="13" t="e">
        <f t="shared" si="341"/>
        <v>#NUM!</v>
      </c>
      <c r="DR165" s="20" t="e">
        <f t="shared" si="342"/>
        <v>#NUM!</v>
      </c>
      <c r="DS165" s="59" t="e">
        <f t="shared" si="240"/>
        <v>#NUM!</v>
      </c>
      <c r="DT165" s="59">
        <f ca="1">AVERAGE(OFFSET($DS$3,0,0,'Données projet'!$E$14+1,1))-AVERAGE(OFFSET($H$3,0,0,'Données projet'!$E$14+1,1))</f>
        <v>296.91321813251051</v>
      </c>
      <c r="DU165" s="59">
        <f t="shared" si="297"/>
        <v>291.0718079639509</v>
      </c>
      <c r="DV165" s="15">
        <f>IF(ISNA(VLOOKUP(A165,'Données projet'!$A$175:$I$195,3,0)),0,VLOOKUP(A165,'Données projet'!$A$175:$I$195,3,0))</f>
        <v>0</v>
      </c>
      <c r="DW165" s="15">
        <f>IF(ISNA(VLOOKUP(A165,'Données projet'!$A$175:$I$195,4,0)),0,VLOOKUP(A165,'Données projet'!$A$175:$I$195,4,0))</f>
        <v>0</v>
      </c>
      <c r="DX165" s="16">
        <f>IF(ISNA(VLOOKUP(A165,'Données projet'!$A$175:$I$195,5,0)),0%,VLOOKUP(A165,'Données projet'!$A$175:$I$195,5,0)*VLOOKUP('Données projet'!$B$14,Paramètres!$A$1:$I$89,7,0))</f>
        <v>0</v>
      </c>
      <c r="DY165" s="16">
        <f>IF(ISNA(VLOOKUP(A165,'Données projet'!$A$175:$I$195,6,0)),0%,VLOOKUP(A165,'Données projet'!$A$175:$I$195,6,0)*VLOOKUP('Données projet'!$B$14,Paramètres!$A$1:$I$89,7,0))</f>
        <v>0</v>
      </c>
      <c r="DZ165" s="16">
        <f>IF(ISNA(VLOOKUP(A165,'Données projet'!$A$175:$I$195,7,0)),0%,VLOOKUP(A165,'Données projet'!$A$175:$I$195,7,0))</f>
        <v>0</v>
      </c>
      <c r="EA165" s="21">
        <f>EXP(-LN(2)/35)*EA164+(1-EXP(-LN(2)/35))/(LN(2)/35)*DW165*DX165*VLOOKUP('Données projet'!$B$14,Paramètres!$A$1:$I$89,3,0)*0.475*44/12</f>
        <v>34.19203816090824</v>
      </c>
      <c r="EB165" s="21">
        <f>EXP(-LN(2)/25)*EB164+(1-EXP(-LN(2)/25))/(LN(2)/25)*Calculateur!DW165*Calculateur!DY165*VLOOKUP('Données projet'!$B$14,Paramètres!$A$1:$I$89,3,0)*0.475*44/12</f>
        <v>0.55127822543518634</v>
      </c>
      <c r="EC165" s="21">
        <f>EXP(-LN(2)/2)*EC164+(1-EXP(-LN(2)/2))/(LN(2)/2)*DW165*DZ165*VLOOKUP('Données projet'!$B$14,Paramètres!$A$1:$I$89,3,0)*0.475*44/12</f>
        <v>0</v>
      </c>
      <c r="ED165" s="22">
        <f t="shared" si="343"/>
        <v>34.743316386343423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projet'!$A$201:$I$221,2,0)</f>
        <v>#N/A</v>
      </c>
      <c r="EH165" s="12" t="e">
        <f>VLOOKUP(A165,'Données projet'!$A$201:$I$221,9,0)</f>
        <v>#N/A</v>
      </c>
      <c r="EI165" s="12">
        <f t="array" ref="EI165">INDEX(EH:EH,MIN(IF(ISNUMBER(EH165:EH361),ROW(EH165:EH361),"")))</f>
        <v>0</v>
      </c>
      <c r="EJ165" s="12">
        <f>IF('Données projet'!$A$202&gt;35,EJ164+EI165-ER164,IF(A165&lt;'Données projet'!$A$202,$EG$205^A165,IF(A165='Données projet'!$A$202,'Données projet'!$B$202,EJ164+EI165-ER164)))</f>
        <v>5.1159076974727213E-13</v>
      </c>
      <c r="EK165" s="17">
        <f>EJ165*VLOOKUP('Données projet'!$B$15,Paramètres!$A$1:$I$89,3,0)*VLOOKUP('Données projet'!$B$15,Paramètres!$A$1:$I$89,5,0)</f>
        <v>2.3942448024172334E-13</v>
      </c>
      <c r="EL165" s="13">
        <f t="shared" si="344"/>
        <v>3.2492669905861755E-12</v>
      </c>
      <c r="EM165" s="20">
        <f t="shared" si="345"/>
        <v>6.0761376450252565E-12</v>
      </c>
      <c r="EN165" s="59">
        <f t="shared" si="243"/>
        <v>293.3333333333394</v>
      </c>
      <c r="EO165" s="59">
        <f ca="1">AVERAGE(OFFSET($EN$3,0,0,'Données projet'!$E$15+1,1))-AVERAGE(OFFSET($H$3,0,0,'Données projet'!$E$15+1,1))</f>
        <v>147.64256291235483</v>
      </c>
      <c r="EP165" s="59">
        <f t="shared" si="299"/>
        <v>70.859031694091868</v>
      </c>
      <c r="EQ165" s="15">
        <f>IF(ISNA(VLOOKUP(A165,'Données projet'!$A$201:$I$221,3,0)),0,VLOOKUP(A165,'Données projet'!$A$201:$I$221,3,0))</f>
        <v>0</v>
      </c>
      <c r="ER165" s="15">
        <f>IF(ISNA(VLOOKUP(A165,'Données projet'!$A$201:$I$221,4,0)),0,VLOOKUP(A165,'Données projet'!$A$201:$I$221,4,0))</f>
        <v>0</v>
      </c>
      <c r="ES165" s="16">
        <f>IF(ISNA(VLOOKUP(A165,'Données projet'!$A$201:$I$221,5,0)),0%,VLOOKUP(A165,'Données projet'!$A$201:$I$221,5,0)*VLOOKUP('Données projet'!$B$15,Paramètres!$A$1:$I$89,7,0))</f>
        <v>0</v>
      </c>
      <c r="ET165" s="16">
        <f>IF(ISNA(VLOOKUP(A165,'Données projet'!$A$201:$I$221,6,0)),0%,VLOOKUP(A165,'Données projet'!$A$201:$I$221,6,0)*VLOOKUP('Données projet'!$B$15,Paramètres!$A$1:$I$89,7,0))</f>
        <v>0</v>
      </c>
      <c r="EU165" s="16">
        <f>IF(ISNA(VLOOKUP(A165,'Données projet'!$A$201:$I$221,7,0)),0%,VLOOKUP(A165,'Données projet'!$A$201:$I$221,7,0))</f>
        <v>0</v>
      </c>
      <c r="EV165" s="21">
        <f>EXP(-LN(2)/35)*EV164+(1-EXP(-LN(2)/35))/(LN(2)/35)*ER165*ES165*VLOOKUP('Données projet'!$B$15,Paramètres!$A$1:$I$89,3,0)*0.475*44/12</f>
        <v>46.809439205890868</v>
      </c>
      <c r="EW165" s="21">
        <f>EXP(-LN(2)/25)*EW164+(1-EXP(-LN(2)/25))/(LN(2)/25)*Calculateur!ER165*Calculateur!ET165*VLOOKUP('Données projet'!$B$15,Paramètres!$A$1:$I$89,3,0)*0.475*44/12</f>
        <v>7.6484299744881907</v>
      </c>
      <c r="EX165" s="21">
        <f>EXP(-LN(2)/2)*EX164+(1-EXP(-LN(2)/2))/(LN(2)/2)*ER165*EU165*VLOOKUP('Données projet'!$B$15,Paramètres!$A$1:$I$89,3,0)*0.475*44/12</f>
        <v>1.9333485733553811E-7</v>
      </c>
      <c r="EY165" s="22">
        <f t="shared" si="346"/>
        <v>54.457869373713912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projet'!$A$227:$I$247,2,0)</f>
        <v>#N/A</v>
      </c>
      <c r="FC165" s="12" t="e">
        <f>VLOOKUP(A165,'Données projet'!$A$227:$I$247,9,0)</f>
        <v>#N/A</v>
      </c>
      <c r="FD165" s="12">
        <f t="array" ref="FD165">INDEX(FC:FC,MIN(IF(ISNUMBER(FC165:FC361),ROW(FC165:FC361),"")))</f>
        <v>0</v>
      </c>
      <c r="FE165" s="12">
        <f>IF('Données projet'!$A$228&gt;35,FE164+FD165-FM164,IF(A165&lt;'Données projet'!$A$228,$FB$205^A165,IF(A165='Données projet'!$A$228,'Données projet'!$B$228,FE164+FD165-FM164)))</f>
        <v>8.5265128291212022E-14</v>
      </c>
      <c r="FF165" s="17">
        <f>FE165*VLOOKUP('Données projet'!$B$16,Paramètres!$A$1:$I$89,3,0)*VLOOKUP('Données projet'!$B$16,Paramètres!$A$1:$I$89,5,0)</f>
        <v>8.9119112089974823E-14</v>
      </c>
      <c r="FG165" s="13">
        <f t="shared" si="347"/>
        <v>1.3568952080113142E-12</v>
      </c>
      <c r="FH165" s="20">
        <f t="shared" si="348"/>
        <v>2.5184749408430782E-12</v>
      </c>
      <c r="FI165" s="59">
        <f t="shared" si="246"/>
        <v>293.33333333333582</v>
      </c>
      <c r="FJ165" s="59">
        <f ca="1">AVERAGE(OFFSET($FI$3,0,0,'Données projet'!$E$16+1,1))-AVERAGE(OFFSET($H$3,0,0,'Données projet'!$E$16+1,1))</f>
        <v>259.03906550253788</v>
      </c>
      <c r="FK165" s="59">
        <f t="shared" si="301"/>
        <v>235.54542903570831</v>
      </c>
      <c r="FL165" s="15">
        <f>IF(ISNA(VLOOKUP(A165,'Données projet'!$A$227:$I$247,3,0)),0,VLOOKUP(A165,'Données projet'!$A$227:$I$247,3,0))</f>
        <v>0</v>
      </c>
      <c r="FM165" s="15">
        <f>IF(ISNA(VLOOKUP(A165,'Données projet'!$A$227:$I$247,4,0)),0,VLOOKUP(A165,'Données projet'!$A$227:$I$247,4,0))</f>
        <v>0</v>
      </c>
      <c r="FN165" s="16">
        <f>IF(ISNA(VLOOKUP(A165,'Données projet'!$A$227:$I$247,5,0)),0%,VLOOKUP(A165,'Données projet'!$A$227:$I$247,5,0)*VLOOKUP('Données projet'!$B$16,Paramètres!$A$1:$I$89,7,0))</f>
        <v>0</v>
      </c>
      <c r="FO165" s="16">
        <f>IF(ISNA(VLOOKUP(A165,'Données projet'!$A$227:$I$247,6,0)),0%,VLOOKUP(A165,'Données projet'!$A$227:$I$247,6,0)*VLOOKUP('Données projet'!$B$16,Paramètres!$A$1:$I$89,7,0))</f>
        <v>0</v>
      </c>
      <c r="FP165" s="16">
        <f>IF(ISNA(VLOOKUP(A165,'Données projet'!$A$227:$I$247,7,0)),0%,VLOOKUP(A165,'Données projet'!$A$227:$I$247,7,0))</f>
        <v>0</v>
      </c>
      <c r="FQ165" s="21">
        <f>EXP(-LN(2)/35)*FQ164+(1-EXP(-LN(2)/35))/(LN(2)/35)*FM165*FN165*VLOOKUP('Données projet'!$B$16,Paramètres!$A$1:$I$89,3,0)*0.475*44/12</f>
        <v>20.660414329962226</v>
      </c>
      <c r="FR165" s="21">
        <f>EXP(-LN(2)/25)*FR164+(1-EXP(-LN(2)/25))/(LN(2)/25)*Calculateur!FM165*Calculateur!FO165*VLOOKUP('Données projet'!$B$16,Paramètres!$A$1:$I$89,3,0)*0.475*44/12</f>
        <v>10.521751282435858</v>
      </c>
      <c r="FS165" s="21">
        <f>EXP(-LN(2)/2)*FS164+(1-EXP(-LN(2)/2))/(LN(2)/2)*FM165*FP165*VLOOKUP('Données projet'!$B$16,Paramètres!$A$1:$I$89,3,0)*0.475*44/12</f>
        <v>0</v>
      </c>
      <c r="FT165" s="22">
        <f t="shared" si="349"/>
        <v>31.182165612398084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projet'!$A$253:$I$273,2,0)</f>
        <v>#N/A</v>
      </c>
      <c r="FX165" s="12" t="e">
        <f>VLOOKUP(A165,'Données projet'!$A$253:$I$273,9,0)</f>
        <v>#N/A</v>
      </c>
      <c r="FY165" s="12">
        <f t="array" ref="FY165">INDEX(FX:FX,MIN(IF(ISNUMBER(FX165:FX361),ROW(FX165:FX361),"")))</f>
        <v>0</v>
      </c>
      <c r="FZ165" s="12">
        <f>IF('Données projet'!$A$254&gt;35,FZ164+FY165-GH164,IF(A165&lt;'Données projet'!$A$254,$FW$205^A165,IF(A165='Données projet'!$A$254,'Données projet'!$B$254,FZ164+FY165-GH164)))</f>
        <v>-1.7053025658242404E-13</v>
      </c>
      <c r="GA165" s="17">
        <f>FZ165*VLOOKUP('Données projet'!$B$17,Paramètres!$A$1:$I$89,3,0)*VLOOKUP('Données projet'!$B$17,Paramètres!$A$1:$I$89,5,0)</f>
        <v>-1.4897523215040567E-13</v>
      </c>
      <c r="GB165" s="13" t="e">
        <f t="shared" si="350"/>
        <v>#NUM!</v>
      </c>
      <c r="GC165" s="20" t="e">
        <f t="shared" si="351"/>
        <v>#NUM!</v>
      </c>
      <c r="GD165" s="59" t="e">
        <f t="shared" si="249"/>
        <v>#NUM!</v>
      </c>
      <c r="GE165" s="59">
        <f ca="1">AVERAGE(OFFSET($GD$3,0,0,'Données projet'!$E$17+1,1))-AVERAGE(OFFSET($H$3,0,0,'Données projet'!$E$17+1,1))</f>
        <v>245.1983232777614</v>
      </c>
      <c r="GF165" s="59">
        <f t="shared" si="303"/>
        <v>242.34010522344573</v>
      </c>
      <c r="GG165" s="15">
        <f>IF(ISNA(VLOOKUP(A165,'Données projet'!$A$253:$I$273,3,0)),0,VLOOKUP(A165,'Données projet'!$A$253:$I$273,3,0))</f>
        <v>0</v>
      </c>
      <c r="GH165" s="15">
        <f>IF(ISNA(VLOOKUP(A165,'Données projet'!$A$253:$I$273,4,0)),0,VLOOKUP(A165,'Données projet'!$A$253:$I$273,4,0))</f>
        <v>0</v>
      </c>
      <c r="GI165" s="16">
        <f>IF(ISNA(VLOOKUP(A165,'Données projet'!$A$253:$I$273,5,0)),0%,VLOOKUP(A165,'Données projet'!$A$253:$I$273,5,0)*VLOOKUP('Données projet'!$B$17,Paramètres!$A$1:$I$89,7,0))</f>
        <v>0</v>
      </c>
      <c r="GJ165" s="16">
        <f>IF(ISNA(VLOOKUP(A165,'Données projet'!$A$253:$I$273,6,0)),0%,VLOOKUP(A165,'Données projet'!$A$253:$I$273,6,0)*VLOOKUP('Données projet'!$B$17,Paramètres!$A$1:$I$89,7,0))</f>
        <v>0</v>
      </c>
      <c r="GK165" s="16">
        <f>IF(ISNA(VLOOKUP(A165,'Données projet'!$A$253:$I$273,7,0)),0%,VLOOKUP(A165,'Données projet'!$A$253:$I$273,7,0))</f>
        <v>0</v>
      </c>
      <c r="GL165" s="21">
        <f>EXP(-LN(2)/35)*GL164+(1-EXP(-LN(2)/35))/(LN(2)/35)*GH165*GI165*VLOOKUP('Données projet'!$B$17,Paramètres!$A$1:$I$89,3,0)*0.475*44/12</f>
        <v>24.28915170117007</v>
      </c>
      <c r="GM165" s="21">
        <f>EXP(-LN(2)/25)*GM164+(1-EXP(-LN(2)/25))/(LN(2)/25)*Calculateur!GH165*Calculateur!GJ165*VLOOKUP('Données projet'!$B$17,Paramètres!$A$1:$I$89,3,0)*0.475*44/12</f>
        <v>2.2419288712347343</v>
      </c>
      <c r="GN165" s="21">
        <f>EXP(-LN(2)/2)*GN164+(1-EXP(-LN(2)/2))/(LN(2)/2)*GH165*GK165*VLOOKUP('Données projet'!$B$17,Paramètres!$A$1:$I$89,3,0)*0.475*44/12</f>
        <v>0</v>
      </c>
      <c r="GO165" s="21">
        <f t="shared" si="352"/>
        <v>26.531080572404804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projet'!$A$279:$I$299,2,0)</f>
        <v>#N/A</v>
      </c>
      <c r="GS165" s="12" t="e">
        <f>VLOOKUP(A165,'Données projet'!$A$279:$I$299,9,0)</f>
        <v>#N/A</v>
      </c>
      <c r="GT165" s="12">
        <f t="array" ref="GT165">INDEX(GS:GS,MIN(IF(ISNUMBER(GS165:GS361),ROW(GS165:GS361),"")))</f>
        <v>0</v>
      </c>
      <c r="GU165" s="12">
        <f>IF('Données projet'!$A$280&gt;35,GU164+GT165-HC164,IF(A165&lt;'Données projet'!$A$280,$GR$205^A165,IF(A165='Données projet'!$A$280,'Données projet'!$B$280,GU164+GT165-HC164)))</f>
        <v>-1.1368683772161603E-13</v>
      </c>
      <c r="GV165" s="17">
        <f>GU165*VLOOKUP('Données projet'!$B$18,Paramètres!$A$1:$I$89,3,0)*VLOOKUP('Données projet'!$B$18,Paramètres!$A$1:$I$89,5,0)</f>
        <v>-4.5815795601811263E-14</v>
      </c>
      <c r="GW165" s="13" t="e">
        <f t="shared" si="353"/>
        <v>#NUM!</v>
      </c>
      <c r="GX165" s="20" t="e">
        <f t="shared" si="354"/>
        <v>#NUM!</v>
      </c>
      <c r="GY165" s="59" t="e">
        <f t="shared" si="252"/>
        <v>#NUM!</v>
      </c>
      <c r="GZ165" s="59">
        <f ca="1">AVERAGE(OFFSET($GY$3,0,0,'Données projet'!$E$18+1,1))-AVERAGE(OFFSET($H$3,0,0,'Données projet'!$E$18+1,1))</f>
        <v>324.36162935850876</v>
      </c>
      <c r="HA165" s="59">
        <f t="shared" si="305"/>
        <v>265.23571072429735</v>
      </c>
      <c r="HB165" s="15">
        <f>IF(ISNA(VLOOKUP(A165,'Données projet'!$A$279:$I$299,3,0)),0,VLOOKUP(A165,'Données projet'!$A$279:$I$299,3,0))</f>
        <v>0</v>
      </c>
      <c r="HC165" s="15">
        <f>IF(ISNA(VLOOKUP(A165,'Données projet'!$A$279:$I$299,4,0)),0,VLOOKUP(A165,'Données projet'!$A$279:$I$299,4,0))</f>
        <v>0</v>
      </c>
      <c r="HD165" s="16">
        <f>IF(ISNA(VLOOKUP(A165,'Données projet'!$A$279:$I$299,5,0)),0%,VLOOKUP(A165,'Données projet'!$A$279:$I$299,5,0)*VLOOKUP('Données projet'!$B$18,Paramètres!$A$1:$I$89,7,0))</f>
        <v>0</v>
      </c>
      <c r="HE165" s="16">
        <f>IF(ISNA(VLOOKUP(A165,'Données projet'!$A$279:$I$299,6,0)),0%,VLOOKUP(A165,'Données projet'!$A$279:$I$299,6,0)*VLOOKUP('Données projet'!$B$18,Paramètres!$A$1:$I$89,7,0))</f>
        <v>0</v>
      </c>
      <c r="HF165" s="16">
        <f>IF(ISNA(VLOOKUP($A165,'Données projet'!$A$279:$I$299,7,0)),0%,VLOOKUP($A165,'Données projet'!$A$279:$I$299,7,0))</f>
        <v>0</v>
      </c>
      <c r="HG165" s="21">
        <f>EXP(-LN(2)/35)*HG164+(1-EXP(-LN(2)/35))/(LN(2)/35)*HC165*HD165*VLOOKUP('Données projet'!$B$18,Paramètres!$A$1:$I$89,3,0)*0.475*44/12</f>
        <v>46.544364300579346</v>
      </c>
      <c r="HH165" s="21">
        <f>EXP(-LN(2)/25)*HH164+(1-EXP(-LN(2)/25))/(LN(2)/25)*Calculateur!HC165*Calculateur!HE165*VLOOKUP('Données projet'!$B$18,Paramètres!$A$1:$I$89,3,0)*0.475*44/12</f>
        <v>2.4934259097848224</v>
      </c>
      <c r="HI165" s="21">
        <f>EXP(-LN(2)/2)*HI164+(1-EXP(-LN(2)/2))/(LN(2)/2)*HC165*HF165*VLOOKUP('Données projet'!$B$18,Paramètres!$A$1:$I$89,3,0)*0.475*44/12</f>
        <v>3.886820972811587E-12</v>
      </c>
      <c r="HJ165" s="22">
        <f t="shared" si="355"/>
        <v>49.037790210368058</v>
      </c>
      <c r="HK165" s="74">
        <f>('Scénario référence'!$F$8+'Scénario référence'!$F$9+'Scénario référence'!$B$17+'Scénario référence'!$B$9+'Scénario référence'!$B$10)*70+IF((45+25*(1-EXP(-0.0175*$A165)))&lt;70,'Scénario référence'!$B$16*(45+25*(1-EXP(-0.0175*$A165))),70*'Scénario référence'!$B$16)+IF((32+38*(1-EXP(-0.0175*$A165)))&lt;70,'Scénario référence'!$B$18*(32+38*(1-EXP(-0.0175*$A165))),70*'Scénario référence'!$B$18)</f>
        <v>70</v>
      </c>
      <c r="HL165" s="12">
        <f>IF($A165&gt;30,10,('Scénario référence'!$B$16+'Scénario référence'!$B$17+'Scénario référence'!$B$18+'Scénario référence'!$B$9+'Scénario référence'!$B$10)*$A165*10/30+('Scénario référence'!$F$8+'Scénario référence'!$F$9)*10)</f>
        <v>10</v>
      </c>
      <c r="HM165" s="12" t="e">
        <f>VLOOKUP($A165,'Données projet'!$A$304:$I$324,2,0)</f>
        <v>#N/A</v>
      </c>
      <c r="HN165" s="12" t="e">
        <f>VLOOKUP($A165,'Données projet'!$A$304:$I$324,9,0)</f>
        <v>#N/A</v>
      </c>
      <c r="HO165" s="12">
        <f t="array" ref="HO165">INDEX(HN:HN,MIN(IF(ISNUMBER(HN165:HN361),ROW(HN165:HN361),"")))</f>
        <v>0</v>
      </c>
      <c r="HP165" s="12">
        <f>IF('Données projet'!$A$304&gt;35,HP164+HO165-HX164,IF($A165&lt;'Données projet'!$A$304,$CQ$205^$A165,IF($A165='Données projet'!$A$304,'Données projet'!$B$304,HP164+HO165-HX164)))</f>
        <v>0</v>
      </c>
      <c r="HQ165" s="17">
        <f>HP165*VLOOKUP('Données projet'!$B$19,Paramètres!$A$1:$I$89,3,0)*VLOOKUP('Données projet'!$B$19,Paramètres!$A$1:$I$89,5,0)</f>
        <v>0</v>
      </c>
      <c r="HR165" s="13" t="e">
        <f t="shared" si="306"/>
        <v>#NUM!</v>
      </c>
      <c r="HS165" s="14" t="e">
        <f t="shared" si="254"/>
        <v>#NUM!</v>
      </c>
      <c r="HT165" s="59" t="e">
        <f t="shared" si="255"/>
        <v>#NUM!</v>
      </c>
      <c r="HU165" s="59">
        <f ca="1">AVERAGE(OFFSET(HT$3,0,0,'Données projet'!$E$19+1,1))-AVERAGE(OFFSET($H$3,0,0,'Données projet'!$E$19+1,1))</f>
        <v>91.60721429656013</v>
      </c>
      <c r="HV165" s="59">
        <f t="shared" si="307"/>
        <v>258.94957804210856</v>
      </c>
      <c r="HW165" s="15">
        <f>IF(ISNA(VLOOKUP($A165,'Données projet'!$A$304:$I$324,3,0)),0,VLOOKUP($A165,'Données projet'!$A$304:$I$324,3,0))</f>
        <v>0</v>
      </c>
      <c r="HX165" s="15">
        <f>IF(ISNA(VLOOKUP($A165,'Données projet'!$A$304:$I$324,4,0)),0,VLOOKUP($A165,'Données projet'!$A$304:$I$324,4,0))</f>
        <v>0</v>
      </c>
      <c r="HY165" s="16">
        <f>IF(ISNA(VLOOKUP($A165,'Données projet'!$A$304:$I$324,5,0)),0%,VLOOKUP($A165,'Données projet'!$A$304:$I$324,5,0)*VLOOKUP('Données projet'!$B$19,Paramètres!$A$1:$I$89,7,0))</f>
        <v>0</v>
      </c>
      <c r="HZ165" s="16">
        <f>IF(ISNA(VLOOKUP($A165,'Données projet'!$A$304:$I$324,6,0)),0%,VLOOKUP($A165,'Données projet'!$A$304:$I$324,6,0)*VLOOKUP('Données projet'!$B$19,Paramètres!$A$1:$I$89,7,0))</f>
        <v>0</v>
      </c>
      <c r="IA165" s="16">
        <f>IF(ISNA(VLOOKUP($A165,'Données projet'!$A$304:$I$324,7,0)),0%,VLOOKUP($A165,'Données projet'!$A$304:$I$324,7,0))</f>
        <v>0</v>
      </c>
      <c r="IB165" s="21">
        <f>EXP(-LN(2)/35)*IB164+(1-EXP(-LN(2)/35))/(LN(2)/35)*HX165*HY165*VLOOKUP('Données projet'!$B$19,Paramètres!$A$1:$I$89,3,0)*0.475*44/12</f>
        <v>3.6126159931397335</v>
      </c>
      <c r="IC165" s="21">
        <f>EXP(-LN(2)/25)*IC164+(1-EXP(-LN(2)/25))/(LN(2)/25)*Calculateur!HX165*Calculateur!HZ165*VLOOKUP('Données projet'!$B$19,Paramètres!$A$1:$I$89,3,0)*0.475*44/12</f>
        <v>0.25036463465321801</v>
      </c>
      <c r="ID165" s="21">
        <f>EXP(-LN(2)/2)*ID164+(1-EXP(-LN(2)/2))/(LN(2)/2)*HX165*IA165*VLOOKUP('Données projet'!$B$19,Paramètres!$A$1:$I$89,3,0)*0.475*44/12</f>
        <v>7.7635965113270488E-21</v>
      </c>
      <c r="IE165" s="22">
        <f t="shared" si="256"/>
        <v>3.8629806277929513</v>
      </c>
      <c r="IF165" s="74">
        <f>('Scénario référence'!$F$8+'Scénario référence'!$F$9+'Scénario référence'!$B$17+'Scénario référence'!$B$9+'Scénario référence'!$B$10)*70+IF((45+25*(1-EXP(-0.0175*$A165)))&lt;70,'Scénario référence'!$B$16*(45+25*(1-EXP(-0.0175*$A165))),70*'Scénario référence'!$B$16)+IF((32+38*(1-EXP(-0.0175*$A165)))&lt;70,'Scénario référence'!$B$18*(32+38*(1-EXP(-0.0175*$A165))),70*'Scénario référence'!$B$18)</f>
        <v>70</v>
      </c>
      <c r="IG165" s="12">
        <f>IF($A165&gt;30,10,('Scénario référence'!$B$16+'Scénario référence'!$B$17+'Scénario référence'!$B$18+'Scénario référence'!$B$9+'Scénario référence'!$B$10)*$A165*10/30+('Scénario référence'!$F$8+'Scénario référence'!$F$9)*10)</f>
        <v>10</v>
      </c>
      <c r="IH165" s="12" t="e">
        <f>VLOOKUP($A165,'Données projet'!$A$330:$I$350,2,0)</f>
        <v>#N/A</v>
      </c>
      <c r="II165" s="12" t="e">
        <f>VLOOKUP($A165,'Données projet'!$A$330:$I$350,9,0)</f>
        <v>#N/A</v>
      </c>
      <c r="IJ165" s="12">
        <f t="array" ref="IJ165">INDEX(II:II,MIN(IF(ISNUMBER(II165:II361),ROW(II165:II361),"")))</f>
        <v>0</v>
      </c>
      <c r="IK165" s="12">
        <f>IF('Données projet'!$A$330&gt;35,IK164+IJ165-IS164,IF($A165&lt;'Données projet'!$A$330,$CQ$205^$A165,IF($A165='Données projet'!$A$330,'Données projet'!$B$330,IK164+IJ165-IS164)))</f>
        <v>0</v>
      </c>
      <c r="IL165" s="17">
        <f>IK165*VLOOKUP('Données projet'!$B$20,Paramètres!$A$1:$I$89,3,0)*VLOOKUP('Données projet'!$B$20,Paramètres!$A$1:$I$89,5,0)</f>
        <v>0</v>
      </c>
      <c r="IM165" s="13" t="e">
        <f t="shared" si="308"/>
        <v>#NUM!</v>
      </c>
      <c r="IN165" s="20" t="e">
        <f t="shared" si="257"/>
        <v>#NUM!</v>
      </c>
      <c r="IO165" s="59" t="e">
        <f t="shared" si="258"/>
        <v>#NUM!</v>
      </c>
      <c r="IP165" s="59">
        <f ca="1">AVERAGE(OFFSET(IO$3,0,0,'Données projet'!$E$20+1,1))-AVERAGE(OFFSET($H$3,0,0,'Données projet'!$E$20+1,1))</f>
        <v>91.60721429656013</v>
      </c>
      <c r="IQ165" s="59">
        <f t="shared" si="309"/>
        <v>258.94957804210856</v>
      </c>
      <c r="IR165" s="15">
        <f>IF(ISNA(VLOOKUP($A165,'Données projet'!$A$330:$I$350,3,0)),0,VLOOKUP($A165,'Données projet'!$A$330:$I$350,3,0))</f>
        <v>0</v>
      </c>
      <c r="IS165" s="15">
        <f>IF(ISNA(VLOOKUP($A165,'Données projet'!$A$330:$I$350,4,0)),0,VLOOKUP($A165,'Données projet'!$A$330:$I$350,4,0))</f>
        <v>0</v>
      </c>
      <c r="IT165" s="16">
        <f>IF(ISNA(VLOOKUP($A165,'Données projet'!$A$330:$I$350,5,0)),0%,VLOOKUP($A165,'Données projet'!$A$330:$I$350,5,0)*VLOOKUP('Données projet'!$B$20,Paramètres!$A$1:$I$89,7,0))</f>
        <v>0</v>
      </c>
      <c r="IU165" s="16">
        <f>IF(ISNA(VLOOKUP($A165,'Données projet'!$A$330:$I$350,6,0)),0%,VLOOKUP($A165,'Données projet'!$A$330:$I$350,6,0)*VLOOKUP('Données projet'!$B$20,Paramètres!$A$1:$I$89,7,0))</f>
        <v>0</v>
      </c>
      <c r="IV165" s="16">
        <f>IF(ISNA(VLOOKUP($A165,'Données projet'!$A$330:$I$350,7,0)),0%,VLOOKUP($A165,'Données projet'!$A$330:$I$350,7,0))</f>
        <v>0</v>
      </c>
      <c r="IW165" s="21">
        <f>EXP(-LN(2)/35)*IW164+(1-EXP(-LN(2)/35))/(LN(2)/35)*IS165*IT165*VLOOKUP('Données projet'!$B$20,Paramètres!$A$1:$I$89,3,0)*0.475*44/12</f>
        <v>3.6126159931397335</v>
      </c>
      <c r="IX165" s="21">
        <f>EXP(-LN(2)/25)*IX164+(1-EXP(-LN(2)/25))/(LN(2)/25)*Calculateur!IS165*Calculateur!IU165*VLOOKUP('Données projet'!$B$20,Paramètres!$A$1:$I$89,3,0)*0.475*44/12</f>
        <v>0.25036463465321801</v>
      </c>
      <c r="IY165" s="21">
        <f>EXP(-LN(2)/2)*IY164+(1-EXP(-LN(2)/2))/(LN(2)/2)*IS165*IV165*VLOOKUP('Données projet'!$B$20,Paramètres!$A$1:$I$89,3,0)*0.475*44/12</f>
        <v>7.7635965113270488E-21</v>
      </c>
      <c r="IZ165" s="22">
        <f t="shared" si="259"/>
        <v>3.8629806277929513</v>
      </c>
      <c r="JA165" s="74">
        <f>('Scénario référence'!$F$8+'Scénario référence'!$F$9+'Scénario référence'!$B$17+'Scénario référence'!$B$9+'Scénario référence'!$B$10)*70+IF((45+25*(1-EXP(-0.0175*$A165)))&lt;70,'Scénario référence'!$B$16*(45+25*(1-EXP(-0.0175*$A165))),70*'Scénario référence'!$B$16)+IF((32+38*(1-EXP(-0.0175*$A165)))&lt;70,'Scénario référence'!$B$18*(32+38*(1-EXP(-0.0175*$A165))),70*'Scénario référence'!$B$18)</f>
        <v>70</v>
      </c>
      <c r="JB165" s="12">
        <f>IF($A165&gt;30,10,('Scénario référence'!$B$16+'Scénario référence'!$B$17+'Scénario référence'!$B$18+'Scénario référence'!$B$9+'Scénario référence'!$B$10)*$A165*10/30+('Scénario référence'!$F$8+'Scénario référence'!$F$9)*10)</f>
        <v>10</v>
      </c>
      <c r="JC165" s="12" t="e">
        <f>VLOOKUP($A165,'Données projet'!$A$356:$I$376,2,0)</f>
        <v>#N/A</v>
      </c>
      <c r="JD165" s="12" t="e">
        <f>VLOOKUP($A165,'Données projet'!$A$356:$I$376,9,0)</f>
        <v>#N/A</v>
      </c>
      <c r="JE165" s="12">
        <f t="array" ref="JE165">INDEX(JD:JD,MIN(IF(ISNUMBER(JD165:JD361),ROW(JD165:JD361),"")))</f>
        <v>0</v>
      </c>
      <c r="JF165" s="12">
        <f>IF('Données projet'!$A$356&gt;35,JF164+JE165-JN164,IF($A165&lt;'Données projet'!$A$356,$CQ$205^$A165,IF($A165='Données projet'!$A$356,'Données projet'!$B$356,JF164+JE165-JN164)))</f>
        <v>-1.3073986337985843E-12</v>
      </c>
      <c r="JG165" s="17">
        <f>JF165*VLOOKUP('Données projet'!$B$21,Paramètres!$A$1:$I$89,3,0)*VLOOKUP('Données projet'!$B$21,Paramètres!$A$1:$I$89,5,0)</f>
        <v>-1.0605617717374117E-12</v>
      </c>
      <c r="JH165" s="13" t="e">
        <f t="shared" si="310"/>
        <v>#NUM!</v>
      </c>
      <c r="JI165" s="20" t="e">
        <f t="shared" si="260"/>
        <v>#NUM!</v>
      </c>
      <c r="JJ165" s="59" t="e">
        <f t="shared" si="261"/>
        <v>#NUM!</v>
      </c>
      <c r="JK165" s="59">
        <f ca="1">AVERAGE(OFFSET($JJ$3,0,0,'Données projet'!$E$22+1,1))-AVERAGE(OFFSET($H$3,0,0,'Données projet'!$E$22+1,1))</f>
        <v>353.35574633294613</v>
      </c>
      <c r="JL165" s="59">
        <f t="shared" si="311"/>
        <v>170.36796666474726</v>
      </c>
      <c r="JM165" s="15">
        <f>IF(ISNA(VLOOKUP($A165,'Données projet'!$A$356:$I$376,3,0)),0,VLOOKUP($A165,'Données projet'!$A$356:$I$376,3,0))</f>
        <v>0</v>
      </c>
      <c r="JN165" s="15">
        <f>IF(ISNA(VLOOKUP($A165,'Données projet'!$A$356:$I$376,4,0)),0,VLOOKUP($A165,'Données projet'!$A$356:$I$376,4,0))</f>
        <v>0</v>
      </c>
      <c r="JO165" s="16">
        <f>IF(ISNA(VLOOKUP($A165,'Données projet'!$A$356:$I$376,5,0)),0%,VLOOKUP($A165,'Données projet'!$A$356:$I$376,5,0)*VLOOKUP('Données projet'!$B$21,Paramètres!$A$1:$I$89,7,0))</f>
        <v>0</v>
      </c>
      <c r="JP165" s="16">
        <f>IF(ISNA(VLOOKUP($A165,'Données projet'!$A$356:$I$376,6,0)),0%,VLOOKUP($A165,'Données projet'!$A$356:$I$376,6,0)*VLOOKUP('Données projet'!$B$21,Paramètres!$A$1:$I$89,7,0))</f>
        <v>0</v>
      </c>
      <c r="JQ165" s="16">
        <f>IF(ISNA(VLOOKUP($A165,'Données projet'!$A$356:$I$376,7,0)),0%,VLOOKUP($A165,'Données projet'!$A$356:$I$376,7,0))</f>
        <v>0</v>
      </c>
      <c r="JR165" s="21">
        <f>EXP(-LN(2)/35)*JR164+(1-EXP(-LN(2)/35))/(LN(2)/35)*JN165*JO165*VLOOKUP('Données projet'!$B$21,Paramètres!$A$1:$I$89,3,0)*0.475*44/12</f>
        <v>57.915621232431867</v>
      </c>
      <c r="JS165" s="21">
        <f>EXP(-LN(2)/25)*JS164+(1-EXP(-LN(2)/25))/(LN(2)/25)*Calculateur!JN165*Calculateur!JP165*VLOOKUP('Données projet'!$B$21,Paramètres!$A$1:$I$89,3,0)*0.475*44/12</f>
        <v>54.796393813847502</v>
      </c>
      <c r="JT165" s="21">
        <f>EXP(-LN(2)/2)*JT164+(1-EXP(-LN(2)/2))/(LN(2)/2)*JN165*JQ165*VLOOKUP('Données projet'!$B$21,Paramètres!$A$1:$I$89,3,0)*0.475*44/12</f>
        <v>0.53579573299315875</v>
      </c>
      <c r="JU165" s="18">
        <f t="shared" si="262"/>
        <v>113.24781077927253</v>
      </c>
      <c r="JV165" s="74">
        <f>('Scénario référence'!$F$8+'Scénario référence'!$F$9+'Scénario référence'!$B$17+'Scénario référence'!$B$9+'Scénario référence'!$B$10)*70+IF((45+25*(1-EXP(-0.0175*$A165)))&lt;70,'Scénario référence'!$B$16*(45+25*(1-EXP(-0.0175*$A165))),70*'Scénario référence'!$B$16)+IF((32+38*(1-EXP(-0.0175*$A165)))&lt;70,'Scénario référence'!$B$18*(32+38*(1-EXP(-0.0175*$A165))),70*'Scénario référence'!$B$18)</f>
        <v>70</v>
      </c>
      <c r="JW165" s="12">
        <f>IF($A165&gt;30,10,('Scénario référence'!$B$16+'Scénario référence'!$B$17+'Scénario référence'!$B$18+'Scénario référence'!$B$9+'Scénario référence'!$B$10)*$A165*10/30+('Scénario référence'!$F$8+'Scénario référence'!$F$9)*10)</f>
        <v>10</v>
      </c>
      <c r="JX165" s="12" t="e">
        <f>VLOOKUP($A165,'Données projet'!$A$382:$I$402,2,0)</f>
        <v>#N/A</v>
      </c>
      <c r="JY165" s="12" t="e">
        <f>VLOOKUP($A165,'Données projet'!$A$382:$I$402,9,0)</f>
        <v>#N/A</v>
      </c>
      <c r="JZ165" s="12">
        <f t="array" ref="JZ165">INDEX(JY:JY,MIN(IF(ISNUMBER(JY165:JY361),ROW(JY165:JY361),"")))</f>
        <v>0</v>
      </c>
      <c r="KA165" s="12">
        <f>IF('Données projet'!$A$382&gt;35,KA164+JZ165-KI164,IF($A165&lt;'Données projet'!$A$382,$CQ$205^$A165,IF($A165='Données projet'!$A$382,'Données projet'!$B$382,KA164+JZ165-KI164)))</f>
        <v>5.6843418860808015E-13</v>
      </c>
      <c r="KB165" s="17">
        <f>KA165*VLOOKUP('Données projet'!$B$22,Paramètres!$A$1:$I$89,3,0)*VLOOKUP('Données projet'!$B$22,Paramètres!$A$1:$I$89,5,0)</f>
        <v>3.8130565371830017E-13</v>
      </c>
      <c r="KC165" s="13">
        <f t="shared" si="312"/>
        <v>4.9019074112354236E-12</v>
      </c>
      <c r="KD165" s="20">
        <f t="shared" si="263"/>
        <v>9.2015960881277352E-12</v>
      </c>
      <c r="KE165" s="59">
        <f t="shared" si="264"/>
        <v>293.33333333334252</v>
      </c>
      <c r="KF165" s="59">
        <f ca="1">AVERAGE(OFFSET($KE$3,0,0,'Données projet'!$E$22+1,1))-AVERAGE(OFFSET($H$3,0,0,'Données projet'!$E$22+1,1))</f>
        <v>193.91714772848269</v>
      </c>
      <c r="KG165" s="59">
        <f t="shared" si="313"/>
        <v>159.20429420478047</v>
      </c>
      <c r="KH165" s="15">
        <f>IF(ISNA(VLOOKUP($A165,'Données projet'!$A$382:$I$402,3,0)),0,VLOOKUP($A165,'Données projet'!$A$382:$I$402,3,0))</f>
        <v>0</v>
      </c>
      <c r="KI165" s="15">
        <f>IF(ISNA(VLOOKUP($A165,'Données projet'!$A$382:$I$402,4,0)),0,VLOOKUP($A165,'Données projet'!$A$382:$I$402,4,0))</f>
        <v>0</v>
      </c>
      <c r="KJ165" s="16">
        <f>IF(ISNA(VLOOKUP($A165,'Données projet'!$A$382:$I$402,5,0)),0%,VLOOKUP($A165,'Données projet'!$A$382:$I$402,5,0)*VLOOKUP('Données projet'!$B$22,Paramètres!$A$1:$I$89,7,0))</f>
        <v>0</v>
      </c>
      <c r="KK165" s="16">
        <f>IF(ISNA(VLOOKUP($A165,'Données projet'!$A$382:$I$402,6,0)),0%,VLOOKUP($A165,'Données projet'!$A$382:$I$402,6,0)*VLOOKUP('Données projet'!$B$22,Paramètres!$A$1:$I$89,7,0))</f>
        <v>0</v>
      </c>
      <c r="KL165" s="16">
        <f>IF(ISNA(VLOOKUP($A165,'Données projet'!$A$382:$I$402,7,0)),0%,VLOOKUP($A165,'Données projet'!$A$382:$I$402,7,0))</f>
        <v>0</v>
      </c>
      <c r="KM165" s="21">
        <f>EXP(-LN(2)/35)*KM164+(1-EXP(-LN(2)/35))/(LN(2)/35)*KI165*KJ165*VLOOKUP('Données projet'!$B$22,Paramètres!$A$1:$I$89,3,0)*0.475*44/12</f>
        <v>84.563199099427038</v>
      </c>
      <c r="KN165" s="21">
        <f>EXP(-LN(2)/25)*KN164+(1-EXP(-LN(2)/25))/(LN(2)/25)*Calculateur!KI165*Calculateur!KK165*VLOOKUP('Données projet'!$B$22,Paramètres!$A$1:$I$89,3,0)*0.475*44/12</f>
        <v>0</v>
      </c>
      <c r="KO165" s="21">
        <f>EXP(-LN(2)/2)*KO164+(1-EXP(-LN(2)/2))/(LN(2)/2)*KI165*KL165*VLOOKUP('Données projet'!$B$22,Paramètres!$A$1:$I$89,3,0)*0.475*44/12</f>
        <v>0</v>
      </c>
      <c r="KP165" s="22">
        <f t="shared" si="265"/>
        <v>84.563199099427038</v>
      </c>
      <c r="KQ165" s="74">
        <f>('Scénario référence'!$F$8+'Scénario référence'!$F$9+'Scénario référence'!$B$17+'Scénario référence'!$B$9+'Scénario référence'!$B$10)*70+IF((45+25*(1-EXP(-0.0175*$A165)))&lt;70,'Scénario référence'!$B$16*(45+25*(1-EXP(-0.0175*$A165))),70*'Scénario référence'!$B$16)+IF((32+38*(1-EXP(-0.0175*$A165)))&lt;70,'Scénario référence'!$B$18*(32+38*(1-EXP(-0.0175*$A165))),70*'Scénario référence'!$B$18)</f>
        <v>70</v>
      </c>
      <c r="KR165" s="12">
        <f>IF($A165&gt;30,10,('Scénario référence'!$B$16+'Scénario référence'!$B$17+'Scénario référence'!$B$18+'Scénario référence'!$B$9+'Scénario référence'!$B$10)*$A165*10/30+('Scénario référence'!$F$8+'Scénario référence'!$F$9)*10)</f>
        <v>10</v>
      </c>
      <c r="KS165" s="12" t="e">
        <f>VLOOKUP($A165,'Données projet'!$A$408:$I$428,2,0)</f>
        <v>#N/A</v>
      </c>
      <c r="KT165" s="12" t="e">
        <f>VLOOKUP($A165,'Données projet'!$A$408:$I$428,9,0)</f>
        <v>#N/A</v>
      </c>
      <c r="KU165" s="12">
        <f t="array" ref="KU165">INDEX(KT:KT,MIN(IF(ISNUMBER(KT165:KT361),ROW(KT165:KT361),"")))</f>
        <v>0</v>
      </c>
      <c r="KV165" s="12">
        <f>IF('Données projet'!$A$408&gt;35,KV164+KU165-LD164,IF($A165&lt;'Données projet'!$A$408,$CQ$205^$A165,IF($A165='Données projet'!$A$408,'Données projet'!$B$408,KV164+KU165-LD164)))</f>
        <v>-1.1368683772161603E-13</v>
      </c>
      <c r="KW165" s="17">
        <f>KV165*VLOOKUP('Données projet'!$B$23,Paramètres!$A$1:$I$89,3,0)*VLOOKUP('Données projet'!$B$23,Paramètres!$A$1:$I$89,5,0)</f>
        <v>-9.9316821433603781E-14</v>
      </c>
      <c r="KX165" s="13" t="e">
        <f t="shared" si="314"/>
        <v>#NUM!</v>
      </c>
      <c r="KY165" s="14" t="e">
        <f t="shared" si="266"/>
        <v>#NUM!</v>
      </c>
      <c r="KZ165" s="59" t="e">
        <f t="shared" si="267"/>
        <v>#NUM!</v>
      </c>
      <c r="LA165" s="59">
        <f ca="1">AVERAGE(OFFSET($KZ$3,0,0,'Données projet'!$E$23+1,1))-AVERAGE(OFFSET($H$3,0,0,'Données projet'!$E$23+1,1))</f>
        <v>248.33596943633819</v>
      </c>
      <c r="LB165" s="59">
        <f t="shared" si="315"/>
        <v>242.34010522344573</v>
      </c>
      <c r="LC165" s="15">
        <f>IF(ISNA(VLOOKUP($A165,'Données projet'!$A$408:$I$428,3,0)),0,VLOOKUP($A165,'Données projet'!$A$408:$I$428,3,0))</f>
        <v>0</v>
      </c>
      <c r="LD165" s="15">
        <f>IF(ISNA(VLOOKUP($A165,'Données projet'!$A$408:$I$428,4,0)),0,VLOOKUP($A165,'Données projet'!$A$408:$I$428,4,0))</f>
        <v>0</v>
      </c>
      <c r="LE165" s="16">
        <f>IF(ISNA(VLOOKUP($A165,'Données projet'!$A$408:$I$428,5,0)),0%,VLOOKUP($A165,'Données projet'!$A$408:$I$428,5,0)*VLOOKUP('Données projet'!$B$23,Paramètres!$A$1:$I$89,7,0))</f>
        <v>0</v>
      </c>
      <c r="LF165" s="16">
        <f>IF(ISNA(VLOOKUP($A165,'Données projet'!$A$408:$I$428,6,0)),0%,VLOOKUP($A165,'Données projet'!$A$408:$I$428,6,0)*VLOOKUP('Données projet'!$B$23,Paramètres!$A$1:$I$89,7,0))</f>
        <v>0</v>
      </c>
      <c r="LG165" s="16">
        <f>IF(ISNA(VLOOKUP($A165,'Données projet'!$A$408:$I$428,7,0)),0%,VLOOKUP($A165,'Données projet'!$A$408:$I$428,7,0))</f>
        <v>0</v>
      </c>
      <c r="LH165" s="21">
        <f>EXP(-LN(2)/35)*LH164+(1-EXP(-LN(2)/35))/(LN(2)/35)*LD165*LE165*VLOOKUP('Données projet'!$B$23,Paramètres!$A$1:$I$89,3,0)*0.475*44/12</f>
        <v>24.28915170117007</v>
      </c>
      <c r="LI165" s="21">
        <f>EXP(-LN(2)/25)*LI164+(1-EXP(-LN(2)/25))/(LN(2)/25)*Calculateur!LD165*Calculateur!LF165*VLOOKUP('Données projet'!$B$23,Paramètres!$A$1:$I$89,3,0)*0.475*44/12</f>
        <v>2.2419288712347343</v>
      </c>
      <c r="LJ165" s="21">
        <f>EXP(-LN(2)/2)*LJ164+(1-EXP(-LN(2)/2))/(LN(2)/2)*LD165*LG165*VLOOKUP('Données projet'!$B$23,Paramètres!$A$1:$I$89,3,0)*0.475*44/12</f>
        <v>0</v>
      </c>
      <c r="LK165" s="22">
        <f t="shared" si="268"/>
        <v>26.531080572404804</v>
      </c>
      <c r="LL165" s="74">
        <f>('Scénario référence'!$F$8+'Scénario référence'!$F$9+'Scénario référence'!$B$17+'Scénario référence'!$B$9+'Scénario référence'!$B$10)*70+IF((45+25*(1-EXP(-0.0175*$A165)))&lt;70,'Scénario référence'!$B$16*(45+25*(1-EXP(-0.0175*$A165))),70*'Scénario référence'!$B$16)+IF((32+38*(1-EXP(-0.0175*$A165)))&lt;70,'Scénario référence'!$B$18*(32+38*(1-EXP(-0.0175*$A165))),70*'Scénario référence'!$B$18)</f>
        <v>70</v>
      </c>
      <c r="LM165" s="12">
        <f>IF($A165&gt;30,10,('Scénario référence'!$B$16+'Scénario référence'!$B$17+'Scénario référence'!$B$18+'Scénario référence'!$B$9+'Scénario référence'!$B$10)*$A165*10/30+('Scénario référence'!$F$8+'Scénario référence'!$F$9)*10)</f>
        <v>10</v>
      </c>
      <c r="LN165" s="12" t="e">
        <f>VLOOKUP($A165,'Données projet'!$A$434:$I$454,2,0)</f>
        <v>#N/A</v>
      </c>
      <c r="LO165" s="12" t="e">
        <f>VLOOKUP($A165,'Données projet'!$A$434:$I$454,9,0)</f>
        <v>#N/A</v>
      </c>
      <c r="LP165" s="12">
        <f t="array" ref="LP165">INDEX(LO:LO,MIN(IF(ISNUMBER(LO165:LO361),ROW(LO165:LO361),"")))</f>
        <v>0</v>
      </c>
      <c r="LQ165" s="12">
        <f>IF('Données projet'!$A$434&gt;35,LQ164+LP165-LY164,IF($A165&lt;'Données projet'!$A$434,$CQ$205^$A165,IF($A165='Données projet'!$A$434,'Données projet'!$B$434,LQ164+LP165-LY164)))</f>
        <v>-4.5474735088646412E-13</v>
      </c>
      <c r="LR165" s="17">
        <f>LQ165*VLOOKUP('Données projet'!$B$24,Paramètres!$A$1:$I$89,3,0)*VLOOKUP('Données projet'!$B$24,Paramètres!$A$1:$I$89,5,0)</f>
        <v>-4.6111381379887462E-13</v>
      </c>
      <c r="LS165" s="13" t="e">
        <f t="shared" si="316"/>
        <v>#NUM!</v>
      </c>
      <c r="LT165" s="14" t="e">
        <f t="shared" si="269"/>
        <v>#NUM!</v>
      </c>
      <c r="LU165" s="59" t="e">
        <f t="shared" si="270"/>
        <v>#NUM!</v>
      </c>
      <c r="LV165" s="59">
        <f ca="1">AVERAGE(OFFSET($LU$3,0,0,'Données projet'!$E$24+1,1))-AVERAGE(OFFSET($H$3,0,0,'Données projet'!$E$24+1,1))</f>
        <v>260.52627655062872</v>
      </c>
      <c r="LW165" s="59">
        <f t="shared" si="317"/>
        <v>159.20429420478047</v>
      </c>
      <c r="LX165" s="15">
        <f>IF(ISNA(VLOOKUP($A165,'Données projet'!$A$434:$I$454,3,0)),0,VLOOKUP($A165,'Données projet'!$A$434:$I$454,3,0))</f>
        <v>0</v>
      </c>
      <c r="LY165" s="15">
        <f>IF(ISNA(VLOOKUP($A165,'Données projet'!$A$434:$I$454,4,0)),0,VLOOKUP($A165,'Données projet'!$A$434:$I$454,4,0))</f>
        <v>0</v>
      </c>
      <c r="LZ165" s="16">
        <f>IF(ISNA(VLOOKUP($A165,'Données projet'!$A$434:$I$454,5,0)),0%,VLOOKUP($A165,'Données projet'!$A$434:$I$454,5,0)*VLOOKUP('Données projet'!$B$24,Paramètres!$A$1:$I$89,7,0))</f>
        <v>0</v>
      </c>
      <c r="MA165" s="16">
        <f>IF(ISNA(VLOOKUP($A165,'Données projet'!$A$434:$I$454,6,0)),0%,VLOOKUP($A165,'Données projet'!$A$434:$I$454,6,0)*VLOOKUP('Données projet'!$B$24,Paramètres!$A$1:$I$89,7,0))</f>
        <v>0</v>
      </c>
      <c r="MB165" s="16">
        <f>IF(ISNA(VLOOKUP($A165,'Données projet'!$A$434:$I$454,7,0)),0%,VLOOKUP($A165,'Données projet'!$A$434:$I$454,7,0))</f>
        <v>0</v>
      </c>
      <c r="MC165" s="21">
        <f>EXP(-LN(2)/35)*MC164+(1-EXP(-LN(2)/35))/(LN(2)/35)*LY165*LZ165*VLOOKUP('Données projet'!$B$24,Paramètres!$A$1:$I$89,3,0)*0.475*44/12</f>
        <v>156.1709954294397</v>
      </c>
      <c r="MD165" s="21">
        <f>EXP(-LN(2)/25)*MD164+(1-EXP(-LN(2)/25))/(LN(2)/25)*Calculateur!LY165*Calculateur!MA165*VLOOKUP('Données projet'!$B$24,Paramètres!$A$1:$I$89,3,0)*0.475*44/12</f>
        <v>0</v>
      </c>
      <c r="ME165" s="21">
        <f>EXP(-LN(2)/2)*ME164+(1-EXP(-LN(2)/2))/(LN(2)/2)*LY165*MB165*VLOOKUP('Données projet'!$B$24,Paramètres!$A$1:$I$89,3,0)*0.475*44/12</f>
        <v>0</v>
      </c>
      <c r="MF165" s="22">
        <f t="shared" si="271"/>
        <v>156.1709954294397</v>
      </c>
      <c r="MG165" s="74">
        <f>('Scénario référence'!$F$8+'Scénario référence'!$F$9+'Scénario référence'!$B$17+'Scénario référence'!$B$9+'Scénario référence'!$B$10)*70+IF((45+25*(1-EXP(-0.0175*$A165)))&lt;70,'Scénario référence'!$B$16*(45+25*(1-EXP(-0.0175*$A165))),70*'Scénario référence'!$B$16)+IF((32+38*(1-EXP(-0.0175*$A165)))&lt;70,'Scénario référence'!$B$18*(32+38*(1-EXP(-0.0175*$A165))),70*'Scénario référence'!$B$18)</f>
        <v>70</v>
      </c>
      <c r="MH165" s="12">
        <f>IF($A165&gt;30,10,('Scénario référence'!$B$16+'Scénario référence'!$B$17+'Scénario référence'!$B$18+'Scénario référence'!$B$9+'Scénario référence'!$B$10)*$A165*10/30+('Scénario référence'!$F$8+'Scénario référence'!$F$9)*10)</f>
        <v>10</v>
      </c>
      <c r="MI165" s="12" t="e">
        <f>VLOOKUP($A165,'Données projet'!$A$460:$I$480,2,0)</f>
        <v>#N/A</v>
      </c>
      <c r="MJ165" s="12" t="e">
        <f>VLOOKUP($A165,'Données projet'!$A$460:$I$480,9,0)</f>
        <v>#N/A</v>
      </c>
      <c r="MK165" s="12">
        <f t="array" ref="MK165">INDEX(MJ:MJ,MIN(IF(ISNUMBER(MJ165:MJ361),ROW(MJ165:MJ361),"")))</f>
        <v>0</v>
      </c>
      <c r="ML165" s="12">
        <f>IF('Données projet'!$A$460&gt;35,ML164+MK165-MT164,IF($A165&lt;'Données projet'!$A$460,$CQ$205^$A165,IF($A165='Données projet'!$A$460,'Données projet'!$B$460,ML164+MK165-MT164)))</f>
        <v>0</v>
      </c>
      <c r="MM165" s="17" t="e">
        <f>ML165*VLOOKUP('Données projet'!$B$25,Paramètres!$A$1:$I$89,3,0)*VLOOKUP('Données projet'!$B$25,Paramètres!$A$1:$I$89,5,0)</f>
        <v>#N/A</v>
      </c>
      <c r="MN165" s="13" t="e">
        <f t="shared" si="318"/>
        <v>#N/A</v>
      </c>
      <c r="MO165" s="14" t="e">
        <f t="shared" si="272"/>
        <v>#N/A</v>
      </c>
      <c r="MP165" s="59" t="e">
        <f t="shared" si="273"/>
        <v>#N/A</v>
      </c>
      <c r="MQ165" s="20" t="e">
        <f ca="1">AVERAGE(OFFSET($MP$3,0,0,'Données projet'!$E$25+1,1))-AVERAGE(OFFSET($H$3,0,0,'Données projet'!$E$25+1,1))</f>
        <v>#N/A</v>
      </c>
      <c r="MR165" s="59" t="e">
        <f t="shared" si="319"/>
        <v>#N/A</v>
      </c>
      <c r="MS165" s="15">
        <f>IF(ISNA(VLOOKUP($A165,'Données projet'!$A$460:$I$480,3,0)),0,VLOOKUP($A165,'Données projet'!$A$460:$I$480,3,0))</f>
        <v>0</v>
      </c>
      <c r="MT165" s="15">
        <f>IF(ISNA(VLOOKUP($A165,'Données projet'!$A$460:$I$480,4,0)),0,VLOOKUP($A165,'Données projet'!$A$460:$I$480,4,0))</f>
        <v>0</v>
      </c>
      <c r="MU165" s="16">
        <f>IF(ISNA(VLOOKUP($A165,'Données projet'!$A$460:$I$480,5,0)),0%,VLOOKUP($A165,'Données projet'!$A$460:$I$480,5,0)*VLOOKUP('Données projet'!$B$25,Paramètres!$A$1:$I$89,7,0))</f>
        <v>0</v>
      </c>
      <c r="MV165" s="16">
        <f>IF(ISNA(VLOOKUP($A165,'Données projet'!$A$460:$I$480,6,0)),0%,VLOOKUP($A165,'Données projet'!$A$460:$I$480,6,0)*VLOOKUP('Données projet'!$B$25,Paramètres!$A$1:$I$89,7,0))</f>
        <v>0</v>
      </c>
      <c r="MW165" s="16">
        <f>IF(ISNA(VLOOKUP($A165,'Données projet'!$A$460:$I$480,7,0)),0%,VLOOKUP($A165,'Données projet'!$A$460:$I$480,7,0))</f>
        <v>0</v>
      </c>
      <c r="MX165" s="21" t="e">
        <f>EXP(-LN(2)/35)*MX164+(1-EXP(-LN(2)/35))/(LN(2)/35)*MT165*MU165*VLOOKUP('Données projet'!$B$25,Paramètres!$A$1:$I$89,3,0)*0.475*44/12</f>
        <v>#N/A</v>
      </c>
      <c r="MY165" s="21" t="e">
        <f>EXP(-LN(2)/25)*MY164+(1-EXP(-LN(2)/25))/(LN(2)/25)*Calculateur!MT165*Calculateur!MV165*VLOOKUP('Données projet'!$B$25,Paramètres!$A$1:$I$89,3,0)*0.475*44/12</f>
        <v>#N/A</v>
      </c>
      <c r="MZ165" s="21" t="e">
        <f>EXP(-LN(2)/2)*MZ164+(1-EXP(-LN(2)/2))/(LN(2)/2)*MT165*MW165*VLOOKUP('Données projet'!$B$25,Paramètres!$A$1:$I$89,3,0)*0.475*44/12</f>
        <v>#N/A</v>
      </c>
      <c r="NA165" s="22" t="e">
        <f t="shared" si="274"/>
        <v>#N/A</v>
      </c>
      <c r="NB165" s="74">
        <f>('Scénario référence'!$F$8+'Scénario référence'!$F$9+'Scénario référence'!$B$17+'Scénario référence'!$B$9+'Scénario référence'!$B$10)*70+IF((45+25*(1-EXP(-0.0175*$A165)))&lt;70,'Scénario référence'!$B$16*(45+25*(1-EXP(-0.0175*$A165))),70*'Scénario référence'!$B$16)+IF((32+38*(1-EXP(-0.0175*$A165)))&lt;70,'Scénario référence'!$B$18*(32+38*(1-EXP(-0.0175*$A165))),70*'Scénario référence'!$B$18)</f>
        <v>70</v>
      </c>
      <c r="NC165" s="12">
        <f>IF($A165&gt;30,10,('Scénario référence'!$B$16+'Scénario référence'!$B$17+'Scénario référence'!$B$18+'Scénario référence'!$B$9+'Scénario référence'!$B$10)*$A165*10/30+('Scénario référence'!$F$8+'Scénario référence'!$F$9)*10)</f>
        <v>10</v>
      </c>
      <c r="ND165" s="12" t="e">
        <f>VLOOKUP($A165,'Données projet'!$A$486:$I$506,2,0)</f>
        <v>#N/A</v>
      </c>
      <c r="NE165" s="12" t="e">
        <f>VLOOKUP($A165,'Données projet'!$A$486:$I$506,9,0)</f>
        <v>#N/A</v>
      </c>
      <c r="NF165" s="12">
        <f t="array" ref="NF165">INDEX(NE:NE,MIN(IF(ISNUMBER(NE165:NE361),ROW(NE165:NE361),"")))</f>
        <v>0</v>
      </c>
      <c r="NG165" s="12">
        <f>IF('Données projet'!$A$486&gt;35,NG164+NF165-NO164,IF($A165&lt;'Données projet'!$A$486,$CQ$205^$A165,IF($A165='Données projet'!$A$486,'Données projet'!$B$486,NG164+NF165-NO164)))</f>
        <v>0</v>
      </c>
      <c r="NH165" s="17" t="e">
        <f>NG165*VLOOKUP('Données projet'!$B$26,Paramètres!$A$1:$I$89,3,0)*VLOOKUP('Données projet'!$B$26,Paramètres!$A$1:$I$89,5,0)</f>
        <v>#N/A</v>
      </c>
      <c r="NI165" s="13" t="e">
        <f t="shared" si="320"/>
        <v>#N/A</v>
      </c>
      <c r="NJ165" s="14" t="e">
        <f t="shared" si="275"/>
        <v>#N/A</v>
      </c>
      <c r="NK165" s="59" t="e">
        <f t="shared" si="276"/>
        <v>#N/A</v>
      </c>
      <c r="NL165" s="20" t="e">
        <f ca="1">AVERAGE(OFFSET($NK$3,0,0,'Données projet'!$E$26+1,1))-AVERAGE(OFFSET($H$3,0,0,'Données projet'!$E$26+1,1))</f>
        <v>#N/A</v>
      </c>
      <c r="NM165" s="59" t="e">
        <f t="shared" si="321"/>
        <v>#N/A</v>
      </c>
      <c r="NN165" s="15">
        <f>IF(ISNA(VLOOKUP($A165,'Données projet'!$A$486:$I$506,3,0)),0,VLOOKUP($A165,'Données projet'!$A$486:$I$506,3,0))</f>
        <v>0</v>
      </c>
      <c r="NO165" s="15">
        <f>IF(ISNA(VLOOKUP($A165,'Données projet'!$A$486:$I$506,4,0)),0,VLOOKUP($A165,'Données projet'!$A$486:$I$506,4,0))</f>
        <v>0</v>
      </c>
      <c r="NP165" s="16">
        <f>IF(ISNA(VLOOKUP($A165,'Données projet'!$A$486:$I$506,5,0)),0%,VLOOKUP($A165,'Données projet'!$A$486:$I$506,5,0)*VLOOKUP('Données projet'!$B$26,Paramètres!$A$1:$I$89,7,0))</f>
        <v>0</v>
      </c>
      <c r="NQ165" s="16">
        <f>IF(ISNA(VLOOKUP($A165,'Données projet'!$A$486:$I$506,6,0)),0%,VLOOKUP($A165,'Données projet'!$A$486:$I$506,6,0)*VLOOKUP('Données projet'!$B$26,Paramètres!$A$1:$I$89,7,0))</f>
        <v>0</v>
      </c>
      <c r="NR165" s="16">
        <f>IF(ISNA(VLOOKUP($A165,'Données projet'!$A$486:$I$506,7,0)),0%,VLOOKUP($A165,'Données projet'!$A$486:$I$506,7,0))</f>
        <v>0</v>
      </c>
      <c r="NS165" s="21" t="e">
        <f>EXP(-LN(2)/35)*NS164+(1-EXP(-LN(2)/35))/(LN(2)/35)*NO165*NP165*VLOOKUP('Données projet'!$B$26,Paramètres!$A$1:$I$89,3,0)*0.475*44/12</f>
        <v>#N/A</v>
      </c>
      <c r="NT165" s="21" t="e">
        <f>EXP(-LN(2)/25)*NT164+(1-EXP(-LN(2)/25))/(LN(2)/25)*Calculateur!NO165*Calculateur!NQ165*VLOOKUP('Données projet'!$B$26,Paramètres!$A$1:$I$89,3,0)*0.475*44/12</f>
        <v>#N/A</v>
      </c>
      <c r="NU165" s="21" t="e">
        <f>EXP(-LN(2)/2)*NU164+(1-EXP(-LN(2)/2))/(LN(2)/2)*NO165*NR165*VLOOKUP('Données projet'!$B$26,Paramètres!$A$1:$I$89,3,0)*0.475*44/12</f>
        <v>#N/A</v>
      </c>
      <c r="NV165" s="22" t="e">
        <f t="shared" si="277"/>
        <v>#N/A</v>
      </c>
      <c r="NW165" s="74">
        <f>('Scénario référence'!$F$8+'Scénario référence'!$F$9+'Scénario référence'!$B$17+'Scénario référence'!$B$9+'Scénario référence'!$B$10)*70+IF((45+25*(1-EXP(-0.0175*$A165)))&lt;70,'Scénario référence'!$B$16*(45+25*(1-EXP(-0.0175*$A165))),70*'Scénario référence'!$B$16)+IF((32+38*(1-EXP(-0.0175*$A165)))&lt;70,'Scénario référence'!$B$18*(32+38*(1-EXP(-0.0175*$A165))),70*'Scénario référence'!$B$18)</f>
        <v>70</v>
      </c>
      <c r="NX165" s="12">
        <f>IF($A165&gt;30,10,('Scénario référence'!$B$16+'Scénario référence'!$B$17+'Scénario référence'!$B$18+'Scénario référence'!$B$9+'Scénario référence'!$B$10)*$A165*10/30+('Scénario référence'!$F$8+'Scénario référence'!$F$9)*10)</f>
        <v>10</v>
      </c>
      <c r="NY165" s="12" t="e">
        <f>VLOOKUP($A165,'Données projet'!$A$512:$I$532,2,0)</f>
        <v>#N/A</v>
      </c>
      <c r="NZ165" s="12" t="e">
        <f>VLOOKUP($A165,'Données projet'!$A$512:$I$532,9,0)</f>
        <v>#N/A</v>
      </c>
      <c r="OA165" s="12">
        <f t="array" ref="OA165">INDEX(NZ:NZ,MIN(IF(ISNUMBER(NZ165:NZ361),ROW(NZ165:NZ361),"")))</f>
        <v>0</v>
      </c>
      <c r="OB165" s="12">
        <f>IF('Données projet'!$A$512&gt;35,OB164+OA165-OJ164,IF($A165&lt;'Données projet'!$A$512,$CQ$205^$A165,IF($A165='Données projet'!$A$512,'Données projet'!$B$512,OB164+OA165-OJ164)))</f>
        <v>0</v>
      </c>
      <c r="OC165" s="17" t="e">
        <f>OB165*VLOOKUP('Données projet'!$B$27,Paramètres!$A$1:$I$89,3,0)*VLOOKUP('Données projet'!$B$27,Paramètres!$A$1:$I$89,5,0)</f>
        <v>#N/A</v>
      </c>
      <c r="OD165" s="13" t="e">
        <f t="shared" si="322"/>
        <v>#N/A</v>
      </c>
      <c r="OE165" s="14" t="e">
        <f t="shared" si="278"/>
        <v>#N/A</v>
      </c>
      <c r="OF165" s="59" t="e">
        <f t="shared" si="279"/>
        <v>#N/A</v>
      </c>
      <c r="OG165" s="20" t="e">
        <f ca="1">AVERAGE(OFFSET($OF$3,0,0,'Données projet'!$E$27+1,1))-AVERAGE(OFFSET($H$3,0,0,'Données projet'!$E$27+1,1))</f>
        <v>#N/A</v>
      </c>
      <c r="OH165" s="59" t="e">
        <f t="shared" si="323"/>
        <v>#N/A</v>
      </c>
      <c r="OI165" s="15">
        <f>IF(ISNA(VLOOKUP($A165,'Données projet'!$A$512:$I$532,3,0)),0,VLOOKUP($A165,'Données projet'!$A$512:$I$532,3,0))</f>
        <v>0</v>
      </c>
      <c r="OJ165" s="15">
        <f>IF(ISNA(VLOOKUP($A165,'Données projet'!$A$512:$I$532,4,0)),0,VLOOKUP($A165,'Données projet'!$A$512:$I$532,4,0))</f>
        <v>0</v>
      </c>
      <c r="OK165" s="16">
        <f>IF(ISNA(VLOOKUP($A165,'Données projet'!$A$512:$I$532,5,0)),0%,VLOOKUP($A165,'Données projet'!$A$512:$I$532,5,0)*VLOOKUP('Données projet'!$B$27,Paramètres!$A$1:$I$89,7,0))</f>
        <v>0</v>
      </c>
      <c r="OL165" s="16">
        <f>IF(ISNA(VLOOKUP($A165,'Données projet'!$A$512:$I$532,6,0)),0%,VLOOKUP($A165,'Données projet'!$A$512:$I$532,6,0)*VLOOKUP('Données projet'!$B$27,Paramètres!$A$1:$I$89,7,0))</f>
        <v>0</v>
      </c>
      <c r="OM165" s="16">
        <f>IF(ISNA(VLOOKUP($A165,'Données projet'!$A$512:$I$532,7,0)),0%,VLOOKUP($A165,'Données projet'!$A$512:$I$532,7,0))</f>
        <v>0</v>
      </c>
      <c r="ON165" s="21" t="e">
        <f>EXP(-LN(2)/35)*ON164+(1-EXP(-LN(2)/35))/(LN(2)/35)*OJ165*OK165*VLOOKUP('Données projet'!$B$27,Paramètres!$A$1:$I$89,3,0)*0.475*44/12</f>
        <v>#N/A</v>
      </c>
      <c r="OO165" s="21" t="e">
        <f>EXP(-LN(2)/25)*OO164+(1-EXP(-LN(2)/25))/(LN(2)/25)*Calculateur!OJ165*Calculateur!OL165*VLOOKUP('Données projet'!$B$27,Paramètres!$A$1:$I$89,3,0)*0.475*44/12</f>
        <v>#N/A</v>
      </c>
      <c r="OP165" s="21" t="e">
        <f>EXP(-LN(2)/2)*OP164+(1-EXP(-LN(2)/2))/(LN(2)/2)*OJ165*OM165*VLOOKUP('Données projet'!$B$27,Paramètres!$A$1:$I$89,3,0)*0.475*44/12</f>
        <v>#N/A</v>
      </c>
      <c r="OQ165" s="22" t="e">
        <f t="shared" si="280"/>
        <v>#N/A</v>
      </c>
      <c r="OR165" s="74">
        <f>('Scénario référence'!$F$8+'Scénario référence'!$F$9+'Scénario référence'!$B$17+'Scénario référence'!$B$9+'Scénario référence'!$B$10)*70+IF((45+25*(1-EXP(-0.0175*$A165)))&lt;70,'Scénario référence'!$B$16*(45+25*(1-EXP(-0.0175*$A165))),70*'Scénario référence'!$B$16)+IF((32+38*(1-EXP(-0.0175*$A165)))&lt;70,'Scénario référence'!$B$18*(32+38*(1-EXP(-0.0175*$A165))),70*'Scénario référence'!$B$18)</f>
        <v>70</v>
      </c>
      <c r="OS165" s="12">
        <f>IF($A165&gt;30,10,('Scénario référence'!$B$16+'Scénario référence'!$B$17+'Scénario référence'!$B$18+'Scénario référence'!$B$9+'Scénario référence'!$B$10)*$A165*10/30+('Scénario référence'!$F$8+'Scénario référence'!$F$9)*10)</f>
        <v>10</v>
      </c>
      <c r="OT165" s="12" t="e">
        <f>VLOOKUP($A165,'Données projet'!$A$538:$I$558,2,0)</f>
        <v>#N/A</v>
      </c>
      <c r="OU165" s="12" t="e">
        <f>VLOOKUP($A165,'Données projet'!$A$538:$I$558,9,0)</f>
        <v>#N/A</v>
      </c>
      <c r="OV165" s="12">
        <f t="array" ref="OV165">INDEX(OU:OU,MIN(IF(ISNUMBER(OU165:OU361),ROW(OU165:OU361),"")))</f>
        <v>0</v>
      </c>
      <c r="OW165" s="12">
        <f>IF('Données projet'!$A$538&gt;35,OW164+OV165-PE164,IF($A165&lt;'Données projet'!$A$538,$CQ$205^$A165,IF($A165='Données projet'!$A$538,'Données projet'!$B$538,OW164+OV165-PE164)))</f>
        <v>0</v>
      </c>
      <c r="OX165" s="17" t="e">
        <f>OW165*VLOOKUP('Données projet'!$B$28,Paramètres!$A$1:$I$89,3,0)*VLOOKUP('Données projet'!$B$28,Paramètres!$A$1:$I$89,5,0)</f>
        <v>#N/A</v>
      </c>
      <c r="OY165" s="13" t="e">
        <f t="shared" si="324"/>
        <v>#N/A</v>
      </c>
      <c r="OZ165" s="14" t="e">
        <f t="shared" si="281"/>
        <v>#N/A</v>
      </c>
      <c r="PA165" s="59" t="e">
        <f t="shared" si="282"/>
        <v>#N/A</v>
      </c>
      <c r="PB165" s="20" t="e">
        <f ca="1">AVERAGE(OFFSET($PA$3,0,0,'Données projet'!$E$28+1,1))-AVERAGE(OFFSET($H$3,0,0,'Données projet'!$E$28+1,1))</f>
        <v>#N/A</v>
      </c>
      <c r="PC165" s="59" t="e">
        <f t="shared" si="325"/>
        <v>#N/A</v>
      </c>
      <c r="PD165" s="15">
        <f>IF(ISNA(VLOOKUP($A165,'Données projet'!$A$538:$I$558,3,0)),0,VLOOKUP($A165,'Données projet'!$A$538:$I$558,3,0))</f>
        <v>0</v>
      </c>
      <c r="PE165" s="15">
        <f>IF(ISNA(VLOOKUP($A165,'Données projet'!$A$538:$I$558,4,0)),0,VLOOKUP($A165,'Données projet'!$A$538:$I$558,4,0))</f>
        <v>0</v>
      </c>
      <c r="PF165" s="16">
        <f>IF(ISNA(VLOOKUP($A165,'Données projet'!$A$538:$I$558,5,0)),0%,VLOOKUP($A165,'Données projet'!$A$538:$I$558,5,0)*VLOOKUP('Données projet'!$B$28,Paramètres!$A$1:$I$89,7,0))</f>
        <v>0</v>
      </c>
      <c r="PG165" s="16">
        <f>IF(ISNA(VLOOKUP($A165,'Données projet'!$A$538:$I$558,6,0)),0%,VLOOKUP($A165,'Données projet'!$A$538:$I$558,6,0)*VLOOKUP('Données projet'!$B$28,Paramètres!$A$1:$I$89,7,0))</f>
        <v>0</v>
      </c>
      <c r="PH165" s="16">
        <f>IF(ISNA(VLOOKUP($A165,'Données projet'!$A$538:$I$558,7,0)),0%,VLOOKUP($A165,'Données projet'!$A$538:$I$558,7,0))</f>
        <v>0</v>
      </c>
      <c r="PI165" s="21" t="e">
        <f>EXP(-LN(2)/35)*PI164+(1-EXP(-LN(2)/35))/(LN(2)/35)*PE165*PF165*VLOOKUP('Données projet'!$B$28,Paramètres!$A$1:$I$89,3,0)*0.475*44/12</f>
        <v>#N/A</v>
      </c>
      <c r="PJ165" s="21" t="e">
        <f>EXP(-LN(2)/25)*PJ164+(1-EXP(-LN(2)/25))/(LN(2)/25)*Calculateur!PE165*Calculateur!PG165*VLOOKUP('Données projet'!$B$28,Paramètres!$A$1:$I$89,3,0)*0.475*44/12</f>
        <v>#N/A</v>
      </c>
      <c r="PK165" s="21" t="e">
        <f>EXP(-LN(2)/2)*PK164+(1-EXP(-LN(2)/2))/(LN(2)/2)*PE165*PH165*VLOOKUP('Données projet'!$B$28,Paramètres!$A$1:$I$89,3,0)*0.475*44/12</f>
        <v>#N/A</v>
      </c>
      <c r="PL165" s="22" t="e">
        <f t="shared" si="283"/>
        <v>#N/A</v>
      </c>
    </row>
    <row r="166" spans="1:428" x14ac:dyDescent="0.35">
      <c r="A166" s="10">
        <f t="shared" si="326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285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225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projet'!$A$45:$I$65,2,0)</f>
        <v>#N/A</v>
      </c>
      <c r="L166" s="12" t="e">
        <f>VLOOKUP(A166,'Données projet'!$A$45:$I$65,9,0)</f>
        <v>#N/A</v>
      </c>
      <c r="M166" s="12">
        <f t="array" ref="M166">INDEX(L:L,MIN(IF(ISNUMBER(L166:L362),ROW(L166:L362),"")))</f>
        <v>0</v>
      </c>
      <c r="N166" s="13">
        <f>IF('Données projet'!$A$46&gt;35,N165+M166-V165,IF(A166&lt;'Données projet'!$A$46,$K$205^A166,IF(A166='Données projet'!$A$46,'Données projet'!$B$46,N165+M166-V165)))</f>
        <v>-1.1368683772161603E-13</v>
      </c>
      <c r="O166" s="13">
        <f>N166*VLOOKUP('Données projet'!$B$9,Paramètres!$A$1:$I$89,3,0)*VLOOKUP('Données projet'!$B$9,Paramètres!$A$1:$I$89,5,0)</f>
        <v>-6.3550942286383367E-14</v>
      </c>
      <c r="P166" s="13" t="e">
        <f t="shared" si="286"/>
        <v>#NUM!</v>
      </c>
      <c r="Q166" s="20" t="e">
        <f t="shared" si="327"/>
        <v>#NUM!</v>
      </c>
      <c r="R166" s="59" t="e">
        <f t="shared" si="224"/>
        <v>#NUM!</v>
      </c>
      <c r="S166" s="59">
        <f ca="1">AVERAGE(OFFSET($R$3,0,0,'Données projet'!$E$9+1,1))-AVERAGE(OFFSET($H$3,0,0,'Données projet'!$E$9+1,1))</f>
        <v>274.57619581652199</v>
      </c>
      <c r="T166" s="59">
        <f t="shared" si="287"/>
        <v>366.15117322598775</v>
      </c>
      <c r="U166" s="15">
        <f>IF(ISNA(VLOOKUP(A166,'Données projet'!$A$45:$I$65,3,0)),0,VLOOKUP(A166,'Données projet'!$A$45:$I$65,3,0))</f>
        <v>0</v>
      </c>
      <c r="V166" s="15">
        <f>IF(ISNA(VLOOKUP(A166,'Données projet'!$A$45:$I$65,4,0)),0,VLOOKUP(A166,'Données projet'!$A$45:$I$65,4,0))</f>
        <v>0</v>
      </c>
      <c r="W166" s="16">
        <f>IF(ISNA(VLOOKUP(A166,'Données projet'!$A$45:$I$65,5,0)),0%,VLOOKUP(A166,'Données projet'!$A$45:$I$65,5,0)*VLOOKUP('Données projet'!$B$9,Paramètres!$A$1:$I$89,7,0))</f>
        <v>0</v>
      </c>
      <c r="X166" s="16">
        <f>IF(ISNA(VLOOKUP(A166,'Données projet'!$A$45:$I$65,6,0)),0%,VLOOKUP(A166,'Données projet'!$A$45:$I$65,6,0)*VLOOKUP('Données projet'!$B$9,Paramètres!$A$1:$I$89,7,0))</f>
        <v>0</v>
      </c>
      <c r="Y166" s="16">
        <f>IF(ISNA(VLOOKUP(A166,'Données projet'!$A$45:$I$65,7,0)),0%,VLOOKUP(A166,'Données projet'!$A$45:$I$65,7,0))</f>
        <v>0</v>
      </c>
      <c r="Z166" s="21">
        <f>EXP(-LN(2)/35)*Z165+(1-EXP(-LN(2)/35))/(LN(2)/35)*V166*W166*VLOOKUP('Données projet'!$B$9,Paramètres!$A$1:$I$89,3,0)*0.475*44/12</f>
        <v>26.697877450020911</v>
      </c>
      <c r="AA166" s="21">
        <f>EXP(-LN(2)/25)*AA165+(1-EXP(-LN(2)/25))/(LN(2)/25)*Calculateur!V166*Calculateur!X166*VLOOKUP('Données projet'!$B$9,Paramètres!$A$1:$I$89,3,0)*0.475*44/12</f>
        <v>2.8842360923018422</v>
      </c>
      <c r="AB166" s="21">
        <f>EXP(-LN(2)/2)*AB165+(1-EXP(-LN(2)/2))/(LN(2)/2)*V166*Y166*VLOOKUP('Données projet'!$B$9,Paramètres!$A$1:$I$89,3,0)*0.475*44/12</f>
        <v>1.8963333128292611E-15</v>
      </c>
      <c r="AC166" s="22">
        <f t="shared" si="328"/>
        <v>29.582113542322755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projet'!$A$71:$I$91,2,0)</f>
        <v>#N/A</v>
      </c>
      <c r="AG166" s="12" t="e">
        <f>VLOOKUP(A166,'Données projet'!$A$71:$I$91,9,0)</f>
        <v>#N/A</v>
      </c>
      <c r="AH166" s="12">
        <f t="array" ref="AH166">INDEX(AG:AG,MIN(IF(ISNUMBER(AG166:AG362),ROW(AG166:AG362),"")))</f>
        <v>0</v>
      </c>
      <c r="AI166" s="13">
        <f>IF('Données projet'!$A$72&gt;35,AI165+AH166-AQ165,IF(A166&lt;'Données projet'!$A$72,$AF$205^A166,IF(A166='Données projet'!$A$72,'Données projet'!$B$72,AI165+AH166-AQ165)))</f>
        <v>5.6843418860808015E-13</v>
      </c>
      <c r="AJ166" s="13">
        <f>AI166*VLOOKUP('Données projet'!$B$10,Paramètres!$A$1:$I$89,3,0)*VLOOKUP('Données projet'!$B$10,Paramètres!$A$1:$I$89,5,0)</f>
        <v>5.1431925385259092E-13</v>
      </c>
      <c r="AK166" s="13">
        <f t="shared" si="329"/>
        <v>6.3855359115685756E-12</v>
      </c>
      <c r="AL166" s="20">
        <f t="shared" si="330"/>
        <v>1.2017247746441865E-11</v>
      </c>
      <c r="AM166" s="59">
        <f t="shared" si="228"/>
        <v>293.33333333334531</v>
      </c>
      <c r="AN166" s="59">
        <f ca="1">AVERAGE(OFFSET($AM$3,0,0,'Données projet'!$E$10+1,1))-AVERAGE(OFFSET($H$3,0,0,'Données projet'!$E$10+1,1))</f>
        <v>270.87836509222456</v>
      </c>
      <c r="AO166" s="59">
        <f t="shared" si="289"/>
        <v>205.24998237949734</v>
      </c>
      <c r="AP166" s="15">
        <f>IF(ISNA(VLOOKUP(A166,'Données projet'!$A$71:$I$91,3,0)),0,VLOOKUP(A166,'Données projet'!$A$71:$I$91,3,0))</f>
        <v>0</v>
      </c>
      <c r="AQ166" s="15">
        <f>IF(ISNA(VLOOKUP(A166,'Données projet'!$A$71:$I$91,4,0)),0,VLOOKUP(A166,'Données projet'!$A$71:$I$91,4,0))</f>
        <v>0</v>
      </c>
      <c r="AR166" s="16">
        <f>IF(ISNA(VLOOKUP(A166,'Données projet'!$A$71:$I$91,5,0)),0%,VLOOKUP(A166,'Données projet'!$A$71:$I$91,5,0)*VLOOKUP('Données projet'!$B$10,Paramètres!$A$1:$I$89,7,0))</f>
        <v>0</v>
      </c>
      <c r="AS166" s="16">
        <f>IF(ISNA(VLOOKUP(A166,'Données projet'!$A$71:$I$91,6,0)),0%,VLOOKUP(A166,'Données projet'!$A$71:$I$91,6,0)*VLOOKUP('Données projet'!$B$10,Paramètres!$A$1:$I$89,7,0))</f>
        <v>0</v>
      </c>
      <c r="AT166" s="16">
        <f>IF(ISNA(VLOOKUP(A166,'Données projet'!$A$71:$I$91,7,0)),0%,VLOOKUP(A166,'Données projet'!$A$71:$I$91,7,0))</f>
        <v>0</v>
      </c>
      <c r="AU166" s="21">
        <f>EXP(-LN(2)/35)*AU165+(1-EXP(-LN(2)/35))/(LN(2)/35)*AQ166*AR166*VLOOKUP('Données projet'!$B$10,Paramètres!$A$1:$I$89,3,0)*0.475*44/12</f>
        <v>90.726189583502929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331"/>
        <v>90.726189583502929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projet'!$A$97:$I$117,2,0)</f>
        <v>#N/A</v>
      </c>
      <c r="BB166" s="12" t="e">
        <f>VLOOKUP(A166,'Données projet'!$A$97:$I$117,9,0)</f>
        <v>#N/A</v>
      </c>
      <c r="BC166" s="12">
        <f t="array" ref="BC166">INDEX(BB:BB,MIN(IF(ISNUMBER(BB166:BB362),ROW(BB166:BB362),"")))</f>
        <v>0</v>
      </c>
      <c r="BD166" s="12">
        <f>IF('Données projet'!$A$98&gt;35,BD165+BC166-BL165,IF(A166&lt;'Données projet'!$A$98,$BA$205^A166,IF(A166='Données projet'!$A$98,'Données projet'!$B$98,BD165+BC166-BL165)))</f>
        <v>-1.1368683772161603E-13</v>
      </c>
      <c r="BE166" s="13">
        <f>BD166*VLOOKUP('Données projet'!$B$11,Paramètres!$A$1:$I$89,3,0)*VLOOKUP('Données projet'!$B$11,Paramètres!$A$1:$I$89,5,0)</f>
        <v>-5.0249582272954292E-14</v>
      </c>
      <c r="BF166" s="13" t="e">
        <f t="shared" si="332"/>
        <v>#NUM!</v>
      </c>
      <c r="BG166" s="20" t="e">
        <f t="shared" si="333"/>
        <v>#NUM!</v>
      </c>
      <c r="BH166" s="59" t="e">
        <f t="shared" si="231"/>
        <v>#NUM!</v>
      </c>
      <c r="BI166" s="59">
        <f ca="1">AVERAGE(OFFSET($BH$3,0,0,'Données projet'!$E$11+1,1))-AVERAGE(OFFSET($H$3,0,0,'Données projet'!$E$11+1,1))</f>
        <v>211.31057120485542</v>
      </c>
      <c r="BJ166" s="59">
        <f t="shared" si="291"/>
        <v>283.33292006714777</v>
      </c>
      <c r="BK166" s="15">
        <f>IF(ISNA(VLOOKUP(A166,'Données projet'!$A$97:$I$117,3,0)),0,VLOOKUP(A166,'Données projet'!$A$97:$I$117,3,0))</f>
        <v>0</v>
      </c>
      <c r="BL166" s="15">
        <f>IF(ISNA(VLOOKUP(A166,'Données projet'!$A$97:$I$117,4,0)),0,VLOOKUP(A166,'Données projet'!$A$97:$I$117,4,0))</f>
        <v>0</v>
      </c>
      <c r="BM166" s="16">
        <f>IF(ISNA(VLOOKUP(A166,'Données projet'!$A$97:$I$117,5,0)),0%,VLOOKUP(A166,'Données projet'!$A$97:$I$117,5,0)*VLOOKUP('Données projet'!$B$11,Paramètres!$A$1:$I$89,7,0))</f>
        <v>0</v>
      </c>
      <c r="BN166" s="16">
        <f>IF(ISNA(VLOOKUP(A166,'Données projet'!$A$97:$I$117,6,0)),0%,VLOOKUP(A166,'Données projet'!$A$97:$I$117,6,0)*VLOOKUP('Données projet'!$B$11,Paramètres!$A$1:$I$89,7,0))</f>
        <v>0</v>
      </c>
      <c r="BO166" s="16">
        <f>IF(ISNA(VLOOKUP(A166,'Données projet'!$A$97:$I$117,7,0)),0%,VLOOKUP(A166,'Données projet'!$A$97:$I$117,7,0))</f>
        <v>0</v>
      </c>
      <c r="BP166" s="21">
        <f>EXP(-LN(2)/35)*BP165+(1-EXP(-LN(2)/35))/(LN(2)/35)*BL166*BM166*VLOOKUP('Données projet'!$B$11,Paramètres!$A$1:$I$89,3,0)*0.475*44/12</f>
        <v>21.109949611644453</v>
      </c>
      <c r="BQ166" s="21">
        <f>EXP(-LN(2)/25)*BQ165+(1-EXP(-LN(2)/25))/(LN(2)/25)*Calculateur!BL166*Calculateur!BN166*VLOOKUP('Données projet'!$B$11,Paramètres!$A$1:$I$89,3,0)*0.475*44/12</f>
        <v>2.2805587706572692</v>
      </c>
      <c r="BR166" s="21">
        <f>EXP(-LN(2)/2)*BR165+(1-EXP(-LN(2)/2))/(LN(2)/2)*BL166*BO166*VLOOKUP('Données projet'!$B$11,Paramètres!$A$1:$I$89,3,0)*0.475*44/12</f>
        <v>1.4994263403766247E-15</v>
      </c>
      <c r="BS166" s="22">
        <f t="shared" si="334"/>
        <v>23.390508382301721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projet'!$A$123:$I$143,2,0)</f>
        <v>#N/A</v>
      </c>
      <c r="BW166" s="12" t="e">
        <f>VLOOKUP(A166,'Données projet'!$A$123:$I$143,9,0)</f>
        <v>#N/A</v>
      </c>
      <c r="BX166" s="12">
        <f t="array" ref="BX166">INDEX(BW:BW,MIN(IF(ISNUMBER(BW166:BW362),ROW(BW166:BW362),"")))</f>
        <v>0</v>
      </c>
      <c r="BY166" s="12">
        <f>IF('Données projet'!$A$124&gt;35,BY165+BX166-CG165,IF(A166&lt;'Données projet'!$A$124,$BV$205^A166,IF(A166='Données projet'!$A$124,'Données projet'!$B$124,BY165+BX166-CG165)))</f>
        <v>0</v>
      </c>
      <c r="BZ166" s="13">
        <f>BY166*VLOOKUP('Données projet'!$B$12,Paramètres!$A$1:$I$89,3,0)*VLOOKUP('Données projet'!$B$12,Paramètres!$A$1:$I$89,5,0)</f>
        <v>0</v>
      </c>
      <c r="CA166" s="13" t="e">
        <f t="shared" si="335"/>
        <v>#NUM!</v>
      </c>
      <c r="CB166" s="20" t="e">
        <f t="shared" si="336"/>
        <v>#NUM!</v>
      </c>
      <c r="CC166" s="59" t="e">
        <f t="shared" si="234"/>
        <v>#NUM!</v>
      </c>
      <c r="CD166" s="59">
        <f ca="1">AVERAGE(OFFSET($CC$3,0,0,'Données projet'!$E$12+1,1))-AVERAGE(OFFSET($H$3,0,0,'Données projet'!$E$12+1,1))</f>
        <v>322.93502595881938</v>
      </c>
      <c r="CE166" s="59">
        <f t="shared" si="293"/>
        <v>302.67072119588164</v>
      </c>
      <c r="CF166" s="15">
        <f>IF(ISNA(VLOOKUP(A166,'Données projet'!$A$123:$I$143,3,0)),0,VLOOKUP(A166,'Données projet'!$A$123:$I$143,3,0))</f>
        <v>0</v>
      </c>
      <c r="CG166" s="15">
        <f>IF(ISNA(VLOOKUP(A166,'Données projet'!$A$123:$I$143,4,0)),0,VLOOKUP(A166,'Données projet'!$A$123:$I$143,4,0))</f>
        <v>0</v>
      </c>
      <c r="CH166" s="16">
        <f>IF(ISNA(VLOOKUP(A166,'Données projet'!$A$123:$I$143,5,0)),0%,VLOOKUP(A166,'Données projet'!$A$123:$I$143,5,0)*VLOOKUP('Données projet'!$B$12,Paramètres!$A$1:$I$89,7,0))</f>
        <v>0</v>
      </c>
      <c r="CI166" s="16">
        <f>IF(ISNA(VLOOKUP(A166,'Données projet'!$A$123:$I$143,6,0)),0%,VLOOKUP(A166,'Données projet'!$A$123:$I$143,6,0)*VLOOKUP('Données projet'!$B$12,Paramètres!$A$1:$I$89,7,0))</f>
        <v>0</v>
      </c>
      <c r="CJ166" s="16">
        <f>IF(ISNA(VLOOKUP(A166,'Données projet'!$A$123:$I$143,7,0)),0%,VLOOKUP(A166,'Données projet'!$A$123:$I$143,7,0))</f>
        <v>0</v>
      </c>
      <c r="CK166" s="21">
        <f>EXP(-LN(2)/35)*CK165+(1-EXP(-LN(2)/35))/(LN(2)/35)*CG166*CH166*VLOOKUP('Données projet'!$B$12,Paramètres!$A$1:$I$89,3,0)*0.475*44/12</f>
        <v>33.633250617392449</v>
      </c>
      <c r="CL166" s="21">
        <f>EXP(-LN(2)/25)*CL165+(1-EXP(-LN(2)/25))/(LN(2)/25)*Calculateur!CG166*Calculateur!CI166*VLOOKUP('Données projet'!$B$12,Paramètres!$A$1:$I$89,3,0)*0.475*44/12</f>
        <v>7.2991678930303694</v>
      </c>
      <c r="CM166" s="21">
        <f>EXP(-LN(2)/2)*CM165+(1-EXP(-LN(2)/2))/(LN(2)/2)*CG166*CJ166*VLOOKUP('Données projet'!$B$12,Paramètres!$A$1:$I$89,3,0)*0.475*44/12</f>
        <v>0</v>
      </c>
      <c r="CN166" s="22">
        <f t="shared" si="337"/>
        <v>40.932418510422821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projet'!$A$149:$I$169,2,0)</f>
        <v>#N/A</v>
      </c>
      <c r="CR166" s="12" t="e">
        <f>VLOOKUP(A166,'Données projet'!$A$149:$I$169,9,0)</f>
        <v>#N/A</v>
      </c>
      <c r="CS166" s="12">
        <f t="array" ref="CS166">INDEX(CR:CR,MIN(IF(ISNUMBER(CR166:CR362),ROW(CR166:CR362),"")))</f>
        <v>0</v>
      </c>
      <c r="CT166" s="12">
        <f>IF('Données projet'!$A$150&gt;35,CT165+CS166-DB165,IF(A166&lt;'Données projet'!$A$150,$CQ$205^A166,IF(A166='Données projet'!$A$150,'Données projet'!$B$150,CT165+CS166-DB165)))</f>
        <v>-4.5474735088646412E-13</v>
      </c>
      <c r="CU166" s="17">
        <f>CT166*VLOOKUP('Données projet'!$B$13,Paramètres!$A$1:$I$89,3,0)*VLOOKUP('Données projet'!$B$13,Paramètres!$A$1:$I$89,5,0)</f>
        <v>-4.6111381379887462E-13</v>
      </c>
      <c r="CV166" s="13" t="e">
        <f t="shared" si="338"/>
        <v>#NUM!</v>
      </c>
      <c r="CW166" s="20" t="e">
        <f t="shared" si="339"/>
        <v>#NUM!</v>
      </c>
      <c r="CX166" s="59" t="e">
        <f t="shared" si="237"/>
        <v>#NUM!</v>
      </c>
      <c r="CY166" s="59">
        <f ca="1">AVERAGE(OFFSET($CX$3,0,0,'Données projet'!$E$13+1,1))-AVERAGE(OFFSET($H$3,0,0,'Données projet'!$E$13+1,1))</f>
        <v>250.31277422753283</v>
      </c>
      <c r="CZ166" s="59">
        <f t="shared" si="295"/>
        <v>159.20429420478047</v>
      </c>
      <c r="DA166" s="15">
        <f>IF(ISNA(VLOOKUP(A166,'Données projet'!$A$149:$I$169,3,0)),0,VLOOKUP(A166,'Données projet'!$A$149:$I$169,3,0))</f>
        <v>0</v>
      </c>
      <c r="DB166" s="15">
        <f>IF(ISNA(VLOOKUP(A166,'Données projet'!$A$149:$I$169,4,0)),0,VLOOKUP(A166,'Données projet'!$A$149:$I$169,4,0))</f>
        <v>0</v>
      </c>
      <c r="DC166" s="16">
        <f>IF(ISNA(VLOOKUP(A166,'Données projet'!$A$149:$I$169,5,0)),0%,VLOOKUP(A166,'Données projet'!$A$149:$I$169,5,0)*VLOOKUP('Données projet'!$B$13,Paramètres!$A$1:$I$89,7,0))</f>
        <v>0</v>
      </c>
      <c r="DD166" s="16">
        <f>IF(ISNA(VLOOKUP(A166,'Données projet'!$A$149:$I$169,6,0)),0%,VLOOKUP(A166,'Données projet'!$A$149:$I$169,6,0)*VLOOKUP('Données projet'!$B$13,Paramètres!$A$1:$I$89,7,0))</f>
        <v>0</v>
      </c>
      <c r="DE166" s="16">
        <f>IF(ISNA(VLOOKUP(A166,'Données projet'!$A$149:$I$169,7,0)),0%,VLOOKUP(A166,'Données projet'!$A$149:$I$169,7,0))</f>
        <v>0</v>
      </c>
      <c r="DF166" s="21">
        <f>EXP(-LN(2)/35)*DF165+(1-EXP(-LN(2)/35))/(LN(2)/35)*DB166*DC166*VLOOKUP('Données projet'!$B$13,Paramètres!$A$1:$I$89,3,0)*0.475*44/12</f>
        <v>153.10857746396997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340"/>
        <v>153.10857746396997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projet'!$A$175:$I$195,2,0)</f>
        <v>#N/A</v>
      </c>
      <c r="DM166" s="12" t="e">
        <f>VLOOKUP(A166,'Données projet'!$A$175:$I$195,9,0)</f>
        <v>#N/A</v>
      </c>
      <c r="DN166" s="12">
        <f t="array" ref="DN166">INDEX(DM:DM,MIN(IF(ISNUMBER(DM166:DM362),ROW(DM166:DM362),"")))</f>
        <v>0</v>
      </c>
      <c r="DO166" s="12">
        <f>IF('Données projet'!$A$176&gt;35,DO165+DN166-DW165,IF(A166&lt;'Données projet'!$A$176,$DL$205^A166,IF(A166='Données projet'!$A$176,'Données projet'!$B$176,DO165+DN166-DW165)))</f>
        <v>-2.8421709430404007E-13</v>
      </c>
      <c r="DP166" s="17">
        <f>DO166*VLOOKUP('Données projet'!$B$14,Paramètres!$A$1:$I$89,3,0)*VLOOKUP('Données projet'!$B$14,Paramètres!$A$1:$I$89,5,0)</f>
        <v>-2.0838797354372215E-13</v>
      </c>
      <c r="DQ166" s="13" t="e">
        <f t="shared" si="341"/>
        <v>#NUM!</v>
      </c>
      <c r="DR166" s="20" t="e">
        <f t="shared" si="342"/>
        <v>#NUM!</v>
      </c>
      <c r="DS166" s="59" t="e">
        <f t="shared" si="240"/>
        <v>#NUM!</v>
      </c>
      <c r="DT166" s="59">
        <f ca="1">AVERAGE(OFFSET($DS$3,0,0,'Données projet'!$E$14+1,1))-AVERAGE(OFFSET($H$3,0,0,'Données projet'!$E$14+1,1))</f>
        <v>296.91321813251051</v>
      </c>
      <c r="DU166" s="59">
        <f t="shared" si="297"/>
        <v>291.0718079639509</v>
      </c>
      <c r="DV166" s="15">
        <f>IF(ISNA(VLOOKUP(A166,'Données projet'!$A$175:$I$195,3,0)),0,VLOOKUP(A166,'Données projet'!$A$175:$I$195,3,0))</f>
        <v>0</v>
      </c>
      <c r="DW166" s="15">
        <f>IF(ISNA(VLOOKUP(A166,'Données projet'!$A$175:$I$195,4,0)),0,VLOOKUP(A166,'Données projet'!$A$175:$I$195,4,0))</f>
        <v>0</v>
      </c>
      <c r="DX166" s="16">
        <f>IF(ISNA(VLOOKUP(A166,'Données projet'!$A$175:$I$195,5,0)),0%,VLOOKUP(A166,'Données projet'!$A$175:$I$195,5,0)*VLOOKUP('Données projet'!$B$14,Paramètres!$A$1:$I$89,7,0))</f>
        <v>0</v>
      </c>
      <c r="DY166" s="16">
        <f>IF(ISNA(VLOOKUP(A166,'Données projet'!$A$175:$I$195,6,0)),0%,VLOOKUP(A166,'Données projet'!$A$175:$I$195,6,0)*VLOOKUP('Données projet'!$B$14,Paramètres!$A$1:$I$89,7,0))</f>
        <v>0</v>
      </c>
      <c r="DZ166" s="16">
        <f>IF(ISNA(VLOOKUP(A166,'Données projet'!$A$175:$I$195,7,0)),0%,VLOOKUP(A166,'Données projet'!$A$175:$I$195,7,0))</f>
        <v>0</v>
      </c>
      <c r="EA166" s="21">
        <f>EXP(-LN(2)/35)*EA165+(1-EXP(-LN(2)/35))/(LN(2)/35)*DW166*DX166*VLOOKUP('Données projet'!$B$14,Paramètres!$A$1:$I$89,3,0)*0.475*44/12</f>
        <v>33.521553147656839</v>
      </c>
      <c r="EB166" s="21">
        <f>EXP(-LN(2)/25)*EB165+(1-EXP(-LN(2)/25))/(LN(2)/25)*Calculateur!DW166*Calculateur!DY166*VLOOKUP('Données projet'!$B$14,Paramètres!$A$1:$I$89,3,0)*0.475*44/12</f>
        <v>0.53620349337019924</v>
      </c>
      <c r="EC166" s="21">
        <f>EXP(-LN(2)/2)*EC165+(1-EXP(-LN(2)/2))/(LN(2)/2)*DW166*DZ166*VLOOKUP('Données projet'!$B$14,Paramètres!$A$1:$I$89,3,0)*0.475*44/12</f>
        <v>0</v>
      </c>
      <c r="ED166" s="22">
        <f t="shared" si="343"/>
        <v>34.057756641027041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projet'!$A$201:$I$221,2,0)</f>
        <v>#N/A</v>
      </c>
      <c r="EH166" s="12" t="e">
        <f>VLOOKUP(A166,'Données projet'!$A$201:$I$221,9,0)</f>
        <v>#N/A</v>
      </c>
      <c r="EI166" s="12">
        <f t="array" ref="EI166">INDEX(EH:EH,MIN(IF(ISNUMBER(EH166:EH362),ROW(EH166:EH362),"")))</f>
        <v>0</v>
      </c>
      <c r="EJ166" s="12">
        <f>IF('Données projet'!$A$202&gt;35,EJ165+EI166-ER165,IF(A166&lt;'Données projet'!$A$202,$EG$205^A166,IF(A166='Données projet'!$A$202,'Données projet'!$B$202,EJ165+EI166-ER165)))</f>
        <v>5.1159076974727213E-13</v>
      </c>
      <c r="EK166" s="17">
        <f>EJ166*VLOOKUP('Données projet'!$B$15,Paramètres!$A$1:$I$89,3,0)*VLOOKUP('Données projet'!$B$15,Paramètres!$A$1:$I$89,5,0)</f>
        <v>2.3942448024172334E-13</v>
      </c>
      <c r="EL166" s="13">
        <f t="shared" si="344"/>
        <v>3.2492669905861755E-12</v>
      </c>
      <c r="EM166" s="20">
        <f t="shared" si="345"/>
        <v>6.0761376450252565E-12</v>
      </c>
      <c r="EN166" s="59">
        <f t="shared" si="243"/>
        <v>293.3333333333394</v>
      </c>
      <c r="EO166" s="59">
        <f ca="1">AVERAGE(OFFSET($EN$3,0,0,'Données projet'!$E$15+1,1))-AVERAGE(OFFSET($H$3,0,0,'Données projet'!$E$15+1,1))</f>
        <v>147.64256291235483</v>
      </c>
      <c r="EP166" s="59">
        <f t="shared" si="299"/>
        <v>70.859031694091868</v>
      </c>
      <c r="EQ166" s="15">
        <f>IF(ISNA(VLOOKUP(A166,'Données projet'!$A$201:$I$221,3,0)),0,VLOOKUP(A166,'Données projet'!$A$201:$I$221,3,0))</f>
        <v>0</v>
      </c>
      <c r="ER166" s="15">
        <f>IF(ISNA(VLOOKUP(A166,'Données projet'!$A$201:$I$221,4,0)),0,VLOOKUP(A166,'Données projet'!$A$201:$I$221,4,0))</f>
        <v>0</v>
      </c>
      <c r="ES166" s="16">
        <f>IF(ISNA(VLOOKUP(A166,'Données projet'!$A$201:$I$221,5,0)),0%,VLOOKUP(A166,'Données projet'!$A$201:$I$221,5,0)*VLOOKUP('Données projet'!$B$15,Paramètres!$A$1:$I$89,7,0))</f>
        <v>0</v>
      </c>
      <c r="ET166" s="16">
        <f>IF(ISNA(VLOOKUP(A166,'Données projet'!$A$201:$I$221,6,0)),0%,VLOOKUP(A166,'Données projet'!$A$201:$I$221,6,0)*VLOOKUP('Données projet'!$B$15,Paramètres!$A$1:$I$89,7,0))</f>
        <v>0</v>
      </c>
      <c r="EU166" s="16">
        <f>IF(ISNA(VLOOKUP(A166,'Données projet'!$A$201:$I$221,7,0)),0%,VLOOKUP(A166,'Données projet'!$A$201:$I$221,7,0))</f>
        <v>0</v>
      </c>
      <c r="EV166" s="21">
        <f>EXP(-LN(2)/35)*EV165+(1-EXP(-LN(2)/35))/(LN(2)/35)*ER166*ES166*VLOOKUP('Données projet'!$B$15,Paramètres!$A$1:$I$89,3,0)*0.475*44/12</f>
        <v>45.891534654002093</v>
      </c>
      <c r="EW166" s="21">
        <f>EXP(-LN(2)/25)*EW165+(1-EXP(-LN(2)/25))/(LN(2)/25)*Calculateur!ER166*Calculateur!ET166*VLOOKUP('Données projet'!$B$15,Paramètres!$A$1:$I$89,3,0)*0.475*44/12</f>
        <v>7.4392832546223593</v>
      </c>
      <c r="EX166" s="21">
        <f>EXP(-LN(2)/2)*EX165+(1-EXP(-LN(2)/2))/(LN(2)/2)*ER166*EU166*VLOOKUP('Données projet'!$B$15,Paramètres!$A$1:$I$89,3,0)*0.475*44/12</f>
        <v>1.3670838866169273E-7</v>
      </c>
      <c r="EY166" s="22">
        <f t="shared" si="346"/>
        <v>53.33081804533284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projet'!$A$227:$I$247,2,0)</f>
        <v>#N/A</v>
      </c>
      <c r="FC166" s="12" t="e">
        <f>VLOOKUP(A166,'Données projet'!$A$227:$I$247,9,0)</f>
        <v>#N/A</v>
      </c>
      <c r="FD166" s="12">
        <f t="array" ref="FD166">INDEX(FC:FC,MIN(IF(ISNUMBER(FC166:FC362),ROW(FC166:FC362),"")))</f>
        <v>0</v>
      </c>
      <c r="FE166" s="12">
        <f>IF('Données projet'!$A$228&gt;35,FE165+FD166-FM165,IF(A166&lt;'Données projet'!$A$228,$FB$205^A166,IF(A166='Données projet'!$A$228,'Données projet'!$B$228,FE165+FD166-FM165)))</f>
        <v>8.5265128291212022E-14</v>
      </c>
      <c r="FF166" s="17">
        <f>FE166*VLOOKUP('Données projet'!$B$16,Paramètres!$A$1:$I$89,3,0)*VLOOKUP('Données projet'!$B$16,Paramètres!$A$1:$I$89,5,0)</f>
        <v>8.9119112089974823E-14</v>
      </c>
      <c r="FG166" s="13">
        <f t="shared" si="347"/>
        <v>1.3568952080113142E-12</v>
      </c>
      <c r="FH166" s="20">
        <f t="shared" si="348"/>
        <v>2.5184749408430782E-12</v>
      </c>
      <c r="FI166" s="59">
        <f t="shared" si="246"/>
        <v>293.33333333333582</v>
      </c>
      <c r="FJ166" s="59">
        <f ca="1">AVERAGE(OFFSET($FI$3,0,0,'Données projet'!$E$16+1,1))-AVERAGE(OFFSET($H$3,0,0,'Données projet'!$E$16+1,1))</f>
        <v>259.03906550253788</v>
      </c>
      <c r="FK166" s="59">
        <f t="shared" si="301"/>
        <v>235.54542903570831</v>
      </c>
      <c r="FL166" s="15">
        <f>IF(ISNA(VLOOKUP(A166,'Données projet'!$A$227:$I$247,3,0)),0,VLOOKUP(A166,'Données projet'!$A$227:$I$247,3,0))</f>
        <v>0</v>
      </c>
      <c r="FM166" s="15">
        <f>IF(ISNA(VLOOKUP(A166,'Données projet'!$A$227:$I$247,4,0)),0,VLOOKUP(A166,'Données projet'!$A$227:$I$247,4,0))</f>
        <v>0</v>
      </c>
      <c r="FN166" s="16">
        <f>IF(ISNA(VLOOKUP(A166,'Données projet'!$A$227:$I$247,5,0)),0%,VLOOKUP(A166,'Données projet'!$A$227:$I$247,5,0)*VLOOKUP('Données projet'!$B$16,Paramètres!$A$1:$I$89,7,0))</f>
        <v>0</v>
      </c>
      <c r="FO166" s="16">
        <f>IF(ISNA(VLOOKUP(A166,'Données projet'!$A$227:$I$247,6,0)),0%,VLOOKUP(A166,'Données projet'!$A$227:$I$247,6,0)*VLOOKUP('Données projet'!$B$16,Paramètres!$A$1:$I$89,7,0))</f>
        <v>0</v>
      </c>
      <c r="FP166" s="16">
        <f>IF(ISNA(VLOOKUP(A166,'Données projet'!$A$227:$I$247,7,0)),0%,VLOOKUP(A166,'Données projet'!$A$227:$I$247,7,0))</f>
        <v>0</v>
      </c>
      <c r="FQ166" s="21">
        <f>EXP(-LN(2)/35)*FQ165+(1-EXP(-LN(2)/35))/(LN(2)/35)*FM166*FN166*VLOOKUP('Données projet'!$B$16,Paramètres!$A$1:$I$89,3,0)*0.475*44/12</f>
        <v>20.255276206560101</v>
      </c>
      <c r="FR166" s="21">
        <f>EXP(-LN(2)/25)*FR165+(1-EXP(-LN(2)/25))/(LN(2)/25)*Calculateur!FM166*Calculateur!FO166*VLOOKUP('Données projet'!$B$16,Paramètres!$A$1:$I$89,3,0)*0.475*44/12</f>
        <v>10.234033440302797</v>
      </c>
      <c r="FS166" s="21">
        <f>EXP(-LN(2)/2)*FS165+(1-EXP(-LN(2)/2))/(LN(2)/2)*FM166*FP166*VLOOKUP('Données projet'!$B$16,Paramètres!$A$1:$I$89,3,0)*0.475*44/12</f>
        <v>0</v>
      </c>
      <c r="FT166" s="22">
        <f t="shared" si="349"/>
        <v>30.4893096468629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projet'!$A$253:$I$273,2,0)</f>
        <v>#N/A</v>
      </c>
      <c r="FX166" s="12" t="e">
        <f>VLOOKUP(A166,'Données projet'!$A$253:$I$273,9,0)</f>
        <v>#N/A</v>
      </c>
      <c r="FY166" s="12">
        <f t="array" ref="FY166">INDEX(FX:FX,MIN(IF(ISNUMBER(FX166:FX362),ROW(FX166:FX362),"")))</f>
        <v>0</v>
      </c>
      <c r="FZ166" s="12">
        <f>IF('Données projet'!$A$254&gt;35,FZ165+FY166-GH165,IF(A166&lt;'Données projet'!$A$254,$FW$205^A166,IF(A166='Données projet'!$A$254,'Données projet'!$B$254,FZ165+FY166-GH165)))</f>
        <v>-1.7053025658242404E-13</v>
      </c>
      <c r="GA166" s="17">
        <f>FZ166*VLOOKUP('Données projet'!$B$17,Paramètres!$A$1:$I$89,3,0)*VLOOKUP('Données projet'!$B$17,Paramètres!$A$1:$I$89,5,0)</f>
        <v>-1.4897523215040567E-13</v>
      </c>
      <c r="GB166" s="13" t="e">
        <f t="shared" si="350"/>
        <v>#NUM!</v>
      </c>
      <c r="GC166" s="20" t="e">
        <f t="shared" si="351"/>
        <v>#NUM!</v>
      </c>
      <c r="GD166" s="59" t="e">
        <f t="shared" si="249"/>
        <v>#NUM!</v>
      </c>
      <c r="GE166" s="59">
        <f ca="1">AVERAGE(OFFSET($GD$3,0,0,'Données projet'!$E$17+1,1))-AVERAGE(OFFSET($H$3,0,0,'Données projet'!$E$17+1,1))</f>
        <v>245.1983232777614</v>
      </c>
      <c r="GF166" s="59">
        <f t="shared" si="303"/>
        <v>242.34010522344573</v>
      </c>
      <c r="GG166" s="15">
        <f>IF(ISNA(VLOOKUP(A166,'Données projet'!$A$253:$I$273,3,0)),0,VLOOKUP(A166,'Données projet'!$A$253:$I$273,3,0))</f>
        <v>0</v>
      </c>
      <c r="GH166" s="15">
        <f>IF(ISNA(VLOOKUP(A166,'Données projet'!$A$253:$I$273,4,0)),0,VLOOKUP(A166,'Données projet'!$A$253:$I$273,4,0))</f>
        <v>0</v>
      </c>
      <c r="GI166" s="16">
        <f>IF(ISNA(VLOOKUP(A166,'Données projet'!$A$253:$I$273,5,0)),0%,VLOOKUP(A166,'Données projet'!$A$253:$I$273,5,0)*VLOOKUP('Données projet'!$B$17,Paramètres!$A$1:$I$89,7,0))</f>
        <v>0</v>
      </c>
      <c r="GJ166" s="16">
        <f>IF(ISNA(VLOOKUP(A166,'Données projet'!$A$253:$I$273,6,0)),0%,VLOOKUP(A166,'Données projet'!$A$253:$I$273,6,0)*VLOOKUP('Données projet'!$B$17,Paramètres!$A$1:$I$89,7,0))</f>
        <v>0</v>
      </c>
      <c r="GK166" s="16">
        <f>IF(ISNA(VLOOKUP(A166,'Données projet'!$A$253:$I$273,7,0)),0%,VLOOKUP(A166,'Données projet'!$A$253:$I$273,7,0))</f>
        <v>0</v>
      </c>
      <c r="GL166" s="21">
        <f>EXP(-LN(2)/35)*GL165+(1-EXP(-LN(2)/35))/(LN(2)/35)*GH166*GI166*VLOOKUP('Données projet'!$B$17,Paramètres!$A$1:$I$89,3,0)*0.475*44/12</f>
        <v>23.81285625122981</v>
      </c>
      <c r="GM166" s="21">
        <f>EXP(-LN(2)/25)*GM165+(1-EXP(-LN(2)/25))/(LN(2)/25)*Calculateur!GH166*Calculateur!GJ166*VLOOKUP('Données projet'!$B$17,Paramètres!$A$1:$I$89,3,0)*0.475*44/12</f>
        <v>2.1806232083529049</v>
      </c>
      <c r="GN166" s="21">
        <f>EXP(-LN(2)/2)*GN165+(1-EXP(-LN(2)/2))/(LN(2)/2)*GH166*GK166*VLOOKUP('Données projet'!$B$17,Paramètres!$A$1:$I$89,3,0)*0.475*44/12</f>
        <v>0</v>
      </c>
      <c r="GO166" s="21">
        <f t="shared" si="352"/>
        <v>25.993479459582716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projet'!$A$279:$I$299,2,0)</f>
        <v>#N/A</v>
      </c>
      <c r="GS166" s="12" t="e">
        <f>VLOOKUP(A166,'Données projet'!$A$279:$I$299,9,0)</f>
        <v>#N/A</v>
      </c>
      <c r="GT166" s="12">
        <f t="array" ref="GT166">INDEX(GS:GS,MIN(IF(ISNUMBER(GS166:GS362),ROW(GS166:GS362),"")))</f>
        <v>0</v>
      </c>
      <c r="GU166" s="12">
        <f>IF('Données projet'!$A$280&gt;35,GU165+GT166-HC165,IF(A166&lt;'Données projet'!$A$280,$GR$205^A166,IF(A166='Données projet'!$A$280,'Données projet'!$B$280,GU165+GT166-HC165)))</f>
        <v>-1.1368683772161603E-13</v>
      </c>
      <c r="GV166" s="17">
        <f>GU166*VLOOKUP('Données projet'!$B$18,Paramètres!$A$1:$I$89,3,0)*VLOOKUP('Données projet'!$B$18,Paramètres!$A$1:$I$89,5,0)</f>
        <v>-4.5815795601811263E-14</v>
      </c>
      <c r="GW166" s="13" t="e">
        <f t="shared" si="353"/>
        <v>#NUM!</v>
      </c>
      <c r="GX166" s="20" t="e">
        <f t="shared" si="354"/>
        <v>#NUM!</v>
      </c>
      <c r="GY166" s="59" t="e">
        <f t="shared" si="252"/>
        <v>#NUM!</v>
      </c>
      <c r="GZ166" s="59">
        <f ca="1">AVERAGE(OFFSET($GY$3,0,0,'Données projet'!$E$18+1,1))-AVERAGE(OFFSET($H$3,0,0,'Données projet'!$E$18+1,1))</f>
        <v>324.36162935850876</v>
      </c>
      <c r="HA166" s="59">
        <f t="shared" si="305"/>
        <v>265.23571072429735</v>
      </c>
      <c r="HB166" s="15">
        <f>IF(ISNA(VLOOKUP(A166,'Données projet'!$A$279:$I$299,3,0)),0,VLOOKUP(A166,'Données projet'!$A$279:$I$299,3,0))</f>
        <v>0</v>
      </c>
      <c r="HC166" s="15">
        <f>IF(ISNA(VLOOKUP(A166,'Données projet'!$A$279:$I$299,4,0)),0,VLOOKUP(A166,'Données projet'!$A$279:$I$299,4,0))</f>
        <v>0</v>
      </c>
      <c r="HD166" s="16">
        <f>IF(ISNA(VLOOKUP(A166,'Données projet'!$A$279:$I$299,5,0)),0%,VLOOKUP(A166,'Données projet'!$A$279:$I$299,5,0)*VLOOKUP('Données projet'!$B$18,Paramètres!$A$1:$I$89,7,0))</f>
        <v>0</v>
      </c>
      <c r="HE166" s="16">
        <f>IF(ISNA(VLOOKUP(A166,'Données projet'!$A$279:$I$299,6,0)),0%,VLOOKUP(A166,'Données projet'!$A$279:$I$299,6,0)*VLOOKUP('Données projet'!$B$18,Paramètres!$A$1:$I$89,7,0))</f>
        <v>0</v>
      </c>
      <c r="HF166" s="16">
        <f>IF(ISNA(VLOOKUP($A166,'Données projet'!$A$279:$I$299,7,0)),0%,VLOOKUP($A166,'Données projet'!$A$279:$I$299,7,0))</f>
        <v>0</v>
      </c>
      <c r="HG166" s="21">
        <f>EXP(-LN(2)/35)*HG165+(1-EXP(-LN(2)/35))/(LN(2)/35)*HC166*HD166*VLOOKUP('Données projet'!$B$18,Paramètres!$A$1:$I$89,3,0)*0.475*44/12</f>
        <v>45.631657705904004</v>
      </c>
      <c r="HH166" s="21">
        <f>EXP(-LN(2)/25)*HH165+(1-EXP(-LN(2)/25))/(LN(2)/25)*Calculateur!HC166*Calculateur!HE166*VLOOKUP('Données projet'!$B$18,Paramètres!$A$1:$I$89,3,0)*0.475*44/12</f>
        <v>2.4252430471581867</v>
      </c>
      <c r="HI166" s="21">
        <f>EXP(-LN(2)/2)*HI165+(1-EXP(-LN(2)/2))/(LN(2)/2)*HC166*HF166*VLOOKUP('Données projet'!$B$18,Paramètres!$A$1:$I$89,3,0)*0.475*44/12</f>
        <v>2.7483974671331667E-12</v>
      </c>
      <c r="HJ166" s="22">
        <f t="shared" si="355"/>
        <v>48.056900753064944</v>
      </c>
      <c r="HK166" s="74">
        <f>('Scénario référence'!$F$8+'Scénario référence'!$F$9+'Scénario référence'!$B$17+'Scénario référence'!$B$9+'Scénario référence'!$B$10)*70+IF((45+25*(1-EXP(-0.0175*$A166)))&lt;70,'Scénario référence'!$B$16*(45+25*(1-EXP(-0.0175*$A166))),70*'Scénario référence'!$B$16)+IF((32+38*(1-EXP(-0.0175*$A166)))&lt;70,'Scénario référence'!$B$18*(32+38*(1-EXP(-0.0175*$A166))),70*'Scénario référence'!$B$18)</f>
        <v>70</v>
      </c>
      <c r="HL166" s="12">
        <f>IF($A166&gt;30,10,('Scénario référence'!$B$16+'Scénario référence'!$B$17+'Scénario référence'!$B$18+'Scénario référence'!$B$9+'Scénario référence'!$B$10)*$A166*10/30+('Scénario référence'!$F$8+'Scénario référence'!$F$9)*10)</f>
        <v>10</v>
      </c>
      <c r="HM166" s="12" t="e">
        <f>VLOOKUP($A166,'Données projet'!$A$304:$I$324,2,0)</f>
        <v>#N/A</v>
      </c>
      <c r="HN166" s="12" t="e">
        <f>VLOOKUP($A166,'Données projet'!$A$304:$I$324,9,0)</f>
        <v>#N/A</v>
      </c>
      <c r="HO166" s="12">
        <f t="array" ref="HO166">INDEX(HN:HN,MIN(IF(ISNUMBER(HN166:HN362),ROW(HN166:HN362),"")))</f>
        <v>0</v>
      </c>
      <c r="HP166" s="12">
        <f>IF('Données projet'!$A$304&gt;35,HP165+HO166-HX165,IF($A166&lt;'Données projet'!$A$304,$CQ$205^$A166,IF($A166='Données projet'!$A$304,'Données projet'!$B$304,HP165+HO166-HX165)))</f>
        <v>0</v>
      </c>
      <c r="HQ166" s="17">
        <f>HP166*VLOOKUP('Données projet'!$B$19,Paramètres!$A$1:$I$89,3,0)*VLOOKUP('Données projet'!$B$19,Paramètres!$A$1:$I$89,5,0)</f>
        <v>0</v>
      </c>
      <c r="HR166" s="13" t="e">
        <f t="shared" si="306"/>
        <v>#NUM!</v>
      </c>
      <c r="HS166" s="14" t="e">
        <f t="shared" si="254"/>
        <v>#NUM!</v>
      </c>
      <c r="HT166" s="59" t="e">
        <f t="shared" si="255"/>
        <v>#NUM!</v>
      </c>
      <c r="HU166" s="59">
        <f ca="1">AVERAGE(OFFSET(HT$3,0,0,'Données projet'!$E$19+1,1))-AVERAGE(OFFSET($H$3,0,0,'Données projet'!$E$19+1,1))</f>
        <v>91.60721429656013</v>
      </c>
      <c r="HV166" s="59">
        <f t="shared" si="307"/>
        <v>258.94957804210856</v>
      </c>
      <c r="HW166" s="15">
        <f>IF(ISNA(VLOOKUP($A166,'Données projet'!$A$304:$I$324,3,0)),0,VLOOKUP($A166,'Données projet'!$A$304:$I$324,3,0))</f>
        <v>0</v>
      </c>
      <c r="HX166" s="15">
        <f>IF(ISNA(VLOOKUP($A166,'Données projet'!$A$304:$I$324,4,0)),0,VLOOKUP($A166,'Données projet'!$A$304:$I$324,4,0))</f>
        <v>0</v>
      </c>
      <c r="HY166" s="16">
        <f>IF(ISNA(VLOOKUP($A166,'Données projet'!$A$304:$I$324,5,0)),0%,VLOOKUP($A166,'Données projet'!$A$304:$I$324,5,0)*VLOOKUP('Données projet'!$B$19,Paramètres!$A$1:$I$89,7,0))</f>
        <v>0</v>
      </c>
      <c r="HZ166" s="16">
        <f>IF(ISNA(VLOOKUP($A166,'Données projet'!$A$304:$I$324,6,0)),0%,VLOOKUP($A166,'Données projet'!$A$304:$I$324,6,0)*VLOOKUP('Données projet'!$B$19,Paramètres!$A$1:$I$89,7,0))</f>
        <v>0</v>
      </c>
      <c r="IA166" s="16">
        <f>IF(ISNA(VLOOKUP($A166,'Données projet'!$A$304:$I$324,7,0)),0%,VLOOKUP($A166,'Données projet'!$A$304:$I$324,7,0))</f>
        <v>0</v>
      </c>
      <c r="IB166" s="21">
        <f>EXP(-LN(2)/35)*IB165+(1-EXP(-LN(2)/35))/(LN(2)/35)*HX166*HY166*VLOOKUP('Données projet'!$B$19,Paramètres!$A$1:$I$89,3,0)*0.475*44/12</f>
        <v>3.5417747969924438</v>
      </c>
      <c r="IC166" s="21">
        <f>EXP(-LN(2)/25)*IC165+(1-EXP(-LN(2)/25))/(LN(2)/25)*Calculateur!HX166*Calculateur!HZ166*VLOOKUP('Données projet'!$B$19,Paramètres!$A$1:$I$89,3,0)*0.475*44/12</f>
        <v>0.24351840055252183</v>
      </c>
      <c r="ID166" s="21">
        <f>EXP(-LN(2)/2)*ID165+(1-EXP(-LN(2)/2))/(LN(2)/2)*HX166*IA166*VLOOKUP('Données projet'!$B$19,Paramètres!$A$1:$I$89,3,0)*0.475*44/12</f>
        <v>5.4896917395555793E-21</v>
      </c>
      <c r="IE166" s="22">
        <f t="shared" si="256"/>
        <v>3.7852931975449655</v>
      </c>
      <c r="IF166" s="74">
        <f>('Scénario référence'!$F$8+'Scénario référence'!$F$9+'Scénario référence'!$B$17+'Scénario référence'!$B$9+'Scénario référence'!$B$10)*70+IF((45+25*(1-EXP(-0.0175*$A166)))&lt;70,'Scénario référence'!$B$16*(45+25*(1-EXP(-0.0175*$A166))),70*'Scénario référence'!$B$16)+IF((32+38*(1-EXP(-0.0175*$A166)))&lt;70,'Scénario référence'!$B$18*(32+38*(1-EXP(-0.0175*$A166))),70*'Scénario référence'!$B$18)</f>
        <v>70</v>
      </c>
      <c r="IG166" s="12">
        <f>IF($A166&gt;30,10,('Scénario référence'!$B$16+'Scénario référence'!$B$17+'Scénario référence'!$B$18+'Scénario référence'!$B$9+'Scénario référence'!$B$10)*$A166*10/30+('Scénario référence'!$F$8+'Scénario référence'!$F$9)*10)</f>
        <v>10</v>
      </c>
      <c r="IH166" s="12" t="e">
        <f>VLOOKUP($A166,'Données projet'!$A$330:$I$350,2,0)</f>
        <v>#N/A</v>
      </c>
      <c r="II166" s="12" t="e">
        <f>VLOOKUP($A166,'Données projet'!$A$330:$I$350,9,0)</f>
        <v>#N/A</v>
      </c>
      <c r="IJ166" s="12">
        <f t="array" ref="IJ166">INDEX(II:II,MIN(IF(ISNUMBER(II166:II362),ROW(II166:II362),"")))</f>
        <v>0</v>
      </c>
      <c r="IK166" s="12">
        <f>IF('Données projet'!$A$330&gt;35,IK165+IJ166-IS165,IF($A166&lt;'Données projet'!$A$330,$CQ$205^$A166,IF($A166='Données projet'!$A$330,'Données projet'!$B$330,IK165+IJ166-IS165)))</f>
        <v>0</v>
      </c>
      <c r="IL166" s="17">
        <f>IK166*VLOOKUP('Données projet'!$B$20,Paramètres!$A$1:$I$89,3,0)*VLOOKUP('Données projet'!$B$20,Paramètres!$A$1:$I$89,5,0)</f>
        <v>0</v>
      </c>
      <c r="IM166" s="13" t="e">
        <f t="shared" si="308"/>
        <v>#NUM!</v>
      </c>
      <c r="IN166" s="20" t="e">
        <f t="shared" si="257"/>
        <v>#NUM!</v>
      </c>
      <c r="IO166" s="59" t="e">
        <f t="shared" si="258"/>
        <v>#NUM!</v>
      </c>
      <c r="IP166" s="59">
        <f ca="1">AVERAGE(OFFSET(IO$3,0,0,'Données projet'!$E$20+1,1))-AVERAGE(OFFSET($H$3,0,0,'Données projet'!$E$20+1,1))</f>
        <v>91.60721429656013</v>
      </c>
      <c r="IQ166" s="59">
        <f t="shared" si="309"/>
        <v>258.94957804210856</v>
      </c>
      <c r="IR166" s="15">
        <f>IF(ISNA(VLOOKUP($A166,'Données projet'!$A$330:$I$350,3,0)),0,VLOOKUP($A166,'Données projet'!$A$330:$I$350,3,0))</f>
        <v>0</v>
      </c>
      <c r="IS166" s="15">
        <f>IF(ISNA(VLOOKUP($A166,'Données projet'!$A$330:$I$350,4,0)),0,VLOOKUP($A166,'Données projet'!$A$330:$I$350,4,0))</f>
        <v>0</v>
      </c>
      <c r="IT166" s="16">
        <f>IF(ISNA(VLOOKUP($A166,'Données projet'!$A$330:$I$350,5,0)),0%,VLOOKUP($A166,'Données projet'!$A$330:$I$350,5,0)*VLOOKUP('Données projet'!$B$20,Paramètres!$A$1:$I$89,7,0))</f>
        <v>0</v>
      </c>
      <c r="IU166" s="16">
        <f>IF(ISNA(VLOOKUP($A166,'Données projet'!$A$330:$I$350,6,0)),0%,VLOOKUP($A166,'Données projet'!$A$330:$I$350,6,0)*VLOOKUP('Données projet'!$B$20,Paramètres!$A$1:$I$89,7,0))</f>
        <v>0</v>
      </c>
      <c r="IV166" s="16">
        <f>IF(ISNA(VLOOKUP($A166,'Données projet'!$A$330:$I$350,7,0)),0%,VLOOKUP($A166,'Données projet'!$A$330:$I$350,7,0))</f>
        <v>0</v>
      </c>
      <c r="IW166" s="21">
        <f>EXP(-LN(2)/35)*IW165+(1-EXP(-LN(2)/35))/(LN(2)/35)*IS166*IT166*VLOOKUP('Données projet'!$B$20,Paramètres!$A$1:$I$89,3,0)*0.475*44/12</f>
        <v>3.5417747969924438</v>
      </c>
      <c r="IX166" s="21">
        <f>EXP(-LN(2)/25)*IX165+(1-EXP(-LN(2)/25))/(LN(2)/25)*Calculateur!IS166*Calculateur!IU166*VLOOKUP('Données projet'!$B$20,Paramètres!$A$1:$I$89,3,0)*0.475*44/12</f>
        <v>0.24351840055252183</v>
      </c>
      <c r="IY166" s="21">
        <f>EXP(-LN(2)/2)*IY165+(1-EXP(-LN(2)/2))/(LN(2)/2)*IS166*IV166*VLOOKUP('Données projet'!$B$20,Paramètres!$A$1:$I$89,3,0)*0.475*44/12</f>
        <v>5.4896917395555793E-21</v>
      </c>
      <c r="IZ166" s="22">
        <f t="shared" si="259"/>
        <v>3.7852931975449655</v>
      </c>
      <c r="JA166" s="74">
        <f>('Scénario référence'!$F$8+'Scénario référence'!$F$9+'Scénario référence'!$B$17+'Scénario référence'!$B$9+'Scénario référence'!$B$10)*70+IF((45+25*(1-EXP(-0.0175*$A166)))&lt;70,'Scénario référence'!$B$16*(45+25*(1-EXP(-0.0175*$A166))),70*'Scénario référence'!$B$16)+IF((32+38*(1-EXP(-0.0175*$A166)))&lt;70,'Scénario référence'!$B$18*(32+38*(1-EXP(-0.0175*$A166))),70*'Scénario référence'!$B$18)</f>
        <v>70</v>
      </c>
      <c r="JB166" s="12">
        <f>IF($A166&gt;30,10,('Scénario référence'!$B$16+'Scénario référence'!$B$17+'Scénario référence'!$B$18+'Scénario référence'!$B$9+'Scénario référence'!$B$10)*$A166*10/30+('Scénario référence'!$F$8+'Scénario référence'!$F$9)*10)</f>
        <v>10</v>
      </c>
      <c r="JC166" s="12" t="e">
        <f>VLOOKUP($A166,'Données projet'!$A$356:$I$376,2,0)</f>
        <v>#N/A</v>
      </c>
      <c r="JD166" s="12" t="e">
        <f>VLOOKUP($A166,'Données projet'!$A$356:$I$376,9,0)</f>
        <v>#N/A</v>
      </c>
      <c r="JE166" s="12">
        <f t="array" ref="JE166">INDEX(JD:JD,MIN(IF(ISNUMBER(JD166:JD362),ROW(JD166:JD362),"")))</f>
        <v>0</v>
      </c>
      <c r="JF166" s="12">
        <f>IF('Données projet'!$A$356&gt;35,JF165+JE166-JN165,IF($A166&lt;'Données projet'!$A$356,$CQ$205^$A166,IF($A166='Données projet'!$A$356,'Données projet'!$B$356,JF165+JE166-JN165)))</f>
        <v>-1.3073986337985843E-12</v>
      </c>
      <c r="JG166" s="17">
        <f>JF166*VLOOKUP('Données projet'!$B$21,Paramètres!$A$1:$I$89,3,0)*VLOOKUP('Données projet'!$B$21,Paramètres!$A$1:$I$89,5,0)</f>
        <v>-1.0605617717374117E-12</v>
      </c>
      <c r="JH166" s="13" t="e">
        <f t="shared" si="310"/>
        <v>#NUM!</v>
      </c>
      <c r="JI166" s="20" t="e">
        <f t="shared" si="260"/>
        <v>#NUM!</v>
      </c>
      <c r="JJ166" s="59" t="e">
        <f t="shared" si="261"/>
        <v>#NUM!</v>
      </c>
      <c r="JK166" s="59">
        <f ca="1">AVERAGE(OFFSET($JJ$3,0,0,'Données projet'!$E$22+1,1))-AVERAGE(OFFSET($H$3,0,0,'Données projet'!$E$22+1,1))</f>
        <v>353.35574633294613</v>
      </c>
      <c r="JL166" s="59">
        <f t="shared" si="311"/>
        <v>170.36796666474726</v>
      </c>
      <c r="JM166" s="15">
        <f>IF(ISNA(VLOOKUP($A166,'Données projet'!$A$356:$I$376,3,0)),0,VLOOKUP($A166,'Données projet'!$A$356:$I$376,3,0))</f>
        <v>0</v>
      </c>
      <c r="JN166" s="15">
        <f>IF(ISNA(VLOOKUP($A166,'Données projet'!$A$356:$I$376,4,0)),0,VLOOKUP($A166,'Données projet'!$A$356:$I$376,4,0))</f>
        <v>0</v>
      </c>
      <c r="JO166" s="16">
        <f>IF(ISNA(VLOOKUP($A166,'Données projet'!$A$356:$I$376,5,0)),0%,VLOOKUP($A166,'Données projet'!$A$356:$I$376,5,0)*VLOOKUP('Données projet'!$B$21,Paramètres!$A$1:$I$89,7,0))</f>
        <v>0</v>
      </c>
      <c r="JP166" s="16">
        <f>IF(ISNA(VLOOKUP($A166,'Données projet'!$A$356:$I$376,6,0)),0%,VLOOKUP($A166,'Données projet'!$A$356:$I$376,6,0)*VLOOKUP('Données projet'!$B$21,Paramètres!$A$1:$I$89,7,0))</f>
        <v>0</v>
      </c>
      <c r="JQ166" s="16">
        <f>IF(ISNA(VLOOKUP($A166,'Données projet'!$A$356:$I$376,7,0)),0%,VLOOKUP($A166,'Données projet'!$A$356:$I$376,7,0))</f>
        <v>0</v>
      </c>
      <c r="JR166" s="21">
        <f>EXP(-LN(2)/35)*JR165+(1-EXP(-LN(2)/35))/(LN(2)/35)*JN166*JO166*VLOOKUP('Données projet'!$B$21,Paramètres!$A$1:$I$89,3,0)*0.475*44/12</f>
        <v>56.779931225104775</v>
      </c>
      <c r="JS166" s="21">
        <f>EXP(-LN(2)/25)*JS165+(1-EXP(-LN(2)/25))/(LN(2)/25)*Calculateur!JN166*Calculateur!JP166*VLOOKUP('Données projet'!$B$21,Paramètres!$A$1:$I$89,3,0)*0.475*44/12</f>
        <v>53.297983543390728</v>
      </c>
      <c r="JT166" s="21">
        <f>EXP(-LN(2)/2)*JT165+(1-EXP(-LN(2)/2))/(LN(2)/2)*JN166*JQ166*VLOOKUP('Données projet'!$B$21,Paramètres!$A$1:$I$89,3,0)*0.475*44/12</f>
        <v>0.37886479613027935</v>
      </c>
      <c r="JU166" s="18">
        <f t="shared" si="262"/>
        <v>110.45677956462578</v>
      </c>
      <c r="JV166" s="74">
        <f>('Scénario référence'!$F$8+'Scénario référence'!$F$9+'Scénario référence'!$B$17+'Scénario référence'!$B$9+'Scénario référence'!$B$10)*70+IF((45+25*(1-EXP(-0.0175*$A166)))&lt;70,'Scénario référence'!$B$16*(45+25*(1-EXP(-0.0175*$A166))),70*'Scénario référence'!$B$16)+IF((32+38*(1-EXP(-0.0175*$A166)))&lt;70,'Scénario référence'!$B$18*(32+38*(1-EXP(-0.0175*$A166))),70*'Scénario référence'!$B$18)</f>
        <v>70</v>
      </c>
      <c r="JW166" s="12">
        <f>IF($A166&gt;30,10,('Scénario référence'!$B$16+'Scénario référence'!$B$17+'Scénario référence'!$B$18+'Scénario référence'!$B$9+'Scénario référence'!$B$10)*$A166*10/30+('Scénario référence'!$F$8+'Scénario référence'!$F$9)*10)</f>
        <v>10</v>
      </c>
      <c r="JX166" s="12" t="e">
        <f>VLOOKUP($A166,'Données projet'!$A$382:$I$402,2,0)</f>
        <v>#N/A</v>
      </c>
      <c r="JY166" s="12" t="e">
        <f>VLOOKUP($A166,'Données projet'!$A$382:$I$402,9,0)</f>
        <v>#N/A</v>
      </c>
      <c r="JZ166" s="12">
        <f t="array" ref="JZ166">INDEX(JY:JY,MIN(IF(ISNUMBER(JY166:JY362),ROW(JY166:JY362),"")))</f>
        <v>0</v>
      </c>
      <c r="KA166" s="12">
        <f>IF('Données projet'!$A$382&gt;35,KA165+JZ166-KI165,IF($A166&lt;'Données projet'!$A$382,$CQ$205^$A166,IF($A166='Données projet'!$A$382,'Données projet'!$B$382,KA165+JZ166-KI165)))</f>
        <v>5.6843418860808015E-13</v>
      </c>
      <c r="KB166" s="17">
        <f>KA166*VLOOKUP('Données projet'!$B$22,Paramètres!$A$1:$I$89,3,0)*VLOOKUP('Données projet'!$B$22,Paramètres!$A$1:$I$89,5,0)</f>
        <v>3.8130565371830017E-13</v>
      </c>
      <c r="KC166" s="13">
        <f t="shared" si="312"/>
        <v>4.9019074112354236E-12</v>
      </c>
      <c r="KD166" s="20">
        <f t="shared" si="263"/>
        <v>9.2015960881277352E-12</v>
      </c>
      <c r="KE166" s="59">
        <f t="shared" si="264"/>
        <v>293.33333333334252</v>
      </c>
      <c r="KF166" s="59">
        <f ca="1">AVERAGE(OFFSET($KE$3,0,0,'Données projet'!$E$22+1,1))-AVERAGE(OFFSET($H$3,0,0,'Données projet'!$E$22+1,1))</f>
        <v>193.91714772848269</v>
      </c>
      <c r="KG166" s="59">
        <f t="shared" si="313"/>
        <v>159.20429420478047</v>
      </c>
      <c r="KH166" s="15">
        <f>IF(ISNA(VLOOKUP($A166,'Données projet'!$A$382:$I$402,3,0)),0,VLOOKUP($A166,'Données projet'!$A$382:$I$402,3,0))</f>
        <v>0</v>
      </c>
      <c r="KI166" s="15">
        <f>IF(ISNA(VLOOKUP($A166,'Données projet'!$A$382:$I$402,4,0)),0,VLOOKUP($A166,'Données projet'!$A$382:$I$402,4,0))</f>
        <v>0</v>
      </c>
      <c r="KJ166" s="16">
        <f>IF(ISNA(VLOOKUP($A166,'Données projet'!$A$382:$I$402,5,0)),0%,VLOOKUP($A166,'Données projet'!$A$382:$I$402,5,0)*VLOOKUP('Données projet'!$B$22,Paramètres!$A$1:$I$89,7,0))</f>
        <v>0</v>
      </c>
      <c r="KK166" s="16">
        <f>IF(ISNA(VLOOKUP($A166,'Données projet'!$A$382:$I$402,6,0)),0%,VLOOKUP($A166,'Données projet'!$A$382:$I$402,6,0)*VLOOKUP('Données projet'!$B$22,Paramètres!$A$1:$I$89,7,0))</f>
        <v>0</v>
      </c>
      <c r="KL166" s="16">
        <f>IF(ISNA(VLOOKUP($A166,'Données projet'!$A$382:$I$402,7,0)),0%,VLOOKUP($A166,'Données projet'!$A$382:$I$402,7,0))</f>
        <v>0</v>
      </c>
      <c r="KM166" s="21">
        <f>EXP(-LN(2)/35)*KM165+(1-EXP(-LN(2)/35))/(LN(2)/35)*KI166*KJ166*VLOOKUP('Données projet'!$B$22,Paramètres!$A$1:$I$89,3,0)*0.475*44/12</f>
        <v>82.90496634354578</v>
      </c>
      <c r="KN166" s="21">
        <f>EXP(-LN(2)/25)*KN165+(1-EXP(-LN(2)/25))/(LN(2)/25)*Calculateur!KI166*Calculateur!KK166*VLOOKUP('Données projet'!$B$22,Paramètres!$A$1:$I$89,3,0)*0.475*44/12</f>
        <v>0</v>
      </c>
      <c r="KO166" s="21">
        <f>EXP(-LN(2)/2)*KO165+(1-EXP(-LN(2)/2))/(LN(2)/2)*KI166*KL166*VLOOKUP('Données projet'!$B$22,Paramètres!$A$1:$I$89,3,0)*0.475*44/12</f>
        <v>0</v>
      </c>
      <c r="KP166" s="22">
        <f t="shared" si="265"/>
        <v>82.90496634354578</v>
      </c>
      <c r="KQ166" s="74">
        <f>('Scénario référence'!$F$8+'Scénario référence'!$F$9+'Scénario référence'!$B$17+'Scénario référence'!$B$9+'Scénario référence'!$B$10)*70+IF((45+25*(1-EXP(-0.0175*$A166)))&lt;70,'Scénario référence'!$B$16*(45+25*(1-EXP(-0.0175*$A166))),70*'Scénario référence'!$B$16)+IF((32+38*(1-EXP(-0.0175*$A166)))&lt;70,'Scénario référence'!$B$18*(32+38*(1-EXP(-0.0175*$A166))),70*'Scénario référence'!$B$18)</f>
        <v>70</v>
      </c>
      <c r="KR166" s="12">
        <f>IF($A166&gt;30,10,('Scénario référence'!$B$16+'Scénario référence'!$B$17+'Scénario référence'!$B$18+'Scénario référence'!$B$9+'Scénario référence'!$B$10)*$A166*10/30+('Scénario référence'!$F$8+'Scénario référence'!$F$9)*10)</f>
        <v>10</v>
      </c>
      <c r="KS166" s="12" t="e">
        <f>VLOOKUP($A166,'Données projet'!$A$408:$I$428,2,0)</f>
        <v>#N/A</v>
      </c>
      <c r="KT166" s="12" t="e">
        <f>VLOOKUP($A166,'Données projet'!$A$408:$I$428,9,0)</f>
        <v>#N/A</v>
      </c>
      <c r="KU166" s="12">
        <f t="array" ref="KU166">INDEX(KT:KT,MIN(IF(ISNUMBER(KT166:KT362),ROW(KT166:KT362),"")))</f>
        <v>0</v>
      </c>
      <c r="KV166" s="12">
        <f>IF('Données projet'!$A$408&gt;35,KV165+KU166-LD165,IF($A166&lt;'Données projet'!$A$408,$CQ$205^$A166,IF($A166='Données projet'!$A$408,'Données projet'!$B$408,KV165+KU166-LD165)))</f>
        <v>-1.1368683772161603E-13</v>
      </c>
      <c r="KW166" s="17">
        <f>KV166*VLOOKUP('Données projet'!$B$23,Paramètres!$A$1:$I$89,3,0)*VLOOKUP('Données projet'!$B$23,Paramètres!$A$1:$I$89,5,0)</f>
        <v>-9.9316821433603781E-14</v>
      </c>
      <c r="KX166" s="13" t="e">
        <f t="shared" si="314"/>
        <v>#NUM!</v>
      </c>
      <c r="KY166" s="14" t="e">
        <f t="shared" si="266"/>
        <v>#NUM!</v>
      </c>
      <c r="KZ166" s="59" t="e">
        <f t="shared" si="267"/>
        <v>#NUM!</v>
      </c>
      <c r="LA166" s="59">
        <f ca="1">AVERAGE(OFFSET($KZ$3,0,0,'Données projet'!$E$23+1,1))-AVERAGE(OFFSET($H$3,0,0,'Données projet'!$E$23+1,1))</f>
        <v>248.33596943633819</v>
      </c>
      <c r="LB166" s="59">
        <f t="shared" si="315"/>
        <v>242.34010522344573</v>
      </c>
      <c r="LC166" s="15">
        <f>IF(ISNA(VLOOKUP($A166,'Données projet'!$A$408:$I$428,3,0)),0,VLOOKUP($A166,'Données projet'!$A$408:$I$428,3,0))</f>
        <v>0</v>
      </c>
      <c r="LD166" s="15">
        <f>IF(ISNA(VLOOKUP($A166,'Données projet'!$A$408:$I$428,4,0)),0,VLOOKUP($A166,'Données projet'!$A$408:$I$428,4,0))</f>
        <v>0</v>
      </c>
      <c r="LE166" s="16">
        <f>IF(ISNA(VLOOKUP($A166,'Données projet'!$A$408:$I$428,5,0)),0%,VLOOKUP($A166,'Données projet'!$A$408:$I$428,5,0)*VLOOKUP('Données projet'!$B$23,Paramètres!$A$1:$I$89,7,0))</f>
        <v>0</v>
      </c>
      <c r="LF166" s="16">
        <f>IF(ISNA(VLOOKUP($A166,'Données projet'!$A$408:$I$428,6,0)),0%,VLOOKUP($A166,'Données projet'!$A$408:$I$428,6,0)*VLOOKUP('Données projet'!$B$23,Paramètres!$A$1:$I$89,7,0))</f>
        <v>0</v>
      </c>
      <c r="LG166" s="16">
        <f>IF(ISNA(VLOOKUP($A166,'Données projet'!$A$408:$I$428,7,0)),0%,VLOOKUP($A166,'Données projet'!$A$408:$I$428,7,0))</f>
        <v>0</v>
      </c>
      <c r="LH166" s="21">
        <f>EXP(-LN(2)/35)*LH165+(1-EXP(-LN(2)/35))/(LN(2)/35)*LD166*LE166*VLOOKUP('Données projet'!$B$23,Paramètres!$A$1:$I$89,3,0)*0.475*44/12</f>
        <v>23.81285625122981</v>
      </c>
      <c r="LI166" s="21">
        <f>EXP(-LN(2)/25)*LI165+(1-EXP(-LN(2)/25))/(LN(2)/25)*Calculateur!LD166*Calculateur!LF166*VLOOKUP('Données projet'!$B$23,Paramètres!$A$1:$I$89,3,0)*0.475*44/12</f>
        <v>2.1806232083529049</v>
      </c>
      <c r="LJ166" s="21">
        <f>EXP(-LN(2)/2)*LJ165+(1-EXP(-LN(2)/2))/(LN(2)/2)*LD166*LG166*VLOOKUP('Données projet'!$B$23,Paramètres!$A$1:$I$89,3,0)*0.475*44/12</f>
        <v>0</v>
      </c>
      <c r="LK166" s="22">
        <f t="shared" si="268"/>
        <v>25.993479459582716</v>
      </c>
      <c r="LL166" s="74">
        <f>('Scénario référence'!$F$8+'Scénario référence'!$F$9+'Scénario référence'!$B$17+'Scénario référence'!$B$9+'Scénario référence'!$B$10)*70+IF((45+25*(1-EXP(-0.0175*$A166)))&lt;70,'Scénario référence'!$B$16*(45+25*(1-EXP(-0.0175*$A166))),70*'Scénario référence'!$B$16)+IF((32+38*(1-EXP(-0.0175*$A166)))&lt;70,'Scénario référence'!$B$18*(32+38*(1-EXP(-0.0175*$A166))),70*'Scénario référence'!$B$18)</f>
        <v>70</v>
      </c>
      <c r="LM166" s="12">
        <f>IF($A166&gt;30,10,('Scénario référence'!$B$16+'Scénario référence'!$B$17+'Scénario référence'!$B$18+'Scénario référence'!$B$9+'Scénario référence'!$B$10)*$A166*10/30+('Scénario référence'!$F$8+'Scénario référence'!$F$9)*10)</f>
        <v>10</v>
      </c>
      <c r="LN166" s="12" t="e">
        <f>VLOOKUP($A166,'Données projet'!$A$434:$I$454,2,0)</f>
        <v>#N/A</v>
      </c>
      <c r="LO166" s="12" t="e">
        <f>VLOOKUP($A166,'Données projet'!$A$434:$I$454,9,0)</f>
        <v>#N/A</v>
      </c>
      <c r="LP166" s="12">
        <f t="array" ref="LP166">INDEX(LO:LO,MIN(IF(ISNUMBER(LO166:LO362),ROW(LO166:LO362),"")))</f>
        <v>0</v>
      </c>
      <c r="LQ166" s="12">
        <f>IF('Données projet'!$A$434&gt;35,LQ165+LP166-LY165,IF($A166&lt;'Données projet'!$A$434,$CQ$205^$A166,IF($A166='Données projet'!$A$434,'Données projet'!$B$434,LQ165+LP166-LY165)))</f>
        <v>-4.5474735088646412E-13</v>
      </c>
      <c r="LR166" s="17">
        <f>LQ166*VLOOKUP('Données projet'!$B$24,Paramètres!$A$1:$I$89,3,0)*VLOOKUP('Données projet'!$B$24,Paramètres!$A$1:$I$89,5,0)</f>
        <v>-4.6111381379887462E-13</v>
      </c>
      <c r="LS166" s="13" t="e">
        <f t="shared" si="316"/>
        <v>#NUM!</v>
      </c>
      <c r="LT166" s="14" t="e">
        <f t="shared" si="269"/>
        <v>#NUM!</v>
      </c>
      <c r="LU166" s="59" t="e">
        <f t="shared" si="270"/>
        <v>#NUM!</v>
      </c>
      <c r="LV166" s="59">
        <f ca="1">AVERAGE(OFFSET($LU$3,0,0,'Données projet'!$E$24+1,1))-AVERAGE(OFFSET($H$3,0,0,'Données projet'!$E$24+1,1))</f>
        <v>260.52627655062872</v>
      </c>
      <c r="LW166" s="59">
        <f t="shared" si="317"/>
        <v>159.20429420478047</v>
      </c>
      <c r="LX166" s="15">
        <f>IF(ISNA(VLOOKUP($A166,'Données projet'!$A$434:$I$454,3,0)),0,VLOOKUP($A166,'Données projet'!$A$434:$I$454,3,0))</f>
        <v>0</v>
      </c>
      <c r="LY166" s="15">
        <f>IF(ISNA(VLOOKUP($A166,'Données projet'!$A$434:$I$454,4,0)),0,VLOOKUP($A166,'Données projet'!$A$434:$I$454,4,0))</f>
        <v>0</v>
      </c>
      <c r="LZ166" s="16">
        <f>IF(ISNA(VLOOKUP($A166,'Données projet'!$A$434:$I$454,5,0)),0%,VLOOKUP($A166,'Données projet'!$A$434:$I$454,5,0)*VLOOKUP('Données projet'!$B$24,Paramètres!$A$1:$I$89,7,0))</f>
        <v>0</v>
      </c>
      <c r="MA166" s="16">
        <f>IF(ISNA(VLOOKUP($A166,'Données projet'!$A$434:$I$454,6,0)),0%,VLOOKUP($A166,'Données projet'!$A$434:$I$454,6,0)*VLOOKUP('Données projet'!$B$24,Paramètres!$A$1:$I$89,7,0))</f>
        <v>0</v>
      </c>
      <c r="MB166" s="16">
        <f>IF(ISNA(VLOOKUP($A166,'Données projet'!$A$434:$I$454,7,0)),0%,VLOOKUP($A166,'Données projet'!$A$434:$I$454,7,0))</f>
        <v>0</v>
      </c>
      <c r="MC166" s="21">
        <f>EXP(-LN(2)/35)*MC165+(1-EXP(-LN(2)/35))/(LN(2)/35)*LY166*LZ166*VLOOKUP('Données projet'!$B$24,Paramètres!$A$1:$I$89,3,0)*0.475*44/12</f>
        <v>153.10857746396997</v>
      </c>
      <c r="MD166" s="21">
        <f>EXP(-LN(2)/25)*MD165+(1-EXP(-LN(2)/25))/(LN(2)/25)*Calculateur!LY166*Calculateur!MA166*VLOOKUP('Données projet'!$B$24,Paramètres!$A$1:$I$89,3,0)*0.475*44/12</f>
        <v>0</v>
      </c>
      <c r="ME166" s="21">
        <f>EXP(-LN(2)/2)*ME165+(1-EXP(-LN(2)/2))/(LN(2)/2)*LY166*MB166*VLOOKUP('Données projet'!$B$24,Paramètres!$A$1:$I$89,3,0)*0.475*44/12</f>
        <v>0</v>
      </c>
      <c r="MF166" s="22">
        <f t="shared" si="271"/>
        <v>153.10857746396997</v>
      </c>
      <c r="MG166" s="74">
        <f>('Scénario référence'!$F$8+'Scénario référence'!$F$9+'Scénario référence'!$B$17+'Scénario référence'!$B$9+'Scénario référence'!$B$10)*70+IF((45+25*(1-EXP(-0.0175*$A166)))&lt;70,'Scénario référence'!$B$16*(45+25*(1-EXP(-0.0175*$A166))),70*'Scénario référence'!$B$16)+IF((32+38*(1-EXP(-0.0175*$A166)))&lt;70,'Scénario référence'!$B$18*(32+38*(1-EXP(-0.0175*$A166))),70*'Scénario référence'!$B$18)</f>
        <v>70</v>
      </c>
      <c r="MH166" s="12">
        <f>IF($A166&gt;30,10,('Scénario référence'!$B$16+'Scénario référence'!$B$17+'Scénario référence'!$B$18+'Scénario référence'!$B$9+'Scénario référence'!$B$10)*$A166*10/30+('Scénario référence'!$F$8+'Scénario référence'!$F$9)*10)</f>
        <v>10</v>
      </c>
      <c r="MI166" s="12" t="e">
        <f>VLOOKUP($A166,'Données projet'!$A$460:$I$480,2,0)</f>
        <v>#N/A</v>
      </c>
      <c r="MJ166" s="12" t="e">
        <f>VLOOKUP($A166,'Données projet'!$A$460:$I$480,9,0)</f>
        <v>#N/A</v>
      </c>
      <c r="MK166" s="12">
        <f t="array" ref="MK166">INDEX(MJ:MJ,MIN(IF(ISNUMBER(MJ166:MJ362),ROW(MJ166:MJ362),"")))</f>
        <v>0</v>
      </c>
      <c r="ML166" s="12">
        <f>IF('Données projet'!$A$460&gt;35,ML165+MK166-MT165,IF($A166&lt;'Données projet'!$A$460,$CQ$205^$A166,IF($A166='Données projet'!$A$460,'Données projet'!$B$460,ML165+MK166-MT165)))</f>
        <v>0</v>
      </c>
      <c r="MM166" s="17" t="e">
        <f>ML166*VLOOKUP('Données projet'!$B$25,Paramètres!$A$1:$I$89,3,0)*VLOOKUP('Données projet'!$B$25,Paramètres!$A$1:$I$89,5,0)</f>
        <v>#N/A</v>
      </c>
      <c r="MN166" s="13" t="e">
        <f t="shared" si="318"/>
        <v>#N/A</v>
      </c>
      <c r="MO166" s="14" t="e">
        <f t="shared" si="272"/>
        <v>#N/A</v>
      </c>
      <c r="MP166" s="59" t="e">
        <f t="shared" si="273"/>
        <v>#N/A</v>
      </c>
      <c r="MQ166" s="20" t="e">
        <f ca="1">AVERAGE(OFFSET($MP$3,0,0,'Données projet'!$E$25+1,1))-AVERAGE(OFFSET($H$3,0,0,'Données projet'!$E$25+1,1))</f>
        <v>#N/A</v>
      </c>
      <c r="MR166" s="59" t="e">
        <f t="shared" si="319"/>
        <v>#N/A</v>
      </c>
      <c r="MS166" s="15">
        <f>IF(ISNA(VLOOKUP($A166,'Données projet'!$A$460:$I$480,3,0)),0,VLOOKUP($A166,'Données projet'!$A$460:$I$480,3,0))</f>
        <v>0</v>
      </c>
      <c r="MT166" s="15">
        <f>IF(ISNA(VLOOKUP($A166,'Données projet'!$A$460:$I$480,4,0)),0,VLOOKUP($A166,'Données projet'!$A$460:$I$480,4,0))</f>
        <v>0</v>
      </c>
      <c r="MU166" s="16">
        <f>IF(ISNA(VLOOKUP($A166,'Données projet'!$A$460:$I$480,5,0)),0%,VLOOKUP($A166,'Données projet'!$A$460:$I$480,5,0)*VLOOKUP('Données projet'!$B$25,Paramètres!$A$1:$I$89,7,0))</f>
        <v>0</v>
      </c>
      <c r="MV166" s="16">
        <f>IF(ISNA(VLOOKUP($A166,'Données projet'!$A$460:$I$480,6,0)),0%,VLOOKUP($A166,'Données projet'!$A$460:$I$480,6,0)*VLOOKUP('Données projet'!$B$25,Paramètres!$A$1:$I$89,7,0))</f>
        <v>0</v>
      </c>
      <c r="MW166" s="16">
        <f>IF(ISNA(VLOOKUP($A166,'Données projet'!$A$460:$I$480,7,0)),0%,VLOOKUP($A166,'Données projet'!$A$460:$I$480,7,0))</f>
        <v>0</v>
      </c>
      <c r="MX166" s="21" t="e">
        <f>EXP(-LN(2)/35)*MX165+(1-EXP(-LN(2)/35))/(LN(2)/35)*MT166*MU166*VLOOKUP('Données projet'!$B$25,Paramètres!$A$1:$I$89,3,0)*0.475*44/12</f>
        <v>#N/A</v>
      </c>
      <c r="MY166" s="21" t="e">
        <f>EXP(-LN(2)/25)*MY165+(1-EXP(-LN(2)/25))/(LN(2)/25)*Calculateur!MT166*Calculateur!MV166*VLOOKUP('Données projet'!$B$25,Paramètres!$A$1:$I$89,3,0)*0.475*44/12</f>
        <v>#N/A</v>
      </c>
      <c r="MZ166" s="21" t="e">
        <f>EXP(-LN(2)/2)*MZ165+(1-EXP(-LN(2)/2))/(LN(2)/2)*MT166*MW166*VLOOKUP('Données projet'!$B$25,Paramètres!$A$1:$I$89,3,0)*0.475*44/12</f>
        <v>#N/A</v>
      </c>
      <c r="NA166" s="22" t="e">
        <f t="shared" si="274"/>
        <v>#N/A</v>
      </c>
      <c r="NB166" s="74">
        <f>('Scénario référence'!$F$8+'Scénario référence'!$F$9+'Scénario référence'!$B$17+'Scénario référence'!$B$9+'Scénario référence'!$B$10)*70+IF((45+25*(1-EXP(-0.0175*$A166)))&lt;70,'Scénario référence'!$B$16*(45+25*(1-EXP(-0.0175*$A166))),70*'Scénario référence'!$B$16)+IF((32+38*(1-EXP(-0.0175*$A166)))&lt;70,'Scénario référence'!$B$18*(32+38*(1-EXP(-0.0175*$A166))),70*'Scénario référence'!$B$18)</f>
        <v>70</v>
      </c>
      <c r="NC166" s="12">
        <f>IF($A166&gt;30,10,('Scénario référence'!$B$16+'Scénario référence'!$B$17+'Scénario référence'!$B$18+'Scénario référence'!$B$9+'Scénario référence'!$B$10)*$A166*10/30+('Scénario référence'!$F$8+'Scénario référence'!$F$9)*10)</f>
        <v>10</v>
      </c>
      <c r="ND166" s="12" t="e">
        <f>VLOOKUP($A166,'Données projet'!$A$486:$I$506,2,0)</f>
        <v>#N/A</v>
      </c>
      <c r="NE166" s="12" t="e">
        <f>VLOOKUP($A166,'Données projet'!$A$486:$I$506,9,0)</f>
        <v>#N/A</v>
      </c>
      <c r="NF166" s="12">
        <f t="array" ref="NF166">INDEX(NE:NE,MIN(IF(ISNUMBER(NE166:NE362),ROW(NE166:NE362),"")))</f>
        <v>0</v>
      </c>
      <c r="NG166" s="12">
        <f>IF('Données projet'!$A$486&gt;35,NG165+NF166-NO165,IF($A166&lt;'Données projet'!$A$486,$CQ$205^$A166,IF($A166='Données projet'!$A$486,'Données projet'!$B$486,NG165+NF166-NO165)))</f>
        <v>0</v>
      </c>
      <c r="NH166" s="17" t="e">
        <f>NG166*VLOOKUP('Données projet'!$B$26,Paramètres!$A$1:$I$89,3,0)*VLOOKUP('Données projet'!$B$26,Paramètres!$A$1:$I$89,5,0)</f>
        <v>#N/A</v>
      </c>
      <c r="NI166" s="13" t="e">
        <f t="shared" si="320"/>
        <v>#N/A</v>
      </c>
      <c r="NJ166" s="14" t="e">
        <f t="shared" si="275"/>
        <v>#N/A</v>
      </c>
      <c r="NK166" s="59" t="e">
        <f t="shared" si="276"/>
        <v>#N/A</v>
      </c>
      <c r="NL166" s="20" t="e">
        <f ca="1">AVERAGE(OFFSET($NK$3,0,0,'Données projet'!$E$26+1,1))-AVERAGE(OFFSET($H$3,0,0,'Données projet'!$E$26+1,1))</f>
        <v>#N/A</v>
      </c>
      <c r="NM166" s="59" t="e">
        <f t="shared" si="321"/>
        <v>#N/A</v>
      </c>
      <c r="NN166" s="15">
        <f>IF(ISNA(VLOOKUP($A166,'Données projet'!$A$486:$I$506,3,0)),0,VLOOKUP($A166,'Données projet'!$A$486:$I$506,3,0))</f>
        <v>0</v>
      </c>
      <c r="NO166" s="15">
        <f>IF(ISNA(VLOOKUP($A166,'Données projet'!$A$486:$I$506,4,0)),0,VLOOKUP($A166,'Données projet'!$A$486:$I$506,4,0))</f>
        <v>0</v>
      </c>
      <c r="NP166" s="16">
        <f>IF(ISNA(VLOOKUP($A166,'Données projet'!$A$486:$I$506,5,0)),0%,VLOOKUP($A166,'Données projet'!$A$486:$I$506,5,0)*VLOOKUP('Données projet'!$B$26,Paramètres!$A$1:$I$89,7,0))</f>
        <v>0</v>
      </c>
      <c r="NQ166" s="16">
        <f>IF(ISNA(VLOOKUP($A166,'Données projet'!$A$486:$I$506,6,0)),0%,VLOOKUP($A166,'Données projet'!$A$486:$I$506,6,0)*VLOOKUP('Données projet'!$B$26,Paramètres!$A$1:$I$89,7,0))</f>
        <v>0</v>
      </c>
      <c r="NR166" s="16">
        <f>IF(ISNA(VLOOKUP($A166,'Données projet'!$A$486:$I$506,7,0)),0%,VLOOKUP($A166,'Données projet'!$A$486:$I$506,7,0))</f>
        <v>0</v>
      </c>
      <c r="NS166" s="21" t="e">
        <f>EXP(-LN(2)/35)*NS165+(1-EXP(-LN(2)/35))/(LN(2)/35)*NO166*NP166*VLOOKUP('Données projet'!$B$26,Paramètres!$A$1:$I$89,3,0)*0.475*44/12</f>
        <v>#N/A</v>
      </c>
      <c r="NT166" s="21" t="e">
        <f>EXP(-LN(2)/25)*NT165+(1-EXP(-LN(2)/25))/(LN(2)/25)*Calculateur!NO166*Calculateur!NQ166*VLOOKUP('Données projet'!$B$26,Paramètres!$A$1:$I$89,3,0)*0.475*44/12</f>
        <v>#N/A</v>
      </c>
      <c r="NU166" s="21" t="e">
        <f>EXP(-LN(2)/2)*NU165+(1-EXP(-LN(2)/2))/(LN(2)/2)*NO166*NR166*VLOOKUP('Données projet'!$B$26,Paramètres!$A$1:$I$89,3,0)*0.475*44/12</f>
        <v>#N/A</v>
      </c>
      <c r="NV166" s="22" t="e">
        <f t="shared" si="277"/>
        <v>#N/A</v>
      </c>
      <c r="NW166" s="74">
        <f>('Scénario référence'!$F$8+'Scénario référence'!$F$9+'Scénario référence'!$B$17+'Scénario référence'!$B$9+'Scénario référence'!$B$10)*70+IF((45+25*(1-EXP(-0.0175*$A166)))&lt;70,'Scénario référence'!$B$16*(45+25*(1-EXP(-0.0175*$A166))),70*'Scénario référence'!$B$16)+IF((32+38*(1-EXP(-0.0175*$A166)))&lt;70,'Scénario référence'!$B$18*(32+38*(1-EXP(-0.0175*$A166))),70*'Scénario référence'!$B$18)</f>
        <v>70</v>
      </c>
      <c r="NX166" s="12">
        <f>IF($A166&gt;30,10,('Scénario référence'!$B$16+'Scénario référence'!$B$17+'Scénario référence'!$B$18+'Scénario référence'!$B$9+'Scénario référence'!$B$10)*$A166*10/30+('Scénario référence'!$F$8+'Scénario référence'!$F$9)*10)</f>
        <v>10</v>
      </c>
      <c r="NY166" s="12" t="e">
        <f>VLOOKUP($A166,'Données projet'!$A$512:$I$532,2,0)</f>
        <v>#N/A</v>
      </c>
      <c r="NZ166" s="12" t="e">
        <f>VLOOKUP($A166,'Données projet'!$A$512:$I$532,9,0)</f>
        <v>#N/A</v>
      </c>
      <c r="OA166" s="12">
        <f t="array" ref="OA166">INDEX(NZ:NZ,MIN(IF(ISNUMBER(NZ166:NZ362),ROW(NZ166:NZ362),"")))</f>
        <v>0</v>
      </c>
      <c r="OB166" s="12">
        <f>IF('Données projet'!$A$512&gt;35,OB165+OA166-OJ165,IF($A166&lt;'Données projet'!$A$512,$CQ$205^$A166,IF($A166='Données projet'!$A$512,'Données projet'!$B$512,OB165+OA166-OJ165)))</f>
        <v>0</v>
      </c>
      <c r="OC166" s="17" t="e">
        <f>OB166*VLOOKUP('Données projet'!$B$27,Paramètres!$A$1:$I$89,3,0)*VLOOKUP('Données projet'!$B$27,Paramètres!$A$1:$I$89,5,0)</f>
        <v>#N/A</v>
      </c>
      <c r="OD166" s="13" t="e">
        <f t="shared" si="322"/>
        <v>#N/A</v>
      </c>
      <c r="OE166" s="14" t="e">
        <f t="shared" si="278"/>
        <v>#N/A</v>
      </c>
      <c r="OF166" s="59" t="e">
        <f t="shared" si="279"/>
        <v>#N/A</v>
      </c>
      <c r="OG166" s="20" t="e">
        <f ca="1">AVERAGE(OFFSET($OF$3,0,0,'Données projet'!$E$27+1,1))-AVERAGE(OFFSET($H$3,0,0,'Données projet'!$E$27+1,1))</f>
        <v>#N/A</v>
      </c>
      <c r="OH166" s="59" t="e">
        <f t="shared" si="323"/>
        <v>#N/A</v>
      </c>
      <c r="OI166" s="15">
        <f>IF(ISNA(VLOOKUP($A166,'Données projet'!$A$512:$I$532,3,0)),0,VLOOKUP($A166,'Données projet'!$A$512:$I$532,3,0))</f>
        <v>0</v>
      </c>
      <c r="OJ166" s="15">
        <f>IF(ISNA(VLOOKUP($A166,'Données projet'!$A$512:$I$532,4,0)),0,VLOOKUP($A166,'Données projet'!$A$512:$I$532,4,0))</f>
        <v>0</v>
      </c>
      <c r="OK166" s="16">
        <f>IF(ISNA(VLOOKUP($A166,'Données projet'!$A$512:$I$532,5,0)),0%,VLOOKUP($A166,'Données projet'!$A$512:$I$532,5,0)*VLOOKUP('Données projet'!$B$27,Paramètres!$A$1:$I$89,7,0))</f>
        <v>0</v>
      </c>
      <c r="OL166" s="16">
        <f>IF(ISNA(VLOOKUP($A166,'Données projet'!$A$512:$I$532,6,0)),0%,VLOOKUP($A166,'Données projet'!$A$512:$I$532,6,0)*VLOOKUP('Données projet'!$B$27,Paramètres!$A$1:$I$89,7,0))</f>
        <v>0</v>
      </c>
      <c r="OM166" s="16">
        <f>IF(ISNA(VLOOKUP($A166,'Données projet'!$A$512:$I$532,7,0)),0%,VLOOKUP($A166,'Données projet'!$A$512:$I$532,7,0))</f>
        <v>0</v>
      </c>
      <c r="ON166" s="21" t="e">
        <f>EXP(-LN(2)/35)*ON165+(1-EXP(-LN(2)/35))/(LN(2)/35)*OJ166*OK166*VLOOKUP('Données projet'!$B$27,Paramètres!$A$1:$I$89,3,0)*0.475*44/12</f>
        <v>#N/A</v>
      </c>
      <c r="OO166" s="21" t="e">
        <f>EXP(-LN(2)/25)*OO165+(1-EXP(-LN(2)/25))/(LN(2)/25)*Calculateur!OJ166*Calculateur!OL166*VLOOKUP('Données projet'!$B$27,Paramètres!$A$1:$I$89,3,0)*0.475*44/12</f>
        <v>#N/A</v>
      </c>
      <c r="OP166" s="21" t="e">
        <f>EXP(-LN(2)/2)*OP165+(1-EXP(-LN(2)/2))/(LN(2)/2)*OJ166*OM166*VLOOKUP('Données projet'!$B$27,Paramètres!$A$1:$I$89,3,0)*0.475*44/12</f>
        <v>#N/A</v>
      </c>
      <c r="OQ166" s="22" t="e">
        <f t="shared" si="280"/>
        <v>#N/A</v>
      </c>
      <c r="OR166" s="74">
        <f>('Scénario référence'!$F$8+'Scénario référence'!$F$9+'Scénario référence'!$B$17+'Scénario référence'!$B$9+'Scénario référence'!$B$10)*70+IF((45+25*(1-EXP(-0.0175*$A166)))&lt;70,'Scénario référence'!$B$16*(45+25*(1-EXP(-0.0175*$A166))),70*'Scénario référence'!$B$16)+IF((32+38*(1-EXP(-0.0175*$A166)))&lt;70,'Scénario référence'!$B$18*(32+38*(1-EXP(-0.0175*$A166))),70*'Scénario référence'!$B$18)</f>
        <v>70</v>
      </c>
      <c r="OS166" s="12">
        <f>IF($A166&gt;30,10,('Scénario référence'!$B$16+'Scénario référence'!$B$17+'Scénario référence'!$B$18+'Scénario référence'!$B$9+'Scénario référence'!$B$10)*$A166*10/30+('Scénario référence'!$F$8+'Scénario référence'!$F$9)*10)</f>
        <v>10</v>
      </c>
      <c r="OT166" s="12" t="e">
        <f>VLOOKUP($A166,'Données projet'!$A$538:$I$558,2,0)</f>
        <v>#N/A</v>
      </c>
      <c r="OU166" s="12" t="e">
        <f>VLOOKUP($A166,'Données projet'!$A$538:$I$558,9,0)</f>
        <v>#N/A</v>
      </c>
      <c r="OV166" s="12">
        <f t="array" ref="OV166">INDEX(OU:OU,MIN(IF(ISNUMBER(OU166:OU362),ROW(OU166:OU362),"")))</f>
        <v>0</v>
      </c>
      <c r="OW166" s="12">
        <f>IF('Données projet'!$A$538&gt;35,OW165+OV166-PE165,IF($A166&lt;'Données projet'!$A$538,$CQ$205^$A166,IF($A166='Données projet'!$A$538,'Données projet'!$B$538,OW165+OV166-PE165)))</f>
        <v>0</v>
      </c>
      <c r="OX166" s="17" t="e">
        <f>OW166*VLOOKUP('Données projet'!$B$28,Paramètres!$A$1:$I$89,3,0)*VLOOKUP('Données projet'!$B$28,Paramètres!$A$1:$I$89,5,0)</f>
        <v>#N/A</v>
      </c>
      <c r="OY166" s="13" t="e">
        <f t="shared" si="324"/>
        <v>#N/A</v>
      </c>
      <c r="OZ166" s="14" t="e">
        <f t="shared" si="281"/>
        <v>#N/A</v>
      </c>
      <c r="PA166" s="59" t="e">
        <f t="shared" si="282"/>
        <v>#N/A</v>
      </c>
      <c r="PB166" s="20" t="e">
        <f ca="1">AVERAGE(OFFSET($PA$3,0,0,'Données projet'!$E$28+1,1))-AVERAGE(OFFSET($H$3,0,0,'Données projet'!$E$28+1,1))</f>
        <v>#N/A</v>
      </c>
      <c r="PC166" s="59" t="e">
        <f t="shared" si="325"/>
        <v>#N/A</v>
      </c>
      <c r="PD166" s="15">
        <f>IF(ISNA(VLOOKUP($A166,'Données projet'!$A$538:$I$558,3,0)),0,VLOOKUP($A166,'Données projet'!$A$538:$I$558,3,0))</f>
        <v>0</v>
      </c>
      <c r="PE166" s="15">
        <f>IF(ISNA(VLOOKUP($A166,'Données projet'!$A$538:$I$558,4,0)),0,VLOOKUP($A166,'Données projet'!$A$538:$I$558,4,0))</f>
        <v>0</v>
      </c>
      <c r="PF166" s="16">
        <f>IF(ISNA(VLOOKUP($A166,'Données projet'!$A$538:$I$558,5,0)),0%,VLOOKUP($A166,'Données projet'!$A$538:$I$558,5,0)*VLOOKUP('Données projet'!$B$28,Paramètres!$A$1:$I$89,7,0))</f>
        <v>0</v>
      </c>
      <c r="PG166" s="16">
        <f>IF(ISNA(VLOOKUP($A166,'Données projet'!$A$538:$I$558,6,0)),0%,VLOOKUP($A166,'Données projet'!$A$538:$I$558,6,0)*VLOOKUP('Données projet'!$B$28,Paramètres!$A$1:$I$89,7,0))</f>
        <v>0</v>
      </c>
      <c r="PH166" s="16">
        <f>IF(ISNA(VLOOKUP($A166,'Données projet'!$A$538:$I$558,7,0)),0%,VLOOKUP($A166,'Données projet'!$A$538:$I$558,7,0))</f>
        <v>0</v>
      </c>
      <c r="PI166" s="21" t="e">
        <f>EXP(-LN(2)/35)*PI165+(1-EXP(-LN(2)/35))/(LN(2)/35)*PE166*PF166*VLOOKUP('Données projet'!$B$28,Paramètres!$A$1:$I$89,3,0)*0.475*44/12</f>
        <v>#N/A</v>
      </c>
      <c r="PJ166" s="21" t="e">
        <f>EXP(-LN(2)/25)*PJ165+(1-EXP(-LN(2)/25))/(LN(2)/25)*Calculateur!PE166*Calculateur!PG166*VLOOKUP('Données projet'!$B$28,Paramètres!$A$1:$I$89,3,0)*0.475*44/12</f>
        <v>#N/A</v>
      </c>
      <c r="PK166" s="21" t="e">
        <f>EXP(-LN(2)/2)*PK165+(1-EXP(-LN(2)/2))/(LN(2)/2)*PE166*PH166*VLOOKUP('Données projet'!$B$28,Paramètres!$A$1:$I$89,3,0)*0.475*44/12</f>
        <v>#N/A</v>
      </c>
      <c r="PL166" s="22" t="e">
        <f t="shared" si="283"/>
        <v>#N/A</v>
      </c>
    </row>
    <row r="167" spans="1:428" x14ac:dyDescent="0.35">
      <c r="A167" s="10">
        <f t="shared" si="326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285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225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projet'!$A$45:$I$65,2,0)</f>
        <v>#N/A</v>
      </c>
      <c r="L167" s="12" t="e">
        <f>VLOOKUP(A167,'Données projet'!$A$45:$I$65,9,0)</f>
        <v>#N/A</v>
      </c>
      <c r="M167" s="12">
        <f t="array" ref="M167">INDEX(L:L,MIN(IF(ISNUMBER(L167:L363),ROW(L167:L363),"")))</f>
        <v>0</v>
      </c>
      <c r="N167" s="13">
        <f>IF('Données projet'!$A$46&gt;35,N166+M167-V166,IF(A167&lt;'Données projet'!$A$46,$K$205^A167,IF(A167='Données projet'!$A$46,'Données projet'!$B$46,N166+M167-V166)))</f>
        <v>-1.1368683772161603E-13</v>
      </c>
      <c r="O167" s="13">
        <f>N167*VLOOKUP('Données projet'!$B$9,Paramètres!$A$1:$I$89,3,0)*VLOOKUP('Données projet'!$B$9,Paramètres!$A$1:$I$89,5,0)</f>
        <v>-6.3550942286383367E-14</v>
      </c>
      <c r="P167" s="13" t="e">
        <f t="shared" si="286"/>
        <v>#NUM!</v>
      </c>
      <c r="Q167" s="20" t="e">
        <f t="shared" si="327"/>
        <v>#NUM!</v>
      </c>
      <c r="R167" s="59" t="e">
        <f t="shared" si="224"/>
        <v>#NUM!</v>
      </c>
      <c r="S167" s="59">
        <f ca="1">AVERAGE(OFFSET($R$3,0,0,'Données projet'!$E$9+1,1))-AVERAGE(OFFSET($H$3,0,0,'Données projet'!$E$9+1,1))</f>
        <v>274.57619581652199</v>
      </c>
      <c r="T167" s="59">
        <f t="shared" si="287"/>
        <v>366.15117322598775</v>
      </c>
      <c r="U167" s="15">
        <f>IF(ISNA(VLOOKUP(A167,'Données projet'!$A$45:$I$65,3,0)),0,VLOOKUP(A167,'Données projet'!$A$45:$I$65,3,0))</f>
        <v>0</v>
      </c>
      <c r="V167" s="15">
        <f>IF(ISNA(VLOOKUP(A167,'Données projet'!$A$45:$I$65,4,0)),0,VLOOKUP(A167,'Données projet'!$A$45:$I$65,4,0))</f>
        <v>0</v>
      </c>
      <c r="W167" s="16">
        <f>IF(ISNA(VLOOKUP(A167,'Données projet'!$A$45:$I$65,5,0)),0%,VLOOKUP(A167,'Données projet'!$A$45:$I$65,5,0)*VLOOKUP('Données projet'!$B$9,Paramètres!$A$1:$I$89,7,0))</f>
        <v>0</v>
      </c>
      <c r="X167" s="16">
        <f>IF(ISNA(VLOOKUP(A167,'Données projet'!$A$45:$I$65,6,0)),0%,VLOOKUP(A167,'Données projet'!$A$45:$I$65,6,0)*VLOOKUP('Données projet'!$B$9,Paramètres!$A$1:$I$89,7,0))</f>
        <v>0</v>
      </c>
      <c r="Y167" s="16">
        <f>IF(ISNA(VLOOKUP(A167,'Données projet'!$A$45:$I$65,7,0)),0%,VLOOKUP(A167,'Données projet'!$A$45:$I$65,7,0))</f>
        <v>0</v>
      </c>
      <c r="Z167" s="21">
        <f>EXP(-LN(2)/35)*Z166+(1-EXP(-LN(2)/35))/(LN(2)/35)*V167*W167*VLOOKUP('Données projet'!$B$9,Paramètres!$A$1:$I$89,3,0)*0.475*44/12</f>
        <v>26.174348357323325</v>
      </c>
      <c r="AA167" s="21">
        <f>EXP(-LN(2)/25)*AA166+(1-EXP(-LN(2)/25))/(LN(2)/25)*Calculateur!V167*Calculateur!X167*VLOOKUP('Données projet'!$B$9,Paramètres!$A$1:$I$89,3,0)*0.475*44/12</f>
        <v>2.8053665046824641</v>
      </c>
      <c r="AB167" s="21">
        <f>EXP(-LN(2)/2)*AB166+(1-EXP(-LN(2)/2))/(LN(2)/2)*V167*Y167*VLOOKUP('Données projet'!$B$9,Paramètres!$A$1:$I$89,3,0)*0.475*44/12</f>
        <v>1.3409101448915211E-15</v>
      </c>
      <c r="AC167" s="22">
        <f t="shared" si="328"/>
        <v>28.979714862005789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projet'!$A$71:$I$91,2,0)</f>
        <v>#N/A</v>
      </c>
      <c r="AG167" s="12" t="e">
        <f>VLOOKUP(A167,'Données projet'!$A$71:$I$91,9,0)</f>
        <v>#N/A</v>
      </c>
      <c r="AH167" s="12">
        <f t="array" ref="AH167">INDEX(AG:AG,MIN(IF(ISNUMBER(AG167:AG363),ROW(AG167:AG363),"")))</f>
        <v>0</v>
      </c>
      <c r="AI167" s="13">
        <f>IF('Données projet'!$A$72&gt;35,AI166+AH167-AQ166,IF(A167&lt;'Données projet'!$A$72,$AF$205^A167,IF(A167='Données projet'!$A$72,'Données projet'!$B$72,AI166+AH167-AQ166)))</f>
        <v>5.6843418860808015E-13</v>
      </c>
      <c r="AJ167" s="13">
        <f>AI167*VLOOKUP('Données projet'!$B$10,Paramètres!$A$1:$I$89,3,0)*VLOOKUP('Données projet'!$B$10,Paramètres!$A$1:$I$89,5,0)</f>
        <v>5.1431925385259092E-13</v>
      </c>
      <c r="AK167" s="13">
        <f t="shared" si="329"/>
        <v>6.3855359115685756E-12</v>
      </c>
      <c r="AL167" s="20">
        <f t="shared" si="330"/>
        <v>1.2017247746441865E-11</v>
      </c>
      <c r="AM167" s="59">
        <f t="shared" si="228"/>
        <v>293.33333333334531</v>
      </c>
      <c r="AN167" s="59">
        <f ca="1">AVERAGE(OFFSET($AM$3,0,0,'Données projet'!$E$10+1,1))-AVERAGE(OFFSET($H$3,0,0,'Données projet'!$E$10+1,1))</f>
        <v>270.87836509222456</v>
      </c>
      <c r="AO167" s="59">
        <f t="shared" si="289"/>
        <v>205.24998237949734</v>
      </c>
      <c r="AP167" s="15">
        <f>IF(ISNA(VLOOKUP(A167,'Données projet'!$A$71:$I$91,3,0)),0,VLOOKUP(A167,'Données projet'!$A$71:$I$91,3,0))</f>
        <v>0</v>
      </c>
      <c r="AQ167" s="15">
        <f>IF(ISNA(VLOOKUP(A167,'Données projet'!$A$71:$I$91,4,0)),0,VLOOKUP(A167,'Données projet'!$A$71:$I$91,4,0))</f>
        <v>0</v>
      </c>
      <c r="AR167" s="16">
        <f>IF(ISNA(VLOOKUP(A167,'Données projet'!$A$71:$I$91,5,0)),0%,VLOOKUP(A167,'Données projet'!$A$71:$I$91,5,0)*VLOOKUP('Données projet'!$B$10,Paramètres!$A$1:$I$89,7,0))</f>
        <v>0</v>
      </c>
      <c r="AS167" s="16">
        <f>IF(ISNA(VLOOKUP(A167,'Données projet'!$A$71:$I$91,6,0)),0%,VLOOKUP(A167,'Données projet'!$A$71:$I$91,6,0)*VLOOKUP('Données projet'!$B$10,Paramètres!$A$1:$I$89,7,0))</f>
        <v>0</v>
      </c>
      <c r="AT167" s="16">
        <f>IF(ISNA(VLOOKUP(A167,'Données projet'!$A$71:$I$91,7,0)),0%,VLOOKUP(A167,'Données projet'!$A$71:$I$91,7,0))</f>
        <v>0</v>
      </c>
      <c r="AU167" s="21">
        <f>EXP(-LN(2)/35)*AU166+(1-EXP(-LN(2)/35))/(LN(2)/35)*AQ167*AR167*VLOOKUP('Données projet'!$B$10,Paramètres!$A$1:$I$89,3,0)*0.475*44/12</f>
        <v>88.947104343281964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331"/>
        <v>88.947104343281964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projet'!$A$97:$I$117,2,0)</f>
        <v>#N/A</v>
      </c>
      <c r="BB167" s="12" t="e">
        <f>VLOOKUP(A167,'Données projet'!$A$97:$I$117,9,0)</f>
        <v>#N/A</v>
      </c>
      <c r="BC167" s="12">
        <f t="array" ref="BC167">INDEX(BB:BB,MIN(IF(ISNUMBER(BB167:BB363),ROW(BB167:BB363),"")))</f>
        <v>0</v>
      </c>
      <c r="BD167" s="12">
        <f>IF('Données projet'!$A$98&gt;35,BD166+BC167-BL166,IF(A167&lt;'Données projet'!$A$98,$BA$205^A167,IF(A167='Données projet'!$A$98,'Données projet'!$B$98,BD166+BC167-BL166)))</f>
        <v>-1.1368683772161603E-13</v>
      </c>
      <c r="BE167" s="13">
        <f>BD167*VLOOKUP('Données projet'!$B$11,Paramètres!$A$1:$I$89,3,0)*VLOOKUP('Données projet'!$B$11,Paramètres!$A$1:$I$89,5,0)</f>
        <v>-5.0249582272954292E-14</v>
      </c>
      <c r="BF167" s="13" t="e">
        <f t="shared" si="332"/>
        <v>#NUM!</v>
      </c>
      <c r="BG167" s="20" t="e">
        <f t="shared" si="333"/>
        <v>#NUM!</v>
      </c>
      <c r="BH167" s="59" t="e">
        <f t="shared" si="231"/>
        <v>#NUM!</v>
      </c>
      <c r="BI167" s="59">
        <f ca="1">AVERAGE(OFFSET($BH$3,0,0,'Données projet'!$E$11+1,1))-AVERAGE(OFFSET($H$3,0,0,'Données projet'!$E$11+1,1))</f>
        <v>211.31057120485542</v>
      </c>
      <c r="BJ167" s="59">
        <f t="shared" si="291"/>
        <v>283.33292006714777</v>
      </c>
      <c r="BK167" s="15">
        <f>IF(ISNA(VLOOKUP(A167,'Données projet'!$A$97:$I$117,3,0)),0,VLOOKUP(A167,'Données projet'!$A$97:$I$117,3,0))</f>
        <v>0</v>
      </c>
      <c r="BL167" s="15">
        <f>IF(ISNA(VLOOKUP(A167,'Données projet'!$A$97:$I$117,4,0)),0,VLOOKUP(A167,'Données projet'!$A$97:$I$117,4,0))</f>
        <v>0</v>
      </c>
      <c r="BM167" s="16">
        <f>IF(ISNA(VLOOKUP(A167,'Données projet'!$A$97:$I$117,5,0)),0%,VLOOKUP(A167,'Données projet'!$A$97:$I$117,5,0)*VLOOKUP('Données projet'!$B$11,Paramètres!$A$1:$I$89,7,0))</f>
        <v>0</v>
      </c>
      <c r="BN167" s="16">
        <f>IF(ISNA(VLOOKUP(A167,'Données projet'!$A$97:$I$117,6,0)),0%,VLOOKUP(A167,'Données projet'!$A$97:$I$117,6,0)*VLOOKUP('Données projet'!$B$11,Paramètres!$A$1:$I$89,7,0))</f>
        <v>0</v>
      </c>
      <c r="BO167" s="16">
        <f>IF(ISNA(VLOOKUP(A167,'Données projet'!$A$97:$I$117,7,0)),0%,VLOOKUP(A167,'Données projet'!$A$97:$I$117,7,0))</f>
        <v>0</v>
      </c>
      <c r="BP167" s="21">
        <f>EXP(-LN(2)/35)*BP166+(1-EXP(-LN(2)/35))/(LN(2)/35)*BL167*BM167*VLOOKUP('Données projet'!$B$11,Paramètres!$A$1:$I$89,3,0)*0.475*44/12</f>
        <v>20.695996375557989</v>
      </c>
      <c r="BQ167" s="21">
        <f>EXP(-LN(2)/25)*BQ166+(1-EXP(-LN(2)/25))/(LN(2)/25)*Calculateur!BL167*Calculateur!BN167*VLOOKUP('Données projet'!$B$11,Paramètres!$A$1:$I$89,3,0)*0.475*44/12</f>
        <v>2.2181967711442727</v>
      </c>
      <c r="BR167" s="21">
        <f>EXP(-LN(2)/2)*BR166+(1-EXP(-LN(2)/2))/(LN(2)/2)*BL167*BO167*VLOOKUP('Données projet'!$B$11,Paramètres!$A$1:$I$89,3,0)*0.475*44/12</f>
        <v>1.0602545331700397E-15</v>
      </c>
      <c r="BS167" s="22">
        <f t="shared" si="334"/>
        <v>22.91419314670226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projet'!$A$123:$I$143,2,0)</f>
        <v>#N/A</v>
      </c>
      <c r="BW167" s="12" t="e">
        <f>VLOOKUP(A167,'Données projet'!$A$123:$I$143,9,0)</f>
        <v>#N/A</v>
      </c>
      <c r="BX167" s="12">
        <f t="array" ref="BX167">INDEX(BW:BW,MIN(IF(ISNUMBER(BW167:BW363),ROW(BW167:BW363),"")))</f>
        <v>0</v>
      </c>
      <c r="BY167" s="12">
        <f>IF('Données projet'!$A$124&gt;35,BY166+BX167-CG166,IF(A167&lt;'Données projet'!$A$124,$BV$205^A167,IF(A167='Données projet'!$A$124,'Données projet'!$B$124,BY166+BX167-CG166)))</f>
        <v>0</v>
      </c>
      <c r="BZ167" s="13">
        <f>BY167*VLOOKUP('Données projet'!$B$12,Paramètres!$A$1:$I$89,3,0)*VLOOKUP('Données projet'!$B$12,Paramètres!$A$1:$I$89,5,0)</f>
        <v>0</v>
      </c>
      <c r="CA167" s="13" t="e">
        <f t="shared" si="335"/>
        <v>#NUM!</v>
      </c>
      <c r="CB167" s="20" t="e">
        <f t="shared" si="336"/>
        <v>#NUM!</v>
      </c>
      <c r="CC167" s="59" t="e">
        <f t="shared" si="234"/>
        <v>#NUM!</v>
      </c>
      <c r="CD167" s="59">
        <f ca="1">AVERAGE(OFFSET($CC$3,0,0,'Données projet'!$E$12+1,1))-AVERAGE(OFFSET($H$3,0,0,'Données projet'!$E$12+1,1))</f>
        <v>322.93502595881938</v>
      </c>
      <c r="CE167" s="59">
        <f t="shared" si="293"/>
        <v>302.67072119588164</v>
      </c>
      <c r="CF167" s="15">
        <f>IF(ISNA(VLOOKUP(A167,'Données projet'!$A$123:$I$143,3,0)),0,VLOOKUP(A167,'Données projet'!$A$123:$I$143,3,0))</f>
        <v>0</v>
      </c>
      <c r="CG167" s="15">
        <f>IF(ISNA(VLOOKUP(A167,'Données projet'!$A$123:$I$143,4,0)),0,VLOOKUP(A167,'Données projet'!$A$123:$I$143,4,0))</f>
        <v>0</v>
      </c>
      <c r="CH167" s="16">
        <f>IF(ISNA(VLOOKUP(A167,'Données projet'!$A$123:$I$143,5,0)),0%,VLOOKUP(A167,'Données projet'!$A$123:$I$143,5,0)*VLOOKUP('Données projet'!$B$12,Paramètres!$A$1:$I$89,7,0))</f>
        <v>0</v>
      </c>
      <c r="CI167" s="16">
        <f>IF(ISNA(VLOOKUP(A167,'Données projet'!$A$123:$I$143,6,0)),0%,VLOOKUP(A167,'Données projet'!$A$123:$I$143,6,0)*VLOOKUP('Données projet'!$B$12,Paramètres!$A$1:$I$89,7,0))</f>
        <v>0</v>
      </c>
      <c r="CJ167" s="16">
        <f>IF(ISNA(VLOOKUP(A167,'Données projet'!$A$123:$I$143,7,0)),0%,VLOOKUP(A167,'Données projet'!$A$123:$I$143,7,0))</f>
        <v>0</v>
      </c>
      <c r="CK167" s="21">
        <f>EXP(-LN(2)/35)*CK166+(1-EXP(-LN(2)/35))/(LN(2)/35)*CG167*CH167*VLOOKUP('Données projet'!$B$12,Paramètres!$A$1:$I$89,3,0)*0.475*44/12</f>
        <v>32.973723087042643</v>
      </c>
      <c r="CL167" s="21">
        <f>EXP(-LN(2)/25)*CL166+(1-EXP(-LN(2)/25))/(LN(2)/25)*Calculateur!CG167*Calculateur!CI167*VLOOKUP('Données projet'!$B$12,Paramètres!$A$1:$I$89,3,0)*0.475*44/12</f>
        <v>7.099571763148897</v>
      </c>
      <c r="CM167" s="21">
        <f>EXP(-LN(2)/2)*CM166+(1-EXP(-LN(2)/2))/(LN(2)/2)*CG167*CJ167*VLOOKUP('Données projet'!$B$12,Paramètres!$A$1:$I$89,3,0)*0.475*44/12</f>
        <v>0</v>
      </c>
      <c r="CN167" s="22">
        <f t="shared" si="337"/>
        <v>40.073294850191537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projet'!$A$149:$I$169,2,0)</f>
        <v>#N/A</v>
      </c>
      <c r="CR167" s="12" t="e">
        <f>VLOOKUP(A167,'Données projet'!$A$149:$I$169,9,0)</f>
        <v>#N/A</v>
      </c>
      <c r="CS167" s="12">
        <f t="array" ref="CS167">INDEX(CR:CR,MIN(IF(ISNUMBER(CR167:CR363),ROW(CR167:CR363),"")))</f>
        <v>0</v>
      </c>
      <c r="CT167" s="12">
        <f>IF('Données projet'!$A$150&gt;35,CT166+CS167-DB166,IF(A167&lt;'Données projet'!$A$150,$CQ$205^A167,IF(A167='Données projet'!$A$150,'Données projet'!$B$150,CT166+CS167-DB166)))</f>
        <v>-4.5474735088646412E-13</v>
      </c>
      <c r="CU167" s="17">
        <f>CT167*VLOOKUP('Données projet'!$B$13,Paramètres!$A$1:$I$89,3,0)*VLOOKUP('Données projet'!$B$13,Paramètres!$A$1:$I$89,5,0)</f>
        <v>-4.6111381379887462E-13</v>
      </c>
      <c r="CV167" s="13" t="e">
        <f t="shared" si="338"/>
        <v>#NUM!</v>
      </c>
      <c r="CW167" s="20" t="e">
        <f t="shared" si="339"/>
        <v>#NUM!</v>
      </c>
      <c r="CX167" s="59" t="e">
        <f t="shared" si="237"/>
        <v>#NUM!</v>
      </c>
      <c r="CY167" s="59">
        <f ca="1">AVERAGE(OFFSET($CX$3,0,0,'Données projet'!$E$13+1,1))-AVERAGE(OFFSET($H$3,0,0,'Données projet'!$E$13+1,1))</f>
        <v>250.31277422753283</v>
      </c>
      <c r="CZ167" s="59">
        <f t="shared" si="295"/>
        <v>159.20429420478047</v>
      </c>
      <c r="DA167" s="15">
        <f>IF(ISNA(VLOOKUP(A167,'Données projet'!$A$149:$I$169,3,0)),0,VLOOKUP(A167,'Données projet'!$A$149:$I$169,3,0))</f>
        <v>0</v>
      </c>
      <c r="DB167" s="15">
        <f>IF(ISNA(VLOOKUP(A167,'Données projet'!$A$149:$I$169,4,0)),0,VLOOKUP(A167,'Données projet'!$A$149:$I$169,4,0))</f>
        <v>0</v>
      </c>
      <c r="DC167" s="16">
        <f>IF(ISNA(VLOOKUP(A167,'Données projet'!$A$149:$I$169,5,0)),0%,VLOOKUP(A167,'Données projet'!$A$149:$I$169,5,0)*VLOOKUP('Données projet'!$B$13,Paramètres!$A$1:$I$89,7,0))</f>
        <v>0</v>
      </c>
      <c r="DD167" s="16">
        <f>IF(ISNA(VLOOKUP(A167,'Données projet'!$A$149:$I$169,6,0)),0%,VLOOKUP(A167,'Données projet'!$A$149:$I$169,6,0)*VLOOKUP('Données projet'!$B$13,Paramètres!$A$1:$I$89,7,0))</f>
        <v>0</v>
      </c>
      <c r="DE167" s="16">
        <f>IF(ISNA(VLOOKUP(A167,'Données projet'!$A$149:$I$169,7,0)),0%,VLOOKUP(A167,'Données projet'!$A$149:$I$169,7,0))</f>
        <v>0</v>
      </c>
      <c r="DF167" s="21">
        <f>EXP(-LN(2)/35)*DF166+(1-EXP(-LN(2)/35))/(LN(2)/35)*DB167*DC167*VLOOKUP('Données projet'!$B$13,Paramètres!$A$1:$I$89,3,0)*0.475*44/12</f>
        <v>150.10621164691256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340"/>
        <v>150.10621164691256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projet'!$A$175:$I$195,2,0)</f>
        <v>#N/A</v>
      </c>
      <c r="DM167" s="12" t="e">
        <f>VLOOKUP(A167,'Données projet'!$A$175:$I$195,9,0)</f>
        <v>#N/A</v>
      </c>
      <c r="DN167" s="12">
        <f t="array" ref="DN167">INDEX(DM:DM,MIN(IF(ISNUMBER(DM167:DM363),ROW(DM167:DM363),"")))</f>
        <v>0</v>
      </c>
      <c r="DO167" s="12">
        <f>IF('Données projet'!$A$176&gt;35,DO166+DN167-DW166,IF(A167&lt;'Données projet'!$A$176,$DL$205^A167,IF(A167='Données projet'!$A$176,'Données projet'!$B$176,DO166+DN167-DW166)))</f>
        <v>-2.8421709430404007E-13</v>
      </c>
      <c r="DP167" s="17">
        <f>DO167*VLOOKUP('Données projet'!$B$14,Paramètres!$A$1:$I$89,3,0)*VLOOKUP('Données projet'!$B$14,Paramètres!$A$1:$I$89,5,0)</f>
        <v>-2.0838797354372215E-13</v>
      </c>
      <c r="DQ167" s="13" t="e">
        <f t="shared" si="341"/>
        <v>#NUM!</v>
      </c>
      <c r="DR167" s="20" t="e">
        <f t="shared" si="342"/>
        <v>#NUM!</v>
      </c>
      <c r="DS167" s="59" t="e">
        <f t="shared" si="240"/>
        <v>#NUM!</v>
      </c>
      <c r="DT167" s="59">
        <f ca="1">AVERAGE(OFFSET($DS$3,0,0,'Données projet'!$E$14+1,1))-AVERAGE(OFFSET($H$3,0,0,'Données projet'!$E$14+1,1))</f>
        <v>296.91321813251051</v>
      </c>
      <c r="DU167" s="59">
        <f t="shared" si="297"/>
        <v>291.0718079639509</v>
      </c>
      <c r="DV167" s="15">
        <f>IF(ISNA(VLOOKUP(A167,'Données projet'!$A$175:$I$195,3,0)),0,VLOOKUP(A167,'Données projet'!$A$175:$I$195,3,0))</f>
        <v>0</v>
      </c>
      <c r="DW167" s="15">
        <f>IF(ISNA(VLOOKUP(A167,'Données projet'!$A$175:$I$195,4,0)),0,VLOOKUP(A167,'Données projet'!$A$175:$I$195,4,0))</f>
        <v>0</v>
      </c>
      <c r="DX167" s="16">
        <f>IF(ISNA(VLOOKUP(A167,'Données projet'!$A$175:$I$195,5,0)),0%,VLOOKUP(A167,'Données projet'!$A$175:$I$195,5,0)*VLOOKUP('Données projet'!$B$14,Paramètres!$A$1:$I$89,7,0))</f>
        <v>0</v>
      </c>
      <c r="DY167" s="16">
        <f>IF(ISNA(VLOOKUP(A167,'Données projet'!$A$175:$I$195,6,0)),0%,VLOOKUP(A167,'Données projet'!$A$175:$I$195,6,0)*VLOOKUP('Données projet'!$B$14,Paramètres!$A$1:$I$89,7,0))</f>
        <v>0</v>
      </c>
      <c r="DZ167" s="16">
        <f>IF(ISNA(VLOOKUP(A167,'Données projet'!$A$175:$I$195,7,0)),0%,VLOOKUP(A167,'Données projet'!$A$175:$I$195,7,0))</f>
        <v>0</v>
      </c>
      <c r="EA167" s="21">
        <f>EXP(-LN(2)/35)*EA166+(1-EXP(-LN(2)/35))/(LN(2)/35)*DW167*DX167*VLOOKUP('Données projet'!$B$14,Paramètres!$A$1:$I$89,3,0)*0.475*44/12</f>
        <v>32.864215936559823</v>
      </c>
      <c r="EB167" s="21">
        <f>EXP(-LN(2)/25)*EB166+(1-EXP(-LN(2)/25))/(LN(2)/25)*Calculateur!DW167*Calculateur!DY167*VLOOKUP('Données projet'!$B$14,Paramètres!$A$1:$I$89,3,0)*0.475*44/12</f>
        <v>0.52154098064627497</v>
      </c>
      <c r="EC167" s="21">
        <f>EXP(-LN(2)/2)*EC166+(1-EXP(-LN(2)/2))/(LN(2)/2)*DW167*DZ167*VLOOKUP('Données projet'!$B$14,Paramètres!$A$1:$I$89,3,0)*0.475*44/12</f>
        <v>0</v>
      </c>
      <c r="ED167" s="22">
        <f t="shared" si="343"/>
        <v>33.385756917206095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projet'!$A$201:$I$221,2,0)</f>
        <v>#N/A</v>
      </c>
      <c r="EH167" s="12" t="e">
        <f>VLOOKUP(A167,'Données projet'!$A$201:$I$221,9,0)</f>
        <v>#N/A</v>
      </c>
      <c r="EI167" s="12">
        <f t="array" ref="EI167">INDEX(EH:EH,MIN(IF(ISNUMBER(EH167:EH363),ROW(EH167:EH363),"")))</f>
        <v>0</v>
      </c>
      <c r="EJ167" s="12">
        <f>IF('Données projet'!$A$202&gt;35,EJ166+EI167-ER166,IF(A167&lt;'Données projet'!$A$202,$EG$205^A167,IF(A167='Données projet'!$A$202,'Données projet'!$B$202,EJ166+EI167-ER166)))</f>
        <v>5.1159076974727213E-13</v>
      </c>
      <c r="EK167" s="17">
        <f>EJ167*VLOOKUP('Données projet'!$B$15,Paramètres!$A$1:$I$89,3,0)*VLOOKUP('Données projet'!$B$15,Paramètres!$A$1:$I$89,5,0)</f>
        <v>2.3942448024172334E-13</v>
      </c>
      <c r="EL167" s="13">
        <f t="shared" si="344"/>
        <v>3.2492669905861755E-12</v>
      </c>
      <c r="EM167" s="20">
        <f t="shared" si="345"/>
        <v>6.0761376450252565E-12</v>
      </c>
      <c r="EN167" s="59">
        <f t="shared" si="243"/>
        <v>293.3333333333394</v>
      </c>
      <c r="EO167" s="59">
        <f ca="1">AVERAGE(OFFSET($EN$3,0,0,'Données projet'!$E$15+1,1))-AVERAGE(OFFSET($H$3,0,0,'Données projet'!$E$15+1,1))</f>
        <v>147.64256291235483</v>
      </c>
      <c r="EP167" s="59">
        <f t="shared" si="299"/>
        <v>70.859031694091868</v>
      </c>
      <c r="EQ167" s="15">
        <f>IF(ISNA(VLOOKUP(A167,'Données projet'!$A$201:$I$221,3,0)),0,VLOOKUP(A167,'Données projet'!$A$201:$I$221,3,0))</f>
        <v>0</v>
      </c>
      <c r="ER167" s="15">
        <f>IF(ISNA(VLOOKUP(A167,'Données projet'!$A$201:$I$221,4,0)),0,VLOOKUP(A167,'Données projet'!$A$201:$I$221,4,0))</f>
        <v>0</v>
      </c>
      <c r="ES167" s="16">
        <f>IF(ISNA(VLOOKUP(A167,'Données projet'!$A$201:$I$221,5,0)),0%,VLOOKUP(A167,'Données projet'!$A$201:$I$221,5,0)*VLOOKUP('Données projet'!$B$15,Paramètres!$A$1:$I$89,7,0))</f>
        <v>0</v>
      </c>
      <c r="ET167" s="16">
        <f>IF(ISNA(VLOOKUP(A167,'Données projet'!$A$201:$I$221,6,0)),0%,VLOOKUP(A167,'Données projet'!$A$201:$I$221,6,0)*VLOOKUP('Données projet'!$B$15,Paramètres!$A$1:$I$89,7,0))</f>
        <v>0</v>
      </c>
      <c r="EU167" s="16">
        <f>IF(ISNA(VLOOKUP(A167,'Données projet'!$A$201:$I$221,7,0)),0%,VLOOKUP(A167,'Données projet'!$A$201:$I$221,7,0))</f>
        <v>0</v>
      </c>
      <c r="EV167" s="21">
        <f>EXP(-LN(2)/35)*EV166+(1-EXP(-LN(2)/35))/(LN(2)/35)*ER167*ES167*VLOOKUP('Données projet'!$B$15,Paramètres!$A$1:$I$89,3,0)*0.475*44/12</f>
        <v>44.99162965050936</v>
      </c>
      <c r="EW167" s="21">
        <f>EXP(-LN(2)/25)*EW166+(1-EXP(-LN(2)/25))/(LN(2)/25)*Calculateur!ER167*Calculateur!ET167*VLOOKUP('Données projet'!$B$15,Paramètres!$A$1:$I$89,3,0)*0.475*44/12</f>
        <v>7.235855662809807</v>
      </c>
      <c r="EX167" s="21">
        <f>EXP(-LN(2)/2)*EX166+(1-EXP(-LN(2)/2))/(LN(2)/2)*ER167*EU167*VLOOKUP('Données projet'!$B$15,Paramètres!$A$1:$I$89,3,0)*0.475*44/12</f>
        <v>9.6667428667769057E-8</v>
      </c>
      <c r="EY167" s="22">
        <f t="shared" si="346"/>
        <v>52.227485409986592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projet'!$A$227:$I$247,2,0)</f>
        <v>#N/A</v>
      </c>
      <c r="FC167" s="12" t="e">
        <f>VLOOKUP(A167,'Données projet'!$A$227:$I$247,9,0)</f>
        <v>#N/A</v>
      </c>
      <c r="FD167" s="12">
        <f t="array" ref="FD167">INDEX(FC:FC,MIN(IF(ISNUMBER(FC167:FC363),ROW(FC167:FC363),"")))</f>
        <v>0</v>
      </c>
      <c r="FE167" s="12">
        <f>IF('Données projet'!$A$228&gt;35,FE166+FD167-FM166,IF(A167&lt;'Données projet'!$A$228,$FB$205^A167,IF(A167='Données projet'!$A$228,'Données projet'!$B$228,FE166+FD167-FM166)))</f>
        <v>8.5265128291212022E-14</v>
      </c>
      <c r="FF167" s="17">
        <f>FE167*VLOOKUP('Données projet'!$B$16,Paramètres!$A$1:$I$89,3,0)*VLOOKUP('Données projet'!$B$16,Paramètres!$A$1:$I$89,5,0)</f>
        <v>8.9119112089974823E-14</v>
      </c>
      <c r="FG167" s="13">
        <f t="shared" si="347"/>
        <v>1.3568952080113142E-12</v>
      </c>
      <c r="FH167" s="20">
        <f t="shared" si="348"/>
        <v>2.5184749408430782E-12</v>
      </c>
      <c r="FI167" s="59">
        <f t="shared" si="246"/>
        <v>293.33333333333582</v>
      </c>
      <c r="FJ167" s="59">
        <f ca="1">AVERAGE(OFFSET($FI$3,0,0,'Données projet'!$E$16+1,1))-AVERAGE(OFFSET($H$3,0,0,'Données projet'!$E$16+1,1))</f>
        <v>259.03906550253788</v>
      </c>
      <c r="FK167" s="59">
        <f t="shared" si="301"/>
        <v>235.54542903570831</v>
      </c>
      <c r="FL167" s="15">
        <f>IF(ISNA(VLOOKUP(A167,'Données projet'!$A$227:$I$247,3,0)),0,VLOOKUP(A167,'Données projet'!$A$227:$I$247,3,0))</f>
        <v>0</v>
      </c>
      <c r="FM167" s="15">
        <f>IF(ISNA(VLOOKUP(A167,'Données projet'!$A$227:$I$247,4,0)),0,VLOOKUP(A167,'Données projet'!$A$227:$I$247,4,0))</f>
        <v>0</v>
      </c>
      <c r="FN167" s="16">
        <f>IF(ISNA(VLOOKUP(A167,'Données projet'!$A$227:$I$247,5,0)),0%,VLOOKUP(A167,'Données projet'!$A$227:$I$247,5,0)*VLOOKUP('Données projet'!$B$16,Paramètres!$A$1:$I$89,7,0))</f>
        <v>0</v>
      </c>
      <c r="FO167" s="16">
        <f>IF(ISNA(VLOOKUP(A167,'Données projet'!$A$227:$I$247,6,0)),0%,VLOOKUP(A167,'Données projet'!$A$227:$I$247,6,0)*VLOOKUP('Données projet'!$B$16,Paramètres!$A$1:$I$89,7,0))</f>
        <v>0</v>
      </c>
      <c r="FP167" s="16">
        <f>IF(ISNA(VLOOKUP(A167,'Données projet'!$A$227:$I$247,7,0)),0%,VLOOKUP(A167,'Données projet'!$A$227:$I$247,7,0))</f>
        <v>0</v>
      </c>
      <c r="FQ167" s="21">
        <f>EXP(-LN(2)/35)*FQ166+(1-EXP(-LN(2)/35))/(LN(2)/35)*FM167*FN167*VLOOKUP('Données projet'!$B$16,Paramètres!$A$1:$I$89,3,0)*0.475*44/12</f>
        <v>19.858082594648039</v>
      </c>
      <c r="FR167" s="21">
        <f>EXP(-LN(2)/25)*FR166+(1-EXP(-LN(2)/25))/(LN(2)/25)*Calculateur!FM167*Calculateur!FO167*VLOOKUP('Données projet'!$B$16,Paramètres!$A$1:$I$89,3,0)*0.475*44/12</f>
        <v>9.9541832576932894</v>
      </c>
      <c r="FS167" s="21">
        <f>EXP(-LN(2)/2)*FS166+(1-EXP(-LN(2)/2))/(LN(2)/2)*FM167*FP167*VLOOKUP('Données projet'!$B$16,Paramètres!$A$1:$I$89,3,0)*0.475*44/12</f>
        <v>0</v>
      </c>
      <c r="FT167" s="22">
        <f t="shared" si="349"/>
        <v>29.812265852341326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projet'!$A$253:$I$273,2,0)</f>
        <v>#N/A</v>
      </c>
      <c r="FX167" s="12" t="e">
        <f>VLOOKUP(A167,'Données projet'!$A$253:$I$273,9,0)</f>
        <v>#N/A</v>
      </c>
      <c r="FY167" s="12">
        <f t="array" ref="FY167">INDEX(FX:FX,MIN(IF(ISNUMBER(FX167:FX363),ROW(FX167:FX363),"")))</f>
        <v>0</v>
      </c>
      <c r="FZ167" s="12">
        <f>IF('Données projet'!$A$254&gt;35,FZ166+FY167-GH166,IF(A167&lt;'Données projet'!$A$254,$FW$205^A167,IF(A167='Données projet'!$A$254,'Données projet'!$B$254,FZ166+FY167-GH166)))</f>
        <v>-1.7053025658242404E-13</v>
      </c>
      <c r="GA167" s="17">
        <f>FZ167*VLOOKUP('Données projet'!$B$17,Paramètres!$A$1:$I$89,3,0)*VLOOKUP('Données projet'!$B$17,Paramètres!$A$1:$I$89,5,0)</f>
        <v>-1.4897523215040567E-13</v>
      </c>
      <c r="GB167" s="13" t="e">
        <f t="shared" si="350"/>
        <v>#NUM!</v>
      </c>
      <c r="GC167" s="20" t="e">
        <f t="shared" si="351"/>
        <v>#NUM!</v>
      </c>
      <c r="GD167" s="59" t="e">
        <f t="shared" si="249"/>
        <v>#NUM!</v>
      </c>
      <c r="GE167" s="59">
        <f ca="1">AVERAGE(OFFSET($GD$3,0,0,'Données projet'!$E$17+1,1))-AVERAGE(OFFSET($H$3,0,0,'Données projet'!$E$17+1,1))</f>
        <v>245.1983232777614</v>
      </c>
      <c r="GF167" s="59">
        <f t="shared" si="303"/>
        <v>242.34010522344573</v>
      </c>
      <c r="GG167" s="15">
        <f>IF(ISNA(VLOOKUP(A167,'Données projet'!$A$253:$I$273,3,0)),0,VLOOKUP(A167,'Données projet'!$A$253:$I$273,3,0))</f>
        <v>0</v>
      </c>
      <c r="GH167" s="15">
        <f>IF(ISNA(VLOOKUP(A167,'Données projet'!$A$253:$I$273,4,0)),0,VLOOKUP(A167,'Données projet'!$A$253:$I$273,4,0))</f>
        <v>0</v>
      </c>
      <c r="GI167" s="16">
        <f>IF(ISNA(VLOOKUP(A167,'Données projet'!$A$253:$I$273,5,0)),0%,VLOOKUP(A167,'Données projet'!$A$253:$I$273,5,0)*VLOOKUP('Données projet'!$B$17,Paramètres!$A$1:$I$89,7,0))</f>
        <v>0</v>
      </c>
      <c r="GJ167" s="16">
        <f>IF(ISNA(VLOOKUP(A167,'Données projet'!$A$253:$I$273,6,0)),0%,VLOOKUP(A167,'Données projet'!$A$253:$I$273,6,0)*VLOOKUP('Données projet'!$B$17,Paramètres!$A$1:$I$89,7,0))</f>
        <v>0</v>
      </c>
      <c r="GK167" s="16">
        <f>IF(ISNA(VLOOKUP(A167,'Données projet'!$A$253:$I$273,7,0)),0%,VLOOKUP(A167,'Données projet'!$A$253:$I$273,7,0))</f>
        <v>0</v>
      </c>
      <c r="GL167" s="21">
        <f>EXP(-LN(2)/35)*GL166+(1-EXP(-LN(2)/35))/(LN(2)/35)*GH167*GI167*VLOOKUP('Données projet'!$B$17,Paramètres!$A$1:$I$89,3,0)*0.475*44/12</f>
        <v>23.34590066455134</v>
      </c>
      <c r="GM167" s="21">
        <f>EXP(-LN(2)/25)*GM166+(1-EXP(-LN(2)/25))/(LN(2)/25)*Calculateur!GH167*Calculateur!GJ167*VLOOKUP('Données projet'!$B$17,Paramètres!$A$1:$I$89,3,0)*0.475*44/12</f>
        <v>2.1209939520465042</v>
      </c>
      <c r="GN167" s="21">
        <f>EXP(-LN(2)/2)*GN166+(1-EXP(-LN(2)/2))/(LN(2)/2)*GH167*GK167*VLOOKUP('Données projet'!$B$17,Paramètres!$A$1:$I$89,3,0)*0.475*44/12</f>
        <v>0</v>
      </c>
      <c r="GO167" s="21">
        <f t="shared" si="352"/>
        <v>25.466894616597845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projet'!$A$279:$I$299,2,0)</f>
        <v>#N/A</v>
      </c>
      <c r="GS167" s="12" t="e">
        <f>VLOOKUP(A167,'Données projet'!$A$279:$I$299,9,0)</f>
        <v>#N/A</v>
      </c>
      <c r="GT167" s="12">
        <f t="array" ref="GT167">INDEX(GS:GS,MIN(IF(ISNUMBER(GS167:GS363),ROW(GS167:GS363),"")))</f>
        <v>0</v>
      </c>
      <c r="GU167" s="12">
        <f>IF('Données projet'!$A$280&gt;35,GU166+GT167-HC166,IF(A167&lt;'Données projet'!$A$280,$GR$205^A167,IF(A167='Données projet'!$A$280,'Données projet'!$B$280,GU166+GT167-HC166)))</f>
        <v>-1.1368683772161603E-13</v>
      </c>
      <c r="GV167" s="17">
        <f>GU167*VLOOKUP('Données projet'!$B$18,Paramètres!$A$1:$I$89,3,0)*VLOOKUP('Données projet'!$B$18,Paramètres!$A$1:$I$89,5,0)</f>
        <v>-4.5815795601811263E-14</v>
      </c>
      <c r="GW167" s="13" t="e">
        <f t="shared" si="353"/>
        <v>#NUM!</v>
      </c>
      <c r="GX167" s="20" t="e">
        <f t="shared" si="354"/>
        <v>#NUM!</v>
      </c>
      <c r="GY167" s="59" t="e">
        <f t="shared" si="252"/>
        <v>#NUM!</v>
      </c>
      <c r="GZ167" s="59">
        <f ca="1">AVERAGE(OFFSET($GY$3,0,0,'Données projet'!$E$18+1,1))-AVERAGE(OFFSET($H$3,0,0,'Données projet'!$E$18+1,1))</f>
        <v>324.36162935850876</v>
      </c>
      <c r="HA167" s="59">
        <f t="shared" si="305"/>
        <v>265.23571072429735</v>
      </c>
      <c r="HB167" s="15">
        <f>IF(ISNA(VLOOKUP(A167,'Données projet'!$A$279:$I$299,3,0)),0,VLOOKUP(A167,'Données projet'!$A$279:$I$299,3,0))</f>
        <v>0</v>
      </c>
      <c r="HC167" s="15">
        <f>IF(ISNA(VLOOKUP(A167,'Données projet'!$A$279:$I$299,4,0)),0,VLOOKUP(A167,'Données projet'!$A$279:$I$299,4,0))</f>
        <v>0</v>
      </c>
      <c r="HD167" s="16">
        <f>IF(ISNA(VLOOKUP(A167,'Données projet'!$A$279:$I$299,5,0)),0%,VLOOKUP(A167,'Données projet'!$A$279:$I$299,5,0)*VLOOKUP('Données projet'!$B$18,Paramètres!$A$1:$I$89,7,0))</f>
        <v>0</v>
      </c>
      <c r="HE167" s="16">
        <f>IF(ISNA(VLOOKUP(A167,'Données projet'!$A$279:$I$299,6,0)),0%,VLOOKUP(A167,'Données projet'!$A$279:$I$299,6,0)*VLOOKUP('Données projet'!$B$18,Paramètres!$A$1:$I$89,7,0))</f>
        <v>0</v>
      </c>
      <c r="HF167" s="16">
        <f>IF(ISNA(VLOOKUP($A167,'Données projet'!$A$279:$I$299,7,0)),0%,VLOOKUP($A167,'Données projet'!$A$279:$I$299,7,0))</f>
        <v>0</v>
      </c>
      <c r="HG167" s="21">
        <f>EXP(-LN(2)/35)*HG166+(1-EXP(-LN(2)/35))/(LN(2)/35)*HC167*HD167*VLOOKUP('Données projet'!$B$18,Paramètres!$A$1:$I$89,3,0)*0.475*44/12</f>
        <v>44.736848730854192</v>
      </c>
      <c r="HH167" s="21">
        <f>EXP(-LN(2)/25)*HH166+(1-EXP(-LN(2)/25))/(LN(2)/25)*Calculateur!HC167*Calculateur!HE167*VLOOKUP('Données projet'!$B$18,Paramètres!$A$1:$I$89,3,0)*0.475*44/12</f>
        <v>2.3589246484956572</v>
      </c>
      <c r="HI167" s="21">
        <f>EXP(-LN(2)/2)*HI166+(1-EXP(-LN(2)/2))/(LN(2)/2)*HC167*HF167*VLOOKUP('Données projet'!$B$18,Paramètres!$A$1:$I$89,3,0)*0.475*44/12</f>
        <v>1.9434104864057935E-12</v>
      </c>
      <c r="HJ167" s="22">
        <f t="shared" si="355"/>
        <v>47.095773379351797</v>
      </c>
      <c r="HK167" s="74">
        <f>('Scénario référence'!$F$8+'Scénario référence'!$F$9+'Scénario référence'!$B$17+'Scénario référence'!$B$9+'Scénario référence'!$B$10)*70+IF((45+25*(1-EXP(-0.0175*$A167)))&lt;70,'Scénario référence'!$B$16*(45+25*(1-EXP(-0.0175*$A167))),70*'Scénario référence'!$B$16)+IF((32+38*(1-EXP(-0.0175*$A167)))&lt;70,'Scénario référence'!$B$18*(32+38*(1-EXP(-0.0175*$A167))),70*'Scénario référence'!$B$18)</f>
        <v>70</v>
      </c>
      <c r="HL167" s="12">
        <f>IF($A167&gt;30,10,('Scénario référence'!$B$16+'Scénario référence'!$B$17+'Scénario référence'!$B$18+'Scénario référence'!$B$9+'Scénario référence'!$B$10)*$A167*10/30+('Scénario référence'!$F$8+'Scénario référence'!$F$9)*10)</f>
        <v>10</v>
      </c>
      <c r="HM167" s="12" t="e">
        <f>VLOOKUP($A167,'Données projet'!$A$304:$I$324,2,0)</f>
        <v>#N/A</v>
      </c>
      <c r="HN167" s="12" t="e">
        <f>VLOOKUP($A167,'Données projet'!$A$304:$I$324,9,0)</f>
        <v>#N/A</v>
      </c>
      <c r="HO167" s="12">
        <f t="array" ref="HO167">INDEX(HN:HN,MIN(IF(ISNUMBER(HN167:HN363),ROW(HN167:HN363),"")))</f>
        <v>0</v>
      </c>
      <c r="HP167" s="12">
        <f>IF('Données projet'!$A$304&gt;35,HP166+HO167-HX166,IF($A167&lt;'Données projet'!$A$304,$CQ$205^$A167,IF($A167='Données projet'!$A$304,'Données projet'!$B$304,HP166+HO167-HX166)))</f>
        <v>0</v>
      </c>
      <c r="HQ167" s="17">
        <f>HP167*VLOOKUP('Données projet'!$B$19,Paramètres!$A$1:$I$89,3,0)*VLOOKUP('Données projet'!$B$19,Paramètres!$A$1:$I$89,5,0)</f>
        <v>0</v>
      </c>
      <c r="HR167" s="13" t="e">
        <f t="shared" si="306"/>
        <v>#NUM!</v>
      </c>
      <c r="HS167" s="14" t="e">
        <f t="shared" si="254"/>
        <v>#NUM!</v>
      </c>
      <c r="HT167" s="59" t="e">
        <f t="shared" si="255"/>
        <v>#NUM!</v>
      </c>
      <c r="HU167" s="59">
        <f ca="1">AVERAGE(OFFSET(HT$3,0,0,'Données projet'!$E$19+1,1))-AVERAGE(OFFSET($H$3,0,0,'Données projet'!$E$19+1,1))</f>
        <v>91.60721429656013</v>
      </c>
      <c r="HV167" s="59">
        <f t="shared" si="307"/>
        <v>258.94957804210856</v>
      </c>
      <c r="HW167" s="15">
        <f>IF(ISNA(VLOOKUP($A167,'Données projet'!$A$304:$I$324,3,0)),0,VLOOKUP($A167,'Données projet'!$A$304:$I$324,3,0))</f>
        <v>0</v>
      </c>
      <c r="HX167" s="15">
        <f>IF(ISNA(VLOOKUP($A167,'Données projet'!$A$304:$I$324,4,0)),0,VLOOKUP($A167,'Données projet'!$A$304:$I$324,4,0))</f>
        <v>0</v>
      </c>
      <c r="HY167" s="16">
        <f>IF(ISNA(VLOOKUP($A167,'Données projet'!$A$304:$I$324,5,0)),0%,VLOOKUP($A167,'Données projet'!$A$304:$I$324,5,0)*VLOOKUP('Données projet'!$B$19,Paramètres!$A$1:$I$89,7,0))</f>
        <v>0</v>
      </c>
      <c r="HZ167" s="16">
        <f>IF(ISNA(VLOOKUP($A167,'Données projet'!$A$304:$I$324,6,0)),0%,VLOOKUP($A167,'Données projet'!$A$304:$I$324,6,0)*VLOOKUP('Données projet'!$B$19,Paramètres!$A$1:$I$89,7,0))</f>
        <v>0</v>
      </c>
      <c r="IA167" s="16">
        <f>IF(ISNA(VLOOKUP($A167,'Données projet'!$A$304:$I$324,7,0)),0%,VLOOKUP($A167,'Données projet'!$A$304:$I$324,7,0))</f>
        <v>0</v>
      </c>
      <c r="IB167" s="21">
        <f>EXP(-LN(2)/35)*IB166+(1-EXP(-LN(2)/35))/(LN(2)/35)*HX167*HY167*VLOOKUP('Données projet'!$B$19,Paramètres!$A$1:$I$89,3,0)*0.475*44/12</f>
        <v>3.4723227534927394</v>
      </c>
      <c r="IC167" s="21">
        <f>EXP(-LN(2)/25)*IC166+(1-EXP(-LN(2)/25))/(LN(2)/25)*Calculateur!HX167*Calculateur!HZ167*VLOOKUP('Données projet'!$B$19,Paramètres!$A$1:$I$89,3,0)*0.475*44/12</f>
        <v>0.23685937708333701</v>
      </c>
      <c r="ID167" s="21">
        <f>EXP(-LN(2)/2)*ID166+(1-EXP(-LN(2)/2))/(LN(2)/2)*HX167*IA167*VLOOKUP('Données projet'!$B$19,Paramètres!$A$1:$I$89,3,0)*0.475*44/12</f>
        <v>3.8817982556635244E-21</v>
      </c>
      <c r="IE167" s="22">
        <f t="shared" si="256"/>
        <v>3.7091821305760764</v>
      </c>
      <c r="IF167" s="74">
        <f>('Scénario référence'!$F$8+'Scénario référence'!$F$9+'Scénario référence'!$B$17+'Scénario référence'!$B$9+'Scénario référence'!$B$10)*70+IF((45+25*(1-EXP(-0.0175*$A167)))&lt;70,'Scénario référence'!$B$16*(45+25*(1-EXP(-0.0175*$A167))),70*'Scénario référence'!$B$16)+IF((32+38*(1-EXP(-0.0175*$A167)))&lt;70,'Scénario référence'!$B$18*(32+38*(1-EXP(-0.0175*$A167))),70*'Scénario référence'!$B$18)</f>
        <v>70</v>
      </c>
      <c r="IG167" s="12">
        <f>IF($A167&gt;30,10,('Scénario référence'!$B$16+'Scénario référence'!$B$17+'Scénario référence'!$B$18+'Scénario référence'!$B$9+'Scénario référence'!$B$10)*$A167*10/30+('Scénario référence'!$F$8+'Scénario référence'!$F$9)*10)</f>
        <v>10</v>
      </c>
      <c r="IH167" s="12" t="e">
        <f>VLOOKUP($A167,'Données projet'!$A$330:$I$350,2,0)</f>
        <v>#N/A</v>
      </c>
      <c r="II167" s="12" t="e">
        <f>VLOOKUP($A167,'Données projet'!$A$330:$I$350,9,0)</f>
        <v>#N/A</v>
      </c>
      <c r="IJ167" s="12">
        <f t="array" ref="IJ167">INDEX(II:II,MIN(IF(ISNUMBER(II167:II363),ROW(II167:II363),"")))</f>
        <v>0</v>
      </c>
      <c r="IK167" s="12">
        <f>IF('Données projet'!$A$330&gt;35,IK166+IJ167-IS166,IF($A167&lt;'Données projet'!$A$330,$CQ$205^$A167,IF($A167='Données projet'!$A$330,'Données projet'!$B$330,IK166+IJ167-IS166)))</f>
        <v>0</v>
      </c>
      <c r="IL167" s="17">
        <f>IK167*VLOOKUP('Données projet'!$B$20,Paramètres!$A$1:$I$89,3,0)*VLOOKUP('Données projet'!$B$20,Paramètres!$A$1:$I$89,5,0)</f>
        <v>0</v>
      </c>
      <c r="IM167" s="13" t="e">
        <f t="shared" si="308"/>
        <v>#NUM!</v>
      </c>
      <c r="IN167" s="20" t="e">
        <f t="shared" si="257"/>
        <v>#NUM!</v>
      </c>
      <c r="IO167" s="59" t="e">
        <f t="shared" si="258"/>
        <v>#NUM!</v>
      </c>
      <c r="IP167" s="59">
        <f ca="1">AVERAGE(OFFSET(IO$3,0,0,'Données projet'!$E$20+1,1))-AVERAGE(OFFSET($H$3,0,0,'Données projet'!$E$20+1,1))</f>
        <v>91.60721429656013</v>
      </c>
      <c r="IQ167" s="59">
        <f t="shared" si="309"/>
        <v>258.94957804210856</v>
      </c>
      <c r="IR167" s="15">
        <f>IF(ISNA(VLOOKUP($A167,'Données projet'!$A$330:$I$350,3,0)),0,VLOOKUP($A167,'Données projet'!$A$330:$I$350,3,0))</f>
        <v>0</v>
      </c>
      <c r="IS167" s="15">
        <f>IF(ISNA(VLOOKUP($A167,'Données projet'!$A$330:$I$350,4,0)),0,VLOOKUP($A167,'Données projet'!$A$330:$I$350,4,0))</f>
        <v>0</v>
      </c>
      <c r="IT167" s="16">
        <f>IF(ISNA(VLOOKUP($A167,'Données projet'!$A$330:$I$350,5,0)),0%,VLOOKUP($A167,'Données projet'!$A$330:$I$350,5,0)*VLOOKUP('Données projet'!$B$20,Paramètres!$A$1:$I$89,7,0))</f>
        <v>0</v>
      </c>
      <c r="IU167" s="16">
        <f>IF(ISNA(VLOOKUP($A167,'Données projet'!$A$330:$I$350,6,0)),0%,VLOOKUP($A167,'Données projet'!$A$330:$I$350,6,0)*VLOOKUP('Données projet'!$B$20,Paramètres!$A$1:$I$89,7,0))</f>
        <v>0</v>
      </c>
      <c r="IV167" s="16">
        <f>IF(ISNA(VLOOKUP($A167,'Données projet'!$A$330:$I$350,7,0)),0%,VLOOKUP($A167,'Données projet'!$A$330:$I$350,7,0))</f>
        <v>0</v>
      </c>
      <c r="IW167" s="21">
        <f>EXP(-LN(2)/35)*IW166+(1-EXP(-LN(2)/35))/(LN(2)/35)*IS167*IT167*VLOOKUP('Données projet'!$B$20,Paramètres!$A$1:$I$89,3,0)*0.475*44/12</f>
        <v>3.4723227534927394</v>
      </c>
      <c r="IX167" s="21">
        <f>EXP(-LN(2)/25)*IX166+(1-EXP(-LN(2)/25))/(LN(2)/25)*Calculateur!IS167*Calculateur!IU167*VLOOKUP('Données projet'!$B$20,Paramètres!$A$1:$I$89,3,0)*0.475*44/12</f>
        <v>0.23685937708333701</v>
      </c>
      <c r="IY167" s="21">
        <f>EXP(-LN(2)/2)*IY166+(1-EXP(-LN(2)/2))/(LN(2)/2)*IS167*IV167*VLOOKUP('Données projet'!$B$20,Paramètres!$A$1:$I$89,3,0)*0.475*44/12</f>
        <v>3.8817982556635244E-21</v>
      </c>
      <c r="IZ167" s="22">
        <f t="shared" si="259"/>
        <v>3.7091821305760764</v>
      </c>
      <c r="JA167" s="74">
        <f>('Scénario référence'!$F$8+'Scénario référence'!$F$9+'Scénario référence'!$B$17+'Scénario référence'!$B$9+'Scénario référence'!$B$10)*70+IF((45+25*(1-EXP(-0.0175*$A167)))&lt;70,'Scénario référence'!$B$16*(45+25*(1-EXP(-0.0175*$A167))),70*'Scénario référence'!$B$16)+IF((32+38*(1-EXP(-0.0175*$A167)))&lt;70,'Scénario référence'!$B$18*(32+38*(1-EXP(-0.0175*$A167))),70*'Scénario référence'!$B$18)</f>
        <v>70</v>
      </c>
      <c r="JB167" s="12">
        <f>IF($A167&gt;30,10,('Scénario référence'!$B$16+'Scénario référence'!$B$17+'Scénario référence'!$B$18+'Scénario référence'!$B$9+'Scénario référence'!$B$10)*$A167*10/30+('Scénario référence'!$F$8+'Scénario référence'!$F$9)*10)</f>
        <v>10</v>
      </c>
      <c r="JC167" s="12" t="e">
        <f>VLOOKUP($A167,'Données projet'!$A$356:$I$376,2,0)</f>
        <v>#N/A</v>
      </c>
      <c r="JD167" s="12" t="e">
        <f>VLOOKUP($A167,'Données projet'!$A$356:$I$376,9,0)</f>
        <v>#N/A</v>
      </c>
      <c r="JE167" s="12">
        <f t="array" ref="JE167">INDEX(JD:JD,MIN(IF(ISNUMBER(JD167:JD363),ROW(JD167:JD363),"")))</f>
        <v>0</v>
      </c>
      <c r="JF167" s="12">
        <f>IF('Données projet'!$A$356&gt;35,JF166+JE167-JN166,IF($A167&lt;'Données projet'!$A$356,$CQ$205^$A167,IF($A167='Données projet'!$A$356,'Données projet'!$B$356,JF166+JE167-JN166)))</f>
        <v>-1.3073986337985843E-12</v>
      </c>
      <c r="JG167" s="17">
        <f>JF167*VLOOKUP('Données projet'!$B$21,Paramètres!$A$1:$I$89,3,0)*VLOOKUP('Données projet'!$B$21,Paramètres!$A$1:$I$89,5,0)</f>
        <v>-1.0605617717374117E-12</v>
      </c>
      <c r="JH167" s="13" t="e">
        <f t="shared" si="310"/>
        <v>#NUM!</v>
      </c>
      <c r="JI167" s="20" t="e">
        <f t="shared" si="260"/>
        <v>#NUM!</v>
      </c>
      <c r="JJ167" s="59" t="e">
        <f t="shared" si="261"/>
        <v>#NUM!</v>
      </c>
      <c r="JK167" s="59">
        <f ca="1">AVERAGE(OFFSET($JJ$3,0,0,'Données projet'!$E$22+1,1))-AVERAGE(OFFSET($H$3,0,0,'Données projet'!$E$22+1,1))</f>
        <v>353.35574633294613</v>
      </c>
      <c r="JL167" s="59">
        <f t="shared" si="311"/>
        <v>170.36796666474726</v>
      </c>
      <c r="JM167" s="15">
        <f>IF(ISNA(VLOOKUP($A167,'Données projet'!$A$356:$I$376,3,0)),0,VLOOKUP($A167,'Données projet'!$A$356:$I$376,3,0))</f>
        <v>0</v>
      </c>
      <c r="JN167" s="15">
        <f>IF(ISNA(VLOOKUP($A167,'Données projet'!$A$356:$I$376,4,0)),0,VLOOKUP($A167,'Données projet'!$A$356:$I$376,4,0))</f>
        <v>0</v>
      </c>
      <c r="JO167" s="16">
        <f>IF(ISNA(VLOOKUP($A167,'Données projet'!$A$356:$I$376,5,0)),0%,VLOOKUP($A167,'Données projet'!$A$356:$I$376,5,0)*VLOOKUP('Données projet'!$B$21,Paramètres!$A$1:$I$89,7,0))</f>
        <v>0</v>
      </c>
      <c r="JP167" s="16">
        <f>IF(ISNA(VLOOKUP($A167,'Données projet'!$A$356:$I$376,6,0)),0%,VLOOKUP($A167,'Données projet'!$A$356:$I$376,6,0)*VLOOKUP('Données projet'!$B$21,Paramètres!$A$1:$I$89,7,0))</f>
        <v>0</v>
      </c>
      <c r="JQ167" s="16">
        <f>IF(ISNA(VLOOKUP($A167,'Données projet'!$A$356:$I$376,7,0)),0%,VLOOKUP($A167,'Données projet'!$A$356:$I$376,7,0))</f>
        <v>0</v>
      </c>
      <c r="JR167" s="21">
        <f>EXP(-LN(2)/35)*JR166+(1-EXP(-LN(2)/35))/(LN(2)/35)*JN167*JO167*VLOOKUP('Données projet'!$B$21,Paramètres!$A$1:$I$89,3,0)*0.475*44/12</f>
        <v>55.666511406118858</v>
      </c>
      <c r="JS167" s="21">
        <f>EXP(-LN(2)/25)*JS166+(1-EXP(-LN(2)/25))/(LN(2)/25)*Calculateur!JN167*Calculateur!JP167*VLOOKUP('Données projet'!$B$21,Paramètres!$A$1:$I$89,3,0)*0.475*44/12</f>
        <v>51.840547380577569</v>
      </c>
      <c r="JT167" s="21">
        <f>EXP(-LN(2)/2)*JT166+(1-EXP(-LN(2)/2))/(LN(2)/2)*JN167*JQ167*VLOOKUP('Données projet'!$B$21,Paramètres!$A$1:$I$89,3,0)*0.475*44/12</f>
        <v>0.26789786649657937</v>
      </c>
      <c r="JU167" s="18">
        <f t="shared" si="262"/>
        <v>107.77495665319302</v>
      </c>
      <c r="JV167" s="74">
        <f>('Scénario référence'!$F$8+'Scénario référence'!$F$9+'Scénario référence'!$B$17+'Scénario référence'!$B$9+'Scénario référence'!$B$10)*70+IF((45+25*(1-EXP(-0.0175*$A167)))&lt;70,'Scénario référence'!$B$16*(45+25*(1-EXP(-0.0175*$A167))),70*'Scénario référence'!$B$16)+IF((32+38*(1-EXP(-0.0175*$A167)))&lt;70,'Scénario référence'!$B$18*(32+38*(1-EXP(-0.0175*$A167))),70*'Scénario référence'!$B$18)</f>
        <v>70</v>
      </c>
      <c r="JW167" s="12">
        <f>IF($A167&gt;30,10,('Scénario référence'!$B$16+'Scénario référence'!$B$17+'Scénario référence'!$B$18+'Scénario référence'!$B$9+'Scénario référence'!$B$10)*$A167*10/30+('Scénario référence'!$F$8+'Scénario référence'!$F$9)*10)</f>
        <v>10</v>
      </c>
      <c r="JX167" s="12" t="e">
        <f>VLOOKUP($A167,'Données projet'!$A$382:$I$402,2,0)</f>
        <v>#N/A</v>
      </c>
      <c r="JY167" s="12" t="e">
        <f>VLOOKUP($A167,'Données projet'!$A$382:$I$402,9,0)</f>
        <v>#N/A</v>
      </c>
      <c r="JZ167" s="12">
        <f t="array" ref="JZ167">INDEX(JY:JY,MIN(IF(ISNUMBER(JY167:JY363),ROW(JY167:JY363),"")))</f>
        <v>0</v>
      </c>
      <c r="KA167" s="12">
        <f>IF('Données projet'!$A$382&gt;35,KA166+JZ167-KI166,IF($A167&lt;'Données projet'!$A$382,$CQ$205^$A167,IF($A167='Données projet'!$A$382,'Données projet'!$B$382,KA166+JZ167-KI166)))</f>
        <v>5.6843418860808015E-13</v>
      </c>
      <c r="KB167" s="17">
        <f>KA167*VLOOKUP('Données projet'!$B$22,Paramètres!$A$1:$I$89,3,0)*VLOOKUP('Données projet'!$B$22,Paramètres!$A$1:$I$89,5,0)</f>
        <v>3.8130565371830017E-13</v>
      </c>
      <c r="KC167" s="13">
        <f t="shared" si="312"/>
        <v>4.9019074112354236E-12</v>
      </c>
      <c r="KD167" s="20">
        <f t="shared" si="263"/>
        <v>9.2015960881277352E-12</v>
      </c>
      <c r="KE167" s="59">
        <f t="shared" si="264"/>
        <v>293.33333333334252</v>
      </c>
      <c r="KF167" s="59">
        <f ca="1">AVERAGE(OFFSET($KE$3,0,0,'Données projet'!$E$22+1,1))-AVERAGE(OFFSET($H$3,0,0,'Données projet'!$E$22+1,1))</f>
        <v>193.91714772848269</v>
      </c>
      <c r="KG167" s="59">
        <f t="shared" si="313"/>
        <v>159.20429420478047</v>
      </c>
      <c r="KH167" s="15">
        <f>IF(ISNA(VLOOKUP($A167,'Données projet'!$A$382:$I$402,3,0)),0,VLOOKUP($A167,'Données projet'!$A$382:$I$402,3,0))</f>
        <v>0</v>
      </c>
      <c r="KI167" s="15">
        <f>IF(ISNA(VLOOKUP($A167,'Données projet'!$A$382:$I$402,4,0)),0,VLOOKUP($A167,'Données projet'!$A$382:$I$402,4,0))</f>
        <v>0</v>
      </c>
      <c r="KJ167" s="16">
        <f>IF(ISNA(VLOOKUP($A167,'Données projet'!$A$382:$I$402,5,0)),0%,VLOOKUP($A167,'Données projet'!$A$382:$I$402,5,0)*VLOOKUP('Données projet'!$B$22,Paramètres!$A$1:$I$89,7,0))</f>
        <v>0</v>
      </c>
      <c r="KK167" s="16">
        <f>IF(ISNA(VLOOKUP($A167,'Données projet'!$A$382:$I$402,6,0)),0%,VLOOKUP($A167,'Données projet'!$A$382:$I$402,6,0)*VLOOKUP('Données projet'!$B$22,Paramètres!$A$1:$I$89,7,0))</f>
        <v>0</v>
      </c>
      <c r="KL167" s="16">
        <f>IF(ISNA(VLOOKUP($A167,'Données projet'!$A$382:$I$402,7,0)),0%,VLOOKUP($A167,'Données projet'!$A$382:$I$402,7,0))</f>
        <v>0</v>
      </c>
      <c r="KM167" s="21">
        <f>EXP(-LN(2)/35)*KM166+(1-EXP(-LN(2)/35))/(LN(2)/35)*KI167*KJ167*VLOOKUP('Données projet'!$B$22,Paramètres!$A$1:$I$89,3,0)*0.475*44/12</f>
        <v>81.279250520585236</v>
      </c>
      <c r="KN167" s="21">
        <f>EXP(-LN(2)/25)*KN166+(1-EXP(-LN(2)/25))/(LN(2)/25)*Calculateur!KI167*Calculateur!KK167*VLOOKUP('Données projet'!$B$22,Paramètres!$A$1:$I$89,3,0)*0.475*44/12</f>
        <v>0</v>
      </c>
      <c r="KO167" s="21">
        <f>EXP(-LN(2)/2)*KO166+(1-EXP(-LN(2)/2))/(LN(2)/2)*KI167*KL167*VLOOKUP('Données projet'!$B$22,Paramètres!$A$1:$I$89,3,0)*0.475*44/12</f>
        <v>0</v>
      </c>
      <c r="KP167" s="22">
        <f t="shared" si="265"/>
        <v>81.279250520585236</v>
      </c>
      <c r="KQ167" s="74">
        <f>('Scénario référence'!$F$8+'Scénario référence'!$F$9+'Scénario référence'!$B$17+'Scénario référence'!$B$9+'Scénario référence'!$B$10)*70+IF((45+25*(1-EXP(-0.0175*$A167)))&lt;70,'Scénario référence'!$B$16*(45+25*(1-EXP(-0.0175*$A167))),70*'Scénario référence'!$B$16)+IF((32+38*(1-EXP(-0.0175*$A167)))&lt;70,'Scénario référence'!$B$18*(32+38*(1-EXP(-0.0175*$A167))),70*'Scénario référence'!$B$18)</f>
        <v>70</v>
      </c>
      <c r="KR167" s="12">
        <f>IF($A167&gt;30,10,('Scénario référence'!$B$16+'Scénario référence'!$B$17+'Scénario référence'!$B$18+'Scénario référence'!$B$9+'Scénario référence'!$B$10)*$A167*10/30+('Scénario référence'!$F$8+'Scénario référence'!$F$9)*10)</f>
        <v>10</v>
      </c>
      <c r="KS167" s="12" t="e">
        <f>VLOOKUP($A167,'Données projet'!$A$408:$I$428,2,0)</f>
        <v>#N/A</v>
      </c>
      <c r="KT167" s="12" t="e">
        <f>VLOOKUP($A167,'Données projet'!$A$408:$I$428,9,0)</f>
        <v>#N/A</v>
      </c>
      <c r="KU167" s="12">
        <f t="array" ref="KU167">INDEX(KT:KT,MIN(IF(ISNUMBER(KT167:KT363),ROW(KT167:KT363),"")))</f>
        <v>0</v>
      </c>
      <c r="KV167" s="12">
        <f>IF('Données projet'!$A$408&gt;35,KV166+KU167-LD166,IF($A167&lt;'Données projet'!$A$408,$CQ$205^$A167,IF($A167='Données projet'!$A$408,'Données projet'!$B$408,KV166+KU167-LD166)))</f>
        <v>-1.1368683772161603E-13</v>
      </c>
      <c r="KW167" s="17">
        <f>KV167*VLOOKUP('Données projet'!$B$23,Paramètres!$A$1:$I$89,3,0)*VLOOKUP('Données projet'!$B$23,Paramètres!$A$1:$I$89,5,0)</f>
        <v>-9.9316821433603781E-14</v>
      </c>
      <c r="KX167" s="13" t="e">
        <f t="shared" si="314"/>
        <v>#NUM!</v>
      </c>
      <c r="KY167" s="14" t="e">
        <f t="shared" si="266"/>
        <v>#NUM!</v>
      </c>
      <c r="KZ167" s="59" t="e">
        <f t="shared" si="267"/>
        <v>#NUM!</v>
      </c>
      <c r="LA167" s="59">
        <f ca="1">AVERAGE(OFFSET($KZ$3,0,0,'Données projet'!$E$23+1,1))-AVERAGE(OFFSET($H$3,0,0,'Données projet'!$E$23+1,1))</f>
        <v>248.33596943633819</v>
      </c>
      <c r="LB167" s="59">
        <f t="shared" si="315"/>
        <v>242.34010522344573</v>
      </c>
      <c r="LC167" s="15">
        <f>IF(ISNA(VLOOKUP($A167,'Données projet'!$A$408:$I$428,3,0)),0,VLOOKUP($A167,'Données projet'!$A$408:$I$428,3,0))</f>
        <v>0</v>
      </c>
      <c r="LD167" s="15">
        <f>IF(ISNA(VLOOKUP($A167,'Données projet'!$A$408:$I$428,4,0)),0,VLOOKUP($A167,'Données projet'!$A$408:$I$428,4,0))</f>
        <v>0</v>
      </c>
      <c r="LE167" s="16">
        <f>IF(ISNA(VLOOKUP($A167,'Données projet'!$A$408:$I$428,5,0)),0%,VLOOKUP($A167,'Données projet'!$A$408:$I$428,5,0)*VLOOKUP('Données projet'!$B$23,Paramètres!$A$1:$I$89,7,0))</f>
        <v>0</v>
      </c>
      <c r="LF167" s="16">
        <f>IF(ISNA(VLOOKUP($A167,'Données projet'!$A$408:$I$428,6,0)),0%,VLOOKUP($A167,'Données projet'!$A$408:$I$428,6,0)*VLOOKUP('Données projet'!$B$23,Paramètres!$A$1:$I$89,7,0))</f>
        <v>0</v>
      </c>
      <c r="LG167" s="16">
        <f>IF(ISNA(VLOOKUP($A167,'Données projet'!$A$408:$I$428,7,0)),0%,VLOOKUP($A167,'Données projet'!$A$408:$I$428,7,0))</f>
        <v>0</v>
      </c>
      <c r="LH167" s="21">
        <f>EXP(-LN(2)/35)*LH166+(1-EXP(-LN(2)/35))/(LN(2)/35)*LD167*LE167*VLOOKUP('Données projet'!$B$23,Paramètres!$A$1:$I$89,3,0)*0.475*44/12</f>
        <v>23.34590066455134</v>
      </c>
      <c r="LI167" s="21">
        <f>EXP(-LN(2)/25)*LI166+(1-EXP(-LN(2)/25))/(LN(2)/25)*Calculateur!LD167*Calculateur!LF167*VLOOKUP('Données projet'!$B$23,Paramètres!$A$1:$I$89,3,0)*0.475*44/12</f>
        <v>2.1209939520465042</v>
      </c>
      <c r="LJ167" s="21">
        <f>EXP(-LN(2)/2)*LJ166+(1-EXP(-LN(2)/2))/(LN(2)/2)*LD167*LG167*VLOOKUP('Données projet'!$B$23,Paramètres!$A$1:$I$89,3,0)*0.475*44/12</f>
        <v>0</v>
      </c>
      <c r="LK167" s="22">
        <f t="shared" si="268"/>
        <v>25.466894616597845</v>
      </c>
      <c r="LL167" s="74">
        <f>('Scénario référence'!$F$8+'Scénario référence'!$F$9+'Scénario référence'!$B$17+'Scénario référence'!$B$9+'Scénario référence'!$B$10)*70+IF((45+25*(1-EXP(-0.0175*$A167)))&lt;70,'Scénario référence'!$B$16*(45+25*(1-EXP(-0.0175*$A167))),70*'Scénario référence'!$B$16)+IF((32+38*(1-EXP(-0.0175*$A167)))&lt;70,'Scénario référence'!$B$18*(32+38*(1-EXP(-0.0175*$A167))),70*'Scénario référence'!$B$18)</f>
        <v>70</v>
      </c>
      <c r="LM167" s="12">
        <f>IF($A167&gt;30,10,('Scénario référence'!$B$16+'Scénario référence'!$B$17+'Scénario référence'!$B$18+'Scénario référence'!$B$9+'Scénario référence'!$B$10)*$A167*10/30+('Scénario référence'!$F$8+'Scénario référence'!$F$9)*10)</f>
        <v>10</v>
      </c>
      <c r="LN167" s="12" t="e">
        <f>VLOOKUP($A167,'Données projet'!$A$434:$I$454,2,0)</f>
        <v>#N/A</v>
      </c>
      <c r="LO167" s="12" t="e">
        <f>VLOOKUP($A167,'Données projet'!$A$434:$I$454,9,0)</f>
        <v>#N/A</v>
      </c>
      <c r="LP167" s="12">
        <f t="array" ref="LP167">INDEX(LO:LO,MIN(IF(ISNUMBER(LO167:LO363),ROW(LO167:LO363),"")))</f>
        <v>0</v>
      </c>
      <c r="LQ167" s="12">
        <f>IF('Données projet'!$A$434&gt;35,LQ166+LP167-LY166,IF($A167&lt;'Données projet'!$A$434,$CQ$205^$A167,IF($A167='Données projet'!$A$434,'Données projet'!$B$434,LQ166+LP167-LY166)))</f>
        <v>-4.5474735088646412E-13</v>
      </c>
      <c r="LR167" s="17">
        <f>LQ167*VLOOKUP('Données projet'!$B$24,Paramètres!$A$1:$I$89,3,0)*VLOOKUP('Données projet'!$B$24,Paramètres!$A$1:$I$89,5,0)</f>
        <v>-4.6111381379887462E-13</v>
      </c>
      <c r="LS167" s="13" t="e">
        <f t="shared" si="316"/>
        <v>#NUM!</v>
      </c>
      <c r="LT167" s="14" t="e">
        <f t="shared" si="269"/>
        <v>#NUM!</v>
      </c>
      <c r="LU167" s="59" t="e">
        <f t="shared" si="270"/>
        <v>#NUM!</v>
      </c>
      <c r="LV167" s="59">
        <f ca="1">AVERAGE(OFFSET($LU$3,0,0,'Données projet'!$E$24+1,1))-AVERAGE(OFFSET($H$3,0,0,'Données projet'!$E$24+1,1))</f>
        <v>260.52627655062872</v>
      </c>
      <c r="LW167" s="59">
        <f t="shared" si="317"/>
        <v>159.20429420478047</v>
      </c>
      <c r="LX167" s="15">
        <f>IF(ISNA(VLOOKUP($A167,'Données projet'!$A$434:$I$454,3,0)),0,VLOOKUP($A167,'Données projet'!$A$434:$I$454,3,0))</f>
        <v>0</v>
      </c>
      <c r="LY167" s="15">
        <f>IF(ISNA(VLOOKUP($A167,'Données projet'!$A$434:$I$454,4,0)),0,VLOOKUP($A167,'Données projet'!$A$434:$I$454,4,0))</f>
        <v>0</v>
      </c>
      <c r="LZ167" s="16">
        <f>IF(ISNA(VLOOKUP($A167,'Données projet'!$A$434:$I$454,5,0)),0%,VLOOKUP($A167,'Données projet'!$A$434:$I$454,5,0)*VLOOKUP('Données projet'!$B$24,Paramètres!$A$1:$I$89,7,0))</f>
        <v>0</v>
      </c>
      <c r="MA167" s="16">
        <f>IF(ISNA(VLOOKUP($A167,'Données projet'!$A$434:$I$454,6,0)),0%,VLOOKUP($A167,'Données projet'!$A$434:$I$454,6,0)*VLOOKUP('Données projet'!$B$24,Paramètres!$A$1:$I$89,7,0))</f>
        <v>0</v>
      </c>
      <c r="MB167" s="16">
        <f>IF(ISNA(VLOOKUP($A167,'Données projet'!$A$434:$I$454,7,0)),0%,VLOOKUP($A167,'Données projet'!$A$434:$I$454,7,0))</f>
        <v>0</v>
      </c>
      <c r="MC167" s="21">
        <f>EXP(-LN(2)/35)*MC166+(1-EXP(-LN(2)/35))/(LN(2)/35)*LY167*LZ167*VLOOKUP('Données projet'!$B$24,Paramètres!$A$1:$I$89,3,0)*0.475*44/12</f>
        <v>150.10621164691256</v>
      </c>
      <c r="MD167" s="21">
        <f>EXP(-LN(2)/25)*MD166+(1-EXP(-LN(2)/25))/(LN(2)/25)*Calculateur!LY167*Calculateur!MA167*VLOOKUP('Données projet'!$B$24,Paramètres!$A$1:$I$89,3,0)*0.475*44/12</f>
        <v>0</v>
      </c>
      <c r="ME167" s="21">
        <f>EXP(-LN(2)/2)*ME166+(1-EXP(-LN(2)/2))/(LN(2)/2)*LY167*MB167*VLOOKUP('Données projet'!$B$24,Paramètres!$A$1:$I$89,3,0)*0.475*44/12</f>
        <v>0</v>
      </c>
      <c r="MF167" s="22">
        <f t="shared" si="271"/>
        <v>150.10621164691256</v>
      </c>
      <c r="MG167" s="74">
        <f>('Scénario référence'!$F$8+'Scénario référence'!$F$9+'Scénario référence'!$B$17+'Scénario référence'!$B$9+'Scénario référence'!$B$10)*70+IF((45+25*(1-EXP(-0.0175*$A167)))&lt;70,'Scénario référence'!$B$16*(45+25*(1-EXP(-0.0175*$A167))),70*'Scénario référence'!$B$16)+IF((32+38*(1-EXP(-0.0175*$A167)))&lt;70,'Scénario référence'!$B$18*(32+38*(1-EXP(-0.0175*$A167))),70*'Scénario référence'!$B$18)</f>
        <v>70</v>
      </c>
      <c r="MH167" s="12">
        <f>IF($A167&gt;30,10,('Scénario référence'!$B$16+'Scénario référence'!$B$17+'Scénario référence'!$B$18+'Scénario référence'!$B$9+'Scénario référence'!$B$10)*$A167*10/30+('Scénario référence'!$F$8+'Scénario référence'!$F$9)*10)</f>
        <v>10</v>
      </c>
      <c r="MI167" s="12" t="e">
        <f>VLOOKUP($A167,'Données projet'!$A$460:$I$480,2,0)</f>
        <v>#N/A</v>
      </c>
      <c r="MJ167" s="12" t="e">
        <f>VLOOKUP($A167,'Données projet'!$A$460:$I$480,9,0)</f>
        <v>#N/A</v>
      </c>
      <c r="MK167" s="12">
        <f t="array" ref="MK167">INDEX(MJ:MJ,MIN(IF(ISNUMBER(MJ167:MJ363),ROW(MJ167:MJ363),"")))</f>
        <v>0</v>
      </c>
      <c r="ML167" s="12">
        <f>IF('Données projet'!$A$460&gt;35,ML166+MK167-MT166,IF($A167&lt;'Données projet'!$A$460,$CQ$205^$A167,IF($A167='Données projet'!$A$460,'Données projet'!$B$460,ML166+MK167-MT166)))</f>
        <v>0</v>
      </c>
      <c r="MM167" s="17" t="e">
        <f>ML167*VLOOKUP('Données projet'!$B$25,Paramètres!$A$1:$I$89,3,0)*VLOOKUP('Données projet'!$B$25,Paramètres!$A$1:$I$89,5,0)</f>
        <v>#N/A</v>
      </c>
      <c r="MN167" s="13" t="e">
        <f t="shared" si="318"/>
        <v>#N/A</v>
      </c>
      <c r="MO167" s="14" t="e">
        <f t="shared" si="272"/>
        <v>#N/A</v>
      </c>
      <c r="MP167" s="59" t="e">
        <f t="shared" si="273"/>
        <v>#N/A</v>
      </c>
      <c r="MQ167" s="20" t="e">
        <f ca="1">AVERAGE(OFFSET($MP$3,0,0,'Données projet'!$E$25+1,1))-AVERAGE(OFFSET($H$3,0,0,'Données projet'!$E$25+1,1))</f>
        <v>#N/A</v>
      </c>
      <c r="MR167" s="59" t="e">
        <f t="shared" si="319"/>
        <v>#N/A</v>
      </c>
      <c r="MS167" s="15">
        <f>IF(ISNA(VLOOKUP($A167,'Données projet'!$A$460:$I$480,3,0)),0,VLOOKUP($A167,'Données projet'!$A$460:$I$480,3,0))</f>
        <v>0</v>
      </c>
      <c r="MT167" s="15">
        <f>IF(ISNA(VLOOKUP($A167,'Données projet'!$A$460:$I$480,4,0)),0,VLOOKUP($A167,'Données projet'!$A$460:$I$480,4,0))</f>
        <v>0</v>
      </c>
      <c r="MU167" s="16">
        <f>IF(ISNA(VLOOKUP($A167,'Données projet'!$A$460:$I$480,5,0)),0%,VLOOKUP($A167,'Données projet'!$A$460:$I$480,5,0)*VLOOKUP('Données projet'!$B$25,Paramètres!$A$1:$I$89,7,0))</f>
        <v>0</v>
      </c>
      <c r="MV167" s="16">
        <f>IF(ISNA(VLOOKUP($A167,'Données projet'!$A$460:$I$480,6,0)),0%,VLOOKUP($A167,'Données projet'!$A$460:$I$480,6,0)*VLOOKUP('Données projet'!$B$25,Paramètres!$A$1:$I$89,7,0))</f>
        <v>0</v>
      </c>
      <c r="MW167" s="16">
        <f>IF(ISNA(VLOOKUP($A167,'Données projet'!$A$460:$I$480,7,0)),0%,VLOOKUP($A167,'Données projet'!$A$460:$I$480,7,0))</f>
        <v>0</v>
      </c>
      <c r="MX167" s="21" t="e">
        <f>EXP(-LN(2)/35)*MX166+(1-EXP(-LN(2)/35))/(LN(2)/35)*MT167*MU167*VLOOKUP('Données projet'!$B$25,Paramètres!$A$1:$I$89,3,0)*0.475*44/12</f>
        <v>#N/A</v>
      </c>
      <c r="MY167" s="21" t="e">
        <f>EXP(-LN(2)/25)*MY166+(1-EXP(-LN(2)/25))/(LN(2)/25)*Calculateur!MT167*Calculateur!MV167*VLOOKUP('Données projet'!$B$25,Paramètres!$A$1:$I$89,3,0)*0.475*44/12</f>
        <v>#N/A</v>
      </c>
      <c r="MZ167" s="21" t="e">
        <f>EXP(-LN(2)/2)*MZ166+(1-EXP(-LN(2)/2))/(LN(2)/2)*MT167*MW167*VLOOKUP('Données projet'!$B$25,Paramètres!$A$1:$I$89,3,0)*0.475*44/12</f>
        <v>#N/A</v>
      </c>
      <c r="NA167" s="22" t="e">
        <f t="shared" si="274"/>
        <v>#N/A</v>
      </c>
      <c r="NB167" s="74">
        <f>('Scénario référence'!$F$8+'Scénario référence'!$F$9+'Scénario référence'!$B$17+'Scénario référence'!$B$9+'Scénario référence'!$B$10)*70+IF((45+25*(1-EXP(-0.0175*$A167)))&lt;70,'Scénario référence'!$B$16*(45+25*(1-EXP(-0.0175*$A167))),70*'Scénario référence'!$B$16)+IF((32+38*(1-EXP(-0.0175*$A167)))&lt;70,'Scénario référence'!$B$18*(32+38*(1-EXP(-0.0175*$A167))),70*'Scénario référence'!$B$18)</f>
        <v>70</v>
      </c>
      <c r="NC167" s="12">
        <f>IF($A167&gt;30,10,('Scénario référence'!$B$16+'Scénario référence'!$B$17+'Scénario référence'!$B$18+'Scénario référence'!$B$9+'Scénario référence'!$B$10)*$A167*10/30+('Scénario référence'!$F$8+'Scénario référence'!$F$9)*10)</f>
        <v>10</v>
      </c>
      <c r="ND167" s="12" t="e">
        <f>VLOOKUP($A167,'Données projet'!$A$486:$I$506,2,0)</f>
        <v>#N/A</v>
      </c>
      <c r="NE167" s="12" t="e">
        <f>VLOOKUP($A167,'Données projet'!$A$486:$I$506,9,0)</f>
        <v>#N/A</v>
      </c>
      <c r="NF167" s="12">
        <f t="array" ref="NF167">INDEX(NE:NE,MIN(IF(ISNUMBER(NE167:NE363),ROW(NE167:NE363),"")))</f>
        <v>0</v>
      </c>
      <c r="NG167" s="12">
        <f>IF('Données projet'!$A$486&gt;35,NG166+NF167-NO166,IF($A167&lt;'Données projet'!$A$486,$CQ$205^$A167,IF($A167='Données projet'!$A$486,'Données projet'!$B$486,NG166+NF167-NO166)))</f>
        <v>0</v>
      </c>
      <c r="NH167" s="17" t="e">
        <f>NG167*VLOOKUP('Données projet'!$B$26,Paramètres!$A$1:$I$89,3,0)*VLOOKUP('Données projet'!$B$26,Paramètres!$A$1:$I$89,5,0)</f>
        <v>#N/A</v>
      </c>
      <c r="NI167" s="13" t="e">
        <f t="shared" si="320"/>
        <v>#N/A</v>
      </c>
      <c r="NJ167" s="14" t="e">
        <f t="shared" si="275"/>
        <v>#N/A</v>
      </c>
      <c r="NK167" s="59" t="e">
        <f t="shared" si="276"/>
        <v>#N/A</v>
      </c>
      <c r="NL167" s="20" t="e">
        <f ca="1">AVERAGE(OFFSET($NK$3,0,0,'Données projet'!$E$26+1,1))-AVERAGE(OFFSET($H$3,0,0,'Données projet'!$E$26+1,1))</f>
        <v>#N/A</v>
      </c>
      <c r="NM167" s="59" t="e">
        <f t="shared" si="321"/>
        <v>#N/A</v>
      </c>
      <c r="NN167" s="15">
        <f>IF(ISNA(VLOOKUP($A167,'Données projet'!$A$486:$I$506,3,0)),0,VLOOKUP($A167,'Données projet'!$A$486:$I$506,3,0))</f>
        <v>0</v>
      </c>
      <c r="NO167" s="15">
        <f>IF(ISNA(VLOOKUP($A167,'Données projet'!$A$486:$I$506,4,0)),0,VLOOKUP($A167,'Données projet'!$A$486:$I$506,4,0))</f>
        <v>0</v>
      </c>
      <c r="NP167" s="16">
        <f>IF(ISNA(VLOOKUP($A167,'Données projet'!$A$486:$I$506,5,0)),0%,VLOOKUP($A167,'Données projet'!$A$486:$I$506,5,0)*VLOOKUP('Données projet'!$B$26,Paramètres!$A$1:$I$89,7,0))</f>
        <v>0</v>
      </c>
      <c r="NQ167" s="16">
        <f>IF(ISNA(VLOOKUP($A167,'Données projet'!$A$486:$I$506,6,0)),0%,VLOOKUP($A167,'Données projet'!$A$486:$I$506,6,0)*VLOOKUP('Données projet'!$B$26,Paramètres!$A$1:$I$89,7,0))</f>
        <v>0</v>
      </c>
      <c r="NR167" s="16">
        <f>IF(ISNA(VLOOKUP($A167,'Données projet'!$A$486:$I$506,7,0)),0%,VLOOKUP($A167,'Données projet'!$A$486:$I$506,7,0))</f>
        <v>0</v>
      </c>
      <c r="NS167" s="21" t="e">
        <f>EXP(-LN(2)/35)*NS166+(1-EXP(-LN(2)/35))/(LN(2)/35)*NO167*NP167*VLOOKUP('Données projet'!$B$26,Paramètres!$A$1:$I$89,3,0)*0.475*44/12</f>
        <v>#N/A</v>
      </c>
      <c r="NT167" s="21" t="e">
        <f>EXP(-LN(2)/25)*NT166+(1-EXP(-LN(2)/25))/(LN(2)/25)*Calculateur!NO167*Calculateur!NQ167*VLOOKUP('Données projet'!$B$26,Paramètres!$A$1:$I$89,3,0)*0.475*44/12</f>
        <v>#N/A</v>
      </c>
      <c r="NU167" s="21" t="e">
        <f>EXP(-LN(2)/2)*NU166+(1-EXP(-LN(2)/2))/(LN(2)/2)*NO167*NR167*VLOOKUP('Données projet'!$B$26,Paramètres!$A$1:$I$89,3,0)*0.475*44/12</f>
        <v>#N/A</v>
      </c>
      <c r="NV167" s="22" t="e">
        <f t="shared" si="277"/>
        <v>#N/A</v>
      </c>
      <c r="NW167" s="74">
        <f>('Scénario référence'!$F$8+'Scénario référence'!$F$9+'Scénario référence'!$B$17+'Scénario référence'!$B$9+'Scénario référence'!$B$10)*70+IF((45+25*(1-EXP(-0.0175*$A167)))&lt;70,'Scénario référence'!$B$16*(45+25*(1-EXP(-0.0175*$A167))),70*'Scénario référence'!$B$16)+IF((32+38*(1-EXP(-0.0175*$A167)))&lt;70,'Scénario référence'!$B$18*(32+38*(1-EXP(-0.0175*$A167))),70*'Scénario référence'!$B$18)</f>
        <v>70</v>
      </c>
      <c r="NX167" s="12">
        <f>IF($A167&gt;30,10,('Scénario référence'!$B$16+'Scénario référence'!$B$17+'Scénario référence'!$B$18+'Scénario référence'!$B$9+'Scénario référence'!$B$10)*$A167*10/30+('Scénario référence'!$F$8+'Scénario référence'!$F$9)*10)</f>
        <v>10</v>
      </c>
      <c r="NY167" s="12" t="e">
        <f>VLOOKUP($A167,'Données projet'!$A$512:$I$532,2,0)</f>
        <v>#N/A</v>
      </c>
      <c r="NZ167" s="12" t="e">
        <f>VLOOKUP($A167,'Données projet'!$A$512:$I$532,9,0)</f>
        <v>#N/A</v>
      </c>
      <c r="OA167" s="12">
        <f t="array" ref="OA167">INDEX(NZ:NZ,MIN(IF(ISNUMBER(NZ167:NZ363),ROW(NZ167:NZ363),"")))</f>
        <v>0</v>
      </c>
      <c r="OB167" s="12">
        <f>IF('Données projet'!$A$512&gt;35,OB166+OA167-OJ166,IF($A167&lt;'Données projet'!$A$512,$CQ$205^$A167,IF($A167='Données projet'!$A$512,'Données projet'!$B$512,OB166+OA167-OJ166)))</f>
        <v>0</v>
      </c>
      <c r="OC167" s="17" t="e">
        <f>OB167*VLOOKUP('Données projet'!$B$27,Paramètres!$A$1:$I$89,3,0)*VLOOKUP('Données projet'!$B$27,Paramètres!$A$1:$I$89,5,0)</f>
        <v>#N/A</v>
      </c>
      <c r="OD167" s="13" t="e">
        <f t="shared" si="322"/>
        <v>#N/A</v>
      </c>
      <c r="OE167" s="14" t="e">
        <f t="shared" si="278"/>
        <v>#N/A</v>
      </c>
      <c r="OF167" s="59" t="e">
        <f t="shared" si="279"/>
        <v>#N/A</v>
      </c>
      <c r="OG167" s="20" t="e">
        <f ca="1">AVERAGE(OFFSET($OF$3,0,0,'Données projet'!$E$27+1,1))-AVERAGE(OFFSET($H$3,0,0,'Données projet'!$E$27+1,1))</f>
        <v>#N/A</v>
      </c>
      <c r="OH167" s="59" t="e">
        <f t="shared" si="323"/>
        <v>#N/A</v>
      </c>
      <c r="OI167" s="15">
        <f>IF(ISNA(VLOOKUP($A167,'Données projet'!$A$512:$I$532,3,0)),0,VLOOKUP($A167,'Données projet'!$A$512:$I$532,3,0))</f>
        <v>0</v>
      </c>
      <c r="OJ167" s="15">
        <f>IF(ISNA(VLOOKUP($A167,'Données projet'!$A$512:$I$532,4,0)),0,VLOOKUP($A167,'Données projet'!$A$512:$I$532,4,0))</f>
        <v>0</v>
      </c>
      <c r="OK167" s="16">
        <f>IF(ISNA(VLOOKUP($A167,'Données projet'!$A$512:$I$532,5,0)),0%,VLOOKUP($A167,'Données projet'!$A$512:$I$532,5,0)*VLOOKUP('Données projet'!$B$27,Paramètres!$A$1:$I$89,7,0))</f>
        <v>0</v>
      </c>
      <c r="OL167" s="16">
        <f>IF(ISNA(VLOOKUP($A167,'Données projet'!$A$512:$I$532,6,0)),0%,VLOOKUP($A167,'Données projet'!$A$512:$I$532,6,0)*VLOOKUP('Données projet'!$B$27,Paramètres!$A$1:$I$89,7,0))</f>
        <v>0</v>
      </c>
      <c r="OM167" s="16">
        <f>IF(ISNA(VLOOKUP($A167,'Données projet'!$A$512:$I$532,7,0)),0%,VLOOKUP($A167,'Données projet'!$A$512:$I$532,7,0))</f>
        <v>0</v>
      </c>
      <c r="ON167" s="21" t="e">
        <f>EXP(-LN(2)/35)*ON166+(1-EXP(-LN(2)/35))/(LN(2)/35)*OJ167*OK167*VLOOKUP('Données projet'!$B$27,Paramètres!$A$1:$I$89,3,0)*0.475*44/12</f>
        <v>#N/A</v>
      </c>
      <c r="OO167" s="21" t="e">
        <f>EXP(-LN(2)/25)*OO166+(1-EXP(-LN(2)/25))/(LN(2)/25)*Calculateur!OJ167*Calculateur!OL167*VLOOKUP('Données projet'!$B$27,Paramètres!$A$1:$I$89,3,0)*0.475*44/12</f>
        <v>#N/A</v>
      </c>
      <c r="OP167" s="21" t="e">
        <f>EXP(-LN(2)/2)*OP166+(1-EXP(-LN(2)/2))/(LN(2)/2)*OJ167*OM167*VLOOKUP('Données projet'!$B$27,Paramètres!$A$1:$I$89,3,0)*0.475*44/12</f>
        <v>#N/A</v>
      </c>
      <c r="OQ167" s="22" t="e">
        <f t="shared" si="280"/>
        <v>#N/A</v>
      </c>
      <c r="OR167" s="74">
        <f>('Scénario référence'!$F$8+'Scénario référence'!$F$9+'Scénario référence'!$B$17+'Scénario référence'!$B$9+'Scénario référence'!$B$10)*70+IF((45+25*(1-EXP(-0.0175*$A167)))&lt;70,'Scénario référence'!$B$16*(45+25*(1-EXP(-0.0175*$A167))),70*'Scénario référence'!$B$16)+IF((32+38*(1-EXP(-0.0175*$A167)))&lt;70,'Scénario référence'!$B$18*(32+38*(1-EXP(-0.0175*$A167))),70*'Scénario référence'!$B$18)</f>
        <v>70</v>
      </c>
      <c r="OS167" s="12">
        <f>IF($A167&gt;30,10,('Scénario référence'!$B$16+'Scénario référence'!$B$17+'Scénario référence'!$B$18+'Scénario référence'!$B$9+'Scénario référence'!$B$10)*$A167*10/30+('Scénario référence'!$F$8+'Scénario référence'!$F$9)*10)</f>
        <v>10</v>
      </c>
      <c r="OT167" s="12" t="e">
        <f>VLOOKUP($A167,'Données projet'!$A$538:$I$558,2,0)</f>
        <v>#N/A</v>
      </c>
      <c r="OU167" s="12" t="e">
        <f>VLOOKUP($A167,'Données projet'!$A$538:$I$558,9,0)</f>
        <v>#N/A</v>
      </c>
      <c r="OV167" s="12">
        <f t="array" ref="OV167">INDEX(OU:OU,MIN(IF(ISNUMBER(OU167:OU363),ROW(OU167:OU363),"")))</f>
        <v>0</v>
      </c>
      <c r="OW167" s="12">
        <f>IF('Données projet'!$A$538&gt;35,OW166+OV167-PE166,IF($A167&lt;'Données projet'!$A$538,$CQ$205^$A167,IF($A167='Données projet'!$A$538,'Données projet'!$B$538,OW166+OV167-PE166)))</f>
        <v>0</v>
      </c>
      <c r="OX167" s="17" t="e">
        <f>OW167*VLOOKUP('Données projet'!$B$28,Paramètres!$A$1:$I$89,3,0)*VLOOKUP('Données projet'!$B$28,Paramètres!$A$1:$I$89,5,0)</f>
        <v>#N/A</v>
      </c>
      <c r="OY167" s="13" t="e">
        <f t="shared" si="324"/>
        <v>#N/A</v>
      </c>
      <c r="OZ167" s="14" t="e">
        <f t="shared" si="281"/>
        <v>#N/A</v>
      </c>
      <c r="PA167" s="59" t="e">
        <f t="shared" si="282"/>
        <v>#N/A</v>
      </c>
      <c r="PB167" s="20" t="e">
        <f ca="1">AVERAGE(OFFSET($PA$3,0,0,'Données projet'!$E$28+1,1))-AVERAGE(OFFSET($H$3,0,0,'Données projet'!$E$28+1,1))</f>
        <v>#N/A</v>
      </c>
      <c r="PC167" s="59" t="e">
        <f t="shared" si="325"/>
        <v>#N/A</v>
      </c>
      <c r="PD167" s="15">
        <f>IF(ISNA(VLOOKUP($A167,'Données projet'!$A$538:$I$558,3,0)),0,VLOOKUP($A167,'Données projet'!$A$538:$I$558,3,0))</f>
        <v>0</v>
      </c>
      <c r="PE167" s="15">
        <f>IF(ISNA(VLOOKUP($A167,'Données projet'!$A$538:$I$558,4,0)),0,VLOOKUP($A167,'Données projet'!$A$538:$I$558,4,0))</f>
        <v>0</v>
      </c>
      <c r="PF167" s="16">
        <f>IF(ISNA(VLOOKUP($A167,'Données projet'!$A$538:$I$558,5,0)),0%,VLOOKUP($A167,'Données projet'!$A$538:$I$558,5,0)*VLOOKUP('Données projet'!$B$28,Paramètres!$A$1:$I$89,7,0))</f>
        <v>0</v>
      </c>
      <c r="PG167" s="16">
        <f>IF(ISNA(VLOOKUP($A167,'Données projet'!$A$538:$I$558,6,0)),0%,VLOOKUP($A167,'Données projet'!$A$538:$I$558,6,0)*VLOOKUP('Données projet'!$B$28,Paramètres!$A$1:$I$89,7,0))</f>
        <v>0</v>
      </c>
      <c r="PH167" s="16">
        <f>IF(ISNA(VLOOKUP($A167,'Données projet'!$A$538:$I$558,7,0)),0%,VLOOKUP($A167,'Données projet'!$A$538:$I$558,7,0))</f>
        <v>0</v>
      </c>
      <c r="PI167" s="21" t="e">
        <f>EXP(-LN(2)/35)*PI166+(1-EXP(-LN(2)/35))/(LN(2)/35)*PE167*PF167*VLOOKUP('Données projet'!$B$28,Paramètres!$A$1:$I$89,3,0)*0.475*44/12</f>
        <v>#N/A</v>
      </c>
      <c r="PJ167" s="21" t="e">
        <f>EXP(-LN(2)/25)*PJ166+(1-EXP(-LN(2)/25))/(LN(2)/25)*Calculateur!PE167*Calculateur!PG167*VLOOKUP('Données projet'!$B$28,Paramètres!$A$1:$I$89,3,0)*0.475*44/12</f>
        <v>#N/A</v>
      </c>
      <c r="PK167" s="21" t="e">
        <f>EXP(-LN(2)/2)*PK166+(1-EXP(-LN(2)/2))/(LN(2)/2)*PE167*PH167*VLOOKUP('Données projet'!$B$28,Paramètres!$A$1:$I$89,3,0)*0.475*44/12</f>
        <v>#N/A</v>
      </c>
      <c r="PL167" s="22" t="e">
        <f t="shared" si="283"/>
        <v>#N/A</v>
      </c>
    </row>
    <row r="168" spans="1:428" x14ac:dyDescent="0.35">
      <c r="A168" s="10">
        <f t="shared" si="326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285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225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projet'!$A$45:$I$65,2,0)</f>
        <v>#N/A</v>
      </c>
      <c r="L168" s="12" t="e">
        <f>VLOOKUP(A168,'Données projet'!$A$45:$I$65,9,0)</f>
        <v>#N/A</v>
      </c>
      <c r="M168" s="12">
        <f t="array" ref="M168">INDEX(L:L,MIN(IF(ISNUMBER(L168:L364),ROW(L168:L364),"")))</f>
        <v>0</v>
      </c>
      <c r="N168" s="13">
        <f>IF('Données projet'!$A$46&gt;35,N167+M168-V167,IF(A168&lt;'Données projet'!$A$46,$K$205^A168,IF(A168='Données projet'!$A$46,'Données projet'!$B$46,N167+M168-V167)))</f>
        <v>-1.1368683772161603E-13</v>
      </c>
      <c r="O168" s="13">
        <f>N168*VLOOKUP('Données projet'!$B$9,Paramètres!$A$1:$I$89,3,0)*VLOOKUP('Données projet'!$B$9,Paramètres!$A$1:$I$89,5,0)</f>
        <v>-6.3550942286383367E-14</v>
      </c>
      <c r="P168" s="13" t="e">
        <f t="shared" si="286"/>
        <v>#NUM!</v>
      </c>
      <c r="Q168" s="20" t="e">
        <f t="shared" si="327"/>
        <v>#NUM!</v>
      </c>
      <c r="R168" s="59" t="e">
        <f t="shared" si="224"/>
        <v>#NUM!</v>
      </c>
      <c r="S168" s="59">
        <f ca="1">AVERAGE(OFFSET($R$3,0,0,'Données projet'!$E$9+1,1))-AVERAGE(OFFSET($H$3,0,0,'Données projet'!$E$9+1,1))</f>
        <v>274.57619581652199</v>
      </c>
      <c r="T168" s="59">
        <f t="shared" si="287"/>
        <v>366.15117322598775</v>
      </c>
      <c r="U168" s="15">
        <f>IF(ISNA(VLOOKUP(A168,'Données projet'!$A$45:$I$65,3,0)),0,VLOOKUP(A168,'Données projet'!$A$45:$I$65,3,0))</f>
        <v>0</v>
      </c>
      <c r="V168" s="15">
        <f>IF(ISNA(VLOOKUP(A168,'Données projet'!$A$45:$I$65,4,0)),0,VLOOKUP(A168,'Données projet'!$A$45:$I$65,4,0))</f>
        <v>0</v>
      </c>
      <c r="W168" s="16">
        <f>IF(ISNA(VLOOKUP(A168,'Données projet'!$A$45:$I$65,5,0)),0%,VLOOKUP(A168,'Données projet'!$A$45:$I$65,5,0)*VLOOKUP('Données projet'!$B$9,Paramètres!$A$1:$I$89,7,0))</f>
        <v>0</v>
      </c>
      <c r="X168" s="16">
        <f>IF(ISNA(VLOOKUP(A168,'Données projet'!$A$45:$I$65,6,0)),0%,VLOOKUP(A168,'Données projet'!$A$45:$I$65,6,0)*VLOOKUP('Données projet'!$B$9,Paramètres!$A$1:$I$89,7,0))</f>
        <v>0</v>
      </c>
      <c r="Y168" s="16">
        <f>IF(ISNA(VLOOKUP(A168,'Données projet'!$A$45:$I$65,7,0)),0%,VLOOKUP(A168,'Données projet'!$A$45:$I$65,7,0))</f>
        <v>0</v>
      </c>
      <c r="Z168" s="21">
        <f>EXP(-LN(2)/35)*Z167+(1-EXP(-LN(2)/35))/(LN(2)/35)*V168*W168*VLOOKUP('Données projet'!$B$9,Paramètres!$A$1:$I$89,3,0)*0.475*44/12</f>
        <v>25.661085350812321</v>
      </c>
      <c r="AA168" s="21">
        <f>EXP(-LN(2)/25)*AA167+(1-EXP(-LN(2)/25))/(LN(2)/25)*Calculateur!V168*Calculateur!X168*VLOOKUP('Données projet'!$B$9,Paramètres!$A$1:$I$89,3,0)*0.475*44/12</f>
        <v>2.7286536100841094</v>
      </c>
      <c r="AB168" s="21">
        <f>EXP(-LN(2)/2)*AB167+(1-EXP(-LN(2)/2))/(LN(2)/2)*V168*Y168*VLOOKUP('Données projet'!$B$9,Paramètres!$A$1:$I$89,3,0)*0.475*44/12</f>
        <v>9.4816665641463053E-16</v>
      </c>
      <c r="AC168" s="22">
        <f t="shared" si="328"/>
        <v>28.38973896089643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projet'!$A$71:$I$91,2,0)</f>
        <v>#N/A</v>
      </c>
      <c r="AG168" s="12" t="e">
        <f>VLOOKUP(A168,'Données projet'!$A$71:$I$91,9,0)</f>
        <v>#N/A</v>
      </c>
      <c r="AH168" s="12">
        <f t="array" ref="AH168">INDEX(AG:AG,MIN(IF(ISNUMBER(AG168:AG364),ROW(AG168:AG364),"")))</f>
        <v>0</v>
      </c>
      <c r="AI168" s="13">
        <f>IF('Données projet'!$A$72&gt;35,AI167+AH168-AQ167,IF(A168&lt;'Données projet'!$A$72,$AF$205^A168,IF(A168='Données projet'!$A$72,'Données projet'!$B$72,AI167+AH168-AQ167)))</f>
        <v>5.6843418860808015E-13</v>
      </c>
      <c r="AJ168" s="13">
        <f>AI168*VLOOKUP('Données projet'!$B$10,Paramètres!$A$1:$I$89,3,0)*VLOOKUP('Données projet'!$B$10,Paramètres!$A$1:$I$89,5,0)</f>
        <v>5.1431925385259092E-13</v>
      </c>
      <c r="AK168" s="13">
        <f t="shared" si="329"/>
        <v>6.3855359115685756E-12</v>
      </c>
      <c r="AL168" s="20">
        <f t="shared" si="330"/>
        <v>1.2017247746441865E-11</v>
      </c>
      <c r="AM168" s="59">
        <f t="shared" si="228"/>
        <v>293.33333333334531</v>
      </c>
      <c r="AN168" s="59">
        <f ca="1">AVERAGE(OFFSET($AM$3,0,0,'Données projet'!$E$10+1,1))-AVERAGE(OFFSET($H$3,0,0,'Données projet'!$E$10+1,1))</f>
        <v>270.87836509222456</v>
      </c>
      <c r="AO168" s="59">
        <f t="shared" si="289"/>
        <v>205.24998237949734</v>
      </c>
      <c r="AP168" s="15">
        <f>IF(ISNA(VLOOKUP(A168,'Données projet'!$A$71:$I$91,3,0)),0,VLOOKUP(A168,'Données projet'!$A$71:$I$91,3,0))</f>
        <v>0</v>
      </c>
      <c r="AQ168" s="15">
        <f>IF(ISNA(VLOOKUP(A168,'Données projet'!$A$71:$I$91,4,0)),0,VLOOKUP(A168,'Données projet'!$A$71:$I$91,4,0))</f>
        <v>0</v>
      </c>
      <c r="AR168" s="16">
        <f>IF(ISNA(VLOOKUP(A168,'Données projet'!$A$71:$I$91,5,0)),0%,VLOOKUP(A168,'Données projet'!$A$71:$I$91,5,0)*VLOOKUP('Données projet'!$B$10,Paramètres!$A$1:$I$89,7,0))</f>
        <v>0</v>
      </c>
      <c r="AS168" s="16">
        <f>IF(ISNA(VLOOKUP(A168,'Données projet'!$A$71:$I$91,6,0)),0%,VLOOKUP(A168,'Données projet'!$A$71:$I$91,6,0)*VLOOKUP('Données projet'!$B$10,Paramètres!$A$1:$I$89,7,0))</f>
        <v>0</v>
      </c>
      <c r="AT168" s="16">
        <f>IF(ISNA(VLOOKUP(A168,'Données projet'!$A$71:$I$91,7,0)),0%,VLOOKUP(A168,'Données projet'!$A$71:$I$91,7,0))</f>
        <v>0</v>
      </c>
      <c r="AU168" s="21">
        <f>EXP(-LN(2)/35)*AU167+(1-EXP(-LN(2)/35))/(LN(2)/35)*AQ168*AR168*VLOOKUP('Données projet'!$B$10,Paramètres!$A$1:$I$89,3,0)*0.475*44/12</f>
        <v>87.202905879486877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331"/>
        <v>87.202905879486877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projet'!$A$97:$I$117,2,0)</f>
        <v>#N/A</v>
      </c>
      <c r="BB168" s="12" t="e">
        <f>VLOOKUP(A168,'Données projet'!$A$97:$I$117,9,0)</f>
        <v>#N/A</v>
      </c>
      <c r="BC168" s="12">
        <f t="array" ref="BC168">INDEX(BB:BB,MIN(IF(ISNUMBER(BB168:BB364),ROW(BB168:BB364),"")))</f>
        <v>0</v>
      </c>
      <c r="BD168" s="12">
        <f>IF('Données projet'!$A$98&gt;35,BD167+BC168-BL167,IF(A168&lt;'Données projet'!$A$98,$BA$205^A168,IF(A168='Données projet'!$A$98,'Données projet'!$B$98,BD167+BC168-BL167)))</f>
        <v>-1.1368683772161603E-13</v>
      </c>
      <c r="BE168" s="13">
        <f>BD168*VLOOKUP('Données projet'!$B$11,Paramètres!$A$1:$I$89,3,0)*VLOOKUP('Données projet'!$B$11,Paramètres!$A$1:$I$89,5,0)</f>
        <v>-5.0249582272954292E-14</v>
      </c>
      <c r="BF168" s="13" t="e">
        <f t="shared" si="332"/>
        <v>#NUM!</v>
      </c>
      <c r="BG168" s="20" t="e">
        <f t="shared" si="333"/>
        <v>#NUM!</v>
      </c>
      <c r="BH168" s="59" t="e">
        <f t="shared" si="231"/>
        <v>#NUM!</v>
      </c>
      <c r="BI168" s="59">
        <f ca="1">AVERAGE(OFFSET($BH$3,0,0,'Données projet'!$E$11+1,1))-AVERAGE(OFFSET($H$3,0,0,'Données projet'!$E$11+1,1))</f>
        <v>211.31057120485542</v>
      </c>
      <c r="BJ168" s="59">
        <f t="shared" si="291"/>
        <v>283.33292006714777</v>
      </c>
      <c r="BK168" s="15">
        <f>IF(ISNA(VLOOKUP(A168,'Données projet'!$A$97:$I$117,3,0)),0,VLOOKUP(A168,'Données projet'!$A$97:$I$117,3,0))</f>
        <v>0</v>
      </c>
      <c r="BL168" s="15">
        <f>IF(ISNA(VLOOKUP(A168,'Données projet'!$A$97:$I$117,4,0)),0,VLOOKUP(A168,'Données projet'!$A$97:$I$117,4,0))</f>
        <v>0</v>
      </c>
      <c r="BM168" s="16">
        <f>IF(ISNA(VLOOKUP(A168,'Données projet'!$A$97:$I$117,5,0)),0%,VLOOKUP(A168,'Données projet'!$A$97:$I$117,5,0)*VLOOKUP('Données projet'!$B$11,Paramètres!$A$1:$I$89,7,0))</f>
        <v>0</v>
      </c>
      <c r="BN168" s="16">
        <f>IF(ISNA(VLOOKUP(A168,'Données projet'!$A$97:$I$117,6,0)),0%,VLOOKUP(A168,'Données projet'!$A$97:$I$117,6,0)*VLOOKUP('Données projet'!$B$11,Paramètres!$A$1:$I$89,7,0))</f>
        <v>0</v>
      </c>
      <c r="BO168" s="16">
        <f>IF(ISNA(VLOOKUP(A168,'Données projet'!$A$97:$I$117,7,0)),0%,VLOOKUP(A168,'Données projet'!$A$97:$I$117,7,0))</f>
        <v>0</v>
      </c>
      <c r="BP168" s="21">
        <f>EXP(-LN(2)/35)*BP167+(1-EXP(-LN(2)/35))/(LN(2)/35)*BL168*BM168*VLOOKUP('Données projet'!$B$11,Paramètres!$A$1:$I$89,3,0)*0.475*44/12</f>
        <v>20.290160509944638</v>
      </c>
      <c r="BQ168" s="21">
        <f>EXP(-LN(2)/25)*BQ167+(1-EXP(-LN(2)/25))/(LN(2)/25)*Calculateur!BL168*Calculateur!BN168*VLOOKUP('Données projet'!$B$11,Paramètres!$A$1:$I$89,3,0)*0.475*44/12</f>
        <v>2.157540063787434</v>
      </c>
      <c r="BR168" s="21">
        <f>EXP(-LN(2)/2)*BR167+(1-EXP(-LN(2)/2))/(LN(2)/2)*BL168*BO168*VLOOKUP('Données projet'!$B$11,Paramètres!$A$1:$I$89,3,0)*0.475*44/12</f>
        <v>7.4971317018831237E-16</v>
      </c>
      <c r="BS168" s="22">
        <f t="shared" si="334"/>
        <v>22.447700573732071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projet'!$A$123:$I$143,2,0)</f>
        <v>#N/A</v>
      </c>
      <c r="BW168" s="12" t="e">
        <f>VLOOKUP(A168,'Données projet'!$A$123:$I$143,9,0)</f>
        <v>#N/A</v>
      </c>
      <c r="BX168" s="12">
        <f t="array" ref="BX168">INDEX(BW:BW,MIN(IF(ISNUMBER(BW168:BW364),ROW(BW168:BW364),"")))</f>
        <v>0</v>
      </c>
      <c r="BY168" s="12">
        <f>IF('Données projet'!$A$124&gt;35,BY167+BX168-CG167,IF(A168&lt;'Données projet'!$A$124,$BV$205^A168,IF(A168='Données projet'!$A$124,'Données projet'!$B$124,BY167+BX168-CG167)))</f>
        <v>0</v>
      </c>
      <c r="BZ168" s="13">
        <f>BY168*VLOOKUP('Données projet'!$B$12,Paramètres!$A$1:$I$89,3,0)*VLOOKUP('Données projet'!$B$12,Paramètres!$A$1:$I$89,5,0)</f>
        <v>0</v>
      </c>
      <c r="CA168" s="13" t="e">
        <f t="shared" si="335"/>
        <v>#NUM!</v>
      </c>
      <c r="CB168" s="20" t="e">
        <f t="shared" si="336"/>
        <v>#NUM!</v>
      </c>
      <c r="CC168" s="59" t="e">
        <f t="shared" si="234"/>
        <v>#NUM!</v>
      </c>
      <c r="CD168" s="59">
        <f ca="1">AVERAGE(OFFSET($CC$3,0,0,'Données projet'!$E$12+1,1))-AVERAGE(OFFSET($H$3,0,0,'Données projet'!$E$12+1,1))</f>
        <v>322.93502595881938</v>
      </c>
      <c r="CE168" s="59">
        <f t="shared" si="293"/>
        <v>302.67072119588164</v>
      </c>
      <c r="CF168" s="15">
        <f>IF(ISNA(VLOOKUP(A168,'Données projet'!$A$123:$I$143,3,0)),0,VLOOKUP(A168,'Données projet'!$A$123:$I$143,3,0))</f>
        <v>0</v>
      </c>
      <c r="CG168" s="15">
        <f>IF(ISNA(VLOOKUP(A168,'Données projet'!$A$123:$I$143,4,0)),0,VLOOKUP(A168,'Données projet'!$A$123:$I$143,4,0))</f>
        <v>0</v>
      </c>
      <c r="CH168" s="16">
        <f>IF(ISNA(VLOOKUP(A168,'Données projet'!$A$123:$I$143,5,0)),0%,VLOOKUP(A168,'Données projet'!$A$123:$I$143,5,0)*VLOOKUP('Données projet'!$B$12,Paramètres!$A$1:$I$89,7,0))</f>
        <v>0</v>
      </c>
      <c r="CI168" s="16">
        <f>IF(ISNA(VLOOKUP(A168,'Données projet'!$A$123:$I$143,6,0)),0%,VLOOKUP(A168,'Données projet'!$A$123:$I$143,6,0)*VLOOKUP('Données projet'!$B$12,Paramètres!$A$1:$I$89,7,0))</f>
        <v>0</v>
      </c>
      <c r="CJ168" s="16">
        <f>IF(ISNA(VLOOKUP(A168,'Données projet'!$A$123:$I$143,7,0)),0%,VLOOKUP(A168,'Données projet'!$A$123:$I$143,7,0))</f>
        <v>0</v>
      </c>
      <c r="CK168" s="21">
        <f>EXP(-LN(2)/35)*CK167+(1-EXP(-LN(2)/35))/(LN(2)/35)*CG168*CH168*VLOOKUP('Données projet'!$B$12,Paramètres!$A$1:$I$89,3,0)*0.475*44/12</f>
        <v>32.327128489290928</v>
      </c>
      <c r="CL168" s="21">
        <f>EXP(-LN(2)/25)*CL167+(1-EXP(-LN(2)/25))/(LN(2)/25)*Calculateur!CG168*Calculateur!CI168*VLOOKUP('Données projet'!$B$12,Paramètres!$A$1:$I$89,3,0)*0.475*44/12</f>
        <v>6.9054335999353373</v>
      </c>
      <c r="CM168" s="21">
        <f>EXP(-LN(2)/2)*CM167+(1-EXP(-LN(2)/2))/(LN(2)/2)*CG168*CJ168*VLOOKUP('Données projet'!$B$12,Paramètres!$A$1:$I$89,3,0)*0.475*44/12</f>
        <v>0</v>
      </c>
      <c r="CN168" s="22">
        <f t="shared" si="337"/>
        <v>39.232562089226263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projet'!$A$149:$I$169,2,0)</f>
        <v>#N/A</v>
      </c>
      <c r="CR168" s="12" t="e">
        <f>VLOOKUP(A168,'Données projet'!$A$149:$I$169,9,0)</f>
        <v>#N/A</v>
      </c>
      <c r="CS168" s="12">
        <f t="array" ref="CS168">INDEX(CR:CR,MIN(IF(ISNUMBER(CR168:CR364),ROW(CR168:CR364),"")))</f>
        <v>0</v>
      </c>
      <c r="CT168" s="12">
        <f>IF('Données projet'!$A$150&gt;35,CT167+CS168-DB167,IF(A168&lt;'Données projet'!$A$150,$CQ$205^A168,IF(A168='Données projet'!$A$150,'Données projet'!$B$150,CT167+CS168-DB167)))</f>
        <v>-4.5474735088646412E-13</v>
      </c>
      <c r="CU168" s="17">
        <f>CT168*VLOOKUP('Données projet'!$B$13,Paramètres!$A$1:$I$89,3,0)*VLOOKUP('Données projet'!$B$13,Paramètres!$A$1:$I$89,5,0)</f>
        <v>-4.6111381379887462E-13</v>
      </c>
      <c r="CV168" s="13" t="e">
        <f t="shared" si="338"/>
        <v>#NUM!</v>
      </c>
      <c r="CW168" s="20" t="e">
        <f t="shared" si="339"/>
        <v>#NUM!</v>
      </c>
      <c r="CX168" s="59" t="e">
        <f t="shared" si="237"/>
        <v>#NUM!</v>
      </c>
      <c r="CY168" s="59">
        <f ca="1">AVERAGE(OFFSET($CX$3,0,0,'Données projet'!$E$13+1,1))-AVERAGE(OFFSET($H$3,0,0,'Données projet'!$E$13+1,1))</f>
        <v>250.31277422753283</v>
      </c>
      <c r="CZ168" s="59">
        <f t="shared" si="295"/>
        <v>159.20429420478047</v>
      </c>
      <c r="DA168" s="15">
        <f>IF(ISNA(VLOOKUP(A168,'Données projet'!$A$149:$I$169,3,0)),0,VLOOKUP(A168,'Données projet'!$A$149:$I$169,3,0))</f>
        <v>0</v>
      </c>
      <c r="DB168" s="15">
        <f>IF(ISNA(VLOOKUP(A168,'Données projet'!$A$149:$I$169,4,0)),0,VLOOKUP(A168,'Données projet'!$A$149:$I$169,4,0))</f>
        <v>0</v>
      </c>
      <c r="DC168" s="16">
        <f>IF(ISNA(VLOOKUP(A168,'Données projet'!$A$149:$I$169,5,0)),0%,VLOOKUP(A168,'Données projet'!$A$149:$I$169,5,0)*VLOOKUP('Données projet'!$B$13,Paramètres!$A$1:$I$89,7,0))</f>
        <v>0</v>
      </c>
      <c r="DD168" s="16">
        <f>IF(ISNA(VLOOKUP(A168,'Données projet'!$A$149:$I$169,6,0)),0%,VLOOKUP(A168,'Données projet'!$A$149:$I$169,6,0)*VLOOKUP('Données projet'!$B$13,Paramètres!$A$1:$I$89,7,0))</f>
        <v>0</v>
      </c>
      <c r="DE168" s="16">
        <f>IF(ISNA(VLOOKUP(A168,'Données projet'!$A$149:$I$169,7,0)),0%,VLOOKUP(A168,'Données projet'!$A$149:$I$169,7,0))</f>
        <v>0</v>
      </c>
      <c r="DF168" s="21">
        <f>EXP(-LN(2)/35)*DF167+(1-EXP(-LN(2)/35))/(LN(2)/35)*DB168*DC168*VLOOKUP('Données projet'!$B$13,Paramètres!$A$1:$I$89,3,0)*0.475*44/12</f>
        <v>147.16272039226533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340"/>
        <v>147.16272039226533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projet'!$A$175:$I$195,2,0)</f>
        <v>#N/A</v>
      </c>
      <c r="DM168" s="12" t="e">
        <f>VLOOKUP(A168,'Données projet'!$A$175:$I$195,9,0)</f>
        <v>#N/A</v>
      </c>
      <c r="DN168" s="12">
        <f t="array" ref="DN168">INDEX(DM:DM,MIN(IF(ISNUMBER(DM168:DM364),ROW(DM168:DM364),"")))</f>
        <v>0</v>
      </c>
      <c r="DO168" s="12">
        <f>IF('Données projet'!$A$176&gt;35,DO167+DN168-DW167,IF(A168&lt;'Données projet'!$A$176,$DL$205^A168,IF(A168='Données projet'!$A$176,'Données projet'!$B$176,DO167+DN168-DW167)))</f>
        <v>-2.8421709430404007E-13</v>
      </c>
      <c r="DP168" s="17">
        <f>DO168*VLOOKUP('Données projet'!$B$14,Paramètres!$A$1:$I$89,3,0)*VLOOKUP('Données projet'!$B$14,Paramètres!$A$1:$I$89,5,0)</f>
        <v>-2.0838797354372215E-13</v>
      </c>
      <c r="DQ168" s="13" t="e">
        <f t="shared" si="341"/>
        <v>#NUM!</v>
      </c>
      <c r="DR168" s="20" t="e">
        <f t="shared" si="342"/>
        <v>#NUM!</v>
      </c>
      <c r="DS168" s="59" t="e">
        <f t="shared" si="240"/>
        <v>#NUM!</v>
      </c>
      <c r="DT168" s="59">
        <f ca="1">AVERAGE(OFFSET($DS$3,0,0,'Données projet'!$E$14+1,1))-AVERAGE(OFFSET($H$3,0,0,'Données projet'!$E$14+1,1))</f>
        <v>296.91321813251051</v>
      </c>
      <c r="DU168" s="59">
        <f t="shared" si="297"/>
        <v>291.0718079639509</v>
      </c>
      <c r="DV168" s="15">
        <f>IF(ISNA(VLOOKUP(A168,'Données projet'!$A$175:$I$195,3,0)),0,VLOOKUP(A168,'Données projet'!$A$175:$I$195,3,0))</f>
        <v>0</v>
      </c>
      <c r="DW168" s="15">
        <f>IF(ISNA(VLOOKUP(A168,'Données projet'!$A$175:$I$195,4,0)),0,VLOOKUP(A168,'Données projet'!$A$175:$I$195,4,0))</f>
        <v>0</v>
      </c>
      <c r="DX168" s="16">
        <f>IF(ISNA(VLOOKUP(A168,'Données projet'!$A$175:$I$195,5,0)),0%,VLOOKUP(A168,'Données projet'!$A$175:$I$195,5,0)*VLOOKUP('Données projet'!$B$14,Paramètres!$A$1:$I$89,7,0))</f>
        <v>0</v>
      </c>
      <c r="DY168" s="16">
        <f>IF(ISNA(VLOOKUP(A168,'Données projet'!$A$175:$I$195,6,0)),0%,VLOOKUP(A168,'Données projet'!$A$175:$I$195,6,0)*VLOOKUP('Données projet'!$B$14,Paramètres!$A$1:$I$89,7,0))</f>
        <v>0</v>
      </c>
      <c r="DZ168" s="16">
        <f>IF(ISNA(VLOOKUP(A168,'Données projet'!$A$175:$I$195,7,0)),0%,VLOOKUP(A168,'Données projet'!$A$175:$I$195,7,0))</f>
        <v>0</v>
      </c>
      <c r="EA168" s="21">
        <f>EXP(-LN(2)/35)*EA167+(1-EXP(-LN(2)/35))/(LN(2)/35)*DW168*DX168*VLOOKUP('Données projet'!$B$14,Paramètres!$A$1:$I$89,3,0)*0.475*44/12</f>
        <v>32.219768707236305</v>
      </c>
      <c r="EB168" s="21">
        <f>EXP(-LN(2)/25)*EB167+(1-EXP(-LN(2)/25))/(LN(2)/25)*Calculateur!DW168*Calculateur!DY168*VLOOKUP('Données projet'!$B$14,Paramètres!$A$1:$I$89,3,0)*0.475*44/12</f>
        <v>0.50727941510385444</v>
      </c>
      <c r="EC168" s="21">
        <f>EXP(-LN(2)/2)*EC167+(1-EXP(-LN(2)/2))/(LN(2)/2)*DW168*DZ168*VLOOKUP('Données projet'!$B$14,Paramètres!$A$1:$I$89,3,0)*0.475*44/12</f>
        <v>0</v>
      </c>
      <c r="ED168" s="22">
        <f t="shared" si="343"/>
        <v>32.727048122340157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projet'!$A$201:$I$221,2,0)</f>
        <v>#N/A</v>
      </c>
      <c r="EH168" s="12" t="e">
        <f>VLOOKUP(A168,'Données projet'!$A$201:$I$221,9,0)</f>
        <v>#N/A</v>
      </c>
      <c r="EI168" s="12">
        <f t="array" ref="EI168">INDEX(EH:EH,MIN(IF(ISNUMBER(EH168:EH364),ROW(EH168:EH364),"")))</f>
        <v>0</v>
      </c>
      <c r="EJ168" s="12">
        <f>IF('Données projet'!$A$202&gt;35,EJ167+EI168-ER167,IF(A168&lt;'Données projet'!$A$202,$EG$205^A168,IF(A168='Données projet'!$A$202,'Données projet'!$B$202,EJ167+EI168-ER167)))</f>
        <v>5.1159076974727213E-13</v>
      </c>
      <c r="EK168" s="17">
        <f>EJ168*VLOOKUP('Données projet'!$B$15,Paramètres!$A$1:$I$89,3,0)*VLOOKUP('Données projet'!$B$15,Paramètres!$A$1:$I$89,5,0)</f>
        <v>2.3942448024172334E-13</v>
      </c>
      <c r="EL168" s="13">
        <f t="shared" si="344"/>
        <v>3.2492669905861755E-12</v>
      </c>
      <c r="EM168" s="20">
        <f t="shared" si="345"/>
        <v>6.0761376450252565E-12</v>
      </c>
      <c r="EN168" s="59">
        <f t="shared" si="243"/>
        <v>293.3333333333394</v>
      </c>
      <c r="EO168" s="59">
        <f ca="1">AVERAGE(OFFSET($EN$3,0,0,'Données projet'!$E$15+1,1))-AVERAGE(OFFSET($H$3,0,0,'Données projet'!$E$15+1,1))</f>
        <v>147.64256291235483</v>
      </c>
      <c r="EP168" s="59">
        <f t="shared" si="299"/>
        <v>70.859031694091868</v>
      </c>
      <c r="EQ168" s="15">
        <f>IF(ISNA(VLOOKUP(A168,'Données projet'!$A$201:$I$221,3,0)),0,VLOOKUP(A168,'Données projet'!$A$201:$I$221,3,0))</f>
        <v>0</v>
      </c>
      <c r="ER168" s="15">
        <f>IF(ISNA(VLOOKUP(A168,'Données projet'!$A$201:$I$221,4,0)),0,VLOOKUP(A168,'Données projet'!$A$201:$I$221,4,0))</f>
        <v>0</v>
      </c>
      <c r="ES168" s="16">
        <f>IF(ISNA(VLOOKUP(A168,'Données projet'!$A$201:$I$221,5,0)),0%,VLOOKUP(A168,'Données projet'!$A$201:$I$221,5,0)*VLOOKUP('Données projet'!$B$15,Paramètres!$A$1:$I$89,7,0))</f>
        <v>0</v>
      </c>
      <c r="ET168" s="16">
        <f>IF(ISNA(VLOOKUP(A168,'Données projet'!$A$201:$I$221,6,0)),0%,VLOOKUP(A168,'Données projet'!$A$201:$I$221,6,0)*VLOOKUP('Données projet'!$B$15,Paramètres!$A$1:$I$89,7,0))</f>
        <v>0</v>
      </c>
      <c r="EU168" s="16">
        <f>IF(ISNA(VLOOKUP(A168,'Données projet'!$A$201:$I$221,7,0)),0%,VLOOKUP(A168,'Données projet'!$A$201:$I$221,7,0))</f>
        <v>0</v>
      </c>
      <c r="EV168" s="21">
        <f>EXP(-LN(2)/35)*EV167+(1-EXP(-LN(2)/35))/(LN(2)/35)*ER168*ES168*VLOOKUP('Données projet'!$B$15,Paramètres!$A$1:$I$89,3,0)*0.475*44/12</f>
        <v>44.109371235247266</v>
      </c>
      <c r="EW168" s="21">
        <f>EXP(-LN(2)/25)*EW167+(1-EXP(-LN(2)/25))/(LN(2)/25)*Calculateur!ER168*Calculateur!ET168*VLOOKUP('Données projet'!$B$15,Paramètres!$A$1:$I$89,3,0)*0.475*44/12</f>
        <v>7.0379908091931611</v>
      </c>
      <c r="EX168" s="21">
        <f>EXP(-LN(2)/2)*EX167+(1-EXP(-LN(2)/2))/(LN(2)/2)*ER168*EU168*VLOOKUP('Données projet'!$B$15,Paramètres!$A$1:$I$89,3,0)*0.475*44/12</f>
        <v>6.8354194330846364E-8</v>
      </c>
      <c r="EY168" s="22">
        <f t="shared" si="346"/>
        <v>51.147362112794625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projet'!$A$227:$I$247,2,0)</f>
        <v>#N/A</v>
      </c>
      <c r="FC168" s="12" t="e">
        <f>VLOOKUP(A168,'Données projet'!$A$227:$I$247,9,0)</f>
        <v>#N/A</v>
      </c>
      <c r="FD168" s="12">
        <f t="array" ref="FD168">INDEX(FC:FC,MIN(IF(ISNUMBER(FC168:FC364),ROW(FC168:FC364),"")))</f>
        <v>0</v>
      </c>
      <c r="FE168" s="12">
        <f>IF('Données projet'!$A$228&gt;35,FE167+FD168-FM167,IF(A168&lt;'Données projet'!$A$228,$FB$205^A168,IF(A168='Données projet'!$A$228,'Données projet'!$B$228,FE167+FD168-FM167)))</f>
        <v>8.5265128291212022E-14</v>
      </c>
      <c r="FF168" s="17">
        <f>FE168*VLOOKUP('Données projet'!$B$16,Paramètres!$A$1:$I$89,3,0)*VLOOKUP('Données projet'!$B$16,Paramètres!$A$1:$I$89,5,0)</f>
        <v>8.9119112089974823E-14</v>
      </c>
      <c r="FG168" s="13">
        <f t="shared" si="347"/>
        <v>1.3568952080113142E-12</v>
      </c>
      <c r="FH168" s="20">
        <f t="shared" si="348"/>
        <v>2.5184749408430782E-12</v>
      </c>
      <c r="FI168" s="59">
        <f t="shared" si="246"/>
        <v>293.33333333333582</v>
      </c>
      <c r="FJ168" s="59">
        <f ca="1">AVERAGE(OFFSET($FI$3,0,0,'Données projet'!$E$16+1,1))-AVERAGE(OFFSET($H$3,0,0,'Données projet'!$E$16+1,1))</f>
        <v>259.03906550253788</v>
      </c>
      <c r="FK168" s="59">
        <f t="shared" si="301"/>
        <v>235.54542903570831</v>
      </c>
      <c r="FL168" s="15">
        <f>IF(ISNA(VLOOKUP(A168,'Données projet'!$A$227:$I$247,3,0)),0,VLOOKUP(A168,'Données projet'!$A$227:$I$247,3,0))</f>
        <v>0</v>
      </c>
      <c r="FM168" s="15">
        <f>IF(ISNA(VLOOKUP(A168,'Données projet'!$A$227:$I$247,4,0)),0,VLOOKUP(A168,'Données projet'!$A$227:$I$247,4,0))</f>
        <v>0</v>
      </c>
      <c r="FN168" s="16">
        <f>IF(ISNA(VLOOKUP(A168,'Données projet'!$A$227:$I$247,5,0)),0%,VLOOKUP(A168,'Données projet'!$A$227:$I$247,5,0)*VLOOKUP('Données projet'!$B$16,Paramètres!$A$1:$I$89,7,0))</f>
        <v>0</v>
      </c>
      <c r="FO168" s="16">
        <f>IF(ISNA(VLOOKUP(A168,'Données projet'!$A$227:$I$247,6,0)),0%,VLOOKUP(A168,'Données projet'!$A$227:$I$247,6,0)*VLOOKUP('Données projet'!$B$16,Paramètres!$A$1:$I$89,7,0))</f>
        <v>0</v>
      </c>
      <c r="FP168" s="16">
        <f>IF(ISNA(VLOOKUP(A168,'Données projet'!$A$227:$I$247,7,0)),0%,VLOOKUP(A168,'Données projet'!$A$227:$I$247,7,0))</f>
        <v>0</v>
      </c>
      <c r="FQ168" s="21">
        <f>EXP(-LN(2)/35)*FQ167+(1-EXP(-LN(2)/35))/(LN(2)/35)*FM168*FN168*VLOOKUP('Données projet'!$B$16,Paramètres!$A$1:$I$89,3,0)*0.475*44/12</f>
        <v>19.46867770720139</v>
      </c>
      <c r="FR168" s="21">
        <f>EXP(-LN(2)/25)*FR167+(1-EXP(-LN(2)/25))/(LN(2)/25)*Calculateur!FM168*Calculateur!FO168*VLOOKUP('Données projet'!$B$16,Paramètres!$A$1:$I$89,3,0)*0.475*44/12</f>
        <v>9.6819855930439189</v>
      </c>
      <c r="FS168" s="21">
        <f>EXP(-LN(2)/2)*FS167+(1-EXP(-LN(2)/2))/(LN(2)/2)*FM168*FP168*VLOOKUP('Données projet'!$B$16,Paramètres!$A$1:$I$89,3,0)*0.475*44/12</f>
        <v>0</v>
      </c>
      <c r="FT168" s="22">
        <f t="shared" si="349"/>
        <v>29.150663300245309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projet'!$A$253:$I$273,2,0)</f>
        <v>#N/A</v>
      </c>
      <c r="FX168" s="12" t="e">
        <f>VLOOKUP(A168,'Données projet'!$A$253:$I$273,9,0)</f>
        <v>#N/A</v>
      </c>
      <c r="FY168" s="12">
        <f t="array" ref="FY168">INDEX(FX:FX,MIN(IF(ISNUMBER(FX168:FX364),ROW(FX168:FX364),"")))</f>
        <v>0</v>
      </c>
      <c r="FZ168" s="12">
        <f>IF('Données projet'!$A$254&gt;35,FZ167+FY168-GH167,IF(A168&lt;'Données projet'!$A$254,$FW$205^A168,IF(A168='Données projet'!$A$254,'Données projet'!$B$254,FZ167+FY168-GH167)))</f>
        <v>-1.7053025658242404E-13</v>
      </c>
      <c r="GA168" s="17">
        <f>FZ168*VLOOKUP('Données projet'!$B$17,Paramètres!$A$1:$I$89,3,0)*VLOOKUP('Données projet'!$B$17,Paramètres!$A$1:$I$89,5,0)</f>
        <v>-1.4897523215040567E-13</v>
      </c>
      <c r="GB168" s="13" t="e">
        <f t="shared" si="350"/>
        <v>#NUM!</v>
      </c>
      <c r="GC168" s="20" t="e">
        <f t="shared" si="351"/>
        <v>#NUM!</v>
      </c>
      <c r="GD168" s="59" t="e">
        <f t="shared" si="249"/>
        <v>#NUM!</v>
      </c>
      <c r="GE168" s="59">
        <f ca="1">AVERAGE(OFFSET($GD$3,0,0,'Données projet'!$E$17+1,1))-AVERAGE(OFFSET($H$3,0,0,'Données projet'!$E$17+1,1))</f>
        <v>245.1983232777614</v>
      </c>
      <c r="GF168" s="59">
        <f t="shared" si="303"/>
        <v>242.34010522344573</v>
      </c>
      <c r="GG168" s="15">
        <f>IF(ISNA(VLOOKUP(A168,'Données projet'!$A$253:$I$273,3,0)),0,VLOOKUP(A168,'Données projet'!$A$253:$I$273,3,0))</f>
        <v>0</v>
      </c>
      <c r="GH168" s="15">
        <f>IF(ISNA(VLOOKUP(A168,'Données projet'!$A$253:$I$273,4,0)),0,VLOOKUP(A168,'Données projet'!$A$253:$I$273,4,0))</f>
        <v>0</v>
      </c>
      <c r="GI168" s="16">
        <f>IF(ISNA(VLOOKUP(A168,'Données projet'!$A$253:$I$273,5,0)),0%,VLOOKUP(A168,'Données projet'!$A$253:$I$273,5,0)*VLOOKUP('Données projet'!$B$17,Paramètres!$A$1:$I$89,7,0))</f>
        <v>0</v>
      </c>
      <c r="GJ168" s="16">
        <f>IF(ISNA(VLOOKUP(A168,'Données projet'!$A$253:$I$273,6,0)),0%,VLOOKUP(A168,'Données projet'!$A$253:$I$273,6,0)*VLOOKUP('Données projet'!$B$17,Paramètres!$A$1:$I$89,7,0))</f>
        <v>0</v>
      </c>
      <c r="GK168" s="16">
        <f>IF(ISNA(VLOOKUP(A168,'Données projet'!$A$253:$I$273,7,0)),0%,VLOOKUP(A168,'Données projet'!$A$253:$I$273,7,0))</f>
        <v>0</v>
      </c>
      <c r="GL168" s="21">
        <f>EXP(-LN(2)/35)*GL167+(1-EXP(-LN(2)/35))/(LN(2)/35)*GH168*GI168*VLOOKUP('Données projet'!$B$17,Paramètres!$A$1:$I$89,3,0)*0.475*44/12</f>
        <v>22.888101792112852</v>
      </c>
      <c r="GM168" s="21">
        <f>EXP(-LN(2)/25)*GM167+(1-EXP(-LN(2)/25))/(LN(2)/25)*Calculateur!GH168*Calculateur!GJ168*VLOOKUP('Données projet'!$B$17,Paramètres!$A$1:$I$89,3,0)*0.475*44/12</f>
        <v>2.0629952608895681</v>
      </c>
      <c r="GN168" s="21">
        <f>EXP(-LN(2)/2)*GN167+(1-EXP(-LN(2)/2))/(LN(2)/2)*GH168*GK168*VLOOKUP('Données projet'!$B$17,Paramètres!$A$1:$I$89,3,0)*0.475*44/12</f>
        <v>0</v>
      </c>
      <c r="GO168" s="21">
        <f t="shared" si="352"/>
        <v>24.951097053002421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projet'!$A$279:$I$299,2,0)</f>
        <v>#N/A</v>
      </c>
      <c r="GS168" s="12" t="e">
        <f>VLOOKUP(A168,'Données projet'!$A$279:$I$299,9,0)</f>
        <v>#N/A</v>
      </c>
      <c r="GT168" s="12">
        <f t="array" ref="GT168">INDEX(GS:GS,MIN(IF(ISNUMBER(GS168:GS364),ROW(GS168:GS364),"")))</f>
        <v>0</v>
      </c>
      <c r="GU168" s="12">
        <f>IF('Données projet'!$A$280&gt;35,GU167+GT168-HC167,IF(A168&lt;'Données projet'!$A$280,$GR$205^A168,IF(A168='Données projet'!$A$280,'Données projet'!$B$280,GU167+GT168-HC167)))</f>
        <v>-1.1368683772161603E-13</v>
      </c>
      <c r="GV168" s="17">
        <f>GU168*VLOOKUP('Données projet'!$B$18,Paramètres!$A$1:$I$89,3,0)*VLOOKUP('Données projet'!$B$18,Paramètres!$A$1:$I$89,5,0)</f>
        <v>-4.5815795601811263E-14</v>
      </c>
      <c r="GW168" s="13" t="e">
        <f t="shared" si="353"/>
        <v>#NUM!</v>
      </c>
      <c r="GX168" s="20" t="e">
        <f t="shared" si="354"/>
        <v>#NUM!</v>
      </c>
      <c r="GY168" s="59" t="e">
        <f t="shared" si="252"/>
        <v>#NUM!</v>
      </c>
      <c r="GZ168" s="59">
        <f ca="1">AVERAGE(OFFSET($GY$3,0,0,'Données projet'!$E$18+1,1))-AVERAGE(OFFSET($H$3,0,0,'Données projet'!$E$18+1,1))</f>
        <v>324.36162935850876</v>
      </c>
      <c r="HA168" s="59">
        <f t="shared" si="305"/>
        <v>265.23571072429735</v>
      </c>
      <c r="HB168" s="15">
        <f>IF(ISNA(VLOOKUP(A168,'Données projet'!$A$279:$I$299,3,0)),0,VLOOKUP(A168,'Données projet'!$A$279:$I$299,3,0))</f>
        <v>0</v>
      </c>
      <c r="HC168" s="15">
        <f>IF(ISNA(VLOOKUP(A168,'Données projet'!$A$279:$I$299,4,0)),0,VLOOKUP(A168,'Données projet'!$A$279:$I$299,4,0))</f>
        <v>0</v>
      </c>
      <c r="HD168" s="16">
        <f>IF(ISNA(VLOOKUP(A168,'Données projet'!$A$279:$I$299,5,0)),0%,VLOOKUP(A168,'Données projet'!$A$279:$I$299,5,0)*VLOOKUP('Données projet'!$B$18,Paramètres!$A$1:$I$89,7,0))</f>
        <v>0</v>
      </c>
      <c r="HE168" s="16">
        <f>IF(ISNA(VLOOKUP(A168,'Données projet'!$A$279:$I$299,6,0)),0%,VLOOKUP(A168,'Données projet'!$A$279:$I$299,6,0)*VLOOKUP('Données projet'!$B$18,Paramètres!$A$1:$I$89,7,0))</f>
        <v>0</v>
      </c>
      <c r="HF168" s="16">
        <f>IF(ISNA(VLOOKUP($A168,'Données projet'!$A$279:$I$299,7,0)),0%,VLOOKUP($A168,'Données projet'!$A$279:$I$299,7,0))</f>
        <v>0</v>
      </c>
      <c r="HG168" s="21">
        <f>EXP(-LN(2)/35)*HG167+(1-EXP(-LN(2)/35))/(LN(2)/35)*HC168*HD168*VLOOKUP('Données projet'!$B$18,Paramètres!$A$1:$I$89,3,0)*0.475*44/12</f>
        <v>43.859586414025522</v>
      </c>
      <c r="HH168" s="21">
        <f>EXP(-LN(2)/25)*HH167+(1-EXP(-LN(2)/25))/(LN(2)/25)*Calculateur!HC168*Calculateur!HE168*VLOOKUP('Données projet'!$B$18,Paramètres!$A$1:$I$89,3,0)*0.475*44/12</f>
        <v>2.2944197299320876</v>
      </c>
      <c r="HI168" s="21">
        <f>EXP(-LN(2)/2)*HI167+(1-EXP(-LN(2)/2))/(LN(2)/2)*HC168*HF168*VLOOKUP('Données projet'!$B$18,Paramètres!$A$1:$I$89,3,0)*0.475*44/12</f>
        <v>1.3741987335665833E-12</v>
      </c>
      <c r="HJ168" s="22">
        <f t="shared" si="355"/>
        <v>46.154006143958981</v>
      </c>
      <c r="HK168" s="74">
        <f>('Scénario référence'!$F$8+'Scénario référence'!$F$9+'Scénario référence'!$B$17+'Scénario référence'!$B$9+'Scénario référence'!$B$10)*70+IF((45+25*(1-EXP(-0.0175*$A168)))&lt;70,'Scénario référence'!$B$16*(45+25*(1-EXP(-0.0175*$A168))),70*'Scénario référence'!$B$16)+IF((32+38*(1-EXP(-0.0175*$A168)))&lt;70,'Scénario référence'!$B$18*(32+38*(1-EXP(-0.0175*$A168))),70*'Scénario référence'!$B$18)</f>
        <v>70</v>
      </c>
      <c r="HL168" s="12">
        <f>IF($A168&gt;30,10,('Scénario référence'!$B$16+'Scénario référence'!$B$17+'Scénario référence'!$B$18+'Scénario référence'!$B$9+'Scénario référence'!$B$10)*$A168*10/30+('Scénario référence'!$F$8+'Scénario référence'!$F$9)*10)</f>
        <v>10</v>
      </c>
      <c r="HM168" s="12" t="e">
        <f>VLOOKUP($A168,'Données projet'!$A$304:$I$324,2,0)</f>
        <v>#N/A</v>
      </c>
      <c r="HN168" s="12" t="e">
        <f>VLOOKUP($A168,'Données projet'!$A$304:$I$324,9,0)</f>
        <v>#N/A</v>
      </c>
      <c r="HO168" s="12">
        <f t="array" ref="HO168">INDEX(HN:HN,MIN(IF(ISNUMBER(HN168:HN364),ROW(HN168:HN364),"")))</f>
        <v>0</v>
      </c>
      <c r="HP168" s="12">
        <f>IF('Données projet'!$A$304&gt;35,HP167+HO168-HX167,IF($A168&lt;'Données projet'!$A$304,$CQ$205^$A168,IF($A168='Données projet'!$A$304,'Données projet'!$B$304,HP167+HO168-HX167)))</f>
        <v>0</v>
      </c>
      <c r="HQ168" s="17">
        <f>HP168*VLOOKUP('Données projet'!$B$19,Paramètres!$A$1:$I$89,3,0)*VLOOKUP('Données projet'!$B$19,Paramètres!$A$1:$I$89,5,0)</f>
        <v>0</v>
      </c>
      <c r="HR168" s="13" t="e">
        <f t="shared" si="306"/>
        <v>#NUM!</v>
      </c>
      <c r="HS168" s="14" t="e">
        <f t="shared" si="254"/>
        <v>#NUM!</v>
      </c>
      <c r="HT168" s="59" t="e">
        <f t="shared" si="255"/>
        <v>#NUM!</v>
      </c>
      <c r="HU168" s="59">
        <f ca="1">AVERAGE(OFFSET(HT$3,0,0,'Données projet'!$E$19+1,1))-AVERAGE(OFFSET($H$3,0,0,'Données projet'!$E$19+1,1))</f>
        <v>91.60721429656013</v>
      </c>
      <c r="HV168" s="59">
        <f t="shared" si="307"/>
        <v>258.94957804210856</v>
      </c>
      <c r="HW168" s="15">
        <f>IF(ISNA(VLOOKUP($A168,'Données projet'!$A$304:$I$324,3,0)),0,VLOOKUP($A168,'Données projet'!$A$304:$I$324,3,0))</f>
        <v>0</v>
      </c>
      <c r="HX168" s="15">
        <f>IF(ISNA(VLOOKUP($A168,'Données projet'!$A$304:$I$324,4,0)),0,VLOOKUP($A168,'Données projet'!$A$304:$I$324,4,0))</f>
        <v>0</v>
      </c>
      <c r="HY168" s="16">
        <f>IF(ISNA(VLOOKUP($A168,'Données projet'!$A$304:$I$324,5,0)),0%,VLOOKUP($A168,'Données projet'!$A$304:$I$324,5,0)*VLOOKUP('Données projet'!$B$19,Paramètres!$A$1:$I$89,7,0))</f>
        <v>0</v>
      </c>
      <c r="HZ168" s="16">
        <f>IF(ISNA(VLOOKUP($A168,'Données projet'!$A$304:$I$324,6,0)),0%,VLOOKUP($A168,'Données projet'!$A$304:$I$324,6,0)*VLOOKUP('Données projet'!$B$19,Paramètres!$A$1:$I$89,7,0))</f>
        <v>0</v>
      </c>
      <c r="IA168" s="16">
        <f>IF(ISNA(VLOOKUP($A168,'Données projet'!$A$304:$I$324,7,0)),0%,VLOOKUP($A168,'Données projet'!$A$304:$I$324,7,0))</f>
        <v>0</v>
      </c>
      <c r="IB168" s="21">
        <f>EXP(-LN(2)/35)*IB167+(1-EXP(-LN(2)/35))/(LN(2)/35)*HX168*HY168*VLOOKUP('Données projet'!$B$19,Paramètres!$A$1:$I$89,3,0)*0.475*44/12</f>
        <v>3.4042326222045003</v>
      </c>
      <c r="IC168" s="21">
        <f>EXP(-LN(2)/25)*IC167+(1-EXP(-LN(2)/25))/(LN(2)/25)*Calculateur!HX168*Calculateur!HZ168*VLOOKUP('Données projet'!$B$19,Paramètres!$A$1:$I$89,3,0)*0.475*44/12</f>
        <v>0.23038244496109986</v>
      </c>
      <c r="ID168" s="21">
        <f>EXP(-LN(2)/2)*ID167+(1-EXP(-LN(2)/2))/(LN(2)/2)*HX168*IA168*VLOOKUP('Données projet'!$B$19,Paramètres!$A$1:$I$89,3,0)*0.475*44/12</f>
        <v>2.7448458697777896E-21</v>
      </c>
      <c r="IE168" s="22">
        <f t="shared" si="256"/>
        <v>3.6346150671656003</v>
      </c>
      <c r="IF168" s="74">
        <f>('Scénario référence'!$F$8+'Scénario référence'!$F$9+'Scénario référence'!$B$17+'Scénario référence'!$B$9+'Scénario référence'!$B$10)*70+IF((45+25*(1-EXP(-0.0175*$A168)))&lt;70,'Scénario référence'!$B$16*(45+25*(1-EXP(-0.0175*$A168))),70*'Scénario référence'!$B$16)+IF((32+38*(1-EXP(-0.0175*$A168)))&lt;70,'Scénario référence'!$B$18*(32+38*(1-EXP(-0.0175*$A168))),70*'Scénario référence'!$B$18)</f>
        <v>70</v>
      </c>
      <c r="IG168" s="12">
        <f>IF($A168&gt;30,10,('Scénario référence'!$B$16+'Scénario référence'!$B$17+'Scénario référence'!$B$18+'Scénario référence'!$B$9+'Scénario référence'!$B$10)*$A168*10/30+('Scénario référence'!$F$8+'Scénario référence'!$F$9)*10)</f>
        <v>10</v>
      </c>
      <c r="IH168" s="12" t="e">
        <f>VLOOKUP($A168,'Données projet'!$A$330:$I$350,2,0)</f>
        <v>#N/A</v>
      </c>
      <c r="II168" s="12" t="e">
        <f>VLOOKUP($A168,'Données projet'!$A$330:$I$350,9,0)</f>
        <v>#N/A</v>
      </c>
      <c r="IJ168" s="12">
        <f t="array" ref="IJ168">INDEX(II:II,MIN(IF(ISNUMBER(II168:II364),ROW(II168:II364),"")))</f>
        <v>0</v>
      </c>
      <c r="IK168" s="12">
        <f>IF('Données projet'!$A$330&gt;35,IK167+IJ168-IS167,IF($A168&lt;'Données projet'!$A$330,$CQ$205^$A168,IF($A168='Données projet'!$A$330,'Données projet'!$B$330,IK167+IJ168-IS167)))</f>
        <v>0</v>
      </c>
      <c r="IL168" s="17">
        <f>IK168*VLOOKUP('Données projet'!$B$20,Paramètres!$A$1:$I$89,3,0)*VLOOKUP('Données projet'!$B$20,Paramètres!$A$1:$I$89,5,0)</f>
        <v>0</v>
      </c>
      <c r="IM168" s="13" t="e">
        <f t="shared" si="308"/>
        <v>#NUM!</v>
      </c>
      <c r="IN168" s="20" t="e">
        <f t="shared" si="257"/>
        <v>#NUM!</v>
      </c>
      <c r="IO168" s="59" t="e">
        <f t="shared" si="258"/>
        <v>#NUM!</v>
      </c>
      <c r="IP168" s="59">
        <f ca="1">AVERAGE(OFFSET(IO$3,0,0,'Données projet'!$E$20+1,1))-AVERAGE(OFFSET($H$3,0,0,'Données projet'!$E$20+1,1))</f>
        <v>91.60721429656013</v>
      </c>
      <c r="IQ168" s="59">
        <f t="shared" si="309"/>
        <v>258.94957804210856</v>
      </c>
      <c r="IR168" s="15">
        <f>IF(ISNA(VLOOKUP($A168,'Données projet'!$A$330:$I$350,3,0)),0,VLOOKUP($A168,'Données projet'!$A$330:$I$350,3,0))</f>
        <v>0</v>
      </c>
      <c r="IS168" s="15">
        <f>IF(ISNA(VLOOKUP($A168,'Données projet'!$A$330:$I$350,4,0)),0,VLOOKUP($A168,'Données projet'!$A$330:$I$350,4,0))</f>
        <v>0</v>
      </c>
      <c r="IT168" s="16">
        <f>IF(ISNA(VLOOKUP($A168,'Données projet'!$A$330:$I$350,5,0)),0%,VLOOKUP($A168,'Données projet'!$A$330:$I$350,5,0)*VLOOKUP('Données projet'!$B$20,Paramètres!$A$1:$I$89,7,0))</f>
        <v>0</v>
      </c>
      <c r="IU168" s="16">
        <f>IF(ISNA(VLOOKUP($A168,'Données projet'!$A$330:$I$350,6,0)),0%,VLOOKUP($A168,'Données projet'!$A$330:$I$350,6,0)*VLOOKUP('Données projet'!$B$20,Paramètres!$A$1:$I$89,7,0))</f>
        <v>0</v>
      </c>
      <c r="IV168" s="16">
        <f>IF(ISNA(VLOOKUP($A168,'Données projet'!$A$330:$I$350,7,0)),0%,VLOOKUP($A168,'Données projet'!$A$330:$I$350,7,0))</f>
        <v>0</v>
      </c>
      <c r="IW168" s="21">
        <f>EXP(-LN(2)/35)*IW167+(1-EXP(-LN(2)/35))/(LN(2)/35)*IS168*IT168*VLOOKUP('Données projet'!$B$20,Paramètres!$A$1:$I$89,3,0)*0.475*44/12</f>
        <v>3.4042326222045003</v>
      </c>
      <c r="IX168" s="21">
        <f>EXP(-LN(2)/25)*IX167+(1-EXP(-LN(2)/25))/(LN(2)/25)*Calculateur!IS168*Calculateur!IU168*VLOOKUP('Données projet'!$B$20,Paramètres!$A$1:$I$89,3,0)*0.475*44/12</f>
        <v>0.23038244496109986</v>
      </c>
      <c r="IY168" s="21">
        <f>EXP(-LN(2)/2)*IY167+(1-EXP(-LN(2)/2))/(LN(2)/2)*IS168*IV168*VLOOKUP('Données projet'!$B$20,Paramètres!$A$1:$I$89,3,0)*0.475*44/12</f>
        <v>2.7448458697777896E-21</v>
      </c>
      <c r="IZ168" s="22">
        <f t="shared" si="259"/>
        <v>3.6346150671656003</v>
      </c>
      <c r="JA168" s="74">
        <f>('Scénario référence'!$F$8+'Scénario référence'!$F$9+'Scénario référence'!$B$17+'Scénario référence'!$B$9+'Scénario référence'!$B$10)*70+IF((45+25*(1-EXP(-0.0175*$A168)))&lt;70,'Scénario référence'!$B$16*(45+25*(1-EXP(-0.0175*$A168))),70*'Scénario référence'!$B$16)+IF((32+38*(1-EXP(-0.0175*$A168)))&lt;70,'Scénario référence'!$B$18*(32+38*(1-EXP(-0.0175*$A168))),70*'Scénario référence'!$B$18)</f>
        <v>70</v>
      </c>
      <c r="JB168" s="12">
        <f>IF($A168&gt;30,10,('Scénario référence'!$B$16+'Scénario référence'!$B$17+'Scénario référence'!$B$18+'Scénario référence'!$B$9+'Scénario référence'!$B$10)*$A168*10/30+('Scénario référence'!$F$8+'Scénario référence'!$F$9)*10)</f>
        <v>10</v>
      </c>
      <c r="JC168" s="12" t="e">
        <f>VLOOKUP($A168,'Données projet'!$A$356:$I$376,2,0)</f>
        <v>#N/A</v>
      </c>
      <c r="JD168" s="12" t="e">
        <f>VLOOKUP($A168,'Données projet'!$A$356:$I$376,9,0)</f>
        <v>#N/A</v>
      </c>
      <c r="JE168" s="12">
        <f t="array" ref="JE168">INDEX(JD:JD,MIN(IF(ISNUMBER(JD168:JD364),ROW(JD168:JD364),"")))</f>
        <v>0</v>
      </c>
      <c r="JF168" s="12">
        <f>IF('Données projet'!$A$356&gt;35,JF167+JE168-JN167,IF($A168&lt;'Données projet'!$A$356,$CQ$205^$A168,IF($A168='Données projet'!$A$356,'Données projet'!$B$356,JF167+JE168-JN167)))</f>
        <v>-1.3073986337985843E-12</v>
      </c>
      <c r="JG168" s="17">
        <f>JF168*VLOOKUP('Données projet'!$B$21,Paramètres!$A$1:$I$89,3,0)*VLOOKUP('Données projet'!$B$21,Paramètres!$A$1:$I$89,5,0)</f>
        <v>-1.0605617717374117E-12</v>
      </c>
      <c r="JH168" s="13" t="e">
        <f t="shared" si="310"/>
        <v>#NUM!</v>
      </c>
      <c r="JI168" s="20" t="e">
        <f t="shared" si="260"/>
        <v>#NUM!</v>
      </c>
      <c r="JJ168" s="59" t="e">
        <f t="shared" si="261"/>
        <v>#NUM!</v>
      </c>
      <c r="JK168" s="59">
        <f ca="1">AVERAGE(OFFSET($JJ$3,0,0,'Données projet'!$E$22+1,1))-AVERAGE(OFFSET($H$3,0,0,'Données projet'!$E$22+1,1))</f>
        <v>353.35574633294613</v>
      </c>
      <c r="JL168" s="59">
        <f t="shared" si="311"/>
        <v>170.36796666474726</v>
      </c>
      <c r="JM168" s="15">
        <f>IF(ISNA(VLOOKUP($A168,'Données projet'!$A$356:$I$376,3,0)),0,VLOOKUP($A168,'Données projet'!$A$356:$I$376,3,0))</f>
        <v>0</v>
      </c>
      <c r="JN168" s="15">
        <f>IF(ISNA(VLOOKUP($A168,'Données projet'!$A$356:$I$376,4,0)),0,VLOOKUP($A168,'Données projet'!$A$356:$I$376,4,0))</f>
        <v>0</v>
      </c>
      <c r="JO168" s="16">
        <f>IF(ISNA(VLOOKUP($A168,'Données projet'!$A$356:$I$376,5,0)),0%,VLOOKUP($A168,'Données projet'!$A$356:$I$376,5,0)*VLOOKUP('Données projet'!$B$21,Paramètres!$A$1:$I$89,7,0))</f>
        <v>0</v>
      </c>
      <c r="JP168" s="16">
        <f>IF(ISNA(VLOOKUP($A168,'Données projet'!$A$356:$I$376,6,0)),0%,VLOOKUP($A168,'Données projet'!$A$356:$I$376,6,0)*VLOOKUP('Données projet'!$B$21,Paramètres!$A$1:$I$89,7,0))</f>
        <v>0</v>
      </c>
      <c r="JQ168" s="16">
        <f>IF(ISNA(VLOOKUP($A168,'Données projet'!$A$356:$I$376,7,0)),0%,VLOOKUP($A168,'Données projet'!$A$356:$I$376,7,0))</f>
        <v>0</v>
      </c>
      <c r="JR168" s="21">
        <f>EXP(-LN(2)/35)*JR167+(1-EXP(-LN(2)/35))/(LN(2)/35)*JN168*JO168*VLOOKUP('Données projet'!$B$21,Paramètres!$A$1:$I$89,3,0)*0.475*44/12</f>
        <v>54.574925070664221</v>
      </c>
      <c r="JS168" s="21">
        <f>EXP(-LN(2)/25)*JS167+(1-EXP(-LN(2)/25))/(LN(2)/25)*Calculateur!JN168*Calculateur!JP168*VLOOKUP('Données projet'!$B$21,Paramètres!$A$1:$I$89,3,0)*0.475*44/12</f>
        <v>50.422964886279772</v>
      </c>
      <c r="JT168" s="21">
        <f>EXP(-LN(2)/2)*JT167+(1-EXP(-LN(2)/2))/(LN(2)/2)*JN168*JQ168*VLOOKUP('Données projet'!$B$21,Paramètres!$A$1:$I$89,3,0)*0.475*44/12</f>
        <v>0.18943239806513967</v>
      </c>
      <c r="JU168" s="18">
        <f t="shared" si="262"/>
        <v>105.18732235500913</v>
      </c>
      <c r="JV168" s="74">
        <f>('Scénario référence'!$F$8+'Scénario référence'!$F$9+'Scénario référence'!$B$17+'Scénario référence'!$B$9+'Scénario référence'!$B$10)*70+IF((45+25*(1-EXP(-0.0175*$A168)))&lt;70,'Scénario référence'!$B$16*(45+25*(1-EXP(-0.0175*$A168))),70*'Scénario référence'!$B$16)+IF((32+38*(1-EXP(-0.0175*$A168)))&lt;70,'Scénario référence'!$B$18*(32+38*(1-EXP(-0.0175*$A168))),70*'Scénario référence'!$B$18)</f>
        <v>70</v>
      </c>
      <c r="JW168" s="12">
        <f>IF($A168&gt;30,10,('Scénario référence'!$B$16+'Scénario référence'!$B$17+'Scénario référence'!$B$18+'Scénario référence'!$B$9+'Scénario référence'!$B$10)*$A168*10/30+('Scénario référence'!$F$8+'Scénario référence'!$F$9)*10)</f>
        <v>10</v>
      </c>
      <c r="JX168" s="12" t="e">
        <f>VLOOKUP($A168,'Données projet'!$A$382:$I$402,2,0)</f>
        <v>#N/A</v>
      </c>
      <c r="JY168" s="12" t="e">
        <f>VLOOKUP($A168,'Données projet'!$A$382:$I$402,9,0)</f>
        <v>#N/A</v>
      </c>
      <c r="JZ168" s="12">
        <f t="array" ref="JZ168">INDEX(JY:JY,MIN(IF(ISNUMBER(JY168:JY364),ROW(JY168:JY364),"")))</f>
        <v>0</v>
      </c>
      <c r="KA168" s="12">
        <f>IF('Données projet'!$A$382&gt;35,KA167+JZ168-KI167,IF($A168&lt;'Données projet'!$A$382,$CQ$205^$A168,IF($A168='Données projet'!$A$382,'Données projet'!$B$382,KA167+JZ168-KI167)))</f>
        <v>5.6843418860808015E-13</v>
      </c>
      <c r="KB168" s="17">
        <f>KA168*VLOOKUP('Données projet'!$B$22,Paramètres!$A$1:$I$89,3,0)*VLOOKUP('Données projet'!$B$22,Paramètres!$A$1:$I$89,5,0)</f>
        <v>3.8130565371830017E-13</v>
      </c>
      <c r="KC168" s="13">
        <f t="shared" si="312"/>
        <v>4.9019074112354236E-12</v>
      </c>
      <c r="KD168" s="20">
        <f t="shared" si="263"/>
        <v>9.2015960881277352E-12</v>
      </c>
      <c r="KE168" s="59">
        <f t="shared" si="264"/>
        <v>293.33333333334252</v>
      </c>
      <c r="KF168" s="59">
        <f ca="1">AVERAGE(OFFSET($KE$3,0,0,'Données projet'!$E$22+1,1))-AVERAGE(OFFSET($H$3,0,0,'Données projet'!$E$22+1,1))</f>
        <v>193.91714772848269</v>
      </c>
      <c r="KG168" s="59">
        <f t="shared" si="313"/>
        <v>159.20429420478047</v>
      </c>
      <c r="KH168" s="15">
        <f>IF(ISNA(VLOOKUP($A168,'Données projet'!$A$382:$I$402,3,0)),0,VLOOKUP($A168,'Données projet'!$A$382:$I$402,3,0))</f>
        <v>0</v>
      </c>
      <c r="KI168" s="15">
        <f>IF(ISNA(VLOOKUP($A168,'Données projet'!$A$382:$I$402,4,0)),0,VLOOKUP($A168,'Données projet'!$A$382:$I$402,4,0))</f>
        <v>0</v>
      </c>
      <c r="KJ168" s="16">
        <f>IF(ISNA(VLOOKUP($A168,'Données projet'!$A$382:$I$402,5,0)),0%,VLOOKUP($A168,'Données projet'!$A$382:$I$402,5,0)*VLOOKUP('Données projet'!$B$22,Paramètres!$A$1:$I$89,7,0))</f>
        <v>0</v>
      </c>
      <c r="KK168" s="16">
        <f>IF(ISNA(VLOOKUP($A168,'Données projet'!$A$382:$I$402,6,0)),0%,VLOOKUP($A168,'Données projet'!$A$382:$I$402,6,0)*VLOOKUP('Données projet'!$B$22,Paramètres!$A$1:$I$89,7,0))</f>
        <v>0</v>
      </c>
      <c r="KL168" s="16">
        <f>IF(ISNA(VLOOKUP($A168,'Données projet'!$A$382:$I$402,7,0)),0%,VLOOKUP($A168,'Données projet'!$A$382:$I$402,7,0))</f>
        <v>0</v>
      </c>
      <c r="KM168" s="21">
        <f>EXP(-LN(2)/35)*KM167+(1-EXP(-LN(2)/35))/(LN(2)/35)*KI168*KJ168*VLOOKUP('Données projet'!$B$22,Paramètres!$A$1:$I$89,3,0)*0.475*44/12</f>
        <v>79.685413993324204</v>
      </c>
      <c r="KN168" s="21">
        <f>EXP(-LN(2)/25)*KN167+(1-EXP(-LN(2)/25))/(LN(2)/25)*Calculateur!KI168*Calculateur!KK168*VLOOKUP('Données projet'!$B$22,Paramètres!$A$1:$I$89,3,0)*0.475*44/12</f>
        <v>0</v>
      </c>
      <c r="KO168" s="21">
        <f>EXP(-LN(2)/2)*KO167+(1-EXP(-LN(2)/2))/(LN(2)/2)*KI168*KL168*VLOOKUP('Données projet'!$B$22,Paramètres!$A$1:$I$89,3,0)*0.475*44/12</f>
        <v>0</v>
      </c>
      <c r="KP168" s="22">
        <f t="shared" si="265"/>
        <v>79.685413993324204</v>
      </c>
      <c r="KQ168" s="74">
        <f>('Scénario référence'!$F$8+'Scénario référence'!$F$9+'Scénario référence'!$B$17+'Scénario référence'!$B$9+'Scénario référence'!$B$10)*70+IF((45+25*(1-EXP(-0.0175*$A168)))&lt;70,'Scénario référence'!$B$16*(45+25*(1-EXP(-0.0175*$A168))),70*'Scénario référence'!$B$16)+IF((32+38*(1-EXP(-0.0175*$A168)))&lt;70,'Scénario référence'!$B$18*(32+38*(1-EXP(-0.0175*$A168))),70*'Scénario référence'!$B$18)</f>
        <v>70</v>
      </c>
      <c r="KR168" s="12">
        <f>IF($A168&gt;30,10,('Scénario référence'!$B$16+'Scénario référence'!$B$17+'Scénario référence'!$B$18+'Scénario référence'!$B$9+'Scénario référence'!$B$10)*$A168*10/30+('Scénario référence'!$F$8+'Scénario référence'!$F$9)*10)</f>
        <v>10</v>
      </c>
      <c r="KS168" s="12" t="e">
        <f>VLOOKUP($A168,'Données projet'!$A$408:$I$428,2,0)</f>
        <v>#N/A</v>
      </c>
      <c r="KT168" s="12" t="e">
        <f>VLOOKUP($A168,'Données projet'!$A$408:$I$428,9,0)</f>
        <v>#N/A</v>
      </c>
      <c r="KU168" s="12">
        <f t="array" ref="KU168">INDEX(KT:KT,MIN(IF(ISNUMBER(KT168:KT364),ROW(KT168:KT364),"")))</f>
        <v>0</v>
      </c>
      <c r="KV168" s="12">
        <f>IF('Données projet'!$A$408&gt;35,KV167+KU168-LD167,IF($A168&lt;'Données projet'!$A$408,$CQ$205^$A168,IF($A168='Données projet'!$A$408,'Données projet'!$B$408,KV167+KU168-LD167)))</f>
        <v>-1.1368683772161603E-13</v>
      </c>
      <c r="KW168" s="17">
        <f>KV168*VLOOKUP('Données projet'!$B$23,Paramètres!$A$1:$I$89,3,0)*VLOOKUP('Données projet'!$B$23,Paramètres!$A$1:$I$89,5,0)</f>
        <v>-9.9316821433603781E-14</v>
      </c>
      <c r="KX168" s="13" t="e">
        <f t="shared" si="314"/>
        <v>#NUM!</v>
      </c>
      <c r="KY168" s="14" t="e">
        <f t="shared" si="266"/>
        <v>#NUM!</v>
      </c>
      <c r="KZ168" s="59" t="e">
        <f t="shared" si="267"/>
        <v>#NUM!</v>
      </c>
      <c r="LA168" s="59">
        <f ca="1">AVERAGE(OFFSET($KZ$3,0,0,'Données projet'!$E$23+1,1))-AVERAGE(OFFSET($H$3,0,0,'Données projet'!$E$23+1,1))</f>
        <v>248.33596943633819</v>
      </c>
      <c r="LB168" s="59">
        <f t="shared" si="315"/>
        <v>242.34010522344573</v>
      </c>
      <c r="LC168" s="15">
        <f>IF(ISNA(VLOOKUP($A168,'Données projet'!$A$408:$I$428,3,0)),0,VLOOKUP($A168,'Données projet'!$A$408:$I$428,3,0))</f>
        <v>0</v>
      </c>
      <c r="LD168" s="15">
        <f>IF(ISNA(VLOOKUP($A168,'Données projet'!$A$408:$I$428,4,0)),0,VLOOKUP($A168,'Données projet'!$A$408:$I$428,4,0))</f>
        <v>0</v>
      </c>
      <c r="LE168" s="16">
        <f>IF(ISNA(VLOOKUP($A168,'Données projet'!$A$408:$I$428,5,0)),0%,VLOOKUP($A168,'Données projet'!$A$408:$I$428,5,0)*VLOOKUP('Données projet'!$B$23,Paramètres!$A$1:$I$89,7,0))</f>
        <v>0</v>
      </c>
      <c r="LF168" s="16">
        <f>IF(ISNA(VLOOKUP($A168,'Données projet'!$A$408:$I$428,6,0)),0%,VLOOKUP($A168,'Données projet'!$A$408:$I$428,6,0)*VLOOKUP('Données projet'!$B$23,Paramètres!$A$1:$I$89,7,0))</f>
        <v>0</v>
      </c>
      <c r="LG168" s="16">
        <f>IF(ISNA(VLOOKUP($A168,'Données projet'!$A$408:$I$428,7,0)),0%,VLOOKUP($A168,'Données projet'!$A$408:$I$428,7,0))</f>
        <v>0</v>
      </c>
      <c r="LH168" s="21">
        <f>EXP(-LN(2)/35)*LH167+(1-EXP(-LN(2)/35))/(LN(2)/35)*LD168*LE168*VLOOKUP('Données projet'!$B$23,Paramètres!$A$1:$I$89,3,0)*0.475*44/12</f>
        <v>22.888101792112852</v>
      </c>
      <c r="LI168" s="21">
        <f>EXP(-LN(2)/25)*LI167+(1-EXP(-LN(2)/25))/(LN(2)/25)*Calculateur!LD168*Calculateur!LF168*VLOOKUP('Données projet'!$B$23,Paramètres!$A$1:$I$89,3,0)*0.475*44/12</f>
        <v>2.0629952608895681</v>
      </c>
      <c r="LJ168" s="21">
        <f>EXP(-LN(2)/2)*LJ167+(1-EXP(-LN(2)/2))/(LN(2)/2)*LD168*LG168*VLOOKUP('Données projet'!$B$23,Paramètres!$A$1:$I$89,3,0)*0.475*44/12</f>
        <v>0</v>
      </c>
      <c r="LK168" s="22">
        <f t="shared" si="268"/>
        <v>24.951097053002421</v>
      </c>
      <c r="LL168" s="74">
        <f>('Scénario référence'!$F$8+'Scénario référence'!$F$9+'Scénario référence'!$B$17+'Scénario référence'!$B$9+'Scénario référence'!$B$10)*70+IF((45+25*(1-EXP(-0.0175*$A168)))&lt;70,'Scénario référence'!$B$16*(45+25*(1-EXP(-0.0175*$A168))),70*'Scénario référence'!$B$16)+IF((32+38*(1-EXP(-0.0175*$A168)))&lt;70,'Scénario référence'!$B$18*(32+38*(1-EXP(-0.0175*$A168))),70*'Scénario référence'!$B$18)</f>
        <v>70</v>
      </c>
      <c r="LM168" s="12">
        <f>IF($A168&gt;30,10,('Scénario référence'!$B$16+'Scénario référence'!$B$17+'Scénario référence'!$B$18+'Scénario référence'!$B$9+'Scénario référence'!$B$10)*$A168*10/30+('Scénario référence'!$F$8+'Scénario référence'!$F$9)*10)</f>
        <v>10</v>
      </c>
      <c r="LN168" s="12" t="e">
        <f>VLOOKUP($A168,'Données projet'!$A$434:$I$454,2,0)</f>
        <v>#N/A</v>
      </c>
      <c r="LO168" s="12" t="e">
        <f>VLOOKUP($A168,'Données projet'!$A$434:$I$454,9,0)</f>
        <v>#N/A</v>
      </c>
      <c r="LP168" s="12">
        <f t="array" ref="LP168">INDEX(LO:LO,MIN(IF(ISNUMBER(LO168:LO364),ROW(LO168:LO364),"")))</f>
        <v>0</v>
      </c>
      <c r="LQ168" s="12">
        <f>IF('Données projet'!$A$434&gt;35,LQ167+LP168-LY167,IF($A168&lt;'Données projet'!$A$434,$CQ$205^$A168,IF($A168='Données projet'!$A$434,'Données projet'!$B$434,LQ167+LP168-LY167)))</f>
        <v>-4.5474735088646412E-13</v>
      </c>
      <c r="LR168" s="17">
        <f>LQ168*VLOOKUP('Données projet'!$B$24,Paramètres!$A$1:$I$89,3,0)*VLOOKUP('Données projet'!$B$24,Paramètres!$A$1:$I$89,5,0)</f>
        <v>-4.6111381379887462E-13</v>
      </c>
      <c r="LS168" s="13" t="e">
        <f t="shared" si="316"/>
        <v>#NUM!</v>
      </c>
      <c r="LT168" s="14" t="e">
        <f t="shared" si="269"/>
        <v>#NUM!</v>
      </c>
      <c r="LU168" s="59" t="e">
        <f t="shared" si="270"/>
        <v>#NUM!</v>
      </c>
      <c r="LV168" s="59">
        <f ca="1">AVERAGE(OFFSET($LU$3,0,0,'Données projet'!$E$24+1,1))-AVERAGE(OFFSET($H$3,0,0,'Données projet'!$E$24+1,1))</f>
        <v>260.52627655062872</v>
      </c>
      <c r="LW168" s="59">
        <f t="shared" si="317"/>
        <v>159.20429420478047</v>
      </c>
      <c r="LX168" s="15">
        <f>IF(ISNA(VLOOKUP($A168,'Données projet'!$A$434:$I$454,3,0)),0,VLOOKUP($A168,'Données projet'!$A$434:$I$454,3,0))</f>
        <v>0</v>
      </c>
      <c r="LY168" s="15">
        <f>IF(ISNA(VLOOKUP($A168,'Données projet'!$A$434:$I$454,4,0)),0,VLOOKUP($A168,'Données projet'!$A$434:$I$454,4,0))</f>
        <v>0</v>
      </c>
      <c r="LZ168" s="16">
        <f>IF(ISNA(VLOOKUP($A168,'Données projet'!$A$434:$I$454,5,0)),0%,VLOOKUP($A168,'Données projet'!$A$434:$I$454,5,0)*VLOOKUP('Données projet'!$B$24,Paramètres!$A$1:$I$89,7,0))</f>
        <v>0</v>
      </c>
      <c r="MA168" s="16">
        <f>IF(ISNA(VLOOKUP($A168,'Données projet'!$A$434:$I$454,6,0)),0%,VLOOKUP($A168,'Données projet'!$A$434:$I$454,6,0)*VLOOKUP('Données projet'!$B$24,Paramètres!$A$1:$I$89,7,0))</f>
        <v>0</v>
      </c>
      <c r="MB168" s="16">
        <f>IF(ISNA(VLOOKUP($A168,'Données projet'!$A$434:$I$454,7,0)),0%,VLOOKUP($A168,'Données projet'!$A$434:$I$454,7,0))</f>
        <v>0</v>
      </c>
      <c r="MC168" s="21">
        <f>EXP(-LN(2)/35)*MC167+(1-EXP(-LN(2)/35))/(LN(2)/35)*LY168*LZ168*VLOOKUP('Données projet'!$B$24,Paramètres!$A$1:$I$89,3,0)*0.475*44/12</f>
        <v>147.16272039226533</v>
      </c>
      <c r="MD168" s="21">
        <f>EXP(-LN(2)/25)*MD167+(1-EXP(-LN(2)/25))/(LN(2)/25)*Calculateur!LY168*Calculateur!MA168*VLOOKUP('Données projet'!$B$24,Paramètres!$A$1:$I$89,3,0)*0.475*44/12</f>
        <v>0</v>
      </c>
      <c r="ME168" s="21">
        <f>EXP(-LN(2)/2)*ME167+(1-EXP(-LN(2)/2))/(LN(2)/2)*LY168*MB168*VLOOKUP('Données projet'!$B$24,Paramètres!$A$1:$I$89,3,0)*0.475*44/12</f>
        <v>0</v>
      </c>
      <c r="MF168" s="22">
        <f t="shared" si="271"/>
        <v>147.16272039226533</v>
      </c>
      <c r="MG168" s="74">
        <f>('Scénario référence'!$F$8+'Scénario référence'!$F$9+'Scénario référence'!$B$17+'Scénario référence'!$B$9+'Scénario référence'!$B$10)*70+IF((45+25*(1-EXP(-0.0175*$A168)))&lt;70,'Scénario référence'!$B$16*(45+25*(1-EXP(-0.0175*$A168))),70*'Scénario référence'!$B$16)+IF((32+38*(1-EXP(-0.0175*$A168)))&lt;70,'Scénario référence'!$B$18*(32+38*(1-EXP(-0.0175*$A168))),70*'Scénario référence'!$B$18)</f>
        <v>70</v>
      </c>
      <c r="MH168" s="12">
        <f>IF($A168&gt;30,10,('Scénario référence'!$B$16+'Scénario référence'!$B$17+'Scénario référence'!$B$18+'Scénario référence'!$B$9+'Scénario référence'!$B$10)*$A168*10/30+('Scénario référence'!$F$8+'Scénario référence'!$F$9)*10)</f>
        <v>10</v>
      </c>
      <c r="MI168" s="12" t="e">
        <f>VLOOKUP($A168,'Données projet'!$A$460:$I$480,2,0)</f>
        <v>#N/A</v>
      </c>
      <c r="MJ168" s="12" t="e">
        <f>VLOOKUP($A168,'Données projet'!$A$460:$I$480,9,0)</f>
        <v>#N/A</v>
      </c>
      <c r="MK168" s="12">
        <f t="array" ref="MK168">INDEX(MJ:MJ,MIN(IF(ISNUMBER(MJ168:MJ364),ROW(MJ168:MJ364),"")))</f>
        <v>0</v>
      </c>
      <c r="ML168" s="12">
        <f>IF('Données projet'!$A$460&gt;35,ML167+MK168-MT167,IF($A168&lt;'Données projet'!$A$460,$CQ$205^$A168,IF($A168='Données projet'!$A$460,'Données projet'!$B$460,ML167+MK168-MT167)))</f>
        <v>0</v>
      </c>
      <c r="MM168" s="17" t="e">
        <f>ML168*VLOOKUP('Données projet'!$B$25,Paramètres!$A$1:$I$89,3,0)*VLOOKUP('Données projet'!$B$25,Paramètres!$A$1:$I$89,5,0)</f>
        <v>#N/A</v>
      </c>
      <c r="MN168" s="13" t="e">
        <f t="shared" si="318"/>
        <v>#N/A</v>
      </c>
      <c r="MO168" s="14" t="e">
        <f t="shared" si="272"/>
        <v>#N/A</v>
      </c>
      <c r="MP168" s="59" t="e">
        <f t="shared" si="273"/>
        <v>#N/A</v>
      </c>
      <c r="MQ168" s="20" t="e">
        <f ca="1">AVERAGE(OFFSET($MP$3,0,0,'Données projet'!$E$25+1,1))-AVERAGE(OFFSET($H$3,0,0,'Données projet'!$E$25+1,1))</f>
        <v>#N/A</v>
      </c>
      <c r="MR168" s="59" t="e">
        <f t="shared" si="319"/>
        <v>#N/A</v>
      </c>
      <c r="MS168" s="15">
        <f>IF(ISNA(VLOOKUP($A168,'Données projet'!$A$460:$I$480,3,0)),0,VLOOKUP($A168,'Données projet'!$A$460:$I$480,3,0))</f>
        <v>0</v>
      </c>
      <c r="MT168" s="15">
        <f>IF(ISNA(VLOOKUP($A168,'Données projet'!$A$460:$I$480,4,0)),0,VLOOKUP($A168,'Données projet'!$A$460:$I$480,4,0))</f>
        <v>0</v>
      </c>
      <c r="MU168" s="16">
        <f>IF(ISNA(VLOOKUP($A168,'Données projet'!$A$460:$I$480,5,0)),0%,VLOOKUP($A168,'Données projet'!$A$460:$I$480,5,0)*VLOOKUP('Données projet'!$B$25,Paramètres!$A$1:$I$89,7,0))</f>
        <v>0</v>
      </c>
      <c r="MV168" s="16">
        <f>IF(ISNA(VLOOKUP($A168,'Données projet'!$A$460:$I$480,6,0)),0%,VLOOKUP($A168,'Données projet'!$A$460:$I$480,6,0)*VLOOKUP('Données projet'!$B$25,Paramètres!$A$1:$I$89,7,0))</f>
        <v>0</v>
      </c>
      <c r="MW168" s="16">
        <f>IF(ISNA(VLOOKUP($A168,'Données projet'!$A$460:$I$480,7,0)),0%,VLOOKUP($A168,'Données projet'!$A$460:$I$480,7,0))</f>
        <v>0</v>
      </c>
      <c r="MX168" s="21" t="e">
        <f>EXP(-LN(2)/35)*MX167+(1-EXP(-LN(2)/35))/(LN(2)/35)*MT168*MU168*VLOOKUP('Données projet'!$B$25,Paramètres!$A$1:$I$89,3,0)*0.475*44/12</f>
        <v>#N/A</v>
      </c>
      <c r="MY168" s="21" t="e">
        <f>EXP(-LN(2)/25)*MY167+(1-EXP(-LN(2)/25))/(LN(2)/25)*Calculateur!MT168*Calculateur!MV168*VLOOKUP('Données projet'!$B$25,Paramètres!$A$1:$I$89,3,0)*0.475*44/12</f>
        <v>#N/A</v>
      </c>
      <c r="MZ168" s="21" t="e">
        <f>EXP(-LN(2)/2)*MZ167+(1-EXP(-LN(2)/2))/(LN(2)/2)*MT168*MW168*VLOOKUP('Données projet'!$B$25,Paramètres!$A$1:$I$89,3,0)*0.475*44/12</f>
        <v>#N/A</v>
      </c>
      <c r="NA168" s="22" t="e">
        <f t="shared" si="274"/>
        <v>#N/A</v>
      </c>
      <c r="NB168" s="74">
        <f>('Scénario référence'!$F$8+'Scénario référence'!$F$9+'Scénario référence'!$B$17+'Scénario référence'!$B$9+'Scénario référence'!$B$10)*70+IF((45+25*(1-EXP(-0.0175*$A168)))&lt;70,'Scénario référence'!$B$16*(45+25*(1-EXP(-0.0175*$A168))),70*'Scénario référence'!$B$16)+IF((32+38*(1-EXP(-0.0175*$A168)))&lt;70,'Scénario référence'!$B$18*(32+38*(1-EXP(-0.0175*$A168))),70*'Scénario référence'!$B$18)</f>
        <v>70</v>
      </c>
      <c r="NC168" s="12">
        <f>IF($A168&gt;30,10,('Scénario référence'!$B$16+'Scénario référence'!$B$17+'Scénario référence'!$B$18+'Scénario référence'!$B$9+'Scénario référence'!$B$10)*$A168*10/30+('Scénario référence'!$F$8+'Scénario référence'!$F$9)*10)</f>
        <v>10</v>
      </c>
      <c r="ND168" s="12" t="e">
        <f>VLOOKUP($A168,'Données projet'!$A$486:$I$506,2,0)</f>
        <v>#N/A</v>
      </c>
      <c r="NE168" s="12" t="e">
        <f>VLOOKUP($A168,'Données projet'!$A$486:$I$506,9,0)</f>
        <v>#N/A</v>
      </c>
      <c r="NF168" s="12">
        <f t="array" ref="NF168">INDEX(NE:NE,MIN(IF(ISNUMBER(NE168:NE364),ROW(NE168:NE364),"")))</f>
        <v>0</v>
      </c>
      <c r="NG168" s="12">
        <f>IF('Données projet'!$A$486&gt;35,NG167+NF168-NO167,IF($A168&lt;'Données projet'!$A$486,$CQ$205^$A168,IF($A168='Données projet'!$A$486,'Données projet'!$B$486,NG167+NF168-NO167)))</f>
        <v>0</v>
      </c>
      <c r="NH168" s="17" t="e">
        <f>NG168*VLOOKUP('Données projet'!$B$26,Paramètres!$A$1:$I$89,3,0)*VLOOKUP('Données projet'!$B$26,Paramètres!$A$1:$I$89,5,0)</f>
        <v>#N/A</v>
      </c>
      <c r="NI168" s="13" t="e">
        <f t="shared" si="320"/>
        <v>#N/A</v>
      </c>
      <c r="NJ168" s="14" t="e">
        <f t="shared" si="275"/>
        <v>#N/A</v>
      </c>
      <c r="NK168" s="59" t="e">
        <f t="shared" si="276"/>
        <v>#N/A</v>
      </c>
      <c r="NL168" s="20" t="e">
        <f ca="1">AVERAGE(OFFSET($NK$3,0,0,'Données projet'!$E$26+1,1))-AVERAGE(OFFSET($H$3,0,0,'Données projet'!$E$26+1,1))</f>
        <v>#N/A</v>
      </c>
      <c r="NM168" s="59" t="e">
        <f t="shared" si="321"/>
        <v>#N/A</v>
      </c>
      <c r="NN168" s="15">
        <f>IF(ISNA(VLOOKUP($A168,'Données projet'!$A$486:$I$506,3,0)),0,VLOOKUP($A168,'Données projet'!$A$486:$I$506,3,0))</f>
        <v>0</v>
      </c>
      <c r="NO168" s="15">
        <f>IF(ISNA(VLOOKUP($A168,'Données projet'!$A$486:$I$506,4,0)),0,VLOOKUP($A168,'Données projet'!$A$486:$I$506,4,0))</f>
        <v>0</v>
      </c>
      <c r="NP168" s="16">
        <f>IF(ISNA(VLOOKUP($A168,'Données projet'!$A$486:$I$506,5,0)),0%,VLOOKUP($A168,'Données projet'!$A$486:$I$506,5,0)*VLOOKUP('Données projet'!$B$26,Paramètres!$A$1:$I$89,7,0))</f>
        <v>0</v>
      </c>
      <c r="NQ168" s="16">
        <f>IF(ISNA(VLOOKUP($A168,'Données projet'!$A$486:$I$506,6,0)),0%,VLOOKUP($A168,'Données projet'!$A$486:$I$506,6,0)*VLOOKUP('Données projet'!$B$26,Paramètres!$A$1:$I$89,7,0))</f>
        <v>0</v>
      </c>
      <c r="NR168" s="16">
        <f>IF(ISNA(VLOOKUP($A168,'Données projet'!$A$486:$I$506,7,0)),0%,VLOOKUP($A168,'Données projet'!$A$486:$I$506,7,0))</f>
        <v>0</v>
      </c>
      <c r="NS168" s="21" t="e">
        <f>EXP(-LN(2)/35)*NS167+(1-EXP(-LN(2)/35))/(LN(2)/35)*NO168*NP168*VLOOKUP('Données projet'!$B$26,Paramètres!$A$1:$I$89,3,0)*0.475*44/12</f>
        <v>#N/A</v>
      </c>
      <c r="NT168" s="21" t="e">
        <f>EXP(-LN(2)/25)*NT167+(1-EXP(-LN(2)/25))/(LN(2)/25)*Calculateur!NO168*Calculateur!NQ168*VLOOKUP('Données projet'!$B$26,Paramètres!$A$1:$I$89,3,0)*0.475*44/12</f>
        <v>#N/A</v>
      </c>
      <c r="NU168" s="21" t="e">
        <f>EXP(-LN(2)/2)*NU167+(1-EXP(-LN(2)/2))/(LN(2)/2)*NO168*NR168*VLOOKUP('Données projet'!$B$26,Paramètres!$A$1:$I$89,3,0)*0.475*44/12</f>
        <v>#N/A</v>
      </c>
      <c r="NV168" s="22" t="e">
        <f t="shared" si="277"/>
        <v>#N/A</v>
      </c>
      <c r="NW168" s="74">
        <f>('Scénario référence'!$F$8+'Scénario référence'!$F$9+'Scénario référence'!$B$17+'Scénario référence'!$B$9+'Scénario référence'!$B$10)*70+IF((45+25*(1-EXP(-0.0175*$A168)))&lt;70,'Scénario référence'!$B$16*(45+25*(1-EXP(-0.0175*$A168))),70*'Scénario référence'!$B$16)+IF((32+38*(1-EXP(-0.0175*$A168)))&lt;70,'Scénario référence'!$B$18*(32+38*(1-EXP(-0.0175*$A168))),70*'Scénario référence'!$B$18)</f>
        <v>70</v>
      </c>
      <c r="NX168" s="12">
        <f>IF($A168&gt;30,10,('Scénario référence'!$B$16+'Scénario référence'!$B$17+'Scénario référence'!$B$18+'Scénario référence'!$B$9+'Scénario référence'!$B$10)*$A168*10/30+('Scénario référence'!$F$8+'Scénario référence'!$F$9)*10)</f>
        <v>10</v>
      </c>
      <c r="NY168" s="12" t="e">
        <f>VLOOKUP($A168,'Données projet'!$A$512:$I$532,2,0)</f>
        <v>#N/A</v>
      </c>
      <c r="NZ168" s="12" t="e">
        <f>VLOOKUP($A168,'Données projet'!$A$512:$I$532,9,0)</f>
        <v>#N/A</v>
      </c>
      <c r="OA168" s="12">
        <f t="array" ref="OA168">INDEX(NZ:NZ,MIN(IF(ISNUMBER(NZ168:NZ364),ROW(NZ168:NZ364),"")))</f>
        <v>0</v>
      </c>
      <c r="OB168" s="12">
        <f>IF('Données projet'!$A$512&gt;35,OB167+OA168-OJ167,IF($A168&lt;'Données projet'!$A$512,$CQ$205^$A168,IF($A168='Données projet'!$A$512,'Données projet'!$B$512,OB167+OA168-OJ167)))</f>
        <v>0</v>
      </c>
      <c r="OC168" s="17" t="e">
        <f>OB168*VLOOKUP('Données projet'!$B$27,Paramètres!$A$1:$I$89,3,0)*VLOOKUP('Données projet'!$B$27,Paramètres!$A$1:$I$89,5,0)</f>
        <v>#N/A</v>
      </c>
      <c r="OD168" s="13" t="e">
        <f t="shared" si="322"/>
        <v>#N/A</v>
      </c>
      <c r="OE168" s="14" t="e">
        <f t="shared" si="278"/>
        <v>#N/A</v>
      </c>
      <c r="OF168" s="59" t="e">
        <f t="shared" si="279"/>
        <v>#N/A</v>
      </c>
      <c r="OG168" s="20" t="e">
        <f ca="1">AVERAGE(OFFSET($OF$3,0,0,'Données projet'!$E$27+1,1))-AVERAGE(OFFSET($H$3,0,0,'Données projet'!$E$27+1,1))</f>
        <v>#N/A</v>
      </c>
      <c r="OH168" s="59" t="e">
        <f t="shared" si="323"/>
        <v>#N/A</v>
      </c>
      <c r="OI168" s="15">
        <f>IF(ISNA(VLOOKUP($A168,'Données projet'!$A$512:$I$532,3,0)),0,VLOOKUP($A168,'Données projet'!$A$512:$I$532,3,0))</f>
        <v>0</v>
      </c>
      <c r="OJ168" s="15">
        <f>IF(ISNA(VLOOKUP($A168,'Données projet'!$A$512:$I$532,4,0)),0,VLOOKUP($A168,'Données projet'!$A$512:$I$532,4,0))</f>
        <v>0</v>
      </c>
      <c r="OK168" s="16">
        <f>IF(ISNA(VLOOKUP($A168,'Données projet'!$A$512:$I$532,5,0)),0%,VLOOKUP($A168,'Données projet'!$A$512:$I$532,5,0)*VLOOKUP('Données projet'!$B$27,Paramètres!$A$1:$I$89,7,0))</f>
        <v>0</v>
      </c>
      <c r="OL168" s="16">
        <f>IF(ISNA(VLOOKUP($A168,'Données projet'!$A$512:$I$532,6,0)),0%,VLOOKUP($A168,'Données projet'!$A$512:$I$532,6,0)*VLOOKUP('Données projet'!$B$27,Paramètres!$A$1:$I$89,7,0))</f>
        <v>0</v>
      </c>
      <c r="OM168" s="16">
        <f>IF(ISNA(VLOOKUP($A168,'Données projet'!$A$512:$I$532,7,0)),0%,VLOOKUP($A168,'Données projet'!$A$512:$I$532,7,0))</f>
        <v>0</v>
      </c>
      <c r="ON168" s="21" t="e">
        <f>EXP(-LN(2)/35)*ON167+(1-EXP(-LN(2)/35))/(LN(2)/35)*OJ168*OK168*VLOOKUP('Données projet'!$B$27,Paramètres!$A$1:$I$89,3,0)*0.475*44/12</f>
        <v>#N/A</v>
      </c>
      <c r="OO168" s="21" t="e">
        <f>EXP(-LN(2)/25)*OO167+(1-EXP(-LN(2)/25))/(LN(2)/25)*Calculateur!OJ168*Calculateur!OL168*VLOOKUP('Données projet'!$B$27,Paramètres!$A$1:$I$89,3,0)*0.475*44/12</f>
        <v>#N/A</v>
      </c>
      <c r="OP168" s="21" t="e">
        <f>EXP(-LN(2)/2)*OP167+(1-EXP(-LN(2)/2))/(LN(2)/2)*OJ168*OM168*VLOOKUP('Données projet'!$B$27,Paramètres!$A$1:$I$89,3,0)*0.475*44/12</f>
        <v>#N/A</v>
      </c>
      <c r="OQ168" s="22" t="e">
        <f t="shared" si="280"/>
        <v>#N/A</v>
      </c>
      <c r="OR168" s="74">
        <f>('Scénario référence'!$F$8+'Scénario référence'!$F$9+'Scénario référence'!$B$17+'Scénario référence'!$B$9+'Scénario référence'!$B$10)*70+IF((45+25*(1-EXP(-0.0175*$A168)))&lt;70,'Scénario référence'!$B$16*(45+25*(1-EXP(-0.0175*$A168))),70*'Scénario référence'!$B$16)+IF((32+38*(1-EXP(-0.0175*$A168)))&lt;70,'Scénario référence'!$B$18*(32+38*(1-EXP(-0.0175*$A168))),70*'Scénario référence'!$B$18)</f>
        <v>70</v>
      </c>
      <c r="OS168" s="12">
        <f>IF($A168&gt;30,10,('Scénario référence'!$B$16+'Scénario référence'!$B$17+'Scénario référence'!$B$18+'Scénario référence'!$B$9+'Scénario référence'!$B$10)*$A168*10/30+('Scénario référence'!$F$8+'Scénario référence'!$F$9)*10)</f>
        <v>10</v>
      </c>
      <c r="OT168" s="12" t="e">
        <f>VLOOKUP($A168,'Données projet'!$A$538:$I$558,2,0)</f>
        <v>#N/A</v>
      </c>
      <c r="OU168" s="12" t="e">
        <f>VLOOKUP($A168,'Données projet'!$A$538:$I$558,9,0)</f>
        <v>#N/A</v>
      </c>
      <c r="OV168" s="12">
        <f t="array" ref="OV168">INDEX(OU:OU,MIN(IF(ISNUMBER(OU168:OU364),ROW(OU168:OU364),"")))</f>
        <v>0</v>
      </c>
      <c r="OW168" s="12">
        <f>IF('Données projet'!$A$538&gt;35,OW167+OV168-PE167,IF($A168&lt;'Données projet'!$A$538,$CQ$205^$A168,IF($A168='Données projet'!$A$538,'Données projet'!$B$538,OW167+OV168-PE167)))</f>
        <v>0</v>
      </c>
      <c r="OX168" s="17" t="e">
        <f>OW168*VLOOKUP('Données projet'!$B$28,Paramètres!$A$1:$I$89,3,0)*VLOOKUP('Données projet'!$B$28,Paramètres!$A$1:$I$89,5,0)</f>
        <v>#N/A</v>
      </c>
      <c r="OY168" s="13" t="e">
        <f t="shared" si="324"/>
        <v>#N/A</v>
      </c>
      <c r="OZ168" s="14" t="e">
        <f t="shared" si="281"/>
        <v>#N/A</v>
      </c>
      <c r="PA168" s="59" t="e">
        <f t="shared" si="282"/>
        <v>#N/A</v>
      </c>
      <c r="PB168" s="20" t="e">
        <f ca="1">AVERAGE(OFFSET($PA$3,0,0,'Données projet'!$E$28+1,1))-AVERAGE(OFFSET($H$3,0,0,'Données projet'!$E$28+1,1))</f>
        <v>#N/A</v>
      </c>
      <c r="PC168" s="59" t="e">
        <f t="shared" si="325"/>
        <v>#N/A</v>
      </c>
      <c r="PD168" s="15">
        <f>IF(ISNA(VLOOKUP($A168,'Données projet'!$A$538:$I$558,3,0)),0,VLOOKUP($A168,'Données projet'!$A$538:$I$558,3,0))</f>
        <v>0</v>
      </c>
      <c r="PE168" s="15">
        <f>IF(ISNA(VLOOKUP($A168,'Données projet'!$A$538:$I$558,4,0)),0,VLOOKUP($A168,'Données projet'!$A$538:$I$558,4,0))</f>
        <v>0</v>
      </c>
      <c r="PF168" s="16">
        <f>IF(ISNA(VLOOKUP($A168,'Données projet'!$A$538:$I$558,5,0)),0%,VLOOKUP($A168,'Données projet'!$A$538:$I$558,5,0)*VLOOKUP('Données projet'!$B$28,Paramètres!$A$1:$I$89,7,0))</f>
        <v>0</v>
      </c>
      <c r="PG168" s="16">
        <f>IF(ISNA(VLOOKUP($A168,'Données projet'!$A$538:$I$558,6,0)),0%,VLOOKUP($A168,'Données projet'!$A$538:$I$558,6,0)*VLOOKUP('Données projet'!$B$28,Paramètres!$A$1:$I$89,7,0))</f>
        <v>0</v>
      </c>
      <c r="PH168" s="16">
        <f>IF(ISNA(VLOOKUP($A168,'Données projet'!$A$538:$I$558,7,0)),0%,VLOOKUP($A168,'Données projet'!$A$538:$I$558,7,0))</f>
        <v>0</v>
      </c>
      <c r="PI168" s="21" t="e">
        <f>EXP(-LN(2)/35)*PI167+(1-EXP(-LN(2)/35))/(LN(2)/35)*PE168*PF168*VLOOKUP('Données projet'!$B$28,Paramètres!$A$1:$I$89,3,0)*0.475*44/12</f>
        <v>#N/A</v>
      </c>
      <c r="PJ168" s="21" t="e">
        <f>EXP(-LN(2)/25)*PJ167+(1-EXP(-LN(2)/25))/(LN(2)/25)*Calculateur!PE168*Calculateur!PG168*VLOOKUP('Données projet'!$B$28,Paramètres!$A$1:$I$89,3,0)*0.475*44/12</f>
        <v>#N/A</v>
      </c>
      <c r="PK168" s="21" t="e">
        <f>EXP(-LN(2)/2)*PK167+(1-EXP(-LN(2)/2))/(LN(2)/2)*PE168*PH168*VLOOKUP('Données projet'!$B$28,Paramètres!$A$1:$I$89,3,0)*0.475*44/12</f>
        <v>#N/A</v>
      </c>
      <c r="PL168" s="22" t="e">
        <f t="shared" si="283"/>
        <v>#N/A</v>
      </c>
    </row>
    <row r="169" spans="1:428" x14ac:dyDescent="0.35">
      <c r="A169" s="10">
        <f t="shared" si="326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285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225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projet'!$A$45:$I$65,2,0)</f>
        <v>#N/A</v>
      </c>
      <c r="L169" s="12" t="e">
        <f>VLOOKUP(A169,'Données projet'!$A$45:$I$65,9,0)</f>
        <v>#N/A</v>
      </c>
      <c r="M169" s="12">
        <f t="array" ref="M169">INDEX(L:L,MIN(IF(ISNUMBER(L169:L365),ROW(L169:L365),"")))</f>
        <v>0</v>
      </c>
      <c r="N169" s="13">
        <f>IF('Données projet'!$A$46&gt;35,N168+M169-V168,IF(A169&lt;'Données projet'!$A$46,$K$205^A169,IF(A169='Données projet'!$A$46,'Données projet'!$B$46,N168+M169-V168)))</f>
        <v>-1.1368683772161603E-13</v>
      </c>
      <c r="O169" s="13">
        <f>N169*VLOOKUP('Données projet'!$B$9,Paramètres!$A$1:$I$89,3,0)*VLOOKUP('Données projet'!$B$9,Paramètres!$A$1:$I$89,5,0)</f>
        <v>-6.3550942286383367E-14</v>
      </c>
      <c r="P169" s="13" t="e">
        <f t="shared" si="286"/>
        <v>#NUM!</v>
      </c>
      <c r="Q169" s="20" t="e">
        <f t="shared" si="327"/>
        <v>#NUM!</v>
      </c>
      <c r="R169" s="59" t="e">
        <f t="shared" si="224"/>
        <v>#NUM!</v>
      </c>
      <c r="S169" s="59">
        <f ca="1">AVERAGE(OFFSET($R$3,0,0,'Données projet'!$E$9+1,1))-AVERAGE(OFFSET($H$3,0,0,'Données projet'!$E$9+1,1))</f>
        <v>274.57619581652199</v>
      </c>
      <c r="T169" s="59">
        <f t="shared" si="287"/>
        <v>366.15117322598775</v>
      </c>
      <c r="U169" s="15">
        <f>IF(ISNA(VLOOKUP(A169,'Données projet'!$A$45:$I$65,3,0)),0,VLOOKUP(A169,'Données projet'!$A$45:$I$65,3,0))</f>
        <v>0</v>
      </c>
      <c r="V169" s="15">
        <f>IF(ISNA(VLOOKUP(A169,'Données projet'!$A$45:$I$65,4,0)),0,VLOOKUP(A169,'Données projet'!$A$45:$I$65,4,0))</f>
        <v>0</v>
      </c>
      <c r="W169" s="16">
        <f>IF(ISNA(VLOOKUP(A169,'Données projet'!$A$45:$I$65,5,0)),0%,VLOOKUP(A169,'Données projet'!$A$45:$I$65,5,0)*VLOOKUP('Données projet'!$B$9,Paramètres!$A$1:$I$89,7,0))</f>
        <v>0</v>
      </c>
      <c r="X169" s="16">
        <f>IF(ISNA(VLOOKUP(A169,'Données projet'!$A$45:$I$65,6,0)),0%,VLOOKUP(A169,'Données projet'!$A$45:$I$65,6,0)*VLOOKUP('Données projet'!$B$9,Paramètres!$A$1:$I$89,7,0))</f>
        <v>0</v>
      </c>
      <c r="Y169" s="16">
        <f>IF(ISNA(VLOOKUP(A169,'Données projet'!$A$45:$I$65,7,0)),0%,VLOOKUP(A169,'Données projet'!$A$45:$I$65,7,0))</f>
        <v>0</v>
      </c>
      <c r="Z169" s="21">
        <f>EXP(-LN(2)/35)*Z168+(1-EXP(-LN(2)/35))/(LN(2)/35)*V169*W169*VLOOKUP('Données projet'!$B$9,Paramètres!$A$1:$I$89,3,0)*0.475*44/12</f>
        <v>25.157887118799476</v>
      </c>
      <c r="AA169" s="21">
        <f>EXP(-LN(2)/25)*AA168+(1-EXP(-LN(2)/25))/(LN(2)/25)*Calculateur!V169*Calculateur!X169*VLOOKUP('Données projet'!$B$9,Paramètres!$A$1:$I$89,3,0)*0.475*44/12</f>
        <v>2.6540384336227025</v>
      </c>
      <c r="AB169" s="21">
        <f>EXP(-LN(2)/2)*AB168+(1-EXP(-LN(2)/2))/(LN(2)/2)*V169*Y169*VLOOKUP('Données projet'!$B$9,Paramètres!$A$1:$I$89,3,0)*0.475*44/12</f>
        <v>6.7045507244576054E-16</v>
      </c>
      <c r="AC169" s="22">
        <f t="shared" si="328"/>
        <v>27.811925552422178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projet'!$A$71:$I$91,2,0)</f>
        <v>#N/A</v>
      </c>
      <c r="AG169" s="12" t="e">
        <f>VLOOKUP(A169,'Données projet'!$A$71:$I$91,9,0)</f>
        <v>#N/A</v>
      </c>
      <c r="AH169" s="12">
        <f t="array" ref="AH169">INDEX(AG:AG,MIN(IF(ISNUMBER(AG169:AG365),ROW(AG169:AG365),"")))</f>
        <v>0</v>
      </c>
      <c r="AI169" s="13">
        <f>IF('Données projet'!$A$72&gt;35,AI168+AH169-AQ168,IF(A169&lt;'Données projet'!$A$72,$AF$205^A169,IF(A169='Données projet'!$A$72,'Données projet'!$B$72,AI168+AH169-AQ168)))</f>
        <v>5.6843418860808015E-13</v>
      </c>
      <c r="AJ169" s="13">
        <f>AI169*VLOOKUP('Données projet'!$B$10,Paramètres!$A$1:$I$89,3,0)*VLOOKUP('Données projet'!$B$10,Paramètres!$A$1:$I$89,5,0)</f>
        <v>5.1431925385259092E-13</v>
      </c>
      <c r="AK169" s="13">
        <f t="shared" si="329"/>
        <v>6.3855359115685756E-12</v>
      </c>
      <c r="AL169" s="20">
        <f t="shared" si="330"/>
        <v>1.2017247746441865E-11</v>
      </c>
      <c r="AM169" s="59">
        <f t="shared" si="228"/>
        <v>293.33333333334531</v>
      </c>
      <c r="AN169" s="59">
        <f ca="1">AVERAGE(OFFSET($AM$3,0,0,'Données projet'!$E$10+1,1))-AVERAGE(OFFSET($H$3,0,0,'Données projet'!$E$10+1,1))</f>
        <v>270.87836509222456</v>
      </c>
      <c r="AO169" s="59">
        <f t="shared" si="289"/>
        <v>205.24998237949734</v>
      </c>
      <c r="AP169" s="15">
        <f>IF(ISNA(VLOOKUP(A169,'Données projet'!$A$71:$I$91,3,0)),0,VLOOKUP(A169,'Données projet'!$A$71:$I$91,3,0))</f>
        <v>0</v>
      </c>
      <c r="AQ169" s="15">
        <f>IF(ISNA(VLOOKUP(A169,'Données projet'!$A$71:$I$91,4,0)),0,VLOOKUP(A169,'Données projet'!$A$71:$I$91,4,0))</f>
        <v>0</v>
      </c>
      <c r="AR169" s="16">
        <f>IF(ISNA(VLOOKUP(A169,'Données projet'!$A$71:$I$91,5,0)),0%,VLOOKUP(A169,'Données projet'!$A$71:$I$91,5,0)*VLOOKUP('Données projet'!$B$10,Paramètres!$A$1:$I$89,7,0))</f>
        <v>0</v>
      </c>
      <c r="AS169" s="16">
        <f>IF(ISNA(VLOOKUP(A169,'Données projet'!$A$71:$I$91,6,0)),0%,VLOOKUP(A169,'Données projet'!$A$71:$I$91,6,0)*VLOOKUP('Données projet'!$B$10,Paramètres!$A$1:$I$89,7,0))</f>
        <v>0</v>
      </c>
      <c r="AT169" s="16">
        <f>IF(ISNA(VLOOKUP(A169,'Données projet'!$A$71:$I$91,7,0)),0%,VLOOKUP(A169,'Données projet'!$A$71:$I$91,7,0))</f>
        <v>0</v>
      </c>
      <c r="AU169" s="21">
        <f>EXP(-LN(2)/35)*AU168+(1-EXP(-LN(2)/35))/(LN(2)/35)*AQ169*AR169*VLOOKUP('Données projet'!$B$10,Paramètres!$A$1:$I$89,3,0)*0.475*44/12</f>
        <v>85.492910083710797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331"/>
        <v>85.492910083710797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projet'!$A$97:$I$117,2,0)</f>
        <v>#N/A</v>
      </c>
      <c r="BB169" s="12" t="e">
        <f>VLOOKUP(A169,'Données projet'!$A$97:$I$117,9,0)</f>
        <v>#N/A</v>
      </c>
      <c r="BC169" s="12">
        <f t="array" ref="BC169">INDEX(BB:BB,MIN(IF(ISNUMBER(BB169:BB365),ROW(BB169:BB365),"")))</f>
        <v>0</v>
      </c>
      <c r="BD169" s="12">
        <f>IF('Données projet'!$A$98&gt;35,BD168+BC169-BL168,IF(A169&lt;'Données projet'!$A$98,$BA$205^A169,IF(A169='Données projet'!$A$98,'Données projet'!$B$98,BD168+BC169-BL168)))</f>
        <v>-1.1368683772161603E-13</v>
      </c>
      <c r="BE169" s="13">
        <f>BD169*VLOOKUP('Données projet'!$B$11,Paramètres!$A$1:$I$89,3,0)*VLOOKUP('Données projet'!$B$11,Paramètres!$A$1:$I$89,5,0)</f>
        <v>-5.0249582272954292E-14</v>
      </c>
      <c r="BF169" s="13" t="e">
        <f t="shared" si="332"/>
        <v>#NUM!</v>
      </c>
      <c r="BG169" s="20" t="e">
        <f t="shared" si="333"/>
        <v>#NUM!</v>
      </c>
      <c r="BH169" s="59" t="e">
        <f t="shared" si="231"/>
        <v>#NUM!</v>
      </c>
      <c r="BI169" s="59">
        <f ca="1">AVERAGE(OFFSET($BH$3,0,0,'Données projet'!$E$11+1,1))-AVERAGE(OFFSET($H$3,0,0,'Données projet'!$E$11+1,1))</f>
        <v>211.31057120485542</v>
      </c>
      <c r="BJ169" s="59">
        <f t="shared" si="291"/>
        <v>283.33292006714777</v>
      </c>
      <c r="BK169" s="15">
        <f>IF(ISNA(VLOOKUP(A169,'Données projet'!$A$97:$I$117,3,0)),0,VLOOKUP(A169,'Données projet'!$A$97:$I$117,3,0))</f>
        <v>0</v>
      </c>
      <c r="BL169" s="15">
        <f>IF(ISNA(VLOOKUP(A169,'Données projet'!$A$97:$I$117,4,0)),0,VLOOKUP(A169,'Données projet'!$A$97:$I$117,4,0))</f>
        <v>0</v>
      </c>
      <c r="BM169" s="16">
        <f>IF(ISNA(VLOOKUP(A169,'Données projet'!$A$97:$I$117,5,0)),0%,VLOOKUP(A169,'Données projet'!$A$97:$I$117,5,0)*VLOOKUP('Données projet'!$B$11,Paramètres!$A$1:$I$89,7,0))</f>
        <v>0</v>
      </c>
      <c r="BN169" s="16">
        <f>IF(ISNA(VLOOKUP(A169,'Données projet'!$A$97:$I$117,6,0)),0%,VLOOKUP(A169,'Données projet'!$A$97:$I$117,6,0)*VLOOKUP('Données projet'!$B$11,Paramètres!$A$1:$I$89,7,0))</f>
        <v>0</v>
      </c>
      <c r="BO169" s="16">
        <f>IF(ISNA(VLOOKUP(A169,'Données projet'!$A$97:$I$117,7,0)),0%,VLOOKUP(A169,'Données projet'!$A$97:$I$117,7,0))</f>
        <v>0</v>
      </c>
      <c r="BP169" s="21">
        <f>EXP(-LN(2)/35)*BP168+(1-EXP(-LN(2)/35))/(LN(2)/35)*BL169*BM169*VLOOKUP('Données projet'!$B$11,Paramètres!$A$1:$I$89,3,0)*0.475*44/12</f>
        <v>19.892282838120529</v>
      </c>
      <c r="BQ169" s="21">
        <f>EXP(-LN(2)/25)*BQ168+(1-EXP(-LN(2)/25))/(LN(2)/25)*Calculateur!BL169*Calculateur!BN169*VLOOKUP('Données projet'!$B$11,Paramètres!$A$1:$I$89,3,0)*0.475*44/12</f>
        <v>2.0985420172830658</v>
      </c>
      <c r="BR169" s="21">
        <f>EXP(-LN(2)/2)*BR168+(1-EXP(-LN(2)/2))/(LN(2)/2)*BL169*BO169*VLOOKUP('Données projet'!$B$11,Paramètres!$A$1:$I$89,3,0)*0.475*44/12</f>
        <v>5.3012726658501986E-16</v>
      </c>
      <c r="BS169" s="22">
        <f t="shared" si="334"/>
        <v>21.990824855403595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projet'!$A$123:$I$143,2,0)</f>
        <v>#N/A</v>
      </c>
      <c r="BW169" s="12" t="e">
        <f>VLOOKUP(A169,'Données projet'!$A$123:$I$143,9,0)</f>
        <v>#N/A</v>
      </c>
      <c r="BX169" s="12">
        <f t="array" ref="BX169">INDEX(BW:BW,MIN(IF(ISNUMBER(BW169:BW365),ROW(BW169:BW365),"")))</f>
        <v>0</v>
      </c>
      <c r="BY169" s="12">
        <f>IF('Données projet'!$A$124&gt;35,BY168+BX169-CG168,IF(A169&lt;'Données projet'!$A$124,$BV$205^A169,IF(A169='Données projet'!$A$124,'Données projet'!$B$124,BY168+BX169-CG168)))</f>
        <v>0</v>
      </c>
      <c r="BZ169" s="13">
        <f>BY169*VLOOKUP('Données projet'!$B$12,Paramètres!$A$1:$I$89,3,0)*VLOOKUP('Données projet'!$B$12,Paramètres!$A$1:$I$89,5,0)</f>
        <v>0</v>
      </c>
      <c r="CA169" s="13" t="e">
        <f t="shared" si="335"/>
        <v>#NUM!</v>
      </c>
      <c r="CB169" s="20" t="e">
        <f t="shared" si="336"/>
        <v>#NUM!</v>
      </c>
      <c r="CC169" s="59" t="e">
        <f t="shared" si="234"/>
        <v>#NUM!</v>
      </c>
      <c r="CD169" s="59">
        <f ca="1">AVERAGE(OFFSET($CC$3,0,0,'Données projet'!$E$12+1,1))-AVERAGE(OFFSET($H$3,0,0,'Données projet'!$E$12+1,1))</f>
        <v>322.93502595881938</v>
      </c>
      <c r="CE169" s="59">
        <f t="shared" si="293"/>
        <v>302.67072119588164</v>
      </c>
      <c r="CF169" s="15">
        <f>IF(ISNA(VLOOKUP(A169,'Données projet'!$A$123:$I$143,3,0)),0,VLOOKUP(A169,'Données projet'!$A$123:$I$143,3,0))</f>
        <v>0</v>
      </c>
      <c r="CG169" s="15">
        <f>IF(ISNA(VLOOKUP(A169,'Données projet'!$A$123:$I$143,4,0)),0,VLOOKUP(A169,'Données projet'!$A$123:$I$143,4,0))</f>
        <v>0</v>
      </c>
      <c r="CH169" s="16">
        <f>IF(ISNA(VLOOKUP(A169,'Données projet'!$A$123:$I$143,5,0)),0%,VLOOKUP(A169,'Données projet'!$A$123:$I$143,5,0)*VLOOKUP('Données projet'!$B$12,Paramètres!$A$1:$I$89,7,0))</f>
        <v>0</v>
      </c>
      <c r="CI169" s="16">
        <f>IF(ISNA(VLOOKUP(A169,'Données projet'!$A$123:$I$143,6,0)),0%,VLOOKUP(A169,'Données projet'!$A$123:$I$143,6,0)*VLOOKUP('Données projet'!$B$12,Paramètres!$A$1:$I$89,7,0))</f>
        <v>0</v>
      </c>
      <c r="CJ169" s="16">
        <f>IF(ISNA(VLOOKUP(A169,'Données projet'!$A$123:$I$143,7,0)),0%,VLOOKUP(A169,'Données projet'!$A$123:$I$143,7,0))</f>
        <v>0</v>
      </c>
      <c r="CK169" s="21">
        <f>EXP(-LN(2)/35)*CK168+(1-EXP(-LN(2)/35))/(LN(2)/35)*CG169*CH169*VLOOKUP('Données projet'!$B$12,Paramètres!$A$1:$I$89,3,0)*0.475*44/12</f>
        <v>31.693213217217359</v>
      </c>
      <c r="CL169" s="21">
        <f>EXP(-LN(2)/25)*CL168+(1-EXP(-LN(2)/25))/(LN(2)/25)*Calculateur!CG169*Calculateur!CI169*VLOOKUP('Données projet'!$B$12,Paramètres!$A$1:$I$89,3,0)*0.475*44/12</f>
        <v>6.7166041550041351</v>
      </c>
      <c r="CM169" s="21">
        <f>EXP(-LN(2)/2)*CM168+(1-EXP(-LN(2)/2))/(LN(2)/2)*CG169*CJ169*VLOOKUP('Données projet'!$B$12,Paramètres!$A$1:$I$89,3,0)*0.475*44/12</f>
        <v>0</v>
      </c>
      <c r="CN169" s="22">
        <f t="shared" si="337"/>
        <v>38.409817372221497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projet'!$A$149:$I$169,2,0)</f>
        <v>#N/A</v>
      </c>
      <c r="CR169" s="12" t="e">
        <f>VLOOKUP(A169,'Données projet'!$A$149:$I$169,9,0)</f>
        <v>#N/A</v>
      </c>
      <c r="CS169" s="12">
        <f t="array" ref="CS169">INDEX(CR:CR,MIN(IF(ISNUMBER(CR169:CR365),ROW(CR169:CR365),"")))</f>
        <v>0</v>
      </c>
      <c r="CT169" s="12">
        <f>IF('Données projet'!$A$150&gt;35,CT168+CS169-DB168,IF(A169&lt;'Données projet'!$A$150,$CQ$205^A169,IF(A169='Données projet'!$A$150,'Données projet'!$B$150,CT168+CS169-DB168)))</f>
        <v>-4.5474735088646412E-13</v>
      </c>
      <c r="CU169" s="17">
        <f>CT169*VLOOKUP('Données projet'!$B$13,Paramètres!$A$1:$I$89,3,0)*VLOOKUP('Données projet'!$B$13,Paramètres!$A$1:$I$89,5,0)</f>
        <v>-4.6111381379887462E-13</v>
      </c>
      <c r="CV169" s="13" t="e">
        <f t="shared" si="338"/>
        <v>#NUM!</v>
      </c>
      <c r="CW169" s="20" t="e">
        <f t="shared" si="339"/>
        <v>#NUM!</v>
      </c>
      <c r="CX169" s="59" t="e">
        <f t="shared" si="237"/>
        <v>#NUM!</v>
      </c>
      <c r="CY169" s="59">
        <f ca="1">AVERAGE(OFFSET($CX$3,0,0,'Données projet'!$E$13+1,1))-AVERAGE(OFFSET($H$3,0,0,'Données projet'!$E$13+1,1))</f>
        <v>250.31277422753283</v>
      </c>
      <c r="CZ169" s="59">
        <f t="shared" si="295"/>
        <v>159.20429420478047</v>
      </c>
      <c r="DA169" s="15">
        <f>IF(ISNA(VLOOKUP(A169,'Données projet'!$A$149:$I$169,3,0)),0,VLOOKUP(A169,'Données projet'!$A$149:$I$169,3,0))</f>
        <v>0</v>
      </c>
      <c r="DB169" s="15">
        <f>IF(ISNA(VLOOKUP(A169,'Données projet'!$A$149:$I$169,4,0)),0,VLOOKUP(A169,'Données projet'!$A$149:$I$169,4,0))</f>
        <v>0</v>
      </c>
      <c r="DC169" s="16">
        <f>IF(ISNA(VLOOKUP(A169,'Données projet'!$A$149:$I$169,5,0)),0%,VLOOKUP(A169,'Données projet'!$A$149:$I$169,5,0)*VLOOKUP('Données projet'!$B$13,Paramètres!$A$1:$I$89,7,0))</f>
        <v>0</v>
      </c>
      <c r="DD169" s="16">
        <f>IF(ISNA(VLOOKUP(A169,'Données projet'!$A$149:$I$169,6,0)),0%,VLOOKUP(A169,'Données projet'!$A$149:$I$169,6,0)*VLOOKUP('Données projet'!$B$13,Paramètres!$A$1:$I$89,7,0))</f>
        <v>0</v>
      </c>
      <c r="DE169" s="16">
        <f>IF(ISNA(VLOOKUP(A169,'Données projet'!$A$149:$I$169,7,0)),0%,VLOOKUP(A169,'Données projet'!$A$149:$I$169,7,0))</f>
        <v>0</v>
      </c>
      <c r="DF169" s="21">
        <f>EXP(-LN(2)/35)*DF168+(1-EXP(-LN(2)/35))/(LN(2)/35)*DB169*DC169*VLOOKUP('Données projet'!$B$13,Paramètres!$A$1:$I$89,3,0)*0.475*44/12</f>
        <v>144.27694920576934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340"/>
        <v>144.27694920576934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projet'!$A$175:$I$195,2,0)</f>
        <v>#N/A</v>
      </c>
      <c r="DM169" s="12" t="e">
        <f>VLOOKUP(A169,'Données projet'!$A$175:$I$195,9,0)</f>
        <v>#N/A</v>
      </c>
      <c r="DN169" s="12">
        <f t="array" ref="DN169">INDEX(DM:DM,MIN(IF(ISNUMBER(DM169:DM365),ROW(DM169:DM365),"")))</f>
        <v>0</v>
      </c>
      <c r="DO169" s="12">
        <f>IF('Données projet'!$A$176&gt;35,DO168+DN169-DW168,IF(A169&lt;'Données projet'!$A$176,$DL$205^A169,IF(A169='Données projet'!$A$176,'Données projet'!$B$176,DO168+DN169-DW168)))</f>
        <v>-2.8421709430404007E-13</v>
      </c>
      <c r="DP169" s="17">
        <f>DO169*VLOOKUP('Données projet'!$B$14,Paramètres!$A$1:$I$89,3,0)*VLOOKUP('Données projet'!$B$14,Paramètres!$A$1:$I$89,5,0)</f>
        <v>-2.0838797354372215E-13</v>
      </c>
      <c r="DQ169" s="13" t="e">
        <f t="shared" si="341"/>
        <v>#NUM!</v>
      </c>
      <c r="DR169" s="20" t="e">
        <f t="shared" si="342"/>
        <v>#NUM!</v>
      </c>
      <c r="DS169" s="59" t="e">
        <f t="shared" si="240"/>
        <v>#NUM!</v>
      </c>
      <c r="DT169" s="59">
        <f ca="1">AVERAGE(OFFSET($DS$3,0,0,'Données projet'!$E$14+1,1))-AVERAGE(OFFSET($H$3,0,0,'Données projet'!$E$14+1,1))</f>
        <v>296.91321813251051</v>
      </c>
      <c r="DU169" s="59">
        <f t="shared" si="297"/>
        <v>291.0718079639509</v>
      </c>
      <c r="DV169" s="15">
        <f>IF(ISNA(VLOOKUP(A169,'Données projet'!$A$175:$I$195,3,0)),0,VLOOKUP(A169,'Données projet'!$A$175:$I$195,3,0))</f>
        <v>0</v>
      </c>
      <c r="DW169" s="15">
        <f>IF(ISNA(VLOOKUP(A169,'Données projet'!$A$175:$I$195,4,0)),0,VLOOKUP(A169,'Données projet'!$A$175:$I$195,4,0))</f>
        <v>0</v>
      </c>
      <c r="DX169" s="16">
        <f>IF(ISNA(VLOOKUP(A169,'Données projet'!$A$175:$I$195,5,0)),0%,VLOOKUP(A169,'Données projet'!$A$175:$I$195,5,0)*VLOOKUP('Données projet'!$B$14,Paramètres!$A$1:$I$89,7,0))</f>
        <v>0</v>
      </c>
      <c r="DY169" s="16">
        <f>IF(ISNA(VLOOKUP(A169,'Données projet'!$A$175:$I$195,6,0)),0%,VLOOKUP(A169,'Données projet'!$A$175:$I$195,6,0)*VLOOKUP('Données projet'!$B$14,Paramètres!$A$1:$I$89,7,0))</f>
        <v>0</v>
      </c>
      <c r="DZ169" s="16">
        <f>IF(ISNA(VLOOKUP(A169,'Données projet'!$A$175:$I$195,7,0)),0%,VLOOKUP(A169,'Données projet'!$A$175:$I$195,7,0))</f>
        <v>0</v>
      </c>
      <c r="EA169" s="21">
        <f>EXP(-LN(2)/35)*EA168+(1-EXP(-LN(2)/35))/(LN(2)/35)*DW169*DX169*VLOOKUP('Données projet'!$B$14,Paramètres!$A$1:$I$89,3,0)*0.475*44/12</f>
        <v>31.587958695005828</v>
      </c>
      <c r="EB169" s="21">
        <f>EXP(-LN(2)/25)*EB168+(1-EXP(-LN(2)/25))/(LN(2)/25)*Calculateur!DW169*Calculateur!DY169*VLOOKUP('Données projet'!$B$14,Paramètres!$A$1:$I$89,3,0)*0.475*44/12</f>
        <v>0.49340783282117451</v>
      </c>
      <c r="EC169" s="21">
        <f>EXP(-LN(2)/2)*EC168+(1-EXP(-LN(2)/2))/(LN(2)/2)*DW169*DZ169*VLOOKUP('Données projet'!$B$14,Paramètres!$A$1:$I$89,3,0)*0.475*44/12</f>
        <v>0</v>
      </c>
      <c r="ED169" s="22">
        <f t="shared" si="343"/>
        <v>32.081366527827001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projet'!$A$201:$I$221,2,0)</f>
        <v>#N/A</v>
      </c>
      <c r="EH169" s="12" t="e">
        <f>VLOOKUP(A169,'Données projet'!$A$201:$I$221,9,0)</f>
        <v>#N/A</v>
      </c>
      <c r="EI169" s="12">
        <f t="array" ref="EI169">INDEX(EH:EH,MIN(IF(ISNUMBER(EH169:EH365),ROW(EH169:EH365),"")))</f>
        <v>0</v>
      </c>
      <c r="EJ169" s="12">
        <f>IF('Données projet'!$A$202&gt;35,EJ168+EI169-ER168,IF(A169&lt;'Données projet'!$A$202,$EG$205^A169,IF(A169='Données projet'!$A$202,'Données projet'!$B$202,EJ168+EI169-ER168)))</f>
        <v>5.1159076974727213E-13</v>
      </c>
      <c r="EK169" s="17">
        <f>EJ169*VLOOKUP('Données projet'!$B$15,Paramètres!$A$1:$I$89,3,0)*VLOOKUP('Données projet'!$B$15,Paramètres!$A$1:$I$89,5,0)</f>
        <v>2.3942448024172334E-13</v>
      </c>
      <c r="EL169" s="13">
        <f t="shared" si="344"/>
        <v>3.2492669905861755E-12</v>
      </c>
      <c r="EM169" s="20">
        <f t="shared" si="345"/>
        <v>6.0761376450252565E-12</v>
      </c>
      <c r="EN169" s="59">
        <f t="shared" si="243"/>
        <v>293.3333333333394</v>
      </c>
      <c r="EO169" s="59">
        <f ca="1">AVERAGE(OFFSET($EN$3,0,0,'Données projet'!$E$15+1,1))-AVERAGE(OFFSET($H$3,0,0,'Données projet'!$E$15+1,1))</f>
        <v>147.64256291235483</v>
      </c>
      <c r="EP169" s="59">
        <f t="shared" si="299"/>
        <v>70.859031694091868</v>
      </c>
      <c r="EQ169" s="15">
        <f>IF(ISNA(VLOOKUP(A169,'Données projet'!$A$201:$I$221,3,0)),0,VLOOKUP(A169,'Données projet'!$A$201:$I$221,3,0))</f>
        <v>0</v>
      </c>
      <c r="ER169" s="15">
        <f>IF(ISNA(VLOOKUP(A169,'Données projet'!$A$201:$I$221,4,0)),0,VLOOKUP(A169,'Données projet'!$A$201:$I$221,4,0))</f>
        <v>0</v>
      </c>
      <c r="ES169" s="16">
        <f>IF(ISNA(VLOOKUP(A169,'Données projet'!$A$201:$I$221,5,0)),0%,VLOOKUP(A169,'Données projet'!$A$201:$I$221,5,0)*VLOOKUP('Données projet'!$B$15,Paramètres!$A$1:$I$89,7,0))</f>
        <v>0</v>
      </c>
      <c r="ET169" s="16">
        <f>IF(ISNA(VLOOKUP(A169,'Données projet'!$A$201:$I$221,6,0)),0%,VLOOKUP(A169,'Données projet'!$A$201:$I$221,6,0)*VLOOKUP('Données projet'!$B$15,Paramètres!$A$1:$I$89,7,0))</f>
        <v>0</v>
      </c>
      <c r="EU169" s="16">
        <f>IF(ISNA(VLOOKUP(A169,'Données projet'!$A$201:$I$221,7,0)),0%,VLOOKUP(A169,'Données projet'!$A$201:$I$221,7,0))</f>
        <v>0</v>
      </c>
      <c r="EV169" s="21">
        <f>EXP(-LN(2)/35)*EV168+(1-EXP(-LN(2)/35))/(LN(2)/35)*ER169*ES169*VLOOKUP('Données projet'!$B$15,Paramètres!$A$1:$I$89,3,0)*0.475*44/12</f>
        <v>43.244413369383963</v>
      </c>
      <c r="EW169" s="21">
        <f>EXP(-LN(2)/25)*EW168+(1-EXP(-LN(2)/25))/(LN(2)/25)*Calculateur!ER169*Calculateur!ET169*VLOOKUP('Données projet'!$B$15,Paramètres!$A$1:$I$89,3,0)*0.475*44/12</f>
        <v>6.8455365804039232</v>
      </c>
      <c r="EX169" s="21">
        <f>EXP(-LN(2)/2)*EX168+(1-EXP(-LN(2)/2))/(LN(2)/2)*ER169*EU169*VLOOKUP('Données projet'!$B$15,Paramètres!$A$1:$I$89,3,0)*0.475*44/12</f>
        <v>4.8333714333884528E-8</v>
      </c>
      <c r="EY169" s="22">
        <f t="shared" si="346"/>
        <v>50.089949998121604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projet'!$A$227:$I$247,2,0)</f>
        <v>#N/A</v>
      </c>
      <c r="FC169" s="12" t="e">
        <f>VLOOKUP(A169,'Données projet'!$A$227:$I$247,9,0)</f>
        <v>#N/A</v>
      </c>
      <c r="FD169" s="12">
        <f t="array" ref="FD169">INDEX(FC:FC,MIN(IF(ISNUMBER(FC169:FC365),ROW(FC169:FC365),"")))</f>
        <v>0</v>
      </c>
      <c r="FE169" s="12">
        <f>IF('Données projet'!$A$228&gt;35,FE168+FD169-FM168,IF(A169&lt;'Données projet'!$A$228,$FB$205^A169,IF(A169='Données projet'!$A$228,'Données projet'!$B$228,FE168+FD169-FM168)))</f>
        <v>8.5265128291212022E-14</v>
      </c>
      <c r="FF169" s="17">
        <f>FE169*VLOOKUP('Données projet'!$B$16,Paramètres!$A$1:$I$89,3,0)*VLOOKUP('Données projet'!$B$16,Paramètres!$A$1:$I$89,5,0)</f>
        <v>8.9119112089974823E-14</v>
      </c>
      <c r="FG169" s="13">
        <f t="shared" si="347"/>
        <v>1.3568952080113142E-12</v>
      </c>
      <c r="FH169" s="20">
        <f t="shared" si="348"/>
        <v>2.5184749408430782E-12</v>
      </c>
      <c r="FI169" s="59">
        <f t="shared" si="246"/>
        <v>293.33333333333582</v>
      </c>
      <c r="FJ169" s="59">
        <f ca="1">AVERAGE(OFFSET($FI$3,0,0,'Données projet'!$E$16+1,1))-AVERAGE(OFFSET($H$3,0,0,'Données projet'!$E$16+1,1))</f>
        <v>259.03906550253788</v>
      </c>
      <c r="FK169" s="59">
        <f t="shared" si="301"/>
        <v>235.54542903570831</v>
      </c>
      <c r="FL169" s="15">
        <f>IF(ISNA(VLOOKUP(A169,'Données projet'!$A$227:$I$247,3,0)),0,VLOOKUP(A169,'Données projet'!$A$227:$I$247,3,0))</f>
        <v>0</v>
      </c>
      <c r="FM169" s="15">
        <f>IF(ISNA(VLOOKUP(A169,'Données projet'!$A$227:$I$247,4,0)),0,VLOOKUP(A169,'Données projet'!$A$227:$I$247,4,0))</f>
        <v>0</v>
      </c>
      <c r="FN169" s="16">
        <f>IF(ISNA(VLOOKUP(A169,'Données projet'!$A$227:$I$247,5,0)),0%,VLOOKUP(A169,'Données projet'!$A$227:$I$247,5,0)*VLOOKUP('Données projet'!$B$16,Paramètres!$A$1:$I$89,7,0))</f>
        <v>0</v>
      </c>
      <c r="FO169" s="16">
        <f>IF(ISNA(VLOOKUP(A169,'Données projet'!$A$227:$I$247,6,0)),0%,VLOOKUP(A169,'Données projet'!$A$227:$I$247,6,0)*VLOOKUP('Données projet'!$B$16,Paramètres!$A$1:$I$89,7,0))</f>
        <v>0</v>
      </c>
      <c r="FP169" s="16">
        <f>IF(ISNA(VLOOKUP(A169,'Données projet'!$A$227:$I$247,7,0)),0%,VLOOKUP(A169,'Données projet'!$A$227:$I$247,7,0))</f>
        <v>0</v>
      </c>
      <c r="FQ169" s="21">
        <f>EXP(-LN(2)/35)*FQ168+(1-EXP(-LN(2)/35))/(LN(2)/35)*FM169*FN169*VLOOKUP('Données projet'!$B$16,Paramètres!$A$1:$I$89,3,0)*0.475*44/12</f>
        <v>19.08690881208404</v>
      </c>
      <c r="FR169" s="21">
        <f>EXP(-LN(2)/25)*FR168+(1-EXP(-LN(2)/25))/(LN(2)/25)*Calculateur!FM169*Calculateur!FO169*VLOOKUP('Données projet'!$B$16,Paramètres!$A$1:$I$89,3,0)*0.475*44/12</f>
        <v>9.417231187848639</v>
      </c>
      <c r="FS169" s="21">
        <f>EXP(-LN(2)/2)*FS168+(1-EXP(-LN(2)/2))/(LN(2)/2)*FM169*FP169*VLOOKUP('Données projet'!$B$16,Paramètres!$A$1:$I$89,3,0)*0.475*44/12</f>
        <v>0</v>
      </c>
      <c r="FT169" s="22">
        <f t="shared" si="349"/>
        <v>28.504139999932679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projet'!$A$253:$I$273,2,0)</f>
        <v>#N/A</v>
      </c>
      <c r="FX169" s="12" t="e">
        <f>VLOOKUP(A169,'Données projet'!$A$253:$I$273,9,0)</f>
        <v>#N/A</v>
      </c>
      <c r="FY169" s="12">
        <f t="array" ref="FY169">INDEX(FX:FX,MIN(IF(ISNUMBER(FX169:FX365),ROW(FX169:FX365),"")))</f>
        <v>0</v>
      </c>
      <c r="FZ169" s="12">
        <f>IF('Données projet'!$A$254&gt;35,FZ168+FY169-GH168,IF(A169&lt;'Données projet'!$A$254,$FW$205^A169,IF(A169='Données projet'!$A$254,'Données projet'!$B$254,FZ168+FY169-GH168)))</f>
        <v>-1.7053025658242404E-13</v>
      </c>
      <c r="GA169" s="17">
        <f>FZ169*VLOOKUP('Données projet'!$B$17,Paramètres!$A$1:$I$89,3,0)*VLOOKUP('Données projet'!$B$17,Paramètres!$A$1:$I$89,5,0)</f>
        <v>-1.4897523215040567E-13</v>
      </c>
      <c r="GB169" s="13" t="e">
        <f t="shared" si="350"/>
        <v>#NUM!</v>
      </c>
      <c r="GC169" s="20" t="e">
        <f t="shared" si="351"/>
        <v>#NUM!</v>
      </c>
      <c r="GD169" s="59" t="e">
        <f t="shared" si="249"/>
        <v>#NUM!</v>
      </c>
      <c r="GE169" s="59">
        <f ca="1">AVERAGE(OFFSET($GD$3,0,0,'Données projet'!$E$17+1,1))-AVERAGE(OFFSET($H$3,0,0,'Données projet'!$E$17+1,1))</f>
        <v>245.1983232777614</v>
      </c>
      <c r="GF169" s="59">
        <f t="shared" si="303"/>
        <v>242.34010522344573</v>
      </c>
      <c r="GG169" s="15">
        <f>IF(ISNA(VLOOKUP(A169,'Données projet'!$A$253:$I$273,3,0)),0,VLOOKUP(A169,'Données projet'!$A$253:$I$273,3,0))</f>
        <v>0</v>
      </c>
      <c r="GH169" s="15">
        <f>IF(ISNA(VLOOKUP(A169,'Données projet'!$A$253:$I$273,4,0)),0,VLOOKUP(A169,'Données projet'!$A$253:$I$273,4,0))</f>
        <v>0</v>
      </c>
      <c r="GI169" s="16">
        <f>IF(ISNA(VLOOKUP(A169,'Données projet'!$A$253:$I$273,5,0)),0%,VLOOKUP(A169,'Données projet'!$A$253:$I$273,5,0)*VLOOKUP('Données projet'!$B$17,Paramètres!$A$1:$I$89,7,0))</f>
        <v>0</v>
      </c>
      <c r="GJ169" s="16">
        <f>IF(ISNA(VLOOKUP(A169,'Données projet'!$A$253:$I$273,6,0)),0%,VLOOKUP(A169,'Données projet'!$A$253:$I$273,6,0)*VLOOKUP('Données projet'!$B$17,Paramètres!$A$1:$I$89,7,0))</f>
        <v>0</v>
      </c>
      <c r="GK169" s="16">
        <f>IF(ISNA(VLOOKUP(A169,'Données projet'!$A$253:$I$273,7,0)),0%,VLOOKUP(A169,'Données projet'!$A$253:$I$273,7,0))</f>
        <v>0</v>
      </c>
      <c r="GL169" s="21">
        <f>EXP(-LN(2)/35)*GL168+(1-EXP(-LN(2)/35))/(LN(2)/35)*GH169*GI169*VLOOKUP('Données projet'!$B$17,Paramètres!$A$1:$I$89,3,0)*0.475*44/12</f>
        <v>22.439280076333141</v>
      </c>
      <c r="GM169" s="21">
        <f>EXP(-LN(2)/25)*GM168+(1-EXP(-LN(2)/25))/(LN(2)/25)*Calculateur!GH169*Calculateur!GJ169*VLOOKUP('Données projet'!$B$17,Paramètres!$A$1:$I$89,3,0)*0.475*44/12</f>
        <v>2.0065825469923371</v>
      </c>
      <c r="GN169" s="21">
        <f>EXP(-LN(2)/2)*GN168+(1-EXP(-LN(2)/2))/(LN(2)/2)*GH169*GK169*VLOOKUP('Données projet'!$B$17,Paramètres!$A$1:$I$89,3,0)*0.475*44/12</f>
        <v>0</v>
      </c>
      <c r="GO169" s="21">
        <f t="shared" si="352"/>
        <v>24.445862623325478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projet'!$A$279:$I$299,2,0)</f>
        <v>#N/A</v>
      </c>
      <c r="GS169" s="12" t="e">
        <f>VLOOKUP(A169,'Données projet'!$A$279:$I$299,9,0)</f>
        <v>#N/A</v>
      </c>
      <c r="GT169" s="12">
        <f t="array" ref="GT169">INDEX(GS:GS,MIN(IF(ISNUMBER(GS169:GS365),ROW(GS169:GS365),"")))</f>
        <v>0</v>
      </c>
      <c r="GU169" s="12">
        <f>IF('Données projet'!$A$280&gt;35,GU168+GT169-HC168,IF(A169&lt;'Données projet'!$A$280,$GR$205^A169,IF(A169='Données projet'!$A$280,'Données projet'!$B$280,GU168+GT169-HC168)))</f>
        <v>-1.1368683772161603E-13</v>
      </c>
      <c r="GV169" s="17">
        <f>GU169*VLOOKUP('Données projet'!$B$18,Paramètres!$A$1:$I$89,3,0)*VLOOKUP('Données projet'!$B$18,Paramètres!$A$1:$I$89,5,0)</f>
        <v>-4.5815795601811263E-14</v>
      </c>
      <c r="GW169" s="13" t="e">
        <f t="shared" si="353"/>
        <v>#NUM!</v>
      </c>
      <c r="GX169" s="20" t="e">
        <f t="shared" si="354"/>
        <v>#NUM!</v>
      </c>
      <c r="GY169" s="59" t="e">
        <f t="shared" si="252"/>
        <v>#NUM!</v>
      </c>
      <c r="GZ169" s="59">
        <f ca="1">AVERAGE(OFFSET($GY$3,0,0,'Données projet'!$E$18+1,1))-AVERAGE(OFFSET($H$3,0,0,'Données projet'!$E$18+1,1))</f>
        <v>324.36162935850876</v>
      </c>
      <c r="HA169" s="59">
        <f t="shared" si="305"/>
        <v>265.23571072429735</v>
      </c>
      <c r="HB169" s="15">
        <f>IF(ISNA(VLOOKUP(A169,'Données projet'!$A$279:$I$299,3,0)),0,VLOOKUP(A169,'Données projet'!$A$279:$I$299,3,0))</f>
        <v>0</v>
      </c>
      <c r="HC169" s="15">
        <f>IF(ISNA(VLOOKUP(A169,'Données projet'!$A$279:$I$299,4,0)),0,VLOOKUP(A169,'Données projet'!$A$279:$I$299,4,0))</f>
        <v>0</v>
      </c>
      <c r="HD169" s="16">
        <f>IF(ISNA(VLOOKUP(A169,'Données projet'!$A$279:$I$299,5,0)),0%,VLOOKUP(A169,'Données projet'!$A$279:$I$299,5,0)*VLOOKUP('Données projet'!$B$18,Paramètres!$A$1:$I$89,7,0))</f>
        <v>0</v>
      </c>
      <c r="HE169" s="16">
        <f>IF(ISNA(VLOOKUP(A169,'Données projet'!$A$279:$I$299,6,0)),0%,VLOOKUP(A169,'Données projet'!$A$279:$I$299,6,0)*VLOOKUP('Données projet'!$B$18,Paramètres!$A$1:$I$89,7,0))</f>
        <v>0</v>
      </c>
      <c r="HF169" s="16">
        <f>IF(ISNA(VLOOKUP($A169,'Données projet'!$A$279:$I$299,7,0)),0%,VLOOKUP($A169,'Données projet'!$A$279:$I$299,7,0))</f>
        <v>0</v>
      </c>
      <c r="HG169" s="21">
        <f>EXP(-LN(2)/35)*HG168+(1-EXP(-LN(2)/35))/(LN(2)/35)*HC169*HD169*VLOOKUP('Données projet'!$B$18,Paramètres!$A$1:$I$89,3,0)*0.475*44/12</f>
        <v>42.999526676152684</v>
      </c>
      <c r="HH169" s="21">
        <f>EXP(-LN(2)/25)*HH168+(1-EXP(-LN(2)/25))/(LN(2)/25)*Calculateur!HC169*Calculateur!HE169*VLOOKUP('Données projet'!$B$18,Paramètres!$A$1:$I$89,3,0)*0.475*44/12</f>
        <v>2.2316787017588049</v>
      </c>
      <c r="HI169" s="21">
        <f>EXP(-LN(2)/2)*HI168+(1-EXP(-LN(2)/2))/(LN(2)/2)*HC169*HF169*VLOOKUP('Données projet'!$B$18,Paramètres!$A$1:$I$89,3,0)*0.475*44/12</f>
        <v>9.7170524320289675E-13</v>
      </c>
      <c r="HJ169" s="22">
        <f t="shared" si="355"/>
        <v>45.23120537791246</v>
      </c>
      <c r="HK169" s="74">
        <f>('Scénario référence'!$F$8+'Scénario référence'!$F$9+'Scénario référence'!$B$17+'Scénario référence'!$B$9+'Scénario référence'!$B$10)*70+IF((45+25*(1-EXP(-0.0175*$A169)))&lt;70,'Scénario référence'!$B$16*(45+25*(1-EXP(-0.0175*$A169))),70*'Scénario référence'!$B$16)+IF((32+38*(1-EXP(-0.0175*$A169)))&lt;70,'Scénario référence'!$B$18*(32+38*(1-EXP(-0.0175*$A169))),70*'Scénario référence'!$B$18)</f>
        <v>70</v>
      </c>
      <c r="HL169" s="12">
        <f>IF($A169&gt;30,10,('Scénario référence'!$B$16+'Scénario référence'!$B$17+'Scénario référence'!$B$18+'Scénario référence'!$B$9+'Scénario référence'!$B$10)*$A169*10/30+('Scénario référence'!$F$8+'Scénario référence'!$F$9)*10)</f>
        <v>10</v>
      </c>
      <c r="HM169" s="12" t="e">
        <f>VLOOKUP($A169,'Données projet'!$A$304:$I$324,2,0)</f>
        <v>#N/A</v>
      </c>
      <c r="HN169" s="12" t="e">
        <f>VLOOKUP($A169,'Données projet'!$A$304:$I$324,9,0)</f>
        <v>#N/A</v>
      </c>
      <c r="HO169" s="12">
        <f t="array" ref="HO169">INDEX(HN:HN,MIN(IF(ISNUMBER(HN169:HN365),ROW(HN169:HN365),"")))</f>
        <v>0</v>
      </c>
      <c r="HP169" s="12">
        <f>IF('Données projet'!$A$304&gt;35,HP168+HO169-HX168,IF($A169&lt;'Données projet'!$A$304,$CQ$205^$A169,IF($A169='Données projet'!$A$304,'Données projet'!$B$304,HP168+HO169-HX168)))</f>
        <v>0</v>
      </c>
      <c r="HQ169" s="17">
        <f>HP169*VLOOKUP('Données projet'!$B$19,Paramètres!$A$1:$I$89,3,0)*VLOOKUP('Données projet'!$B$19,Paramètres!$A$1:$I$89,5,0)</f>
        <v>0</v>
      </c>
      <c r="HR169" s="13" t="e">
        <f t="shared" si="306"/>
        <v>#NUM!</v>
      </c>
      <c r="HS169" s="14" t="e">
        <f t="shared" si="254"/>
        <v>#NUM!</v>
      </c>
      <c r="HT169" s="59" t="e">
        <f t="shared" si="255"/>
        <v>#NUM!</v>
      </c>
      <c r="HU169" s="59">
        <f ca="1">AVERAGE(OFFSET(HT$3,0,0,'Données projet'!$E$19+1,1))-AVERAGE(OFFSET($H$3,0,0,'Données projet'!$E$19+1,1))</f>
        <v>91.60721429656013</v>
      </c>
      <c r="HV169" s="59">
        <f t="shared" si="307"/>
        <v>258.94957804210856</v>
      </c>
      <c r="HW169" s="15">
        <f>IF(ISNA(VLOOKUP($A169,'Données projet'!$A$304:$I$324,3,0)),0,VLOOKUP($A169,'Données projet'!$A$304:$I$324,3,0))</f>
        <v>0</v>
      </c>
      <c r="HX169" s="15">
        <f>IF(ISNA(VLOOKUP($A169,'Données projet'!$A$304:$I$324,4,0)),0,VLOOKUP($A169,'Données projet'!$A$304:$I$324,4,0))</f>
        <v>0</v>
      </c>
      <c r="HY169" s="16">
        <f>IF(ISNA(VLOOKUP($A169,'Données projet'!$A$304:$I$324,5,0)),0%,VLOOKUP($A169,'Données projet'!$A$304:$I$324,5,0)*VLOOKUP('Données projet'!$B$19,Paramètres!$A$1:$I$89,7,0))</f>
        <v>0</v>
      </c>
      <c r="HZ169" s="16">
        <f>IF(ISNA(VLOOKUP($A169,'Données projet'!$A$304:$I$324,6,0)),0%,VLOOKUP($A169,'Données projet'!$A$304:$I$324,6,0)*VLOOKUP('Données projet'!$B$19,Paramètres!$A$1:$I$89,7,0))</f>
        <v>0</v>
      </c>
      <c r="IA169" s="16">
        <f>IF(ISNA(VLOOKUP($A169,'Données projet'!$A$304:$I$324,7,0)),0%,VLOOKUP($A169,'Données projet'!$A$304:$I$324,7,0))</f>
        <v>0</v>
      </c>
      <c r="IB169" s="21">
        <f>EXP(-LN(2)/35)*IB168+(1-EXP(-LN(2)/35))/(LN(2)/35)*HX169*HY169*VLOOKUP('Données projet'!$B$19,Paramètres!$A$1:$I$89,3,0)*0.475*44/12</f>
        <v>3.3374776968599442</v>
      </c>
      <c r="IC169" s="21">
        <f>EXP(-LN(2)/25)*IC168+(1-EXP(-LN(2)/25))/(LN(2)/25)*Calculateur!HX169*Calculateur!HZ169*VLOOKUP('Données projet'!$B$19,Paramètres!$A$1:$I$89,3,0)*0.475*44/12</f>
        <v>0.22408262488835234</v>
      </c>
      <c r="ID169" s="21">
        <f>EXP(-LN(2)/2)*ID168+(1-EXP(-LN(2)/2))/(LN(2)/2)*HX169*IA169*VLOOKUP('Données projet'!$B$19,Paramètres!$A$1:$I$89,3,0)*0.475*44/12</f>
        <v>1.9408991278317622E-21</v>
      </c>
      <c r="IE169" s="22">
        <f t="shared" si="256"/>
        <v>3.5615603217482965</v>
      </c>
      <c r="IF169" s="74">
        <f>('Scénario référence'!$F$8+'Scénario référence'!$F$9+'Scénario référence'!$B$17+'Scénario référence'!$B$9+'Scénario référence'!$B$10)*70+IF((45+25*(1-EXP(-0.0175*$A169)))&lt;70,'Scénario référence'!$B$16*(45+25*(1-EXP(-0.0175*$A169))),70*'Scénario référence'!$B$16)+IF((32+38*(1-EXP(-0.0175*$A169)))&lt;70,'Scénario référence'!$B$18*(32+38*(1-EXP(-0.0175*$A169))),70*'Scénario référence'!$B$18)</f>
        <v>70</v>
      </c>
      <c r="IG169" s="12">
        <f>IF($A169&gt;30,10,('Scénario référence'!$B$16+'Scénario référence'!$B$17+'Scénario référence'!$B$18+'Scénario référence'!$B$9+'Scénario référence'!$B$10)*$A169*10/30+('Scénario référence'!$F$8+'Scénario référence'!$F$9)*10)</f>
        <v>10</v>
      </c>
      <c r="IH169" s="12" t="e">
        <f>VLOOKUP($A169,'Données projet'!$A$330:$I$350,2,0)</f>
        <v>#N/A</v>
      </c>
      <c r="II169" s="12" t="e">
        <f>VLOOKUP($A169,'Données projet'!$A$330:$I$350,9,0)</f>
        <v>#N/A</v>
      </c>
      <c r="IJ169" s="12">
        <f t="array" ref="IJ169">INDEX(II:II,MIN(IF(ISNUMBER(II169:II365),ROW(II169:II365),"")))</f>
        <v>0</v>
      </c>
      <c r="IK169" s="12">
        <f>IF('Données projet'!$A$330&gt;35,IK168+IJ169-IS168,IF($A169&lt;'Données projet'!$A$330,$CQ$205^$A169,IF($A169='Données projet'!$A$330,'Données projet'!$B$330,IK168+IJ169-IS168)))</f>
        <v>0</v>
      </c>
      <c r="IL169" s="17">
        <f>IK169*VLOOKUP('Données projet'!$B$20,Paramètres!$A$1:$I$89,3,0)*VLOOKUP('Données projet'!$B$20,Paramètres!$A$1:$I$89,5,0)</f>
        <v>0</v>
      </c>
      <c r="IM169" s="13" t="e">
        <f t="shared" si="308"/>
        <v>#NUM!</v>
      </c>
      <c r="IN169" s="20" t="e">
        <f t="shared" si="257"/>
        <v>#NUM!</v>
      </c>
      <c r="IO169" s="59" t="e">
        <f t="shared" si="258"/>
        <v>#NUM!</v>
      </c>
      <c r="IP169" s="59">
        <f ca="1">AVERAGE(OFFSET(IO$3,0,0,'Données projet'!$E$20+1,1))-AVERAGE(OFFSET($H$3,0,0,'Données projet'!$E$20+1,1))</f>
        <v>91.60721429656013</v>
      </c>
      <c r="IQ169" s="59">
        <f t="shared" si="309"/>
        <v>258.94957804210856</v>
      </c>
      <c r="IR169" s="15">
        <f>IF(ISNA(VLOOKUP($A169,'Données projet'!$A$330:$I$350,3,0)),0,VLOOKUP($A169,'Données projet'!$A$330:$I$350,3,0))</f>
        <v>0</v>
      </c>
      <c r="IS169" s="15">
        <f>IF(ISNA(VLOOKUP($A169,'Données projet'!$A$330:$I$350,4,0)),0,VLOOKUP($A169,'Données projet'!$A$330:$I$350,4,0))</f>
        <v>0</v>
      </c>
      <c r="IT169" s="16">
        <f>IF(ISNA(VLOOKUP($A169,'Données projet'!$A$330:$I$350,5,0)),0%,VLOOKUP($A169,'Données projet'!$A$330:$I$350,5,0)*VLOOKUP('Données projet'!$B$20,Paramètres!$A$1:$I$89,7,0))</f>
        <v>0</v>
      </c>
      <c r="IU169" s="16">
        <f>IF(ISNA(VLOOKUP($A169,'Données projet'!$A$330:$I$350,6,0)),0%,VLOOKUP($A169,'Données projet'!$A$330:$I$350,6,0)*VLOOKUP('Données projet'!$B$20,Paramètres!$A$1:$I$89,7,0))</f>
        <v>0</v>
      </c>
      <c r="IV169" s="16">
        <f>IF(ISNA(VLOOKUP($A169,'Données projet'!$A$330:$I$350,7,0)),0%,VLOOKUP($A169,'Données projet'!$A$330:$I$350,7,0))</f>
        <v>0</v>
      </c>
      <c r="IW169" s="21">
        <f>EXP(-LN(2)/35)*IW168+(1-EXP(-LN(2)/35))/(LN(2)/35)*IS169*IT169*VLOOKUP('Données projet'!$B$20,Paramètres!$A$1:$I$89,3,0)*0.475*44/12</f>
        <v>3.3374776968599442</v>
      </c>
      <c r="IX169" s="21">
        <f>EXP(-LN(2)/25)*IX168+(1-EXP(-LN(2)/25))/(LN(2)/25)*Calculateur!IS169*Calculateur!IU169*VLOOKUP('Données projet'!$B$20,Paramètres!$A$1:$I$89,3,0)*0.475*44/12</f>
        <v>0.22408262488835234</v>
      </c>
      <c r="IY169" s="21">
        <f>EXP(-LN(2)/2)*IY168+(1-EXP(-LN(2)/2))/(LN(2)/2)*IS169*IV169*VLOOKUP('Données projet'!$B$20,Paramètres!$A$1:$I$89,3,0)*0.475*44/12</f>
        <v>1.9408991278317622E-21</v>
      </c>
      <c r="IZ169" s="22">
        <f t="shared" si="259"/>
        <v>3.5615603217482965</v>
      </c>
      <c r="JA169" s="74">
        <f>('Scénario référence'!$F$8+'Scénario référence'!$F$9+'Scénario référence'!$B$17+'Scénario référence'!$B$9+'Scénario référence'!$B$10)*70+IF((45+25*(1-EXP(-0.0175*$A169)))&lt;70,'Scénario référence'!$B$16*(45+25*(1-EXP(-0.0175*$A169))),70*'Scénario référence'!$B$16)+IF((32+38*(1-EXP(-0.0175*$A169)))&lt;70,'Scénario référence'!$B$18*(32+38*(1-EXP(-0.0175*$A169))),70*'Scénario référence'!$B$18)</f>
        <v>70</v>
      </c>
      <c r="JB169" s="12">
        <f>IF($A169&gt;30,10,('Scénario référence'!$B$16+'Scénario référence'!$B$17+'Scénario référence'!$B$18+'Scénario référence'!$B$9+'Scénario référence'!$B$10)*$A169*10/30+('Scénario référence'!$F$8+'Scénario référence'!$F$9)*10)</f>
        <v>10</v>
      </c>
      <c r="JC169" s="12" t="e">
        <f>VLOOKUP($A169,'Données projet'!$A$356:$I$376,2,0)</f>
        <v>#N/A</v>
      </c>
      <c r="JD169" s="12" t="e">
        <f>VLOOKUP($A169,'Données projet'!$A$356:$I$376,9,0)</f>
        <v>#N/A</v>
      </c>
      <c r="JE169" s="12">
        <f t="array" ref="JE169">INDEX(JD:JD,MIN(IF(ISNUMBER(JD169:JD365),ROW(JD169:JD365),"")))</f>
        <v>0</v>
      </c>
      <c r="JF169" s="12">
        <f>IF('Données projet'!$A$356&gt;35,JF168+JE169-JN168,IF($A169&lt;'Données projet'!$A$356,$CQ$205^$A169,IF($A169='Données projet'!$A$356,'Données projet'!$B$356,JF168+JE169-JN168)))</f>
        <v>-1.3073986337985843E-12</v>
      </c>
      <c r="JG169" s="17">
        <f>JF169*VLOOKUP('Données projet'!$B$21,Paramètres!$A$1:$I$89,3,0)*VLOOKUP('Données projet'!$B$21,Paramètres!$A$1:$I$89,5,0)</f>
        <v>-1.0605617717374117E-12</v>
      </c>
      <c r="JH169" s="13" t="e">
        <f t="shared" si="310"/>
        <v>#NUM!</v>
      </c>
      <c r="JI169" s="20" t="e">
        <f t="shared" si="260"/>
        <v>#NUM!</v>
      </c>
      <c r="JJ169" s="59" t="e">
        <f t="shared" si="261"/>
        <v>#NUM!</v>
      </c>
      <c r="JK169" s="59">
        <f ca="1">AVERAGE(OFFSET($JJ$3,0,0,'Données projet'!$E$22+1,1))-AVERAGE(OFFSET($H$3,0,0,'Données projet'!$E$22+1,1))</f>
        <v>353.35574633294613</v>
      </c>
      <c r="JL169" s="59">
        <f t="shared" si="311"/>
        <v>170.36796666474726</v>
      </c>
      <c r="JM169" s="15">
        <f>IF(ISNA(VLOOKUP($A169,'Données projet'!$A$356:$I$376,3,0)),0,VLOOKUP($A169,'Données projet'!$A$356:$I$376,3,0))</f>
        <v>0</v>
      </c>
      <c r="JN169" s="15">
        <f>IF(ISNA(VLOOKUP($A169,'Données projet'!$A$356:$I$376,4,0)),0,VLOOKUP($A169,'Données projet'!$A$356:$I$376,4,0))</f>
        <v>0</v>
      </c>
      <c r="JO169" s="16">
        <f>IF(ISNA(VLOOKUP($A169,'Données projet'!$A$356:$I$376,5,0)),0%,VLOOKUP($A169,'Données projet'!$A$356:$I$376,5,0)*VLOOKUP('Données projet'!$B$21,Paramètres!$A$1:$I$89,7,0))</f>
        <v>0</v>
      </c>
      <c r="JP169" s="16">
        <f>IF(ISNA(VLOOKUP($A169,'Données projet'!$A$356:$I$376,6,0)),0%,VLOOKUP($A169,'Données projet'!$A$356:$I$376,6,0)*VLOOKUP('Données projet'!$B$21,Paramètres!$A$1:$I$89,7,0))</f>
        <v>0</v>
      </c>
      <c r="JQ169" s="16">
        <f>IF(ISNA(VLOOKUP($A169,'Données projet'!$A$356:$I$376,7,0)),0%,VLOOKUP($A169,'Données projet'!$A$356:$I$376,7,0))</f>
        <v>0</v>
      </c>
      <c r="JR169" s="21">
        <f>EXP(-LN(2)/35)*JR168+(1-EXP(-LN(2)/35))/(LN(2)/35)*JN169*JO169*VLOOKUP('Données projet'!$B$21,Paramètres!$A$1:$I$89,3,0)*0.475*44/12</f>
        <v>53.504744077445928</v>
      </c>
      <c r="JS169" s="21">
        <f>EXP(-LN(2)/25)*JS168+(1-EXP(-LN(2)/25))/(LN(2)/25)*Calculateur!JN169*Calculateur!JP169*VLOOKUP('Données projet'!$B$21,Paramètres!$A$1:$I$89,3,0)*0.475*44/12</f>
        <v>49.044146259835969</v>
      </c>
      <c r="JT169" s="21">
        <f>EXP(-LN(2)/2)*JT168+(1-EXP(-LN(2)/2))/(LN(2)/2)*JN169*JQ169*VLOOKUP('Données projet'!$B$21,Paramètres!$A$1:$I$89,3,0)*0.475*44/12</f>
        <v>0.13394893324828969</v>
      </c>
      <c r="JU169" s="18">
        <f t="shared" si="262"/>
        <v>102.6828392705302</v>
      </c>
      <c r="JV169" s="74">
        <f>('Scénario référence'!$F$8+'Scénario référence'!$F$9+'Scénario référence'!$B$17+'Scénario référence'!$B$9+'Scénario référence'!$B$10)*70+IF((45+25*(1-EXP(-0.0175*$A169)))&lt;70,'Scénario référence'!$B$16*(45+25*(1-EXP(-0.0175*$A169))),70*'Scénario référence'!$B$16)+IF((32+38*(1-EXP(-0.0175*$A169)))&lt;70,'Scénario référence'!$B$18*(32+38*(1-EXP(-0.0175*$A169))),70*'Scénario référence'!$B$18)</f>
        <v>70</v>
      </c>
      <c r="JW169" s="12">
        <f>IF($A169&gt;30,10,('Scénario référence'!$B$16+'Scénario référence'!$B$17+'Scénario référence'!$B$18+'Scénario référence'!$B$9+'Scénario référence'!$B$10)*$A169*10/30+('Scénario référence'!$F$8+'Scénario référence'!$F$9)*10)</f>
        <v>10</v>
      </c>
      <c r="JX169" s="12" t="e">
        <f>VLOOKUP($A169,'Données projet'!$A$382:$I$402,2,0)</f>
        <v>#N/A</v>
      </c>
      <c r="JY169" s="12" t="e">
        <f>VLOOKUP($A169,'Données projet'!$A$382:$I$402,9,0)</f>
        <v>#N/A</v>
      </c>
      <c r="JZ169" s="12">
        <f t="array" ref="JZ169">INDEX(JY:JY,MIN(IF(ISNUMBER(JY169:JY365),ROW(JY169:JY365),"")))</f>
        <v>0</v>
      </c>
      <c r="KA169" s="12">
        <f>IF('Données projet'!$A$382&gt;35,KA168+JZ169-KI168,IF($A169&lt;'Données projet'!$A$382,$CQ$205^$A169,IF($A169='Données projet'!$A$382,'Données projet'!$B$382,KA168+JZ169-KI168)))</f>
        <v>5.6843418860808015E-13</v>
      </c>
      <c r="KB169" s="17">
        <f>KA169*VLOOKUP('Données projet'!$B$22,Paramètres!$A$1:$I$89,3,0)*VLOOKUP('Données projet'!$B$22,Paramètres!$A$1:$I$89,5,0)</f>
        <v>3.8130565371830017E-13</v>
      </c>
      <c r="KC169" s="13">
        <f t="shared" si="312"/>
        <v>4.9019074112354236E-12</v>
      </c>
      <c r="KD169" s="20">
        <f t="shared" si="263"/>
        <v>9.2015960881277352E-12</v>
      </c>
      <c r="KE169" s="59">
        <f t="shared" si="264"/>
        <v>293.33333333334252</v>
      </c>
      <c r="KF169" s="59">
        <f ca="1">AVERAGE(OFFSET($KE$3,0,0,'Données projet'!$E$22+1,1))-AVERAGE(OFFSET($H$3,0,0,'Données projet'!$E$22+1,1))</f>
        <v>193.91714772848269</v>
      </c>
      <c r="KG169" s="59">
        <f t="shared" si="313"/>
        <v>159.20429420478047</v>
      </c>
      <c r="KH169" s="15">
        <f>IF(ISNA(VLOOKUP($A169,'Données projet'!$A$382:$I$402,3,0)),0,VLOOKUP($A169,'Données projet'!$A$382:$I$402,3,0))</f>
        <v>0</v>
      </c>
      <c r="KI169" s="15">
        <f>IF(ISNA(VLOOKUP($A169,'Données projet'!$A$382:$I$402,4,0)),0,VLOOKUP($A169,'Données projet'!$A$382:$I$402,4,0))</f>
        <v>0</v>
      </c>
      <c r="KJ169" s="16">
        <f>IF(ISNA(VLOOKUP($A169,'Données projet'!$A$382:$I$402,5,0)),0%,VLOOKUP($A169,'Données projet'!$A$382:$I$402,5,0)*VLOOKUP('Données projet'!$B$22,Paramètres!$A$1:$I$89,7,0))</f>
        <v>0</v>
      </c>
      <c r="KK169" s="16">
        <f>IF(ISNA(VLOOKUP($A169,'Données projet'!$A$382:$I$402,6,0)),0%,VLOOKUP($A169,'Données projet'!$A$382:$I$402,6,0)*VLOOKUP('Données projet'!$B$22,Paramètres!$A$1:$I$89,7,0))</f>
        <v>0</v>
      </c>
      <c r="KL169" s="16">
        <f>IF(ISNA(VLOOKUP($A169,'Données projet'!$A$382:$I$402,7,0)),0%,VLOOKUP($A169,'Données projet'!$A$382:$I$402,7,0))</f>
        <v>0</v>
      </c>
      <c r="KM169" s="21">
        <f>EXP(-LN(2)/35)*KM168+(1-EXP(-LN(2)/35))/(LN(2)/35)*KI169*KJ169*VLOOKUP('Données projet'!$B$22,Paramètres!$A$1:$I$89,3,0)*0.475*44/12</f>
        <v>78.122831628218478</v>
      </c>
      <c r="KN169" s="21">
        <f>EXP(-LN(2)/25)*KN168+(1-EXP(-LN(2)/25))/(LN(2)/25)*Calculateur!KI169*Calculateur!KK169*VLOOKUP('Données projet'!$B$22,Paramètres!$A$1:$I$89,3,0)*0.475*44/12</f>
        <v>0</v>
      </c>
      <c r="KO169" s="21">
        <f>EXP(-LN(2)/2)*KO168+(1-EXP(-LN(2)/2))/(LN(2)/2)*KI169*KL169*VLOOKUP('Données projet'!$B$22,Paramètres!$A$1:$I$89,3,0)*0.475*44/12</f>
        <v>0</v>
      </c>
      <c r="KP169" s="22">
        <f t="shared" si="265"/>
        <v>78.122831628218478</v>
      </c>
      <c r="KQ169" s="74">
        <f>('Scénario référence'!$F$8+'Scénario référence'!$F$9+'Scénario référence'!$B$17+'Scénario référence'!$B$9+'Scénario référence'!$B$10)*70+IF((45+25*(1-EXP(-0.0175*$A169)))&lt;70,'Scénario référence'!$B$16*(45+25*(1-EXP(-0.0175*$A169))),70*'Scénario référence'!$B$16)+IF((32+38*(1-EXP(-0.0175*$A169)))&lt;70,'Scénario référence'!$B$18*(32+38*(1-EXP(-0.0175*$A169))),70*'Scénario référence'!$B$18)</f>
        <v>70</v>
      </c>
      <c r="KR169" s="12">
        <f>IF($A169&gt;30,10,('Scénario référence'!$B$16+'Scénario référence'!$B$17+'Scénario référence'!$B$18+'Scénario référence'!$B$9+'Scénario référence'!$B$10)*$A169*10/30+('Scénario référence'!$F$8+'Scénario référence'!$F$9)*10)</f>
        <v>10</v>
      </c>
      <c r="KS169" s="12" t="e">
        <f>VLOOKUP($A169,'Données projet'!$A$408:$I$428,2,0)</f>
        <v>#N/A</v>
      </c>
      <c r="KT169" s="12" t="e">
        <f>VLOOKUP($A169,'Données projet'!$A$408:$I$428,9,0)</f>
        <v>#N/A</v>
      </c>
      <c r="KU169" s="12">
        <f t="array" ref="KU169">INDEX(KT:KT,MIN(IF(ISNUMBER(KT169:KT365),ROW(KT169:KT365),"")))</f>
        <v>0</v>
      </c>
      <c r="KV169" s="12">
        <f>IF('Données projet'!$A$408&gt;35,KV168+KU169-LD168,IF($A169&lt;'Données projet'!$A$408,$CQ$205^$A169,IF($A169='Données projet'!$A$408,'Données projet'!$B$408,KV168+KU169-LD168)))</f>
        <v>-1.1368683772161603E-13</v>
      </c>
      <c r="KW169" s="17">
        <f>KV169*VLOOKUP('Données projet'!$B$23,Paramètres!$A$1:$I$89,3,0)*VLOOKUP('Données projet'!$B$23,Paramètres!$A$1:$I$89,5,0)</f>
        <v>-9.9316821433603781E-14</v>
      </c>
      <c r="KX169" s="13" t="e">
        <f t="shared" si="314"/>
        <v>#NUM!</v>
      </c>
      <c r="KY169" s="14" t="e">
        <f t="shared" si="266"/>
        <v>#NUM!</v>
      </c>
      <c r="KZ169" s="59" t="e">
        <f t="shared" si="267"/>
        <v>#NUM!</v>
      </c>
      <c r="LA169" s="59">
        <f ca="1">AVERAGE(OFFSET($KZ$3,0,0,'Données projet'!$E$23+1,1))-AVERAGE(OFFSET($H$3,0,0,'Données projet'!$E$23+1,1))</f>
        <v>248.33596943633819</v>
      </c>
      <c r="LB169" s="59">
        <f t="shared" si="315"/>
        <v>242.34010522344573</v>
      </c>
      <c r="LC169" s="15">
        <f>IF(ISNA(VLOOKUP($A169,'Données projet'!$A$408:$I$428,3,0)),0,VLOOKUP($A169,'Données projet'!$A$408:$I$428,3,0))</f>
        <v>0</v>
      </c>
      <c r="LD169" s="15">
        <f>IF(ISNA(VLOOKUP($A169,'Données projet'!$A$408:$I$428,4,0)),0,VLOOKUP($A169,'Données projet'!$A$408:$I$428,4,0))</f>
        <v>0</v>
      </c>
      <c r="LE169" s="16">
        <f>IF(ISNA(VLOOKUP($A169,'Données projet'!$A$408:$I$428,5,0)),0%,VLOOKUP($A169,'Données projet'!$A$408:$I$428,5,0)*VLOOKUP('Données projet'!$B$23,Paramètres!$A$1:$I$89,7,0))</f>
        <v>0</v>
      </c>
      <c r="LF169" s="16">
        <f>IF(ISNA(VLOOKUP($A169,'Données projet'!$A$408:$I$428,6,0)),0%,VLOOKUP($A169,'Données projet'!$A$408:$I$428,6,0)*VLOOKUP('Données projet'!$B$23,Paramètres!$A$1:$I$89,7,0))</f>
        <v>0</v>
      </c>
      <c r="LG169" s="16">
        <f>IF(ISNA(VLOOKUP($A169,'Données projet'!$A$408:$I$428,7,0)),0%,VLOOKUP($A169,'Données projet'!$A$408:$I$428,7,0))</f>
        <v>0</v>
      </c>
      <c r="LH169" s="21">
        <f>EXP(-LN(2)/35)*LH168+(1-EXP(-LN(2)/35))/(LN(2)/35)*LD169*LE169*VLOOKUP('Données projet'!$B$23,Paramètres!$A$1:$I$89,3,0)*0.475*44/12</f>
        <v>22.439280076333141</v>
      </c>
      <c r="LI169" s="21">
        <f>EXP(-LN(2)/25)*LI168+(1-EXP(-LN(2)/25))/(LN(2)/25)*Calculateur!LD169*Calculateur!LF169*VLOOKUP('Données projet'!$B$23,Paramètres!$A$1:$I$89,3,0)*0.475*44/12</f>
        <v>2.0065825469923371</v>
      </c>
      <c r="LJ169" s="21">
        <f>EXP(-LN(2)/2)*LJ168+(1-EXP(-LN(2)/2))/(LN(2)/2)*LD169*LG169*VLOOKUP('Données projet'!$B$23,Paramètres!$A$1:$I$89,3,0)*0.475*44/12</f>
        <v>0</v>
      </c>
      <c r="LK169" s="22">
        <f t="shared" si="268"/>
        <v>24.445862623325478</v>
      </c>
      <c r="LL169" s="74">
        <f>('Scénario référence'!$F$8+'Scénario référence'!$F$9+'Scénario référence'!$B$17+'Scénario référence'!$B$9+'Scénario référence'!$B$10)*70+IF((45+25*(1-EXP(-0.0175*$A169)))&lt;70,'Scénario référence'!$B$16*(45+25*(1-EXP(-0.0175*$A169))),70*'Scénario référence'!$B$16)+IF((32+38*(1-EXP(-0.0175*$A169)))&lt;70,'Scénario référence'!$B$18*(32+38*(1-EXP(-0.0175*$A169))),70*'Scénario référence'!$B$18)</f>
        <v>70</v>
      </c>
      <c r="LM169" s="12">
        <f>IF($A169&gt;30,10,('Scénario référence'!$B$16+'Scénario référence'!$B$17+'Scénario référence'!$B$18+'Scénario référence'!$B$9+'Scénario référence'!$B$10)*$A169*10/30+('Scénario référence'!$F$8+'Scénario référence'!$F$9)*10)</f>
        <v>10</v>
      </c>
      <c r="LN169" s="12" t="e">
        <f>VLOOKUP($A169,'Données projet'!$A$434:$I$454,2,0)</f>
        <v>#N/A</v>
      </c>
      <c r="LO169" s="12" t="e">
        <f>VLOOKUP($A169,'Données projet'!$A$434:$I$454,9,0)</f>
        <v>#N/A</v>
      </c>
      <c r="LP169" s="12">
        <f t="array" ref="LP169">INDEX(LO:LO,MIN(IF(ISNUMBER(LO169:LO365),ROW(LO169:LO365),"")))</f>
        <v>0</v>
      </c>
      <c r="LQ169" s="12">
        <f>IF('Données projet'!$A$434&gt;35,LQ168+LP169-LY168,IF($A169&lt;'Données projet'!$A$434,$CQ$205^$A169,IF($A169='Données projet'!$A$434,'Données projet'!$B$434,LQ168+LP169-LY168)))</f>
        <v>-4.5474735088646412E-13</v>
      </c>
      <c r="LR169" s="17">
        <f>LQ169*VLOOKUP('Données projet'!$B$24,Paramètres!$A$1:$I$89,3,0)*VLOOKUP('Données projet'!$B$24,Paramètres!$A$1:$I$89,5,0)</f>
        <v>-4.6111381379887462E-13</v>
      </c>
      <c r="LS169" s="13" t="e">
        <f t="shared" si="316"/>
        <v>#NUM!</v>
      </c>
      <c r="LT169" s="14" t="e">
        <f t="shared" si="269"/>
        <v>#NUM!</v>
      </c>
      <c r="LU169" s="59" t="e">
        <f t="shared" si="270"/>
        <v>#NUM!</v>
      </c>
      <c r="LV169" s="59">
        <f ca="1">AVERAGE(OFFSET($LU$3,0,0,'Données projet'!$E$24+1,1))-AVERAGE(OFFSET($H$3,0,0,'Données projet'!$E$24+1,1))</f>
        <v>260.52627655062872</v>
      </c>
      <c r="LW169" s="59">
        <f t="shared" si="317"/>
        <v>159.20429420478047</v>
      </c>
      <c r="LX169" s="15">
        <f>IF(ISNA(VLOOKUP($A169,'Données projet'!$A$434:$I$454,3,0)),0,VLOOKUP($A169,'Données projet'!$A$434:$I$454,3,0))</f>
        <v>0</v>
      </c>
      <c r="LY169" s="15">
        <f>IF(ISNA(VLOOKUP($A169,'Données projet'!$A$434:$I$454,4,0)),0,VLOOKUP($A169,'Données projet'!$A$434:$I$454,4,0))</f>
        <v>0</v>
      </c>
      <c r="LZ169" s="16">
        <f>IF(ISNA(VLOOKUP($A169,'Données projet'!$A$434:$I$454,5,0)),0%,VLOOKUP($A169,'Données projet'!$A$434:$I$454,5,0)*VLOOKUP('Données projet'!$B$24,Paramètres!$A$1:$I$89,7,0))</f>
        <v>0</v>
      </c>
      <c r="MA169" s="16">
        <f>IF(ISNA(VLOOKUP($A169,'Données projet'!$A$434:$I$454,6,0)),0%,VLOOKUP($A169,'Données projet'!$A$434:$I$454,6,0)*VLOOKUP('Données projet'!$B$24,Paramètres!$A$1:$I$89,7,0))</f>
        <v>0</v>
      </c>
      <c r="MB169" s="16">
        <f>IF(ISNA(VLOOKUP($A169,'Données projet'!$A$434:$I$454,7,0)),0%,VLOOKUP($A169,'Données projet'!$A$434:$I$454,7,0))</f>
        <v>0</v>
      </c>
      <c r="MC169" s="21">
        <f>EXP(-LN(2)/35)*MC168+(1-EXP(-LN(2)/35))/(LN(2)/35)*LY169*LZ169*VLOOKUP('Données projet'!$B$24,Paramètres!$A$1:$I$89,3,0)*0.475*44/12</f>
        <v>144.27694920576934</v>
      </c>
      <c r="MD169" s="21">
        <f>EXP(-LN(2)/25)*MD168+(1-EXP(-LN(2)/25))/(LN(2)/25)*Calculateur!LY169*Calculateur!MA169*VLOOKUP('Données projet'!$B$24,Paramètres!$A$1:$I$89,3,0)*0.475*44/12</f>
        <v>0</v>
      </c>
      <c r="ME169" s="21">
        <f>EXP(-LN(2)/2)*ME168+(1-EXP(-LN(2)/2))/(LN(2)/2)*LY169*MB169*VLOOKUP('Données projet'!$B$24,Paramètres!$A$1:$I$89,3,0)*0.475*44/12</f>
        <v>0</v>
      </c>
      <c r="MF169" s="22">
        <f t="shared" si="271"/>
        <v>144.27694920576934</v>
      </c>
      <c r="MG169" s="74">
        <f>('Scénario référence'!$F$8+'Scénario référence'!$F$9+'Scénario référence'!$B$17+'Scénario référence'!$B$9+'Scénario référence'!$B$10)*70+IF((45+25*(1-EXP(-0.0175*$A169)))&lt;70,'Scénario référence'!$B$16*(45+25*(1-EXP(-0.0175*$A169))),70*'Scénario référence'!$B$16)+IF((32+38*(1-EXP(-0.0175*$A169)))&lt;70,'Scénario référence'!$B$18*(32+38*(1-EXP(-0.0175*$A169))),70*'Scénario référence'!$B$18)</f>
        <v>70</v>
      </c>
      <c r="MH169" s="12">
        <f>IF($A169&gt;30,10,('Scénario référence'!$B$16+'Scénario référence'!$B$17+'Scénario référence'!$B$18+'Scénario référence'!$B$9+'Scénario référence'!$B$10)*$A169*10/30+('Scénario référence'!$F$8+'Scénario référence'!$F$9)*10)</f>
        <v>10</v>
      </c>
      <c r="MI169" s="12" t="e">
        <f>VLOOKUP($A169,'Données projet'!$A$460:$I$480,2,0)</f>
        <v>#N/A</v>
      </c>
      <c r="MJ169" s="12" t="e">
        <f>VLOOKUP($A169,'Données projet'!$A$460:$I$480,9,0)</f>
        <v>#N/A</v>
      </c>
      <c r="MK169" s="12">
        <f t="array" ref="MK169">INDEX(MJ:MJ,MIN(IF(ISNUMBER(MJ169:MJ365),ROW(MJ169:MJ365),"")))</f>
        <v>0</v>
      </c>
      <c r="ML169" s="12">
        <f>IF('Données projet'!$A$460&gt;35,ML168+MK169-MT168,IF($A169&lt;'Données projet'!$A$460,$CQ$205^$A169,IF($A169='Données projet'!$A$460,'Données projet'!$B$460,ML168+MK169-MT168)))</f>
        <v>0</v>
      </c>
      <c r="MM169" s="17" t="e">
        <f>ML169*VLOOKUP('Données projet'!$B$25,Paramètres!$A$1:$I$89,3,0)*VLOOKUP('Données projet'!$B$25,Paramètres!$A$1:$I$89,5,0)</f>
        <v>#N/A</v>
      </c>
      <c r="MN169" s="13" t="e">
        <f t="shared" si="318"/>
        <v>#N/A</v>
      </c>
      <c r="MO169" s="14" t="e">
        <f t="shared" si="272"/>
        <v>#N/A</v>
      </c>
      <c r="MP169" s="59" t="e">
        <f t="shared" si="273"/>
        <v>#N/A</v>
      </c>
      <c r="MQ169" s="20" t="e">
        <f ca="1">AVERAGE(OFFSET($MP$3,0,0,'Données projet'!$E$25+1,1))-AVERAGE(OFFSET($H$3,0,0,'Données projet'!$E$25+1,1))</f>
        <v>#N/A</v>
      </c>
      <c r="MR169" s="59" t="e">
        <f t="shared" si="319"/>
        <v>#N/A</v>
      </c>
      <c r="MS169" s="15">
        <f>IF(ISNA(VLOOKUP($A169,'Données projet'!$A$460:$I$480,3,0)),0,VLOOKUP($A169,'Données projet'!$A$460:$I$480,3,0))</f>
        <v>0</v>
      </c>
      <c r="MT169" s="15">
        <f>IF(ISNA(VLOOKUP($A169,'Données projet'!$A$460:$I$480,4,0)),0,VLOOKUP($A169,'Données projet'!$A$460:$I$480,4,0))</f>
        <v>0</v>
      </c>
      <c r="MU169" s="16">
        <f>IF(ISNA(VLOOKUP($A169,'Données projet'!$A$460:$I$480,5,0)),0%,VLOOKUP($A169,'Données projet'!$A$460:$I$480,5,0)*VLOOKUP('Données projet'!$B$25,Paramètres!$A$1:$I$89,7,0))</f>
        <v>0</v>
      </c>
      <c r="MV169" s="16">
        <f>IF(ISNA(VLOOKUP($A169,'Données projet'!$A$460:$I$480,6,0)),0%,VLOOKUP($A169,'Données projet'!$A$460:$I$480,6,0)*VLOOKUP('Données projet'!$B$25,Paramètres!$A$1:$I$89,7,0))</f>
        <v>0</v>
      </c>
      <c r="MW169" s="16">
        <f>IF(ISNA(VLOOKUP($A169,'Données projet'!$A$460:$I$480,7,0)),0%,VLOOKUP($A169,'Données projet'!$A$460:$I$480,7,0))</f>
        <v>0</v>
      </c>
      <c r="MX169" s="21" t="e">
        <f>EXP(-LN(2)/35)*MX168+(1-EXP(-LN(2)/35))/(LN(2)/35)*MT169*MU169*VLOOKUP('Données projet'!$B$25,Paramètres!$A$1:$I$89,3,0)*0.475*44/12</f>
        <v>#N/A</v>
      </c>
      <c r="MY169" s="21" t="e">
        <f>EXP(-LN(2)/25)*MY168+(1-EXP(-LN(2)/25))/(LN(2)/25)*Calculateur!MT169*Calculateur!MV169*VLOOKUP('Données projet'!$B$25,Paramètres!$A$1:$I$89,3,0)*0.475*44/12</f>
        <v>#N/A</v>
      </c>
      <c r="MZ169" s="21" t="e">
        <f>EXP(-LN(2)/2)*MZ168+(1-EXP(-LN(2)/2))/(LN(2)/2)*MT169*MW169*VLOOKUP('Données projet'!$B$25,Paramètres!$A$1:$I$89,3,0)*0.475*44/12</f>
        <v>#N/A</v>
      </c>
      <c r="NA169" s="22" t="e">
        <f t="shared" si="274"/>
        <v>#N/A</v>
      </c>
      <c r="NB169" s="74">
        <f>('Scénario référence'!$F$8+'Scénario référence'!$F$9+'Scénario référence'!$B$17+'Scénario référence'!$B$9+'Scénario référence'!$B$10)*70+IF((45+25*(1-EXP(-0.0175*$A169)))&lt;70,'Scénario référence'!$B$16*(45+25*(1-EXP(-0.0175*$A169))),70*'Scénario référence'!$B$16)+IF((32+38*(1-EXP(-0.0175*$A169)))&lt;70,'Scénario référence'!$B$18*(32+38*(1-EXP(-0.0175*$A169))),70*'Scénario référence'!$B$18)</f>
        <v>70</v>
      </c>
      <c r="NC169" s="12">
        <f>IF($A169&gt;30,10,('Scénario référence'!$B$16+'Scénario référence'!$B$17+'Scénario référence'!$B$18+'Scénario référence'!$B$9+'Scénario référence'!$B$10)*$A169*10/30+('Scénario référence'!$F$8+'Scénario référence'!$F$9)*10)</f>
        <v>10</v>
      </c>
      <c r="ND169" s="12" t="e">
        <f>VLOOKUP($A169,'Données projet'!$A$486:$I$506,2,0)</f>
        <v>#N/A</v>
      </c>
      <c r="NE169" s="12" t="e">
        <f>VLOOKUP($A169,'Données projet'!$A$486:$I$506,9,0)</f>
        <v>#N/A</v>
      </c>
      <c r="NF169" s="12">
        <f t="array" ref="NF169">INDEX(NE:NE,MIN(IF(ISNUMBER(NE169:NE365),ROW(NE169:NE365),"")))</f>
        <v>0</v>
      </c>
      <c r="NG169" s="12">
        <f>IF('Données projet'!$A$486&gt;35,NG168+NF169-NO168,IF($A169&lt;'Données projet'!$A$486,$CQ$205^$A169,IF($A169='Données projet'!$A$486,'Données projet'!$B$486,NG168+NF169-NO168)))</f>
        <v>0</v>
      </c>
      <c r="NH169" s="17" t="e">
        <f>NG169*VLOOKUP('Données projet'!$B$26,Paramètres!$A$1:$I$89,3,0)*VLOOKUP('Données projet'!$B$26,Paramètres!$A$1:$I$89,5,0)</f>
        <v>#N/A</v>
      </c>
      <c r="NI169" s="13" t="e">
        <f t="shared" si="320"/>
        <v>#N/A</v>
      </c>
      <c r="NJ169" s="14" t="e">
        <f t="shared" si="275"/>
        <v>#N/A</v>
      </c>
      <c r="NK169" s="59" t="e">
        <f t="shared" si="276"/>
        <v>#N/A</v>
      </c>
      <c r="NL169" s="20" t="e">
        <f ca="1">AVERAGE(OFFSET($NK$3,0,0,'Données projet'!$E$26+1,1))-AVERAGE(OFFSET($H$3,0,0,'Données projet'!$E$26+1,1))</f>
        <v>#N/A</v>
      </c>
      <c r="NM169" s="59" t="e">
        <f t="shared" si="321"/>
        <v>#N/A</v>
      </c>
      <c r="NN169" s="15">
        <f>IF(ISNA(VLOOKUP($A169,'Données projet'!$A$486:$I$506,3,0)),0,VLOOKUP($A169,'Données projet'!$A$486:$I$506,3,0))</f>
        <v>0</v>
      </c>
      <c r="NO169" s="15">
        <f>IF(ISNA(VLOOKUP($A169,'Données projet'!$A$486:$I$506,4,0)),0,VLOOKUP($A169,'Données projet'!$A$486:$I$506,4,0))</f>
        <v>0</v>
      </c>
      <c r="NP169" s="16">
        <f>IF(ISNA(VLOOKUP($A169,'Données projet'!$A$486:$I$506,5,0)),0%,VLOOKUP($A169,'Données projet'!$A$486:$I$506,5,0)*VLOOKUP('Données projet'!$B$26,Paramètres!$A$1:$I$89,7,0))</f>
        <v>0</v>
      </c>
      <c r="NQ169" s="16">
        <f>IF(ISNA(VLOOKUP($A169,'Données projet'!$A$486:$I$506,6,0)),0%,VLOOKUP($A169,'Données projet'!$A$486:$I$506,6,0)*VLOOKUP('Données projet'!$B$26,Paramètres!$A$1:$I$89,7,0))</f>
        <v>0</v>
      </c>
      <c r="NR169" s="16">
        <f>IF(ISNA(VLOOKUP($A169,'Données projet'!$A$486:$I$506,7,0)),0%,VLOOKUP($A169,'Données projet'!$A$486:$I$506,7,0))</f>
        <v>0</v>
      </c>
      <c r="NS169" s="21" t="e">
        <f>EXP(-LN(2)/35)*NS168+(1-EXP(-LN(2)/35))/(LN(2)/35)*NO169*NP169*VLOOKUP('Données projet'!$B$26,Paramètres!$A$1:$I$89,3,0)*0.475*44/12</f>
        <v>#N/A</v>
      </c>
      <c r="NT169" s="21" t="e">
        <f>EXP(-LN(2)/25)*NT168+(1-EXP(-LN(2)/25))/(LN(2)/25)*Calculateur!NO169*Calculateur!NQ169*VLOOKUP('Données projet'!$B$26,Paramètres!$A$1:$I$89,3,0)*0.475*44/12</f>
        <v>#N/A</v>
      </c>
      <c r="NU169" s="21" t="e">
        <f>EXP(-LN(2)/2)*NU168+(1-EXP(-LN(2)/2))/(LN(2)/2)*NO169*NR169*VLOOKUP('Données projet'!$B$26,Paramètres!$A$1:$I$89,3,0)*0.475*44/12</f>
        <v>#N/A</v>
      </c>
      <c r="NV169" s="22" t="e">
        <f t="shared" si="277"/>
        <v>#N/A</v>
      </c>
      <c r="NW169" s="74">
        <f>('Scénario référence'!$F$8+'Scénario référence'!$F$9+'Scénario référence'!$B$17+'Scénario référence'!$B$9+'Scénario référence'!$B$10)*70+IF((45+25*(1-EXP(-0.0175*$A169)))&lt;70,'Scénario référence'!$B$16*(45+25*(1-EXP(-0.0175*$A169))),70*'Scénario référence'!$B$16)+IF((32+38*(1-EXP(-0.0175*$A169)))&lt;70,'Scénario référence'!$B$18*(32+38*(1-EXP(-0.0175*$A169))),70*'Scénario référence'!$B$18)</f>
        <v>70</v>
      </c>
      <c r="NX169" s="12">
        <f>IF($A169&gt;30,10,('Scénario référence'!$B$16+'Scénario référence'!$B$17+'Scénario référence'!$B$18+'Scénario référence'!$B$9+'Scénario référence'!$B$10)*$A169*10/30+('Scénario référence'!$F$8+'Scénario référence'!$F$9)*10)</f>
        <v>10</v>
      </c>
      <c r="NY169" s="12" t="e">
        <f>VLOOKUP($A169,'Données projet'!$A$512:$I$532,2,0)</f>
        <v>#N/A</v>
      </c>
      <c r="NZ169" s="12" t="e">
        <f>VLOOKUP($A169,'Données projet'!$A$512:$I$532,9,0)</f>
        <v>#N/A</v>
      </c>
      <c r="OA169" s="12">
        <f t="array" ref="OA169">INDEX(NZ:NZ,MIN(IF(ISNUMBER(NZ169:NZ365),ROW(NZ169:NZ365),"")))</f>
        <v>0</v>
      </c>
      <c r="OB169" s="12">
        <f>IF('Données projet'!$A$512&gt;35,OB168+OA169-OJ168,IF($A169&lt;'Données projet'!$A$512,$CQ$205^$A169,IF($A169='Données projet'!$A$512,'Données projet'!$B$512,OB168+OA169-OJ168)))</f>
        <v>0</v>
      </c>
      <c r="OC169" s="17" t="e">
        <f>OB169*VLOOKUP('Données projet'!$B$27,Paramètres!$A$1:$I$89,3,0)*VLOOKUP('Données projet'!$B$27,Paramètres!$A$1:$I$89,5,0)</f>
        <v>#N/A</v>
      </c>
      <c r="OD169" s="13" t="e">
        <f t="shared" si="322"/>
        <v>#N/A</v>
      </c>
      <c r="OE169" s="14" t="e">
        <f t="shared" si="278"/>
        <v>#N/A</v>
      </c>
      <c r="OF169" s="59" t="e">
        <f t="shared" si="279"/>
        <v>#N/A</v>
      </c>
      <c r="OG169" s="20" t="e">
        <f ca="1">AVERAGE(OFFSET($OF$3,0,0,'Données projet'!$E$27+1,1))-AVERAGE(OFFSET($H$3,0,0,'Données projet'!$E$27+1,1))</f>
        <v>#N/A</v>
      </c>
      <c r="OH169" s="59" t="e">
        <f t="shared" si="323"/>
        <v>#N/A</v>
      </c>
      <c r="OI169" s="15">
        <f>IF(ISNA(VLOOKUP($A169,'Données projet'!$A$512:$I$532,3,0)),0,VLOOKUP($A169,'Données projet'!$A$512:$I$532,3,0))</f>
        <v>0</v>
      </c>
      <c r="OJ169" s="15">
        <f>IF(ISNA(VLOOKUP($A169,'Données projet'!$A$512:$I$532,4,0)),0,VLOOKUP($A169,'Données projet'!$A$512:$I$532,4,0))</f>
        <v>0</v>
      </c>
      <c r="OK169" s="16">
        <f>IF(ISNA(VLOOKUP($A169,'Données projet'!$A$512:$I$532,5,0)),0%,VLOOKUP($A169,'Données projet'!$A$512:$I$532,5,0)*VLOOKUP('Données projet'!$B$27,Paramètres!$A$1:$I$89,7,0))</f>
        <v>0</v>
      </c>
      <c r="OL169" s="16">
        <f>IF(ISNA(VLOOKUP($A169,'Données projet'!$A$512:$I$532,6,0)),0%,VLOOKUP($A169,'Données projet'!$A$512:$I$532,6,0)*VLOOKUP('Données projet'!$B$27,Paramètres!$A$1:$I$89,7,0))</f>
        <v>0</v>
      </c>
      <c r="OM169" s="16">
        <f>IF(ISNA(VLOOKUP($A169,'Données projet'!$A$512:$I$532,7,0)),0%,VLOOKUP($A169,'Données projet'!$A$512:$I$532,7,0))</f>
        <v>0</v>
      </c>
      <c r="ON169" s="21" t="e">
        <f>EXP(-LN(2)/35)*ON168+(1-EXP(-LN(2)/35))/(LN(2)/35)*OJ169*OK169*VLOOKUP('Données projet'!$B$27,Paramètres!$A$1:$I$89,3,0)*0.475*44/12</f>
        <v>#N/A</v>
      </c>
      <c r="OO169" s="21" t="e">
        <f>EXP(-LN(2)/25)*OO168+(1-EXP(-LN(2)/25))/(LN(2)/25)*Calculateur!OJ169*Calculateur!OL169*VLOOKUP('Données projet'!$B$27,Paramètres!$A$1:$I$89,3,0)*0.475*44/12</f>
        <v>#N/A</v>
      </c>
      <c r="OP169" s="21" t="e">
        <f>EXP(-LN(2)/2)*OP168+(1-EXP(-LN(2)/2))/(LN(2)/2)*OJ169*OM169*VLOOKUP('Données projet'!$B$27,Paramètres!$A$1:$I$89,3,0)*0.475*44/12</f>
        <v>#N/A</v>
      </c>
      <c r="OQ169" s="22" t="e">
        <f t="shared" si="280"/>
        <v>#N/A</v>
      </c>
      <c r="OR169" s="74">
        <f>('Scénario référence'!$F$8+'Scénario référence'!$F$9+'Scénario référence'!$B$17+'Scénario référence'!$B$9+'Scénario référence'!$B$10)*70+IF((45+25*(1-EXP(-0.0175*$A169)))&lt;70,'Scénario référence'!$B$16*(45+25*(1-EXP(-0.0175*$A169))),70*'Scénario référence'!$B$16)+IF((32+38*(1-EXP(-0.0175*$A169)))&lt;70,'Scénario référence'!$B$18*(32+38*(1-EXP(-0.0175*$A169))),70*'Scénario référence'!$B$18)</f>
        <v>70</v>
      </c>
      <c r="OS169" s="12">
        <f>IF($A169&gt;30,10,('Scénario référence'!$B$16+'Scénario référence'!$B$17+'Scénario référence'!$B$18+'Scénario référence'!$B$9+'Scénario référence'!$B$10)*$A169*10/30+('Scénario référence'!$F$8+'Scénario référence'!$F$9)*10)</f>
        <v>10</v>
      </c>
      <c r="OT169" s="12" t="e">
        <f>VLOOKUP($A169,'Données projet'!$A$538:$I$558,2,0)</f>
        <v>#N/A</v>
      </c>
      <c r="OU169" s="12" t="e">
        <f>VLOOKUP($A169,'Données projet'!$A$538:$I$558,9,0)</f>
        <v>#N/A</v>
      </c>
      <c r="OV169" s="12">
        <f t="array" ref="OV169">INDEX(OU:OU,MIN(IF(ISNUMBER(OU169:OU365),ROW(OU169:OU365),"")))</f>
        <v>0</v>
      </c>
      <c r="OW169" s="12">
        <f>IF('Données projet'!$A$538&gt;35,OW168+OV169-PE168,IF($A169&lt;'Données projet'!$A$538,$CQ$205^$A169,IF($A169='Données projet'!$A$538,'Données projet'!$B$538,OW168+OV169-PE168)))</f>
        <v>0</v>
      </c>
      <c r="OX169" s="17" t="e">
        <f>OW169*VLOOKUP('Données projet'!$B$28,Paramètres!$A$1:$I$89,3,0)*VLOOKUP('Données projet'!$B$28,Paramètres!$A$1:$I$89,5,0)</f>
        <v>#N/A</v>
      </c>
      <c r="OY169" s="13" t="e">
        <f t="shared" si="324"/>
        <v>#N/A</v>
      </c>
      <c r="OZ169" s="14" t="e">
        <f t="shared" si="281"/>
        <v>#N/A</v>
      </c>
      <c r="PA169" s="59" t="e">
        <f t="shared" si="282"/>
        <v>#N/A</v>
      </c>
      <c r="PB169" s="20" t="e">
        <f ca="1">AVERAGE(OFFSET($PA$3,0,0,'Données projet'!$E$28+1,1))-AVERAGE(OFFSET($H$3,0,0,'Données projet'!$E$28+1,1))</f>
        <v>#N/A</v>
      </c>
      <c r="PC169" s="59" t="e">
        <f t="shared" si="325"/>
        <v>#N/A</v>
      </c>
      <c r="PD169" s="15">
        <f>IF(ISNA(VLOOKUP($A169,'Données projet'!$A$538:$I$558,3,0)),0,VLOOKUP($A169,'Données projet'!$A$538:$I$558,3,0))</f>
        <v>0</v>
      </c>
      <c r="PE169" s="15">
        <f>IF(ISNA(VLOOKUP($A169,'Données projet'!$A$538:$I$558,4,0)),0,VLOOKUP($A169,'Données projet'!$A$538:$I$558,4,0))</f>
        <v>0</v>
      </c>
      <c r="PF169" s="16">
        <f>IF(ISNA(VLOOKUP($A169,'Données projet'!$A$538:$I$558,5,0)),0%,VLOOKUP($A169,'Données projet'!$A$538:$I$558,5,0)*VLOOKUP('Données projet'!$B$28,Paramètres!$A$1:$I$89,7,0))</f>
        <v>0</v>
      </c>
      <c r="PG169" s="16">
        <f>IF(ISNA(VLOOKUP($A169,'Données projet'!$A$538:$I$558,6,0)),0%,VLOOKUP($A169,'Données projet'!$A$538:$I$558,6,0)*VLOOKUP('Données projet'!$B$28,Paramètres!$A$1:$I$89,7,0))</f>
        <v>0</v>
      </c>
      <c r="PH169" s="16">
        <f>IF(ISNA(VLOOKUP($A169,'Données projet'!$A$538:$I$558,7,0)),0%,VLOOKUP($A169,'Données projet'!$A$538:$I$558,7,0))</f>
        <v>0</v>
      </c>
      <c r="PI169" s="21" t="e">
        <f>EXP(-LN(2)/35)*PI168+(1-EXP(-LN(2)/35))/(LN(2)/35)*PE169*PF169*VLOOKUP('Données projet'!$B$28,Paramètres!$A$1:$I$89,3,0)*0.475*44/12</f>
        <v>#N/A</v>
      </c>
      <c r="PJ169" s="21" t="e">
        <f>EXP(-LN(2)/25)*PJ168+(1-EXP(-LN(2)/25))/(LN(2)/25)*Calculateur!PE169*Calculateur!PG169*VLOOKUP('Données projet'!$B$28,Paramètres!$A$1:$I$89,3,0)*0.475*44/12</f>
        <v>#N/A</v>
      </c>
      <c r="PK169" s="21" t="e">
        <f>EXP(-LN(2)/2)*PK168+(1-EXP(-LN(2)/2))/(LN(2)/2)*PE169*PH169*VLOOKUP('Données projet'!$B$28,Paramètres!$A$1:$I$89,3,0)*0.475*44/12</f>
        <v>#N/A</v>
      </c>
      <c r="PL169" s="22" t="e">
        <f t="shared" si="283"/>
        <v>#N/A</v>
      </c>
    </row>
    <row r="170" spans="1:428" x14ac:dyDescent="0.35">
      <c r="A170" s="10">
        <f t="shared" si="326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285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225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projet'!$A$45:$I$65,2,0)</f>
        <v>#N/A</v>
      </c>
      <c r="L170" s="12" t="e">
        <f>VLOOKUP(A170,'Données projet'!$A$45:$I$65,9,0)</f>
        <v>#N/A</v>
      </c>
      <c r="M170" s="12">
        <f t="array" ref="M170">INDEX(L:L,MIN(IF(ISNUMBER(L170:L366),ROW(L170:L366),"")))</f>
        <v>0</v>
      </c>
      <c r="N170" s="13">
        <f>IF('Données projet'!$A$46&gt;35,N169+M170-V169,IF(A170&lt;'Données projet'!$A$46,$K$205^A170,IF(A170='Données projet'!$A$46,'Données projet'!$B$46,N169+M170-V169)))</f>
        <v>-1.1368683772161603E-13</v>
      </c>
      <c r="O170" s="13">
        <f>N170*VLOOKUP('Données projet'!$B$9,Paramètres!$A$1:$I$89,3,0)*VLOOKUP('Données projet'!$B$9,Paramètres!$A$1:$I$89,5,0)</f>
        <v>-6.3550942286383367E-14</v>
      </c>
      <c r="P170" s="13" t="e">
        <f t="shared" si="286"/>
        <v>#NUM!</v>
      </c>
      <c r="Q170" s="20" t="e">
        <f t="shared" si="327"/>
        <v>#NUM!</v>
      </c>
      <c r="R170" s="59" t="e">
        <f t="shared" si="224"/>
        <v>#NUM!</v>
      </c>
      <c r="S170" s="59">
        <f ca="1">AVERAGE(OFFSET($R$3,0,0,'Données projet'!$E$9+1,1))-AVERAGE(OFFSET($H$3,0,0,'Données projet'!$E$9+1,1))</f>
        <v>274.57619581652199</v>
      </c>
      <c r="T170" s="59">
        <f t="shared" si="287"/>
        <v>366.15117322598775</v>
      </c>
      <c r="U170" s="15">
        <f>IF(ISNA(VLOOKUP(A170,'Données projet'!$A$45:$I$65,3,0)),0,VLOOKUP(A170,'Données projet'!$A$45:$I$65,3,0))</f>
        <v>0</v>
      </c>
      <c r="V170" s="15">
        <f>IF(ISNA(VLOOKUP(A170,'Données projet'!$A$45:$I$65,4,0)),0,VLOOKUP(A170,'Données projet'!$A$45:$I$65,4,0))</f>
        <v>0</v>
      </c>
      <c r="W170" s="16">
        <f>IF(ISNA(VLOOKUP(A170,'Données projet'!$A$45:$I$65,5,0)),0%,VLOOKUP(A170,'Données projet'!$A$45:$I$65,5,0)*VLOOKUP('Données projet'!$B$9,Paramètres!$A$1:$I$89,7,0))</f>
        <v>0</v>
      </c>
      <c r="X170" s="16">
        <f>IF(ISNA(VLOOKUP(A170,'Données projet'!$A$45:$I$65,6,0)),0%,VLOOKUP(A170,'Données projet'!$A$45:$I$65,6,0)*VLOOKUP('Données projet'!$B$9,Paramètres!$A$1:$I$89,7,0))</f>
        <v>0</v>
      </c>
      <c r="Y170" s="16">
        <f>IF(ISNA(VLOOKUP(A170,'Données projet'!$A$45:$I$65,7,0)),0%,VLOOKUP(A170,'Données projet'!$A$45:$I$65,7,0))</f>
        <v>0</v>
      </c>
      <c r="Z170" s="21">
        <f>EXP(-LN(2)/35)*Z169+(1-EXP(-LN(2)/35))/(LN(2)/35)*V170*W170*VLOOKUP('Données projet'!$B$9,Paramètres!$A$1:$I$89,3,0)*0.475*44/12</f>
        <v>24.664556297195787</v>
      </c>
      <c r="AA170" s="21">
        <f>EXP(-LN(2)/25)*AA169+(1-EXP(-LN(2)/25))/(LN(2)/25)*Calculateur!V170*Calculateur!X170*VLOOKUP('Données projet'!$B$9,Paramètres!$A$1:$I$89,3,0)*0.475*44/12</f>
        <v>2.5814636130854742</v>
      </c>
      <c r="AB170" s="21">
        <f>EXP(-LN(2)/2)*AB169+(1-EXP(-LN(2)/2))/(LN(2)/2)*V170*Y170*VLOOKUP('Données projet'!$B$9,Paramètres!$A$1:$I$89,3,0)*0.475*44/12</f>
        <v>4.7408332820731527E-16</v>
      </c>
      <c r="AC170" s="22">
        <f t="shared" si="328"/>
        <v>27.246019910281262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projet'!$A$71:$I$91,2,0)</f>
        <v>#N/A</v>
      </c>
      <c r="AG170" s="12" t="e">
        <f>VLOOKUP(A170,'Données projet'!$A$71:$I$91,9,0)</f>
        <v>#N/A</v>
      </c>
      <c r="AH170" s="12">
        <f t="array" ref="AH170">INDEX(AG:AG,MIN(IF(ISNUMBER(AG170:AG366),ROW(AG170:AG366),"")))</f>
        <v>0</v>
      </c>
      <c r="AI170" s="13">
        <f>IF('Données projet'!$A$72&gt;35,AI169+AH170-AQ169,IF(A170&lt;'Données projet'!$A$72,$AF$205^A170,IF(A170='Données projet'!$A$72,'Données projet'!$B$72,AI169+AH170-AQ169)))</f>
        <v>5.6843418860808015E-13</v>
      </c>
      <c r="AJ170" s="13">
        <f>AI170*VLOOKUP('Données projet'!$B$10,Paramètres!$A$1:$I$89,3,0)*VLOOKUP('Données projet'!$B$10,Paramètres!$A$1:$I$89,5,0)</f>
        <v>5.1431925385259092E-13</v>
      </c>
      <c r="AK170" s="13">
        <f t="shared" si="329"/>
        <v>6.3855359115685756E-12</v>
      </c>
      <c r="AL170" s="20">
        <f t="shared" si="330"/>
        <v>1.2017247746441865E-11</v>
      </c>
      <c r="AM170" s="59">
        <f t="shared" si="228"/>
        <v>293.33333333334531</v>
      </c>
      <c r="AN170" s="59">
        <f ca="1">AVERAGE(OFFSET($AM$3,0,0,'Données projet'!$E$10+1,1))-AVERAGE(OFFSET($H$3,0,0,'Données projet'!$E$10+1,1))</f>
        <v>270.87836509222456</v>
      </c>
      <c r="AO170" s="59">
        <f t="shared" si="289"/>
        <v>205.24998237949734</v>
      </c>
      <c r="AP170" s="15">
        <f>IF(ISNA(VLOOKUP(A170,'Données projet'!$A$71:$I$91,3,0)),0,VLOOKUP(A170,'Données projet'!$A$71:$I$91,3,0))</f>
        <v>0</v>
      </c>
      <c r="AQ170" s="15">
        <f>IF(ISNA(VLOOKUP(A170,'Données projet'!$A$71:$I$91,4,0)),0,VLOOKUP(A170,'Données projet'!$A$71:$I$91,4,0))</f>
        <v>0</v>
      </c>
      <c r="AR170" s="16">
        <f>IF(ISNA(VLOOKUP(A170,'Données projet'!$A$71:$I$91,5,0)),0%,VLOOKUP(A170,'Données projet'!$A$71:$I$91,5,0)*VLOOKUP('Données projet'!$B$10,Paramètres!$A$1:$I$89,7,0))</f>
        <v>0</v>
      </c>
      <c r="AS170" s="16">
        <f>IF(ISNA(VLOOKUP(A170,'Données projet'!$A$71:$I$91,6,0)),0%,VLOOKUP(A170,'Données projet'!$A$71:$I$91,6,0)*VLOOKUP('Données projet'!$B$10,Paramètres!$A$1:$I$89,7,0))</f>
        <v>0</v>
      </c>
      <c r="AT170" s="16">
        <f>IF(ISNA(VLOOKUP(A170,'Données projet'!$A$71:$I$91,7,0)),0%,VLOOKUP(A170,'Données projet'!$A$71:$I$91,7,0))</f>
        <v>0</v>
      </c>
      <c r="AU170" s="21">
        <f>EXP(-LN(2)/35)*AU169+(1-EXP(-LN(2)/35))/(LN(2)/35)*AQ170*AR170*VLOOKUP('Données projet'!$B$10,Paramètres!$A$1:$I$89,3,0)*0.475*44/12</f>
        <v>83.816446262495433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331"/>
        <v>83.816446262495433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projet'!$A$97:$I$117,2,0)</f>
        <v>#N/A</v>
      </c>
      <c r="BB170" s="12" t="e">
        <f>VLOOKUP(A170,'Données projet'!$A$97:$I$117,9,0)</f>
        <v>#N/A</v>
      </c>
      <c r="BC170" s="12">
        <f t="array" ref="BC170">INDEX(BB:BB,MIN(IF(ISNUMBER(BB170:BB366),ROW(BB170:BB366),"")))</f>
        <v>0</v>
      </c>
      <c r="BD170" s="12">
        <f>IF('Données projet'!$A$98&gt;35,BD169+BC170-BL169,IF(A170&lt;'Données projet'!$A$98,$BA$205^A170,IF(A170='Données projet'!$A$98,'Données projet'!$B$98,BD169+BC170-BL169)))</f>
        <v>-1.1368683772161603E-13</v>
      </c>
      <c r="BE170" s="13">
        <f>BD170*VLOOKUP('Données projet'!$B$11,Paramètres!$A$1:$I$89,3,0)*VLOOKUP('Données projet'!$B$11,Paramètres!$A$1:$I$89,5,0)</f>
        <v>-5.0249582272954292E-14</v>
      </c>
      <c r="BF170" s="13" t="e">
        <f t="shared" si="332"/>
        <v>#NUM!</v>
      </c>
      <c r="BG170" s="20" t="e">
        <f t="shared" si="333"/>
        <v>#NUM!</v>
      </c>
      <c r="BH170" s="59" t="e">
        <f t="shared" si="231"/>
        <v>#NUM!</v>
      </c>
      <c r="BI170" s="59">
        <f ca="1">AVERAGE(OFFSET($BH$3,0,0,'Données projet'!$E$11+1,1))-AVERAGE(OFFSET($H$3,0,0,'Données projet'!$E$11+1,1))</f>
        <v>211.31057120485542</v>
      </c>
      <c r="BJ170" s="59">
        <f t="shared" si="291"/>
        <v>283.33292006714777</v>
      </c>
      <c r="BK170" s="15">
        <f>IF(ISNA(VLOOKUP(A170,'Données projet'!$A$97:$I$117,3,0)),0,VLOOKUP(A170,'Données projet'!$A$97:$I$117,3,0))</f>
        <v>0</v>
      </c>
      <c r="BL170" s="15">
        <f>IF(ISNA(VLOOKUP(A170,'Données projet'!$A$97:$I$117,4,0)),0,VLOOKUP(A170,'Données projet'!$A$97:$I$117,4,0))</f>
        <v>0</v>
      </c>
      <c r="BM170" s="16">
        <f>IF(ISNA(VLOOKUP(A170,'Données projet'!$A$97:$I$117,5,0)),0%,VLOOKUP(A170,'Données projet'!$A$97:$I$117,5,0)*VLOOKUP('Données projet'!$B$11,Paramètres!$A$1:$I$89,7,0))</f>
        <v>0</v>
      </c>
      <c r="BN170" s="16">
        <f>IF(ISNA(VLOOKUP(A170,'Données projet'!$A$97:$I$117,6,0)),0%,VLOOKUP(A170,'Données projet'!$A$97:$I$117,6,0)*VLOOKUP('Données projet'!$B$11,Paramètres!$A$1:$I$89,7,0))</f>
        <v>0</v>
      </c>
      <c r="BO170" s="16">
        <f>IF(ISNA(VLOOKUP(A170,'Données projet'!$A$97:$I$117,7,0)),0%,VLOOKUP(A170,'Données projet'!$A$97:$I$117,7,0))</f>
        <v>0</v>
      </c>
      <c r="BP170" s="21">
        <f>EXP(-LN(2)/35)*BP169+(1-EXP(-LN(2)/35))/(LN(2)/35)*BL170*BM170*VLOOKUP('Données projet'!$B$11,Paramètres!$A$1:$I$89,3,0)*0.475*44/12</f>
        <v>19.502207304759473</v>
      </c>
      <c r="BQ170" s="21">
        <f>EXP(-LN(2)/25)*BQ169+(1-EXP(-LN(2)/25))/(LN(2)/25)*Calculateur!BL170*Calculateur!BN170*VLOOKUP('Données projet'!$B$11,Paramètres!$A$1:$I$89,3,0)*0.475*44/12</f>
        <v>2.0411572754629321</v>
      </c>
      <c r="BR170" s="21">
        <f>EXP(-LN(2)/2)*BR169+(1-EXP(-LN(2)/2))/(LN(2)/2)*BL170*BO170*VLOOKUP('Données projet'!$B$11,Paramètres!$A$1:$I$89,3,0)*0.475*44/12</f>
        <v>3.7485658509415618E-16</v>
      </c>
      <c r="BS170" s="22">
        <f t="shared" si="334"/>
        <v>21.543364580222406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projet'!$A$123:$I$143,2,0)</f>
        <v>#N/A</v>
      </c>
      <c r="BW170" s="12" t="e">
        <f>VLOOKUP(A170,'Données projet'!$A$123:$I$143,9,0)</f>
        <v>#N/A</v>
      </c>
      <c r="BX170" s="12">
        <f t="array" ref="BX170">INDEX(BW:BW,MIN(IF(ISNUMBER(BW170:BW366),ROW(BW170:BW366),"")))</f>
        <v>0</v>
      </c>
      <c r="BY170" s="12">
        <f>IF('Données projet'!$A$124&gt;35,BY169+BX170-CG169,IF(A170&lt;'Données projet'!$A$124,$BV$205^A170,IF(A170='Données projet'!$A$124,'Données projet'!$B$124,BY169+BX170-CG169)))</f>
        <v>0</v>
      </c>
      <c r="BZ170" s="13">
        <f>BY170*VLOOKUP('Données projet'!$B$12,Paramètres!$A$1:$I$89,3,0)*VLOOKUP('Données projet'!$B$12,Paramètres!$A$1:$I$89,5,0)</f>
        <v>0</v>
      </c>
      <c r="CA170" s="13" t="e">
        <f t="shared" si="335"/>
        <v>#NUM!</v>
      </c>
      <c r="CB170" s="20" t="e">
        <f t="shared" si="336"/>
        <v>#NUM!</v>
      </c>
      <c r="CC170" s="59" t="e">
        <f t="shared" si="234"/>
        <v>#NUM!</v>
      </c>
      <c r="CD170" s="59">
        <f ca="1">AVERAGE(OFFSET($CC$3,0,0,'Données projet'!$E$12+1,1))-AVERAGE(OFFSET($H$3,0,0,'Données projet'!$E$12+1,1))</f>
        <v>322.93502595881938</v>
      </c>
      <c r="CE170" s="59">
        <f t="shared" si="293"/>
        <v>302.67072119588164</v>
      </c>
      <c r="CF170" s="15">
        <f>IF(ISNA(VLOOKUP(A170,'Données projet'!$A$123:$I$143,3,0)),0,VLOOKUP(A170,'Données projet'!$A$123:$I$143,3,0))</f>
        <v>0</v>
      </c>
      <c r="CG170" s="15">
        <f>IF(ISNA(VLOOKUP(A170,'Données projet'!$A$123:$I$143,4,0)),0,VLOOKUP(A170,'Données projet'!$A$123:$I$143,4,0))</f>
        <v>0</v>
      </c>
      <c r="CH170" s="16">
        <f>IF(ISNA(VLOOKUP(A170,'Données projet'!$A$123:$I$143,5,0)),0%,VLOOKUP(A170,'Données projet'!$A$123:$I$143,5,0)*VLOOKUP('Données projet'!$B$12,Paramètres!$A$1:$I$89,7,0))</f>
        <v>0</v>
      </c>
      <c r="CI170" s="16">
        <f>IF(ISNA(VLOOKUP(A170,'Données projet'!$A$123:$I$143,6,0)),0%,VLOOKUP(A170,'Données projet'!$A$123:$I$143,6,0)*VLOOKUP('Données projet'!$B$12,Paramètres!$A$1:$I$89,7,0))</f>
        <v>0</v>
      </c>
      <c r="CJ170" s="16">
        <f>IF(ISNA(VLOOKUP(A170,'Données projet'!$A$123:$I$143,7,0)),0%,VLOOKUP(A170,'Données projet'!$A$123:$I$143,7,0))</f>
        <v>0</v>
      </c>
      <c r="CK170" s="21">
        <f>EXP(-LN(2)/35)*CK169+(1-EXP(-LN(2)/35))/(LN(2)/35)*CG170*CH170*VLOOKUP('Données projet'!$B$12,Paramètres!$A$1:$I$89,3,0)*0.475*44/12</f>
        <v>31.071728636979017</v>
      </c>
      <c r="CL170" s="21">
        <f>EXP(-LN(2)/25)*CL169+(1-EXP(-LN(2)/25))/(LN(2)/25)*Calculateur!CG170*Calculateur!CI170*VLOOKUP('Données projet'!$B$12,Paramètres!$A$1:$I$89,3,0)*0.475*44/12</f>
        <v>6.5329382611746851</v>
      </c>
      <c r="CM170" s="21">
        <f>EXP(-LN(2)/2)*CM169+(1-EXP(-LN(2)/2))/(LN(2)/2)*CG170*CJ170*VLOOKUP('Données projet'!$B$12,Paramètres!$A$1:$I$89,3,0)*0.475*44/12</f>
        <v>0</v>
      </c>
      <c r="CN170" s="22">
        <f t="shared" si="337"/>
        <v>37.604666898153702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projet'!$A$149:$I$169,2,0)</f>
        <v>#N/A</v>
      </c>
      <c r="CR170" s="12" t="e">
        <f>VLOOKUP(A170,'Données projet'!$A$149:$I$169,9,0)</f>
        <v>#N/A</v>
      </c>
      <c r="CS170" s="12">
        <f t="array" ref="CS170">INDEX(CR:CR,MIN(IF(ISNUMBER(CR170:CR366),ROW(CR170:CR366),"")))</f>
        <v>0</v>
      </c>
      <c r="CT170" s="12">
        <f>IF('Données projet'!$A$150&gt;35,CT169+CS170-DB169,IF(A170&lt;'Données projet'!$A$150,$CQ$205^A170,IF(A170='Données projet'!$A$150,'Données projet'!$B$150,CT169+CS170-DB169)))</f>
        <v>-4.5474735088646412E-13</v>
      </c>
      <c r="CU170" s="17">
        <f>CT170*VLOOKUP('Données projet'!$B$13,Paramètres!$A$1:$I$89,3,0)*VLOOKUP('Données projet'!$B$13,Paramètres!$A$1:$I$89,5,0)</f>
        <v>-4.6111381379887462E-13</v>
      </c>
      <c r="CV170" s="13" t="e">
        <f t="shared" si="338"/>
        <v>#NUM!</v>
      </c>
      <c r="CW170" s="20" t="e">
        <f t="shared" si="339"/>
        <v>#NUM!</v>
      </c>
      <c r="CX170" s="59" t="e">
        <f t="shared" si="237"/>
        <v>#NUM!</v>
      </c>
      <c r="CY170" s="59">
        <f ca="1">AVERAGE(OFFSET($CX$3,0,0,'Données projet'!$E$13+1,1))-AVERAGE(OFFSET($H$3,0,0,'Données projet'!$E$13+1,1))</f>
        <v>250.31277422753283</v>
      </c>
      <c r="CZ170" s="59">
        <f t="shared" si="295"/>
        <v>159.20429420478047</v>
      </c>
      <c r="DA170" s="15">
        <f>IF(ISNA(VLOOKUP(A170,'Données projet'!$A$149:$I$169,3,0)),0,VLOOKUP(A170,'Données projet'!$A$149:$I$169,3,0))</f>
        <v>0</v>
      </c>
      <c r="DB170" s="15">
        <f>IF(ISNA(VLOOKUP(A170,'Données projet'!$A$149:$I$169,4,0)),0,VLOOKUP(A170,'Données projet'!$A$149:$I$169,4,0))</f>
        <v>0</v>
      </c>
      <c r="DC170" s="16">
        <f>IF(ISNA(VLOOKUP(A170,'Données projet'!$A$149:$I$169,5,0)),0%,VLOOKUP(A170,'Données projet'!$A$149:$I$169,5,0)*VLOOKUP('Données projet'!$B$13,Paramètres!$A$1:$I$89,7,0))</f>
        <v>0</v>
      </c>
      <c r="DD170" s="16">
        <f>IF(ISNA(VLOOKUP(A170,'Données projet'!$A$149:$I$169,6,0)),0%,VLOOKUP(A170,'Données projet'!$A$149:$I$169,6,0)*VLOOKUP('Données projet'!$B$13,Paramètres!$A$1:$I$89,7,0))</f>
        <v>0</v>
      </c>
      <c r="DE170" s="16">
        <f>IF(ISNA(VLOOKUP(A170,'Données projet'!$A$149:$I$169,7,0)),0%,VLOOKUP(A170,'Données projet'!$A$149:$I$169,7,0))</f>
        <v>0</v>
      </c>
      <c r="DF170" s="21">
        <f>EXP(-LN(2)/35)*DF169+(1-EXP(-LN(2)/35))/(LN(2)/35)*DB170*DC170*VLOOKUP('Données projet'!$B$13,Paramètres!$A$1:$I$89,3,0)*0.475*44/12</f>
        <v>141.44776623209393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340"/>
        <v>141.44776623209393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projet'!$A$175:$I$195,2,0)</f>
        <v>#N/A</v>
      </c>
      <c r="DM170" s="12" t="e">
        <f>VLOOKUP(A170,'Données projet'!$A$175:$I$195,9,0)</f>
        <v>#N/A</v>
      </c>
      <c r="DN170" s="12">
        <f t="array" ref="DN170">INDEX(DM:DM,MIN(IF(ISNUMBER(DM170:DM366),ROW(DM170:DM366),"")))</f>
        <v>0</v>
      </c>
      <c r="DO170" s="12">
        <f>IF('Données projet'!$A$176&gt;35,DO169+DN170-DW169,IF(A170&lt;'Données projet'!$A$176,$DL$205^A170,IF(A170='Données projet'!$A$176,'Données projet'!$B$176,DO169+DN170-DW169)))</f>
        <v>-2.8421709430404007E-13</v>
      </c>
      <c r="DP170" s="17">
        <f>DO170*VLOOKUP('Données projet'!$B$14,Paramètres!$A$1:$I$89,3,0)*VLOOKUP('Données projet'!$B$14,Paramètres!$A$1:$I$89,5,0)</f>
        <v>-2.0838797354372215E-13</v>
      </c>
      <c r="DQ170" s="13" t="e">
        <f t="shared" si="341"/>
        <v>#NUM!</v>
      </c>
      <c r="DR170" s="20" t="e">
        <f t="shared" si="342"/>
        <v>#NUM!</v>
      </c>
      <c r="DS170" s="59" t="e">
        <f t="shared" si="240"/>
        <v>#NUM!</v>
      </c>
      <c r="DT170" s="59">
        <f ca="1">AVERAGE(OFFSET($DS$3,0,0,'Données projet'!$E$14+1,1))-AVERAGE(OFFSET($H$3,0,0,'Données projet'!$E$14+1,1))</f>
        <v>296.91321813251051</v>
      </c>
      <c r="DU170" s="59">
        <f t="shared" si="297"/>
        <v>291.0718079639509</v>
      </c>
      <c r="DV170" s="15">
        <f>IF(ISNA(VLOOKUP(A170,'Données projet'!$A$175:$I$195,3,0)),0,VLOOKUP(A170,'Données projet'!$A$175:$I$195,3,0))</f>
        <v>0</v>
      </c>
      <c r="DW170" s="15">
        <f>IF(ISNA(VLOOKUP(A170,'Données projet'!$A$175:$I$195,4,0)),0,VLOOKUP(A170,'Données projet'!$A$175:$I$195,4,0))</f>
        <v>0</v>
      </c>
      <c r="DX170" s="16">
        <f>IF(ISNA(VLOOKUP(A170,'Données projet'!$A$175:$I$195,5,0)),0%,VLOOKUP(A170,'Données projet'!$A$175:$I$195,5,0)*VLOOKUP('Données projet'!$B$14,Paramètres!$A$1:$I$89,7,0))</f>
        <v>0</v>
      </c>
      <c r="DY170" s="16">
        <f>IF(ISNA(VLOOKUP(A170,'Données projet'!$A$175:$I$195,6,0)),0%,VLOOKUP(A170,'Données projet'!$A$175:$I$195,6,0)*VLOOKUP('Données projet'!$B$14,Paramètres!$A$1:$I$89,7,0))</f>
        <v>0</v>
      </c>
      <c r="DZ170" s="16">
        <f>IF(ISNA(VLOOKUP(A170,'Données projet'!$A$175:$I$195,7,0)),0%,VLOOKUP(A170,'Données projet'!$A$175:$I$195,7,0))</f>
        <v>0</v>
      </c>
      <c r="EA170" s="21">
        <f>EXP(-LN(2)/35)*EA169+(1-EXP(-LN(2)/35))/(LN(2)/35)*DW170*DX170*VLOOKUP('Données projet'!$B$14,Paramètres!$A$1:$I$89,3,0)*0.475*44/12</f>
        <v>30.968538091749135</v>
      </c>
      <c r="EB170" s="21">
        <f>EXP(-LN(2)/25)*EB169+(1-EXP(-LN(2)/25))/(LN(2)/25)*Calculateur!DW170*Calculateur!DY170*VLOOKUP('Données projet'!$B$14,Paramètres!$A$1:$I$89,3,0)*0.475*44/12</f>
        <v>0.47991556968548926</v>
      </c>
      <c r="EC170" s="21">
        <f>EXP(-LN(2)/2)*EC169+(1-EXP(-LN(2)/2))/(LN(2)/2)*DW170*DZ170*VLOOKUP('Données projet'!$B$14,Paramètres!$A$1:$I$89,3,0)*0.475*44/12</f>
        <v>0</v>
      </c>
      <c r="ED170" s="22">
        <f t="shared" si="343"/>
        <v>31.448453661434623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projet'!$A$201:$I$221,2,0)</f>
        <v>#N/A</v>
      </c>
      <c r="EH170" s="12" t="e">
        <f>VLOOKUP(A170,'Données projet'!$A$201:$I$221,9,0)</f>
        <v>#N/A</v>
      </c>
      <c r="EI170" s="12">
        <f t="array" ref="EI170">INDEX(EH:EH,MIN(IF(ISNUMBER(EH170:EH366),ROW(EH170:EH366),"")))</f>
        <v>0</v>
      </c>
      <c r="EJ170" s="12">
        <f>IF('Données projet'!$A$202&gt;35,EJ169+EI170-ER169,IF(A170&lt;'Données projet'!$A$202,$EG$205^A170,IF(A170='Données projet'!$A$202,'Données projet'!$B$202,EJ169+EI170-ER169)))</f>
        <v>5.1159076974727213E-13</v>
      </c>
      <c r="EK170" s="17">
        <f>EJ170*VLOOKUP('Données projet'!$B$15,Paramètres!$A$1:$I$89,3,0)*VLOOKUP('Données projet'!$B$15,Paramètres!$A$1:$I$89,5,0)</f>
        <v>2.3942448024172334E-13</v>
      </c>
      <c r="EL170" s="13">
        <f t="shared" si="344"/>
        <v>3.2492669905861755E-12</v>
      </c>
      <c r="EM170" s="20">
        <f t="shared" si="345"/>
        <v>6.0761376450252565E-12</v>
      </c>
      <c r="EN170" s="59">
        <f t="shared" si="243"/>
        <v>293.3333333333394</v>
      </c>
      <c r="EO170" s="59">
        <f ca="1">AVERAGE(OFFSET($EN$3,0,0,'Données projet'!$E$15+1,1))-AVERAGE(OFFSET($H$3,0,0,'Données projet'!$E$15+1,1))</f>
        <v>147.64256291235483</v>
      </c>
      <c r="EP170" s="59">
        <f t="shared" si="299"/>
        <v>70.859031694091868</v>
      </c>
      <c r="EQ170" s="15">
        <f>IF(ISNA(VLOOKUP(A170,'Données projet'!$A$201:$I$221,3,0)),0,VLOOKUP(A170,'Données projet'!$A$201:$I$221,3,0))</f>
        <v>0</v>
      </c>
      <c r="ER170" s="15">
        <f>IF(ISNA(VLOOKUP(A170,'Données projet'!$A$201:$I$221,4,0)),0,VLOOKUP(A170,'Données projet'!$A$201:$I$221,4,0))</f>
        <v>0</v>
      </c>
      <c r="ES170" s="16">
        <f>IF(ISNA(VLOOKUP(A170,'Données projet'!$A$201:$I$221,5,0)),0%,VLOOKUP(A170,'Données projet'!$A$201:$I$221,5,0)*VLOOKUP('Données projet'!$B$15,Paramètres!$A$1:$I$89,7,0))</f>
        <v>0</v>
      </c>
      <c r="ET170" s="16">
        <f>IF(ISNA(VLOOKUP(A170,'Données projet'!$A$201:$I$221,6,0)),0%,VLOOKUP(A170,'Données projet'!$A$201:$I$221,6,0)*VLOOKUP('Données projet'!$B$15,Paramètres!$A$1:$I$89,7,0))</f>
        <v>0</v>
      </c>
      <c r="EU170" s="16">
        <f>IF(ISNA(VLOOKUP(A170,'Données projet'!$A$201:$I$221,7,0)),0%,VLOOKUP(A170,'Données projet'!$A$201:$I$221,7,0))</f>
        <v>0</v>
      </c>
      <c r="EV170" s="21">
        <f>EXP(-LN(2)/35)*EV169+(1-EXP(-LN(2)/35))/(LN(2)/35)*ER170*ES170*VLOOKUP('Données projet'!$B$15,Paramètres!$A$1:$I$89,3,0)*0.475*44/12</f>
        <v>42.396416799698038</v>
      </c>
      <c r="EW170" s="21">
        <f>EXP(-LN(2)/25)*EW169+(1-EXP(-LN(2)/25))/(LN(2)/25)*Calculateur!ER170*Calculateur!ET170*VLOOKUP('Données projet'!$B$15,Paramètres!$A$1:$I$89,3,0)*0.475*44/12</f>
        <v>6.6583450226216545</v>
      </c>
      <c r="EX170" s="21">
        <f>EXP(-LN(2)/2)*EX169+(1-EXP(-LN(2)/2))/(LN(2)/2)*ER170*EU170*VLOOKUP('Données projet'!$B$15,Paramètres!$A$1:$I$89,3,0)*0.475*44/12</f>
        <v>3.4177097165423182E-8</v>
      </c>
      <c r="EY170" s="22">
        <f t="shared" si="346"/>
        <v>49.054761856496789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projet'!$A$227:$I$247,2,0)</f>
        <v>#N/A</v>
      </c>
      <c r="FC170" s="12" t="e">
        <f>VLOOKUP(A170,'Données projet'!$A$227:$I$247,9,0)</f>
        <v>#N/A</v>
      </c>
      <c r="FD170" s="12">
        <f t="array" ref="FD170">INDEX(FC:FC,MIN(IF(ISNUMBER(FC170:FC366),ROW(FC170:FC366),"")))</f>
        <v>0</v>
      </c>
      <c r="FE170" s="12">
        <f>IF('Données projet'!$A$228&gt;35,FE169+FD170-FM169,IF(A170&lt;'Données projet'!$A$228,$FB$205^A170,IF(A170='Données projet'!$A$228,'Données projet'!$B$228,FE169+FD170-FM169)))</f>
        <v>8.5265128291212022E-14</v>
      </c>
      <c r="FF170" s="17">
        <f>FE170*VLOOKUP('Données projet'!$B$16,Paramètres!$A$1:$I$89,3,0)*VLOOKUP('Données projet'!$B$16,Paramètres!$A$1:$I$89,5,0)</f>
        <v>8.9119112089974823E-14</v>
      </c>
      <c r="FG170" s="13">
        <f t="shared" si="347"/>
        <v>1.3568952080113142E-12</v>
      </c>
      <c r="FH170" s="20">
        <f t="shared" si="348"/>
        <v>2.5184749408430782E-12</v>
      </c>
      <c r="FI170" s="59">
        <f t="shared" si="246"/>
        <v>293.33333333333582</v>
      </c>
      <c r="FJ170" s="59">
        <f ca="1">AVERAGE(OFFSET($FI$3,0,0,'Données projet'!$E$16+1,1))-AVERAGE(OFFSET($H$3,0,0,'Données projet'!$E$16+1,1))</f>
        <v>259.03906550253788</v>
      </c>
      <c r="FK170" s="59">
        <f t="shared" si="301"/>
        <v>235.54542903570831</v>
      </c>
      <c r="FL170" s="15">
        <f>IF(ISNA(VLOOKUP(A170,'Données projet'!$A$227:$I$247,3,0)),0,VLOOKUP(A170,'Données projet'!$A$227:$I$247,3,0))</f>
        <v>0</v>
      </c>
      <c r="FM170" s="15">
        <f>IF(ISNA(VLOOKUP(A170,'Données projet'!$A$227:$I$247,4,0)),0,VLOOKUP(A170,'Données projet'!$A$227:$I$247,4,0))</f>
        <v>0</v>
      </c>
      <c r="FN170" s="16">
        <f>IF(ISNA(VLOOKUP(A170,'Données projet'!$A$227:$I$247,5,0)),0%,VLOOKUP(A170,'Données projet'!$A$227:$I$247,5,0)*VLOOKUP('Données projet'!$B$16,Paramètres!$A$1:$I$89,7,0))</f>
        <v>0</v>
      </c>
      <c r="FO170" s="16">
        <f>IF(ISNA(VLOOKUP(A170,'Données projet'!$A$227:$I$247,6,0)),0%,VLOOKUP(A170,'Données projet'!$A$227:$I$247,6,0)*VLOOKUP('Données projet'!$B$16,Paramètres!$A$1:$I$89,7,0))</f>
        <v>0</v>
      </c>
      <c r="FP170" s="16">
        <f>IF(ISNA(VLOOKUP(A170,'Données projet'!$A$227:$I$247,7,0)),0%,VLOOKUP(A170,'Données projet'!$A$227:$I$247,7,0))</f>
        <v>0</v>
      </c>
      <c r="FQ170" s="21">
        <f>EXP(-LN(2)/35)*FQ169+(1-EXP(-LN(2)/35))/(LN(2)/35)*FM170*FN170*VLOOKUP('Données projet'!$B$16,Paramètres!$A$1:$I$89,3,0)*0.475*44/12</f>
        <v>18.71262617214391</v>
      </c>
      <c r="FR170" s="21">
        <f>EXP(-LN(2)/25)*FR169+(1-EXP(-LN(2)/25))/(LN(2)/25)*Calculateur!FM170*Calculateur!FO170*VLOOKUP('Données projet'!$B$16,Paramètres!$A$1:$I$89,3,0)*0.475*44/12</f>
        <v>9.1597165057862533</v>
      </c>
      <c r="FS170" s="21">
        <f>EXP(-LN(2)/2)*FS169+(1-EXP(-LN(2)/2))/(LN(2)/2)*FM170*FP170*VLOOKUP('Données projet'!$B$16,Paramètres!$A$1:$I$89,3,0)*0.475*44/12</f>
        <v>0</v>
      </c>
      <c r="FT170" s="22">
        <f t="shared" si="349"/>
        <v>27.872342677930163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projet'!$A$253:$I$273,2,0)</f>
        <v>#N/A</v>
      </c>
      <c r="FX170" s="12" t="e">
        <f>VLOOKUP(A170,'Données projet'!$A$253:$I$273,9,0)</f>
        <v>#N/A</v>
      </c>
      <c r="FY170" s="12">
        <f t="array" ref="FY170">INDEX(FX:FX,MIN(IF(ISNUMBER(FX170:FX366),ROW(FX170:FX366),"")))</f>
        <v>0</v>
      </c>
      <c r="FZ170" s="12">
        <f>IF('Données projet'!$A$254&gt;35,FZ169+FY170-GH169,IF(A170&lt;'Données projet'!$A$254,$FW$205^A170,IF(A170='Données projet'!$A$254,'Données projet'!$B$254,FZ169+FY170-GH169)))</f>
        <v>-1.7053025658242404E-13</v>
      </c>
      <c r="GA170" s="17">
        <f>FZ170*VLOOKUP('Données projet'!$B$17,Paramètres!$A$1:$I$89,3,0)*VLOOKUP('Données projet'!$B$17,Paramètres!$A$1:$I$89,5,0)</f>
        <v>-1.4897523215040567E-13</v>
      </c>
      <c r="GB170" s="13" t="e">
        <f t="shared" si="350"/>
        <v>#NUM!</v>
      </c>
      <c r="GC170" s="20" t="e">
        <f t="shared" si="351"/>
        <v>#NUM!</v>
      </c>
      <c r="GD170" s="59" t="e">
        <f t="shared" si="249"/>
        <v>#NUM!</v>
      </c>
      <c r="GE170" s="59">
        <f ca="1">AVERAGE(OFFSET($GD$3,0,0,'Données projet'!$E$17+1,1))-AVERAGE(OFFSET($H$3,0,0,'Données projet'!$E$17+1,1))</f>
        <v>245.1983232777614</v>
      </c>
      <c r="GF170" s="59">
        <f t="shared" si="303"/>
        <v>242.34010522344573</v>
      </c>
      <c r="GG170" s="15">
        <f>IF(ISNA(VLOOKUP(A170,'Données projet'!$A$253:$I$273,3,0)),0,VLOOKUP(A170,'Données projet'!$A$253:$I$273,3,0))</f>
        <v>0</v>
      </c>
      <c r="GH170" s="15">
        <f>IF(ISNA(VLOOKUP(A170,'Données projet'!$A$253:$I$273,4,0)),0,VLOOKUP(A170,'Données projet'!$A$253:$I$273,4,0))</f>
        <v>0</v>
      </c>
      <c r="GI170" s="16">
        <f>IF(ISNA(VLOOKUP(A170,'Données projet'!$A$253:$I$273,5,0)),0%,VLOOKUP(A170,'Données projet'!$A$253:$I$273,5,0)*VLOOKUP('Données projet'!$B$17,Paramètres!$A$1:$I$89,7,0))</f>
        <v>0</v>
      </c>
      <c r="GJ170" s="16">
        <f>IF(ISNA(VLOOKUP(A170,'Données projet'!$A$253:$I$273,6,0)),0%,VLOOKUP(A170,'Données projet'!$A$253:$I$273,6,0)*VLOOKUP('Données projet'!$B$17,Paramètres!$A$1:$I$89,7,0))</f>
        <v>0</v>
      </c>
      <c r="GK170" s="16">
        <f>IF(ISNA(VLOOKUP(A170,'Données projet'!$A$253:$I$273,7,0)),0%,VLOOKUP(A170,'Données projet'!$A$253:$I$273,7,0))</f>
        <v>0</v>
      </c>
      <c r="GL170" s="21">
        <f>EXP(-LN(2)/35)*GL169+(1-EXP(-LN(2)/35))/(LN(2)/35)*GH170*GI170*VLOOKUP('Données projet'!$B$17,Paramètres!$A$1:$I$89,3,0)*0.475*44/12</f>
        <v>21.999259480645655</v>
      </c>
      <c r="GM170" s="21">
        <f>EXP(-LN(2)/25)*GM169+(1-EXP(-LN(2)/25))/(LN(2)/25)*Calculateur!GH170*Calculateur!GJ170*VLOOKUP('Données projet'!$B$17,Paramètres!$A$1:$I$89,3,0)*0.475*44/12</f>
        <v>1.9517124417232417</v>
      </c>
      <c r="GN170" s="21">
        <f>EXP(-LN(2)/2)*GN169+(1-EXP(-LN(2)/2))/(LN(2)/2)*GH170*GK170*VLOOKUP('Données projet'!$B$17,Paramètres!$A$1:$I$89,3,0)*0.475*44/12</f>
        <v>0</v>
      </c>
      <c r="GO170" s="21">
        <f t="shared" si="352"/>
        <v>23.950971922368897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projet'!$A$279:$I$299,2,0)</f>
        <v>#N/A</v>
      </c>
      <c r="GS170" s="12" t="e">
        <f>VLOOKUP(A170,'Données projet'!$A$279:$I$299,9,0)</f>
        <v>#N/A</v>
      </c>
      <c r="GT170" s="12">
        <f t="array" ref="GT170">INDEX(GS:GS,MIN(IF(ISNUMBER(GS170:GS366),ROW(GS170:GS366),"")))</f>
        <v>0</v>
      </c>
      <c r="GU170" s="12">
        <f>IF('Données projet'!$A$280&gt;35,GU169+GT170-HC169,IF(A170&lt;'Données projet'!$A$280,$GR$205^A170,IF(A170='Données projet'!$A$280,'Données projet'!$B$280,GU169+GT170-HC169)))</f>
        <v>-1.1368683772161603E-13</v>
      </c>
      <c r="GV170" s="17">
        <f>GU170*VLOOKUP('Données projet'!$B$18,Paramètres!$A$1:$I$89,3,0)*VLOOKUP('Données projet'!$B$18,Paramètres!$A$1:$I$89,5,0)</f>
        <v>-4.5815795601811263E-14</v>
      </c>
      <c r="GW170" s="13" t="e">
        <f t="shared" si="353"/>
        <v>#NUM!</v>
      </c>
      <c r="GX170" s="20" t="e">
        <f t="shared" si="354"/>
        <v>#NUM!</v>
      </c>
      <c r="GY170" s="59" t="e">
        <f t="shared" si="252"/>
        <v>#NUM!</v>
      </c>
      <c r="GZ170" s="59">
        <f ca="1">AVERAGE(OFFSET($GY$3,0,0,'Données projet'!$E$18+1,1))-AVERAGE(OFFSET($H$3,0,0,'Données projet'!$E$18+1,1))</f>
        <v>324.36162935850876</v>
      </c>
      <c r="HA170" s="59">
        <f t="shared" si="305"/>
        <v>265.23571072429735</v>
      </c>
      <c r="HB170" s="15">
        <f>IF(ISNA(VLOOKUP(A170,'Données projet'!$A$279:$I$299,3,0)),0,VLOOKUP(A170,'Données projet'!$A$279:$I$299,3,0))</f>
        <v>0</v>
      </c>
      <c r="HC170" s="15">
        <f>IF(ISNA(VLOOKUP(A170,'Données projet'!$A$279:$I$299,4,0)),0,VLOOKUP(A170,'Données projet'!$A$279:$I$299,4,0))</f>
        <v>0</v>
      </c>
      <c r="HD170" s="16">
        <f>IF(ISNA(VLOOKUP(A170,'Données projet'!$A$279:$I$299,5,0)),0%,VLOOKUP(A170,'Données projet'!$A$279:$I$299,5,0)*VLOOKUP('Données projet'!$B$18,Paramètres!$A$1:$I$89,7,0))</f>
        <v>0</v>
      </c>
      <c r="HE170" s="16">
        <f>IF(ISNA(VLOOKUP(A170,'Données projet'!$A$279:$I$299,6,0)),0%,VLOOKUP(A170,'Données projet'!$A$279:$I$299,6,0)*VLOOKUP('Données projet'!$B$18,Paramètres!$A$1:$I$89,7,0))</f>
        <v>0</v>
      </c>
      <c r="HF170" s="16">
        <f>IF(ISNA(VLOOKUP($A170,'Données projet'!$A$279:$I$299,7,0)),0%,VLOOKUP($A170,'Données projet'!$A$279:$I$299,7,0))</f>
        <v>0</v>
      </c>
      <c r="HG170" s="21">
        <f>EXP(-LN(2)/35)*HG169+(1-EXP(-LN(2)/35))/(LN(2)/35)*HC170*HD170*VLOOKUP('Données projet'!$B$18,Paramètres!$A$1:$I$89,3,0)*0.475*44/12</f>
        <v>42.156332185154888</v>
      </c>
      <c r="HH170" s="21">
        <f>EXP(-LN(2)/25)*HH169+(1-EXP(-LN(2)/25))/(LN(2)/25)*Calculateur!HC170*Calculateur!HE170*VLOOKUP('Données projet'!$B$18,Paramètres!$A$1:$I$89,3,0)*0.475*44/12</f>
        <v>2.1706533303003281</v>
      </c>
      <c r="HI170" s="21">
        <f>EXP(-LN(2)/2)*HI169+(1-EXP(-LN(2)/2))/(LN(2)/2)*HC170*HF170*VLOOKUP('Données projet'!$B$18,Paramètres!$A$1:$I$89,3,0)*0.475*44/12</f>
        <v>6.8709936678329167E-13</v>
      </c>
      <c r="HJ170" s="22">
        <f t="shared" si="355"/>
        <v>44.326985515455902</v>
      </c>
      <c r="HK170" s="74">
        <f>('Scénario référence'!$F$8+'Scénario référence'!$F$9+'Scénario référence'!$B$17+'Scénario référence'!$B$9+'Scénario référence'!$B$10)*70+IF((45+25*(1-EXP(-0.0175*$A170)))&lt;70,'Scénario référence'!$B$16*(45+25*(1-EXP(-0.0175*$A170))),70*'Scénario référence'!$B$16)+IF((32+38*(1-EXP(-0.0175*$A170)))&lt;70,'Scénario référence'!$B$18*(32+38*(1-EXP(-0.0175*$A170))),70*'Scénario référence'!$B$18)</f>
        <v>70</v>
      </c>
      <c r="HL170" s="12">
        <f>IF($A170&gt;30,10,('Scénario référence'!$B$16+'Scénario référence'!$B$17+'Scénario référence'!$B$18+'Scénario référence'!$B$9+'Scénario référence'!$B$10)*$A170*10/30+('Scénario référence'!$F$8+'Scénario référence'!$F$9)*10)</f>
        <v>10</v>
      </c>
      <c r="HM170" s="12" t="e">
        <f>VLOOKUP($A170,'Données projet'!$A$304:$I$324,2,0)</f>
        <v>#N/A</v>
      </c>
      <c r="HN170" s="12" t="e">
        <f>VLOOKUP($A170,'Données projet'!$A$304:$I$324,9,0)</f>
        <v>#N/A</v>
      </c>
      <c r="HO170" s="12">
        <f t="array" ref="HO170">INDEX(HN:HN,MIN(IF(ISNUMBER(HN170:HN366),ROW(HN170:HN366),"")))</f>
        <v>0</v>
      </c>
      <c r="HP170" s="12">
        <f>IF('Données projet'!$A$304&gt;35,HP169+HO170-HX169,IF($A170&lt;'Données projet'!$A$304,$CQ$205^$A170,IF($A170='Données projet'!$A$304,'Données projet'!$B$304,HP169+HO170-HX169)))</f>
        <v>0</v>
      </c>
      <c r="HQ170" s="17">
        <f>HP170*VLOOKUP('Données projet'!$B$19,Paramètres!$A$1:$I$89,3,0)*VLOOKUP('Données projet'!$B$19,Paramètres!$A$1:$I$89,5,0)</f>
        <v>0</v>
      </c>
      <c r="HR170" s="13" t="e">
        <f t="shared" si="306"/>
        <v>#NUM!</v>
      </c>
      <c r="HS170" s="14" t="e">
        <f t="shared" si="254"/>
        <v>#NUM!</v>
      </c>
      <c r="HT170" s="59" t="e">
        <f t="shared" si="255"/>
        <v>#NUM!</v>
      </c>
      <c r="HU170" s="59">
        <f ca="1">AVERAGE(OFFSET(HT$3,0,0,'Données projet'!$E$19+1,1))-AVERAGE(OFFSET($H$3,0,0,'Données projet'!$E$19+1,1))</f>
        <v>91.60721429656013</v>
      </c>
      <c r="HV170" s="59">
        <f t="shared" si="307"/>
        <v>258.94957804210856</v>
      </c>
      <c r="HW170" s="15">
        <f>IF(ISNA(VLOOKUP($A170,'Données projet'!$A$304:$I$324,3,0)),0,VLOOKUP($A170,'Données projet'!$A$304:$I$324,3,0))</f>
        <v>0</v>
      </c>
      <c r="HX170" s="15">
        <f>IF(ISNA(VLOOKUP($A170,'Données projet'!$A$304:$I$324,4,0)),0,VLOOKUP($A170,'Données projet'!$A$304:$I$324,4,0))</f>
        <v>0</v>
      </c>
      <c r="HY170" s="16">
        <f>IF(ISNA(VLOOKUP($A170,'Données projet'!$A$304:$I$324,5,0)),0%,VLOOKUP($A170,'Données projet'!$A$304:$I$324,5,0)*VLOOKUP('Données projet'!$B$19,Paramètres!$A$1:$I$89,7,0))</f>
        <v>0</v>
      </c>
      <c r="HZ170" s="16">
        <f>IF(ISNA(VLOOKUP($A170,'Données projet'!$A$304:$I$324,6,0)),0%,VLOOKUP($A170,'Données projet'!$A$304:$I$324,6,0)*VLOOKUP('Données projet'!$B$19,Paramètres!$A$1:$I$89,7,0))</f>
        <v>0</v>
      </c>
      <c r="IA170" s="16">
        <f>IF(ISNA(VLOOKUP($A170,'Données projet'!$A$304:$I$324,7,0)),0%,VLOOKUP($A170,'Données projet'!$A$304:$I$324,7,0))</f>
        <v>0</v>
      </c>
      <c r="IB170" s="21">
        <f>EXP(-LN(2)/35)*IB169+(1-EXP(-LN(2)/35))/(LN(2)/35)*HX170*HY170*VLOOKUP('Données projet'!$B$19,Paramètres!$A$1:$I$89,3,0)*0.475*44/12</f>
        <v>3.2720317948849109</v>
      </c>
      <c r="IC170" s="21">
        <f>EXP(-LN(2)/25)*IC169+(1-EXP(-LN(2)/25))/(LN(2)/25)*Calculateur!HX170*Calculateur!HZ170*VLOOKUP('Données projet'!$B$19,Paramètres!$A$1:$I$89,3,0)*0.475*44/12</f>
        <v>0.21795507372678724</v>
      </c>
      <c r="ID170" s="21">
        <f>EXP(-LN(2)/2)*ID169+(1-EXP(-LN(2)/2))/(LN(2)/2)*HX170*IA170*VLOOKUP('Données projet'!$B$19,Paramètres!$A$1:$I$89,3,0)*0.475*44/12</f>
        <v>1.3724229348888948E-21</v>
      </c>
      <c r="IE170" s="22">
        <f t="shared" si="256"/>
        <v>3.4899868686116982</v>
      </c>
      <c r="IF170" s="74">
        <f>('Scénario référence'!$F$8+'Scénario référence'!$F$9+'Scénario référence'!$B$17+'Scénario référence'!$B$9+'Scénario référence'!$B$10)*70+IF((45+25*(1-EXP(-0.0175*$A170)))&lt;70,'Scénario référence'!$B$16*(45+25*(1-EXP(-0.0175*$A170))),70*'Scénario référence'!$B$16)+IF((32+38*(1-EXP(-0.0175*$A170)))&lt;70,'Scénario référence'!$B$18*(32+38*(1-EXP(-0.0175*$A170))),70*'Scénario référence'!$B$18)</f>
        <v>70</v>
      </c>
      <c r="IG170" s="12">
        <f>IF($A170&gt;30,10,('Scénario référence'!$B$16+'Scénario référence'!$B$17+'Scénario référence'!$B$18+'Scénario référence'!$B$9+'Scénario référence'!$B$10)*$A170*10/30+('Scénario référence'!$F$8+'Scénario référence'!$F$9)*10)</f>
        <v>10</v>
      </c>
      <c r="IH170" s="12" t="e">
        <f>VLOOKUP($A170,'Données projet'!$A$330:$I$350,2,0)</f>
        <v>#N/A</v>
      </c>
      <c r="II170" s="12" t="e">
        <f>VLOOKUP($A170,'Données projet'!$A$330:$I$350,9,0)</f>
        <v>#N/A</v>
      </c>
      <c r="IJ170" s="12">
        <f t="array" ref="IJ170">INDEX(II:II,MIN(IF(ISNUMBER(II170:II366),ROW(II170:II366),"")))</f>
        <v>0</v>
      </c>
      <c r="IK170" s="12">
        <f>IF('Données projet'!$A$330&gt;35,IK169+IJ170-IS169,IF($A170&lt;'Données projet'!$A$330,$CQ$205^$A170,IF($A170='Données projet'!$A$330,'Données projet'!$B$330,IK169+IJ170-IS169)))</f>
        <v>0</v>
      </c>
      <c r="IL170" s="17">
        <f>IK170*VLOOKUP('Données projet'!$B$20,Paramètres!$A$1:$I$89,3,0)*VLOOKUP('Données projet'!$B$20,Paramètres!$A$1:$I$89,5,0)</f>
        <v>0</v>
      </c>
      <c r="IM170" s="13" t="e">
        <f t="shared" si="308"/>
        <v>#NUM!</v>
      </c>
      <c r="IN170" s="20" t="e">
        <f t="shared" si="257"/>
        <v>#NUM!</v>
      </c>
      <c r="IO170" s="59" t="e">
        <f t="shared" si="258"/>
        <v>#NUM!</v>
      </c>
      <c r="IP170" s="59">
        <f ca="1">AVERAGE(OFFSET(IO$3,0,0,'Données projet'!$E$20+1,1))-AVERAGE(OFFSET($H$3,0,0,'Données projet'!$E$20+1,1))</f>
        <v>91.60721429656013</v>
      </c>
      <c r="IQ170" s="59">
        <f t="shared" si="309"/>
        <v>258.94957804210856</v>
      </c>
      <c r="IR170" s="15">
        <f>IF(ISNA(VLOOKUP($A170,'Données projet'!$A$330:$I$350,3,0)),0,VLOOKUP($A170,'Données projet'!$A$330:$I$350,3,0))</f>
        <v>0</v>
      </c>
      <c r="IS170" s="15">
        <f>IF(ISNA(VLOOKUP($A170,'Données projet'!$A$330:$I$350,4,0)),0,VLOOKUP($A170,'Données projet'!$A$330:$I$350,4,0))</f>
        <v>0</v>
      </c>
      <c r="IT170" s="16">
        <f>IF(ISNA(VLOOKUP($A170,'Données projet'!$A$330:$I$350,5,0)),0%,VLOOKUP($A170,'Données projet'!$A$330:$I$350,5,0)*VLOOKUP('Données projet'!$B$20,Paramètres!$A$1:$I$89,7,0))</f>
        <v>0</v>
      </c>
      <c r="IU170" s="16">
        <f>IF(ISNA(VLOOKUP($A170,'Données projet'!$A$330:$I$350,6,0)),0%,VLOOKUP($A170,'Données projet'!$A$330:$I$350,6,0)*VLOOKUP('Données projet'!$B$20,Paramètres!$A$1:$I$89,7,0))</f>
        <v>0</v>
      </c>
      <c r="IV170" s="16">
        <f>IF(ISNA(VLOOKUP($A170,'Données projet'!$A$330:$I$350,7,0)),0%,VLOOKUP($A170,'Données projet'!$A$330:$I$350,7,0))</f>
        <v>0</v>
      </c>
      <c r="IW170" s="21">
        <f>EXP(-LN(2)/35)*IW169+(1-EXP(-LN(2)/35))/(LN(2)/35)*IS170*IT170*VLOOKUP('Données projet'!$B$20,Paramètres!$A$1:$I$89,3,0)*0.475*44/12</f>
        <v>3.2720317948849109</v>
      </c>
      <c r="IX170" s="21">
        <f>EXP(-LN(2)/25)*IX169+(1-EXP(-LN(2)/25))/(LN(2)/25)*Calculateur!IS170*Calculateur!IU170*VLOOKUP('Données projet'!$B$20,Paramètres!$A$1:$I$89,3,0)*0.475*44/12</f>
        <v>0.21795507372678724</v>
      </c>
      <c r="IY170" s="21">
        <f>EXP(-LN(2)/2)*IY169+(1-EXP(-LN(2)/2))/(LN(2)/2)*IS170*IV170*VLOOKUP('Données projet'!$B$20,Paramètres!$A$1:$I$89,3,0)*0.475*44/12</f>
        <v>1.3724229348888948E-21</v>
      </c>
      <c r="IZ170" s="22">
        <f t="shared" si="259"/>
        <v>3.4899868686116982</v>
      </c>
      <c r="JA170" s="74">
        <f>('Scénario référence'!$F$8+'Scénario référence'!$F$9+'Scénario référence'!$B$17+'Scénario référence'!$B$9+'Scénario référence'!$B$10)*70+IF((45+25*(1-EXP(-0.0175*$A170)))&lt;70,'Scénario référence'!$B$16*(45+25*(1-EXP(-0.0175*$A170))),70*'Scénario référence'!$B$16)+IF((32+38*(1-EXP(-0.0175*$A170)))&lt;70,'Scénario référence'!$B$18*(32+38*(1-EXP(-0.0175*$A170))),70*'Scénario référence'!$B$18)</f>
        <v>70</v>
      </c>
      <c r="JB170" s="12">
        <f>IF($A170&gt;30,10,('Scénario référence'!$B$16+'Scénario référence'!$B$17+'Scénario référence'!$B$18+'Scénario référence'!$B$9+'Scénario référence'!$B$10)*$A170*10/30+('Scénario référence'!$F$8+'Scénario référence'!$F$9)*10)</f>
        <v>10</v>
      </c>
      <c r="JC170" s="12" t="e">
        <f>VLOOKUP($A170,'Données projet'!$A$356:$I$376,2,0)</f>
        <v>#N/A</v>
      </c>
      <c r="JD170" s="12" t="e">
        <f>VLOOKUP($A170,'Données projet'!$A$356:$I$376,9,0)</f>
        <v>#N/A</v>
      </c>
      <c r="JE170" s="12">
        <f t="array" ref="JE170">INDEX(JD:JD,MIN(IF(ISNUMBER(JD170:JD366),ROW(JD170:JD366),"")))</f>
        <v>0</v>
      </c>
      <c r="JF170" s="12">
        <f>IF('Données projet'!$A$356&gt;35,JF169+JE170-JN169,IF($A170&lt;'Données projet'!$A$356,$CQ$205^$A170,IF($A170='Données projet'!$A$356,'Données projet'!$B$356,JF169+JE170-JN169)))</f>
        <v>-1.3073986337985843E-12</v>
      </c>
      <c r="JG170" s="17">
        <f>JF170*VLOOKUP('Données projet'!$B$21,Paramètres!$A$1:$I$89,3,0)*VLOOKUP('Données projet'!$B$21,Paramètres!$A$1:$I$89,5,0)</f>
        <v>-1.0605617717374117E-12</v>
      </c>
      <c r="JH170" s="13" t="e">
        <f t="shared" si="310"/>
        <v>#NUM!</v>
      </c>
      <c r="JI170" s="20" t="e">
        <f t="shared" si="260"/>
        <v>#NUM!</v>
      </c>
      <c r="JJ170" s="59" t="e">
        <f t="shared" si="261"/>
        <v>#NUM!</v>
      </c>
      <c r="JK170" s="59">
        <f ca="1">AVERAGE(OFFSET($JJ$3,0,0,'Données projet'!$E$22+1,1))-AVERAGE(OFFSET($H$3,0,0,'Données projet'!$E$22+1,1))</f>
        <v>353.35574633294613</v>
      </c>
      <c r="JL170" s="59">
        <f t="shared" si="311"/>
        <v>170.36796666474726</v>
      </c>
      <c r="JM170" s="15">
        <f>IF(ISNA(VLOOKUP($A170,'Données projet'!$A$356:$I$376,3,0)),0,VLOOKUP($A170,'Données projet'!$A$356:$I$376,3,0))</f>
        <v>0</v>
      </c>
      <c r="JN170" s="15">
        <f>IF(ISNA(VLOOKUP($A170,'Données projet'!$A$356:$I$376,4,0)),0,VLOOKUP($A170,'Données projet'!$A$356:$I$376,4,0))</f>
        <v>0</v>
      </c>
      <c r="JO170" s="16">
        <f>IF(ISNA(VLOOKUP($A170,'Données projet'!$A$356:$I$376,5,0)),0%,VLOOKUP($A170,'Données projet'!$A$356:$I$376,5,0)*VLOOKUP('Données projet'!$B$21,Paramètres!$A$1:$I$89,7,0))</f>
        <v>0</v>
      </c>
      <c r="JP170" s="16">
        <f>IF(ISNA(VLOOKUP($A170,'Données projet'!$A$356:$I$376,6,0)),0%,VLOOKUP($A170,'Données projet'!$A$356:$I$376,6,0)*VLOOKUP('Données projet'!$B$21,Paramètres!$A$1:$I$89,7,0))</f>
        <v>0</v>
      </c>
      <c r="JQ170" s="16">
        <f>IF(ISNA(VLOOKUP($A170,'Données projet'!$A$356:$I$376,7,0)),0%,VLOOKUP($A170,'Données projet'!$A$356:$I$376,7,0))</f>
        <v>0</v>
      </c>
      <c r="JR170" s="21">
        <f>EXP(-LN(2)/35)*JR169+(1-EXP(-LN(2)/35))/(LN(2)/35)*JN170*JO170*VLOOKUP('Données projet'!$B$21,Paramètres!$A$1:$I$89,3,0)*0.475*44/12</f>
        <v>52.455548680758696</v>
      </c>
      <c r="JS170" s="21">
        <f>EXP(-LN(2)/25)*JS169+(1-EXP(-LN(2)/25))/(LN(2)/25)*Calculateur!JN170*Calculateur!JP170*VLOOKUP('Données projet'!$B$21,Paramètres!$A$1:$I$89,3,0)*0.475*44/12</f>
        <v>47.703031501241192</v>
      </c>
      <c r="JT170" s="21">
        <f>EXP(-LN(2)/2)*JT169+(1-EXP(-LN(2)/2))/(LN(2)/2)*JN170*JQ170*VLOOKUP('Données projet'!$B$21,Paramètres!$A$1:$I$89,3,0)*0.475*44/12</f>
        <v>9.4716199032569837E-2</v>
      </c>
      <c r="JU170" s="18">
        <f t="shared" si="262"/>
        <v>100.25329638103247</v>
      </c>
      <c r="JV170" s="74">
        <f>('Scénario référence'!$F$8+'Scénario référence'!$F$9+'Scénario référence'!$B$17+'Scénario référence'!$B$9+'Scénario référence'!$B$10)*70+IF((45+25*(1-EXP(-0.0175*$A170)))&lt;70,'Scénario référence'!$B$16*(45+25*(1-EXP(-0.0175*$A170))),70*'Scénario référence'!$B$16)+IF((32+38*(1-EXP(-0.0175*$A170)))&lt;70,'Scénario référence'!$B$18*(32+38*(1-EXP(-0.0175*$A170))),70*'Scénario référence'!$B$18)</f>
        <v>70</v>
      </c>
      <c r="JW170" s="12">
        <f>IF($A170&gt;30,10,('Scénario référence'!$B$16+'Scénario référence'!$B$17+'Scénario référence'!$B$18+'Scénario référence'!$B$9+'Scénario référence'!$B$10)*$A170*10/30+('Scénario référence'!$F$8+'Scénario référence'!$F$9)*10)</f>
        <v>10</v>
      </c>
      <c r="JX170" s="12" t="e">
        <f>VLOOKUP($A170,'Données projet'!$A$382:$I$402,2,0)</f>
        <v>#N/A</v>
      </c>
      <c r="JY170" s="12" t="e">
        <f>VLOOKUP($A170,'Données projet'!$A$382:$I$402,9,0)</f>
        <v>#N/A</v>
      </c>
      <c r="JZ170" s="12">
        <f t="array" ref="JZ170">INDEX(JY:JY,MIN(IF(ISNUMBER(JY170:JY366),ROW(JY170:JY366),"")))</f>
        <v>0</v>
      </c>
      <c r="KA170" s="12">
        <f>IF('Données projet'!$A$382&gt;35,KA169+JZ170-KI169,IF($A170&lt;'Données projet'!$A$382,$CQ$205^$A170,IF($A170='Données projet'!$A$382,'Données projet'!$B$382,KA169+JZ170-KI169)))</f>
        <v>5.6843418860808015E-13</v>
      </c>
      <c r="KB170" s="17">
        <f>KA170*VLOOKUP('Données projet'!$B$22,Paramètres!$A$1:$I$89,3,0)*VLOOKUP('Données projet'!$B$22,Paramètres!$A$1:$I$89,5,0)</f>
        <v>3.8130565371830017E-13</v>
      </c>
      <c r="KC170" s="13">
        <f t="shared" si="312"/>
        <v>4.9019074112354236E-12</v>
      </c>
      <c r="KD170" s="20">
        <f t="shared" si="263"/>
        <v>9.2015960881277352E-12</v>
      </c>
      <c r="KE170" s="59">
        <f t="shared" si="264"/>
        <v>293.33333333334252</v>
      </c>
      <c r="KF170" s="59">
        <f ca="1">AVERAGE(OFFSET($KE$3,0,0,'Données projet'!$E$22+1,1))-AVERAGE(OFFSET($H$3,0,0,'Données projet'!$E$22+1,1))</f>
        <v>193.91714772848269</v>
      </c>
      <c r="KG170" s="59">
        <f t="shared" si="313"/>
        <v>159.20429420478047</v>
      </c>
      <c r="KH170" s="15">
        <f>IF(ISNA(VLOOKUP($A170,'Données projet'!$A$382:$I$402,3,0)),0,VLOOKUP($A170,'Données projet'!$A$382:$I$402,3,0))</f>
        <v>0</v>
      </c>
      <c r="KI170" s="15">
        <f>IF(ISNA(VLOOKUP($A170,'Données projet'!$A$382:$I$402,4,0)),0,VLOOKUP($A170,'Données projet'!$A$382:$I$402,4,0))</f>
        <v>0</v>
      </c>
      <c r="KJ170" s="16">
        <f>IF(ISNA(VLOOKUP($A170,'Données projet'!$A$382:$I$402,5,0)),0%,VLOOKUP($A170,'Données projet'!$A$382:$I$402,5,0)*VLOOKUP('Données projet'!$B$22,Paramètres!$A$1:$I$89,7,0))</f>
        <v>0</v>
      </c>
      <c r="KK170" s="16">
        <f>IF(ISNA(VLOOKUP($A170,'Données projet'!$A$382:$I$402,6,0)),0%,VLOOKUP($A170,'Données projet'!$A$382:$I$402,6,0)*VLOOKUP('Données projet'!$B$22,Paramètres!$A$1:$I$89,7,0))</f>
        <v>0</v>
      </c>
      <c r="KL170" s="16">
        <f>IF(ISNA(VLOOKUP($A170,'Données projet'!$A$382:$I$402,7,0)),0%,VLOOKUP($A170,'Données projet'!$A$382:$I$402,7,0))</f>
        <v>0</v>
      </c>
      <c r="KM170" s="21">
        <f>EXP(-LN(2)/35)*KM169+(1-EXP(-LN(2)/35))/(LN(2)/35)*KI170*KJ170*VLOOKUP('Données projet'!$B$22,Paramètres!$A$1:$I$89,3,0)*0.475*44/12</f>
        <v>76.590890550211341</v>
      </c>
      <c r="KN170" s="21">
        <f>EXP(-LN(2)/25)*KN169+(1-EXP(-LN(2)/25))/(LN(2)/25)*Calculateur!KI170*Calculateur!KK170*VLOOKUP('Données projet'!$B$22,Paramètres!$A$1:$I$89,3,0)*0.475*44/12</f>
        <v>0</v>
      </c>
      <c r="KO170" s="21">
        <f>EXP(-LN(2)/2)*KO169+(1-EXP(-LN(2)/2))/(LN(2)/2)*KI170*KL170*VLOOKUP('Données projet'!$B$22,Paramètres!$A$1:$I$89,3,0)*0.475*44/12</f>
        <v>0</v>
      </c>
      <c r="KP170" s="22">
        <f t="shared" si="265"/>
        <v>76.590890550211341</v>
      </c>
      <c r="KQ170" s="74">
        <f>('Scénario référence'!$F$8+'Scénario référence'!$F$9+'Scénario référence'!$B$17+'Scénario référence'!$B$9+'Scénario référence'!$B$10)*70+IF((45+25*(1-EXP(-0.0175*$A170)))&lt;70,'Scénario référence'!$B$16*(45+25*(1-EXP(-0.0175*$A170))),70*'Scénario référence'!$B$16)+IF((32+38*(1-EXP(-0.0175*$A170)))&lt;70,'Scénario référence'!$B$18*(32+38*(1-EXP(-0.0175*$A170))),70*'Scénario référence'!$B$18)</f>
        <v>70</v>
      </c>
      <c r="KR170" s="12">
        <f>IF($A170&gt;30,10,('Scénario référence'!$B$16+'Scénario référence'!$B$17+'Scénario référence'!$B$18+'Scénario référence'!$B$9+'Scénario référence'!$B$10)*$A170*10/30+('Scénario référence'!$F$8+'Scénario référence'!$F$9)*10)</f>
        <v>10</v>
      </c>
      <c r="KS170" s="12" t="e">
        <f>VLOOKUP($A170,'Données projet'!$A$408:$I$428,2,0)</f>
        <v>#N/A</v>
      </c>
      <c r="KT170" s="12" t="e">
        <f>VLOOKUP($A170,'Données projet'!$A$408:$I$428,9,0)</f>
        <v>#N/A</v>
      </c>
      <c r="KU170" s="12">
        <f t="array" ref="KU170">INDEX(KT:KT,MIN(IF(ISNUMBER(KT170:KT366),ROW(KT170:KT366),"")))</f>
        <v>0</v>
      </c>
      <c r="KV170" s="12">
        <f>IF('Données projet'!$A$408&gt;35,KV169+KU170-LD169,IF($A170&lt;'Données projet'!$A$408,$CQ$205^$A170,IF($A170='Données projet'!$A$408,'Données projet'!$B$408,KV169+KU170-LD169)))</f>
        <v>-1.1368683772161603E-13</v>
      </c>
      <c r="KW170" s="17">
        <f>KV170*VLOOKUP('Données projet'!$B$23,Paramètres!$A$1:$I$89,3,0)*VLOOKUP('Données projet'!$B$23,Paramètres!$A$1:$I$89,5,0)</f>
        <v>-9.9316821433603781E-14</v>
      </c>
      <c r="KX170" s="13" t="e">
        <f t="shared" si="314"/>
        <v>#NUM!</v>
      </c>
      <c r="KY170" s="14" t="e">
        <f t="shared" si="266"/>
        <v>#NUM!</v>
      </c>
      <c r="KZ170" s="59" t="e">
        <f t="shared" si="267"/>
        <v>#NUM!</v>
      </c>
      <c r="LA170" s="59">
        <f ca="1">AVERAGE(OFFSET($KZ$3,0,0,'Données projet'!$E$23+1,1))-AVERAGE(OFFSET($H$3,0,0,'Données projet'!$E$23+1,1))</f>
        <v>248.33596943633819</v>
      </c>
      <c r="LB170" s="59">
        <f t="shared" si="315"/>
        <v>242.34010522344573</v>
      </c>
      <c r="LC170" s="15">
        <f>IF(ISNA(VLOOKUP($A170,'Données projet'!$A$408:$I$428,3,0)),0,VLOOKUP($A170,'Données projet'!$A$408:$I$428,3,0))</f>
        <v>0</v>
      </c>
      <c r="LD170" s="15">
        <f>IF(ISNA(VLOOKUP($A170,'Données projet'!$A$408:$I$428,4,0)),0,VLOOKUP($A170,'Données projet'!$A$408:$I$428,4,0))</f>
        <v>0</v>
      </c>
      <c r="LE170" s="16">
        <f>IF(ISNA(VLOOKUP($A170,'Données projet'!$A$408:$I$428,5,0)),0%,VLOOKUP($A170,'Données projet'!$A$408:$I$428,5,0)*VLOOKUP('Données projet'!$B$23,Paramètres!$A$1:$I$89,7,0))</f>
        <v>0</v>
      </c>
      <c r="LF170" s="16">
        <f>IF(ISNA(VLOOKUP($A170,'Données projet'!$A$408:$I$428,6,0)),0%,VLOOKUP($A170,'Données projet'!$A$408:$I$428,6,0)*VLOOKUP('Données projet'!$B$23,Paramètres!$A$1:$I$89,7,0))</f>
        <v>0</v>
      </c>
      <c r="LG170" s="16">
        <f>IF(ISNA(VLOOKUP($A170,'Données projet'!$A$408:$I$428,7,0)),0%,VLOOKUP($A170,'Données projet'!$A$408:$I$428,7,0))</f>
        <v>0</v>
      </c>
      <c r="LH170" s="21">
        <f>EXP(-LN(2)/35)*LH169+(1-EXP(-LN(2)/35))/(LN(2)/35)*LD170*LE170*VLOOKUP('Données projet'!$B$23,Paramètres!$A$1:$I$89,3,0)*0.475*44/12</f>
        <v>21.999259480645655</v>
      </c>
      <c r="LI170" s="21">
        <f>EXP(-LN(2)/25)*LI169+(1-EXP(-LN(2)/25))/(LN(2)/25)*Calculateur!LD170*Calculateur!LF170*VLOOKUP('Données projet'!$B$23,Paramètres!$A$1:$I$89,3,0)*0.475*44/12</f>
        <v>1.9517124417232417</v>
      </c>
      <c r="LJ170" s="21">
        <f>EXP(-LN(2)/2)*LJ169+(1-EXP(-LN(2)/2))/(LN(2)/2)*LD170*LG170*VLOOKUP('Données projet'!$B$23,Paramètres!$A$1:$I$89,3,0)*0.475*44/12</f>
        <v>0</v>
      </c>
      <c r="LK170" s="22">
        <f t="shared" si="268"/>
        <v>23.950971922368897</v>
      </c>
      <c r="LL170" s="74">
        <f>('Scénario référence'!$F$8+'Scénario référence'!$F$9+'Scénario référence'!$B$17+'Scénario référence'!$B$9+'Scénario référence'!$B$10)*70+IF((45+25*(1-EXP(-0.0175*$A170)))&lt;70,'Scénario référence'!$B$16*(45+25*(1-EXP(-0.0175*$A170))),70*'Scénario référence'!$B$16)+IF((32+38*(1-EXP(-0.0175*$A170)))&lt;70,'Scénario référence'!$B$18*(32+38*(1-EXP(-0.0175*$A170))),70*'Scénario référence'!$B$18)</f>
        <v>70</v>
      </c>
      <c r="LM170" s="12">
        <f>IF($A170&gt;30,10,('Scénario référence'!$B$16+'Scénario référence'!$B$17+'Scénario référence'!$B$18+'Scénario référence'!$B$9+'Scénario référence'!$B$10)*$A170*10/30+('Scénario référence'!$F$8+'Scénario référence'!$F$9)*10)</f>
        <v>10</v>
      </c>
      <c r="LN170" s="12" t="e">
        <f>VLOOKUP($A170,'Données projet'!$A$434:$I$454,2,0)</f>
        <v>#N/A</v>
      </c>
      <c r="LO170" s="12" t="e">
        <f>VLOOKUP($A170,'Données projet'!$A$434:$I$454,9,0)</f>
        <v>#N/A</v>
      </c>
      <c r="LP170" s="12">
        <f t="array" ref="LP170">INDEX(LO:LO,MIN(IF(ISNUMBER(LO170:LO366),ROW(LO170:LO366),"")))</f>
        <v>0</v>
      </c>
      <c r="LQ170" s="12">
        <f>IF('Données projet'!$A$434&gt;35,LQ169+LP170-LY169,IF($A170&lt;'Données projet'!$A$434,$CQ$205^$A170,IF($A170='Données projet'!$A$434,'Données projet'!$B$434,LQ169+LP170-LY169)))</f>
        <v>-4.5474735088646412E-13</v>
      </c>
      <c r="LR170" s="17">
        <f>LQ170*VLOOKUP('Données projet'!$B$24,Paramètres!$A$1:$I$89,3,0)*VLOOKUP('Données projet'!$B$24,Paramètres!$A$1:$I$89,5,0)</f>
        <v>-4.6111381379887462E-13</v>
      </c>
      <c r="LS170" s="13" t="e">
        <f t="shared" si="316"/>
        <v>#NUM!</v>
      </c>
      <c r="LT170" s="14" t="e">
        <f t="shared" si="269"/>
        <v>#NUM!</v>
      </c>
      <c r="LU170" s="59" t="e">
        <f t="shared" si="270"/>
        <v>#NUM!</v>
      </c>
      <c r="LV170" s="59">
        <f ca="1">AVERAGE(OFFSET($LU$3,0,0,'Données projet'!$E$24+1,1))-AVERAGE(OFFSET($H$3,0,0,'Données projet'!$E$24+1,1))</f>
        <v>260.52627655062872</v>
      </c>
      <c r="LW170" s="59">
        <f t="shared" si="317"/>
        <v>159.20429420478047</v>
      </c>
      <c r="LX170" s="15">
        <f>IF(ISNA(VLOOKUP($A170,'Données projet'!$A$434:$I$454,3,0)),0,VLOOKUP($A170,'Données projet'!$A$434:$I$454,3,0))</f>
        <v>0</v>
      </c>
      <c r="LY170" s="15">
        <f>IF(ISNA(VLOOKUP($A170,'Données projet'!$A$434:$I$454,4,0)),0,VLOOKUP($A170,'Données projet'!$A$434:$I$454,4,0))</f>
        <v>0</v>
      </c>
      <c r="LZ170" s="16">
        <f>IF(ISNA(VLOOKUP($A170,'Données projet'!$A$434:$I$454,5,0)),0%,VLOOKUP($A170,'Données projet'!$A$434:$I$454,5,0)*VLOOKUP('Données projet'!$B$24,Paramètres!$A$1:$I$89,7,0))</f>
        <v>0</v>
      </c>
      <c r="MA170" s="16">
        <f>IF(ISNA(VLOOKUP($A170,'Données projet'!$A$434:$I$454,6,0)),0%,VLOOKUP($A170,'Données projet'!$A$434:$I$454,6,0)*VLOOKUP('Données projet'!$B$24,Paramètres!$A$1:$I$89,7,0))</f>
        <v>0</v>
      </c>
      <c r="MB170" s="16">
        <f>IF(ISNA(VLOOKUP($A170,'Données projet'!$A$434:$I$454,7,0)),0%,VLOOKUP($A170,'Données projet'!$A$434:$I$454,7,0))</f>
        <v>0</v>
      </c>
      <c r="MC170" s="21">
        <f>EXP(-LN(2)/35)*MC169+(1-EXP(-LN(2)/35))/(LN(2)/35)*LY170*LZ170*VLOOKUP('Données projet'!$B$24,Paramètres!$A$1:$I$89,3,0)*0.475*44/12</f>
        <v>141.44776623209393</v>
      </c>
      <c r="MD170" s="21">
        <f>EXP(-LN(2)/25)*MD169+(1-EXP(-LN(2)/25))/(LN(2)/25)*Calculateur!LY170*Calculateur!MA170*VLOOKUP('Données projet'!$B$24,Paramètres!$A$1:$I$89,3,0)*0.475*44/12</f>
        <v>0</v>
      </c>
      <c r="ME170" s="21">
        <f>EXP(-LN(2)/2)*ME169+(1-EXP(-LN(2)/2))/(LN(2)/2)*LY170*MB170*VLOOKUP('Données projet'!$B$24,Paramètres!$A$1:$I$89,3,0)*0.475*44/12</f>
        <v>0</v>
      </c>
      <c r="MF170" s="22">
        <f t="shared" si="271"/>
        <v>141.44776623209393</v>
      </c>
      <c r="MG170" s="74">
        <f>('Scénario référence'!$F$8+'Scénario référence'!$F$9+'Scénario référence'!$B$17+'Scénario référence'!$B$9+'Scénario référence'!$B$10)*70+IF((45+25*(1-EXP(-0.0175*$A170)))&lt;70,'Scénario référence'!$B$16*(45+25*(1-EXP(-0.0175*$A170))),70*'Scénario référence'!$B$16)+IF((32+38*(1-EXP(-0.0175*$A170)))&lt;70,'Scénario référence'!$B$18*(32+38*(1-EXP(-0.0175*$A170))),70*'Scénario référence'!$B$18)</f>
        <v>70</v>
      </c>
      <c r="MH170" s="12">
        <f>IF($A170&gt;30,10,('Scénario référence'!$B$16+'Scénario référence'!$B$17+'Scénario référence'!$B$18+'Scénario référence'!$B$9+'Scénario référence'!$B$10)*$A170*10/30+('Scénario référence'!$F$8+'Scénario référence'!$F$9)*10)</f>
        <v>10</v>
      </c>
      <c r="MI170" s="12" t="e">
        <f>VLOOKUP($A170,'Données projet'!$A$460:$I$480,2,0)</f>
        <v>#N/A</v>
      </c>
      <c r="MJ170" s="12" t="e">
        <f>VLOOKUP($A170,'Données projet'!$A$460:$I$480,9,0)</f>
        <v>#N/A</v>
      </c>
      <c r="MK170" s="12">
        <f t="array" ref="MK170">INDEX(MJ:MJ,MIN(IF(ISNUMBER(MJ170:MJ366),ROW(MJ170:MJ366),"")))</f>
        <v>0</v>
      </c>
      <c r="ML170" s="12">
        <f>IF('Données projet'!$A$460&gt;35,ML169+MK170-MT169,IF($A170&lt;'Données projet'!$A$460,$CQ$205^$A170,IF($A170='Données projet'!$A$460,'Données projet'!$B$460,ML169+MK170-MT169)))</f>
        <v>0</v>
      </c>
      <c r="MM170" s="17" t="e">
        <f>ML170*VLOOKUP('Données projet'!$B$25,Paramètres!$A$1:$I$89,3,0)*VLOOKUP('Données projet'!$B$25,Paramètres!$A$1:$I$89,5,0)</f>
        <v>#N/A</v>
      </c>
      <c r="MN170" s="13" t="e">
        <f t="shared" si="318"/>
        <v>#N/A</v>
      </c>
      <c r="MO170" s="14" t="e">
        <f t="shared" si="272"/>
        <v>#N/A</v>
      </c>
      <c r="MP170" s="59" t="e">
        <f t="shared" si="273"/>
        <v>#N/A</v>
      </c>
      <c r="MQ170" s="20" t="e">
        <f ca="1">AVERAGE(OFFSET($MP$3,0,0,'Données projet'!$E$25+1,1))-AVERAGE(OFFSET($H$3,0,0,'Données projet'!$E$25+1,1))</f>
        <v>#N/A</v>
      </c>
      <c r="MR170" s="59" t="e">
        <f t="shared" si="319"/>
        <v>#N/A</v>
      </c>
      <c r="MS170" s="15">
        <f>IF(ISNA(VLOOKUP($A170,'Données projet'!$A$460:$I$480,3,0)),0,VLOOKUP($A170,'Données projet'!$A$460:$I$480,3,0))</f>
        <v>0</v>
      </c>
      <c r="MT170" s="15">
        <f>IF(ISNA(VLOOKUP($A170,'Données projet'!$A$460:$I$480,4,0)),0,VLOOKUP($A170,'Données projet'!$A$460:$I$480,4,0))</f>
        <v>0</v>
      </c>
      <c r="MU170" s="16">
        <f>IF(ISNA(VLOOKUP($A170,'Données projet'!$A$460:$I$480,5,0)),0%,VLOOKUP($A170,'Données projet'!$A$460:$I$480,5,0)*VLOOKUP('Données projet'!$B$25,Paramètres!$A$1:$I$89,7,0))</f>
        <v>0</v>
      </c>
      <c r="MV170" s="16">
        <f>IF(ISNA(VLOOKUP($A170,'Données projet'!$A$460:$I$480,6,0)),0%,VLOOKUP($A170,'Données projet'!$A$460:$I$480,6,0)*VLOOKUP('Données projet'!$B$25,Paramètres!$A$1:$I$89,7,0))</f>
        <v>0</v>
      </c>
      <c r="MW170" s="16">
        <f>IF(ISNA(VLOOKUP($A170,'Données projet'!$A$460:$I$480,7,0)),0%,VLOOKUP($A170,'Données projet'!$A$460:$I$480,7,0))</f>
        <v>0</v>
      </c>
      <c r="MX170" s="21" t="e">
        <f>EXP(-LN(2)/35)*MX169+(1-EXP(-LN(2)/35))/(LN(2)/35)*MT170*MU170*VLOOKUP('Données projet'!$B$25,Paramètres!$A$1:$I$89,3,0)*0.475*44/12</f>
        <v>#N/A</v>
      </c>
      <c r="MY170" s="21" t="e">
        <f>EXP(-LN(2)/25)*MY169+(1-EXP(-LN(2)/25))/(LN(2)/25)*Calculateur!MT170*Calculateur!MV170*VLOOKUP('Données projet'!$B$25,Paramètres!$A$1:$I$89,3,0)*0.475*44/12</f>
        <v>#N/A</v>
      </c>
      <c r="MZ170" s="21" t="e">
        <f>EXP(-LN(2)/2)*MZ169+(1-EXP(-LN(2)/2))/(LN(2)/2)*MT170*MW170*VLOOKUP('Données projet'!$B$25,Paramètres!$A$1:$I$89,3,0)*0.475*44/12</f>
        <v>#N/A</v>
      </c>
      <c r="NA170" s="22" t="e">
        <f t="shared" si="274"/>
        <v>#N/A</v>
      </c>
      <c r="NB170" s="74">
        <f>('Scénario référence'!$F$8+'Scénario référence'!$F$9+'Scénario référence'!$B$17+'Scénario référence'!$B$9+'Scénario référence'!$B$10)*70+IF((45+25*(1-EXP(-0.0175*$A170)))&lt;70,'Scénario référence'!$B$16*(45+25*(1-EXP(-0.0175*$A170))),70*'Scénario référence'!$B$16)+IF((32+38*(1-EXP(-0.0175*$A170)))&lt;70,'Scénario référence'!$B$18*(32+38*(1-EXP(-0.0175*$A170))),70*'Scénario référence'!$B$18)</f>
        <v>70</v>
      </c>
      <c r="NC170" s="12">
        <f>IF($A170&gt;30,10,('Scénario référence'!$B$16+'Scénario référence'!$B$17+'Scénario référence'!$B$18+'Scénario référence'!$B$9+'Scénario référence'!$B$10)*$A170*10/30+('Scénario référence'!$F$8+'Scénario référence'!$F$9)*10)</f>
        <v>10</v>
      </c>
      <c r="ND170" s="12" t="e">
        <f>VLOOKUP($A170,'Données projet'!$A$486:$I$506,2,0)</f>
        <v>#N/A</v>
      </c>
      <c r="NE170" s="12" t="e">
        <f>VLOOKUP($A170,'Données projet'!$A$486:$I$506,9,0)</f>
        <v>#N/A</v>
      </c>
      <c r="NF170" s="12">
        <f t="array" ref="NF170">INDEX(NE:NE,MIN(IF(ISNUMBER(NE170:NE366),ROW(NE170:NE366),"")))</f>
        <v>0</v>
      </c>
      <c r="NG170" s="12">
        <f>IF('Données projet'!$A$486&gt;35,NG169+NF170-NO169,IF($A170&lt;'Données projet'!$A$486,$CQ$205^$A170,IF($A170='Données projet'!$A$486,'Données projet'!$B$486,NG169+NF170-NO169)))</f>
        <v>0</v>
      </c>
      <c r="NH170" s="17" t="e">
        <f>NG170*VLOOKUP('Données projet'!$B$26,Paramètres!$A$1:$I$89,3,0)*VLOOKUP('Données projet'!$B$26,Paramètres!$A$1:$I$89,5,0)</f>
        <v>#N/A</v>
      </c>
      <c r="NI170" s="13" t="e">
        <f t="shared" si="320"/>
        <v>#N/A</v>
      </c>
      <c r="NJ170" s="14" t="e">
        <f t="shared" si="275"/>
        <v>#N/A</v>
      </c>
      <c r="NK170" s="59" t="e">
        <f t="shared" si="276"/>
        <v>#N/A</v>
      </c>
      <c r="NL170" s="20" t="e">
        <f ca="1">AVERAGE(OFFSET($NK$3,0,0,'Données projet'!$E$26+1,1))-AVERAGE(OFFSET($H$3,0,0,'Données projet'!$E$26+1,1))</f>
        <v>#N/A</v>
      </c>
      <c r="NM170" s="59" t="e">
        <f t="shared" si="321"/>
        <v>#N/A</v>
      </c>
      <c r="NN170" s="15">
        <f>IF(ISNA(VLOOKUP($A170,'Données projet'!$A$486:$I$506,3,0)),0,VLOOKUP($A170,'Données projet'!$A$486:$I$506,3,0))</f>
        <v>0</v>
      </c>
      <c r="NO170" s="15">
        <f>IF(ISNA(VLOOKUP($A170,'Données projet'!$A$486:$I$506,4,0)),0,VLOOKUP($A170,'Données projet'!$A$486:$I$506,4,0))</f>
        <v>0</v>
      </c>
      <c r="NP170" s="16">
        <f>IF(ISNA(VLOOKUP($A170,'Données projet'!$A$486:$I$506,5,0)),0%,VLOOKUP($A170,'Données projet'!$A$486:$I$506,5,0)*VLOOKUP('Données projet'!$B$26,Paramètres!$A$1:$I$89,7,0))</f>
        <v>0</v>
      </c>
      <c r="NQ170" s="16">
        <f>IF(ISNA(VLOOKUP($A170,'Données projet'!$A$486:$I$506,6,0)),0%,VLOOKUP($A170,'Données projet'!$A$486:$I$506,6,0)*VLOOKUP('Données projet'!$B$26,Paramètres!$A$1:$I$89,7,0))</f>
        <v>0</v>
      </c>
      <c r="NR170" s="16">
        <f>IF(ISNA(VLOOKUP($A170,'Données projet'!$A$486:$I$506,7,0)),0%,VLOOKUP($A170,'Données projet'!$A$486:$I$506,7,0))</f>
        <v>0</v>
      </c>
      <c r="NS170" s="21" t="e">
        <f>EXP(-LN(2)/35)*NS169+(1-EXP(-LN(2)/35))/(LN(2)/35)*NO170*NP170*VLOOKUP('Données projet'!$B$26,Paramètres!$A$1:$I$89,3,0)*0.475*44/12</f>
        <v>#N/A</v>
      </c>
      <c r="NT170" s="21" t="e">
        <f>EXP(-LN(2)/25)*NT169+(1-EXP(-LN(2)/25))/(LN(2)/25)*Calculateur!NO170*Calculateur!NQ170*VLOOKUP('Données projet'!$B$26,Paramètres!$A$1:$I$89,3,0)*0.475*44/12</f>
        <v>#N/A</v>
      </c>
      <c r="NU170" s="21" t="e">
        <f>EXP(-LN(2)/2)*NU169+(1-EXP(-LN(2)/2))/(LN(2)/2)*NO170*NR170*VLOOKUP('Données projet'!$B$26,Paramètres!$A$1:$I$89,3,0)*0.475*44/12</f>
        <v>#N/A</v>
      </c>
      <c r="NV170" s="22" t="e">
        <f t="shared" si="277"/>
        <v>#N/A</v>
      </c>
      <c r="NW170" s="74">
        <f>('Scénario référence'!$F$8+'Scénario référence'!$F$9+'Scénario référence'!$B$17+'Scénario référence'!$B$9+'Scénario référence'!$B$10)*70+IF((45+25*(1-EXP(-0.0175*$A170)))&lt;70,'Scénario référence'!$B$16*(45+25*(1-EXP(-0.0175*$A170))),70*'Scénario référence'!$B$16)+IF((32+38*(1-EXP(-0.0175*$A170)))&lt;70,'Scénario référence'!$B$18*(32+38*(1-EXP(-0.0175*$A170))),70*'Scénario référence'!$B$18)</f>
        <v>70</v>
      </c>
      <c r="NX170" s="12">
        <f>IF($A170&gt;30,10,('Scénario référence'!$B$16+'Scénario référence'!$B$17+'Scénario référence'!$B$18+'Scénario référence'!$B$9+'Scénario référence'!$B$10)*$A170*10/30+('Scénario référence'!$F$8+'Scénario référence'!$F$9)*10)</f>
        <v>10</v>
      </c>
      <c r="NY170" s="12" t="e">
        <f>VLOOKUP($A170,'Données projet'!$A$512:$I$532,2,0)</f>
        <v>#N/A</v>
      </c>
      <c r="NZ170" s="12" t="e">
        <f>VLOOKUP($A170,'Données projet'!$A$512:$I$532,9,0)</f>
        <v>#N/A</v>
      </c>
      <c r="OA170" s="12">
        <f t="array" ref="OA170">INDEX(NZ:NZ,MIN(IF(ISNUMBER(NZ170:NZ366),ROW(NZ170:NZ366),"")))</f>
        <v>0</v>
      </c>
      <c r="OB170" s="12">
        <f>IF('Données projet'!$A$512&gt;35,OB169+OA170-OJ169,IF($A170&lt;'Données projet'!$A$512,$CQ$205^$A170,IF($A170='Données projet'!$A$512,'Données projet'!$B$512,OB169+OA170-OJ169)))</f>
        <v>0</v>
      </c>
      <c r="OC170" s="17" t="e">
        <f>OB170*VLOOKUP('Données projet'!$B$27,Paramètres!$A$1:$I$89,3,0)*VLOOKUP('Données projet'!$B$27,Paramètres!$A$1:$I$89,5,0)</f>
        <v>#N/A</v>
      </c>
      <c r="OD170" s="13" t="e">
        <f t="shared" si="322"/>
        <v>#N/A</v>
      </c>
      <c r="OE170" s="14" t="e">
        <f t="shared" si="278"/>
        <v>#N/A</v>
      </c>
      <c r="OF170" s="59" t="e">
        <f t="shared" si="279"/>
        <v>#N/A</v>
      </c>
      <c r="OG170" s="20" t="e">
        <f ca="1">AVERAGE(OFFSET($OF$3,0,0,'Données projet'!$E$27+1,1))-AVERAGE(OFFSET($H$3,0,0,'Données projet'!$E$27+1,1))</f>
        <v>#N/A</v>
      </c>
      <c r="OH170" s="59" t="e">
        <f t="shared" si="323"/>
        <v>#N/A</v>
      </c>
      <c r="OI170" s="15">
        <f>IF(ISNA(VLOOKUP($A170,'Données projet'!$A$512:$I$532,3,0)),0,VLOOKUP($A170,'Données projet'!$A$512:$I$532,3,0))</f>
        <v>0</v>
      </c>
      <c r="OJ170" s="15">
        <f>IF(ISNA(VLOOKUP($A170,'Données projet'!$A$512:$I$532,4,0)),0,VLOOKUP($A170,'Données projet'!$A$512:$I$532,4,0))</f>
        <v>0</v>
      </c>
      <c r="OK170" s="16">
        <f>IF(ISNA(VLOOKUP($A170,'Données projet'!$A$512:$I$532,5,0)),0%,VLOOKUP($A170,'Données projet'!$A$512:$I$532,5,0)*VLOOKUP('Données projet'!$B$27,Paramètres!$A$1:$I$89,7,0))</f>
        <v>0</v>
      </c>
      <c r="OL170" s="16">
        <f>IF(ISNA(VLOOKUP($A170,'Données projet'!$A$512:$I$532,6,0)),0%,VLOOKUP($A170,'Données projet'!$A$512:$I$532,6,0)*VLOOKUP('Données projet'!$B$27,Paramètres!$A$1:$I$89,7,0))</f>
        <v>0</v>
      </c>
      <c r="OM170" s="16">
        <f>IF(ISNA(VLOOKUP($A170,'Données projet'!$A$512:$I$532,7,0)),0%,VLOOKUP($A170,'Données projet'!$A$512:$I$532,7,0))</f>
        <v>0</v>
      </c>
      <c r="ON170" s="21" t="e">
        <f>EXP(-LN(2)/35)*ON169+(1-EXP(-LN(2)/35))/(LN(2)/35)*OJ170*OK170*VLOOKUP('Données projet'!$B$27,Paramètres!$A$1:$I$89,3,0)*0.475*44/12</f>
        <v>#N/A</v>
      </c>
      <c r="OO170" s="21" t="e">
        <f>EXP(-LN(2)/25)*OO169+(1-EXP(-LN(2)/25))/(LN(2)/25)*Calculateur!OJ170*Calculateur!OL170*VLOOKUP('Données projet'!$B$27,Paramètres!$A$1:$I$89,3,0)*0.475*44/12</f>
        <v>#N/A</v>
      </c>
      <c r="OP170" s="21" t="e">
        <f>EXP(-LN(2)/2)*OP169+(1-EXP(-LN(2)/2))/(LN(2)/2)*OJ170*OM170*VLOOKUP('Données projet'!$B$27,Paramètres!$A$1:$I$89,3,0)*0.475*44/12</f>
        <v>#N/A</v>
      </c>
      <c r="OQ170" s="22" t="e">
        <f t="shared" si="280"/>
        <v>#N/A</v>
      </c>
      <c r="OR170" s="74">
        <f>('Scénario référence'!$F$8+'Scénario référence'!$F$9+'Scénario référence'!$B$17+'Scénario référence'!$B$9+'Scénario référence'!$B$10)*70+IF((45+25*(1-EXP(-0.0175*$A170)))&lt;70,'Scénario référence'!$B$16*(45+25*(1-EXP(-0.0175*$A170))),70*'Scénario référence'!$B$16)+IF((32+38*(1-EXP(-0.0175*$A170)))&lt;70,'Scénario référence'!$B$18*(32+38*(1-EXP(-0.0175*$A170))),70*'Scénario référence'!$B$18)</f>
        <v>70</v>
      </c>
      <c r="OS170" s="12">
        <f>IF($A170&gt;30,10,('Scénario référence'!$B$16+'Scénario référence'!$B$17+'Scénario référence'!$B$18+'Scénario référence'!$B$9+'Scénario référence'!$B$10)*$A170*10/30+('Scénario référence'!$F$8+'Scénario référence'!$F$9)*10)</f>
        <v>10</v>
      </c>
      <c r="OT170" s="12" t="e">
        <f>VLOOKUP($A170,'Données projet'!$A$538:$I$558,2,0)</f>
        <v>#N/A</v>
      </c>
      <c r="OU170" s="12" t="e">
        <f>VLOOKUP($A170,'Données projet'!$A$538:$I$558,9,0)</f>
        <v>#N/A</v>
      </c>
      <c r="OV170" s="12">
        <f t="array" ref="OV170">INDEX(OU:OU,MIN(IF(ISNUMBER(OU170:OU366),ROW(OU170:OU366),"")))</f>
        <v>0</v>
      </c>
      <c r="OW170" s="12">
        <f>IF('Données projet'!$A$538&gt;35,OW169+OV170-PE169,IF($A170&lt;'Données projet'!$A$538,$CQ$205^$A170,IF($A170='Données projet'!$A$538,'Données projet'!$B$538,OW169+OV170-PE169)))</f>
        <v>0</v>
      </c>
      <c r="OX170" s="17" t="e">
        <f>OW170*VLOOKUP('Données projet'!$B$28,Paramètres!$A$1:$I$89,3,0)*VLOOKUP('Données projet'!$B$28,Paramètres!$A$1:$I$89,5,0)</f>
        <v>#N/A</v>
      </c>
      <c r="OY170" s="13" t="e">
        <f t="shared" si="324"/>
        <v>#N/A</v>
      </c>
      <c r="OZ170" s="14" t="e">
        <f t="shared" si="281"/>
        <v>#N/A</v>
      </c>
      <c r="PA170" s="59" t="e">
        <f t="shared" si="282"/>
        <v>#N/A</v>
      </c>
      <c r="PB170" s="20" t="e">
        <f ca="1">AVERAGE(OFFSET($PA$3,0,0,'Données projet'!$E$28+1,1))-AVERAGE(OFFSET($H$3,0,0,'Données projet'!$E$28+1,1))</f>
        <v>#N/A</v>
      </c>
      <c r="PC170" s="59" t="e">
        <f t="shared" si="325"/>
        <v>#N/A</v>
      </c>
      <c r="PD170" s="15">
        <f>IF(ISNA(VLOOKUP($A170,'Données projet'!$A$538:$I$558,3,0)),0,VLOOKUP($A170,'Données projet'!$A$538:$I$558,3,0))</f>
        <v>0</v>
      </c>
      <c r="PE170" s="15">
        <f>IF(ISNA(VLOOKUP($A170,'Données projet'!$A$538:$I$558,4,0)),0,VLOOKUP($A170,'Données projet'!$A$538:$I$558,4,0))</f>
        <v>0</v>
      </c>
      <c r="PF170" s="16">
        <f>IF(ISNA(VLOOKUP($A170,'Données projet'!$A$538:$I$558,5,0)),0%,VLOOKUP($A170,'Données projet'!$A$538:$I$558,5,0)*VLOOKUP('Données projet'!$B$28,Paramètres!$A$1:$I$89,7,0))</f>
        <v>0</v>
      </c>
      <c r="PG170" s="16">
        <f>IF(ISNA(VLOOKUP($A170,'Données projet'!$A$538:$I$558,6,0)),0%,VLOOKUP($A170,'Données projet'!$A$538:$I$558,6,0)*VLOOKUP('Données projet'!$B$28,Paramètres!$A$1:$I$89,7,0))</f>
        <v>0</v>
      </c>
      <c r="PH170" s="16">
        <f>IF(ISNA(VLOOKUP($A170,'Données projet'!$A$538:$I$558,7,0)),0%,VLOOKUP($A170,'Données projet'!$A$538:$I$558,7,0))</f>
        <v>0</v>
      </c>
      <c r="PI170" s="21" t="e">
        <f>EXP(-LN(2)/35)*PI169+(1-EXP(-LN(2)/35))/(LN(2)/35)*PE170*PF170*VLOOKUP('Données projet'!$B$28,Paramètres!$A$1:$I$89,3,0)*0.475*44/12</f>
        <v>#N/A</v>
      </c>
      <c r="PJ170" s="21" t="e">
        <f>EXP(-LN(2)/25)*PJ169+(1-EXP(-LN(2)/25))/(LN(2)/25)*Calculateur!PE170*Calculateur!PG170*VLOOKUP('Données projet'!$B$28,Paramètres!$A$1:$I$89,3,0)*0.475*44/12</f>
        <v>#N/A</v>
      </c>
      <c r="PK170" s="21" t="e">
        <f>EXP(-LN(2)/2)*PK169+(1-EXP(-LN(2)/2))/(LN(2)/2)*PE170*PH170*VLOOKUP('Données projet'!$B$28,Paramètres!$A$1:$I$89,3,0)*0.475*44/12</f>
        <v>#N/A</v>
      </c>
      <c r="PL170" s="22" t="e">
        <f t="shared" si="283"/>
        <v>#N/A</v>
      </c>
    </row>
    <row r="171" spans="1:428" x14ac:dyDescent="0.35">
      <c r="A171" s="10">
        <f t="shared" si="326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285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225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projet'!$A$45:$I$65,2,0)</f>
        <v>#N/A</v>
      </c>
      <c r="L171" s="12" t="e">
        <f>VLOOKUP(A171,'Données projet'!$A$45:$I$65,9,0)</f>
        <v>#N/A</v>
      </c>
      <c r="M171" s="12">
        <f t="array" ref="M171">INDEX(L:L,MIN(IF(ISNUMBER(L171:L367),ROW(L171:L367),"")))</f>
        <v>0</v>
      </c>
      <c r="N171" s="13">
        <f>IF('Données projet'!$A$46&gt;35,N170+M171-V170,IF(A171&lt;'Données projet'!$A$46,$K$205^A171,IF(A171='Données projet'!$A$46,'Données projet'!$B$46,N170+M171-V170)))</f>
        <v>-1.1368683772161603E-13</v>
      </c>
      <c r="O171" s="13">
        <f>N171*VLOOKUP('Données projet'!$B$9,Paramètres!$A$1:$I$89,3,0)*VLOOKUP('Données projet'!$B$9,Paramètres!$A$1:$I$89,5,0)</f>
        <v>-6.3550942286383367E-14</v>
      </c>
      <c r="P171" s="13" t="e">
        <f t="shared" si="286"/>
        <v>#NUM!</v>
      </c>
      <c r="Q171" s="20" t="e">
        <f t="shared" si="327"/>
        <v>#NUM!</v>
      </c>
      <c r="R171" s="59" t="e">
        <f t="shared" si="224"/>
        <v>#NUM!</v>
      </c>
      <c r="S171" s="59">
        <f ca="1">AVERAGE(OFFSET($R$3,0,0,'Données projet'!$E$9+1,1))-AVERAGE(OFFSET($H$3,0,0,'Données projet'!$E$9+1,1))</f>
        <v>274.57619581652199</v>
      </c>
      <c r="T171" s="59">
        <f t="shared" si="287"/>
        <v>366.15117322598775</v>
      </c>
      <c r="U171" s="15">
        <f>IF(ISNA(VLOOKUP(A171,'Données projet'!$A$45:$I$65,3,0)),0,VLOOKUP(A171,'Données projet'!$A$45:$I$65,3,0))</f>
        <v>0</v>
      </c>
      <c r="V171" s="15">
        <f>IF(ISNA(VLOOKUP(A171,'Données projet'!$A$45:$I$65,4,0)),0,VLOOKUP(A171,'Données projet'!$A$45:$I$65,4,0))</f>
        <v>0</v>
      </c>
      <c r="W171" s="16">
        <f>IF(ISNA(VLOOKUP(A171,'Données projet'!$A$45:$I$65,5,0)),0%,VLOOKUP(A171,'Données projet'!$A$45:$I$65,5,0)*VLOOKUP('Données projet'!$B$9,Paramètres!$A$1:$I$89,7,0))</f>
        <v>0</v>
      </c>
      <c r="X171" s="16">
        <f>IF(ISNA(VLOOKUP(A171,'Données projet'!$A$45:$I$65,6,0)),0%,VLOOKUP(A171,'Données projet'!$A$45:$I$65,6,0)*VLOOKUP('Données projet'!$B$9,Paramètres!$A$1:$I$89,7,0))</f>
        <v>0</v>
      </c>
      <c r="Y171" s="16">
        <f>IF(ISNA(VLOOKUP(A171,'Données projet'!$A$45:$I$65,7,0)),0%,VLOOKUP(A171,'Données projet'!$A$45:$I$65,7,0))</f>
        <v>0</v>
      </c>
      <c r="Z171" s="21">
        <f>EXP(-LN(2)/35)*Z170+(1-EXP(-LN(2)/35))/(LN(2)/35)*V171*W171*VLOOKUP('Données projet'!$B$9,Paramètres!$A$1:$I$89,3,0)*0.475*44/12</f>
        <v>24.180899392101658</v>
      </c>
      <c r="AA171" s="21">
        <f>EXP(-LN(2)/25)*AA170+(1-EXP(-LN(2)/25))/(LN(2)/25)*Calculateur!V171*Calculateur!X171*VLOOKUP('Données projet'!$B$9,Paramètres!$A$1:$I$89,3,0)*0.475*44/12</f>
        <v>2.5108733548323805</v>
      </c>
      <c r="AB171" s="21">
        <f>EXP(-LN(2)/2)*AB170+(1-EXP(-LN(2)/2))/(LN(2)/2)*V171*Y171*VLOOKUP('Données projet'!$B$9,Paramètres!$A$1:$I$89,3,0)*0.475*44/12</f>
        <v>3.3522753622288027E-16</v>
      </c>
      <c r="AC171" s="22">
        <f t="shared" si="328"/>
        <v>26.691772746934038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projet'!$A$71:$I$91,2,0)</f>
        <v>#N/A</v>
      </c>
      <c r="AG171" s="12" t="e">
        <f>VLOOKUP(A171,'Données projet'!$A$71:$I$91,9,0)</f>
        <v>#N/A</v>
      </c>
      <c r="AH171" s="12">
        <f t="array" ref="AH171">INDEX(AG:AG,MIN(IF(ISNUMBER(AG171:AG367),ROW(AG171:AG367),"")))</f>
        <v>0</v>
      </c>
      <c r="AI171" s="13">
        <f>IF('Données projet'!$A$72&gt;35,AI170+AH171-AQ170,IF(A171&lt;'Données projet'!$A$72,$AF$205^A171,IF(A171='Données projet'!$A$72,'Données projet'!$B$72,AI170+AH171-AQ170)))</f>
        <v>5.6843418860808015E-13</v>
      </c>
      <c r="AJ171" s="13">
        <f>AI171*VLOOKUP('Données projet'!$B$10,Paramètres!$A$1:$I$89,3,0)*VLOOKUP('Données projet'!$B$10,Paramètres!$A$1:$I$89,5,0)</f>
        <v>5.1431925385259092E-13</v>
      </c>
      <c r="AK171" s="13">
        <f t="shared" si="329"/>
        <v>6.3855359115685756E-12</v>
      </c>
      <c r="AL171" s="20">
        <f t="shared" si="330"/>
        <v>1.2017247746441865E-11</v>
      </c>
      <c r="AM171" s="59">
        <f t="shared" si="228"/>
        <v>293.33333333334531</v>
      </c>
      <c r="AN171" s="59">
        <f ca="1">AVERAGE(OFFSET($AM$3,0,0,'Données projet'!$E$10+1,1))-AVERAGE(OFFSET($H$3,0,0,'Données projet'!$E$10+1,1))</f>
        <v>270.87836509222456</v>
      </c>
      <c r="AO171" s="59">
        <f t="shared" si="289"/>
        <v>205.24998237949734</v>
      </c>
      <c r="AP171" s="15">
        <f>IF(ISNA(VLOOKUP(A171,'Données projet'!$A$71:$I$91,3,0)),0,VLOOKUP(A171,'Données projet'!$A$71:$I$91,3,0))</f>
        <v>0</v>
      </c>
      <c r="AQ171" s="15">
        <f>IF(ISNA(VLOOKUP(A171,'Données projet'!$A$71:$I$91,4,0)),0,VLOOKUP(A171,'Données projet'!$A$71:$I$91,4,0))</f>
        <v>0</v>
      </c>
      <c r="AR171" s="16">
        <f>IF(ISNA(VLOOKUP(A171,'Données projet'!$A$71:$I$91,5,0)),0%,VLOOKUP(A171,'Données projet'!$A$71:$I$91,5,0)*VLOOKUP('Données projet'!$B$10,Paramètres!$A$1:$I$89,7,0))</f>
        <v>0</v>
      </c>
      <c r="AS171" s="16">
        <f>IF(ISNA(VLOOKUP(A171,'Données projet'!$A$71:$I$91,6,0)),0%,VLOOKUP(A171,'Données projet'!$A$71:$I$91,6,0)*VLOOKUP('Données projet'!$B$10,Paramètres!$A$1:$I$89,7,0))</f>
        <v>0</v>
      </c>
      <c r="AT171" s="16">
        <f>IF(ISNA(VLOOKUP(A171,'Données projet'!$A$71:$I$91,7,0)),0%,VLOOKUP(A171,'Données projet'!$A$71:$I$91,7,0))</f>
        <v>0</v>
      </c>
      <c r="AU171" s="21">
        <f>EXP(-LN(2)/35)*AU170+(1-EXP(-LN(2)/35))/(LN(2)/35)*AQ171*AR171*VLOOKUP('Données projet'!$B$10,Paramètres!$A$1:$I$89,3,0)*0.475*44/12</f>
        <v>82.172856874272142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331"/>
        <v>82.172856874272142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projet'!$A$97:$I$117,2,0)</f>
        <v>#N/A</v>
      </c>
      <c r="BB171" s="12" t="e">
        <f>VLOOKUP(A171,'Données projet'!$A$97:$I$117,9,0)</f>
        <v>#N/A</v>
      </c>
      <c r="BC171" s="12">
        <f t="array" ref="BC171">INDEX(BB:BB,MIN(IF(ISNUMBER(BB171:BB367),ROW(BB171:BB367),"")))</f>
        <v>0</v>
      </c>
      <c r="BD171" s="12">
        <f>IF('Données projet'!$A$98&gt;35,BD170+BC171-BL170,IF(A171&lt;'Données projet'!$A$98,$BA$205^A171,IF(A171='Données projet'!$A$98,'Données projet'!$B$98,BD170+BC171-BL170)))</f>
        <v>-1.1368683772161603E-13</v>
      </c>
      <c r="BE171" s="13">
        <f>BD171*VLOOKUP('Données projet'!$B$11,Paramètres!$A$1:$I$89,3,0)*VLOOKUP('Données projet'!$B$11,Paramètres!$A$1:$I$89,5,0)</f>
        <v>-5.0249582272954292E-14</v>
      </c>
      <c r="BF171" s="13" t="e">
        <f t="shared" si="332"/>
        <v>#NUM!</v>
      </c>
      <c r="BG171" s="20" t="e">
        <f t="shared" si="333"/>
        <v>#NUM!</v>
      </c>
      <c r="BH171" s="59" t="e">
        <f t="shared" si="231"/>
        <v>#NUM!</v>
      </c>
      <c r="BI171" s="59">
        <f ca="1">AVERAGE(OFFSET($BH$3,0,0,'Données projet'!$E$11+1,1))-AVERAGE(OFFSET($H$3,0,0,'Données projet'!$E$11+1,1))</f>
        <v>211.31057120485542</v>
      </c>
      <c r="BJ171" s="59">
        <f t="shared" si="291"/>
        <v>283.33292006714777</v>
      </c>
      <c r="BK171" s="15">
        <f>IF(ISNA(VLOOKUP(A171,'Données projet'!$A$97:$I$117,3,0)),0,VLOOKUP(A171,'Données projet'!$A$97:$I$117,3,0))</f>
        <v>0</v>
      </c>
      <c r="BL171" s="15">
        <f>IF(ISNA(VLOOKUP(A171,'Données projet'!$A$97:$I$117,4,0)),0,VLOOKUP(A171,'Données projet'!$A$97:$I$117,4,0))</f>
        <v>0</v>
      </c>
      <c r="BM171" s="16">
        <f>IF(ISNA(VLOOKUP(A171,'Données projet'!$A$97:$I$117,5,0)),0%,VLOOKUP(A171,'Données projet'!$A$97:$I$117,5,0)*VLOOKUP('Données projet'!$B$11,Paramètres!$A$1:$I$89,7,0))</f>
        <v>0</v>
      </c>
      <c r="BN171" s="16">
        <f>IF(ISNA(VLOOKUP(A171,'Données projet'!$A$97:$I$117,6,0)),0%,VLOOKUP(A171,'Données projet'!$A$97:$I$117,6,0)*VLOOKUP('Données projet'!$B$11,Paramètres!$A$1:$I$89,7,0))</f>
        <v>0</v>
      </c>
      <c r="BO171" s="16">
        <f>IF(ISNA(VLOOKUP(A171,'Données projet'!$A$97:$I$117,7,0)),0%,VLOOKUP(A171,'Données projet'!$A$97:$I$117,7,0))</f>
        <v>0</v>
      </c>
      <c r="BP171" s="21">
        <f>EXP(-LN(2)/35)*BP170+(1-EXP(-LN(2)/35))/(LN(2)/35)*BL171*BM171*VLOOKUP('Données projet'!$B$11,Paramètres!$A$1:$I$89,3,0)*0.475*44/12</f>
        <v>19.119780914685045</v>
      </c>
      <c r="BQ171" s="21">
        <f>EXP(-LN(2)/25)*BQ170+(1-EXP(-LN(2)/25))/(LN(2)/25)*Calculateur!BL171*Calculateur!BN171*VLOOKUP('Données projet'!$B$11,Paramètres!$A$1:$I$89,3,0)*0.475*44/12</f>
        <v>1.9853417224256023</v>
      </c>
      <c r="BR171" s="21">
        <f>EXP(-LN(2)/2)*BR170+(1-EXP(-LN(2)/2))/(LN(2)/2)*BL171*BO171*VLOOKUP('Données projet'!$B$11,Paramètres!$A$1:$I$89,3,0)*0.475*44/12</f>
        <v>2.6506363329250993E-16</v>
      </c>
      <c r="BS171" s="22">
        <f t="shared" si="334"/>
        <v>21.105122637110647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projet'!$A$123:$I$143,2,0)</f>
        <v>#N/A</v>
      </c>
      <c r="BW171" s="12" t="e">
        <f>VLOOKUP(A171,'Données projet'!$A$123:$I$143,9,0)</f>
        <v>#N/A</v>
      </c>
      <c r="BX171" s="12">
        <f t="array" ref="BX171">INDEX(BW:BW,MIN(IF(ISNUMBER(BW171:BW367),ROW(BW171:BW367),"")))</f>
        <v>0</v>
      </c>
      <c r="BY171" s="12">
        <f>IF('Données projet'!$A$124&gt;35,BY170+BX171-CG170,IF(A171&lt;'Données projet'!$A$124,$BV$205^A171,IF(A171='Données projet'!$A$124,'Données projet'!$B$124,BY170+BX171-CG170)))</f>
        <v>0</v>
      </c>
      <c r="BZ171" s="13">
        <f>BY171*VLOOKUP('Données projet'!$B$12,Paramètres!$A$1:$I$89,3,0)*VLOOKUP('Données projet'!$B$12,Paramètres!$A$1:$I$89,5,0)</f>
        <v>0</v>
      </c>
      <c r="CA171" s="13" t="e">
        <f t="shared" si="335"/>
        <v>#NUM!</v>
      </c>
      <c r="CB171" s="20" t="e">
        <f t="shared" si="336"/>
        <v>#NUM!</v>
      </c>
      <c r="CC171" s="59" t="e">
        <f t="shared" si="234"/>
        <v>#NUM!</v>
      </c>
      <c r="CD171" s="59">
        <f ca="1">AVERAGE(OFFSET($CC$3,0,0,'Données projet'!$E$12+1,1))-AVERAGE(OFFSET($H$3,0,0,'Données projet'!$E$12+1,1))</f>
        <v>322.93502595881938</v>
      </c>
      <c r="CE171" s="59">
        <f t="shared" si="293"/>
        <v>302.67072119588164</v>
      </c>
      <c r="CF171" s="15">
        <f>IF(ISNA(VLOOKUP(A171,'Données projet'!$A$123:$I$143,3,0)),0,VLOOKUP(A171,'Données projet'!$A$123:$I$143,3,0))</f>
        <v>0</v>
      </c>
      <c r="CG171" s="15">
        <f>IF(ISNA(VLOOKUP(A171,'Données projet'!$A$123:$I$143,4,0)),0,VLOOKUP(A171,'Données projet'!$A$123:$I$143,4,0))</f>
        <v>0</v>
      </c>
      <c r="CH171" s="16">
        <f>IF(ISNA(VLOOKUP(A171,'Données projet'!$A$123:$I$143,5,0)),0%,VLOOKUP(A171,'Données projet'!$A$123:$I$143,5,0)*VLOOKUP('Données projet'!$B$12,Paramètres!$A$1:$I$89,7,0))</f>
        <v>0</v>
      </c>
      <c r="CI171" s="16">
        <f>IF(ISNA(VLOOKUP(A171,'Données projet'!$A$123:$I$143,6,0)),0%,VLOOKUP(A171,'Données projet'!$A$123:$I$143,6,0)*VLOOKUP('Données projet'!$B$12,Paramètres!$A$1:$I$89,7,0))</f>
        <v>0</v>
      </c>
      <c r="CJ171" s="16">
        <f>IF(ISNA(VLOOKUP(A171,'Données projet'!$A$123:$I$143,7,0)),0%,VLOOKUP(A171,'Données projet'!$A$123:$I$143,7,0))</f>
        <v>0</v>
      </c>
      <c r="CK171" s="21">
        <f>EXP(-LN(2)/35)*CK170+(1-EXP(-LN(2)/35))/(LN(2)/35)*CG171*CH171*VLOOKUP('Données projet'!$B$12,Paramètres!$A$1:$I$89,3,0)*0.475*44/12</f>
        <v>30.462430990290983</v>
      </c>
      <c r="CL171" s="21">
        <f>EXP(-LN(2)/25)*CL170+(1-EXP(-LN(2)/25))/(LN(2)/25)*Calculateur!CG171*Calculateur!CI171*VLOOKUP('Données projet'!$B$12,Paramètres!$A$1:$I$89,3,0)*0.475*44/12</f>
        <v>6.3542947208705716</v>
      </c>
      <c r="CM171" s="21">
        <f>EXP(-LN(2)/2)*CM170+(1-EXP(-LN(2)/2))/(LN(2)/2)*CG171*CJ171*VLOOKUP('Données projet'!$B$12,Paramètres!$A$1:$I$89,3,0)*0.475*44/12</f>
        <v>0</v>
      </c>
      <c r="CN171" s="22">
        <f t="shared" si="337"/>
        <v>36.816725711161553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projet'!$A$149:$I$169,2,0)</f>
        <v>#N/A</v>
      </c>
      <c r="CR171" s="12" t="e">
        <f>VLOOKUP(A171,'Données projet'!$A$149:$I$169,9,0)</f>
        <v>#N/A</v>
      </c>
      <c r="CS171" s="12">
        <f t="array" ref="CS171">INDEX(CR:CR,MIN(IF(ISNUMBER(CR171:CR367),ROW(CR171:CR367),"")))</f>
        <v>0</v>
      </c>
      <c r="CT171" s="12">
        <f>IF('Données projet'!$A$150&gt;35,CT170+CS171-DB170,IF(A171&lt;'Données projet'!$A$150,$CQ$205^A171,IF(A171='Données projet'!$A$150,'Données projet'!$B$150,CT170+CS171-DB170)))</f>
        <v>-4.5474735088646412E-13</v>
      </c>
      <c r="CU171" s="17">
        <f>CT171*VLOOKUP('Données projet'!$B$13,Paramètres!$A$1:$I$89,3,0)*VLOOKUP('Données projet'!$B$13,Paramètres!$A$1:$I$89,5,0)</f>
        <v>-4.6111381379887462E-13</v>
      </c>
      <c r="CV171" s="13" t="e">
        <f t="shared" si="338"/>
        <v>#NUM!</v>
      </c>
      <c r="CW171" s="20" t="e">
        <f t="shared" si="339"/>
        <v>#NUM!</v>
      </c>
      <c r="CX171" s="59" t="e">
        <f t="shared" si="237"/>
        <v>#NUM!</v>
      </c>
      <c r="CY171" s="59">
        <f ca="1">AVERAGE(OFFSET($CX$3,0,0,'Données projet'!$E$13+1,1))-AVERAGE(OFFSET($H$3,0,0,'Données projet'!$E$13+1,1))</f>
        <v>250.31277422753283</v>
      </c>
      <c r="CZ171" s="59">
        <f t="shared" si="295"/>
        <v>159.20429420478047</v>
      </c>
      <c r="DA171" s="15">
        <f>IF(ISNA(VLOOKUP(A171,'Données projet'!$A$149:$I$169,3,0)),0,VLOOKUP(A171,'Données projet'!$A$149:$I$169,3,0))</f>
        <v>0</v>
      </c>
      <c r="DB171" s="15">
        <f>IF(ISNA(VLOOKUP(A171,'Données projet'!$A$149:$I$169,4,0)),0,VLOOKUP(A171,'Données projet'!$A$149:$I$169,4,0))</f>
        <v>0</v>
      </c>
      <c r="DC171" s="16">
        <f>IF(ISNA(VLOOKUP(A171,'Données projet'!$A$149:$I$169,5,0)),0%,VLOOKUP(A171,'Données projet'!$A$149:$I$169,5,0)*VLOOKUP('Données projet'!$B$13,Paramètres!$A$1:$I$89,7,0))</f>
        <v>0</v>
      </c>
      <c r="DD171" s="16">
        <f>IF(ISNA(VLOOKUP(A171,'Données projet'!$A$149:$I$169,6,0)),0%,VLOOKUP(A171,'Données projet'!$A$149:$I$169,6,0)*VLOOKUP('Données projet'!$B$13,Paramètres!$A$1:$I$89,7,0))</f>
        <v>0</v>
      </c>
      <c r="DE171" s="16">
        <f>IF(ISNA(VLOOKUP(A171,'Données projet'!$A$149:$I$169,7,0)),0%,VLOOKUP(A171,'Données projet'!$A$149:$I$169,7,0))</f>
        <v>0</v>
      </c>
      <c r="DF171" s="21">
        <f>EXP(-LN(2)/35)*DF170+(1-EXP(-LN(2)/35))/(LN(2)/35)*DB171*DC171*VLOOKUP('Données projet'!$B$13,Paramètres!$A$1:$I$89,3,0)*0.475*44/12</f>
        <v>138.67406181090107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340"/>
        <v>138.67406181090107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projet'!$A$175:$I$195,2,0)</f>
        <v>#N/A</v>
      </c>
      <c r="DM171" s="12" t="e">
        <f>VLOOKUP(A171,'Données projet'!$A$175:$I$195,9,0)</f>
        <v>#N/A</v>
      </c>
      <c r="DN171" s="12">
        <f t="array" ref="DN171">INDEX(DM:DM,MIN(IF(ISNUMBER(DM171:DM367),ROW(DM171:DM367),"")))</f>
        <v>0</v>
      </c>
      <c r="DO171" s="12">
        <f>IF('Données projet'!$A$176&gt;35,DO170+DN171-DW170,IF(A171&lt;'Données projet'!$A$176,$DL$205^A171,IF(A171='Données projet'!$A$176,'Données projet'!$B$176,DO170+DN171-DW170)))</f>
        <v>-2.8421709430404007E-13</v>
      </c>
      <c r="DP171" s="17">
        <f>DO171*VLOOKUP('Données projet'!$B$14,Paramètres!$A$1:$I$89,3,0)*VLOOKUP('Données projet'!$B$14,Paramètres!$A$1:$I$89,5,0)</f>
        <v>-2.0838797354372215E-13</v>
      </c>
      <c r="DQ171" s="13" t="e">
        <f t="shared" si="341"/>
        <v>#NUM!</v>
      </c>
      <c r="DR171" s="20" t="e">
        <f t="shared" si="342"/>
        <v>#NUM!</v>
      </c>
      <c r="DS171" s="59" t="e">
        <f t="shared" si="240"/>
        <v>#NUM!</v>
      </c>
      <c r="DT171" s="59">
        <f ca="1">AVERAGE(OFFSET($DS$3,0,0,'Données projet'!$E$14+1,1))-AVERAGE(OFFSET($H$3,0,0,'Données projet'!$E$14+1,1))</f>
        <v>296.91321813251051</v>
      </c>
      <c r="DU171" s="59">
        <f t="shared" si="297"/>
        <v>291.0718079639509</v>
      </c>
      <c r="DV171" s="15">
        <f>IF(ISNA(VLOOKUP(A171,'Données projet'!$A$175:$I$195,3,0)),0,VLOOKUP(A171,'Données projet'!$A$175:$I$195,3,0))</f>
        <v>0</v>
      </c>
      <c r="DW171" s="15">
        <f>IF(ISNA(VLOOKUP(A171,'Données projet'!$A$175:$I$195,4,0)),0,VLOOKUP(A171,'Données projet'!$A$175:$I$195,4,0))</f>
        <v>0</v>
      </c>
      <c r="DX171" s="16">
        <f>IF(ISNA(VLOOKUP(A171,'Données projet'!$A$175:$I$195,5,0)),0%,VLOOKUP(A171,'Données projet'!$A$175:$I$195,5,0)*VLOOKUP('Données projet'!$B$14,Paramètres!$A$1:$I$89,7,0))</f>
        <v>0</v>
      </c>
      <c r="DY171" s="16">
        <f>IF(ISNA(VLOOKUP(A171,'Données projet'!$A$175:$I$195,6,0)),0%,VLOOKUP(A171,'Données projet'!$A$175:$I$195,6,0)*VLOOKUP('Données projet'!$B$14,Paramètres!$A$1:$I$89,7,0))</f>
        <v>0</v>
      </c>
      <c r="DZ171" s="16">
        <f>IF(ISNA(VLOOKUP(A171,'Données projet'!$A$175:$I$195,7,0)),0%,VLOOKUP(A171,'Données projet'!$A$175:$I$195,7,0))</f>
        <v>0</v>
      </c>
      <c r="EA171" s="21">
        <f>EXP(-LN(2)/35)*EA170+(1-EXP(-LN(2)/35))/(LN(2)/35)*DW171*DX171*VLOOKUP('Données projet'!$B$14,Paramètres!$A$1:$I$89,3,0)*0.475*44/12</f>
        <v>30.361263948713042</v>
      </c>
      <c r="EB171" s="21">
        <f>EXP(-LN(2)/25)*EB170+(1-EXP(-LN(2)/25))/(LN(2)/25)*Calculateur!DW171*Calculateur!DY171*VLOOKUP('Données projet'!$B$14,Paramètres!$A$1:$I$89,3,0)*0.475*44/12</f>
        <v>0.46679225319477663</v>
      </c>
      <c r="EC171" s="21">
        <f>EXP(-LN(2)/2)*EC170+(1-EXP(-LN(2)/2))/(LN(2)/2)*DW171*DZ171*VLOOKUP('Données projet'!$B$14,Paramètres!$A$1:$I$89,3,0)*0.475*44/12</f>
        <v>0</v>
      </c>
      <c r="ED171" s="22">
        <f t="shared" si="343"/>
        <v>30.828056201907817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projet'!$A$201:$I$221,2,0)</f>
        <v>#N/A</v>
      </c>
      <c r="EH171" s="12" t="e">
        <f>VLOOKUP(A171,'Données projet'!$A$201:$I$221,9,0)</f>
        <v>#N/A</v>
      </c>
      <c r="EI171" s="12">
        <f t="array" ref="EI171">INDEX(EH:EH,MIN(IF(ISNUMBER(EH171:EH367),ROW(EH171:EH367),"")))</f>
        <v>0</v>
      </c>
      <c r="EJ171" s="12">
        <f>IF('Données projet'!$A$202&gt;35,EJ170+EI171-ER170,IF(A171&lt;'Données projet'!$A$202,$EG$205^A171,IF(A171='Données projet'!$A$202,'Données projet'!$B$202,EJ170+EI171-ER170)))</f>
        <v>5.1159076974727213E-13</v>
      </c>
      <c r="EK171" s="17">
        <f>EJ171*VLOOKUP('Données projet'!$B$15,Paramètres!$A$1:$I$89,3,0)*VLOOKUP('Données projet'!$B$15,Paramètres!$A$1:$I$89,5,0)</f>
        <v>2.3942448024172334E-13</v>
      </c>
      <c r="EL171" s="13">
        <f t="shared" si="344"/>
        <v>3.2492669905861755E-12</v>
      </c>
      <c r="EM171" s="20">
        <f t="shared" si="345"/>
        <v>6.0761376450252565E-12</v>
      </c>
      <c r="EN171" s="59">
        <f t="shared" si="243"/>
        <v>293.3333333333394</v>
      </c>
      <c r="EO171" s="59">
        <f ca="1">AVERAGE(OFFSET($EN$3,0,0,'Données projet'!$E$15+1,1))-AVERAGE(OFFSET($H$3,0,0,'Données projet'!$E$15+1,1))</f>
        <v>147.64256291235483</v>
      </c>
      <c r="EP171" s="59">
        <f t="shared" si="299"/>
        <v>70.859031694091868</v>
      </c>
      <c r="EQ171" s="15">
        <f>IF(ISNA(VLOOKUP(A171,'Données projet'!$A$201:$I$221,3,0)),0,VLOOKUP(A171,'Données projet'!$A$201:$I$221,3,0))</f>
        <v>0</v>
      </c>
      <c r="ER171" s="15">
        <f>IF(ISNA(VLOOKUP(A171,'Données projet'!$A$201:$I$221,4,0)),0,VLOOKUP(A171,'Données projet'!$A$201:$I$221,4,0))</f>
        <v>0</v>
      </c>
      <c r="ES171" s="16">
        <f>IF(ISNA(VLOOKUP(A171,'Données projet'!$A$201:$I$221,5,0)),0%,VLOOKUP(A171,'Données projet'!$A$201:$I$221,5,0)*VLOOKUP('Données projet'!$B$15,Paramètres!$A$1:$I$89,7,0))</f>
        <v>0</v>
      </c>
      <c r="ET171" s="16">
        <f>IF(ISNA(VLOOKUP(A171,'Données projet'!$A$201:$I$221,6,0)),0%,VLOOKUP(A171,'Données projet'!$A$201:$I$221,6,0)*VLOOKUP('Données projet'!$B$15,Paramètres!$A$1:$I$89,7,0))</f>
        <v>0</v>
      </c>
      <c r="EU171" s="16">
        <f>IF(ISNA(VLOOKUP(A171,'Données projet'!$A$201:$I$221,7,0)),0%,VLOOKUP(A171,'Données projet'!$A$201:$I$221,7,0))</f>
        <v>0</v>
      </c>
      <c r="EV171" s="21">
        <f>EXP(-LN(2)/35)*EV170+(1-EXP(-LN(2)/35))/(LN(2)/35)*ER171*ES171*VLOOKUP('Données projet'!$B$15,Paramètres!$A$1:$I$89,3,0)*0.475*44/12</f>
        <v>41.56504892551682</v>
      </c>
      <c r="EW171" s="21">
        <f>EXP(-LN(2)/25)*EW170+(1-EXP(-LN(2)/25))/(LN(2)/25)*Calculateur!ER171*Calculateur!ET171*VLOOKUP('Données projet'!$B$15,Paramètres!$A$1:$I$89,3,0)*0.475*44/12</f>
        <v>6.4762722278309184</v>
      </c>
      <c r="EX171" s="21">
        <f>EXP(-LN(2)/2)*EX170+(1-EXP(-LN(2)/2))/(LN(2)/2)*ER171*EU171*VLOOKUP('Données projet'!$B$15,Paramètres!$A$1:$I$89,3,0)*0.475*44/12</f>
        <v>2.4166857166942264E-8</v>
      </c>
      <c r="EY171" s="22">
        <f t="shared" si="346"/>
        <v>48.041321177514597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projet'!$A$227:$I$247,2,0)</f>
        <v>#N/A</v>
      </c>
      <c r="FC171" s="12" t="e">
        <f>VLOOKUP(A171,'Données projet'!$A$227:$I$247,9,0)</f>
        <v>#N/A</v>
      </c>
      <c r="FD171" s="12">
        <f t="array" ref="FD171">INDEX(FC:FC,MIN(IF(ISNUMBER(FC171:FC367),ROW(FC171:FC367),"")))</f>
        <v>0</v>
      </c>
      <c r="FE171" s="12">
        <f>IF('Données projet'!$A$228&gt;35,FE170+FD171-FM170,IF(A171&lt;'Données projet'!$A$228,$FB$205^A171,IF(A171='Données projet'!$A$228,'Données projet'!$B$228,FE170+FD171-FM170)))</f>
        <v>8.5265128291212022E-14</v>
      </c>
      <c r="FF171" s="17">
        <f>FE171*VLOOKUP('Données projet'!$B$16,Paramètres!$A$1:$I$89,3,0)*VLOOKUP('Données projet'!$B$16,Paramètres!$A$1:$I$89,5,0)</f>
        <v>8.9119112089974823E-14</v>
      </c>
      <c r="FG171" s="13">
        <f t="shared" si="347"/>
        <v>1.3568952080113142E-12</v>
      </c>
      <c r="FH171" s="20">
        <f t="shared" si="348"/>
        <v>2.5184749408430782E-12</v>
      </c>
      <c r="FI171" s="59">
        <f t="shared" si="246"/>
        <v>293.33333333333582</v>
      </c>
      <c r="FJ171" s="59">
        <f ca="1">AVERAGE(OFFSET($FI$3,0,0,'Données projet'!$E$16+1,1))-AVERAGE(OFFSET($H$3,0,0,'Données projet'!$E$16+1,1))</f>
        <v>259.03906550253788</v>
      </c>
      <c r="FK171" s="59">
        <f t="shared" si="301"/>
        <v>235.54542903570831</v>
      </c>
      <c r="FL171" s="15">
        <f>IF(ISNA(VLOOKUP(A171,'Données projet'!$A$227:$I$247,3,0)),0,VLOOKUP(A171,'Données projet'!$A$227:$I$247,3,0))</f>
        <v>0</v>
      </c>
      <c r="FM171" s="15">
        <f>IF(ISNA(VLOOKUP(A171,'Données projet'!$A$227:$I$247,4,0)),0,VLOOKUP(A171,'Données projet'!$A$227:$I$247,4,0))</f>
        <v>0</v>
      </c>
      <c r="FN171" s="16">
        <f>IF(ISNA(VLOOKUP(A171,'Données projet'!$A$227:$I$247,5,0)),0%,VLOOKUP(A171,'Données projet'!$A$227:$I$247,5,0)*VLOOKUP('Données projet'!$B$16,Paramètres!$A$1:$I$89,7,0))</f>
        <v>0</v>
      </c>
      <c r="FO171" s="16">
        <f>IF(ISNA(VLOOKUP(A171,'Données projet'!$A$227:$I$247,6,0)),0%,VLOOKUP(A171,'Données projet'!$A$227:$I$247,6,0)*VLOOKUP('Données projet'!$B$16,Paramètres!$A$1:$I$89,7,0))</f>
        <v>0</v>
      </c>
      <c r="FP171" s="16">
        <f>IF(ISNA(VLOOKUP(A171,'Données projet'!$A$227:$I$247,7,0)),0%,VLOOKUP(A171,'Données projet'!$A$227:$I$247,7,0))</f>
        <v>0</v>
      </c>
      <c r="FQ171" s="21">
        <f>EXP(-LN(2)/35)*FQ170+(1-EXP(-LN(2)/35))/(LN(2)/35)*FM171*FN171*VLOOKUP('Données projet'!$B$16,Paramètres!$A$1:$I$89,3,0)*0.475*44/12</f>
        <v>18.345682986483137</v>
      </c>
      <c r="FR171" s="21">
        <f>EXP(-LN(2)/25)*FR170+(1-EXP(-LN(2)/25))/(LN(2)/25)*Calculateur!FM171*Calculateur!FO171*VLOOKUP('Données projet'!$B$16,Paramètres!$A$1:$I$89,3,0)*0.475*44/12</f>
        <v>8.9092435762469719</v>
      </c>
      <c r="FS171" s="21">
        <f>EXP(-LN(2)/2)*FS170+(1-EXP(-LN(2)/2))/(LN(2)/2)*FM171*FP171*VLOOKUP('Données projet'!$B$16,Paramètres!$A$1:$I$89,3,0)*0.475*44/12</f>
        <v>0</v>
      </c>
      <c r="FT171" s="22">
        <f t="shared" si="349"/>
        <v>27.254926562730109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projet'!$A$253:$I$273,2,0)</f>
        <v>#N/A</v>
      </c>
      <c r="FX171" s="12" t="e">
        <f>VLOOKUP(A171,'Données projet'!$A$253:$I$273,9,0)</f>
        <v>#N/A</v>
      </c>
      <c r="FY171" s="12">
        <f t="array" ref="FY171">INDEX(FX:FX,MIN(IF(ISNUMBER(FX171:FX367),ROW(FX171:FX367),"")))</f>
        <v>0</v>
      </c>
      <c r="FZ171" s="12">
        <f>IF('Données projet'!$A$254&gt;35,FZ170+FY171-GH170,IF(A171&lt;'Données projet'!$A$254,$FW$205^A171,IF(A171='Données projet'!$A$254,'Données projet'!$B$254,FZ170+FY171-GH170)))</f>
        <v>-1.7053025658242404E-13</v>
      </c>
      <c r="GA171" s="17">
        <f>FZ171*VLOOKUP('Données projet'!$B$17,Paramètres!$A$1:$I$89,3,0)*VLOOKUP('Données projet'!$B$17,Paramètres!$A$1:$I$89,5,0)</f>
        <v>-1.4897523215040567E-13</v>
      </c>
      <c r="GB171" s="13" t="e">
        <f t="shared" si="350"/>
        <v>#NUM!</v>
      </c>
      <c r="GC171" s="20" t="e">
        <f t="shared" si="351"/>
        <v>#NUM!</v>
      </c>
      <c r="GD171" s="59" t="e">
        <f t="shared" si="249"/>
        <v>#NUM!</v>
      </c>
      <c r="GE171" s="59">
        <f ca="1">AVERAGE(OFFSET($GD$3,0,0,'Données projet'!$E$17+1,1))-AVERAGE(OFFSET($H$3,0,0,'Données projet'!$E$17+1,1))</f>
        <v>245.1983232777614</v>
      </c>
      <c r="GF171" s="59">
        <f t="shared" si="303"/>
        <v>242.34010522344573</v>
      </c>
      <c r="GG171" s="15">
        <f>IF(ISNA(VLOOKUP(A171,'Données projet'!$A$253:$I$273,3,0)),0,VLOOKUP(A171,'Données projet'!$A$253:$I$273,3,0))</f>
        <v>0</v>
      </c>
      <c r="GH171" s="15">
        <f>IF(ISNA(VLOOKUP(A171,'Données projet'!$A$253:$I$273,4,0)),0,VLOOKUP(A171,'Données projet'!$A$253:$I$273,4,0))</f>
        <v>0</v>
      </c>
      <c r="GI171" s="16">
        <f>IF(ISNA(VLOOKUP(A171,'Données projet'!$A$253:$I$273,5,0)),0%,VLOOKUP(A171,'Données projet'!$A$253:$I$273,5,0)*VLOOKUP('Données projet'!$B$17,Paramètres!$A$1:$I$89,7,0))</f>
        <v>0</v>
      </c>
      <c r="GJ171" s="16">
        <f>IF(ISNA(VLOOKUP(A171,'Données projet'!$A$253:$I$273,6,0)),0%,VLOOKUP(A171,'Données projet'!$A$253:$I$273,6,0)*VLOOKUP('Données projet'!$B$17,Paramètres!$A$1:$I$89,7,0))</f>
        <v>0</v>
      </c>
      <c r="GK171" s="16">
        <f>IF(ISNA(VLOOKUP(A171,'Données projet'!$A$253:$I$273,7,0)),0%,VLOOKUP(A171,'Données projet'!$A$253:$I$273,7,0))</f>
        <v>0</v>
      </c>
      <c r="GL171" s="21">
        <f>EXP(-LN(2)/35)*GL170+(1-EXP(-LN(2)/35))/(LN(2)/35)*GH171*GI171*VLOOKUP('Données projet'!$B$17,Paramètres!$A$1:$I$89,3,0)*0.475*44/12</f>
        <v>21.567867420453538</v>
      </c>
      <c r="GM171" s="21">
        <f>EXP(-LN(2)/25)*GM170+(1-EXP(-LN(2)/25))/(LN(2)/25)*Calculateur!GH171*Calculateur!GJ171*VLOOKUP('Données projet'!$B$17,Paramètres!$A$1:$I$89,3,0)*0.475*44/12</f>
        <v>1.898342762368223</v>
      </c>
      <c r="GN171" s="21">
        <f>EXP(-LN(2)/2)*GN170+(1-EXP(-LN(2)/2))/(LN(2)/2)*GH171*GK171*VLOOKUP('Données projet'!$B$17,Paramètres!$A$1:$I$89,3,0)*0.475*44/12</f>
        <v>0</v>
      </c>
      <c r="GO171" s="21">
        <f t="shared" si="352"/>
        <v>23.466210182821762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projet'!$A$279:$I$299,2,0)</f>
        <v>#N/A</v>
      </c>
      <c r="GS171" s="12" t="e">
        <f>VLOOKUP(A171,'Données projet'!$A$279:$I$299,9,0)</f>
        <v>#N/A</v>
      </c>
      <c r="GT171" s="12">
        <f t="array" ref="GT171">INDEX(GS:GS,MIN(IF(ISNUMBER(GS171:GS367),ROW(GS171:GS367),"")))</f>
        <v>0</v>
      </c>
      <c r="GU171" s="12">
        <f>IF('Données projet'!$A$280&gt;35,GU170+GT171-HC170,IF(A171&lt;'Données projet'!$A$280,$GR$205^A171,IF(A171='Données projet'!$A$280,'Données projet'!$B$280,GU170+GT171-HC170)))</f>
        <v>-1.1368683772161603E-13</v>
      </c>
      <c r="GV171" s="17">
        <f>GU171*VLOOKUP('Données projet'!$B$18,Paramètres!$A$1:$I$89,3,0)*VLOOKUP('Données projet'!$B$18,Paramètres!$A$1:$I$89,5,0)</f>
        <v>-4.5815795601811263E-14</v>
      </c>
      <c r="GW171" s="13" t="e">
        <f t="shared" si="353"/>
        <v>#NUM!</v>
      </c>
      <c r="GX171" s="20" t="e">
        <f t="shared" si="354"/>
        <v>#NUM!</v>
      </c>
      <c r="GY171" s="59" t="e">
        <f t="shared" si="252"/>
        <v>#NUM!</v>
      </c>
      <c r="GZ171" s="59">
        <f ca="1">AVERAGE(OFFSET($GY$3,0,0,'Données projet'!$E$18+1,1))-AVERAGE(OFFSET($H$3,0,0,'Données projet'!$E$18+1,1))</f>
        <v>324.36162935850876</v>
      </c>
      <c r="HA171" s="59">
        <f t="shared" si="305"/>
        <v>265.23571072429735</v>
      </c>
      <c r="HB171" s="15">
        <f>IF(ISNA(VLOOKUP(A171,'Données projet'!$A$279:$I$299,3,0)),0,VLOOKUP(A171,'Données projet'!$A$279:$I$299,3,0))</f>
        <v>0</v>
      </c>
      <c r="HC171" s="15">
        <f>IF(ISNA(VLOOKUP(A171,'Données projet'!$A$279:$I$299,4,0)),0,VLOOKUP(A171,'Données projet'!$A$279:$I$299,4,0))</f>
        <v>0</v>
      </c>
      <c r="HD171" s="16">
        <f>IF(ISNA(VLOOKUP(A171,'Données projet'!$A$279:$I$299,5,0)),0%,VLOOKUP(A171,'Données projet'!$A$279:$I$299,5,0)*VLOOKUP('Données projet'!$B$18,Paramètres!$A$1:$I$89,7,0))</f>
        <v>0</v>
      </c>
      <c r="HE171" s="16">
        <f>IF(ISNA(VLOOKUP(A171,'Données projet'!$A$279:$I$299,6,0)),0%,VLOOKUP(A171,'Données projet'!$A$279:$I$299,6,0)*VLOOKUP('Données projet'!$B$18,Paramètres!$A$1:$I$89,7,0))</f>
        <v>0</v>
      </c>
      <c r="HF171" s="16">
        <f>IF(ISNA(VLOOKUP($A171,'Données projet'!$A$279:$I$299,7,0)),0%,VLOOKUP($A171,'Données projet'!$A$279:$I$299,7,0))</f>
        <v>0</v>
      </c>
      <c r="HG171" s="21">
        <f>EXP(-LN(2)/35)*HG170+(1-EXP(-LN(2)/35))/(LN(2)/35)*HC171*HD171*VLOOKUP('Données projet'!$B$18,Paramètres!$A$1:$I$89,3,0)*0.475*44/12</f>
        <v>41.3296722238277</v>
      </c>
      <c r="HH171" s="21">
        <f>EXP(-LN(2)/25)*HH170+(1-EXP(-LN(2)/25))/(LN(2)/25)*Calculateur!HC171*Calculateur!HE171*VLOOKUP('Données projet'!$B$18,Paramètres!$A$1:$I$89,3,0)*0.475*44/12</f>
        <v>2.1112967008335679</v>
      </c>
      <c r="HI171" s="21">
        <f>EXP(-LN(2)/2)*HI170+(1-EXP(-LN(2)/2))/(LN(2)/2)*HC171*HF171*VLOOKUP('Données projet'!$B$18,Paramètres!$A$1:$I$89,3,0)*0.475*44/12</f>
        <v>4.8585262160144838E-13</v>
      </c>
      <c r="HJ171" s="22">
        <f t="shared" si="355"/>
        <v>43.440968924661753</v>
      </c>
      <c r="HK171" s="74">
        <f>('Scénario référence'!$F$8+'Scénario référence'!$F$9+'Scénario référence'!$B$17+'Scénario référence'!$B$9+'Scénario référence'!$B$10)*70+IF((45+25*(1-EXP(-0.0175*$A171)))&lt;70,'Scénario référence'!$B$16*(45+25*(1-EXP(-0.0175*$A171))),70*'Scénario référence'!$B$16)+IF((32+38*(1-EXP(-0.0175*$A171)))&lt;70,'Scénario référence'!$B$18*(32+38*(1-EXP(-0.0175*$A171))),70*'Scénario référence'!$B$18)</f>
        <v>70</v>
      </c>
      <c r="HL171" s="12">
        <f>IF($A171&gt;30,10,('Scénario référence'!$B$16+'Scénario référence'!$B$17+'Scénario référence'!$B$18+'Scénario référence'!$B$9+'Scénario référence'!$B$10)*$A171*10/30+('Scénario référence'!$F$8+'Scénario référence'!$F$9)*10)</f>
        <v>10</v>
      </c>
      <c r="HM171" s="12" t="e">
        <f>VLOOKUP($A171,'Données projet'!$A$304:$I$324,2,0)</f>
        <v>#N/A</v>
      </c>
      <c r="HN171" s="12" t="e">
        <f>VLOOKUP($A171,'Données projet'!$A$304:$I$324,9,0)</f>
        <v>#N/A</v>
      </c>
      <c r="HO171" s="12">
        <f t="array" ref="HO171">INDEX(HN:HN,MIN(IF(ISNUMBER(HN171:HN367),ROW(HN171:HN367),"")))</f>
        <v>0</v>
      </c>
      <c r="HP171" s="12">
        <f>IF('Données projet'!$A$304&gt;35,HP170+HO171-HX170,IF($A171&lt;'Données projet'!$A$304,$CQ$205^$A171,IF($A171='Données projet'!$A$304,'Données projet'!$B$304,HP170+HO171-HX170)))</f>
        <v>0</v>
      </c>
      <c r="HQ171" s="17">
        <f>HP171*VLOOKUP('Données projet'!$B$19,Paramètres!$A$1:$I$89,3,0)*VLOOKUP('Données projet'!$B$19,Paramètres!$A$1:$I$89,5,0)</f>
        <v>0</v>
      </c>
      <c r="HR171" s="13" t="e">
        <f t="shared" si="306"/>
        <v>#NUM!</v>
      </c>
      <c r="HS171" s="14" t="e">
        <f t="shared" si="254"/>
        <v>#NUM!</v>
      </c>
      <c r="HT171" s="59" t="e">
        <f t="shared" si="255"/>
        <v>#NUM!</v>
      </c>
      <c r="HU171" s="59">
        <f ca="1">AVERAGE(OFFSET(HT$3,0,0,'Données projet'!$E$19+1,1))-AVERAGE(OFFSET($H$3,0,0,'Données projet'!$E$19+1,1))</f>
        <v>91.60721429656013</v>
      </c>
      <c r="HV171" s="59">
        <f t="shared" si="307"/>
        <v>258.94957804210856</v>
      </c>
      <c r="HW171" s="15">
        <f>IF(ISNA(VLOOKUP($A171,'Données projet'!$A$304:$I$324,3,0)),0,VLOOKUP($A171,'Données projet'!$A$304:$I$324,3,0))</f>
        <v>0</v>
      </c>
      <c r="HX171" s="15">
        <f>IF(ISNA(VLOOKUP($A171,'Données projet'!$A$304:$I$324,4,0)),0,VLOOKUP($A171,'Données projet'!$A$304:$I$324,4,0))</f>
        <v>0</v>
      </c>
      <c r="HY171" s="16">
        <f>IF(ISNA(VLOOKUP($A171,'Données projet'!$A$304:$I$324,5,0)),0%,VLOOKUP($A171,'Données projet'!$A$304:$I$324,5,0)*VLOOKUP('Données projet'!$B$19,Paramètres!$A$1:$I$89,7,0))</f>
        <v>0</v>
      </c>
      <c r="HZ171" s="16">
        <f>IF(ISNA(VLOOKUP($A171,'Données projet'!$A$304:$I$324,6,0)),0%,VLOOKUP($A171,'Données projet'!$A$304:$I$324,6,0)*VLOOKUP('Données projet'!$B$19,Paramètres!$A$1:$I$89,7,0))</f>
        <v>0</v>
      </c>
      <c r="IA171" s="16">
        <f>IF(ISNA(VLOOKUP($A171,'Données projet'!$A$304:$I$324,7,0)),0%,VLOOKUP($A171,'Données projet'!$A$304:$I$324,7,0))</f>
        <v>0</v>
      </c>
      <c r="IB171" s="21">
        <f>EXP(-LN(2)/35)*IB170+(1-EXP(-LN(2)/35))/(LN(2)/35)*HX171*HY171*VLOOKUP('Données projet'!$B$19,Paramètres!$A$1:$I$89,3,0)*0.475*44/12</f>
        <v>3.2078692471295494</v>
      </c>
      <c r="IC171" s="21">
        <f>EXP(-LN(2)/25)*IC170+(1-EXP(-LN(2)/25))/(LN(2)/25)*Calculateur!HX171*Calculateur!HZ171*VLOOKUP('Données projet'!$B$19,Paramètres!$A$1:$I$89,3,0)*0.475*44/12</f>
        <v>0.21199508077396906</v>
      </c>
      <c r="ID171" s="21">
        <f>EXP(-LN(2)/2)*ID170+(1-EXP(-LN(2)/2))/(LN(2)/2)*HX171*IA171*VLOOKUP('Données projet'!$B$19,Paramètres!$A$1:$I$89,3,0)*0.475*44/12</f>
        <v>9.704495639158811E-22</v>
      </c>
      <c r="IE171" s="22">
        <f t="shared" si="256"/>
        <v>3.4198643279035186</v>
      </c>
      <c r="IF171" s="74">
        <f>('Scénario référence'!$F$8+'Scénario référence'!$F$9+'Scénario référence'!$B$17+'Scénario référence'!$B$9+'Scénario référence'!$B$10)*70+IF((45+25*(1-EXP(-0.0175*$A171)))&lt;70,'Scénario référence'!$B$16*(45+25*(1-EXP(-0.0175*$A171))),70*'Scénario référence'!$B$16)+IF((32+38*(1-EXP(-0.0175*$A171)))&lt;70,'Scénario référence'!$B$18*(32+38*(1-EXP(-0.0175*$A171))),70*'Scénario référence'!$B$18)</f>
        <v>70</v>
      </c>
      <c r="IG171" s="12">
        <f>IF($A171&gt;30,10,('Scénario référence'!$B$16+'Scénario référence'!$B$17+'Scénario référence'!$B$18+'Scénario référence'!$B$9+'Scénario référence'!$B$10)*$A171*10/30+('Scénario référence'!$F$8+'Scénario référence'!$F$9)*10)</f>
        <v>10</v>
      </c>
      <c r="IH171" s="12" t="e">
        <f>VLOOKUP($A171,'Données projet'!$A$330:$I$350,2,0)</f>
        <v>#N/A</v>
      </c>
      <c r="II171" s="12" t="e">
        <f>VLOOKUP($A171,'Données projet'!$A$330:$I$350,9,0)</f>
        <v>#N/A</v>
      </c>
      <c r="IJ171" s="12">
        <f t="array" ref="IJ171">INDEX(II:II,MIN(IF(ISNUMBER(II171:II367),ROW(II171:II367),"")))</f>
        <v>0</v>
      </c>
      <c r="IK171" s="12">
        <f>IF('Données projet'!$A$330&gt;35,IK170+IJ171-IS170,IF($A171&lt;'Données projet'!$A$330,$CQ$205^$A171,IF($A171='Données projet'!$A$330,'Données projet'!$B$330,IK170+IJ171-IS170)))</f>
        <v>0</v>
      </c>
      <c r="IL171" s="17">
        <f>IK171*VLOOKUP('Données projet'!$B$20,Paramètres!$A$1:$I$89,3,0)*VLOOKUP('Données projet'!$B$20,Paramètres!$A$1:$I$89,5,0)</f>
        <v>0</v>
      </c>
      <c r="IM171" s="13" t="e">
        <f t="shared" si="308"/>
        <v>#NUM!</v>
      </c>
      <c r="IN171" s="20" t="e">
        <f t="shared" si="257"/>
        <v>#NUM!</v>
      </c>
      <c r="IO171" s="59" t="e">
        <f t="shared" si="258"/>
        <v>#NUM!</v>
      </c>
      <c r="IP171" s="59">
        <f ca="1">AVERAGE(OFFSET(IO$3,0,0,'Données projet'!$E$20+1,1))-AVERAGE(OFFSET($H$3,0,0,'Données projet'!$E$20+1,1))</f>
        <v>91.60721429656013</v>
      </c>
      <c r="IQ171" s="59">
        <f t="shared" si="309"/>
        <v>258.94957804210856</v>
      </c>
      <c r="IR171" s="15">
        <f>IF(ISNA(VLOOKUP($A171,'Données projet'!$A$330:$I$350,3,0)),0,VLOOKUP($A171,'Données projet'!$A$330:$I$350,3,0))</f>
        <v>0</v>
      </c>
      <c r="IS171" s="15">
        <f>IF(ISNA(VLOOKUP($A171,'Données projet'!$A$330:$I$350,4,0)),0,VLOOKUP($A171,'Données projet'!$A$330:$I$350,4,0))</f>
        <v>0</v>
      </c>
      <c r="IT171" s="16">
        <f>IF(ISNA(VLOOKUP($A171,'Données projet'!$A$330:$I$350,5,0)),0%,VLOOKUP($A171,'Données projet'!$A$330:$I$350,5,0)*VLOOKUP('Données projet'!$B$20,Paramètres!$A$1:$I$89,7,0))</f>
        <v>0</v>
      </c>
      <c r="IU171" s="16">
        <f>IF(ISNA(VLOOKUP($A171,'Données projet'!$A$330:$I$350,6,0)),0%,VLOOKUP($A171,'Données projet'!$A$330:$I$350,6,0)*VLOOKUP('Données projet'!$B$20,Paramètres!$A$1:$I$89,7,0))</f>
        <v>0</v>
      </c>
      <c r="IV171" s="16">
        <f>IF(ISNA(VLOOKUP($A171,'Données projet'!$A$330:$I$350,7,0)),0%,VLOOKUP($A171,'Données projet'!$A$330:$I$350,7,0))</f>
        <v>0</v>
      </c>
      <c r="IW171" s="21">
        <f>EXP(-LN(2)/35)*IW170+(1-EXP(-LN(2)/35))/(LN(2)/35)*IS171*IT171*VLOOKUP('Données projet'!$B$20,Paramètres!$A$1:$I$89,3,0)*0.475*44/12</f>
        <v>3.2078692471295494</v>
      </c>
      <c r="IX171" s="21">
        <f>EXP(-LN(2)/25)*IX170+(1-EXP(-LN(2)/25))/(LN(2)/25)*Calculateur!IS171*Calculateur!IU171*VLOOKUP('Données projet'!$B$20,Paramètres!$A$1:$I$89,3,0)*0.475*44/12</f>
        <v>0.21199508077396906</v>
      </c>
      <c r="IY171" s="21">
        <f>EXP(-LN(2)/2)*IY170+(1-EXP(-LN(2)/2))/(LN(2)/2)*IS171*IV171*VLOOKUP('Données projet'!$B$20,Paramètres!$A$1:$I$89,3,0)*0.475*44/12</f>
        <v>9.704495639158811E-22</v>
      </c>
      <c r="IZ171" s="22">
        <f t="shared" si="259"/>
        <v>3.4198643279035186</v>
      </c>
      <c r="JA171" s="74">
        <f>('Scénario référence'!$F$8+'Scénario référence'!$F$9+'Scénario référence'!$B$17+'Scénario référence'!$B$9+'Scénario référence'!$B$10)*70+IF((45+25*(1-EXP(-0.0175*$A171)))&lt;70,'Scénario référence'!$B$16*(45+25*(1-EXP(-0.0175*$A171))),70*'Scénario référence'!$B$16)+IF((32+38*(1-EXP(-0.0175*$A171)))&lt;70,'Scénario référence'!$B$18*(32+38*(1-EXP(-0.0175*$A171))),70*'Scénario référence'!$B$18)</f>
        <v>70</v>
      </c>
      <c r="JB171" s="12">
        <f>IF($A171&gt;30,10,('Scénario référence'!$B$16+'Scénario référence'!$B$17+'Scénario référence'!$B$18+'Scénario référence'!$B$9+'Scénario référence'!$B$10)*$A171*10/30+('Scénario référence'!$F$8+'Scénario référence'!$F$9)*10)</f>
        <v>10</v>
      </c>
      <c r="JC171" s="12" t="e">
        <f>VLOOKUP($A171,'Données projet'!$A$356:$I$376,2,0)</f>
        <v>#N/A</v>
      </c>
      <c r="JD171" s="12" t="e">
        <f>VLOOKUP($A171,'Données projet'!$A$356:$I$376,9,0)</f>
        <v>#N/A</v>
      </c>
      <c r="JE171" s="12">
        <f t="array" ref="JE171">INDEX(JD:JD,MIN(IF(ISNUMBER(JD171:JD367),ROW(JD171:JD367),"")))</f>
        <v>0</v>
      </c>
      <c r="JF171" s="12">
        <f>IF('Données projet'!$A$356&gt;35,JF170+JE171-JN170,IF($A171&lt;'Données projet'!$A$356,$CQ$205^$A171,IF($A171='Données projet'!$A$356,'Données projet'!$B$356,JF170+JE171-JN170)))</f>
        <v>-1.3073986337985843E-12</v>
      </c>
      <c r="JG171" s="17">
        <f>JF171*VLOOKUP('Données projet'!$B$21,Paramètres!$A$1:$I$89,3,0)*VLOOKUP('Données projet'!$B$21,Paramètres!$A$1:$I$89,5,0)</f>
        <v>-1.0605617717374117E-12</v>
      </c>
      <c r="JH171" s="13" t="e">
        <f t="shared" si="310"/>
        <v>#NUM!</v>
      </c>
      <c r="JI171" s="20" t="e">
        <f t="shared" si="260"/>
        <v>#NUM!</v>
      </c>
      <c r="JJ171" s="59" t="e">
        <f t="shared" si="261"/>
        <v>#NUM!</v>
      </c>
      <c r="JK171" s="59">
        <f ca="1">AVERAGE(OFFSET($JJ$3,0,0,'Données projet'!$E$22+1,1))-AVERAGE(OFFSET($H$3,0,0,'Données projet'!$E$22+1,1))</f>
        <v>353.35574633294613</v>
      </c>
      <c r="JL171" s="59">
        <f t="shared" si="311"/>
        <v>170.36796666474726</v>
      </c>
      <c r="JM171" s="15">
        <f>IF(ISNA(VLOOKUP($A171,'Données projet'!$A$356:$I$376,3,0)),0,VLOOKUP($A171,'Données projet'!$A$356:$I$376,3,0))</f>
        <v>0</v>
      </c>
      <c r="JN171" s="15">
        <f>IF(ISNA(VLOOKUP($A171,'Données projet'!$A$356:$I$376,4,0)),0,VLOOKUP($A171,'Données projet'!$A$356:$I$376,4,0))</f>
        <v>0</v>
      </c>
      <c r="JO171" s="16">
        <f>IF(ISNA(VLOOKUP($A171,'Données projet'!$A$356:$I$376,5,0)),0%,VLOOKUP($A171,'Données projet'!$A$356:$I$376,5,0)*VLOOKUP('Données projet'!$B$21,Paramètres!$A$1:$I$89,7,0))</f>
        <v>0</v>
      </c>
      <c r="JP171" s="16">
        <f>IF(ISNA(VLOOKUP($A171,'Données projet'!$A$356:$I$376,6,0)),0%,VLOOKUP($A171,'Données projet'!$A$356:$I$376,6,0)*VLOOKUP('Données projet'!$B$21,Paramètres!$A$1:$I$89,7,0))</f>
        <v>0</v>
      </c>
      <c r="JQ171" s="16">
        <f>IF(ISNA(VLOOKUP($A171,'Données projet'!$A$356:$I$376,7,0)),0%,VLOOKUP($A171,'Données projet'!$A$356:$I$376,7,0))</f>
        <v>0</v>
      </c>
      <c r="JR171" s="21">
        <f>EXP(-LN(2)/35)*JR170+(1-EXP(-LN(2)/35))/(LN(2)/35)*JN171*JO171*VLOOKUP('Données projet'!$B$21,Paramètres!$A$1:$I$89,3,0)*0.475*44/12</f>
        <v>51.426927365854496</v>
      </c>
      <c r="JS171" s="21">
        <f>EXP(-LN(2)/25)*JS170+(1-EXP(-LN(2)/25))/(LN(2)/25)*Calculateur!JN171*Calculateur!JP171*VLOOKUP('Données projet'!$B$21,Paramètres!$A$1:$I$89,3,0)*0.475*44/12</f>
        <v>46.398589596246353</v>
      </c>
      <c r="JT171" s="21">
        <f>EXP(-LN(2)/2)*JT170+(1-EXP(-LN(2)/2))/(LN(2)/2)*JN171*JQ171*VLOOKUP('Données projet'!$B$21,Paramètres!$A$1:$I$89,3,0)*0.475*44/12</f>
        <v>6.6974466624144843E-2</v>
      </c>
      <c r="JU171" s="18">
        <f t="shared" si="262"/>
        <v>97.892491428724995</v>
      </c>
      <c r="JV171" s="74">
        <f>('Scénario référence'!$F$8+'Scénario référence'!$F$9+'Scénario référence'!$B$17+'Scénario référence'!$B$9+'Scénario référence'!$B$10)*70+IF((45+25*(1-EXP(-0.0175*$A171)))&lt;70,'Scénario référence'!$B$16*(45+25*(1-EXP(-0.0175*$A171))),70*'Scénario référence'!$B$16)+IF((32+38*(1-EXP(-0.0175*$A171)))&lt;70,'Scénario référence'!$B$18*(32+38*(1-EXP(-0.0175*$A171))),70*'Scénario référence'!$B$18)</f>
        <v>70</v>
      </c>
      <c r="JW171" s="12">
        <f>IF($A171&gt;30,10,('Scénario référence'!$B$16+'Scénario référence'!$B$17+'Scénario référence'!$B$18+'Scénario référence'!$B$9+'Scénario référence'!$B$10)*$A171*10/30+('Scénario référence'!$F$8+'Scénario référence'!$F$9)*10)</f>
        <v>10</v>
      </c>
      <c r="JX171" s="12" t="e">
        <f>VLOOKUP($A171,'Données projet'!$A$382:$I$402,2,0)</f>
        <v>#N/A</v>
      </c>
      <c r="JY171" s="12" t="e">
        <f>VLOOKUP($A171,'Données projet'!$A$382:$I$402,9,0)</f>
        <v>#N/A</v>
      </c>
      <c r="JZ171" s="12">
        <f t="array" ref="JZ171">INDEX(JY:JY,MIN(IF(ISNUMBER(JY171:JY367),ROW(JY171:JY367),"")))</f>
        <v>0</v>
      </c>
      <c r="KA171" s="12">
        <f>IF('Données projet'!$A$382&gt;35,KA170+JZ171-KI170,IF($A171&lt;'Données projet'!$A$382,$CQ$205^$A171,IF($A171='Données projet'!$A$382,'Données projet'!$B$382,KA170+JZ171-KI170)))</f>
        <v>5.6843418860808015E-13</v>
      </c>
      <c r="KB171" s="17">
        <f>KA171*VLOOKUP('Données projet'!$B$22,Paramètres!$A$1:$I$89,3,0)*VLOOKUP('Données projet'!$B$22,Paramètres!$A$1:$I$89,5,0)</f>
        <v>3.8130565371830017E-13</v>
      </c>
      <c r="KC171" s="13">
        <f t="shared" si="312"/>
        <v>4.9019074112354236E-12</v>
      </c>
      <c r="KD171" s="20">
        <f t="shared" si="263"/>
        <v>9.2015960881277352E-12</v>
      </c>
      <c r="KE171" s="59">
        <f t="shared" si="264"/>
        <v>293.33333333334252</v>
      </c>
      <c r="KF171" s="59">
        <f ca="1">AVERAGE(OFFSET($KE$3,0,0,'Données projet'!$E$22+1,1))-AVERAGE(OFFSET($H$3,0,0,'Données projet'!$E$22+1,1))</f>
        <v>193.91714772848269</v>
      </c>
      <c r="KG171" s="59">
        <f t="shared" si="313"/>
        <v>159.20429420478047</v>
      </c>
      <c r="KH171" s="15">
        <f>IF(ISNA(VLOOKUP($A171,'Données projet'!$A$382:$I$402,3,0)),0,VLOOKUP($A171,'Données projet'!$A$382:$I$402,3,0))</f>
        <v>0</v>
      </c>
      <c r="KI171" s="15">
        <f>IF(ISNA(VLOOKUP($A171,'Données projet'!$A$382:$I$402,4,0)),0,VLOOKUP($A171,'Données projet'!$A$382:$I$402,4,0))</f>
        <v>0</v>
      </c>
      <c r="KJ171" s="16">
        <f>IF(ISNA(VLOOKUP($A171,'Données projet'!$A$382:$I$402,5,0)),0%,VLOOKUP($A171,'Données projet'!$A$382:$I$402,5,0)*VLOOKUP('Données projet'!$B$22,Paramètres!$A$1:$I$89,7,0))</f>
        <v>0</v>
      </c>
      <c r="KK171" s="16">
        <f>IF(ISNA(VLOOKUP($A171,'Données projet'!$A$382:$I$402,6,0)),0%,VLOOKUP($A171,'Données projet'!$A$382:$I$402,6,0)*VLOOKUP('Données projet'!$B$22,Paramètres!$A$1:$I$89,7,0))</f>
        <v>0</v>
      </c>
      <c r="KL171" s="16">
        <f>IF(ISNA(VLOOKUP($A171,'Données projet'!$A$382:$I$402,7,0)),0%,VLOOKUP($A171,'Données projet'!$A$382:$I$402,7,0))</f>
        <v>0</v>
      </c>
      <c r="KM171" s="21">
        <f>EXP(-LN(2)/35)*KM170+(1-EXP(-LN(2)/35))/(LN(2)/35)*KI171*KJ171*VLOOKUP('Données projet'!$B$22,Paramètres!$A$1:$I$89,3,0)*0.475*44/12</f>
        <v>75.088989902352125</v>
      </c>
      <c r="KN171" s="21">
        <f>EXP(-LN(2)/25)*KN170+(1-EXP(-LN(2)/25))/(LN(2)/25)*Calculateur!KI171*Calculateur!KK171*VLOOKUP('Données projet'!$B$22,Paramètres!$A$1:$I$89,3,0)*0.475*44/12</f>
        <v>0</v>
      </c>
      <c r="KO171" s="21">
        <f>EXP(-LN(2)/2)*KO170+(1-EXP(-LN(2)/2))/(LN(2)/2)*KI171*KL171*VLOOKUP('Données projet'!$B$22,Paramètres!$A$1:$I$89,3,0)*0.475*44/12</f>
        <v>0</v>
      </c>
      <c r="KP171" s="22">
        <f t="shared" si="265"/>
        <v>75.088989902352125</v>
      </c>
      <c r="KQ171" s="74">
        <f>('Scénario référence'!$F$8+'Scénario référence'!$F$9+'Scénario référence'!$B$17+'Scénario référence'!$B$9+'Scénario référence'!$B$10)*70+IF((45+25*(1-EXP(-0.0175*$A171)))&lt;70,'Scénario référence'!$B$16*(45+25*(1-EXP(-0.0175*$A171))),70*'Scénario référence'!$B$16)+IF((32+38*(1-EXP(-0.0175*$A171)))&lt;70,'Scénario référence'!$B$18*(32+38*(1-EXP(-0.0175*$A171))),70*'Scénario référence'!$B$18)</f>
        <v>70</v>
      </c>
      <c r="KR171" s="12">
        <f>IF($A171&gt;30,10,('Scénario référence'!$B$16+'Scénario référence'!$B$17+'Scénario référence'!$B$18+'Scénario référence'!$B$9+'Scénario référence'!$B$10)*$A171*10/30+('Scénario référence'!$F$8+'Scénario référence'!$F$9)*10)</f>
        <v>10</v>
      </c>
      <c r="KS171" s="12" t="e">
        <f>VLOOKUP($A171,'Données projet'!$A$408:$I$428,2,0)</f>
        <v>#N/A</v>
      </c>
      <c r="KT171" s="12" t="e">
        <f>VLOOKUP($A171,'Données projet'!$A$408:$I$428,9,0)</f>
        <v>#N/A</v>
      </c>
      <c r="KU171" s="12">
        <f t="array" ref="KU171">INDEX(KT:KT,MIN(IF(ISNUMBER(KT171:KT367),ROW(KT171:KT367),"")))</f>
        <v>0</v>
      </c>
      <c r="KV171" s="12">
        <f>IF('Données projet'!$A$408&gt;35,KV170+KU171-LD170,IF($A171&lt;'Données projet'!$A$408,$CQ$205^$A171,IF($A171='Données projet'!$A$408,'Données projet'!$B$408,KV170+KU171-LD170)))</f>
        <v>-1.1368683772161603E-13</v>
      </c>
      <c r="KW171" s="17">
        <f>KV171*VLOOKUP('Données projet'!$B$23,Paramètres!$A$1:$I$89,3,0)*VLOOKUP('Données projet'!$B$23,Paramètres!$A$1:$I$89,5,0)</f>
        <v>-9.9316821433603781E-14</v>
      </c>
      <c r="KX171" s="13" t="e">
        <f t="shared" si="314"/>
        <v>#NUM!</v>
      </c>
      <c r="KY171" s="14" t="e">
        <f t="shared" si="266"/>
        <v>#NUM!</v>
      </c>
      <c r="KZ171" s="59" t="e">
        <f t="shared" si="267"/>
        <v>#NUM!</v>
      </c>
      <c r="LA171" s="59">
        <f ca="1">AVERAGE(OFFSET($KZ$3,0,0,'Données projet'!$E$23+1,1))-AVERAGE(OFFSET($H$3,0,0,'Données projet'!$E$23+1,1))</f>
        <v>248.33596943633819</v>
      </c>
      <c r="LB171" s="59">
        <f t="shared" si="315"/>
        <v>242.34010522344573</v>
      </c>
      <c r="LC171" s="15">
        <f>IF(ISNA(VLOOKUP($A171,'Données projet'!$A$408:$I$428,3,0)),0,VLOOKUP($A171,'Données projet'!$A$408:$I$428,3,0))</f>
        <v>0</v>
      </c>
      <c r="LD171" s="15">
        <f>IF(ISNA(VLOOKUP($A171,'Données projet'!$A$408:$I$428,4,0)),0,VLOOKUP($A171,'Données projet'!$A$408:$I$428,4,0))</f>
        <v>0</v>
      </c>
      <c r="LE171" s="16">
        <f>IF(ISNA(VLOOKUP($A171,'Données projet'!$A$408:$I$428,5,0)),0%,VLOOKUP($A171,'Données projet'!$A$408:$I$428,5,0)*VLOOKUP('Données projet'!$B$23,Paramètres!$A$1:$I$89,7,0))</f>
        <v>0</v>
      </c>
      <c r="LF171" s="16">
        <f>IF(ISNA(VLOOKUP($A171,'Données projet'!$A$408:$I$428,6,0)),0%,VLOOKUP($A171,'Données projet'!$A$408:$I$428,6,0)*VLOOKUP('Données projet'!$B$23,Paramètres!$A$1:$I$89,7,0))</f>
        <v>0</v>
      </c>
      <c r="LG171" s="16">
        <f>IF(ISNA(VLOOKUP($A171,'Données projet'!$A$408:$I$428,7,0)),0%,VLOOKUP($A171,'Données projet'!$A$408:$I$428,7,0))</f>
        <v>0</v>
      </c>
      <c r="LH171" s="21">
        <f>EXP(-LN(2)/35)*LH170+(1-EXP(-LN(2)/35))/(LN(2)/35)*LD171*LE171*VLOOKUP('Données projet'!$B$23,Paramètres!$A$1:$I$89,3,0)*0.475*44/12</f>
        <v>21.567867420453538</v>
      </c>
      <c r="LI171" s="21">
        <f>EXP(-LN(2)/25)*LI170+(1-EXP(-LN(2)/25))/(LN(2)/25)*Calculateur!LD171*Calculateur!LF171*VLOOKUP('Données projet'!$B$23,Paramètres!$A$1:$I$89,3,0)*0.475*44/12</f>
        <v>1.898342762368223</v>
      </c>
      <c r="LJ171" s="21">
        <f>EXP(-LN(2)/2)*LJ170+(1-EXP(-LN(2)/2))/(LN(2)/2)*LD171*LG171*VLOOKUP('Données projet'!$B$23,Paramètres!$A$1:$I$89,3,0)*0.475*44/12</f>
        <v>0</v>
      </c>
      <c r="LK171" s="22">
        <f t="shared" si="268"/>
        <v>23.466210182821762</v>
      </c>
      <c r="LL171" s="74">
        <f>('Scénario référence'!$F$8+'Scénario référence'!$F$9+'Scénario référence'!$B$17+'Scénario référence'!$B$9+'Scénario référence'!$B$10)*70+IF((45+25*(1-EXP(-0.0175*$A171)))&lt;70,'Scénario référence'!$B$16*(45+25*(1-EXP(-0.0175*$A171))),70*'Scénario référence'!$B$16)+IF((32+38*(1-EXP(-0.0175*$A171)))&lt;70,'Scénario référence'!$B$18*(32+38*(1-EXP(-0.0175*$A171))),70*'Scénario référence'!$B$18)</f>
        <v>70</v>
      </c>
      <c r="LM171" s="12">
        <f>IF($A171&gt;30,10,('Scénario référence'!$B$16+'Scénario référence'!$B$17+'Scénario référence'!$B$18+'Scénario référence'!$B$9+'Scénario référence'!$B$10)*$A171*10/30+('Scénario référence'!$F$8+'Scénario référence'!$F$9)*10)</f>
        <v>10</v>
      </c>
      <c r="LN171" s="12" t="e">
        <f>VLOOKUP($A171,'Données projet'!$A$434:$I$454,2,0)</f>
        <v>#N/A</v>
      </c>
      <c r="LO171" s="12" t="e">
        <f>VLOOKUP($A171,'Données projet'!$A$434:$I$454,9,0)</f>
        <v>#N/A</v>
      </c>
      <c r="LP171" s="12">
        <f t="array" ref="LP171">INDEX(LO:LO,MIN(IF(ISNUMBER(LO171:LO367),ROW(LO171:LO367),"")))</f>
        <v>0</v>
      </c>
      <c r="LQ171" s="12">
        <f>IF('Données projet'!$A$434&gt;35,LQ170+LP171-LY170,IF($A171&lt;'Données projet'!$A$434,$CQ$205^$A171,IF($A171='Données projet'!$A$434,'Données projet'!$B$434,LQ170+LP171-LY170)))</f>
        <v>-4.5474735088646412E-13</v>
      </c>
      <c r="LR171" s="17">
        <f>LQ171*VLOOKUP('Données projet'!$B$24,Paramètres!$A$1:$I$89,3,0)*VLOOKUP('Données projet'!$B$24,Paramètres!$A$1:$I$89,5,0)</f>
        <v>-4.6111381379887462E-13</v>
      </c>
      <c r="LS171" s="13" t="e">
        <f t="shared" si="316"/>
        <v>#NUM!</v>
      </c>
      <c r="LT171" s="14" t="e">
        <f t="shared" si="269"/>
        <v>#NUM!</v>
      </c>
      <c r="LU171" s="59" t="e">
        <f t="shared" si="270"/>
        <v>#NUM!</v>
      </c>
      <c r="LV171" s="59">
        <f ca="1">AVERAGE(OFFSET($LU$3,0,0,'Données projet'!$E$24+1,1))-AVERAGE(OFFSET($H$3,0,0,'Données projet'!$E$24+1,1))</f>
        <v>260.52627655062872</v>
      </c>
      <c r="LW171" s="59">
        <f t="shared" si="317"/>
        <v>159.20429420478047</v>
      </c>
      <c r="LX171" s="15">
        <f>IF(ISNA(VLOOKUP($A171,'Données projet'!$A$434:$I$454,3,0)),0,VLOOKUP($A171,'Données projet'!$A$434:$I$454,3,0))</f>
        <v>0</v>
      </c>
      <c r="LY171" s="15">
        <f>IF(ISNA(VLOOKUP($A171,'Données projet'!$A$434:$I$454,4,0)),0,VLOOKUP($A171,'Données projet'!$A$434:$I$454,4,0))</f>
        <v>0</v>
      </c>
      <c r="LZ171" s="16">
        <f>IF(ISNA(VLOOKUP($A171,'Données projet'!$A$434:$I$454,5,0)),0%,VLOOKUP($A171,'Données projet'!$A$434:$I$454,5,0)*VLOOKUP('Données projet'!$B$24,Paramètres!$A$1:$I$89,7,0))</f>
        <v>0</v>
      </c>
      <c r="MA171" s="16">
        <f>IF(ISNA(VLOOKUP($A171,'Données projet'!$A$434:$I$454,6,0)),0%,VLOOKUP($A171,'Données projet'!$A$434:$I$454,6,0)*VLOOKUP('Données projet'!$B$24,Paramètres!$A$1:$I$89,7,0))</f>
        <v>0</v>
      </c>
      <c r="MB171" s="16">
        <f>IF(ISNA(VLOOKUP($A171,'Données projet'!$A$434:$I$454,7,0)),0%,VLOOKUP($A171,'Données projet'!$A$434:$I$454,7,0))</f>
        <v>0</v>
      </c>
      <c r="MC171" s="21">
        <f>EXP(-LN(2)/35)*MC170+(1-EXP(-LN(2)/35))/(LN(2)/35)*LY171*LZ171*VLOOKUP('Données projet'!$B$24,Paramètres!$A$1:$I$89,3,0)*0.475*44/12</f>
        <v>138.67406181090107</v>
      </c>
      <c r="MD171" s="21">
        <f>EXP(-LN(2)/25)*MD170+(1-EXP(-LN(2)/25))/(LN(2)/25)*Calculateur!LY171*Calculateur!MA171*VLOOKUP('Données projet'!$B$24,Paramètres!$A$1:$I$89,3,0)*0.475*44/12</f>
        <v>0</v>
      </c>
      <c r="ME171" s="21">
        <f>EXP(-LN(2)/2)*ME170+(1-EXP(-LN(2)/2))/(LN(2)/2)*LY171*MB171*VLOOKUP('Données projet'!$B$24,Paramètres!$A$1:$I$89,3,0)*0.475*44/12</f>
        <v>0</v>
      </c>
      <c r="MF171" s="22">
        <f t="shared" si="271"/>
        <v>138.67406181090107</v>
      </c>
      <c r="MG171" s="74">
        <f>('Scénario référence'!$F$8+'Scénario référence'!$F$9+'Scénario référence'!$B$17+'Scénario référence'!$B$9+'Scénario référence'!$B$10)*70+IF((45+25*(1-EXP(-0.0175*$A171)))&lt;70,'Scénario référence'!$B$16*(45+25*(1-EXP(-0.0175*$A171))),70*'Scénario référence'!$B$16)+IF((32+38*(1-EXP(-0.0175*$A171)))&lt;70,'Scénario référence'!$B$18*(32+38*(1-EXP(-0.0175*$A171))),70*'Scénario référence'!$B$18)</f>
        <v>70</v>
      </c>
      <c r="MH171" s="12">
        <f>IF($A171&gt;30,10,('Scénario référence'!$B$16+'Scénario référence'!$B$17+'Scénario référence'!$B$18+'Scénario référence'!$B$9+'Scénario référence'!$B$10)*$A171*10/30+('Scénario référence'!$F$8+'Scénario référence'!$F$9)*10)</f>
        <v>10</v>
      </c>
      <c r="MI171" s="12" t="e">
        <f>VLOOKUP($A171,'Données projet'!$A$460:$I$480,2,0)</f>
        <v>#N/A</v>
      </c>
      <c r="MJ171" s="12" t="e">
        <f>VLOOKUP($A171,'Données projet'!$A$460:$I$480,9,0)</f>
        <v>#N/A</v>
      </c>
      <c r="MK171" s="12">
        <f t="array" ref="MK171">INDEX(MJ:MJ,MIN(IF(ISNUMBER(MJ171:MJ367),ROW(MJ171:MJ367),"")))</f>
        <v>0</v>
      </c>
      <c r="ML171" s="12">
        <f>IF('Données projet'!$A$460&gt;35,ML170+MK171-MT170,IF($A171&lt;'Données projet'!$A$460,$CQ$205^$A171,IF($A171='Données projet'!$A$460,'Données projet'!$B$460,ML170+MK171-MT170)))</f>
        <v>0</v>
      </c>
      <c r="MM171" s="17" t="e">
        <f>ML171*VLOOKUP('Données projet'!$B$25,Paramètres!$A$1:$I$89,3,0)*VLOOKUP('Données projet'!$B$25,Paramètres!$A$1:$I$89,5,0)</f>
        <v>#N/A</v>
      </c>
      <c r="MN171" s="13" t="e">
        <f t="shared" si="318"/>
        <v>#N/A</v>
      </c>
      <c r="MO171" s="14" t="e">
        <f t="shared" si="272"/>
        <v>#N/A</v>
      </c>
      <c r="MP171" s="59" t="e">
        <f t="shared" si="273"/>
        <v>#N/A</v>
      </c>
      <c r="MQ171" s="20" t="e">
        <f ca="1">AVERAGE(OFFSET($MP$3,0,0,'Données projet'!$E$25+1,1))-AVERAGE(OFFSET($H$3,0,0,'Données projet'!$E$25+1,1))</f>
        <v>#N/A</v>
      </c>
      <c r="MR171" s="59" t="e">
        <f t="shared" si="319"/>
        <v>#N/A</v>
      </c>
      <c r="MS171" s="15">
        <f>IF(ISNA(VLOOKUP($A171,'Données projet'!$A$460:$I$480,3,0)),0,VLOOKUP($A171,'Données projet'!$A$460:$I$480,3,0))</f>
        <v>0</v>
      </c>
      <c r="MT171" s="15">
        <f>IF(ISNA(VLOOKUP($A171,'Données projet'!$A$460:$I$480,4,0)),0,VLOOKUP($A171,'Données projet'!$A$460:$I$480,4,0))</f>
        <v>0</v>
      </c>
      <c r="MU171" s="16">
        <f>IF(ISNA(VLOOKUP($A171,'Données projet'!$A$460:$I$480,5,0)),0%,VLOOKUP($A171,'Données projet'!$A$460:$I$480,5,0)*VLOOKUP('Données projet'!$B$25,Paramètres!$A$1:$I$89,7,0))</f>
        <v>0</v>
      </c>
      <c r="MV171" s="16">
        <f>IF(ISNA(VLOOKUP($A171,'Données projet'!$A$460:$I$480,6,0)),0%,VLOOKUP($A171,'Données projet'!$A$460:$I$480,6,0)*VLOOKUP('Données projet'!$B$25,Paramètres!$A$1:$I$89,7,0))</f>
        <v>0</v>
      </c>
      <c r="MW171" s="16">
        <f>IF(ISNA(VLOOKUP($A171,'Données projet'!$A$460:$I$480,7,0)),0%,VLOOKUP($A171,'Données projet'!$A$460:$I$480,7,0))</f>
        <v>0</v>
      </c>
      <c r="MX171" s="21" t="e">
        <f>EXP(-LN(2)/35)*MX170+(1-EXP(-LN(2)/35))/(LN(2)/35)*MT171*MU171*VLOOKUP('Données projet'!$B$25,Paramètres!$A$1:$I$89,3,0)*0.475*44/12</f>
        <v>#N/A</v>
      </c>
      <c r="MY171" s="21" t="e">
        <f>EXP(-LN(2)/25)*MY170+(1-EXP(-LN(2)/25))/(LN(2)/25)*Calculateur!MT171*Calculateur!MV171*VLOOKUP('Données projet'!$B$25,Paramètres!$A$1:$I$89,3,0)*0.475*44/12</f>
        <v>#N/A</v>
      </c>
      <c r="MZ171" s="21" t="e">
        <f>EXP(-LN(2)/2)*MZ170+(1-EXP(-LN(2)/2))/(LN(2)/2)*MT171*MW171*VLOOKUP('Données projet'!$B$25,Paramètres!$A$1:$I$89,3,0)*0.475*44/12</f>
        <v>#N/A</v>
      </c>
      <c r="NA171" s="22" t="e">
        <f t="shared" si="274"/>
        <v>#N/A</v>
      </c>
      <c r="NB171" s="74">
        <f>('Scénario référence'!$F$8+'Scénario référence'!$F$9+'Scénario référence'!$B$17+'Scénario référence'!$B$9+'Scénario référence'!$B$10)*70+IF((45+25*(1-EXP(-0.0175*$A171)))&lt;70,'Scénario référence'!$B$16*(45+25*(1-EXP(-0.0175*$A171))),70*'Scénario référence'!$B$16)+IF((32+38*(1-EXP(-0.0175*$A171)))&lt;70,'Scénario référence'!$B$18*(32+38*(1-EXP(-0.0175*$A171))),70*'Scénario référence'!$B$18)</f>
        <v>70</v>
      </c>
      <c r="NC171" s="12">
        <f>IF($A171&gt;30,10,('Scénario référence'!$B$16+'Scénario référence'!$B$17+'Scénario référence'!$B$18+'Scénario référence'!$B$9+'Scénario référence'!$B$10)*$A171*10/30+('Scénario référence'!$F$8+'Scénario référence'!$F$9)*10)</f>
        <v>10</v>
      </c>
      <c r="ND171" s="12" t="e">
        <f>VLOOKUP($A171,'Données projet'!$A$486:$I$506,2,0)</f>
        <v>#N/A</v>
      </c>
      <c r="NE171" s="12" t="e">
        <f>VLOOKUP($A171,'Données projet'!$A$486:$I$506,9,0)</f>
        <v>#N/A</v>
      </c>
      <c r="NF171" s="12">
        <f t="array" ref="NF171">INDEX(NE:NE,MIN(IF(ISNUMBER(NE171:NE367),ROW(NE171:NE367),"")))</f>
        <v>0</v>
      </c>
      <c r="NG171" s="12">
        <f>IF('Données projet'!$A$486&gt;35,NG170+NF171-NO170,IF($A171&lt;'Données projet'!$A$486,$CQ$205^$A171,IF($A171='Données projet'!$A$486,'Données projet'!$B$486,NG170+NF171-NO170)))</f>
        <v>0</v>
      </c>
      <c r="NH171" s="17" t="e">
        <f>NG171*VLOOKUP('Données projet'!$B$26,Paramètres!$A$1:$I$89,3,0)*VLOOKUP('Données projet'!$B$26,Paramètres!$A$1:$I$89,5,0)</f>
        <v>#N/A</v>
      </c>
      <c r="NI171" s="13" t="e">
        <f t="shared" si="320"/>
        <v>#N/A</v>
      </c>
      <c r="NJ171" s="14" t="e">
        <f t="shared" si="275"/>
        <v>#N/A</v>
      </c>
      <c r="NK171" s="59" t="e">
        <f t="shared" si="276"/>
        <v>#N/A</v>
      </c>
      <c r="NL171" s="20" t="e">
        <f ca="1">AVERAGE(OFFSET($NK$3,0,0,'Données projet'!$E$26+1,1))-AVERAGE(OFFSET($H$3,0,0,'Données projet'!$E$26+1,1))</f>
        <v>#N/A</v>
      </c>
      <c r="NM171" s="59" t="e">
        <f t="shared" si="321"/>
        <v>#N/A</v>
      </c>
      <c r="NN171" s="15">
        <f>IF(ISNA(VLOOKUP($A171,'Données projet'!$A$486:$I$506,3,0)),0,VLOOKUP($A171,'Données projet'!$A$486:$I$506,3,0))</f>
        <v>0</v>
      </c>
      <c r="NO171" s="15">
        <f>IF(ISNA(VLOOKUP($A171,'Données projet'!$A$486:$I$506,4,0)),0,VLOOKUP($A171,'Données projet'!$A$486:$I$506,4,0))</f>
        <v>0</v>
      </c>
      <c r="NP171" s="16">
        <f>IF(ISNA(VLOOKUP($A171,'Données projet'!$A$486:$I$506,5,0)),0%,VLOOKUP($A171,'Données projet'!$A$486:$I$506,5,0)*VLOOKUP('Données projet'!$B$26,Paramètres!$A$1:$I$89,7,0))</f>
        <v>0</v>
      </c>
      <c r="NQ171" s="16">
        <f>IF(ISNA(VLOOKUP($A171,'Données projet'!$A$486:$I$506,6,0)),0%,VLOOKUP($A171,'Données projet'!$A$486:$I$506,6,0)*VLOOKUP('Données projet'!$B$26,Paramètres!$A$1:$I$89,7,0))</f>
        <v>0</v>
      </c>
      <c r="NR171" s="16">
        <f>IF(ISNA(VLOOKUP($A171,'Données projet'!$A$486:$I$506,7,0)),0%,VLOOKUP($A171,'Données projet'!$A$486:$I$506,7,0))</f>
        <v>0</v>
      </c>
      <c r="NS171" s="21" t="e">
        <f>EXP(-LN(2)/35)*NS170+(1-EXP(-LN(2)/35))/(LN(2)/35)*NO171*NP171*VLOOKUP('Données projet'!$B$26,Paramètres!$A$1:$I$89,3,0)*0.475*44/12</f>
        <v>#N/A</v>
      </c>
      <c r="NT171" s="21" t="e">
        <f>EXP(-LN(2)/25)*NT170+(1-EXP(-LN(2)/25))/(LN(2)/25)*Calculateur!NO171*Calculateur!NQ171*VLOOKUP('Données projet'!$B$26,Paramètres!$A$1:$I$89,3,0)*0.475*44/12</f>
        <v>#N/A</v>
      </c>
      <c r="NU171" s="21" t="e">
        <f>EXP(-LN(2)/2)*NU170+(1-EXP(-LN(2)/2))/(LN(2)/2)*NO171*NR171*VLOOKUP('Données projet'!$B$26,Paramètres!$A$1:$I$89,3,0)*0.475*44/12</f>
        <v>#N/A</v>
      </c>
      <c r="NV171" s="22" t="e">
        <f t="shared" si="277"/>
        <v>#N/A</v>
      </c>
      <c r="NW171" s="74">
        <f>('Scénario référence'!$F$8+'Scénario référence'!$F$9+'Scénario référence'!$B$17+'Scénario référence'!$B$9+'Scénario référence'!$B$10)*70+IF((45+25*(1-EXP(-0.0175*$A171)))&lt;70,'Scénario référence'!$B$16*(45+25*(1-EXP(-0.0175*$A171))),70*'Scénario référence'!$B$16)+IF((32+38*(1-EXP(-0.0175*$A171)))&lt;70,'Scénario référence'!$B$18*(32+38*(1-EXP(-0.0175*$A171))),70*'Scénario référence'!$B$18)</f>
        <v>70</v>
      </c>
      <c r="NX171" s="12">
        <f>IF($A171&gt;30,10,('Scénario référence'!$B$16+'Scénario référence'!$B$17+'Scénario référence'!$B$18+'Scénario référence'!$B$9+'Scénario référence'!$B$10)*$A171*10/30+('Scénario référence'!$F$8+'Scénario référence'!$F$9)*10)</f>
        <v>10</v>
      </c>
      <c r="NY171" s="12" t="e">
        <f>VLOOKUP($A171,'Données projet'!$A$512:$I$532,2,0)</f>
        <v>#N/A</v>
      </c>
      <c r="NZ171" s="12" t="e">
        <f>VLOOKUP($A171,'Données projet'!$A$512:$I$532,9,0)</f>
        <v>#N/A</v>
      </c>
      <c r="OA171" s="12">
        <f t="array" ref="OA171">INDEX(NZ:NZ,MIN(IF(ISNUMBER(NZ171:NZ367),ROW(NZ171:NZ367),"")))</f>
        <v>0</v>
      </c>
      <c r="OB171" s="12">
        <f>IF('Données projet'!$A$512&gt;35,OB170+OA171-OJ170,IF($A171&lt;'Données projet'!$A$512,$CQ$205^$A171,IF($A171='Données projet'!$A$512,'Données projet'!$B$512,OB170+OA171-OJ170)))</f>
        <v>0</v>
      </c>
      <c r="OC171" s="17" t="e">
        <f>OB171*VLOOKUP('Données projet'!$B$27,Paramètres!$A$1:$I$89,3,0)*VLOOKUP('Données projet'!$B$27,Paramètres!$A$1:$I$89,5,0)</f>
        <v>#N/A</v>
      </c>
      <c r="OD171" s="13" t="e">
        <f t="shared" si="322"/>
        <v>#N/A</v>
      </c>
      <c r="OE171" s="14" t="e">
        <f t="shared" si="278"/>
        <v>#N/A</v>
      </c>
      <c r="OF171" s="59" t="e">
        <f t="shared" si="279"/>
        <v>#N/A</v>
      </c>
      <c r="OG171" s="20" t="e">
        <f ca="1">AVERAGE(OFFSET($OF$3,0,0,'Données projet'!$E$27+1,1))-AVERAGE(OFFSET($H$3,0,0,'Données projet'!$E$27+1,1))</f>
        <v>#N/A</v>
      </c>
      <c r="OH171" s="59" t="e">
        <f t="shared" si="323"/>
        <v>#N/A</v>
      </c>
      <c r="OI171" s="15">
        <f>IF(ISNA(VLOOKUP($A171,'Données projet'!$A$512:$I$532,3,0)),0,VLOOKUP($A171,'Données projet'!$A$512:$I$532,3,0))</f>
        <v>0</v>
      </c>
      <c r="OJ171" s="15">
        <f>IF(ISNA(VLOOKUP($A171,'Données projet'!$A$512:$I$532,4,0)),0,VLOOKUP($A171,'Données projet'!$A$512:$I$532,4,0))</f>
        <v>0</v>
      </c>
      <c r="OK171" s="16">
        <f>IF(ISNA(VLOOKUP($A171,'Données projet'!$A$512:$I$532,5,0)),0%,VLOOKUP($A171,'Données projet'!$A$512:$I$532,5,0)*VLOOKUP('Données projet'!$B$27,Paramètres!$A$1:$I$89,7,0))</f>
        <v>0</v>
      </c>
      <c r="OL171" s="16">
        <f>IF(ISNA(VLOOKUP($A171,'Données projet'!$A$512:$I$532,6,0)),0%,VLOOKUP($A171,'Données projet'!$A$512:$I$532,6,0)*VLOOKUP('Données projet'!$B$27,Paramètres!$A$1:$I$89,7,0))</f>
        <v>0</v>
      </c>
      <c r="OM171" s="16">
        <f>IF(ISNA(VLOOKUP($A171,'Données projet'!$A$512:$I$532,7,0)),0%,VLOOKUP($A171,'Données projet'!$A$512:$I$532,7,0))</f>
        <v>0</v>
      </c>
      <c r="ON171" s="21" t="e">
        <f>EXP(-LN(2)/35)*ON170+(1-EXP(-LN(2)/35))/(LN(2)/35)*OJ171*OK171*VLOOKUP('Données projet'!$B$27,Paramètres!$A$1:$I$89,3,0)*0.475*44/12</f>
        <v>#N/A</v>
      </c>
      <c r="OO171" s="21" t="e">
        <f>EXP(-LN(2)/25)*OO170+(1-EXP(-LN(2)/25))/(LN(2)/25)*Calculateur!OJ171*Calculateur!OL171*VLOOKUP('Données projet'!$B$27,Paramètres!$A$1:$I$89,3,0)*0.475*44/12</f>
        <v>#N/A</v>
      </c>
      <c r="OP171" s="21" t="e">
        <f>EXP(-LN(2)/2)*OP170+(1-EXP(-LN(2)/2))/(LN(2)/2)*OJ171*OM171*VLOOKUP('Données projet'!$B$27,Paramètres!$A$1:$I$89,3,0)*0.475*44/12</f>
        <v>#N/A</v>
      </c>
      <c r="OQ171" s="22" t="e">
        <f t="shared" si="280"/>
        <v>#N/A</v>
      </c>
      <c r="OR171" s="74">
        <f>('Scénario référence'!$F$8+'Scénario référence'!$F$9+'Scénario référence'!$B$17+'Scénario référence'!$B$9+'Scénario référence'!$B$10)*70+IF((45+25*(1-EXP(-0.0175*$A171)))&lt;70,'Scénario référence'!$B$16*(45+25*(1-EXP(-0.0175*$A171))),70*'Scénario référence'!$B$16)+IF((32+38*(1-EXP(-0.0175*$A171)))&lt;70,'Scénario référence'!$B$18*(32+38*(1-EXP(-0.0175*$A171))),70*'Scénario référence'!$B$18)</f>
        <v>70</v>
      </c>
      <c r="OS171" s="12">
        <f>IF($A171&gt;30,10,('Scénario référence'!$B$16+'Scénario référence'!$B$17+'Scénario référence'!$B$18+'Scénario référence'!$B$9+'Scénario référence'!$B$10)*$A171*10/30+('Scénario référence'!$F$8+'Scénario référence'!$F$9)*10)</f>
        <v>10</v>
      </c>
      <c r="OT171" s="12" t="e">
        <f>VLOOKUP($A171,'Données projet'!$A$538:$I$558,2,0)</f>
        <v>#N/A</v>
      </c>
      <c r="OU171" s="12" t="e">
        <f>VLOOKUP($A171,'Données projet'!$A$538:$I$558,9,0)</f>
        <v>#N/A</v>
      </c>
      <c r="OV171" s="12">
        <f t="array" ref="OV171">INDEX(OU:OU,MIN(IF(ISNUMBER(OU171:OU367),ROW(OU171:OU367),"")))</f>
        <v>0</v>
      </c>
      <c r="OW171" s="12">
        <f>IF('Données projet'!$A$538&gt;35,OW170+OV171-PE170,IF($A171&lt;'Données projet'!$A$538,$CQ$205^$A171,IF($A171='Données projet'!$A$538,'Données projet'!$B$538,OW170+OV171-PE170)))</f>
        <v>0</v>
      </c>
      <c r="OX171" s="17" t="e">
        <f>OW171*VLOOKUP('Données projet'!$B$28,Paramètres!$A$1:$I$89,3,0)*VLOOKUP('Données projet'!$B$28,Paramètres!$A$1:$I$89,5,0)</f>
        <v>#N/A</v>
      </c>
      <c r="OY171" s="13" t="e">
        <f t="shared" si="324"/>
        <v>#N/A</v>
      </c>
      <c r="OZ171" s="14" t="e">
        <f t="shared" si="281"/>
        <v>#N/A</v>
      </c>
      <c r="PA171" s="59" t="e">
        <f t="shared" si="282"/>
        <v>#N/A</v>
      </c>
      <c r="PB171" s="20" t="e">
        <f ca="1">AVERAGE(OFFSET($PA$3,0,0,'Données projet'!$E$28+1,1))-AVERAGE(OFFSET($H$3,0,0,'Données projet'!$E$28+1,1))</f>
        <v>#N/A</v>
      </c>
      <c r="PC171" s="59" t="e">
        <f t="shared" si="325"/>
        <v>#N/A</v>
      </c>
      <c r="PD171" s="15">
        <f>IF(ISNA(VLOOKUP($A171,'Données projet'!$A$538:$I$558,3,0)),0,VLOOKUP($A171,'Données projet'!$A$538:$I$558,3,0))</f>
        <v>0</v>
      </c>
      <c r="PE171" s="15">
        <f>IF(ISNA(VLOOKUP($A171,'Données projet'!$A$538:$I$558,4,0)),0,VLOOKUP($A171,'Données projet'!$A$538:$I$558,4,0))</f>
        <v>0</v>
      </c>
      <c r="PF171" s="16">
        <f>IF(ISNA(VLOOKUP($A171,'Données projet'!$A$538:$I$558,5,0)),0%,VLOOKUP($A171,'Données projet'!$A$538:$I$558,5,0)*VLOOKUP('Données projet'!$B$28,Paramètres!$A$1:$I$89,7,0))</f>
        <v>0</v>
      </c>
      <c r="PG171" s="16">
        <f>IF(ISNA(VLOOKUP($A171,'Données projet'!$A$538:$I$558,6,0)),0%,VLOOKUP($A171,'Données projet'!$A$538:$I$558,6,0)*VLOOKUP('Données projet'!$B$28,Paramètres!$A$1:$I$89,7,0))</f>
        <v>0</v>
      </c>
      <c r="PH171" s="16">
        <f>IF(ISNA(VLOOKUP($A171,'Données projet'!$A$538:$I$558,7,0)),0%,VLOOKUP($A171,'Données projet'!$A$538:$I$558,7,0))</f>
        <v>0</v>
      </c>
      <c r="PI171" s="21" t="e">
        <f>EXP(-LN(2)/35)*PI170+(1-EXP(-LN(2)/35))/(LN(2)/35)*PE171*PF171*VLOOKUP('Données projet'!$B$28,Paramètres!$A$1:$I$89,3,0)*0.475*44/12</f>
        <v>#N/A</v>
      </c>
      <c r="PJ171" s="21" t="e">
        <f>EXP(-LN(2)/25)*PJ170+(1-EXP(-LN(2)/25))/(LN(2)/25)*Calculateur!PE171*Calculateur!PG171*VLOOKUP('Données projet'!$B$28,Paramètres!$A$1:$I$89,3,0)*0.475*44/12</f>
        <v>#N/A</v>
      </c>
      <c r="PK171" s="21" t="e">
        <f>EXP(-LN(2)/2)*PK170+(1-EXP(-LN(2)/2))/(LN(2)/2)*PE171*PH171*VLOOKUP('Données projet'!$B$28,Paramètres!$A$1:$I$89,3,0)*0.475*44/12</f>
        <v>#N/A</v>
      </c>
      <c r="PL171" s="22" t="e">
        <f t="shared" si="283"/>
        <v>#N/A</v>
      </c>
    </row>
    <row r="172" spans="1:428" x14ac:dyDescent="0.35">
      <c r="A172" s="10">
        <f t="shared" si="326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285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225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projet'!$A$45:$I$65,2,0)</f>
        <v>#N/A</v>
      </c>
      <c r="L172" s="12" t="e">
        <f>VLOOKUP(A172,'Données projet'!$A$45:$I$65,9,0)</f>
        <v>#N/A</v>
      </c>
      <c r="M172" s="12">
        <f t="array" ref="M172">INDEX(L:L,MIN(IF(ISNUMBER(L172:L368),ROW(L172:L368),"")))</f>
        <v>0</v>
      </c>
      <c r="N172" s="13">
        <f>IF('Données projet'!$A$46&gt;35,N171+M172-V171,IF(A172&lt;'Données projet'!$A$46,$K$205^A172,IF(A172='Données projet'!$A$46,'Données projet'!$B$46,N171+M172-V171)))</f>
        <v>-1.1368683772161603E-13</v>
      </c>
      <c r="O172" s="13">
        <f>N172*VLOOKUP('Données projet'!$B$9,Paramètres!$A$1:$I$89,3,0)*VLOOKUP('Données projet'!$B$9,Paramètres!$A$1:$I$89,5,0)</f>
        <v>-6.3550942286383367E-14</v>
      </c>
      <c r="P172" s="13" t="e">
        <f t="shared" si="286"/>
        <v>#NUM!</v>
      </c>
      <c r="Q172" s="20" t="e">
        <f t="shared" si="327"/>
        <v>#NUM!</v>
      </c>
      <c r="R172" s="59" t="e">
        <f t="shared" si="224"/>
        <v>#NUM!</v>
      </c>
      <c r="S172" s="59">
        <f ca="1">AVERAGE(OFFSET($R$3,0,0,'Données projet'!$E$9+1,1))-AVERAGE(OFFSET($H$3,0,0,'Données projet'!$E$9+1,1))</f>
        <v>274.57619581652199</v>
      </c>
      <c r="T172" s="59">
        <f t="shared" si="287"/>
        <v>366.15117322598775</v>
      </c>
      <c r="U172" s="15">
        <f>IF(ISNA(VLOOKUP(A172,'Données projet'!$A$45:$I$65,3,0)),0,VLOOKUP(A172,'Données projet'!$A$45:$I$65,3,0))</f>
        <v>0</v>
      </c>
      <c r="V172" s="15">
        <f>IF(ISNA(VLOOKUP(A172,'Données projet'!$A$45:$I$65,4,0)),0,VLOOKUP(A172,'Données projet'!$A$45:$I$65,4,0))</f>
        <v>0</v>
      </c>
      <c r="W172" s="16">
        <f>IF(ISNA(VLOOKUP(A172,'Données projet'!$A$45:$I$65,5,0)),0%,VLOOKUP(A172,'Données projet'!$A$45:$I$65,5,0)*VLOOKUP('Données projet'!$B$9,Paramètres!$A$1:$I$89,7,0))</f>
        <v>0</v>
      </c>
      <c r="X172" s="16">
        <f>IF(ISNA(VLOOKUP(A172,'Données projet'!$A$45:$I$65,6,0)),0%,VLOOKUP(A172,'Données projet'!$A$45:$I$65,6,0)*VLOOKUP('Données projet'!$B$9,Paramètres!$A$1:$I$89,7,0))</f>
        <v>0</v>
      </c>
      <c r="Y172" s="16">
        <f>IF(ISNA(VLOOKUP(A172,'Données projet'!$A$45:$I$65,7,0)),0%,VLOOKUP(A172,'Données projet'!$A$45:$I$65,7,0))</f>
        <v>0</v>
      </c>
      <c r="Z172" s="21">
        <f>EXP(-LN(2)/35)*Z171+(1-EXP(-LN(2)/35))/(LN(2)/35)*V172*W172*VLOOKUP('Données projet'!$B$9,Paramètres!$A$1:$I$89,3,0)*0.475*44/12</f>
        <v>23.706726703914843</v>
      </c>
      <c r="AA172" s="21">
        <f>EXP(-LN(2)/25)*AA171+(1-EXP(-LN(2)/25))/(LN(2)/25)*Calculateur!V172*Calculateur!X172*VLOOKUP('Données projet'!$B$9,Paramètres!$A$1:$I$89,3,0)*0.475*44/12</f>
        <v>2.4422133909033978</v>
      </c>
      <c r="AB172" s="21">
        <f>EXP(-LN(2)/2)*AB171+(1-EXP(-LN(2)/2))/(LN(2)/2)*V172*Y172*VLOOKUP('Données projet'!$B$9,Paramètres!$A$1:$I$89,3,0)*0.475*44/12</f>
        <v>2.3704166410365763E-16</v>
      </c>
      <c r="AC172" s="22">
        <f t="shared" si="328"/>
        <v>26.14894009481824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projet'!$A$71:$I$91,2,0)</f>
        <v>#N/A</v>
      </c>
      <c r="AG172" s="12" t="e">
        <f>VLOOKUP(A172,'Données projet'!$A$71:$I$91,9,0)</f>
        <v>#N/A</v>
      </c>
      <c r="AH172" s="12">
        <f t="array" ref="AH172">INDEX(AG:AG,MIN(IF(ISNUMBER(AG172:AG368),ROW(AG172:AG368),"")))</f>
        <v>0</v>
      </c>
      <c r="AI172" s="13">
        <f>IF('Données projet'!$A$72&gt;35,AI171+AH172-AQ171,IF(A172&lt;'Données projet'!$A$72,$AF$205^A172,IF(A172='Données projet'!$A$72,'Données projet'!$B$72,AI171+AH172-AQ171)))</f>
        <v>5.6843418860808015E-13</v>
      </c>
      <c r="AJ172" s="13">
        <f>AI172*VLOOKUP('Données projet'!$B$10,Paramètres!$A$1:$I$89,3,0)*VLOOKUP('Données projet'!$B$10,Paramètres!$A$1:$I$89,5,0)</f>
        <v>5.1431925385259092E-13</v>
      </c>
      <c r="AK172" s="13">
        <f t="shared" si="329"/>
        <v>6.3855359115685756E-12</v>
      </c>
      <c r="AL172" s="20">
        <f t="shared" si="330"/>
        <v>1.2017247746441865E-11</v>
      </c>
      <c r="AM172" s="59">
        <f t="shared" si="228"/>
        <v>293.33333333334531</v>
      </c>
      <c r="AN172" s="59">
        <f ca="1">AVERAGE(OFFSET($AM$3,0,0,'Données projet'!$E$10+1,1))-AVERAGE(OFFSET($H$3,0,0,'Données projet'!$E$10+1,1))</f>
        <v>270.87836509222456</v>
      </c>
      <c r="AO172" s="59">
        <f t="shared" si="289"/>
        <v>205.24998237949734</v>
      </c>
      <c r="AP172" s="15">
        <f>IF(ISNA(VLOOKUP(A172,'Données projet'!$A$71:$I$91,3,0)),0,VLOOKUP(A172,'Données projet'!$A$71:$I$91,3,0))</f>
        <v>0</v>
      </c>
      <c r="AQ172" s="15">
        <f>IF(ISNA(VLOOKUP(A172,'Données projet'!$A$71:$I$91,4,0)),0,VLOOKUP(A172,'Données projet'!$A$71:$I$91,4,0))</f>
        <v>0</v>
      </c>
      <c r="AR172" s="16">
        <f>IF(ISNA(VLOOKUP(A172,'Données projet'!$A$71:$I$91,5,0)),0%,VLOOKUP(A172,'Données projet'!$A$71:$I$91,5,0)*VLOOKUP('Données projet'!$B$10,Paramètres!$A$1:$I$89,7,0))</f>
        <v>0</v>
      </c>
      <c r="AS172" s="16">
        <f>IF(ISNA(VLOOKUP(A172,'Données projet'!$A$71:$I$91,6,0)),0%,VLOOKUP(A172,'Données projet'!$A$71:$I$91,6,0)*VLOOKUP('Données projet'!$B$10,Paramètres!$A$1:$I$89,7,0))</f>
        <v>0</v>
      </c>
      <c r="AT172" s="16">
        <f>IF(ISNA(VLOOKUP(A172,'Données projet'!$A$71:$I$91,7,0)),0%,VLOOKUP(A172,'Données projet'!$A$71:$I$91,7,0))</f>
        <v>0</v>
      </c>
      <c r="AU172" s="21">
        <f>EXP(-LN(2)/35)*AU171+(1-EXP(-LN(2)/35))/(LN(2)/35)*AQ172*AR172*VLOOKUP('Données projet'!$B$10,Paramètres!$A$1:$I$89,3,0)*0.475*44/12</f>
        <v>80.561497271461377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331"/>
        <v>80.561497271461377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projet'!$A$97:$I$117,2,0)</f>
        <v>#N/A</v>
      </c>
      <c r="BB172" s="12" t="e">
        <f>VLOOKUP(A172,'Données projet'!$A$97:$I$117,9,0)</f>
        <v>#N/A</v>
      </c>
      <c r="BC172" s="12">
        <f t="array" ref="BC172">INDEX(BB:BB,MIN(IF(ISNUMBER(BB172:BB368),ROW(BB172:BB368),"")))</f>
        <v>0</v>
      </c>
      <c r="BD172" s="12">
        <f>IF('Données projet'!$A$98&gt;35,BD171+BC172-BL171,IF(A172&lt;'Données projet'!$A$98,$BA$205^A172,IF(A172='Données projet'!$A$98,'Données projet'!$B$98,BD171+BC172-BL171)))</f>
        <v>-1.1368683772161603E-13</v>
      </c>
      <c r="BE172" s="13">
        <f>BD172*VLOOKUP('Données projet'!$B$11,Paramètres!$A$1:$I$89,3,0)*VLOOKUP('Données projet'!$B$11,Paramètres!$A$1:$I$89,5,0)</f>
        <v>-5.0249582272954292E-14</v>
      </c>
      <c r="BF172" s="13" t="e">
        <f t="shared" si="332"/>
        <v>#NUM!</v>
      </c>
      <c r="BG172" s="20" t="e">
        <f t="shared" si="333"/>
        <v>#NUM!</v>
      </c>
      <c r="BH172" s="59" t="e">
        <f t="shared" si="231"/>
        <v>#NUM!</v>
      </c>
      <c r="BI172" s="59">
        <f ca="1">AVERAGE(OFFSET($BH$3,0,0,'Données projet'!$E$11+1,1))-AVERAGE(OFFSET($H$3,0,0,'Données projet'!$E$11+1,1))</f>
        <v>211.31057120485542</v>
      </c>
      <c r="BJ172" s="59">
        <f t="shared" si="291"/>
        <v>283.33292006714777</v>
      </c>
      <c r="BK172" s="15">
        <f>IF(ISNA(VLOOKUP(A172,'Données projet'!$A$97:$I$117,3,0)),0,VLOOKUP(A172,'Données projet'!$A$97:$I$117,3,0))</f>
        <v>0</v>
      </c>
      <c r="BL172" s="15">
        <f>IF(ISNA(VLOOKUP(A172,'Données projet'!$A$97:$I$117,4,0)),0,VLOOKUP(A172,'Données projet'!$A$97:$I$117,4,0))</f>
        <v>0</v>
      </c>
      <c r="BM172" s="16">
        <f>IF(ISNA(VLOOKUP(A172,'Données projet'!$A$97:$I$117,5,0)),0%,VLOOKUP(A172,'Données projet'!$A$97:$I$117,5,0)*VLOOKUP('Données projet'!$B$11,Paramètres!$A$1:$I$89,7,0))</f>
        <v>0</v>
      </c>
      <c r="BN172" s="16">
        <f>IF(ISNA(VLOOKUP(A172,'Données projet'!$A$97:$I$117,6,0)),0%,VLOOKUP(A172,'Données projet'!$A$97:$I$117,6,0)*VLOOKUP('Données projet'!$B$11,Paramètres!$A$1:$I$89,7,0))</f>
        <v>0</v>
      </c>
      <c r="BO172" s="16">
        <f>IF(ISNA(VLOOKUP(A172,'Données projet'!$A$97:$I$117,7,0)),0%,VLOOKUP(A172,'Données projet'!$A$97:$I$117,7,0))</f>
        <v>0</v>
      </c>
      <c r="BP172" s="21">
        <f>EXP(-LN(2)/35)*BP171+(1-EXP(-LN(2)/35))/(LN(2)/35)*BL172*BM172*VLOOKUP('Données projet'!$B$11,Paramètres!$A$1:$I$89,3,0)*0.475*44/12</f>
        <v>18.744853672862909</v>
      </c>
      <c r="BQ172" s="21">
        <f>EXP(-LN(2)/25)*BQ171+(1-EXP(-LN(2)/25))/(LN(2)/25)*Calculateur!BL172*Calculateur!BN172*VLOOKUP('Données projet'!$B$11,Paramètres!$A$1:$I$89,3,0)*0.475*44/12</f>
        <v>1.9310524486212906</v>
      </c>
      <c r="BR172" s="21">
        <f>EXP(-LN(2)/2)*BR171+(1-EXP(-LN(2)/2))/(LN(2)/2)*BL172*BO172*VLOOKUP('Données projet'!$B$11,Paramètres!$A$1:$I$89,3,0)*0.475*44/12</f>
        <v>1.8742829254707809E-16</v>
      </c>
      <c r="BS172" s="22">
        <f t="shared" si="334"/>
        <v>20.6759061214842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projet'!$A$123:$I$143,2,0)</f>
        <v>#N/A</v>
      </c>
      <c r="BW172" s="12" t="e">
        <f>VLOOKUP(A172,'Données projet'!$A$123:$I$143,9,0)</f>
        <v>#N/A</v>
      </c>
      <c r="BX172" s="12">
        <f t="array" ref="BX172">INDEX(BW:BW,MIN(IF(ISNUMBER(BW172:BW368),ROW(BW172:BW368),"")))</f>
        <v>0</v>
      </c>
      <c r="BY172" s="12">
        <f>IF('Données projet'!$A$124&gt;35,BY171+BX172-CG171,IF(A172&lt;'Données projet'!$A$124,$BV$205^A172,IF(A172='Données projet'!$A$124,'Données projet'!$B$124,BY171+BX172-CG171)))</f>
        <v>0</v>
      </c>
      <c r="BZ172" s="13">
        <f>BY172*VLOOKUP('Données projet'!$B$12,Paramètres!$A$1:$I$89,3,0)*VLOOKUP('Données projet'!$B$12,Paramètres!$A$1:$I$89,5,0)</f>
        <v>0</v>
      </c>
      <c r="CA172" s="13" t="e">
        <f t="shared" si="335"/>
        <v>#NUM!</v>
      </c>
      <c r="CB172" s="20" t="e">
        <f t="shared" si="336"/>
        <v>#NUM!</v>
      </c>
      <c r="CC172" s="59" t="e">
        <f t="shared" si="234"/>
        <v>#NUM!</v>
      </c>
      <c r="CD172" s="59">
        <f ca="1">AVERAGE(OFFSET($CC$3,0,0,'Données projet'!$E$12+1,1))-AVERAGE(OFFSET($H$3,0,0,'Données projet'!$E$12+1,1))</f>
        <v>322.93502595881938</v>
      </c>
      <c r="CE172" s="59">
        <f t="shared" si="293"/>
        <v>302.67072119588164</v>
      </c>
      <c r="CF172" s="15">
        <f>IF(ISNA(VLOOKUP(A172,'Données projet'!$A$123:$I$143,3,0)),0,VLOOKUP(A172,'Données projet'!$A$123:$I$143,3,0))</f>
        <v>0</v>
      </c>
      <c r="CG172" s="15">
        <f>IF(ISNA(VLOOKUP(A172,'Données projet'!$A$123:$I$143,4,0)),0,VLOOKUP(A172,'Données projet'!$A$123:$I$143,4,0))</f>
        <v>0</v>
      </c>
      <c r="CH172" s="16">
        <f>IF(ISNA(VLOOKUP(A172,'Données projet'!$A$123:$I$143,5,0)),0%,VLOOKUP(A172,'Données projet'!$A$123:$I$143,5,0)*VLOOKUP('Données projet'!$B$12,Paramètres!$A$1:$I$89,7,0))</f>
        <v>0</v>
      </c>
      <c r="CI172" s="16">
        <f>IF(ISNA(VLOOKUP(A172,'Données projet'!$A$123:$I$143,6,0)),0%,VLOOKUP(A172,'Données projet'!$A$123:$I$143,6,0)*VLOOKUP('Données projet'!$B$12,Paramètres!$A$1:$I$89,7,0))</f>
        <v>0</v>
      </c>
      <c r="CJ172" s="16">
        <f>IF(ISNA(VLOOKUP(A172,'Données projet'!$A$123:$I$143,7,0)),0%,VLOOKUP(A172,'Données projet'!$A$123:$I$143,7,0))</f>
        <v>0</v>
      </c>
      <c r="CK172" s="21">
        <f>EXP(-LN(2)/35)*CK171+(1-EXP(-LN(2)/35))/(LN(2)/35)*CG172*CH172*VLOOKUP('Données projet'!$B$12,Paramètres!$A$1:$I$89,3,0)*0.475*44/12</f>
        <v>29.865081298819632</v>
      </c>
      <c r="CL172" s="21">
        <f>EXP(-LN(2)/25)*CL171+(1-EXP(-LN(2)/25))/(LN(2)/25)*Calculateur!CG172*Calculateur!CI172*VLOOKUP('Données projet'!$B$12,Paramètres!$A$1:$I$89,3,0)*0.475*44/12</f>
        <v>6.1805361975705297</v>
      </c>
      <c r="CM172" s="21">
        <f>EXP(-LN(2)/2)*CM171+(1-EXP(-LN(2)/2))/(LN(2)/2)*CG172*CJ172*VLOOKUP('Données projet'!$B$12,Paramètres!$A$1:$I$89,3,0)*0.475*44/12</f>
        <v>0</v>
      </c>
      <c r="CN172" s="22">
        <f t="shared" si="337"/>
        <v>36.045617496390165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projet'!$A$149:$I$169,2,0)</f>
        <v>#N/A</v>
      </c>
      <c r="CR172" s="12" t="e">
        <f>VLOOKUP(A172,'Données projet'!$A$149:$I$169,9,0)</f>
        <v>#N/A</v>
      </c>
      <c r="CS172" s="12">
        <f t="array" ref="CS172">INDEX(CR:CR,MIN(IF(ISNUMBER(CR172:CR368),ROW(CR172:CR368),"")))</f>
        <v>0</v>
      </c>
      <c r="CT172" s="12">
        <f>IF('Données projet'!$A$150&gt;35,CT171+CS172-DB171,IF(A172&lt;'Données projet'!$A$150,$CQ$205^A172,IF(A172='Données projet'!$A$150,'Données projet'!$B$150,CT171+CS172-DB171)))</f>
        <v>-4.5474735088646412E-13</v>
      </c>
      <c r="CU172" s="17">
        <f>CT172*VLOOKUP('Données projet'!$B$13,Paramètres!$A$1:$I$89,3,0)*VLOOKUP('Données projet'!$B$13,Paramètres!$A$1:$I$89,5,0)</f>
        <v>-4.6111381379887462E-13</v>
      </c>
      <c r="CV172" s="13" t="e">
        <f t="shared" si="338"/>
        <v>#NUM!</v>
      </c>
      <c r="CW172" s="20" t="e">
        <f t="shared" si="339"/>
        <v>#NUM!</v>
      </c>
      <c r="CX172" s="59" t="e">
        <f t="shared" si="237"/>
        <v>#NUM!</v>
      </c>
      <c r="CY172" s="59">
        <f ca="1">AVERAGE(OFFSET($CX$3,0,0,'Données projet'!$E$13+1,1))-AVERAGE(OFFSET($H$3,0,0,'Données projet'!$E$13+1,1))</f>
        <v>250.31277422753283</v>
      </c>
      <c r="CZ172" s="59">
        <f t="shared" si="295"/>
        <v>159.20429420478047</v>
      </c>
      <c r="DA172" s="15">
        <f>IF(ISNA(VLOOKUP(A172,'Données projet'!$A$149:$I$169,3,0)),0,VLOOKUP(A172,'Données projet'!$A$149:$I$169,3,0))</f>
        <v>0</v>
      </c>
      <c r="DB172" s="15">
        <f>IF(ISNA(VLOOKUP(A172,'Données projet'!$A$149:$I$169,4,0)),0,VLOOKUP(A172,'Données projet'!$A$149:$I$169,4,0))</f>
        <v>0</v>
      </c>
      <c r="DC172" s="16">
        <f>IF(ISNA(VLOOKUP(A172,'Données projet'!$A$149:$I$169,5,0)),0%,VLOOKUP(A172,'Données projet'!$A$149:$I$169,5,0)*VLOOKUP('Données projet'!$B$13,Paramètres!$A$1:$I$89,7,0))</f>
        <v>0</v>
      </c>
      <c r="DD172" s="16">
        <f>IF(ISNA(VLOOKUP(A172,'Données projet'!$A$149:$I$169,6,0)),0%,VLOOKUP(A172,'Données projet'!$A$149:$I$169,6,0)*VLOOKUP('Données projet'!$B$13,Paramètres!$A$1:$I$89,7,0))</f>
        <v>0</v>
      </c>
      <c r="DE172" s="16">
        <f>IF(ISNA(VLOOKUP(A172,'Données projet'!$A$149:$I$169,7,0)),0%,VLOOKUP(A172,'Données projet'!$A$149:$I$169,7,0))</f>
        <v>0</v>
      </c>
      <c r="DF172" s="21">
        <f>EXP(-LN(2)/35)*DF171+(1-EXP(-LN(2)/35))/(LN(2)/35)*DB172*DC172*VLOOKUP('Données projet'!$B$13,Paramètres!$A$1:$I$89,3,0)*0.475*44/12</f>
        <v>135.95474804161515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340"/>
        <v>135.95474804161515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projet'!$A$175:$I$195,2,0)</f>
        <v>#N/A</v>
      </c>
      <c r="DM172" s="12" t="e">
        <f>VLOOKUP(A172,'Données projet'!$A$175:$I$195,9,0)</f>
        <v>#N/A</v>
      </c>
      <c r="DN172" s="12">
        <f t="array" ref="DN172">INDEX(DM:DM,MIN(IF(ISNUMBER(DM172:DM368),ROW(DM172:DM368),"")))</f>
        <v>0</v>
      </c>
      <c r="DO172" s="12">
        <f>IF('Données projet'!$A$176&gt;35,DO171+DN172-DW171,IF(A172&lt;'Données projet'!$A$176,$DL$205^A172,IF(A172='Données projet'!$A$176,'Données projet'!$B$176,DO171+DN172-DW171)))</f>
        <v>-2.8421709430404007E-13</v>
      </c>
      <c r="DP172" s="17">
        <f>DO172*VLOOKUP('Données projet'!$B$14,Paramètres!$A$1:$I$89,3,0)*VLOOKUP('Données projet'!$B$14,Paramètres!$A$1:$I$89,5,0)</f>
        <v>-2.0838797354372215E-13</v>
      </c>
      <c r="DQ172" s="13" t="e">
        <f t="shared" si="341"/>
        <v>#NUM!</v>
      </c>
      <c r="DR172" s="20" t="e">
        <f t="shared" si="342"/>
        <v>#NUM!</v>
      </c>
      <c r="DS172" s="59" t="e">
        <f t="shared" si="240"/>
        <v>#NUM!</v>
      </c>
      <c r="DT172" s="59">
        <f ca="1">AVERAGE(OFFSET($DS$3,0,0,'Données projet'!$E$14+1,1))-AVERAGE(OFFSET($H$3,0,0,'Données projet'!$E$14+1,1))</f>
        <v>296.91321813251051</v>
      </c>
      <c r="DU172" s="59">
        <f t="shared" si="297"/>
        <v>291.0718079639509</v>
      </c>
      <c r="DV172" s="15">
        <f>IF(ISNA(VLOOKUP(A172,'Données projet'!$A$175:$I$195,3,0)),0,VLOOKUP(A172,'Données projet'!$A$175:$I$195,3,0))</f>
        <v>0</v>
      </c>
      <c r="DW172" s="15">
        <f>IF(ISNA(VLOOKUP(A172,'Données projet'!$A$175:$I$195,4,0)),0,VLOOKUP(A172,'Données projet'!$A$175:$I$195,4,0))</f>
        <v>0</v>
      </c>
      <c r="DX172" s="16">
        <f>IF(ISNA(VLOOKUP(A172,'Données projet'!$A$175:$I$195,5,0)),0%,VLOOKUP(A172,'Données projet'!$A$175:$I$195,5,0)*VLOOKUP('Données projet'!$B$14,Paramètres!$A$1:$I$89,7,0))</f>
        <v>0</v>
      </c>
      <c r="DY172" s="16">
        <f>IF(ISNA(VLOOKUP(A172,'Données projet'!$A$175:$I$195,6,0)),0%,VLOOKUP(A172,'Données projet'!$A$175:$I$195,6,0)*VLOOKUP('Données projet'!$B$14,Paramètres!$A$1:$I$89,7,0))</f>
        <v>0</v>
      </c>
      <c r="DZ172" s="16">
        <f>IF(ISNA(VLOOKUP(A172,'Données projet'!$A$175:$I$195,7,0)),0%,VLOOKUP(A172,'Données projet'!$A$175:$I$195,7,0))</f>
        <v>0</v>
      </c>
      <c r="EA172" s="21">
        <f>EXP(-LN(2)/35)*EA171+(1-EXP(-LN(2)/35))/(LN(2)/35)*DW172*DX172*VLOOKUP('Données projet'!$B$14,Paramètres!$A$1:$I$89,3,0)*0.475*44/12</f>
        <v>29.765898081221234</v>
      </c>
      <c r="EB172" s="21">
        <f>EXP(-LN(2)/25)*EB171+(1-EXP(-LN(2)/25))/(LN(2)/25)*Calculateur!DW172*Calculateur!DY172*VLOOKUP('Données projet'!$B$14,Paramètres!$A$1:$I$89,3,0)*0.475*44/12</f>
        <v>0.45402779448362773</v>
      </c>
      <c r="EC172" s="21">
        <f>EXP(-LN(2)/2)*EC171+(1-EXP(-LN(2)/2))/(LN(2)/2)*DW172*DZ172*VLOOKUP('Données projet'!$B$14,Paramètres!$A$1:$I$89,3,0)*0.475*44/12</f>
        <v>0</v>
      </c>
      <c r="ED172" s="22">
        <f t="shared" si="343"/>
        <v>30.219925875704863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projet'!$A$201:$I$221,2,0)</f>
        <v>#N/A</v>
      </c>
      <c r="EH172" s="12" t="e">
        <f>VLOOKUP(A172,'Données projet'!$A$201:$I$221,9,0)</f>
        <v>#N/A</v>
      </c>
      <c r="EI172" s="12">
        <f t="array" ref="EI172">INDEX(EH:EH,MIN(IF(ISNUMBER(EH172:EH368),ROW(EH172:EH368),"")))</f>
        <v>0</v>
      </c>
      <c r="EJ172" s="12">
        <f>IF('Données projet'!$A$202&gt;35,EJ171+EI172-ER171,IF(A172&lt;'Données projet'!$A$202,$EG$205^A172,IF(A172='Données projet'!$A$202,'Données projet'!$B$202,EJ171+EI172-ER171)))</f>
        <v>5.1159076974727213E-13</v>
      </c>
      <c r="EK172" s="17">
        <f>EJ172*VLOOKUP('Données projet'!$B$15,Paramètres!$A$1:$I$89,3,0)*VLOOKUP('Données projet'!$B$15,Paramètres!$A$1:$I$89,5,0)</f>
        <v>2.3942448024172334E-13</v>
      </c>
      <c r="EL172" s="13">
        <f t="shared" si="344"/>
        <v>3.2492669905861755E-12</v>
      </c>
      <c r="EM172" s="20">
        <f t="shared" si="345"/>
        <v>6.0761376450252565E-12</v>
      </c>
      <c r="EN172" s="59">
        <f t="shared" si="243"/>
        <v>293.3333333333394</v>
      </c>
      <c r="EO172" s="59">
        <f ca="1">AVERAGE(OFFSET($EN$3,0,0,'Données projet'!$E$15+1,1))-AVERAGE(OFFSET($H$3,0,0,'Données projet'!$E$15+1,1))</f>
        <v>147.64256291235483</v>
      </c>
      <c r="EP172" s="59">
        <f t="shared" si="299"/>
        <v>70.859031694091868</v>
      </c>
      <c r="EQ172" s="15">
        <f>IF(ISNA(VLOOKUP(A172,'Données projet'!$A$201:$I$221,3,0)),0,VLOOKUP(A172,'Données projet'!$A$201:$I$221,3,0))</f>
        <v>0</v>
      </c>
      <c r="ER172" s="15">
        <f>IF(ISNA(VLOOKUP(A172,'Données projet'!$A$201:$I$221,4,0)),0,VLOOKUP(A172,'Données projet'!$A$201:$I$221,4,0))</f>
        <v>0</v>
      </c>
      <c r="ES172" s="16">
        <f>IF(ISNA(VLOOKUP(A172,'Données projet'!$A$201:$I$221,5,0)),0%,VLOOKUP(A172,'Données projet'!$A$201:$I$221,5,0)*VLOOKUP('Données projet'!$B$15,Paramètres!$A$1:$I$89,7,0))</f>
        <v>0</v>
      </c>
      <c r="ET172" s="16">
        <f>IF(ISNA(VLOOKUP(A172,'Données projet'!$A$201:$I$221,6,0)),0%,VLOOKUP(A172,'Données projet'!$A$201:$I$221,6,0)*VLOOKUP('Données projet'!$B$15,Paramètres!$A$1:$I$89,7,0))</f>
        <v>0</v>
      </c>
      <c r="EU172" s="16">
        <f>IF(ISNA(VLOOKUP(A172,'Données projet'!$A$201:$I$221,7,0)),0%,VLOOKUP(A172,'Données projet'!$A$201:$I$221,7,0))</f>
        <v>0</v>
      </c>
      <c r="EV172" s="21">
        <f>EXP(-LN(2)/35)*EV171+(1-EXP(-LN(2)/35))/(LN(2)/35)*ER172*ES172*VLOOKUP('Données projet'!$B$15,Paramètres!$A$1:$I$89,3,0)*0.475*44/12</f>
        <v>40.749983668263958</v>
      </c>
      <c r="EW172" s="21">
        <f>EXP(-LN(2)/25)*EW171+(1-EXP(-LN(2)/25))/(LN(2)/25)*Calculateur!ER172*Calculateur!ET172*VLOOKUP('Données projet'!$B$15,Paramètres!$A$1:$I$89,3,0)*0.475*44/12</f>
        <v>6.2991782231885276</v>
      </c>
      <c r="EX172" s="21">
        <f>EXP(-LN(2)/2)*EX171+(1-EXP(-LN(2)/2))/(LN(2)/2)*ER172*EU172*VLOOKUP('Données projet'!$B$15,Paramètres!$A$1:$I$89,3,0)*0.475*44/12</f>
        <v>1.7088548582711591E-8</v>
      </c>
      <c r="EY172" s="22">
        <f t="shared" si="346"/>
        <v>47.049161908541031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projet'!$A$227:$I$247,2,0)</f>
        <v>#N/A</v>
      </c>
      <c r="FC172" s="12" t="e">
        <f>VLOOKUP(A172,'Données projet'!$A$227:$I$247,9,0)</f>
        <v>#N/A</v>
      </c>
      <c r="FD172" s="12">
        <f t="array" ref="FD172">INDEX(FC:FC,MIN(IF(ISNUMBER(FC172:FC368),ROW(FC172:FC368),"")))</f>
        <v>0</v>
      </c>
      <c r="FE172" s="12">
        <f>IF('Données projet'!$A$228&gt;35,FE171+FD172-FM171,IF(A172&lt;'Données projet'!$A$228,$FB$205^A172,IF(A172='Données projet'!$A$228,'Données projet'!$B$228,FE171+FD172-FM171)))</f>
        <v>8.5265128291212022E-14</v>
      </c>
      <c r="FF172" s="17">
        <f>FE172*VLOOKUP('Données projet'!$B$16,Paramètres!$A$1:$I$89,3,0)*VLOOKUP('Données projet'!$B$16,Paramètres!$A$1:$I$89,5,0)</f>
        <v>8.9119112089974823E-14</v>
      </c>
      <c r="FG172" s="13">
        <f t="shared" si="347"/>
        <v>1.3568952080113142E-12</v>
      </c>
      <c r="FH172" s="20">
        <f t="shared" si="348"/>
        <v>2.5184749408430782E-12</v>
      </c>
      <c r="FI172" s="59">
        <f t="shared" si="246"/>
        <v>293.33333333333582</v>
      </c>
      <c r="FJ172" s="59">
        <f ca="1">AVERAGE(OFFSET($FI$3,0,0,'Données projet'!$E$16+1,1))-AVERAGE(OFFSET($H$3,0,0,'Données projet'!$E$16+1,1))</f>
        <v>259.03906550253788</v>
      </c>
      <c r="FK172" s="59">
        <f t="shared" si="301"/>
        <v>235.54542903570831</v>
      </c>
      <c r="FL172" s="15">
        <f>IF(ISNA(VLOOKUP(A172,'Données projet'!$A$227:$I$247,3,0)),0,VLOOKUP(A172,'Données projet'!$A$227:$I$247,3,0))</f>
        <v>0</v>
      </c>
      <c r="FM172" s="15">
        <f>IF(ISNA(VLOOKUP(A172,'Données projet'!$A$227:$I$247,4,0)),0,VLOOKUP(A172,'Données projet'!$A$227:$I$247,4,0))</f>
        <v>0</v>
      </c>
      <c r="FN172" s="16">
        <f>IF(ISNA(VLOOKUP(A172,'Données projet'!$A$227:$I$247,5,0)),0%,VLOOKUP(A172,'Données projet'!$A$227:$I$247,5,0)*VLOOKUP('Données projet'!$B$16,Paramètres!$A$1:$I$89,7,0))</f>
        <v>0</v>
      </c>
      <c r="FO172" s="16">
        <f>IF(ISNA(VLOOKUP(A172,'Données projet'!$A$227:$I$247,6,0)),0%,VLOOKUP(A172,'Données projet'!$A$227:$I$247,6,0)*VLOOKUP('Données projet'!$B$16,Paramètres!$A$1:$I$89,7,0))</f>
        <v>0</v>
      </c>
      <c r="FP172" s="16">
        <f>IF(ISNA(VLOOKUP(A172,'Données projet'!$A$227:$I$247,7,0)),0%,VLOOKUP(A172,'Données projet'!$A$227:$I$247,7,0))</f>
        <v>0</v>
      </c>
      <c r="FQ172" s="21">
        <f>EXP(-LN(2)/35)*FQ171+(1-EXP(-LN(2)/35))/(LN(2)/35)*FM172*FN172*VLOOKUP('Données projet'!$B$16,Paramètres!$A$1:$I$89,3,0)*0.475*44/12</f>
        <v>17.985935332879926</v>
      </c>
      <c r="FR172" s="21">
        <f>EXP(-LN(2)/25)*FR171+(1-EXP(-LN(2)/25))/(LN(2)/25)*Calculateur!FM172*Calculateur!FO172*VLOOKUP('Données projet'!$B$16,Paramètres!$A$1:$I$89,3,0)*0.475*44/12</f>
        <v>8.6656198421377404</v>
      </c>
      <c r="FS172" s="21">
        <f>EXP(-LN(2)/2)*FS171+(1-EXP(-LN(2)/2))/(LN(2)/2)*FM172*FP172*VLOOKUP('Données projet'!$B$16,Paramètres!$A$1:$I$89,3,0)*0.475*44/12</f>
        <v>0</v>
      </c>
      <c r="FT172" s="22">
        <f t="shared" si="349"/>
        <v>26.651555175017666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projet'!$A$253:$I$273,2,0)</f>
        <v>#N/A</v>
      </c>
      <c r="FX172" s="12" t="e">
        <f>VLOOKUP(A172,'Données projet'!$A$253:$I$273,9,0)</f>
        <v>#N/A</v>
      </c>
      <c r="FY172" s="12">
        <f t="array" ref="FY172">INDEX(FX:FX,MIN(IF(ISNUMBER(FX172:FX368),ROW(FX172:FX368),"")))</f>
        <v>0</v>
      </c>
      <c r="FZ172" s="12">
        <f>IF('Données projet'!$A$254&gt;35,FZ171+FY172-GH171,IF(A172&lt;'Données projet'!$A$254,$FW$205^A172,IF(A172='Données projet'!$A$254,'Données projet'!$B$254,FZ171+FY172-GH171)))</f>
        <v>-1.7053025658242404E-13</v>
      </c>
      <c r="GA172" s="17">
        <f>FZ172*VLOOKUP('Données projet'!$B$17,Paramètres!$A$1:$I$89,3,0)*VLOOKUP('Données projet'!$B$17,Paramètres!$A$1:$I$89,5,0)</f>
        <v>-1.4897523215040567E-13</v>
      </c>
      <c r="GB172" s="13" t="e">
        <f t="shared" si="350"/>
        <v>#NUM!</v>
      </c>
      <c r="GC172" s="20" t="e">
        <f t="shared" si="351"/>
        <v>#NUM!</v>
      </c>
      <c r="GD172" s="59" t="e">
        <f t="shared" si="249"/>
        <v>#NUM!</v>
      </c>
      <c r="GE172" s="59">
        <f ca="1">AVERAGE(OFFSET($GD$3,0,0,'Données projet'!$E$17+1,1))-AVERAGE(OFFSET($H$3,0,0,'Données projet'!$E$17+1,1))</f>
        <v>245.1983232777614</v>
      </c>
      <c r="GF172" s="59">
        <f t="shared" si="303"/>
        <v>242.34010522344573</v>
      </c>
      <c r="GG172" s="15">
        <f>IF(ISNA(VLOOKUP(A172,'Données projet'!$A$253:$I$273,3,0)),0,VLOOKUP(A172,'Données projet'!$A$253:$I$273,3,0))</f>
        <v>0</v>
      </c>
      <c r="GH172" s="15">
        <f>IF(ISNA(VLOOKUP(A172,'Données projet'!$A$253:$I$273,4,0)),0,VLOOKUP(A172,'Données projet'!$A$253:$I$273,4,0))</f>
        <v>0</v>
      </c>
      <c r="GI172" s="16">
        <f>IF(ISNA(VLOOKUP(A172,'Données projet'!$A$253:$I$273,5,0)),0%,VLOOKUP(A172,'Données projet'!$A$253:$I$273,5,0)*VLOOKUP('Données projet'!$B$17,Paramètres!$A$1:$I$89,7,0))</f>
        <v>0</v>
      </c>
      <c r="GJ172" s="16">
        <f>IF(ISNA(VLOOKUP(A172,'Données projet'!$A$253:$I$273,6,0)),0%,VLOOKUP(A172,'Données projet'!$A$253:$I$273,6,0)*VLOOKUP('Données projet'!$B$17,Paramètres!$A$1:$I$89,7,0))</f>
        <v>0</v>
      </c>
      <c r="GK172" s="16">
        <f>IF(ISNA(VLOOKUP(A172,'Données projet'!$A$253:$I$273,7,0)),0%,VLOOKUP(A172,'Données projet'!$A$253:$I$273,7,0))</f>
        <v>0</v>
      </c>
      <c r="GL172" s="21">
        <f>EXP(-LN(2)/35)*GL171+(1-EXP(-LN(2)/35))/(LN(2)/35)*GH172*GI172*VLOOKUP('Données projet'!$B$17,Paramètres!$A$1:$I$89,3,0)*0.475*44/12</f>
        <v>21.144934695438614</v>
      </c>
      <c r="GM172" s="21">
        <f>EXP(-LN(2)/25)*GM171+(1-EXP(-LN(2)/25))/(LN(2)/25)*Calculateur!GH172*Calculateur!GJ172*VLOOKUP('Données projet'!$B$17,Paramètres!$A$1:$I$89,3,0)*0.475*44/12</f>
        <v>1.8464324797017568</v>
      </c>
      <c r="GN172" s="21">
        <f>EXP(-LN(2)/2)*GN171+(1-EXP(-LN(2)/2))/(LN(2)/2)*GH172*GK172*VLOOKUP('Données projet'!$B$17,Paramètres!$A$1:$I$89,3,0)*0.475*44/12</f>
        <v>0</v>
      </c>
      <c r="GO172" s="21">
        <f t="shared" si="352"/>
        <v>22.991367175140372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projet'!$A$279:$I$299,2,0)</f>
        <v>#N/A</v>
      </c>
      <c r="GS172" s="12" t="e">
        <f>VLOOKUP(A172,'Données projet'!$A$279:$I$299,9,0)</f>
        <v>#N/A</v>
      </c>
      <c r="GT172" s="12">
        <f t="array" ref="GT172">INDEX(GS:GS,MIN(IF(ISNUMBER(GS172:GS368),ROW(GS172:GS368),"")))</f>
        <v>0</v>
      </c>
      <c r="GU172" s="12">
        <f>IF('Données projet'!$A$280&gt;35,GU171+GT172-HC171,IF(A172&lt;'Données projet'!$A$280,$GR$205^A172,IF(A172='Données projet'!$A$280,'Données projet'!$B$280,GU171+GT172-HC171)))</f>
        <v>-1.1368683772161603E-13</v>
      </c>
      <c r="GV172" s="17">
        <f>GU172*VLOOKUP('Données projet'!$B$18,Paramètres!$A$1:$I$89,3,0)*VLOOKUP('Données projet'!$B$18,Paramètres!$A$1:$I$89,5,0)</f>
        <v>-4.5815795601811263E-14</v>
      </c>
      <c r="GW172" s="13" t="e">
        <f t="shared" si="353"/>
        <v>#NUM!</v>
      </c>
      <c r="GX172" s="20" t="e">
        <f t="shared" si="354"/>
        <v>#NUM!</v>
      </c>
      <c r="GY172" s="59" t="e">
        <f t="shared" si="252"/>
        <v>#NUM!</v>
      </c>
      <c r="GZ172" s="59">
        <f ca="1">AVERAGE(OFFSET($GY$3,0,0,'Données projet'!$E$18+1,1))-AVERAGE(OFFSET($H$3,0,0,'Données projet'!$E$18+1,1))</f>
        <v>324.36162935850876</v>
      </c>
      <c r="HA172" s="59">
        <f t="shared" si="305"/>
        <v>265.23571072429735</v>
      </c>
      <c r="HB172" s="15">
        <f>IF(ISNA(VLOOKUP(A172,'Données projet'!$A$279:$I$299,3,0)),0,VLOOKUP(A172,'Données projet'!$A$279:$I$299,3,0))</f>
        <v>0</v>
      </c>
      <c r="HC172" s="15">
        <f>IF(ISNA(VLOOKUP(A172,'Données projet'!$A$279:$I$299,4,0)),0,VLOOKUP(A172,'Données projet'!$A$279:$I$299,4,0))</f>
        <v>0</v>
      </c>
      <c r="HD172" s="16">
        <f>IF(ISNA(VLOOKUP(A172,'Données projet'!$A$279:$I$299,5,0)),0%,VLOOKUP(A172,'Données projet'!$A$279:$I$299,5,0)*VLOOKUP('Données projet'!$B$18,Paramètres!$A$1:$I$89,7,0))</f>
        <v>0</v>
      </c>
      <c r="HE172" s="16">
        <f>IF(ISNA(VLOOKUP(A172,'Données projet'!$A$279:$I$299,6,0)),0%,VLOOKUP(A172,'Données projet'!$A$279:$I$299,6,0)*VLOOKUP('Données projet'!$B$18,Paramètres!$A$1:$I$89,7,0))</f>
        <v>0</v>
      </c>
      <c r="HF172" s="16">
        <f>IF(ISNA(VLOOKUP($A172,'Données projet'!$A$279:$I$299,7,0)),0%,VLOOKUP($A172,'Données projet'!$A$279:$I$299,7,0))</f>
        <v>0</v>
      </c>
      <c r="HG172" s="21">
        <f>EXP(-LN(2)/35)*HG171+(1-EXP(-LN(2)/35))/(LN(2)/35)*HC172*HD172*VLOOKUP('Données projet'!$B$18,Paramètres!$A$1:$I$89,3,0)*0.475*44/12</f>
        <v>40.51922256012935</v>
      </c>
      <c r="HH172" s="21">
        <f>EXP(-LN(2)/25)*HH171+(1-EXP(-LN(2)/25))/(LN(2)/25)*Calculateur!HC172*Calculateur!HE172*VLOOKUP('Données projet'!$B$18,Paramètres!$A$1:$I$89,3,0)*0.475*44/12</f>
        <v>2.0535631815210058</v>
      </c>
      <c r="HI172" s="21">
        <f>EXP(-LN(2)/2)*HI171+(1-EXP(-LN(2)/2))/(LN(2)/2)*HC172*HF172*VLOOKUP('Données projet'!$B$18,Paramètres!$A$1:$I$89,3,0)*0.475*44/12</f>
        <v>3.4354968339164583E-13</v>
      </c>
      <c r="HJ172" s="22">
        <f t="shared" si="355"/>
        <v>42.572785741650698</v>
      </c>
      <c r="HK172" s="74">
        <f>('Scénario référence'!$F$8+'Scénario référence'!$F$9+'Scénario référence'!$B$17+'Scénario référence'!$B$9+'Scénario référence'!$B$10)*70+IF((45+25*(1-EXP(-0.0175*$A172)))&lt;70,'Scénario référence'!$B$16*(45+25*(1-EXP(-0.0175*$A172))),70*'Scénario référence'!$B$16)+IF((32+38*(1-EXP(-0.0175*$A172)))&lt;70,'Scénario référence'!$B$18*(32+38*(1-EXP(-0.0175*$A172))),70*'Scénario référence'!$B$18)</f>
        <v>70</v>
      </c>
      <c r="HL172" s="12">
        <f>IF($A172&gt;30,10,('Scénario référence'!$B$16+'Scénario référence'!$B$17+'Scénario référence'!$B$18+'Scénario référence'!$B$9+'Scénario référence'!$B$10)*$A172*10/30+('Scénario référence'!$F$8+'Scénario référence'!$F$9)*10)</f>
        <v>10</v>
      </c>
      <c r="HM172" s="12" t="e">
        <f>VLOOKUP($A172,'Données projet'!$A$304:$I$324,2,0)</f>
        <v>#N/A</v>
      </c>
      <c r="HN172" s="12" t="e">
        <f>VLOOKUP($A172,'Données projet'!$A$304:$I$324,9,0)</f>
        <v>#N/A</v>
      </c>
      <c r="HO172" s="12">
        <f t="array" ref="HO172">INDEX(HN:HN,MIN(IF(ISNUMBER(HN172:HN368),ROW(HN172:HN368),"")))</f>
        <v>0</v>
      </c>
      <c r="HP172" s="12">
        <f>IF('Données projet'!$A$304&gt;35,HP171+HO172-HX171,IF($A172&lt;'Données projet'!$A$304,$CQ$205^$A172,IF($A172='Données projet'!$A$304,'Données projet'!$B$304,HP171+HO172-HX171)))</f>
        <v>0</v>
      </c>
      <c r="HQ172" s="17">
        <f>HP172*VLOOKUP('Données projet'!$B$19,Paramètres!$A$1:$I$89,3,0)*VLOOKUP('Données projet'!$B$19,Paramètres!$A$1:$I$89,5,0)</f>
        <v>0</v>
      </c>
      <c r="HR172" s="13" t="e">
        <f t="shared" si="306"/>
        <v>#NUM!</v>
      </c>
      <c r="HS172" s="14" t="e">
        <f t="shared" si="254"/>
        <v>#NUM!</v>
      </c>
      <c r="HT172" s="59" t="e">
        <f t="shared" si="255"/>
        <v>#NUM!</v>
      </c>
      <c r="HU172" s="59">
        <f ca="1">AVERAGE(OFFSET(HT$3,0,0,'Données projet'!$E$19+1,1))-AVERAGE(OFFSET($H$3,0,0,'Données projet'!$E$19+1,1))</f>
        <v>91.60721429656013</v>
      </c>
      <c r="HV172" s="59">
        <f t="shared" si="307"/>
        <v>258.94957804210856</v>
      </c>
      <c r="HW172" s="15">
        <f>IF(ISNA(VLOOKUP($A172,'Données projet'!$A$304:$I$324,3,0)),0,VLOOKUP($A172,'Données projet'!$A$304:$I$324,3,0))</f>
        <v>0</v>
      </c>
      <c r="HX172" s="15">
        <f>IF(ISNA(VLOOKUP($A172,'Données projet'!$A$304:$I$324,4,0)),0,VLOOKUP($A172,'Données projet'!$A$304:$I$324,4,0))</f>
        <v>0</v>
      </c>
      <c r="HY172" s="16">
        <f>IF(ISNA(VLOOKUP($A172,'Données projet'!$A$304:$I$324,5,0)),0%,VLOOKUP($A172,'Données projet'!$A$304:$I$324,5,0)*VLOOKUP('Données projet'!$B$19,Paramètres!$A$1:$I$89,7,0))</f>
        <v>0</v>
      </c>
      <c r="HZ172" s="16">
        <f>IF(ISNA(VLOOKUP($A172,'Données projet'!$A$304:$I$324,6,0)),0%,VLOOKUP($A172,'Données projet'!$A$304:$I$324,6,0)*VLOOKUP('Données projet'!$B$19,Paramètres!$A$1:$I$89,7,0))</f>
        <v>0</v>
      </c>
      <c r="IA172" s="16">
        <f>IF(ISNA(VLOOKUP($A172,'Données projet'!$A$304:$I$324,7,0)),0%,VLOOKUP($A172,'Données projet'!$A$304:$I$324,7,0))</f>
        <v>0</v>
      </c>
      <c r="IB172" s="21">
        <f>EXP(-LN(2)/35)*IB171+(1-EXP(-LN(2)/35))/(LN(2)/35)*HX172*HY172*VLOOKUP('Données projet'!$B$19,Paramètres!$A$1:$I$89,3,0)*0.475*44/12</f>
        <v>3.1449648878003806</v>
      </c>
      <c r="IC172" s="21">
        <f>EXP(-LN(2)/25)*IC171+(1-EXP(-LN(2)/25))/(LN(2)/25)*Calculateur!HX172*Calculateur!HZ172*VLOOKUP('Données projet'!$B$19,Paramètres!$A$1:$I$89,3,0)*0.475*44/12</f>
        <v>0.20619806414186809</v>
      </c>
      <c r="ID172" s="21">
        <f>EXP(-LN(2)/2)*ID171+(1-EXP(-LN(2)/2))/(LN(2)/2)*HX172*IA172*VLOOKUP('Données projet'!$B$19,Paramètres!$A$1:$I$89,3,0)*0.475*44/12</f>
        <v>6.8621146744444741E-22</v>
      </c>
      <c r="IE172" s="22">
        <f t="shared" si="256"/>
        <v>3.3511629519422486</v>
      </c>
      <c r="IF172" s="74">
        <f>('Scénario référence'!$F$8+'Scénario référence'!$F$9+'Scénario référence'!$B$17+'Scénario référence'!$B$9+'Scénario référence'!$B$10)*70+IF((45+25*(1-EXP(-0.0175*$A172)))&lt;70,'Scénario référence'!$B$16*(45+25*(1-EXP(-0.0175*$A172))),70*'Scénario référence'!$B$16)+IF((32+38*(1-EXP(-0.0175*$A172)))&lt;70,'Scénario référence'!$B$18*(32+38*(1-EXP(-0.0175*$A172))),70*'Scénario référence'!$B$18)</f>
        <v>70</v>
      </c>
      <c r="IG172" s="12">
        <f>IF($A172&gt;30,10,('Scénario référence'!$B$16+'Scénario référence'!$B$17+'Scénario référence'!$B$18+'Scénario référence'!$B$9+'Scénario référence'!$B$10)*$A172*10/30+('Scénario référence'!$F$8+'Scénario référence'!$F$9)*10)</f>
        <v>10</v>
      </c>
      <c r="IH172" s="12" t="e">
        <f>VLOOKUP($A172,'Données projet'!$A$330:$I$350,2,0)</f>
        <v>#N/A</v>
      </c>
      <c r="II172" s="12" t="e">
        <f>VLOOKUP($A172,'Données projet'!$A$330:$I$350,9,0)</f>
        <v>#N/A</v>
      </c>
      <c r="IJ172" s="12">
        <f t="array" ref="IJ172">INDEX(II:II,MIN(IF(ISNUMBER(II172:II368),ROW(II172:II368),"")))</f>
        <v>0</v>
      </c>
      <c r="IK172" s="12">
        <f>IF('Données projet'!$A$330&gt;35,IK171+IJ172-IS171,IF($A172&lt;'Données projet'!$A$330,$CQ$205^$A172,IF($A172='Données projet'!$A$330,'Données projet'!$B$330,IK171+IJ172-IS171)))</f>
        <v>0</v>
      </c>
      <c r="IL172" s="17">
        <f>IK172*VLOOKUP('Données projet'!$B$20,Paramètres!$A$1:$I$89,3,0)*VLOOKUP('Données projet'!$B$20,Paramètres!$A$1:$I$89,5,0)</f>
        <v>0</v>
      </c>
      <c r="IM172" s="13" t="e">
        <f t="shared" si="308"/>
        <v>#NUM!</v>
      </c>
      <c r="IN172" s="20" t="e">
        <f t="shared" si="257"/>
        <v>#NUM!</v>
      </c>
      <c r="IO172" s="59" t="e">
        <f t="shared" si="258"/>
        <v>#NUM!</v>
      </c>
      <c r="IP172" s="59">
        <f ca="1">AVERAGE(OFFSET(IO$3,0,0,'Données projet'!$E$20+1,1))-AVERAGE(OFFSET($H$3,0,0,'Données projet'!$E$20+1,1))</f>
        <v>91.60721429656013</v>
      </c>
      <c r="IQ172" s="59">
        <f t="shared" si="309"/>
        <v>258.94957804210856</v>
      </c>
      <c r="IR172" s="15">
        <f>IF(ISNA(VLOOKUP($A172,'Données projet'!$A$330:$I$350,3,0)),0,VLOOKUP($A172,'Données projet'!$A$330:$I$350,3,0))</f>
        <v>0</v>
      </c>
      <c r="IS172" s="15">
        <f>IF(ISNA(VLOOKUP($A172,'Données projet'!$A$330:$I$350,4,0)),0,VLOOKUP($A172,'Données projet'!$A$330:$I$350,4,0))</f>
        <v>0</v>
      </c>
      <c r="IT172" s="16">
        <f>IF(ISNA(VLOOKUP($A172,'Données projet'!$A$330:$I$350,5,0)),0%,VLOOKUP($A172,'Données projet'!$A$330:$I$350,5,0)*VLOOKUP('Données projet'!$B$20,Paramètres!$A$1:$I$89,7,0))</f>
        <v>0</v>
      </c>
      <c r="IU172" s="16">
        <f>IF(ISNA(VLOOKUP($A172,'Données projet'!$A$330:$I$350,6,0)),0%,VLOOKUP($A172,'Données projet'!$A$330:$I$350,6,0)*VLOOKUP('Données projet'!$B$20,Paramètres!$A$1:$I$89,7,0))</f>
        <v>0</v>
      </c>
      <c r="IV172" s="16">
        <f>IF(ISNA(VLOOKUP($A172,'Données projet'!$A$330:$I$350,7,0)),0%,VLOOKUP($A172,'Données projet'!$A$330:$I$350,7,0))</f>
        <v>0</v>
      </c>
      <c r="IW172" s="21">
        <f>EXP(-LN(2)/35)*IW171+(1-EXP(-LN(2)/35))/(LN(2)/35)*IS172*IT172*VLOOKUP('Données projet'!$B$20,Paramètres!$A$1:$I$89,3,0)*0.475*44/12</f>
        <v>3.1449648878003806</v>
      </c>
      <c r="IX172" s="21">
        <f>EXP(-LN(2)/25)*IX171+(1-EXP(-LN(2)/25))/(LN(2)/25)*Calculateur!IS172*Calculateur!IU172*VLOOKUP('Données projet'!$B$20,Paramètres!$A$1:$I$89,3,0)*0.475*44/12</f>
        <v>0.20619806414186809</v>
      </c>
      <c r="IY172" s="21">
        <f>EXP(-LN(2)/2)*IY171+(1-EXP(-LN(2)/2))/(LN(2)/2)*IS172*IV172*VLOOKUP('Données projet'!$B$20,Paramètres!$A$1:$I$89,3,0)*0.475*44/12</f>
        <v>6.8621146744444741E-22</v>
      </c>
      <c r="IZ172" s="22">
        <f t="shared" si="259"/>
        <v>3.3511629519422486</v>
      </c>
      <c r="JA172" s="74">
        <f>('Scénario référence'!$F$8+'Scénario référence'!$F$9+'Scénario référence'!$B$17+'Scénario référence'!$B$9+'Scénario référence'!$B$10)*70+IF((45+25*(1-EXP(-0.0175*$A172)))&lt;70,'Scénario référence'!$B$16*(45+25*(1-EXP(-0.0175*$A172))),70*'Scénario référence'!$B$16)+IF((32+38*(1-EXP(-0.0175*$A172)))&lt;70,'Scénario référence'!$B$18*(32+38*(1-EXP(-0.0175*$A172))),70*'Scénario référence'!$B$18)</f>
        <v>70</v>
      </c>
      <c r="JB172" s="12">
        <f>IF($A172&gt;30,10,('Scénario référence'!$B$16+'Scénario référence'!$B$17+'Scénario référence'!$B$18+'Scénario référence'!$B$9+'Scénario référence'!$B$10)*$A172*10/30+('Scénario référence'!$F$8+'Scénario référence'!$F$9)*10)</f>
        <v>10</v>
      </c>
      <c r="JC172" s="12" t="e">
        <f>VLOOKUP($A172,'Données projet'!$A$356:$I$376,2,0)</f>
        <v>#N/A</v>
      </c>
      <c r="JD172" s="12" t="e">
        <f>VLOOKUP($A172,'Données projet'!$A$356:$I$376,9,0)</f>
        <v>#N/A</v>
      </c>
      <c r="JE172" s="12">
        <f t="array" ref="JE172">INDEX(JD:JD,MIN(IF(ISNUMBER(JD172:JD368),ROW(JD172:JD368),"")))</f>
        <v>0</v>
      </c>
      <c r="JF172" s="12">
        <f>IF('Données projet'!$A$356&gt;35,JF171+JE172-JN171,IF($A172&lt;'Données projet'!$A$356,$CQ$205^$A172,IF($A172='Données projet'!$A$356,'Données projet'!$B$356,JF171+JE172-JN171)))</f>
        <v>-1.3073986337985843E-12</v>
      </c>
      <c r="JG172" s="17">
        <f>JF172*VLOOKUP('Données projet'!$B$21,Paramètres!$A$1:$I$89,3,0)*VLOOKUP('Données projet'!$B$21,Paramètres!$A$1:$I$89,5,0)</f>
        <v>-1.0605617717374117E-12</v>
      </c>
      <c r="JH172" s="13" t="e">
        <f t="shared" si="310"/>
        <v>#NUM!</v>
      </c>
      <c r="JI172" s="20" t="e">
        <f t="shared" si="260"/>
        <v>#NUM!</v>
      </c>
      <c r="JJ172" s="59" t="e">
        <f t="shared" si="261"/>
        <v>#NUM!</v>
      </c>
      <c r="JK172" s="59">
        <f ca="1">AVERAGE(OFFSET($JJ$3,0,0,'Données projet'!$E$22+1,1))-AVERAGE(OFFSET($H$3,0,0,'Données projet'!$E$22+1,1))</f>
        <v>353.35574633294613</v>
      </c>
      <c r="JL172" s="59">
        <f t="shared" si="311"/>
        <v>170.36796666474726</v>
      </c>
      <c r="JM172" s="15">
        <f>IF(ISNA(VLOOKUP($A172,'Données projet'!$A$356:$I$376,3,0)),0,VLOOKUP($A172,'Données projet'!$A$356:$I$376,3,0))</f>
        <v>0</v>
      </c>
      <c r="JN172" s="15">
        <f>IF(ISNA(VLOOKUP($A172,'Données projet'!$A$356:$I$376,4,0)),0,VLOOKUP($A172,'Données projet'!$A$356:$I$376,4,0))</f>
        <v>0</v>
      </c>
      <c r="JO172" s="16">
        <f>IF(ISNA(VLOOKUP($A172,'Données projet'!$A$356:$I$376,5,0)),0%,VLOOKUP($A172,'Données projet'!$A$356:$I$376,5,0)*VLOOKUP('Données projet'!$B$21,Paramètres!$A$1:$I$89,7,0))</f>
        <v>0</v>
      </c>
      <c r="JP172" s="16">
        <f>IF(ISNA(VLOOKUP($A172,'Données projet'!$A$356:$I$376,6,0)),0%,VLOOKUP($A172,'Données projet'!$A$356:$I$376,6,0)*VLOOKUP('Données projet'!$B$21,Paramètres!$A$1:$I$89,7,0))</f>
        <v>0</v>
      </c>
      <c r="JQ172" s="16">
        <f>IF(ISNA(VLOOKUP($A172,'Données projet'!$A$356:$I$376,7,0)),0%,VLOOKUP($A172,'Données projet'!$A$356:$I$376,7,0))</f>
        <v>0</v>
      </c>
      <c r="JR172" s="21">
        <f>EXP(-LN(2)/35)*JR171+(1-EXP(-LN(2)/35))/(LN(2)/35)*JN172*JO172*VLOOKUP('Données projet'!$B$21,Paramètres!$A$1:$I$89,3,0)*0.475*44/12</f>
        <v>50.418476687538515</v>
      </c>
      <c r="JS172" s="21">
        <f>EXP(-LN(2)/25)*JS171+(1-EXP(-LN(2)/25))/(LN(2)/25)*Calculateur!JN172*Calculateur!JP172*VLOOKUP('Données projet'!$B$21,Paramètres!$A$1:$I$89,3,0)*0.475*44/12</f>
        <v>45.129817723741212</v>
      </c>
      <c r="JT172" s="21">
        <f>EXP(-LN(2)/2)*JT171+(1-EXP(-LN(2)/2))/(LN(2)/2)*JN172*JQ172*VLOOKUP('Données projet'!$B$21,Paramètres!$A$1:$I$89,3,0)*0.475*44/12</f>
        <v>4.7358099516284918E-2</v>
      </c>
      <c r="JU172" s="18">
        <f t="shared" si="262"/>
        <v>95.595652510796015</v>
      </c>
      <c r="JV172" s="74">
        <f>('Scénario référence'!$F$8+'Scénario référence'!$F$9+'Scénario référence'!$B$17+'Scénario référence'!$B$9+'Scénario référence'!$B$10)*70+IF((45+25*(1-EXP(-0.0175*$A172)))&lt;70,'Scénario référence'!$B$16*(45+25*(1-EXP(-0.0175*$A172))),70*'Scénario référence'!$B$16)+IF((32+38*(1-EXP(-0.0175*$A172)))&lt;70,'Scénario référence'!$B$18*(32+38*(1-EXP(-0.0175*$A172))),70*'Scénario référence'!$B$18)</f>
        <v>70</v>
      </c>
      <c r="JW172" s="12">
        <f>IF($A172&gt;30,10,('Scénario référence'!$B$16+'Scénario référence'!$B$17+'Scénario référence'!$B$18+'Scénario référence'!$B$9+'Scénario référence'!$B$10)*$A172*10/30+('Scénario référence'!$F$8+'Scénario référence'!$F$9)*10)</f>
        <v>10</v>
      </c>
      <c r="JX172" s="12" t="e">
        <f>VLOOKUP($A172,'Données projet'!$A$382:$I$402,2,0)</f>
        <v>#N/A</v>
      </c>
      <c r="JY172" s="12" t="e">
        <f>VLOOKUP($A172,'Données projet'!$A$382:$I$402,9,0)</f>
        <v>#N/A</v>
      </c>
      <c r="JZ172" s="12">
        <f t="array" ref="JZ172">INDEX(JY:JY,MIN(IF(ISNUMBER(JY172:JY368),ROW(JY172:JY368),"")))</f>
        <v>0</v>
      </c>
      <c r="KA172" s="12">
        <f>IF('Données projet'!$A$382&gt;35,KA171+JZ172-KI171,IF($A172&lt;'Données projet'!$A$382,$CQ$205^$A172,IF($A172='Données projet'!$A$382,'Données projet'!$B$382,KA171+JZ172-KI171)))</f>
        <v>5.6843418860808015E-13</v>
      </c>
      <c r="KB172" s="17">
        <f>KA172*VLOOKUP('Données projet'!$B$22,Paramètres!$A$1:$I$89,3,0)*VLOOKUP('Données projet'!$B$22,Paramètres!$A$1:$I$89,5,0)</f>
        <v>3.8130565371830017E-13</v>
      </c>
      <c r="KC172" s="13">
        <f t="shared" si="312"/>
        <v>4.9019074112354236E-12</v>
      </c>
      <c r="KD172" s="20">
        <f t="shared" si="263"/>
        <v>9.2015960881277352E-12</v>
      </c>
      <c r="KE172" s="59">
        <f t="shared" si="264"/>
        <v>293.33333333334252</v>
      </c>
      <c r="KF172" s="59">
        <f ca="1">AVERAGE(OFFSET($KE$3,0,0,'Données projet'!$E$22+1,1))-AVERAGE(OFFSET($H$3,0,0,'Données projet'!$E$22+1,1))</f>
        <v>193.91714772848269</v>
      </c>
      <c r="KG172" s="59">
        <f t="shared" si="313"/>
        <v>159.20429420478047</v>
      </c>
      <c r="KH172" s="15">
        <f>IF(ISNA(VLOOKUP($A172,'Données projet'!$A$382:$I$402,3,0)),0,VLOOKUP($A172,'Données projet'!$A$382:$I$402,3,0))</f>
        <v>0</v>
      </c>
      <c r="KI172" s="15">
        <f>IF(ISNA(VLOOKUP($A172,'Données projet'!$A$382:$I$402,4,0)),0,VLOOKUP($A172,'Données projet'!$A$382:$I$402,4,0))</f>
        <v>0</v>
      </c>
      <c r="KJ172" s="16">
        <f>IF(ISNA(VLOOKUP($A172,'Données projet'!$A$382:$I$402,5,0)),0%,VLOOKUP($A172,'Données projet'!$A$382:$I$402,5,0)*VLOOKUP('Données projet'!$B$22,Paramètres!$A$1:$I$89,7,0))</f>
        <v>0</v>
      </c>
      <c r="KK172" s="16">
        <f>IF(ISNA(VLOOKUP($A172,'Données projet'!$A$382:$I$402,6,0)),0%,VLOOKUP($A172,'Données projet'!$A$382:$I$402,6,0)*VLOOKUP('Données projet'!$B$22,Paramètres!$A$1:$I$89,7,0))</f>
        <v>0</v>
      </c>
      <c r="KL172" s="16">
        <f>IF(ISNA(VLOOKUP($A172,'Données projet'!$A$382:$I$402,7,0)),0%,VLOOKUP($A172,'Données projet'!$A$382:$I$402,7,0))</f>
        <v>0</v>
      </c>
      <c r="KM172" s="21">
        <f>EXP(-LN(2)/35)*KM171+(1-EXP(-LN(2)/35))/(LN(2)/35)*KI172*KJ172*VLOOKUP('Données projet'!$B$22,Paramètres!$A$1:$I$89,3,0)*0.475*44/12</f>
        <v>73.616540610128496</v>
      </c>
      <c r="KN172" s="21">
        <f>EXP(-LN(2)/25)*KN171+(1-EXP(-LN(2)/25))/(LN(2)/25)*Calculateur!KI172*Calculateur!KK172*VLOOKUP('Données projet'!$B$22,Paramètres!$A$1:$I$89,3,0)*0.475*44/12</f>
        <v>0</v>
      </c>
      <c r="KO172" s="21">
        <f>EXP(-LN(2)/2)*KO171+(1-EXP(-LN(2)/2))/(LN(2)/2)*KI172*KL172*VLOOKUP('Données projet'!$B$22,Paramètres!$A$1:$I$89,3,0)*0.475*44/12</f>
        <v>0</v>
      </c>
      <c r="KP172" s="22">
        <f t="shared" si="265"/>
        <v>73.616540610128496</v>
      </c>
      <c r="KQ172" s="74">
        <f>('Scénario référence'!$F$8+'Scénario référence'!$F$9+'Scénario référence'!$B$17+'Scénario référence'!$B$9+'Scénario référence'!$B$10)*70+IF((45+25*(1-EXP(-0.0175*$A172)))&lt;70,'Scénario référence'!$B$16*(45+25*(1-EXP(-0.0175*$A172))),70*'Scénario référence'!$B$16)+IF((32+38*(1-EXP(-0.0175*$A172)))&lt;70,'Scénario référence'!$B$18*(32+38*(1-EXP(-0.0175*$A172))),70*'Scénario référence'!$B$18)</f>
        <v>70</v>
      </c>
      <c r="KR172" s="12">
        <f>IF($A172&gt;30,10,('Scénario référence'!$B$16+'Scénario référence'!$B$17+'Scénario référence'!$B$18+'Scénario référence'!$B$9+'Scénario référence'!$B$10)*$A172*10/30+('Scénario référence'!$F$8+'Scénario référence'!$F$9)*10)</f>
        <v>10</v>
      </c>
      <c r="KS172" s="12" t="e">
        <f>VLOOKUP($A172,'Données projet'!$A$408:$I$428,2,0)</f>
        <v>#N/A</v>
      </c>
      <c r="KT172" s="12" t="e">
        <f>VLOOKUP($A172,'Données projet'!$A$408:$I$428,9,0)</f>
        <v>#N/A</v>
      </c>
      <c r="KU172" s="12">
        <f t="array" ref="KU172">INDEX(KT:KT,MIN(IF(ISNUMBER(KT172:KT368),ROW(KT172:KT368),"")))</f>
        <v>0</v>
      </c>
      <c r="KV172" s="12">
        <f>IF('Données projet'!$A$408&gt;35,KV171+KU172-LD171,IF($A172&lt;'Données projet'!$A$408,$CQ$205^$A172,IF($A172='Données projet'!$A$408,'Données projet'!$B$408,KV171+KU172-LD171)))</f>
        <v>-1.1368683772161603E-13</v>
      </c>
      <c r="KW172" s="17">
        <f>KV172*VLOOKUP('Données projet'!$B$23,Paramètres!$A$1:$I$89,3,0)*VLOOKUP('Données projet'!$B$23,Paramètres!$A$1:$I$89,5,0)</f>
        <v>-9.9316821433603781E-14</v>
      </c>
      <c r="KX172" s="13" t="e">
        <f t="shared" si="314"/>
        <v>#NUM!</v>
      </c>
      <c r="KY172" s="14" t="e">
        <f t="shared" si="266"/>
        <v>#NUM!</v>
      </c>
      <c r="KZ172" s="59" t="e">
        <f t="shared" si="267"/>
        <v>#NUM!</v>
      </c>
      <c r="LA172" s="59">
        <f ca="1">AVERAGE(OFFSET($KZ$3,0,0,'Données projet'!$E$23+1,1))-AVERAGE(OFFSET($H$3,0,0,'Données projet'!$E$23+1,1))</f>
        <v>248.33596943633819</v>
      </c>
      <c r="LB172" s="59">
        <f t="shared" si="315"/>
        <v>242.34010522344573</v>
      </c>
      <c r="LC172" s="15">
        <f>IF(ISNA(VLOOKUP($A172,'Données projet'!$A$408:$I$428,3,0)),0,VLOOKUP($A172,'Données projet'!$A$408:$I$428,3,0))</f>
        <v>0</v>
      </c>
      <c r="LD172" s="15">
        <f>IF(ISNA(VLOOKUP($A172,'Données projet'!$A$408:$I$428,4,0)),0,VLOOKUP($A172,'Données projet'!$A$408:$I$428,4,0))</f>
        <v>0</v>
      </c>
      <c r="LE172" s="16">
        <f>IF(ISNA(VLOOKUP($A172,'Données projet'!$A$408:$I$428,5,0)),0%,VLOOKUP($A172,'Données projet'!$A$408:$I$428,5,0)*VLOOKUP('Données projet'!$B$23,Paramètres!$A$1:$I$89,7,0))</f>
        <v>0</v>
      </c>
      <c r="LF172" s="16">
        <f>IF(ISNA(VLOOKUP($A172,'Données projet'!$A$408:$I$428,6,0)),0%,VLOOKUP($A172,'Données projet'!$A$408:$I$428,6,0)*VLOOKUP('Données projet'!$B$23,Paramètres!$A$1:$I$89,7,0))</f>
        <v>0</v>
      </c>
      <c r="LG172" s="16">
        <f>IF(ISNA(VLOOKUP($A172,'Données projet'!$A$408:$I$428,7,0)),0%,VLOOKUP($A172,'Données projet'!$A$408:$I$428,7,0))</f>
        <v>0</v>
      </c>
      <c r="LH172" s="21">
        <f>EXP(-LN(2)/35)*LH171+(1-EXP(-LN(2)/35))/(LN(2)/35)*LD172*LE172*VLOOKUP('Données projet'!$B$23,Paramètres!$A$1:$I$89,3,0)*0.475*44/12</f>
        <v>21.144934695438614</v>
      </c>
      <c r="LI172" s="21">
        <f>EXP(-LN(2)/25)*LI171+(1-EXP(-LN(2)/25))/(LN(2)/25)*Calculateur!LD172*Calculateur!LF172*VLOOKUP('Données projet'!$B$23,Paramètres!$A$1:$I$89,3,0)*0.475*44/12</f>
        <v>1.8464324797017568</v>
      </c>
      <c r="LJ172" s="21">
        <f>EXP(-LN(2)/2)*LJ171+(1-EXP(-LN(2)/2))/(LN(2)/2)*LD172*LG172*VLOOKUP('Données projet'!$B$23,Paramètres!$A$1:$I$89,3,0)*0.475*44/12</f>
        <v>0</v>
      </c>
      <c r="LK172" s="22">
        <f t="shared" si="268"/>
        <v>22.991367175140372</v>
      </c>
      <c r="LL172" s="74">
        <f>('Scénario référence'!$F$8+'Scénario référence'!$F$9+'Scénario référence'!$B$17+'Scénario référence'!$B$9+'Scénario référence'!$B$10)*70+IF((45+25*(1-EXP(-0.0175*$A172)))&lt;70,'Scénario référence'!$B$16*(45+25*(1-EXP(-0.0175*$A172))),70*'Scénario référence'!$B$16)+IF((32+38*(1-EXP(-0.0175*$A172)))&lt;70,'Scénario référence'!$B$18*(32+38*(1-EXP(-0.0175*$A172))),70*'Scénario référence'!$B$18)</f>
        <v>70</v>
      </c>
      <c r="LM172" s="12">
        <f>IF($A172&gt;30,10,('Scénario référence'!$B$16+'Scénario référence'!$B$17+'Scénario référence'!$B$18+'Scénario référence'!$B$9+'Scénario référence'!$B$10)*$A172*10/30+('Scénario référence'!$F$8+'Scénario référence'!$F$9)*10)</f>
        <v>10</v>
      </c>
      <c r="LN172" s="12" t="e">
        <f>VLOOKUP($A172,'Données projet'!$A$434:$I$454,2,0)</f>
        <v>#N/A</v>
      </c>
      <c r="LO172" s="12" t="e">
        <f>VLOOKUP($A172,'Données projet'!$A$434:$I$454,9,0)</f>
        <v>#N/A</v>
      </c>
      <c r="LP172" s="12">
        <f t="array" ref="LP172">INDEX(LO:LO,MIN(IF(ISNUMBER(LO172:LO368),ROW(LO172:LO368),"")))</f>
        <v>0</v>
      </c>
      <c r="LQ172" s="12">
        <f>IF('Données projet'!$A$434&gt;35,LQ171+LP172-LY171,IF($A172&lt;'Données projet'!$A$434,$CQ$205^$A172,IF($A172='Données projet'!$A$434,'Données projet'!$B$434,LQ171+LP172-LY171)))</f>
        <v>-4.5474735088646412E-13</v>
      </c>
      <c r="LR172" s="17">
        <f>LQ172*VLOOKUP('Données projet'!$B$24,Paramètres!$A$1:$I$89,3,0)*VLOOKUP('Données projet'!$B$24,Paramètres!$A$1:$I$89,5,0)</f>
        <v>-4.6111381379887462E-13</v>
      </c>
      <c r="LS172" s="13" t="e">
        <f t="shared" si="316"/>
        <v>#NUM!</v>
      </c>
      <c r="LT172" s="14" t="e">
        <f t="shared" si="269"/>
        <v>#NUM!</v>
      </c>
      <c r="LU172" s="59" t="e">
        <f t="shared" si="270"/>
        <v>#NUM!</v>
      </c>
      <c r="LV172" s="59">
        <f ca="1">AVERAGE(OFFSET($LU$3,0,0,'Données projet'!$E$24+1,1))-AVERAGE(OFFSET($H$3,0,0,'Données projet'!$E$24+1,1))</f>
        <v>260.52627655062872</v>
      </c>
      <c r="LW172" s="59">
        <f t="shared" si="317"/>
        <v>159.20429420478047</v>
      </c>
      <c r="LX172" s="15">
        <f>IF(ISNA(VLOOKUP($A172,'Données projet'!$A$434:$I$454,3,0)),0,VLOOKUP($A172,'Données projet'!$A$434:$I$454,3,0))</f>
        <v>0</v>
      </c>
      <c r="LY172" s="15">
        <f>IF(ISNA(VLOOKUP($A172,'Données projet'!$A$434:$I$454,4,0)),0,VLOOKUP($A172,'Données projet'!$A$434:$I$454,4,0))</f>
        <v>0</v>
      </c>
      <c r="LZ172" s="16">
        <f>IF(ISNA(VLOOKUP($A172,'Données projet'!$A$434:$I$454,5,0)),0%,VLOOKUP($A172,'Données projet'!$A$434:$I$454,5,0)*VLOOKUP('Données projet'!$B$24,Paramètres!$A$1:$I$89,7,0))</f>
        <v>0</v>
      </c>
      <c r="MA172" s="16">
        <f>IF(ISNA(VLOOKUP($A172,'Données projet'!$A$434:$I$454,6,0)),0%,VLOOKUP($A172,'Données projet'!$A$434:$I$454,6,0)*VLOOKUP('Données projet'!$B$24,Paramètres!$A$1:$I$89,7,0))</f>
        <v>0</v>
      </c>
      <c r="MB172" s="16">
        <f>IF(ISNA(VLOOKUP($A172,'Données projet'!$A$434:$I$454,7,0)),0%,VLOOKUP($A172,'Données projet'!$A$434:$I$454,7,0))</f>
        <v>0</v>
      </c>
      <c r="MC172" s="21">
        <f>EXP(-LN(2)/35)*MC171+(1-EXP(-LN(2)/35))/(LN(2)/35)*LY172*LZ172*VLOOKUP('Données projet'!$B$24,Paramètres!$A$1:$I$89,3,0)*0.475*44/12</f>
        <v>135.95474804161515</v>
      </c>
      <c r="MD172" s="21">
        <f>EXP(-LN(2)/25)*MD171+(1-EXP(-LN(2)/25))/(LN(2)/25)*Calculateur!LY172*Calculateur!MA172*VLOOKUP('Données projet'!$B$24,Paramètres!$A$1:$I$89,3,0)*0.475*44/12</f>
        <v>0</v>
      </c>
      <c r="ME172" s="21">
        <f>EXP(-LN(2)/2)*ME171+(1-EXP(-LN(2)/2))/(LN(2)/2)*LY172*MB172*VLOOKUP('Données projet'!$B$24,Paramètres!$A$1:$I$89,3,0)*0.475*44/12</f>
        <v>0</v>
      </c>
      <c r="MF172" s="22">
        <f t="shared" si="271"/>
        <v>135.95474804161515</v>
      </c>
      <c r="MG172" s="74">
        <f>('Scénario référence'!$F$8+'Scénario référence'!$F$9+'Scénario référence'!$B$17+'Scénario référence'!$B$9+'Scénario référence'!$B$10)*70+IF((45+25*(1-EXP(-0.0175*$A172)))&lt;70,'Scénario référence'!$B$16*(45+25*(1-EXP(-0.0175*$A172))),70*'Scénario référence'!$B$16)+IF((32+38*(1-EXP(-0.0175*$A172)))&lt;70,'Scénario référence'!$B$18*(32+38*(1-EXP(-0.0175*$A172))),70*'Scénario référence'!$B$18)</f>
        <v>70</v>
      </c>
      <c r="MH172" s="12">
        <f>IF($A172&gt;30,10,('Scénario référence'!$B$16+'Scénario référence'!$B$17+'Scénario référence'!$B$18+'Scénario référence'!$B$9+'Scénario référence'!$B$10)*$A172*10/30+('Scénario référence'!$F$8+'Scénario référence'!$F$9)*10)</f>
        <v>10</v>
      </c>
      <c r="MI172" s="12" t="e">
        <f>VLOOKUP($A172,'Données projet'!$A$460:$I$480,2,0)</f>
        <v>#N/A</v>
      </c>
      <c r="MJ172" s="12" t="e">
        <f>VLOOKUP($A172,'Données projet'!$A$460:$I$480,9,0)</f>
        <v>#N/A</v>
      </c>
      <c r="MK172" s="12">
        <f t="array" ref="MK172">INDEX(MJ:MJ,MIN(IF(ISNUMBER(MJ172:MJ368),ROW(MJ172:MJ368),"")))</f>
        <v>0</v>
      </c>
      <c r="ML172" s="12">
        <f>IF('Données projet'!$A$460&gt;35,ML171+MK172-MT171,IF($A172&lt;'Données projet'!$A$460,$CQ$205^$A172,IF($A172='Données projet'!$A$460,'Données projet'!$B$460,ML171+MK172-MT171)))</f>
        <v>0</v>
      </c>
      <c r="MM172" s="17" t="e">
        <f>ML172*VLOOKUP('Données projet'!$B$25,Paramètres!$A$1:$I$89,3,0)*VLOOKUP('Données projet'!$B$25,Paramètres!$A$1:$I$89,5,0)</f>
        <v>#N/A</v>
      </c>
      <c r="MN172" s="13" t="e">
        <f t="shared" si="318"/>
        <v>#N/A</v>
      </c>
      <c r="MO172" s="14" t="e">
        <f t="shared" si="272"/>
        <v>#N/A</v>
      </c>
      <c r="MP172" s="59" t="e">
        <f t="shared" si="273"/>
        <v>#N/A</v>
      </c>
      <c r="MQ172" s="20" t="e">
        <f ca="1">AVERAGE(OFFSET($MP$3,0,0,'Données projet'!$E$25+1,1))-AVERAGE(OFFSET($H$3,0,0,'Données projet'!$E$25+1,1))</f>
        <v>#N/A</v>
      </c>
      <c r="MR172" s="59" t="e">
        <f t="shared" si="319"/>
        <v>#N/A</v>
      </c>
      <c r="MS172" s="15">
        <f>IF(ISNA(VLOOKUP($A172,'Données projet'!$A$460:$I$480,3,0)),0,VLOOKUP($A172,'Données projet'!$A$460:$I$480,3,0))</f>
        <v>0</v>
      </c>
      <c r="MT172" s="15">
        <f>IF(ISNA(VLOOKUP($A172,'Données projet'!$A$460:$I$480,4,0)),0,VLOOKUP($A172,'Données projet'!$A$460:$I$480,4,0))</f>
        <v>0</v>
      </c>
      <c r="MU172" s="16">
        <f>IF(ISNA(VLOOKUP($A172,'Données projet'!$A$460:$I$480,5,0)),0%,VLOOKUP($A172,'Données projet'!$A$460:$I$480,5,0)*VLOOKUP('Données projet'!$B$25,Paramètres!$A$1:$I$89,7,0))</f>
        <v>0</v>
      </c>
      <c r="MV172" s="16">
        <f>IF(ISNA(VLOOKUP($A172,'Données projet'!$A$460:$I$480,6,0)),0%,VLOOKUP($A172,'Données projet'!$A$460:$I$480,6,0)*VLOOKUP('Données projet'!$B$25,Paramètres!$A$1:$I$89,7,0))</f>
        <v>0</v>
      </c>
      <c r="MW172" s="16">
        <f>IF(ISNA(VLOOKUP($A172,'Données projet'!$A$460:$I$480,7,0)),0%,VLOOKUP($A172,'Données projet'!$A$460:$I$480,7,0))</f>
        <v>0</v>
      </c>
      <c r="MX172" s="21" t="e">
        <f>EXP(-LN(2)/35)*MX171+(1-EXP(-LN(2)/35))/(LN(2)/35)*MT172*MU172*VLOOKUP('Données projet'!$B$25,Paramètres!$A$1:$I$89,3,0)*0.475*44/12</f>
        <v>#N/A</v>
      </c>
      <c r="MY172" s="21" t="e">
        <f>EXP(-LN(2)/25)*MY171+(1-EXP(-LN(2)/25))/(LN(2)/25)*Calculateur!MT172*Calculateur!MV172*VLOOKUP('Données projet'!$B$25,Paramètres!$A$1:$I$89,3,0)*0.475*44/12</f>
        <v>#N/A</v>
      </c>
      <c r="MZ172" s="21" t="e">
        <f>EXP(-LN(2)/2)*MZ171+(1-EXP(-LN(2)/2))/(LN(2)/2)*MT172*MW172*VLOOKUP('Données projet'!$B$25,Paramètres!$A$1:$I$89,3,0)*0.475*44/12</f>
        <v>#N/A</v>
      </c>
      <c r="NA172" s="22" t="e">
        <f t="shared" si="274"/>
        <v>#N/A</v>
      </c>
      <c r="NB172" s="74">
        <f>('Scénario référence'!$F$8+'Scénario référence'!$F$9+'Scénario référence'!$B$17+'Scénario référence'!$B$9+'Scénario référence'!$B$10)*70+IF((45+25*(1-EXP(-0.0175*$A172)))&lt;70,'Scénario référence'!$B$16*(45+25*(1-EXP(-0.0175*$A172))),70*'Scénario référence'!$B$16)+IF((32+38*(1-EXP(-0.0175*$A172)))&lt;70,'Scénario référence'!$B$18*(32+38*(1-EXP(-0.0175*$A172))),70*'Scénario référence'!$B$18)</f>
        <v>70</v>
      </c>
      <c r="NC172" s="12">
        <f>IF($A172&gt;30,10,('Scénario référence'!$B$16+'Scénario référence'!$B$17+'Scénario référence'!$B$18+'Scénario référence'!$B$9+'Scénario référence'!$B$10)*$A172*10/30+('Scénario référence'!$F$8+'Scénario référence'!$F$9)*10)</f>
        <v>10</v>
      </c>
      <c r="ND172" s="12" t="e">
        <f>VLOOKUP($A172,'Données projet'!$A$486:$I$506,2,0)</f>
        <v>#N/A</v>
      </c>
      <c r="NE172" s="12" t="e">
        <f>VLOOKUP($A172,'Données projet'!$A$486:$I$506,9,0)</f>
        <v>#N/A</v>
      </c>
      <c r="NF172" s="12">
        <f t="array" ref="NF172">INDEX(NE:NE,MIN(IF(ISNUMBER(NE172:NE368),ROW(NE172:NE368),"")))</f>
        <v>0</v>
      </c>
      <c r="NG172" s="12">
        <f>IF('Données projet'!$A$486&gt;35,NG171+NF172-NO171,IF($A172&lt;'Données projet'!$A$486,$CQ$205^$A172,IF($A172='Données projet'!$A$486,'Données projet'!$B$486,NG171+NF172-NO171)))</f>
        <v>0</v>
      </c>
      <c r="NH172" s="17" t="e">
        <f>NG172*VLOOKUP('Données projet'!$B$26,Paramètres!$A$1:$I$89,3,0)*VLOOKUP('Données projet'!$B$26,Paramètres!$A$1:$I$89,5,0)</f>
        <v>#N/A</v>
      </c>
      <c r="NI172" s="13" t="e">
        <f t="shared" si="320"/>
        <v>#N/A</v>
      </c>
      <c r="NJ172" s="14" t="e">
        <f t="shared" si="275"/>
        <v>#N/A</v>
      </c>
      <c r="NK172" s="59" t="e">
        <f t="shared" si="276"/>
        <v>#N/A</v>
      </c>
      <c r="NL172" s="20" t="e">
        <f ca="1">AVERAGE(OFFSET($NK$3,0,0,'Données projet'!$E$26+1,1))-AVERAGE(OFFSET($H$3,0,0,'Données projet'!$E$26+1,1))</f>
        <v>#N/A</v>
      </c>
      <c r="NM172" s="59" t="e">
        <f t="shared" si="321"/>
        <v>#N/A</v>
      </c>
      <c r="NN172" s="15">
        <f>IF(ISNA(VLOOKUP($A172,'Données projet'!$A$486:$I$506,3,0)),0,VLOOKUP($A172,'Données projet'!$A$486:$I$506,3,0))</f>
        <v>0</v>
      </c>
      <c r="NO172" s="15">
        <f>IF(ISNA(VLOOKUP($A172,'Données projet'!$A$486:$I$506,4,0)),0,VLOOKUP($A172,'Données projet'!$A$486:$I$506,4,0))</f>
        <v>0</v>
      </c>
      <c r="NP172" s="16">
        <f>IF(ISNA(VLOOKUP($A172,'Données projet'!$A$486:$I$506,5,0)),0%,VLOOKUP($A172,'Données projet'!$A$486:$I$506,5,0)*VLOOKUP('Données projet'!$B$26,Paramètres!$A$1:$I$89,7,0))</f>
        <v>0</v>
      </c>
      <c r="NQ172" s="16">
        <f>IF(ISNA(VLOOKUP($A172,'Données projet'!$A$486:$I$506,6,0)),0%,VLOOKUP($A172,'Données projet'!$A$486:$I$506,6,0)*VLOOKUP('Données projet'!$B$26,Paramètres!$A$1:$I$89,7,0))</f>
        <v>0</v>
      </c>
      <c r="NR172" s="16">
        <f>IF(ISNA(VLOOKUP($A172,'Données projet'!$A$486:$I$506,7,0)),0%,VLOOKUP($A172,'Données projet'!$A$486:$I$506,7,0))</f>
        <v>0</v>
      </c>
      <c r="NS172" s="21" t="e">
        <f>EXP(-LN(2)/35)*NS171+(1-EXP(-LN(2)/35))/(LN(2)/35)*NO172*NP172*VLOOKUP('Données projet'!$B$26,Paramètres!$A$1:$I$89,3,0)*0.475*44/12</f>
        <v>#N/A</v>
      </c>
      <c r="NT172" s="21" t="e">
        <f>EXP(-LN(2)/25)*NT171+(1-EXP(-LN(2)/25))/(LN(2)/25)*Calculateur!NO172*Calculateur!NQ172*VLOOKUP('Données projet'!$B$26,Paramètres!$A$1:$I$89,3,0)*0.475*44/12</f>
        <v>#N/A</v>
      </c>
      <c r="NU172" s="21" t="e">
        <f>EXP(-LN(2)/2)*NU171+(1-EXP(-LN(2)/2))/(LN(2)/2)*NO172*NR172*VLOOKUP('Données projet'!$B$26,Paramètres!$A$1:$I$89,3,0)*0.475*44/12</f>
        <v>#N/A</v>
      </c>
      <c r="NV172" s="22" t="e">
        <f t="shared" si="277"/>
        <v>#N/A</v>
      </c>
      <c r="NW172" s="74">
        <f>('Scénario référence'!$F$8+'Scénario référence'!$F$9+'Scénario référence'!$B$17+'Scénario référence'!$B$9+'Scénario référence'!$B$10)*70+IF((45+25*(1-EXP(-0.0175*$A172)))&lt;70,'Scénario référence'!$B$16*(45+25*(1-EXP(-0.0175*$A172))),70*'Scénario référence'!$B$16)+IF((32+38*(1-EXP(-0.0175*$A172)))&lt;70,'Scénario référence'!$B$18*(32+38*(1-EXP(-0.0175*$A172))),70*'Scénario référence'!$B$18)</f>
        <v>70</v>
      </c>
      <c r="NX172" s="12">
        <f>IF($A172&gt;30,10,('Scénario référence'!$B$16+'Scénario référence'!$B$17+'Scénario référence'!$B$18+'Scénario référence'!$B$9+'Scénario référence'!$B$10)*$A172*10/30+('Scénario référence'!$F$8+'Scénario référence'!$F$9)*10)</f>
        <v>10</v>
      </c>
      <c r="NY172" s="12" t="e">
        <f>VLOOKUP($A172,'Données projet'!$A$512:$I$532,2,0)</f>
        <v>#N/A</v>
      </c>
      <c r="NZ172" s="12" t="e">
        <f>VLOOKUP($A172,'Données projet'!$A$512:$I$532,9,0)</f>
        <v>#N/A</v>
      </c>
      <c r="OA172" s="12">
        <f t="array" ref="OA172">INDEX(NZ:NZ,MIN(IF(ISNUMBER(NZ172:NZ368),ROW(NZ172:NZ368),"")))</f>
        <v>0</v>
      </c>
      <c r="OB172" s="12">
        <f>IF('Données projet'!$A$512&gt;35,OB171+OA172-OJ171,IF($A172&lt;'Données projet'!$A$512,$CQ$205^$A172,IF($A172='Données projet'!$A$512,'Données projet'!$B$512,OB171+OA172-OJ171)))</f>
        <v>0</v>
      </c>
      <c r="OC172" s="17" t="e">
        <f>OB172*VLOOKUP('Données projet'!$B$27,Paramètres!$A$1:$I$89,3,0)*VLOOKUP('Données projet'!$B$27,Paramètres!$A$1:$I$89,5,0)</f>
        <v>#N/A</v>
      </c>
      <c r="OD172" s="13" t="e">
        <f t="shared" si="322"/>
        <v>#N/A</v>
      </c>
      <c r="OE172" s="14" t="e">
        <f t="shared" si="278"/>
        <v>#N/A</v>
      </c>
      <c r="OF172" s="59" t="e">
        <f t="shared" si="279"/>
        <v>#N/A</v>
      </c>
      <c r="OG172" s="20" t="e">
        <f ca="1">AVERAGE(OFFSET($OF$3,0,0,'Données projet'!$E$27+1,1))-AVERAGE(OFFSET($H$3,0,0,'Données projet'!$E$27+1,1))</f>
        <v>#N/A</v>
      </c>
      <c r="OH172" s="59" t="e">
        <f t="shared" si="323"/>
        <v>#N/A</v>
      </c>
      <c r="OI172" s="15">
        <f>IF(ISNA(VLOOKUP($A172,'Données projet'!$A$512:$I$532,3,0)),0,VLOOKUP($A172,'Données projet'!$A$512:$I$532,3,0))</f>
        <v>0</v>
      </c>
      <c r="OJ172" s="15">
        <f>IF(ISNA(VLOOKUP($A172,'Données projet'!$A$512:$I$532,4,0)),0,VLOOKUP($A172,'Données projet'!$A$512:$I$532,4,0))</f>
        <v>0</v>
      </c>
      <c r="OK172" s="16">
        <f>IF(ISNA(VLOOKUP($A172,'Données projet'!$A$512:$I$532,5,0)),0%,VLOOKUP($A172,'Données projet'!$A$512:$I$532,5,0)*VLOOKUP('Données projet'!$B$27,Paramètres!$A$1:$I$89,7,0))</f>
        <v>0</v>
      </c>
      <c r="OL172" s="16">
        <f>IF(ISNA(VLOOKUP($A172,'Données projet'!$A$512:$I$532,6,0)),0%,VLOOKUP($A172,'Données projet'!$A$512:$I$532,6,0)*VLOOKUP('Données projet'!$B$27,Paramètres!$A$1:$I$89,7,0))</f>
        <v>0</v>
      </c>
      <c r="OM172" s="16">
        <f>IF(ISNA(VLOOKUP($A172,'Données projet'!$A$512:$I$532,7,0)),0%,VLOOKUP($A172,'Données projet'!$A$512:$I$532,7,0))</f>
        <v>0</v>
      </c>
      <c r="ON172" s="21" t="e">
        <f>EXP(-LN(2)/35)*ON171+(1-EXP(-LN(2)/35))/(LN(2)/35)*OJ172*OK172*VLOOKUP('Données projet'!$B$27,Paramètres!$A$1:$I$89,3,0)*0.475*44/12</f>
        <v>#N/A</v>
      </c>
      <c r="OO172" s="21" t="e">
        <f>EXP(-LN(2)/25)*OO171+(1-EXP(-LN(2)/25))/(LN(2)/25)*Calculateur!OJ172*Calculateur!OL172*VLOOKUP('Données projet'!$B$27,Paramètres!$A$1:$I$89,3,0)*0.475*44/12</f>
        <v>#N/A</v>
      </c>
      <c r="OP172" s="21" t="e">
        <f>EXP(-LN(2)/2)*OP171+(1-EXP(-LN(2)/2))/(LN(2)/2)*OJ172*OM172*VLOOKUP('Données projet'!$B$27,Paramètres!$A$1:$I$89,3,0)*0.475*44/12</f>
        <v>#N/A</v>
      </c>
      <c r="OQ172" s="22" t="e">
        <f t="shared" si="280"/>
        <v>#N/A</v>
      </c>
      <c r="OR172" s="74">
        <f>('Scénario référence'!$F$8+'Scénario référence'!$F$9+'Scénario référence'!$B$17+'Scénario référence'!$B$9+'Scénario référence'!$B$10)*70+IF((45+25*(1-EXP(-0.0175*$A172)))&lt;70,'Scénario référence'!$B$16*(45+25*(1-EXP(-0.0175*$A172))),70*'Scénario référence'!$B$16)+IF((32+38*(1-EXP(-0.0175*$A172)))&lt;70,'Scénario référence'!$B$18*(32+38*(1-EXP(-0.0175*$A172))),70*'Scénario référence'!$B$18)</f>
        <v>70</v>
      </c>
      <c r="OS172" s="12">
        <f>IF($A172&gt;30,10,('Scénario référence'!$B$16+'Scénario référence'!$B$17+'Scénario référence'!$B$18+'Scénario référence'!$B$9+'Scénario référence'!$B$10)*$A172*10/30+('Scénario référence'!$F$8+'Scénario référence'!$F$9)*10)</f>
        <v>10</v>
      </c>
      <c r="OT172" s="12" t="e">
        <f>VLOOKUP($A172,'Données projet'!$A$538:$I$558,2,0)</f>
        <v>#N/A</v>
      </c>
      <c r="OU172" s="12" t="e">
        <f>VLOOKUP($A172,'Données projet'!$A$538:$I$558,9,0)</f>
        <v>#N/A</v>
      </c>
      <c r="OV172" s="12">
        <f t="array" ref="OV172">INDEX(OU:OU,MIN(IF(ISNUMBER(OU172:OU368),ROW(OU172:OU368),"")))</f>
        <v>0</v>
      </c>
      <c r="OW172" s="12">
        <f>IF('Données projet'!$A$538&gt;35,OW171+OV172-PE171,IF($A172&lt;'Données projet'!$A$538,$CQ$205^$A172,IF($A172='Données projet'!$A$538,'Données projet'!$B$538,OW171+OV172-PE171)))</f>
        <v>0</v>
      </c>
      <c r="OX172" s="17" t="e">
        <f>OW172*VLOOKUP('Données projet'!$B$28,Paramètres!$A$1:$I$89,3,0)*VLOOKUP('Données projet'!$B$28,Paramètres!$A$1:$I$89,5,0)</f>
        <v>#N/A</v>
      </c>
      <c r="OY172" s="13" t="e">
        <f t="shared" si="324"/>
        <v>#N/A</v>
      </c>
      <c r="OZ172" s="14" t="e">
        <f t="shared" si="281"/>
        <v>#N/A</v>
      </c>
      <c r="PA172" s="59" t="e">
        <f t="shared" si="282"/>
        <v>#N/A</v>
      </c>
      <c r="PB172" s="20" t="e">
        <f ca="1">AVERAGE(OFFSET($PA$3,0,0,'Données projet'!$E$28+1,1))-AVERAGE(OFFSET($H$3,0,0,'Données projet'!$E$28+1,1))</f>
        <v>#N/A</v>
      </c>
      <c r="PC172" s="59" t="e">
        <f t="shared" si="325"/>
        <v>#N/A</v>
      </c>
      <c r="PD172" s="15">
        <f>IF(ISNA(VLOOKUP($A172,'Données projet'!$A$538:$I$558,3,0)),0,VLOOKUP($A172,'Données projet'!$A$538:$I$558,3,0))</f>
        <v>0</v>
      </c>
      <c r="PE172" s="15">
        <f>IF(ISNA(VLOOKUP($A172,'Données projet'!$A$538:$I$558,4,0)),0,VLOOKUP($A172,'Données projet'!$A$538:$I$558,4,0))</f>
        <v>0</v>
      </c>
      <c r="PF172" s="16">
        <f>IF(ISNA(VLOOKUP($A172,'Données projet'!$A$538:$I$558,5,0)),0%,VLOOKUP($A172,'Données projet'!$A$538:$I$558,5,0)*VLOOKUP('Données projet'!$B$28,Paramètres!$A$1:$I$89,7,0))</f>
        <v>0</v>
      </c>
      <c r="PG172" s="16">
        <f>IF(ISNA(VLOOKUP($A172,'Données projet'!$A$538:$I$558,6,0)),0%,VLOOKUP($A172,'Données projet'!$A$538:$I$558,6,0)*VLOOKUP('Données projet'!$B$28,Paramètres!$A$1:$I$89,7,0))</f>
        <v>0</v>
      </c>
      <c r="PH172" s="16">
        <f>IF(ISNA(VLOOKUP($A172,'Données projet'!$A$538:$I$558,7,0)),0%,VLOOKUP($A172,'Données projet'!$A$538:$I$558,7,0))</f>
        <v>0</v>
      </c>
      <c r="PI172" s="21" t="e">
        <f>EXP(-LN(2)/35)*PI171+(1-EXP(-LN(2)/35))/(LN(2)/35)*PE172*PF172*VLOOKUP('Données projet'!$B$28,Paramètres!$A$1:$I$89,3,0)*0.475*44/12</f>
        <v>#N/A</v>
      </c>
      <c r="PJ172" s="21" t="e">
        <f>EXP(-LN(2)/25)*PJ171+(1-EXP(-LN(2)/25))/(LN(2)/25)*Calculateur!PE172*Calculateur!PG172*VLOOKUP('Données projet'!$B$28,Paramètres!$A$1:$I$89,3,0)*0.475*44/12</f>
        <v>#N/A</v>
      </c>
      <c r="PK172" s="21" t="e">
        <f>EXP(-LN(2)/2)*PK171+(1-EXP(-LN(2)/2))/(LN(2)/2)*PE172*PH172*VLOOKUP('Données projet'!$B$28,Paramètres!$A$1:$I$89,3,0)*0.475*44/12</f>
        <v>#N/A</v>
      </c>
      <c r="PL172" s="22" t="e">
        <f t="shared" si="283"/>
        <v>#N/A</v>
      </c>
    </row>
    <row r="173" spans="1:428" x14ac:dyDescent="0.35">
      <c r="A173" s="10">
        <f t="shared" si="326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285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225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projet'!$A$45:$I$65,2,0)</f>
        <v>#N/A</v>
      </c>
      <c r="L173" s="12" t="e">
        <f>VLOOKUP(A173,'Données projet'!$A$45:$I$65,9,0)</f>
        <v>#N/A</v>
      </c>
      <c r="M173" s="12">
        <f t="array" ref="M173">INDEX(L:L,MIN(IF(ISNUMBER(L173:L369),ROW(L173:L369),"")))</f>
        <v>0</v>
      </c>
      <c r="N173" s="13">
        <f>IF('Données projet'!$A$46&gt;35,N172+M173-V172,IF(A173&lt;'Données projet'!$A$46,$K$205^A173,IF(A173='Données projet'!$A$46,'Données projet'!$B$46,N172+M173-V172)))</f>
        <v>-1.1368683772161603E-13</v>
      </c>
      <c r="O173" s="13">
        <f>N173*VLOOKUP('Données projet'!$B$9,Paramètres!$A$1:$I$89,3,0)*VLOOKUP('Données projet'!$B$9,Paramètres!$A$1:$I$89,5,0)</f>
        <v>-6.3550942286383367E-14</v>
      </c>
      <c r="P173" s="13" t="e">
        <f t="shared" si="286"/>
        <v>#NUM!</v>
      </c>
      <c r="Q173" s="20" t="e">
        <f t="shared" si="327"/>
        <v>#NUM!</v>
      </c>
      <c r="R173" s="59" t="e">
        <f t="shared" si="224"/>
        <v>#NUM!</v>
      </c>
      <c r="S173" s="59">
        <f ca="1">AVERAGE(OFFSET($R$3,0,0,'Données projet'!$E$9+1,1))-AVERAGE(OFFSET($H$3,0,0,'Données projet'!$E$9+1,1))</f>
        <v>274.57619581652199</v>
      </c>
      <c r="T173" s="59">
        <f t="shared" si="287"/>
        <v>366.15117322598775</v>
      </c>
      <c r="U173" s="15">
        <f>IF(ISNA(VLOOKUP(A173,'Données projet'!$A$45:$I$65,3,0)),0,VLOOKUP(A173,'Données projet'!$A$45:$I$65,3,0))</f>
        <v>0</v>
      </c>
      <c r="V173" s="15">
        <f>IF(ISNA(VLOOKUP(A173,'Données projet'!$A$45:$I$65,4,0)),0,VLOOKUP(A173,'Données projet'!$A$45:$I$65,4,0))</f>
        <v>0</v>
      </c>
      <c r="W173" s="16">
        <f>IF(ISNA(VLOOKUP(A173,'Données projet'!$A$45:$I$65,5,0)),0%,VLOOKUP(A173,'Données projet'!$A$45:$I$65,5,0)*VLOOKUP('Données projet'!$B$9,Paramètres!$A$1:$I$89,7,0))</f>
        <v>0</v>
      </c>
      <c r="X173" s="16">
        <f>IF(ISNA(VLOOKUP(A173,'Données projet'!$A$45:$I$65,6,0)),0%,VLOOKUP(A173,'Données projet'!$A$45:$I$65,6,0)*VLOOKUP('Données projet'!$B$9,Paramètres!$A$1:$I$89,7,0))</f>
        <v>0</v>
      </c>
      <c r="Y173" s="16">
        <f>IF(ISNA(VLOOKUP(A173,'Données projet'!$A$45:$I$65,7,0)),0%,VLOOKUP(A173,'Données projet'!$A$45:$I$65,7,0))</f>
        <v>0</v>
      </c>
      <c r="Z173" s="21">
        <f>EXP(-LN(2)/35)*Z172+(1-EXP(-LN(2)/35))/(LN(2)/35)*V173*W173*VLOOKUP('Données projet'!$B$9,Paramètres!$A$1:$I$89,3,0)*0.475*44/12</f>
        <v>23.241852252926588</v>
      </c>
      <c r="AA173" s="21">
        <f>EXP(-LN(2)/25)*AA172+(1-EXP(-LN(2)/25))/(LN(2)/25)*Calculateur!V173*Calculateur!X173*VLOOKUP('Données projet'!$B$9,Paramètres!$A$1:$I$89,3,0)*0.475*44/12</f>
        <v>2.3754309372987241</v>
      </c>
      <c r="AB173" s="21">
        <f>EXP(-LN(2)/2)*AB172+(1-EXP(-LN(2)/2))/(LN(2)/2)*V173*Y173*VLOOKUP('Données projet'!$B$9,Paramètres!$A$1:$I$89,3,0)*0.475*44/12</f>
        <v>1.6761376811144013E-16</v>
      </c>
      <c r="AC173" s="22">
        <f t="shared" si="328"/>
        <v>25.617283190225312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projet'!$A$71:$I$91,2,0)</f>
        <v>#N/A</v>
      </c>
      <c r="AG173" s="12" t="e">
        <f>VLOOKUP(A173,'Données projet'!$A$71:$I$91,9,0)</f>
        <v>#N/A</v>
      </c>
      <c r="AH173" s="12">
        <f t="array" ref="AH173">INDEX(AG:AG,MIN(IF(ISNUMBER(AG173:AG369),ROW(AG173:AG369),"")))</f>
        <v>0</v>
      </c>
      <c r="AI173" s="13">
        <f>IF('Données projet'!$A$72&gt;35,AI172+AH173-AQ172,IF(A173&lt;'Données projet'!$A$72,$AF$205^A173,IF(A173='Données projet'!$A$72,'Données projet'!$B$72,AI172+AH173-AQ172)))</f>
        <v>5.6843418860808015E-13</v>
      </c>
      <c r="AJ173" s="13">
        <f>AI173*VLOOKUP('Données projet'!$B$10,Paramètres!$A$1:$I$89,3,0)*VLOOKUP('Données projet'!$B$10,Paramètres!$A$1:$I$89,5,0)</f>
        <v>5.1431925385259092E-13</v>
      </c>
      <c r="AK173" s="13">
        <f t="shared" si="329"/>
        <v>6.3855359115685756E-12</v>
      </c>
      <c r="AL173" s="20">
        <f t="shared" si="330"/>
        <v>1.2017247746441865E-11</v>
      </c>
      <c r="AM173" s="59">
        <f t="shared" si="228"/>
        <v>293.33333333334531</v>
      </c>
      <c r="AN173" s="59">
        <f ca="1">AVERAGE(OFFSET($AM$3,0,0,'Données projet'!$E$10+1,1))-AVERAGE(OFFSET($H$3,0,0,'Données projet'!$E$10+1,1))</f>
        <v>270.87836509222456</v>
      </c>
      <c r="AO173" s="59">
        <f t="shared" si="289"/>
        <v>205.24998237949734</v>
      </c>
      <c r="AP173" s="15">
        <f>IF(ISNA(VLOOKUP(A173,'Données projet'!$A$71:$I$91,3,0)),0,VLOOKUP(A173,'Données projet'!$A$71:$I$91,3,0))</f>
        <v>0</v>
      </c>
      <c r="AQ173" s="15">
        <f>IF(ISNA(VLOOKUP(A173,'Données projet'!$A$71:$I$91,4,0)),0,VLOOKUP(A173,'Données projet'!$A$71:$I$91,4,0))</f>
        <v>0</v>
      </c>
      <c r="AR173" s="16">
        <f>IF(ISNA(VLOOKUP(A173,'Données projet'!$A$71:$I$91,5,0)),0%,VLOOKUP(A173,'Données projet'!$A$71:$I$91,5,0)*VLOOKUP('Données projet'!$B$10,Paramètres!$A$1:$I$89,7,0))</f>
        <v>0</v>
      </c>
      <c r="AS173" s="16">
        <f>IF(ISNA(VLOOKUP(A173,'Données projet'!$A$71:$I$91,6,0)),0%,VLOOKUP(A173,'Données projet'!$A$71:$I$91,6,0)*VLOOKUP('Données projet'!$B$10,Paramètres!$A$1:$I$89,7,0))</f>
        <v>0</v>
      </c>
      <c r="AT173" s="16">
        <f>IF(ISNA(VLOOKUP(A173,'Données projet'!$A$71:$I$91,7,0)),0%,VLOOKUP(A173,'Données projet'!$A$71:$I$91,7,0))</f>
        <v>0</v>
      </c>
      <c r="AU173" s="21">
        <f>EXP(-LN(2)/35)*AU172+(1-EXP(-LN(2)/35))/(LN(2)/35)*AQ173*AR173*VLOOKUP('Données projet'!$B$10,Paramètres!$A$1:$I$89,3,0)*0.475*44/12</f>
        <v>78.981735447629418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331"/>
        <v>78.981735447629418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projet'!$A$97:$I$117,2,0)</f>
        <v>#N/A</v>
      </c>
      <c r="BB173" s="12" t="e">
        <f>VLOOKUP(A173,'Données projet'!$A$97:$I$117,9,0)</f>
        <v>#N/A</v>
      </c>
      <c r="BC173" s="12">
        <f t="array" ref="BC173">INDEX(BB:BB,MIN(IF(ISNUMBER(BB173:BB369),ROW(BB173:BB369),"")))</f>
        <v>0</v>
      </c>
      <c r="BD173" s="12">
        <f>IF('Données projet'!$A$98&gt;35,BD172+BC173-BL172,IF(A173&lt;'Données projet'!$A$98,$BA$205^A173,IF(A173='Données projet'!$A$98,'Données projet'!$B$98,BD172+BC173-BL172)))</f>
        <v>-1.1368683772161603E-13</v>
      </c>
      <c r="BE173" s="13">
        <f>BD173*VLOOKUP('Données projet'!$B$11,Paramètres!$A$1:$I$89,3,0)*VLOOKUP('Données projet'!$B$11,Paramètres!$A$1:$I$89,5,0)</f>
        <v>-5.0249582272954292E-14</v>
      </c>
      <c r="BF173" s="13" t="e">
        <f t="shared" si="332"/>
        <v>#NUM!</v>
      </c>
      <c r="BG173" s="20" t="e">
        <f t="shared" si="333"/>
        <v>#NUM!</v>
      </c>
      <c r="BH173" s="59" t="e">
        <f t="shared" si="231"/>
        <v>#NUM!</v>
      </c>
      <c r="BI173" s="59">
        <f ca="1">AVERAGE(OFFSET($BH$3,0,0,'Données projet'!$E$11+1,1))-AVERAGE(OFFSET($H$3,0,0,'Données projet'!$E$11+1,1))</f>
        <v>211.31057120485542</v>
      </c>
      <c r="BJ173" s="59">
        <f t="shared" si="291"/>
        <v>283.33292006714777</v>
      </c>
      <c r="BK173" s="15">
        <f>IF(ISNA(VLOOKUP(A173,'Données projet'!$A$97:$I$117,3,0)),0,VLOOKUP(A173,'Données projet'!$A$97:$I$117,3,0))</f>
        <v>0</v>
      </c>
      <c r="BL173" s="15">
        <f>IF(ISNA(VLOOKUP(A173,'Données projet'!$A$97:$I$117,4,0)),0,VLOOKUP(A173,'Données projet'!$A$97:$I$117,4,0))</f>
        <v>0</v>
      </c>
      <c r="BM173" s="16">
        <f>IF(ISNA(VLOOKUP(A173,'Données projet'!$A$97:$I$117,5,0)),0%,VLOOKUP(A173,'Données projet'!$A$97:$I$117,5,0)*VLOOKUP('Données projet'!$B$11,Paramètres!$A$1:$I$89,7,0))</f>
        <v>0</v>
      </c>
      <c r="BN173" s="16">
        <f>IF(ISNA(VLOOKUP(A173,'Données projet'!$A$97:$I$117,6,0)),0%,VLOOKUP(A173,'Données projet'!$A$97:$I$117,6,0)*VLOOKUP('Données projet'!$B$11,Paramètres!$A$1:$I$89,7,0))</f>
        <v>0</v>
      </c>
      <c r="BO173" s="16">
        <f>IF(ISNA(VLOOKUP(A173,'Données projet'!$A$97:$I$117,7,0)),0%,VLOOKUP(A173,'Données projet'!$A$97:$I$117,7,0))</f>
        <v>0</v>
      </c>
      <c r="BP173" s="21">
        <f>EXP(-LN(2)/35)*BP172+(1-EXP(-LN(2)/35))/(LN(2)/35)*BL173*BM173*VLOOKUP('Données projet'!$B$11,Paramètres!$A$1:$I$89,3,0)*0.475*44/12</f>
        <v>18.377278525569871</v>
      </c>
      <c r="BQ173" s="21">
        <f>EXP(-LN(2)/25)*BQ172+(1-EXP(-LN(2)/25))/(LN(2)/25)*Calculateur!BL173*Calculateur!BN173*VLOOKUP('Données projet'!$B$11,Paramètres!$A$1:$I$89,3,0)*0.475*44/12</f>
        <v>1.8782477178641066</v>
      </c>
      <c r="BR173" s="21">
        <f>EXP(-LN(2)/2)*BR172+(1-EXP(-LN(2)/2))/(LN(2)/2)*BL173*BO173*VLOOKUP('Données projet'!$B$11,Paramètres!$A$1:$I$89,3,0)*0.475*44/12</f>
        <v>1.3253181664625496E-16</v>
      </c>
      <c r="BS173" s="22">
        <f t="shared" si="334"/>
        <v>20.255526243433977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projet'!$A$123:$I$143,2,0)</f>
        <v>#N/A</v>
      </c>
      <c r="BW173" s="12" t="e">
        <f>VLOOKUP(A173,'Données projet'!$A$123:$I$143,9,0)</f>
        <v>#N/A</v>
      </c>
      <c r="BX173" s="12">
        <f t="array" ref="BX173">INDEX(BW:BW,MIN(IF(ISNUMBER(BW173:BW369),ROW(BW173:BW369),"")))</f>
        <v>0</v>
      </c>
      <c r="BY173" s="12">
        <f>IF('Données projet'!$A$124&gt;35,BY172+BX173-CG172,IF(A173&lt;'Données projet'!$A$124,$BV$205^A173,IF(A173='Données projet'!$A$124,'Données projet'!$B$124,BY172+BX173-CG172)))</f>
        <v>0</v>
      </c>
      <c r="BZ173" s="13">
        <f>BY173*VLOOKUP('Données projet'!$B$12,Paramètres!$A$1:$I$89,3,0)*VLOOKUP('Données projet'!$B$12,Paramètres!$A$1:$I$89,5,0)</f>
        <v>0</v>
      </c>
      <c r="CA173" s="13" t="e">
        <f t="shared" si="335"/>
        <v>#NUM!</v>
      </c>
      <c r="CB173" s="20" t="e">
        <f t="shared" si="336"/>
        <v>#NUM!</v>
      </c>
      <c r="CC173" s="59" t="e">
        <f t="shared" si="234"/>
        <v>#NUM!</v>
      </c>
      <c r="CD173" s="59">
        <f ca="1">AVERAGE(OFFSET($CC$3,0,0,'Données projet'!$E$12+1,1))-AVERAGE(OFFSET($H$3,0,0,'Données projet'!$E$12+1,1))</f>
        <v>322.93502595881938</v>
      </c>
      <c r="CE173" s="59">
        <f t="shared" si="293"/>
        <v>302.67072119588164</v>
      </c>
      <c r="CF173" s="15">
        <f>IF(ISNA(VLOOKUP(A173,'Données projet'!$A$123:$I$143,3,0)),0,VLOOKUP(A173,'Données projet'!$A$123:$I$143,3,0))</f>
        <v>0</v>
      </c>
      <c r="CG173" s="15">
        <f>IF(ISNA(VLOOKUP(A173,'Données projet'!$A$123:$I$143,4,0)),0,VLOOKUP(A173,'Données projet'!$A$123:$I$143,4,0))</f>
        <v>0</v>
      </c>
      <c r="CH173" s="16">
        <f>IF(ISNA(VLOOKUP(A173,'Données projet'!$A$123:$I$143,5,0)),0%,VLOOKUP(A173,'Données projet'!$A$123:$I$143,5,0)*VLOOKUP('Données projet'!$B$12,Paramètres!$A$1:$I$89,7,0))</f>
        <v>0</v>
      </c>
      <c r="CI173" s="16">
        <f>IF(ISNA(VLOOKUP(A173,'Données projet'!$A$123:$I$143,6,0)),0%,VLOOKUP(A173,'Données projet'!$A$123:$I$143,6,0)*VLOOKUP('Données projet'!$B$12,Paramètres!$A$1:$I$89,7,0))</f>
        <v>0</v>
      </c>
      <c r="CJ173" s="16">
        <f>IF(ISNA(VLOOKUP(A173,'Données projet'!$A$123:$I$143,7,0)),0%,VLOOKUP(A173,'Données projet'!$A$123:$I$143,7,0))</f>
        <v>0</v>
      </c>
      <c r="CK173" s="21">
        <f>EXP(-LN(2)/35)*CK172+(1-EXP(-LN(2)/35))/(LN(2)/35)*CG173*CH173*VLOOKUP('Données projet'!$B$12,Paramètres!$A$1:$I$89,3,0)*0.475*44/12</f>
        <v>29.279445270450701</v>
      </c>
      <c r="CL173" s="21">
        <f>EXP(-LN(2)/25)*CL172+(1-EXP(-LN(2)/25))/(LN(2)/25)*Calculateur!CG173*Calculateur!CI173*VLOOKUP('Données projet'!$B$12,Paramètres!$A$1:$I$89,3,0)*0.475*44/12</f>
        <v>6.0115291102276904</v>
      </c>
      <c r="CM173" s="21">
        <f>EXP(-LN(2)/2)*CM172+(1-EXP(-LN(2)/2))/(LN(2)/2)*CG173*CJ173*VLOOKUP('Données projet'!$B$12,Paramètres!$A$1:$I$89,3,0)*0.475*44/12</f>
        <v>0</v>
      </c>
      <c r="CN173" s="22">
        <f t="shared" si="337"/>
        <v>35.290974380678392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projet'!$A$149:$I$169,2,0)</f>
        <v>#N/A</v>
      </c>
      <c r="CR173" s="12" t="e">
        <f>VLOOKUP(A173,'Données projet'!$A$149:$I$169,9,0)</f>
        <v>#N/A</v>
      </c>
      <c r="CS173" s="12">
        <f t="array" ref="CS173">INDEX(CR:CR,MIN(IF(ISNUMBER(CR173:CR369),ROW(CR173:CR369),"")))</f>
        <v>0</v>
      </c>
      <c r="CT173" s="12">
        <f>IF('Données projet'!$A$150&gt;35,CT172+CS173-DB172,IF(A173&lt;'Données projet'!$A$150,$CQ$205^A173,IF(A173='Données projet'!$A$150,'Données projet'!$B$150,CT172+CS173-DB172)))</f>
        <v>-4.5474735088646412E-13</v>
      </c>
      <c r="CU173" s="17">
        <f>CT173*VLOOKUP('Données projet'!$B$13,Paramètres!$A$1:$I$89,3,0)*VLOOKUP('Données projet'!$B$13,Paramètres!$A$1:$I$89,5,0)</f>
        <v>-4.6111381379887462E-13</v>
      </c>
      <c r="CV173" s="13" t="e">
        <f t="shared" si="338"/>
        <v>#NUM!</v>
      </c>
      <c r="CW173" s="20" t="e">
        <f t="shared" si="339"/>
        <v>#NUM!</v>
      </c>
      <c r="CX173" s="59" t="e">
        <f t="shared" si="237"/>
        <v>#NUM!</v>
      </c>
      <c r="CY173" s="59">
        <f ca="1">AVERAGE(OFFSET($CX$3,0,0,'Données projet'!$E$13+1,1))-AVERAGE(OFFSET($H$3,0,0,'Données projet'!$E$13+1,1))</f>
        <v>250.31277422753283</v>
      </c>
      <c r="CZ173" s="59">
        <f t="shared" si="295"/>
        <v>159.20429420478047</v>
      </c>
      <c r="DA173" s="15">
        <f>IF(ISNA(VLOOKUP(A173,'Données projet'!$A$149:$I$169,3,0)),0,VLOOKUP(A173,'Données projet'!$A$149:$I$169,3,0))</f>
        <v>0</v>
      </c>
      <c r="DB173" s="15">
        <f>IF(ISNA(VLOOKUP(A173,'Données projet'!$A$149:$I$169,4,0)),0,VLOOKUP(A173,'Données projet'!$A$149:$I$169,4,0))</f>
        <v>0</v>
      </c>
      <c r="DC173" s="16">
        <f>IF(ISNA(VLOOKUP(A173,'Données projet'!$A$149:$I$169,5,0)),0%,VLOOKUP(A173,'Données projet'!$A$149:$I$169,5,0)*VLOOKUP('Données projet'!$B$13,Paramètres!$A$1:$I$89,7,0))</f>
        <v>0</v>
      </c>
      <c r="DD173" s="16">
        <f>IF(ISNA(VLOOKUP(A173,'Données projet'!$A$149:$I$169,6,0)),0%,VLOOKUP(A173,'Données projet'!$A$149:$I$169,6,0)*VLOOKUP('Données projet'!$B$13,Paramètres!$A$1:$I$89,7,0))</f>
        <v>0</v>
      </c>
      <c r="DE173" s="16">
        <f>IF(ISNA(VLOOKUP(A173,'Données projet'!$A$149:$I$169,7,0)),0%,VLOOKUP(A173,'Données projet'!$A$149:$I$169,7,0))</f>
        <v>0</v>
      </c>
      <c r="DF173" s="21">
        <f>EXP(-LN(2)/35)*DF172+(1-EXP(-LN(2)/35))/(LN(2)/35)*DB173*DC173*VLOOKUP('Données projet'!$B$13,Paramètres!$A$1:$I$89,3,0)*0.475*44/12</f>
        <v>133.2887583567273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340"/>
        <v>133.2887583567273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projet'!$A$175:$I$195,2,0)</f>
        <v>#N/A</v>
      </c>
      <c r="DM173" s="12" t="e">
        <f>VLOOKUP(A173,'Données projet'!$A$175:$I$195,9,0)</f>
        <v>#N/A</v>
      </c>
      <c r="DN173" s="12">
        <f t="array" ref="DN173">INDEX(DM:DM,MIN(IF(ISNUMBER(DM173:DM369),ROW(DM173:DM369),"")))</f>
        <v>0</v>
      </c>
      <c r="DO173" s="12">
        <f>IF('Données projet'!$A$176&gt;35,DO172+DN173-DW172,IF(A173&lt;'Données projet'!$A$176,$DL$205^A173,IF(A173='Données projet'!$A$176,'Données projet'!$B$176,DO172+DN173-DW172)))</f>
        <v>-2.8421709430404007E-13</v>
      </c>
      <c r="DP173" s="17">
        <f>DO173*VLOOKUP('Données projet'!$B$14,Paramètres!$A$1:$I$89,3,0)*VLOOKUP('Données projet'!$B$14,Paramètres!$A$1:$I$89,5,0)</f>
        <v>-2.0838797354372215E-13</v>
      </c>
      <c r="DQ173" s="13" t="e">
        <f t="shared" si="341"/>
        <v>#NUM!</v>
      </c>
      <c r="DR173" s="20" t="e">
        <f t="shared" si="342"/>
        <v>#NUM!</v>
      </c>
      <c r="DS173" s="59" t="e">
        <f t="shared" si="240"/>
        <v>#NUM!</v>
      </c>
      <c r="DT173" s="59">
        <f ca="1">AVERAGE(OFFSET($DS$3,0,0,'Données projet'!$E$14+1,1))-AVERAGE(OFFSET($H$3,0,0,'Données projet'!$E$14+1,1))</f>
        <v>296.91321813251051</v>
      </c>
      <c r="DU173" s="59">
        <f t="shared" si="297"/>
        <v>291.0718079639509</v>
      </c>
      <c r="DV173" s="15">
        <f>IF(ISNA(VLOOKUP(A173,'Données projet'!$A$175:$I$195,3,0)),0,VLOOKUP(A173,'Données projet'!$A$175:$I$195,3,0))</f>
        <v>0</v>
      </c>
      <c r="DW173" s="15">
        <f>IF(ISNA(VLOOKUP(A173,'Données projet'!$A$175:$I$195,4,0)),0,VLOOKUP(A173,'Données projet'!$A$175:$I$195,4,0))</f>
        <v>0</v>
      </c>
      <c r="DX173" s="16">
        <f>IF(ISNA(VLOOKUP(A173,'Données projet'!$A$175:$I$195,5,0)),0%,VLOOKUP(A173,'Données projet'!$A$175:$I$195,5,0)*VLOOKUP('Données projet'!$B$14,Paramètres!$A$1:$I$89,7,0))</f>
        <v>0</v>
      </c>
      <c r="DY173" s="16">
        <f>IF(ISNA(VLOOKUP(A173,'Données projet'!$A$175:$I$195,6,0)),0%,VLOOKUP(A173,'Données projet'!$A$175:$I$195,6,0)*VLOOKUP('Données projet'!$B$14,Paramètres!$A$1:$I$89,7,0))</f>
        <v>0</v>
      </c>
      <c r="DZ173" s="16">
        <f>IF(ISNA(VLOOKUP(A173,'Données projet'!$A$175:$I$195,7,0)),0%,VLOOKUP(A173,'Données projet'!$A$175:$I$195,7,0))</f>
        <v>0</v>
      </c>
      <c r="EA173" s="21">
        <f>EXP(-LN(2)/35)*EA172+(1-EXP(-LN(2)/35))/(LN(2)/35)*DW173*DX173*VLOOKUP('Données projet'!$B$14,Paramètres!$A$1:$I$89,3,0)*0.475*44/12</f>
        <v>29.182206975253617</v>
      </c>
      <c r="EB173" s="21">
        <f>EXP(-LN(2)/25)*EB172+(1-EXP(-LN(2)/25))/(LN(2)/25)*Calculateur!DW173*Calculateur!DY173*VLOOKUP('Données projet'!$B$14,Paramètres!$A$1:$I$89,3,0)*0.475*44/12</f>
        <v>0.44161238056718893</v>
      </c>
      <c r="EC173" s="21">
        <f>EXP(-LN(2)/2)*EC172+(1-EXP(-LN(2)/2))/(LN(2)/2)*DW173*DZ173*VLOOKUP('Données projet'!$B$14,Paramètres!$A$1:$I$89,3,0)*0.475*44/12</f>
        <v>0</v>
      </c>
      <c r="ED173" s="22">
        <f t="shared" si="343"/>
        <v>29.623819355820807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projet'!$A$201:$I$221,2,0)</f>
        <v>#N/A</v>
      </c>
      <c r="EH173" s="12" t="e">
        <f>VLOOKUP(A173,'Données projet'!$A$201:$I$221,9,0)</f>
        <v>#N/A</v>
      </c>
      <c r="EI173" s="12">
        <f t="array" ref="EI173">INDEX(EH:EH,MIN(IF(ISNUMBER(EH173:EH369),ROW(EH173:EH369),"")))</f>
        <v>0</v>
      </c>
      <c r="EJ173" s="12">
        <f>IF('Données projet'!$A$202&gt;35,EJ172+EI173-ER172,IF(A173&lt;'Données projet'!$A$202,$EG$205^A173,IF(A173='Données projet'!$A$202,'Données projet'!$B$202,EJ172+EI173-ER172)))</f>
        <v>5.1159076974727213E-13</v>
      </c>
      <c r="EK173" s="17">
        <f>EJ173*VLOOKUP('Données projet'!$B$15,Paramètres!$A$1:$I$89,3,0)*VLOOKUP('Données projet'!$B$15,Paramètres!$A$1:$I$89,5,0)</f>
        <v>2.3942448024172334E-13</v>
      </c>
      <c r="EL173" s="13">
        <f t="shared" si="344"/>
        <v>3.2492669905861755E-12</v>
      </c>
      <c r="EM173" s="20">
        <f t="shared" si="345"/>
        <v>6.0761376450252565E-12</v>
      </c>
      <c r="EN173" s="59">
        <f t="shared" si="243"/>
        <v>293.3333333333394</v>
      </c>
      <c r="EO173" s="59">
        <f ca="1">AVERAGE(OFFSET($EN$3,0,0,'Données projet'!$E$15+1,1))-AVERAGE(OFFSET($H$3,0,0,'Données projet'!$E$15+1,1))</f>
        <v>147.64256291235483</v>
      </c>
      <c r="EP173" s="59">
        <f t="shared" si="299"/>
        <v>70.859031694091868</v>
      </c>
      <c r="EQ173" s="15">
        <f>IF(ISNA(VLOOKUP(A173,'Données projet'!$A$201:$I$221,3,0)),0,VLOOKUP(A173,'Données projet'!$A$201:$I$221,3,0))</f>
        <v>0</v>
      </c>
      <c r="ER173" s="15">
        <f>IF(ISNA(VLOOKUP(A173,'Données projet'!$A$201:$I$221,4,0)),0,VLOOKUP(A173,'Données projet'!$A$201:$I$221,4,0))</f>
        <v>0</v>
      </c>
      <c r="ES173" s="16">
        <f>IF(ISNA(VLOOKUP(A173,'Données projet'!$A$201:$I$221,5,0)),0%,VLOOKUP(A173,'Données projet'!$A$201:$I$221,5,0)*VLOOKUP('Données projet'!$B$15,Paramètres!$A$1:$I$89,7,0))</f>
        <v>0</v>
      </c>
      <c r="ET173" s="16">
        <f>IF(ISNA(VLOOKUP(A173,'Données projet'!$A$201:$I$221,6,0)),0%,VLOOKUP(A173,'Données projet'!$A$201:$I$221,6,0)*VLOOKUP('Données projet'!$B$15,Paramètres!$A$1:$I$89,7,0))</f>
        <v>0</v>
      </c>
      <c r="EU173" s="16">
        <f>IF(ISNA(VLOOKUP(A173,'Données projet'!$A$201:$I$221,7,0)),0%,VLOOKUP(A173,'Données projet'!$A$201:$I$221,7,0))</f>
        <v>0</v>
      </c>
      <c r="EV173" s="21">
        <f>EXP(-LN(2)/35)*EV172+(1-EXP(-LN(2)/35))/(LN(2)/35)*ER173*ES173*VLOOKUP('Données projet'!$B$15,Paramètres!$A$1:$I$89,3,0)*0.475*44/12</f>
        <v>39.950901343565107</v>
      </c>
      <c r="EW173" s="21">
        <f>EXP(-LN(2)/25)*EW172+(1-EXP(-LN(2)/25))/(LN(2)/25)*Calculateur!ER173*Calculateur!ET173*VLOOKUP('Données projet'!$B$15,Paramètres!$A$1:$I$89,3,0)*0.475*44/12</f>
        <v>6.1269268634160516</v>
      </c>
      <c r="EX173" s="21">
        <f>EXP(-LN(2)/2)*EX172+(1-EXP(-LN(2)/2))/(LN(2)/2)*ER173*EU173*VLOOKUP('Données projet'!$B$15,Paramètres!$A$1:$I$89,3,0)*0.475*44/12</f>
        <v>1.2083428583471132E-8</v>
      </c>
      <c r="EY173" s="22">
        <f t="shared" si="346"/>
        <v>46.077828219064585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projet'!$A$227:$I$247,2,0)</f>
        <v>#N/A</v>
      </c>
      <c r="FC173" s="12" t="e">
        <f>VLOOKUP(A173,'Données projet'!$A$227:$I$247,9,0)</f>
        <v>#N/A</v>
      </c>
      <c r="FD173" s="12">
        <f t="array" ref="FD173">INDEX(FC:FC,MIN(IF(ISNUMBER(FC173:FC369),ROW(FC173:FC369),"")))</f>
        <v>0</v>
      </c>
      <c r="FE173" s="12">
        <f>IF('Données projet'!$A$228&gt;35,FE172+FD173-FM172,IF(A173&lt;'Données projet'!$A$228,$FB$205^A173,IF(A173='Données projet'!$A$228,'Données projet'!$B$228,FE172+FD173-FM172)))</f>
        <v>8.5265128291212022E-14</v>
      </c>
      <c r="FF173" s="17">
        <f>FE173*VLOOKUP('Données projet'!$B$16,Paramètres!$A$1:$I$89,3,0)*VLOOKUP('Données projet'!$B$16,Paramètres!$A$1:$I$89,5,0)</f>
        <v>8.9119112089974823E-14</v>
      </c>
      <c r="FG173" s="13">
        <f t="shared" si="347"/>
        <v>1.3568952080113142E-12</v>
      </c>
      <c r="FH173" s="20">
        <f t="shared" si="348"/>
        <v>2.5184749408430782E-12</v>
      </c>
      <c r="FI173" s="59">
        <f t="shared" si="246"/>
        <v>293.33333333333582</v>
      </c>
      <c r="FJ173" s="59">
        <f ca="1">AVERAGE(OFFSET($FI$3,0,0,'Données projet'!$E$16+1,1))-AVERAGE(OFFSET($H$3,0,0,'Données projet'!$E$16+1,1))</f>
        <v>259.03906550253788</v>
      </c>
      <c r="FK173" s="59">
        <f t="shared" si="301"/>
        <v>235.54542903570831</v>
      </c>
      <c r="FL173" s="15">
        <f>IF(ISNA(VLOOKUP(A173,'Données projet'!$A$227:$I$247,3,0)),0,VLOOKUP(A173,'Données projet'!$A$227:$I$247,3,0))</f>
        <v>0</v>
      </c>
      <c r="FM173" s="15">
        <f>IF(ISNA(VLOOKUP(A173,'Données projet'!$A$227:$I$247,4,0)),0,VLOOKUP(A173,'Données projet'!$A$227:$I$247,4,0))</f>
        <v>0</v>
      </c>
      <c r="FN173" s="16">
        <f>IF(ISNA(VLOOKUP(A173,'Données projet'!$A$227:$I$247,5,0)),0%,VLOOKUP(A173,'Données projet'!$A$227:$I$247,5,0)*VLOOKUP('Données projet'!$B$16,Paramètres!$A$1:$I$89,7,0))</f>
        <v>0</v>
      </c>
      <c r="FO173" s="16">
        <f>IF(ISNA(VLOOKUP(A173,'Données projet'!$A$227:$I$247,6,0)),0%,VLOOKUP(A173,'Données projet'!$A$227:$I$247,6,0)*VLOOKUP('Données projet'!$B$16,Paramètres!$A$1:$I$89,7,0))</f>
        <v>0</v>
      </c>
      <c r="FP173" s="16">
        <f>IF(ISNA(VLOOKUP(A173,'Données projet'!$A$227:$I$247,7,0)),0%,VLOOKUP(A173,'Données projet'!$A$227:$I$247,7,0))</f>
        <v>0</v>
      </c>
      <c r="FQ173" s="21">
        <f>EXP(-LN(2)/35)*FQ172+(1-EXP(-LN(2)/35))/(LN(2)/35)*FM173*FN173*VLOOKUP('Données projet'!$B$16,Paramètres!$A$1:$I$89,3,0)*0.475*44/12</f>
        <v>17.633242111339474</v>
      </c>
      <c r="FR173" s="21">
        <f>EXP(-LN(2)/25)*FR172+(1-EXP(-LN(2)/25))/(LN(2)/25)*Calculateur!FM173*Calculateur!FO173*VLOOKUP('Données projet'!$B$16,Paramètres!$A$1:$I$89,3,0)*0.475*44/12</f>
        <v>8.4286580118493415</v>
      </c>
      <c r="FS173" s="21">
        <f>EXP(-LN(2)/2)*FS172+(1-EXP(-LN(2)/2))/(LN(2)/2)*FM173*FP173*VLOOKUP('Données projet'!$B$16,Paramètres!$A$1:$I$89,3,0)*0.475*44/12</f>
        <v>0</v>
      </c>
      <c r="FT173" s="22">
        <f t="shared" si="349"/>
        <v>26.061900123188813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projet'!$A$253:$I$273,2,0)</f>
        <v>#N/A</v>
      </c>
      <c r="FX173" s="12" t="e">
        <f>VLOOKUP(A173,'Données projet'!$A$253:$I$273,9,0)</f>
        <v>#N/A</v>
      </c>
      <c r="FY173" s="12">
        <f t="array" ref="FY173">INDEX(FX:FX,MIN(IF(ISNUMBER(FX173:FX369),ROW(FX173:FX369),"")))</f>
        <v>0</v>
      </c>
      <c r="FZ173" s="12">
        <f>IF('Données projet'!$A$254&gt;35,FZ172+FY173-GH172,IF(A173&lt;'Données projet'!$A$254,$FW$205^A173,IF(A173='Données projet'!$A$254,'Données projet'!$B$254,FZ172+FY173-GH172)))</f>
        <v>-1.7053025658242404E-13</v>
      </c>
      <c r="GA173" s="17">
        <f>FZ173*VLOOKUP('Données projet'!$B$17,Paramètres!$A$1:$I$89,3,0)*VLOOKUP('Données projet'!$B$17,Paramètres!$A$1:$I$89,5,0)</f>
        <v>-1.4897523215040567E-13</v>
      </c>
      <c r="GB173" s="13" t="e">
        <f t="shared" si="350"/>
        <v>#NUM!</v>
      </c>
      <c r="GC173" s="20" t="e">
        <f t="shared" si="351"/>
        <v>#NUM!</v>
      </c>
      <c r="GD173" s="59" t="e">
        <f t="shared" si="249"/>
        <v>#NUM!</v>
      </c>
      <c r="GE173" s="59">
        <f ca="1">AVERAGE(OFFSET($GD$3,0,0,'Données projet'!$E$17+1,1))-AVERAGE(OFFSET($H$3,0,0,'Données projet'!$E$17+1,1))</f>
        <v>245.1983232777614</v>
      </c>
      <c r="GF173" s="59">
        <f t="shared" si="303"/>
        <v>242.34010522344573</v>
      </c>
      <c r="GG173" s="15">
        <f>IF(ISNA(VLOOKUP(A173,'Données projet'!$A$253:$I$273,3,0)),0,VLOOKUP(A173,'Données projet'!$A$253:$I$273,3,0))</f>
        <v>0</v>
      </c>
      <c r="GH173" s="15">
        <f>IF(ISNA(VLOOKUP(A173,'Données projet'!$A$253:$I$273,4,0)),0,VLOOKUP(A173,'Données projet'!$A$253:$I$273,4,0))</f>
        <v>0</v>
      </c>
      <c r="GI173" s="16">
        <f>IF(ISNA(VLOOKUP(A173,'Données projet'!$A$253:$I$273,5,0)),0%,VLOOKUP(A173,'Données projet'!$A$253:$I$273,5,0)*VLOOKUP('Données projet'!$B$17,Paramètres!$A$1:$I$89,7,0))</f>
        <v>0</v>
      </c>
      <c r="GJ173" s="16">
        <f>IF(ISNA(VLOOKUP(A173,'Données projet'!$A$253:$I$273,6,0)),0%,VLOOKUP(A173,'Données projet'!$A$253:$I$273,6,0)*VLOOKUP('Données projet'!$B$17,Paramètres!$A$1:$I$89,7,0))</f>
        <v>0</v>
      </c>
      <c r="GK173" s="16">
        <f>IF(ISNA(VLOOKUP(A173,'Données projet'!$A$253:$I$273,7,0)),0%,VLOOKUP(A173,'Données projet'!$A$253:$I$273,7,0))</f>
        <v>0</v>
      </c>
      <c r="GL173" s="21">
        <f>EXP(-LN(2)/35)*GL172+(1-EXP(-LN(2)/35))/(LN(2)/35)*GH173*GI173*VLOOKUP('Données projet'!$B$17,Paramètres!$A$1:$I$89,3,0)*0.475*44/12</f>
        <v>20.730295423197742</v>
      </c>
      <c r="GM173" s="21">
        <f>EXP(-LN(2)/25)*GM172+(1-EXP(-LN(2)/25))/(LN(2)/25)*Calculateur!GH173*Calculateur!GJ173*VLOOKUP('Données projet'!$B$17,Paramètres!$A$1:$I$89,3,0)*0.475*44/12</f>
        <v>1.7959416864446482</v>
      </c>
      <c r="GN173" s="21">
        <f>EXP(-LN(2)/2)*GN172+(1-EXP(-LN(2)/2))/(LN(2)/2)*GH173*GK173*VLOOKUP('Données projet'!$B$17,Paramètres!$A$1:$I$89,3,0)*0.475*44/12</f>
        <v>0</v>
      </c>
      <c r="GO173" s="21">
        <f t="shared" si="352"/>
        <v>22.526237109642391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projet'!$A$279:$I$299,2,0)</f>
        <v>#N/A</v>
      </c>
      <c r="GS173" s="12" t="e">
        <f>VLOOKUP(A173,'Données projet'!$A$279:$I$299,9,0)</f>
        <v>#N/A</v>
      </c>
      <c r="GT173" s="12">
        <f t="array" ref="GT173">INDEX(GS:GS,MIN(IF(ISNUMBER(GS173:GS369),ROW(GS173:GS369),"")))</f>
        <v>0</v>
      </c>
      <c r="GU173" s="12">
        <f>IF('Données projet'!$A$280&gt;35,GU172+GT173-HC172,IF(A173&lt;'Données projet'!$A$280,$GR$205^A173,IF(A173='Données projet'!$A$280,'Données projet'!$B$280,GU172+GT173-HC172)))</f>
        <v>-1.1368683772161603E-13</v>
      </c>
      <c r="GV173" s="17">
        <f>GU173*VLOOKUP('Données projet'!$B$18,Paramètres!$A$1:$I$89,3,0)*VLOOKUP('Données projet'!$B$18,Paramètres!$A$1:$I$89,5,0)</f>
        <v>-4.5815795601811263E-14</v>
      </c>
      <c r="GW173" s="13" t="e">
        <f t="shared" si="353"/>
        <v>#NUM!</v>
      </c>
      <c r="GX173" s="20" t="e">
        <f t="shared" si="354"/>
        <v>#NUM!</v>
      </c>
      <c r="GY173" s="59" t="e">
        <f t="shared" si="252"/>
        <v>#NUM!</v>
      </c>
      <c r="GZ173" s="59">
        <f ca="1">AVERAGE(OFFSET($GY$3,0,0,'Données projet'!$E$18+1,1))-AVERAGE(OFFSET($H$3,0,0,'Données projet'!$E$18+1,1))</f>
        <v>324.36162935850876</v>
      </c>
      <c r="HA173" s="59">
        <f t="shared" si="305"/>
        <v>265.23571072429735</v>
      </c>
      <c r="HB173" s="15">
        <f>IF(ISNA(VLOOKUP(A173,'Données projet'!$A$279:$I$299,3,0)),0,VLOOKUP(A173,'Données projet'!$A$279:$I$299,3,0))</f>
        <v>0</v>
      </c>
      <c r="HC173" s="15">
        <f>IF(ISNA(VLOOKUP(A173,'Données projet'!$A$279:$I$299,4,0)),0,VLOOKUP(A173,'Données projet'!$A$279:$I$299,4,0))</f>
        <v>0</v>
      </c>
      <c r="HD173" s="16">
        <f>IF(ISNA(VLOOKUP(A173,'Données projet'!$A$279:$I$299,5,0)),0%,VLOOKUP(A173,'Données projet'!$A$279:$I$299,5,0)*VLOOKUP('Données projet'!$B$18,Paramètres!$A$1:$I$89,7,0))</f>
        <v>0</v>
      </c>
      <c r="HE173" s="16">
        <f>IF(ISNA(VLOOKUP(A173,'Données projet'!$A$279:$I$299,6,0)),0%,VLOOKUP(A173,'Données projet'!$A$279:$I$299,6,0)*VLOOKUP('Données projet'!$B$18,Paramètres!$A$1:$I$89,7,0))</f>
        <v>0</v>
      </c>
      <c r="HF173" s="16">
        <f>IF(ISNA(VLOOKUP($A173,'Données projet'!$A$279:$I$299,7,0)),0%,VLOOKUP($A173,'Données projet'!$A$279:$I$299,7,0))</f>
        <v>0</v>
      </c>
      <c r="HG173" s="21">
        <f>EXP(-LN(2)/35)*HG172+(1-EXP(-LN(2)/35))/(LN(2)/35)*HC173*HD173*VLOOKUP('Données projet'!$B$18,Paramètres!$A$1:$I$89,3,0)*0.475*44/12</f>
        <v>39.724665320010644</v>
      </c>
      <c r="HH173" s="21">
        <f>EXP(-LN(2)/25)*HH172+(1-EXP(-LN(2)/25))/(LN(2)/25)*Calculateur!HC173*Calculateur!HE173*VLOOKUP('Données projet'!$B$18,Paramètres!$A$1:$I$89,3,0)*0.475*44/12</f>
        <v>1.9974083883301197</v>
      </c>
      <c r="HI173" s="21">
        <f>EXP(-LN(2)/2)*HI172+(1-EXP(-LN(2)/2))/(LN(2)/2)*HC173*HF173*VLOOKUP('Données projet'!$B$18,Paramètres!$A$1:$I$89,3,0)*0.475*44/12</f>
        <v>2.4292631080072419E-13</v>
      </c>
      <c r="HJ173" s="22">
        <f t="shared" si="355"/>
        <v>41.722073708341007</v>
      </c>
      <c r="HK173" s="74">
        <f>('Scénario référence'!$F$8+'Scénario référence'!$F$9+'Scénario référence'!$B$17+'Scénario référence'!$B$9+'Scénario référence'!$B$10)*70+IF((45+25*(1-EXP(-0.0175*$A173)))&lt;70,'Scénario référence'!$B$16*(45+25*(1-EXP(-0.0175*$A173))),70*'Scénario référence'!$B$16)+IF((32+38*(1-EXP(-0.0175*$A173)))&lt;70,'Scénario référence'!$B$18*(32+38*(1-EXP(-0.0175*$A173))),70*'Scénario référence'!$B$18)</f>
        <v>70</v>
      </c>
      <c r="HL173" s="12">
        <f>IF($A173&gt;30,10,('Scénario référence'!$B$16+'Scénario référence'!$B$17+'Scénario référence'!$B$18+'Scénario référence'!$B$9+'Scénario référence'!$B$10)*$A173*10/30+('Scénario référence'!$F$8+'Scénario référence'!$F$9)*10)</f>
        <v>10</v>
      </c>
      <c r="HM173" s="12" t="e">
        <f>VLOOKUP($A173,'Données projet'!$A$304:$I$324,2,0)</f>
        <v>#N/A</v>
      </c>
      <c r="HN173" s="12" t="e">
        <f>VLOOKUP($A173,'Données projet'!$A$304:$I$324,9,0)</f>
        <v>#N/A</v>
      </c>
      <c r="HO173" s="12">
        <f t="array" ref="HO173">INDEX(HN:HN,MIN(IF(ISNUMBER(HN173:HN369),ROW(HN173:HN369),"")))</f>
        <v>0</v>
      </c>
      <c r="HP173" s="12">
        <f>IF('Données projet'!$A$304&gt;35,HP172+HO173-HX172,IF($A173&lt;'Données projet'!$A$304,$CQ$205^$A173,IF($A173='Données projet'!$A$304,'Données projet'!$B$304,HP172+HO173-HX172)))</f>
        <v>0</v>
      </c>
      <c r="HQ173" s="17">
        <f>HP173*VLOOKUP('Données projet'!$B$19,Paramètres!$A$1:$I$89,3,0)*VLOOKUP('Données projet'!$B$19,Paramètres!$A$1:$I$89,5,0)</f>
        <v>0</v>
      </c>
      <c r="HR173" s="13" t="e">
        <f t="shared" si="306"/>
        <v>#NUM!</v>
      </c>
      <c r="HS173" s="14" t="e">
        <f t="shared" si="254"/>
        <v>#NUM!</v>
      </c>
      <c r="HT173" s="59" t="e">
        <f t="shared" si="255"/>
        <v>#NUM!</v>
      </c>
      <c r="HU173" s="59">
        <f ca="1">AVERAGE(OFFSET(HT$3,0,0,'Données projet'!$E$19+1,1))-AVERAGE(OFFSET($H$3,0,0,'Données projet'!$E$19+1,1))</f>
        <v>91.60721429656013</v>
      </c>
      <c r="HV173" s="59">
        <f t="shared" si="307"/>
        <v>258.94957804210856</v>
      </c>
      <c r="HW173" s="15">
        <f>IF(ISNA(VLOOKUP($A173,'Données projet'!$A$304:$I$324,3,0)),0,VLOOKUP($A173,'Données projet'!$A$304:$I$324,3,0))</f>
        <v>0</v>
      </c>
      <c r="HX173" s="15">
        <f>IF(ISNA(VLOOKUP($A173,'Données projet'!$A$304:$I$324,4,0)),0,VLOOKUP($A173,'Données projet'!$A$304:$I$324,4,0))</f>
        <v>0</v>
      </c>
      <c r="HY173" s="16">
        <f>IF(ISNA(VLOOKUP($A173,'Données projet'!$A$304:$I$324,5,0)),0%,VLOOKUP($A173,'Données projet'!$A$304:$I$324,5,0)*VLOOKUP('Données projet'!$B$19,Paramètres!$A$1:$I$89,7,0))</f>
        <v>0</v>
      </c>
      <c r="HZ173" s="16">
        <f>IF(ISNA(VLOOKUP($A173,'Données projet'!$A$304:$I$324,6,0)),0%,VLOOKUP($A173,'Données projet'!$A$304:$I$324,6,0)*VLOOKUP('Données projet'!$B$19,Paramètres!$A$1:$I$89,7,0))</f>
        <v>0</v>
      </c>
      <c r="IA173" s="16">
        <f>IF(ISNA(VLOOKUP($A173,'Données projet'!$A$304:$I$324,7,0)),0%,VLOOKUP($A173,'Données projet'!$A$304:$I$324,7,0))</f>
        <v>0</v>
      </c>
      <c r="IB173" s="21">
        <f>EXP(-LN(2)/35)*IB172+(1-EXP(-LN(2)/35))/(LN(2)/35)*HX173*HY173*VLOOKUP('Données projet'!$B$19,Paramètres!$A$1:$I$89,3,0)*0.475*44/12</f>
        <v>3.0832940445897865</v>
      </c>
      <c r="IC173" s="21">
        <f>EXP(-LN(2)/25)*IC172+(1-EXP(-LN(2)/25))/(LN(2)/25)*Calculateur!HX173*Calculateur!HZ173*VLOOKUP('Données projet'!$B$19,Paramètres!$A$1:$I$89,3,0)*0.475*44/12</f>
        <v>0.20055956723442378</v>
      </c>
      <c r="ID173" s="21">
        <f>EXP(-LN(2)/2)*ID172+(1-EXP(-LN(2)/2))/(LN(2)/2)*HX173*IA173*VLOOKUP('Données projet'!$B$19,Paramètres!$A$1:$I$89,3,0)*0.475*44/12</f>
        <v>4.8522478195794055E-22</v>
      </c>
      <c r="IE173" s="22">
        <f t="shared" si="256"/>
        <v>3.2838536118242101</v>
      </c>
      <c r="IF173" s="74">
        <f>('Scénario référence'!$F$8+'Scénario référence'!$F$9+'Scénario référence'!$B$17+'Scénario référence'!$B$9+'Scénario référence'!$B$10)*70+IF((45+25*(1-EXP(-0.0175*$A173)))&lt;70,'Scénario référence'!$B$16*(45+25*(1-EXP(-0.0175*$A173))),70*'Scénario référence'!$B$16)+IF((32+38*(1-EXP(-0.0175*$A173)))&lt;70,'Scénario référence'!$B$18*(32+38*(1-EXP(-0.0175*$A173))),70*'Scénario référence'!$B$18)</f>
        <v>70</v>
      </c>
      <c r="IG173" s="12">
        <f>IF($A173&gt;30,10,('Scénario référence'!$B$16+'Scénario référence'!$B$17+'Scénario référence'!$B$18+'Scénario référence'!$B$9+'Scénario référence'!$B$10)*$A173*10/30+('Scénario référence'!$F$8+'Scénario référence'!$F$9)*10)</f>
        <v>10</v>
      </c>
      <c r="IH173" s="12" t="e">
        <f>VLOOKUP($A173,'Données projet'!$A$330:$I$350,2,0)</f>
        <v>#N/A</v>
      </c>
      <c r="II173" s="12" t="e">
        <f>VLOOKUP($A173,'Données projet'!$A$330:$I$350,9,0)</f>
        <v>#N/A</v>
      </c>
      <c r="IJ173" s="12">
        <f t="array" ref="IJ173">INDEX(II:II,MIN(IF(ISNUMBER(II173:II369),ROW(II173:II369),"")))</f>
        <v>0</v>
      </c>
      <c r="IK173" s="12">
        <f>IF('Données projet'!$A$330&gt;35,IK172+IJ173-IS172,IF($A173&lt;'Données projet'!$A$330,$CQ$205^$A173,IF($A173='Données projet'!$A$330,'Données projet'!$B$330,IK172+IJ173-IS172)))</f>
        <v>0</v>
      </c>
      <c r="IL173" s="17">
        <f>IK173*VLOOKUP('Données projet'!$B$20,Paramètres!$A$1:$I$89,3,0)*VLOOKUP('Données projet'!$B$20,Paramètres!$A$1:$I$89,5,0)</f>
        <v>0</v>
      </c>
      <c r="IM173" s="13" t="e">
        <f t="shared" si="308"/>
        <v>#NUM!</v>
      </c>
      <c r="IN173" s="20" t="e">
        <f t="shared" si="257"/>
        <v>#NUM!</v>
      </c>
      <c r="IO173" s="59" t="e">
        <f t="shared" si="258"/>
        <v>#NUM!</v>
      </c>
      <c r="IP173" s="59">
        <f ca="1">AVERAGE(OFFSET(IO$3,0,0,'Données projet'!$E$20+1,1))-AVERAGE(OFFSET($H$3,0,0,'Données projet'!$E$20+1,1))</f>
        <v>91.60721429656013</v>
      </c>
      <c r="IQ173" s="59">
        <f t="shared" si="309"/>
        <v>258.94957804210856</v>
      </c>
      <c r="IR173" s="15">
        <f>IF(ISNA(VLOOKUP($A173,'Données projet'!$A$330:$I$350,3,0)),0,VLOOKUP($A173,'Données projet'!$A$330:$I$350,3,0))</f>
        <v>0</v>
      </c>
      <c r="IS173" s="15">
        <f>IF(ISNA(VLOOKUP($A173,'Données projet'!$A$330:$I$350,4,0)),0,VLOOKUP($A173,'Données projet'!$A$330:$I$350,4,0))</f>
        <v>0</v>
      </c>
      <c r="IT173" s="16">
        <f>IF(ISNA(VLOOKUP($A173,'Données projet'!$A$330:$I$350,5,0)),0%,VLOOKUP($A173,'Données projet'!$A$330:$I$350,5,0)*VLOOKUP('Données projet'!$B$20,Paramètres!$A$1:$I$89,7,0))</f>
        <v>0</v>
      </c>
      <c r="IU173" s="16">
        <f>IF(ISNA(VLOOKUP($A173,'Données projet'!$A$330:$I$350,6,0)),0%,VLOOKUP($A173,'Données projet'!$A$330:$I$350,6,0)*VLOOKUP('Données projet'!$B$20,Paramètres!$A$1:$I$89,7,0))</f>
        <v>0</v>
      </c>
      <c r="IV173" s="16">
        <f>IF(ISNA(VLOOKUP($A173,'Données projet'!$A$330:$I$350,7,0)),0%,VLOOKUP($A173,'Données projet'!$A$330:$I$350,7,0))</f>
        <v>0</v>
      </c>
      <c r="IW173" s="21">
        <f>EXP(-LN(2)/35)*IW172+(1-EXP(-LN(2)/35))/(LN(2)/35)*IS173*IT173*VLOOKUP('Données projet'!$B$20,Paramètres!$A$1:$I$89,3,0)*0.475*44/12</f>
        <v>3.0832940445897865</v>
      </c>
      <c r="IX173" s="21">
        <f>EXP(-LN(2)/25)*IX172+(1-EXP(-LN(2)/25))/(LN(2)/25)*Calculateur!IS173*Calculateur!IU173*VLOOKUP('Données projet'!$B$20,Paramètres!$A$1:$I$89,3,0)*0.475*44/12</f>
        <v>0.20055956723442378</v>
      </c>
      <c r="IY173" s="21">
        <f>EXP(-LN(2)/2)*IY172+(1-EXP(-LN(2)/2))/(LN(2)/2)*IS173*IV173*VLOOKUP('Données projet'!$B$20,Paramètres!$A$1:$I$89,3,0)*0.475*44/12</f>
        <v>4.8522478195794055E-22</v>
      </c>
      <c r="IZ173" s="22">
        <f t="shared" si="259"/>
        <v>3.2838536118242101</v>
      </c>
      <c r="JA173" s="74">
        <f>('Scénario référence'!$F$8+'Scénario référence'!$F$9+'Scénario référence'!$B$17+'Scénario référence'!$B$9+'Scénario référence'!$B$10)*70+IF((45+25*(1-EXP(-0.0175*$A173)))&lt;70,'Scénario référence'!$B$16*(45+25*(1-EXP(-0.0175*$A173))),70*'Scénario référence'!$B$16)+IF((32+38*(1-EXP(-0.0175*$A173)))&lt;70,'Scénario référence'!$B$18*(32+38*(1-EXP(-0.0175*$A173))),70*'Scénario référence'!$B$18)</f>
        <v>70</v>
      </c>
      <c r="JB173" s="12">
        <f>IF($A173&gt;30,10,('Scénario référence'!$B$16+'Scénario référence'!$B$17+'Scénario référence'!$B$18+'Scénario référence'!$B$9+'Scénario référence'!$B$10)*$A173*10/30+('Scénario référence'!$F$8+'Scénario référence'!$F$9)*10)</f>
        <v>10</v>
      </c>
      <c r="JC173" s="12" t="e">
        <f>VLOOKUP($A173,'Données projet'!$A$356:$I$376,2,0)</f>
        <v>#N/A</v>
      </c>
      <c r="JD173" s="12" t="e">
        <f>VLOOKUP($A173,'Données projet'!$A$356:$I$376,9,0)</f>
        <v>#N/A</v>
      </c>
      <c r="JE173" s="12">
        <f t="array" ref="JE173">INDEX(JD:JD,MIN(IF(ISNUMBER(JD173:JD369),ROW(JD173:JD369),"")))</f>
        <v>0</v>
      </c>
      <c r="JF173" s="12">
        <f>IF('Données projet'!$A$356&gt;35,JF172+JE173-JN172,IF($A173&lt;'Données projet'!$A$356,$CQ$205^$A173,IF($A173='Données projet'!$A$356,'Données projet'!$B$356,JF172+JE173-JN172)))</f>
        <v>-1.3073986337985843E-12</v>
      </c>
      <c r="JG173" s="17">
        <f>JF173*VLOOKUP('Données projet'!$B$21,Paramètres!$A$1:$I$89,3,0)*VLOOKUP('Données projet'!$B$21,Paramètres!$A$1:$I$89,5,0)</f>
        <v>-1.0605617717374117E-12</v>
      </c>
      <c r="JH173" s="13" t="e">
        <f t="shared" si="310"/>
        <v>#NUM!</v>
      </c>
      <c r="JI173" s="20" t="e">
        <f t="shared" si="260"/>
        <v>#NUM!</v>
      </c>
      <c r="JJ173" s="59" t="e">
        <f t="shared" si="261"/>
        <v>#NUM!</v>
      </c>
      <c r="JK173" s="59">
        <f ca="1">AVERAGE(OFFSET($JJ$3,0,0,'Données projet'!$E$22+1,1))-AVERAGE(OFFSET($H$3,0,0,'Données projet'!$E$22+1,1))</f>
        <v>353.35574633294613</v>
      </c>
      <c r="JL173" s="59">
        <f t="shared" si="311"/>
        <v>170.36796666474726</v>
      </c>
      <c r="JM173" s="15">
        <f>IF(ISNA(VLOOKUP($A173,'Données projet'!$A$356:$I$376,3,0)),0,VLOOKUP($A173,'Données projet'!$A$356:$I$376,3,0))</f>
        <v>0</v>
      </c>
      <c r="JN173" s="15">
        <f>IF(ISNA(VLOOKUP($A173,'Données projet'!$A$356:$I$376,4,0)),0,VLOOKUP($A173,'Données projet'!$A$356:$I$376,4,0))</f>
        <v>0</v>
      </c>
      <c r="JO173" s="16">
        <f>IF(ISNA(VLOOKUP($A173,'Données projet'!$A$356:$I$376,5,0)),0%,VLOOKUP($A173,'Données projet'!$A$356:$I$376,5,0)*VLOOKUP('Données projet'!$B$21,Paramètres!$A$1:$I$89,7,0))</f>
        <v>0</v>
      </c>
      <c r="JP173" s="16">
        <f>IF(ISNA(VLOOKUP($A173,'Données projet'!$A$356:$I$376,6,0)),0%,VLOOKUP($A173,'Données projet'!$A$356:$I$376,6,0)*VLOOKUP('Données projet'!$B$21,Paramètres!$A$1:$I$89,7,0))</f>
        <v>0</v>
      </c>
      <c r="JQ173" s="16">
        <f>IF(ISNA(VLOOKUP($A173,'Données projet'!$A$356:$I$376,7,0)),0%,VLOOKUP($A173,'Données projet'!$A$356:$I$376,7,0))</f>
        <v>0</v>
      </c>
      <c r="JR173" s="21">
        <f>EXP(-LN(2)/35)*JR172+(1-EXP(-LN(2)/35))/(LN(2)/35)*JN173*JO173*VLOOKUP('Données projet'!$B$21,Paramètres!$A$1:$I$89,3,0)*0.475*44/12</f>
        <v>49.429801111930132</v>
      </c>
      <c r="JS173" s="21">
        <f>EXP(-LN(2)/25)*JS172+(1-EXP(-LN(2)/25))/(LN(2)/25)*Calculateur!JN173*Calculateur!JP173*VLOOKUP('Données projet'!$B$21,Paramètres!$A$1:$I$89,3,0)*0.475*44/12</f>
        <v>43.89574048481154</v>
      </c>
      <c r="JT173" s="21">
        <f>EXP(-LN(2)/2)*JT172+(1-EXP(-LN(2)/2))/(LN(2)/2)*JN173*JQ173*VLOOKUP('Données projet'!$B$21,Paramètres!$A$1:$I$89,3,0)*0.475*44/12</f>
        <v>3.3487233312072422E-2</v>
      </c>
      <c r="JU173" s="18">
        <f t="shared" si="262"/>
        <v>93.359028830053745</v>
      </c>
      <c r="JV173" s="74">
        <f>('Scénario référence'!$F$8+'Scénario référence'!$F$9+'Scénario référence'!$B$17+'Scénario référence'!$B$9+'Scénario référence'!$B$10)*70+IF((45+25*(1-EXP(-0.0175*$A173)))&lt;70,'Scénario référence'!$B$16*(45+25*(1-EXP(-0.0175*$A173))),70*'Scénario référence'!$B$16)+IF((32+38*(1-EXP(-0.0175*$A173)))&lt;70,'Scénario référence'!$B$18*(32+38*(1-EXP(-0.0175*$A173))),70*'Scénario référence'!$B$18)</f>
        <v>70</v>
      </c>
      <c r="JW173" s="12">
        <f>IF($A173&gt;30,10,('Scénario référence'!$B$16+'Scénario référence'!$B$17+'Scénario référence'!$B$18+'Scénario référence'!$B$9+'Scénario référence'!$B$10)*$A173*10/30+('Scénario référence'!$F$8+'Scénario référence'!$F$9)*10)</f>
        <v>10</v>
      </c>
      <c r="JX173" s="12" t="e">
        <f>VLOOKUP($A173,'Données projet'!$A$382:$I$402,2,0)</f>
        <v>#N/A</v>
      </c>
      <c r="JY173" s="12" t="e">
        <f>VLOOKUP($A173,'Données projet'!$A$382:$I$402,9,0)</f>
        <v>#N/A</v>
      </c>
      <c r="JZ173" s="12">
        <f t="array" ref="JZ173">INDEX(JY:JY,MIN(IF(ISNUMBER(JY173:JY369),ROW(JY173:JY369),"")))</f>
        <v>0</v>
      </c>
      <c r="KA173" s="12">
        <f>IF('Données projet'!$A$382&gt;35,KA172+JZ173-KI172,IF($A173&lt;'Données projet'!$A$382,$CQ$205^$A173,IF($A173='Données projet'!$A$382,'Données projet'!$B$382,KA172+JZ173-KI172)))</f>
        <v>5.6843418860808015E-13</v>
      </c>
      <c r="KB173" s="17">
        <f>KA173*VLOOKUP('Données projet'!$B$22,Paramètres!$A$1:$I$89,3,0)*VLOOKUP('Données projet'!$B$22,Paramètres!$A$1:$I$89,5,0)</f>
        <v>3.8130565371830017E-13</v>
      </c>
      <c r="KC173" s="13">
        <f t="shared" si="312"/>
        <v>4.9019074112354236E-12</v>
      </c>
      <c r="KD173" s="20">
        <f t="shared" si="263"/>
        <v>9.2015960881277352E-12</v>
      </c>
      <c r="KE173" s="59">
        <f t="shared" si="264"/>
        <v>293.33333333334252</v>
      </c>
      <c r="KF173" s="59">
        <f ca="1">AVERAGE(OFFSET($KE$3,0,0,'Données projet'!$E$22+1,1))-AVERAGE(OFFSET($H$3,0,0,'Données projet'!$E$22+1,1))</f>
        <v>193.91714772848269</v>
      </c>
      <c r="KG173" s="59">
        <f t="shared" si="313"/>
        <v>159.20429420478047</v>
      </c>
      <c r="KH173" s="15">
        <f>IF(ISNA(VLOOKUP($A173,'Données projet'!$A$382:$I$402,3,0)),0,VLOOKUP($A173,'Données projet'!$A$382:$I$402,3,0))</f>
        <v>0</v>
      </c>
      <c r="KI173" s="15">
        <f>IF(ISNA(VLOOKUP($A173,'Données projet'!$A$382:$I$402,4,0)),0,VLOOKUP($A173,'Données projet'!$A$382:$I$402,4,0))</f>
        <v>0</v>
      </c>
      <c r="KJ173" s="16">
        <f>IF(ISNA(VLOOKUP($A173,'Données projet'!$A$382:$I$402,5,0)),0%,VLOOKUP($A173,'Données projet'!$A$382:$I$402,5,0)*VLOOKUP('Données projet'!$B$22,Paramètres!$A$1:$I$89,7,0))</f>
        <v>0</v>
      </c>
      <c r="KK173" s="16">
        <f>IF(ISNA(VLOOKUP($A173,'Données projet'!$A$382:$I$402,6,0)),0%,VLOOKUP($A173,'Données projet'!$A$382:$I$402,6,0)*VLOOKUP('Données projet'!$B$22,Paramètres!$A$1:$I$89,7,0))</f>
        <v>0</v>
      </c>
      <c r="KL173" s="16">
        <f>IF(ISNA(VLOOKUP($A173,'Données projet'!$A$382:$I$402,7,0)),0%,VLOOKUP($A173,'Données projet'!$A$382:$I$402,7,0))</f>
        <v>0</v>
      </c>
      <c r="KM173" s="21">
        <f>EXP(-LN(2)/35)*KM172+(1-EXP(-LN(2)/35))/(LN(2)/35)*KI173*KJ173*VLOOKUP('Données projet'!$B$22,Paramètres!$A$1:$I$89,3,0)*0.475*44/12</f>
        <v>72.172965150419984</v>
      </c>
      <c r="KN173" s="21">
        <f>EXP(-LN(2)/25)*KN172+(1-EXP(-LN(2)/25))/(LN(2)/25)*Calculateur!KI173*Calculateur!KK173*VLOOKUP('Données projet'!$B$22,Paramètres!$A$1:$I$89,3,0)*0.475*44/12</f>
        <v>0</v>
      </c>
      <c r="KO173" s="21">
        <f>EXP(-LN(2)/2)*KO172+(1-EXP(-LN(2)/2))/(LN(2)/2)*KI173*KL173*VLOOKUP('Données projet'!$B$22,Paramètres!$A$1:$I$89,3,0)*0.475*44/12</f>
        <v>0</v>
      </c>
      <c r="KP173" s="22">
        <f t="shared" si="265"/>
        <v>72.172965150419984</v>
      </c>
      <c r="KQ173" s="74">
        <f>('Scénario référence'!$F$8+'Scénario référence'!$F$9+'Scénario référence'!$B$17+'Scénario référence'!$B$9+'Scénario référence'!$B$10)*70+IF((45+25*(1-EXP(-0.0175*$A173)))&lt;70,'Scénario référence'!$B$16*(45+25*(1-EXP(-0.0175*$A173))),70*'Scénario référence'!$B$16)+IF((32+38*(1-EXP(-0.0175*$A173)))&lt;70,'Scénario référence'!$B$18*(32+38*(1-EXP(-0.0175*$A173))),70*'Scénario référence'!$B$18)</f>
        <v>70</v>
      </c>
      <c r="KR173" s="12">
        <f>IF($A173&gt;30,10,('Scénario référence'!$B$16+'Scénario référence'!$B$17+'Scénario référence'!$B$18+'Scénario référence'!$B$9+'Scénario référence'!$B$10)*$A173*10/30+('Scénario référence'!$F$8+'Scénario référence'!$F$9)*10)</f>
        <v>10</v>
      </c>
      <c r="KS173" s="12" t="e">
        <f>VLOOKUP($A173,'Données projet'!$A$408:$I$428,2,0)</f>
        <v>#N/A</v>
      </c>
      <c r="KT173" s="12" t="e">
        <f>VLOOKUP($A173,'Données projet'!$A$408:$I$428,9,0)</f>
        <v>#N/A</v>
      </c>
      <c r="KU173" s="12">
        <f t="array" ref="KU173">INDEX(KT:KT,MIN(IF(ISNUMBER(KT173:KT369),ROW(KT173:KT369),"")))</f>
        <v>0</v>
      </c>
      <c r="KV173" s="12">
        <f>IF('Données projet'!$A$408&gt;35,KV172+KU173-LD172,IF($A173&lt;'Données projet'!$A$408,$CQ$205^$A173,IF($A173='Données projet'!$A$408,'Données projet'!$B$408,KV172+KU173-LD172)))</f>
        <v>-1.1368683772161603E-13</v>
      </c>
      <c r="KW173" s="17">
        <f>KV173*VLOOKUP('Données projet'!$B$23,Paramètres!$A$1:$I$89,3,0)*VLOOKUP('Données projet'!$B$23,Paramètres!$A$1:$I$89,5,0)</f>
        <v>-9.9316821433603781E-14</v>
      </c>
      <c r="KX173" s="13" t="e">
        <f t="shared" si="314"/>
        <v>#NUM!</v>
      </c>
      <c r="KY173" s="14" t="e">
        <f t="shared" si="266"/>
        <v>#NUM!</v>
      </c>
      <c r="KZ173" s="59" t="e">
        <f t="shared" si="267"/>
        <v>#NUM!</v>
      </c>
      <c r="LA173" s="59">
        <f ca="1">AVERAGE(OFFSET($KZ$3,0,0,'Données projet'!$E$23+1,1))-AVERAGE(OFFSET($H$3,0,0,'Données projet'!$E$23+1,1))</f>
        <v>248.33596943633819</v>
      </c>
      <c r="LB173" s="59">
        <f t="shared" si="315"/>
        <v>242.34010522344573</v>
      </c>
      <c r="LC173" s="15">
        <f>IF(ISNA(VLOOKUP($A173,'Données projet'!$A$408:$I$428,3,0)),0,VLOOKUP($A173,'Données projet'!$A$408:$I$428,3,0))</f>
        <v>0</v>
      </c>
      <c r="LD173" s="15">
        <f>IF(ISNA(VLOOKUP($A173,'Données projet'!$A$408:$I$428,4,0)),0,VLOOKUP($A173,'Données projet'!$A$408:$I$428,4,0))</f>
        <v>0</v>
      </c>
      <c r="LE173" s="16">
        <f>IF(ISNA(VLOOKUP($A173,'Données projet'!$A$408:$I$428,5,0)),0%,VLOOKUP($A173,'Données projet'!$A$408:$I$428,5,0)*VLOOKUP('Données projet'!$B$23,Paramètres!$A$1:$I$89,7,0))</f>
        <v>0</v>
      </c>
      <c r="LF173" s="16">
        <f>IF(ISNA(VLOOKUP($A173,'Données projet'!$A$408:$I$428,6,0)),0%,VLOOKUP($A173,'Données projet'!$A$408:$I$428,6,0)*VLOOKUP('Données projet'!$B$23,Paramètres!$A$1:$I$89,7,0))</f>
        <v>0</v>
      </c>
      <c r="LG173" s="16">
        <f>IF(ISNA(VLOOKUP($A173,'Données projet'!$A$408:$I$428,7,0)),0%,VLOOKUP($A173,'Données projet'!$A$408:$I$428,7,0))</f>
        <v>0</v>
      </c>
      <c r="LH173" s="21">
        <f>EXP(-LN(2)/35)*LH172+(1-EXP(-LN(2)/35))/(LN(2)/35)*LD173*LE173*VLOOKUP('Données projet'!$B$23,Paramètres!$A$1:$I$89,3,0)*0.475*44/12</f>
        <v>20.730295423197742</v>
      </c>
      <c r="LI173" s="21">
        <f>EXP(-LN(2)/25)*LI172+(1-EXP(-LN(2)/25))/(LN(2)/25)*Calculateur!LD173*Calculateur!LF173*VLOOKUP('Données projet'!$B$23,Paramètres!$A$1:$I$89,3,0)*0.475*44/12</f>
        <v>1.7959416864446482</v>
      </c>
      <c r="LJ173" s="21">
        <f>EXP(-LN(2)/2)*LJ172+(1-EXP(-LN(2)/2))/(LN(2)/2)*LD173*LG173*VLOOKUP('Données projet'!$B$23,Paramètres!$A$1:$I$89,3,0)*0.475*44/12</f>
        <v>0</v>
      </c>
      <c r="LK173" s="22">
        <f t="shared" si="268"/>
        <v>22.526237109642391</v>
      </c>
      <c r="LL173" s="74">
        <f>('Scénario référence'!$F$8+'Scénario référence'!$F$9+'Scénario référence'!$B$17+'Scénario référence'!$B$9+'Scénario référence'!$B$10)*70+IF((45+25*(1-EXP(-0.0175*$A173)))&lt;70,'Scénario référence'!$B$16*(45+25*(1-EXP(-0.0175*$A173))),70*'Scénario référence'!$B$16)+IF((32+38*(1-EXP(-0.0175*$A173)))&lt;70,'Scénario référence'!$B$18*(32+38*(1-EXP(-0.0175*$A173))),70*'Scénario référence'!$B$18)</f>
        <v>70</v>
      </c>
      <c r="LM173" s="12">
        <f>IF($A173&gt;30,10,('Scénario référence'!$B$16+'Scénario référence'!$B$17+'Scénario référence'!$B$18+'Scénario référence'!$B$9+'Scénario référence'!$B$10)*$A173*10/30+('Scénario référence'!$F$8+'Scénario référence'!$F$9)*10)</f>
        <v>10</v>
      </c>
      <c r="LN173" s="12" t="e">
        <f>VLOOKUP($A173,'Données projet'!$A$434:$I$454,2,0)</f>
        <v>#N/A</v>
      </c>
      <c r="LO173" s="12" t="e">
        <f>VLOOKUP($A173,'Données projet'!$A$434:$I$454,9,0)</f>
        <v>#N/A</v>
      </c>
      <c r="LP173" s="12">
        <f t="array" ref="LP173">INDEX(LO:LO,MIN(IF(ISNUMBER(LO173:LO369),ROW(LO173:LO369),"")))</f>
        <v>0</v>
      </c>
      <c r="LQ173" s="12">
        <f>IF('Données projet'!$A$434&gt;35,LQ172+LP173-LY172,IF($A173&lt;'Données projet'!$A$434,$CQ$205^$A173,IF($A173='Données projet'!$A$434,'Données projet'!$B$434,LQ172+LP173-LY172)))</f>
        <v>-4.5474735088646412E-13</v>
      </c>
      <c r="LR173" s="17">
        <f>LQ173*VLOOKUP('Données projet'!$B$24,Paramètres!$A$1:$I$89,3,0)*VLOOKUP('Données projet'!$B$24,Paramètres!$A$1:$I$89,5,0)</f>
        <v>-4.6111381379887462E-13</v>
      </c>
      <c r="LS173" s="13" t="e">
        <f t="shared" si="316"/>
        <v>#NUM!</v>
      </c>
      <c r="LT173" s="14" t="e">
        <f t="shared" si="269"/>
        <v>#NUM!</v>
      </c>
      <c r="LU173" s="59" t="e">
        <f t="shared" si="270"/>
        <v>#NUM!</v>
      </c>
      <c r="LV173" s="59">
        <f ca="1">AVERAGE(OFFSET($LU$3,0,0,'Données projet'!$E$24+1,1))-AVERAGE(OFFSET($H$3,0,0,'Données projet'!$E$24+1,1))</f>
        <v>260.52627655062872</v>
      </c>
      <c r="LW173" s="59">
        <f t="shared" si="317"/>
        <v>159.20429420478047</v>
      </c>
      <c r="LX173" s="15">
        <f>IF(ISNA(VLOOKUP($A173,'Données projet'!$A$434:$I$454,3,0)),0,VLOOKUP($A173,'Données projet'!$A$434:$I$454,3,0))</f>
        <v>0</v>
      </c>
      <c r="LY173" s="15">
        <f>IF(ISNA(VLOOKUP($A173,'Données projet'!$A$434:$I$454,4,0)),0,VLOOKUP($A173,'Données projet'!$A$434:$I$454,4,0))</f>
        <v>0</v>
      </c>
      <c r="LZ173" s="16">
        <f>IF(ISNA(VLOOKUP($A173,'Données projet'!$A$434:$I$454,5,0)),0%,VLOOKUP($A173,'Données projet'!$A$434:$I$454,5,0)*VLOOKUP('Données projet'!$B$24,Paramètres!$A$1:$I$89,7,0))</f>
        <v>0</v>
      </c>
      <c r="MA173" s="16">
        <f>IF(ISNA(VLOOKUP($A173,'Données projet'!$A$434:$I$454,6,0)),0%,VLOOKUP($A173,'Données projet'!$A$434:$I$454,6,0)*VLOOKUP('Données projet'!$B$24,Paramètres!$A$1:$I$89,7,0))</f>
        <v>0</v>
      </c>
      <c r="MB173" s="16">
        <f>IF(ISNA(VLOOKUP($A173,'Données projet'!$A$434:$I$454,7,0)),0%,VLOOKUP($A173,'Données projet'!$A$434:$I$454,7,0))</f>
        <v>0</v>
      </c>
      <c r="MC173" s="21">
        <f>EXP(-LN(2)/35)*MC172+(1-EXP(-LN(2)/35))/(LN(2)/35)*LY173*LZ173*VLOOKUP('Données projet'!$B$24,Paramètres!$A$1:$I$89,3,0)*0.475*44/12</f>
        <v>133.2887583567273</v>
      </c>
      <c r="MD173" s="21">
        <f>EXP(-LN(2)/25)*MD172+(1-EXP(-LN(2)/25))/(LN(2)/25)*Calculateur!LY173*Calculateur!MA173*VLOOKUP('Données projet'!$B$24,Paramètres!$A$1:$I$89,3,0)*0.475*44/12</f>
        <v>0</v>
      </c>
      <c r="ME173" s="21">
        <f>EXP(-LN(2)/2)*ME172+(1-EXP(-LN(2)/2))/(LN(2)/2)*LY173*MB173*VLOOKUP('Données projet'!$B$24,Paramètres!$A$1:$I$89,3,0)*0.475*44/12</f>
        <v>0</v>
      </c>
      <c r="MF173" s="22">
        <f t="shared" si="271"/>
        <v>133.2887583567273</v>
      </c>
      <c r="MG173" s="74">
        <f>('Scénario référence'!$F$8+'Scénario référence'!$F$9+'Scénario référence'!$B$17+'Scénario référence'!$B$9+'Scénario référence'!$B$10)*70+IF((45+25*(1-EXP(-0.0175*$A173)))&lt;70,'Scénario référence'!$B$16*(45+25*(1-EXP(-0.0175*$A173))),70*'Scénario référence'!$B$16)+IF((32+38*(1-EXP(-0.0175*$A173)))&lt;70,'Scénario référence'!$B$18*(32+38*(1-EXP(-0.0175*$A173))),70*'Scénario référence'!$B$18)</f>
        <v>70</v>
      </c>
      <c r="MH173" s="12">
        <f>IF($A173&gt;30,10,('Scénario référence'!$B$16+'Scénario référence'!$B$17+'Scénario référence'!$B$18+'Scénario référence'!$B$9+'Scénario référence'!$B$10)*$A173*10/30+('Scénario référence'!$F$8+'Scénario référence'!$F$9)*10)</f>
        <v>10</v>
      </c>
      <c r="MI173" s="12" t="e">
        <f>VLOOKUP($A173,'Données projet'!$A$460:$I$480,2,0)</f>
        <v>#N/A</v>
      </c>
      <c r="MJ173" s="12" t="e">
        <f>VLOOKUP($A173,'Données projet'!$A$460:$I$480,9,0)</f>
        <v>#N/A</v>
      </c>
      <c r="MK173" s="12">
        <f t="array" ref="MK173">INDEX(MJ:MJ,MIN(IF(ISNUMBER(MJ173:MJ369),ROW(MJ173:MJ369),"")))</f>
        <v>0</v>
      </c>
      <c r="ML173" s="12">
        <f>IF('Données projet'!$A$460&gt;35,ML172+MK173-MT172,IF($A173&lt;'Données projet'!$A$460,$CQ$205^$A173,IF($A173='Données projet'!$A$460,'Données projet'!$B$460,ML172+MK173-MT172)))</f>
        <v>0</v>
      </c>
      <c r="MM173" s="17" t="e">
        <f>ML173*VLOOKUP('Données projet'!$B$25,Paramètres!$A$1:$I$89,3,0)*VLOOKUP('Données projet'!$B$25,Paramètres!$A$1:$I$89,5,0)</f>
        <v>#N/A</v>
      </c>
      <c r="MN173" s="13" t="e">
        <f t="shared" si="318"/>
        <v>#N/A</v>
      </c>
      <c r="MO173" s="14" t="e">
        <f t="shared" si="272"/>
        <v>#N/A</v>
      </c>
      <c r="MP173" s="59" t="e">
        <f t="shared" si="273"/>
        <v>#N/A</v>
      </c>
      <c r="MQ173" s="20" t="e">
        <f ca="1">AVERAGE(OFFSET($MP$3,0,0,'Données projet'!$E$25+1,1))-AVERAGE(OFFSET($H$3,0,0,'Données projet'!$E$25+1,1))</f>
        <v>#N/A</v>
      </c>
      <c r="MR173" s="59" t="e">
        <f t="shared" si="319"/>
        <v>#N/A</v>
      </c>
      <c r="MS173" s="15">
        <f>IF(ISNA(VLOOKUP($A173,'Données projet'!$A$460:$I$480,3,0)),0,VLOOKUP($A173,'Données projet'!$A$460:$I$480,3,0))</f>
        <v>0</v>
      </c>
      <c r="MT173" s="15">
        <f>IF(ISNA(VLOOKUP($A173,'Données projet'!$A$460:$I$480,4,0)),0,VLOOKUP($A173,'Données projet'!$A$460:$I$480,4,0))</f>
        <v>0</v>
      </c>
      <c r="MU173" s="16">
        <f>IF(ISNA(VLOOKUP($A173,'Données projet'!$A$460:$I$480,5,0)),0%,VLOOKUP($A173,'Données projet'!$A$460:$I$480,5,0)*VLOOKUP('Données projet'!$B$25,Paramètres!$A$1:$I$89,7,0))</f>
        <v>0</v>
      </c>
      <c r="MV173" s="16">
        <f>IF(ISNA(VLOOKUP($A173,'Données projet'!$A$460:$I$480,6,0)),0%,VLOOKUP($A173,'Données projet'!$A$460:$I$480,6,0)*VLOOKUP('Données projet'!$B$25,Paramètres!$A$1:$I$89,7,0))</f>
        <v>0</v>
      </c>
      <c r="MW173" s="16">
        <f>IF(ISNA(VLOOKUP($A173,'Données projet'!$A$460:$I$480,7,0)),0%,VLOOKUP($A173,'Données projet'!$A$460:$I$480,7,0))</f>
        <v>0</v>
      </c>
      <c r="MX173" s="21" t="e">
        <f>EXP(-LN(2)/35)*MX172+(1-EXP(-LN(2)/35))/(LN(2)/35)*MT173*MU173*VLOOKUP('Données projet'!$B$25,Paramètres!$A$1:$I$89,3,0)*0.475*44/12</f>
        <v>#N/A</v>
      </c>
      <c r="MY173" s="21" t="e">
        <f>EXP(-LN(2)/25)*MY172+(1-EXP(-LN(2)/25))/(LN(2)/25)*Calculateur!MT173*Calculateur!MV173*VLOOKUP('Données projet'!$B$25,Paramètres!$A$1:$I$89,3,0)*0.475*44/12</f>
        <v>#N/A</v>
      </c>
      <c r="MZ173" s="21" t="e">
        <f>EXP(-LN(2)/2)*MZ172+(1-EXP(-LN(2)/2))/(LN(2)/2)*MT173*MW173*VLOOKUP('Données projet'!$B$25,Paramètres!$A$1:$I$89,3,0)*0.475*44/12</f>
        <v>#N/A</v>
      </c>
      <c r="NA173" s="22" t="e">
        <f t="shared" si="274"/>
        <v>#N/A</v>
      </c>
      <c r="NB173" s="74">
        <f>('Scénario référence'!$F$8+'Scénario référence'!$F$9+'Scénario référence'!$B$17+'Scénario référence'!$B$9+'Scénario référence'!$B$10)*70+IF((45+25*(1-EXP(-0.0175*$A173)))&lt;70,'Scénario référence'!$B$16*(45+25*(1-EXP(-0.0175*$A173))),70*'Scénario référence'!$B$16)+IF((32+38*(1-EXP(-0.0175*$A173)))&lt;70,'Scénario référence'!$B$18*(32+38*(1-EXP(-0.0175*$A173))),70*'Scénario référence'!$B$18)</f>
        <v>70</v>
      </c>
      <c r="NC173" s="12">
        <f>IF($A173&gt;30,10,('Scénario référence'!$B$16+'Scénario référence'!$B$17+'Scénario référence'!$B$18+'Scénario référence'!$B$9+'Scénario référence'!$B$10)*$A173*10/30+('Scénario référence'!$F$8+'Scénario référence'!$F$9)*10)</f>
        <v>10</v>
      </c>
      <c r="ND173" s="12" t="e">
        <f>VLOOKUP($A173,'Données projet'!$A$486:$I$506,2,0)</f>
        <v>#N/A</v>
      </c>
      <c r="NE173" s="12" t="e">
        <f>VLOOKUP($A173,'Données projet'!$A$486:$I$506,9,0)</f>
        <v>#N/A</v>
      </c>
      <c r="NF173" s="12">
        <f t="array" ref="NF173">INDEX(NE:NE,MIN(IF(ISNUMBER(NE173:NE369),ROW(NE173:NE369),"")))</f>
        <v>0</v>
      </c>
      <c r="NG173" s="12">
        <f>IF('Données projet'!$A$486&gt;35,NG172+NF173-NO172,IF($A173&lt;'Données projet'!$A$486,$CQ$205^$A173,IF($A173='Données projet'!$A$486,'Données projet'!$B$486,NG172+NF173-NO172)))</f>
        <v>0</v>
      </c>
      <c r="NH173" s="17" t="e">
        <f>NG173*VLOOKUP('Données projet'!$B$26,Paramètres!$A$1:$I$89,3,0)*VLOOKUP('Données projet'!$B$26,Paramètres!$A$1:$I$89,5,0)</f>
        <v>#N/A</v>
      </c>
      <c r="NI173" s="13" t="e">
        <f t="shared" si="320"/>
        <v>#N/A</v>
      </c>
      <c r="NJ173" s="14" t="e">
        <f t="shared" si="275"/>
        <v>#N/A</v>
      </c>
      <c r="NK173" s="59" t="e">
        <f t="shared" si="276"/>
        <v>#N/A</v>
      </c>
      <c r="NL173" s="20" t="e">
        <f ca="1">AVERAGE(OFFSET($NK$3,0,0,'Données projet'!$E$26+1,1))-AVERAGE(OFFSET($H$3,0,0,'Données projet'!$E$26+1,1))</f>
        <v>#N/A</v>
      </c>
      <c r="NM173" s="59" t="e">
        <f t="shared" si="321"/>
        <v>#N/A</v>
      </c>
      <c r="NN173" s="15">
        <f>IF(ISNA(VLOOKUP($A173,'Données projet'!$A$486:$I$506,3,0)),0,VLOOKUP($A173,'Données projet'!$A$486:$I$506,3,0))</f>
        <v>0</v>
      </c>
      <c r="NO173" s="15">
        <f>IF(ISNA(VLOOKUP($A173,'Données projet'!$A$486:$I$506,4,0)),0,VLOOKUP($A173,'Données projet'!$A$486:$I$506,4,0))</f>
        <v>0</v>
      </c>
      <c r="NP173" s="16">
        <f>IF(ISNA(VLOOKUP($A173,'Données projet'!$A$486:$I$506,5,0)),0%,VLOOKUP($A173,'Données projet'!$A$486:$I$506,5,0)*VLOOKUP('Données projet'!$B$26,Paramètres!$A$1:$I$89,7,0))</f>
        <v>0</v>
      </c>
      <c r="NQ173" s="16">
        <f>IF(ISNA(VLOOKUP($A173,'Données projet'!$A$486:$I$506,6,0)),0%,VLOOKUP($A173,'Données projet'!$A$486:$I$506,6,0)*VLOOKUP('Données projet'!$B$26,Paramètres!$A$1:$I$89,7,0))</f>
        <v>0</v>
      </c>
      <c r="NR173" s="16">
        <f>IF(ISNA(VLOOKUP($A173,'Données projet'!$A$486:$I$506,7,0)),0%,VLOOKUP($A173,'Données projet'!$A$486:$I$506,7,0))</f>
        <v>0</v>
      </c>
      <c r="NS173" s="21" t="e">
        <f>EXP(-LN(2)/35)*NS172+(1-EXP(-LN(2)/35))/(LN(2)/35)*NO173*NP173*VLOOKUP('Données projet'!$B$26,Paramètres!$A$1:$I$89,3,0)*0.475*44/12</f>
        <v>#N/A</v>
      </c>
      <c r="NT173" s="21" t="e">
        <f>EXP(-LN(2)/25)*NT172+(1-EXP(-LN(2)/25))/(LN(2)/25)*Calculateur!NO173*Calculateur!NQ173*VLOOKUP('Données projet'!$B$26,Paramètres!$A$1:$I$89,3,0)*0.475*44/12</f>
        <v>#N/A</v>
      </c>
      <c r="NU173" s="21" t="e">
        <f>EXP(-LN(2)/2)*NU172+(1-EXP(-LN(2)/2))/(LN(2)/2)*NO173*NR173*VLOOKUP('Données projet'!$B$26,Paramètres!$A$1:$I$89,3,0)*0.475*44/12</f>
        <v>#N/A</v>
      </c>
      <c r="NV173" s="22" t="e">
        <f t="shared" si="277"/>
        <v>#N/A</v>
      </c>
      <c r="NW173" s="74">
        <f>('Scénario référence'!$F$8+'Scénario référence'!$F$9+'Scénario référence'!$B$17+'Scénario référence'!$B$9+'Scénario référence'!$B$10)*70+IF((45+25*(1-EXP(-0.0175*$A173)))&lt;70,'Scénario référence'!$B$16*(45+25*(1-EXP(-0.0175*$A173))),70*'Scénario référence'!$B$16)+IF((32+38*(1-EXP(-0.0175*$A173)))&lt;70,'Scénario référence'!$B$18*(32+38*(1-EXP(-0.0175*$A173))),70*'Scénario référence'!$B$18)</f>
        <v>70</v>
      </c>
      <c r="NX173" s="12">
        <f>IF($A173&gt;30,10,('Scénario référence'!$B$16+'Scénario référence'!$B$17+'Scénario référence'!$B$18+'Scénario référence'!$B$9+'Scénario référence'!$B$10)*$A173*10/30+('Scénario référence'!$F$8+'Scénario référence'!$F$9)*10)</f>
        <v>10</v>
      </c>
      <c r="NY173" s="12" t="e">
        <f>VLOOKUP($A173,'Données projet'!$A$512:$I$532,2,0)</f>
        <v>#N/A</v>
      </c>
      <c r="NZ173" s="12" t="e">
        <f>VLOOKUP($A173,'Données projet'!$A$512:$I$532,9,0)</f>
        <v>#N/A</v>
      </c>
      <c r="OA173" s="12">
        <f t="array" ref="OA173">INDEX(NZ:NZ,MIN(IF(ISNUMBER(NZ173:NZ369),ROW(NZ173:NZ369),"")))</f>
        <v>0</v>
      </c>
      <c r="OB173" s="12">
        <f>IF('Données projet'!$A$512&gt;35,OB172+OA173-OJ172,IF($A173&lt;'Données projet'!$A$512,$CQ$205^$A173,IF($A173='Données projet'!$A$512,'Données projet'!$B$512,OB172+OA173-OJ172)))</f>
        <v>0</v>
      </c>
      <c r="OC173" s="17" t="e">
        <f>OB173*VLOOKUP('Données projet'!$B$27,Paramètres!$A$1:$I$89,3,0)*VLOOKUP('Données projet'!$B$27,Paramètres!$A$1:$I$89,5,0)</f>
        <v>#N/A</v>
      </c>
      <c r="OD173" s="13" t="e">
        <f t="shared" si="322"/>
        <v>#N/A</v>
      </c>
      <c r="OE173" s="14" t="e">
        <f t="shared" si="278"/>
        <v>#N/A</v>
      </c>
      <c r="OF173" s="59" t="e">
        <f t="shared" si="279"/>
        <v>#N/A</v>
      </c>
      <c r="OG173" s="20" t="e">
        <f ca="1">AVERAGE(OFFSET($OF$3,0,0,'Données projet'!$E$27+1,1))-AVERAGE(OFFSET($H$3,0,0,'Données projet'!$E$27+1,1))</f>
        <v>#N/A</v>
      </c>
      <c r="OH173" s="59" t="e">
        <f t="shared" si="323"/>
        <v>#N/A</v>
      </c>
      <c r="OI173" s="15">
        <f>IF(ISNA(VLOOKUP($A173,'Données projet'!$A$512:$I$532,3,0)),0,VLOOKUP($A173,'Données projet'!$A$512:$I$532,3,0))</f>
        <v>0</v>
      </c>
      <c r="OJ173" s="15">
        <f>IF(ISNA(VLOOKUP($A173,'Données projet'!$A$512:$I$532,4,0)),0,VLOOKUP($A173,'Données projet'!$A$512:$I$532,4,0))</f>
        <v>0</v>
      </c>
      <c r="OK173" s="16">
        <f>IF(ISNA(VLOOKUP($A173,'Données projet'!$A$512:$I$532,5,0)),0%,VLOOKUP($A173,'Données projet'!$A$512:$I$532,5,0)*VLOOKUP('Données projet'!$B$27,Paramètres!$A$1:$I$89,7,0))</f>
        <v>0</v>
      </c>
      <c r="OL173" s="16">
        <f>IF(ISNA(VLOOKUP($A173,'Données projet'!$A$512:$I$532,6,0)),0%,VLOOKUP($A173,'Données projet'!$A$512:$I$532,6,0)*VLOOKUP('Données projet'!$B$27,Paramètres!$A$1:$I$89,7,0))</f>
        <v>0</v>
      </c>
      <c r="OM173" s="16">
        <f>IF(ISNA(VLOOKUP($A173,'Données projet'!$A$512:$I$532,7,0)),0%,VLOOKUP($A173,'Données projet'!$A$512:$I$532,7,0))</f>
        <v>0</v>
      </c>
      <c r="ON173" s="21" t="e">
        <f>EXP(-LN(2)/35)*ON172+(1-EXP(-LN(2)/35))/(LN(2)/35)*OJ173*OK173*VLOOKUP('Données projet'!$B$27,Paramètres!$A$1:$I$89,3,0)*0.475*44/12</f>
        <v>#N/A</v>
      </c>
      <c r="OO173" s="21" t="e">
        <f>EXP(-LN(2)/25)*OO172+(1-EXP(-LN(2)/25))/(LN(2)/25)*Calculateur!OJ173*Calculateur!OL173*VLOOKUP('Données projet'!$B$27,Paramètres!$A$1:$I$89,3,0)*0.475*44/12</f>
        <v>#N/A</v>
      </c>
      <c r="OP173" s="21" t="e">
        <f>EXP(-LN(2)/2)*OP172+(1-EXP(-LN(2)/2))/(LN(2)/2)*OJ173*OM173*VLOOKUP('Données projet'!$B$27,Paramètres!$A$1:$I$89,3,0)*0.475*44/12</f>
        <v>#N/A</v>
      </c>
      <c r="OQ173" s="22" t="e">
        <f t="shared" si="280"/>
        <v>#N/A</v>
      </c>
      <c r="OR173" s="74">
        <f>('Scénario référence'!$F$8+'Scénario référence'!$F$9+'Scénario référence'!$B$17+'Scénario référence'!$B$9+'Scénario référence'!$B$10)*70+IF((45+25*(1-EXP(-0.0175*$A173)))&lt;70,'Scénario référence'!$B$16*(45+25*(1-EXP(-0.0175*$A173))),70*'Scénario référence'!$B$16)+IF((32+38*(1-EXP(-0.0175*$A173)))&lt;70,'Scénario référence'!$B$18*(32+38*(1-EXP(-0.0175*$A173))),70*'Scénario référence'!$B$18)</f>
        <v>70</v>
      </c>
      <c r="OS173" s="12">
        <f>IF($A173&gt;30,10,('Scénario référence'!$B$16+'Scénario référence'!$B$17+'Scénario référence'!$B$18+'Scénario référence'!$B$9+'Scénario référence'!$B$10)*$A173*10/30+('Scénario référence'!$F$8+'Scénario référence'!$F$9)*10)</f>
        <v>10</v>
      </c>
      <c r="OT173" s="12" t="e">
        <f>VLOOKUP($A173,'Données projet'!$A$538:$I$558,2,0)</f>
        <v>#N/A</v>
      </c>
      <c r="OU173" s="12" t="e">
        <f>VLOOKUP($A173,'Données projet'!$A$538:$I$558,9,0)</f>
        <v>#N/A</v>
      </c>
      <c r="OV173" s="12">
        <f t="array" ref="OV173">INDEX(OU:OU,MIN(IF(ISNUMBER(OU173:OU369),ROW(OU173:OU369),"")))</f>
        <v>0</v>
      </c>
      <c r="OW173" s="12">
        <f>IF('Données projet'!$A$538&gt;35,OW172+OV173-PE172,IF($A173&lt;'Données projet'!$A$538,$CQ$205^$A173,IF($A173='Données projet'!$A$538,'Données projet'!$B$538,OW172+OV173-PE172)))</f>
        <v>0</v>
      </c>
      <c r="OX173" s="17" t="e">
        <f>OW173*VLOOKUP('Données projet'!$B$28,Paramètres!$A$1:$I$89,3,0)*VLOOKUP('Données projet'!$B$28,Paramètres!$A$1:$I$89,5,0)</f>
        <v>#N/A</v>
      </c>
      <c r="OY173" s="13" t="e">
        <f t="shared" si="324"/>
        <v>#N/A</v>
      </c>
      <c r="OZ173" s="14" t="e">
        <f t="shared" si="281"/>
        <v>#N/A</v>
      </c>
      <c r="PA173" s="59" t="e">
        <f t="shared" si="282"/>
        <v>#N/A</v>
      </c>
      <c r="PB173" s="20" t="e">
        <f ca="1">AVERAGE(OFFSET($PA$3,0,0,'Données projet'!$E$28+1,1))-AVERAGE(OFFSET($H$3,0,0,'Données projet'!$E$28+1,1))</f>
        <v>#N/A</v>
      </c>
      <c r="PC173" s="59" t="e">
        <f t="shared" si="325"/>
        <v>#N/A</v>
      </c>
      <c r="PD173" s="15">
        <f>IF(ISNA(VLOOKUP($A173,'Données projet'!$A$538:$I$558,3,0)),0,VLOOKUP($A173,'Données projet'!$A$538:$I$558,3,0))</f>
        <v>0</v>
      </c>
      <c r="PE173" s="15">
        <f>IF(ISNA(VLOOKUP($A173,'Données projet'!$A$538:$I$558,4,0)),0,VLOOKUP($A173,'Données projet'!$A$538:$I$558,4,0))</f>
        <v>0</v>
      </c>
      <c r="PF173" s="16">
        <f>IF(ISNA(VLOOKUP($A173,'Données projet'!$A$538:$I$558,5,0)),0%,VLOOKUP($A173,'Données projet'!$A$538:$I$558,5,0)*VLOOKUP('Données projet'!$B$28,Paramètres!$A$1:$I$89,7,0))</f>
        <v>0</v>
      </c>
      <c r="PG173" s="16">
        <f>IF(ISNA(VLOOKUP($A173,'Données projet'!$A$538:$I$558,6,0)),0%,VLOOKUP($A173,'Données projet'!$A$538:$I$558,6,0)*VLOOKUP('Données projet'!$B$28,Paramètres!$A$1:$I$89,7,0))</f>
        <v>0</v>
      </c>
      <c r="PH173" s="16">
        <f>IF(ISNA(VLOOKUP($A173,'Données projet'!$A$538:$I$558,7,0)),0%,VLOOKUP($A173,'Données projet'!$A$538:$I$558,7,0))</f>
        <v>0</v>
      </c>
      <c r="PI173" s="21" t="e">
        <f>EXP(-LN(2)/35)*PI172+(1-EXP(-LN(2)/35))/(LN(2)/35)*PE173*PF173*VLOOKUP('Données projet'!$B$28,Paramètres!$A$1:$I$89,3,0)*0.475*44/12</f>
        <v>#N/A</v>
      </c>
      <c r="PJ173" s="21" t="e">
        <f>EXP(-LN(2)/25)*PJ172+(1-EXP(-LN(2)/25))/(LN(2)/25)*Calculateur!PE173*Calculateur!PG173*VLOOKUP('Données projet'!$B$28,Paramètres!$A$1:$I$89,3,0)*0.475*44/12</f>
        <v>#N/A</v>
      </c>
      <c r="PK173" s="21" t="e">
        <f>EXP(-LN(2)/2)*PK172+(1-EXP(-LN(2)/2))/(LN(2)/2)*PE173*PH173*VLOOKUP('Données projet'!$B$28,Paramètres!$A$1:$I$89,3,0)*0.475*44/12</f>
        <v>#N/A</v>
      </c>
      <c r="PL173" s="22" t="e">
        <f t="shared" si="283"/>
        <v>#N/A</v>
      </c>
    </row>
    <row r="174" spans="1:428" x14ac:dyDescent="0.35">
      <c r="A174" s="10">
        <f t="shared" si="326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285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225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projet'!$A$45:$I$65,2,0)</f>
        <v>#N/A</v>
      </c>
      <c r="L174" s="12" t="e">
        <f>VLOOKUP(A174,'Données projet'!$A$45:$I$65,9,0)</f>
        <v>#N/A</v>
      </c>
      <c r="M174" s="12">
        <f t="array" ref="M174">INDEX(L:L,MIN(IF(ISNUMBER(L174:L370),ROW(L174:L370),"")))</f>
        <v>0</v>
      </c>
      <c r="N174" s="13">
        <f>IF('Données projet'!$A$46&gt;35,N173+M174-V173,IF(A174&lt;'Données projet'!$A$46,$K$205^A174,IF(A174='Données projet'!$A$46,'Données projet'!$B$46,N173+M174-V173)))</f>
        <v>-1.1368683772161603E-13</v>
      </c>
      <c r="O174" s="13">
        <f>N174*VLOOKUP('Données projet'!$B$9,Paramètres!$A$1:$I$89,3,0)*VLOOKUP('Données projet'!$B$9,Paramètres!$A$1:$I$89,5,0)</f>
        <v>-6.3550942286383367E-14</v>
      </c>
      <c r="P174" s="13" t="e">
        <f t="shared" si="286"/>
        <v>#NUM!</v>
      </c>
      <c r="Q174" s="20" t="e">
        <f t="shared" si="327"/>
        <v>#NUM!</v>
      </c>
      <c r="R174" s="59" t="e">
        <f t="shared" si="224"/>
        <v>#NUM!</v>
      </c>
      <c r="S174" s="59">
        <f ca="1">AVERAGE(OFFSET($R$3,0,0,'Données projet'!$E$9+1,1))-AVERAGE(OFFSET($H$3,0,0,'Données projet'!$E$9+1,1))</f>
        <v>274.57619581652199</v>
      </c>
      <c r="T174" s="59">
        <f t="shared" si="287"/>
        <v>366.15117322598775</v>
      </c>
      <c r="U174" s="15">
        <f>IF(ISNA(VLOOKUP(A174,'Données projet'!$A$45:$I$65,3,0)),0,VLOOKUP(A174,'Données projet'!$A$45:$I$65,3,0))</f>
        <v>0</v>
      </c>
      <c r="V174" s="15">
        <f>IF(ISNA(VLOOKUP(A174,'Données projet'!$A$45:$I$65,4,0)),0,VLOOKUP(A174,'Données projet'!$A$45:$I$65,4,0))</f>
        <v>0</v>
      </c>
      <c r="W174" s="16">
        <f>IF(ISNA(VLOOKUP(A174,'Données projet'!$A$45:$I$65,5,0)),0%,VLOOKUP(A174,'Données projet'!$A$45:$I$65,5,0)*VLOOKUP('Données projet'!$B$9,Paramètres!$A$1:$I$89,7,0))</f>
        <v>0</v>
      </c>
      <c r="X174" s="16">
        <f>IF(ISNA(VLOOKUP(A174,'Données projet'!$A$45:$I$65,6,0)),0%,VLOOKUP(A174,'Données projet'!$A$45:$I$65,6,0)*VLOOKUP('Données projet'!$B$9,Paramètres!$A$1:$I$89,7,0))</f>
        <v>0</v>
      </c>
      <c r="Y174" s="16">
        <f>IF(ISNA(VLOOKUP(A174,'Données projet'!$A$45:$I$65,7,0)),0%,VLOOKUP(A174,'Données projet'!$A$45:$I$65,7,0))</f>
        <v>0</v>
      </c>
      <c r="Z174" s="21">
        <f>EXP(-LN(2)/35)*Z173+(1-EXP(-LN(2)/35))/(LN(2)/35)*V174*W174*VLOOKUP('Données projet'!$B$9,Paramètres!$A$1:$I$89,3,0)*0.475*44/12</f>
        <v>22.786093706376796</v>
      </c>
      <c r="AA174" s="21">
        <f>EXP(-LN(2)/25)*AA173+(1-EXP(-LN(2)/25))/(LN(2)/25)*Calculateur!V174*Calculateur!X174*VLOOKUP('Données projet'!$B$9,Paramètres!$A$1:$I$89,3,0)*0.475*44/12</f>
        <v>2.3104746533998068</v>
      </c>
      <c r="AB174" s="21">
        <f>EXP(-LN(2)/2)*AB173+(1-EXP(-LN(2)/2))/(LN(2)/2)*V174*Y174*VLOOKUP('Données projet'!$B$9,Paramètres!$A$1:$I$89,3,0)*0.475*44/12</f>
        <v>1.1852083205182882E-16</v>
      </c>
      <c r="AC174" s="22">
        <f t="shared" si="328"/>
        <v>25.096568359776604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projet'!$A$71:$I$91,2,0)</f>
        <v>#N/A</v>
      </c>
      <c r="AG174" s="12" t="e">
        <f>VLOOKUP(A174,'Données projet'!$A$71:$I$91,9,0)</f>
        <v>#N/A</v>
      </c>
      <c r="AH174" s="12">
        <f t="array" ref="AH174">INDEX(AG:AG,MIN(IF(ISNUMBER(AG174:AG370),ROW(AG174:AG370),"")))</f>
        <v>0</v>
      </c>
      <c r="AI174" s="13">
        <f>IF('Données projet'!$A$72&gt;35,AI173+AH174-AQ173,IF(A174&lt;'Données projet'!$A$72,$AF$205^A174,IF(A174='Données projet'!$A$72,'Données projet'!$B$72,AI173+AH174-AQ173)))</f>
        <v>5.6843418860808015E-13</v>
      </c>
      <c r="AJ174" s="13">
        <f>AI174*VLOOKUP('Données projet'!$B$10,Paramètres!$A$1:$I$89,3,0)*VLOOKUP('Données projet'!$B$10,Paramètres!$A$1:$I$89,5,0)</f>
        <v>5.1431925385259092E-13</v>
      </c>
      <c r="AK174" s="13">
        <f t="shared" si="329"/>
        <v>6.3855359115685756E-12</v>
      </c>
      <c r="AL174" s="20">
        <f t="shared" si="330"/>
        <v>1.2017247746441865E-11</v>
      </c>
      <c r="AM174" s="59">
        <f t="shared" si="228"/>
        <v>293.33333333334531</v>
      </c>
      <c r="AN174" s="59">
        <f ca="1">AVERAGE(OFFSET($AM$3,0,0,'Données projet'!$E$10+1,1))-AVERAGE(OFFSET($H$3,0,0,'Données projet'!$E$10+1,1))</f>
        <v>270.87836509222456</v>
      </c>
      <c r="AO174" s="59">
        <f t="shared" si="289"/>
        <v>205.24998237949734</v>
      </c>
      <c r="AP174" s="15">
        <f>IF(ISNA(VLOOKUP(A174,'Données projet'!$A$71:$I$91,3,0)),0,VLOOKUP(A174,'Données projet'!$A$71:$I$91,3,0))</f>
        <v>0</v>
      </c>
      <c r="AQ174" s="15">
        <f>IF(ISNA(VLOOKUP(A174,'Données projet'!$A$71:$I$91,4,0)),0,VLOOKUP(A174,'Données projet'!$A$71:$I$91,4,0))</f>
        <v>0</v>
      </c>
      <c r="AR174" s="16">
        <f>IF(ISNA(VLOOKUP(A174,'Données projet'!$A$71:$I$91,5,0)),0%,VLOOKUP(A174,'Données projet'!$A$71:$I$91,5,0)*VLOOKUP('Données projet'!$B$10,Paramètres!$A$1:$I$89,7,0))</f>
        <v>0</v>
      </c>
      <c r="AS174" s="16">
        <f>IF(ISNA(VLOOKUP(A174,'Données projet'!$A$71:$I$91,6,0)),0%,VLOOKUP(A174,'Données projet'!$A$71:$I$91,6,0)*VLOOKUP('Données projet'!$B$10,Paramètres!$A$1:$I$89,7,0))</f>
        <v>0</v>
      </c>
      <c r="AT174" s="16">
        <f>IF(ISNA(VLOOKUP(A174,'Données projet'!$A$71:$I$91,7,0)),0%,VLOOKUP(A174,'Données projet'!$A$71:$I$91,7,0))</f>
        <v>0</v>
      </c>
      <c r="AU174" s="21">
        <f>EXP(-LN(2)/35)*AU173+(1-EXP(-LN(2)/35))/(LN(2)/35)*AQ174*AR174*VLOOKUP('Données projet'!$B$10,Paramètres!$A$1:$I$89,3,0)*0.475*44/12</f>
        <v>77.432951789603237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331"/>
        <v>77.432951789603237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projet'!$A$97:$I$117,2,0)</f>
        <v>#N/A</v>
      </c>
      <c r="BB174" s="12" t="e">
        <f>VLOOKUP(A174,'Données projet'!$A$97:$I$117,9,0)</f>
        <v>#N/A</v>
      </c>
      <c r="BC174" s="12">
        <f t="array" ref="BC174">INDEX(BB:BB,MIN(IF(ISNUMBER(BB174:BB370),ROW(BB174:BB370),"")))</f>
        <v>0</v>
      </c>
      <c r="BD174" s="12">
        <f>IF('Données projet'!$A$98&gt;35,BD173+BC174-BL173,IF(A174&lt;'Données projet'!$A$98,$BA$205^A174,IF(A174='Données projet'!$A$98,'Données projet'!$B$98,BD173+BC174-BL173)))</f>
        <v>-1.1368683772161603E-13</v>
      </c>
      <c r="BE174" s="13">
        <f>BD174*VLOOKUP('Données projet'!$B$11,Paramètres!$A$1:$I$89,3,0)*VLOOKUP('Données projet'!$B$11,Paramètres!$A$1:$I$89,5,0)</f>
        <v>-5.0249582272954292E-14</v>
      </c>
      <c r="BF174" s="13" t="e">
        <f t="shared" si="332"/>
        <v>#NUM!</v>
      </c>
      <c r="BG174" s="20" t="e">
        <f t="shared" si="333"/>
        <v>#NUM!</v>
      </c>
      <c r="BH174" s="59" t="e">
        <f t="shared" si="231"/>
        <v>#NUM!</v>
      </c>
      <c r="BI174" s="59">
        <f ca="1">AVERAGE(OFFSET($BH$3,0,0,'Données projet'!$E$11+1,1))-AVERAGE(OFFSET($H$3,0,0,'Données projet'!$E$11+1,1))</f>
        <v>211.31057120485542</v>
      </c>
      <c r="BJ174" s="59">
        <f t="shared" si="291"/>
        <v>283.33292006714777</v>
      </c>
      <c r="BK174" s="15">
        <f>IF(ISNA(VLOOKUP(A174,'Données projet'!$A$97:$I$117,3,0)),0,VLOOKUP(A174,'Données projet'!$A$97:$I$117,3,0))</f>
        <v>0</v>
      </c>
      <c r="BL174" s="15">
        <f>IF(ISNA(VLOOKUP(A174,'Données projet'!$A$97:$I$117,4,0)),0,VLOOKUP(A174,'Données projet'!$A$97:$I$117,4,0))</f>
        <v>0</v>
      </c>
      <c r="BM174" s="16">
        <f>IF(ISNA(VLOOKUP(A174,'Données projet'!$A$97:$I$117,5,0)),0%,VLOOKUP(A174,'Données projet'!$A$97:$I$117,5,0)*VLOOKUP('Données projet'!$B$11,Paramètres!$A$1:$I$89,7,0))</f>
        <v>0</v>
      </c>
      <c r="BN174" s="16">
        <f>IF(ISNA(VLOOKUP(A174,'Données projet'!$A$97:$I$117,6,0)),0%,VLOOKUP(A174,'Données projet'!$A$97:$I$117,6,0)*VLOOKUP('Données projet'!$B$11,Paramètres!$A$1:$I$89,7,0))</f>
        <v>0</v>
      </c>
      <c r="BO174" s="16">
        <f>IF(ISNA(VLOOKUP(A174,'Données projet'!$A$97:$I$117,7,0)),0%,VLOOKUP(A174,'Données projet'!$A$97:$I$117,7,0))</f>
        <v>0</v>
      </c>
      <c r="BP174" s="21">
        <f>EXP(-LN(2)/35)*BP173+(1-EXP(-LN(2)/35))/(LN(2)/35)*BL174*BM174*VLOOKUP('Données projet'!$B$11,Paramètres!$A$1:$I$89,3,0)*0.475*44/12</f>
        <v>18.016911302716547</v>
      </c>
      <c r="BQ174" s="21">
        <f>EXP(-LN(2)/25)*BQ173+(1-EXP(-LN(2)/25))/(LN(2)/25)*Calculateur!BL174*Calculateur!BN174*VLOOKUP('Données projet'!$B$11,Paramètres!$A$1:$I$89,3,0)*0.475*44/12</f>
        <v>1.8268869352463579</v>
      </c>
      <c r="BR174" s="21">
        <f>EXP(-LN(2)/2)*BR173+(1-EXP(-LN(2)/2))/(LN(2)/2)*BL174*BO174*VLOOKUP('Données projet'!$B$11,Paramètres!$A$1:$I$89,3,0)*0.475*44/12</f>
        <v>9.3714146273539046E-17</v>
      </c>
      <c r="BS174" s="22">
        <f t="shared" si="334"/>
        <v>19.843798237962904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projet'!$A$123:$I$143,2,0)</f>
        <v>#N/A</v>
      </c>
      <c r="BW174" s="12" t="e">
        <f>VLOOKUP(A174,'Données projet'!$A$123:$I$143,9,0)</f>
        <v>#N/A</v>
      </c>
      <c r="BX174" s="12">
        <f t="array" ref="BX174">INDEX(BW:BW,MIN(IF(ISNUMBER(BW174:BW370),ROW(BW174:BW370),"")))</f>
        <v>0</v>
      </c>
      <c r="BY174" s="12">
        <f>IF('Données projet'!$A$124&gt;35,BY173+BX174-CG173,IF(A174&lt;'Données projet'!$A$124,$BV$205^A174,IF(A174='Données projet'!$A$124,'Données projet'!$B$124,BY173+BX174-CG173)))</f>
        <v>0</v>
      </c>
      <c r="BZ174" s="13">
        <f>BY174*VLOOKUP('Données projet'!$B$12,Paramètres!$A$1:$I$89,3,0)*VLOOKUP('Données projet'!$B$12,Paramètres!$A$1:$I$89,5,0)</f>
        <v>0</v>
      </c>
      <c r="CA174" s="13" t="e">
        <f t="shared" si="335"/>
        <v>#NUM!</v>
      </c>
      <c r="CB174" s="20" t="e">
        <f t="shared" si="336"/>
        <v>#NUM!</v>
      </c>
      <c r="CC174" s="59" t="e">
        <f t="shared" si="234"/>
        <v>#NUM!</v>
      </c>
      <c r="CD174" s="59">
        <f ca="1">AVERAGE(OFFSET($CC$3,0,0,'Données projet'!$E$12+1,1))-AVERAGE(OFFSET($H$3,0,0,'Données projet'!$E$12+1,1))</f>
        <v>322.93502595881938</v>
      </c>
      <c r="CE174" s="59">
        <f t="shared" si="293"/>
        <v>302.67072119588164</v>
      </c>
      <c r="CF174" s="15">
        <f>IF(ISNA(VLOOKUP(A174,'Données projet'!$A$123:$I$143,3,0)),0,VLOOKUP(A174,'Données projet'!$A$123:$I$143,3,0))</f>
        <v>0</v>
      </c>
      <c r="CG174" s="15">
        <f>IF(ISNA(VLOOKUP(A174,'Données projet'!$A$123:$I$143,4,0)),0,VLOOKUP(A174,'Données projet'!$A$123:$I$143,4,0))</f>
        <v>0</v>
      </c>
      <c r="CH174" s="16">
        <f>IF(ISNA(VLOOKUP(A174,'Données projet'!$A$123:$I$143,5,0)),0%,VLOOKUP(A174,'Données projet'!$A$123:$I$143,5,0)*VLOOKUP('Données projet'!$B$12,Paramètres!$A$1:$I$89,7,0))</f>
        <v>0</v>
      </c>
      <c r="CI174" s="16">
        <f>IF(ISNA(VLOOKUP(A174,'Données projet'!$A$123:$I$143,6,0)),0%,VLOOKUP(A174,'Données projet'!$A$123:$I$143,6,0)*VLOOKUP('Données projet'!$B$12,Paramètres!$A$1:$I$89,7,0))</f>
        <v>0</v>
      </c>
      <c r="CJ174" s="16">
        <f>IF(ISNA(VLOOKUP(A174,'Données projet'!$A$123:$I$143,7,0)),0%,VLOOKUP(A174,'Données projet'!$A$123:$I$143,7,0))</f>
        <v>0</v>
      </c>
      <c r="CK174" s="21">
        <f>EXP(-LN(2)/35)*CK173+(1-EXP(-LN(2)/35))/(LN(2)/35)*CG174*CH174*VLOOKUP('Données projet'!$B$12,Paramètres!$A$1:$I$89,3,0)*0.475*44/12</f>
        <v>28.705293207395378</v>
      </c>
      <c r="CL174" s="21">
        <f>EXP(-LN(2)/25)*CL173+(1-EXP(-LN(2)/25))/(LN(2)/25)*Calculateur!CG174*Calculateur!CI174*VLOOKUP('Données projet'!$B$12,Paramètres!$A$1:$I$89,3,0)*0.475*44/12</f>
        <v>5.8471435305759378</v>
      </c>
      <c r="CM174" s="21">
        <f>EXP(-LN(2)/2)*CM173+(1-EXP(-LN(2)/2))/(LN(2)/2)*CG174*CJ174*VLOOKUP('Données projet'!$B$12,Paramètres!$A$1:$I$89,3,0)*0.475*44/12</f>
        <v>0</v>
      </c>
      <c r="CN174" s="22">
        <f t="shared" si="337"/>
        <v>34.55243673797132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projet'!$A$149:$I$169,2,0)</f>
        <v>#N/A</v>
      </c>
      <c r="CR174" s="12" t="e">
        <f>VLOOKUP(A174,'Données projet'!$A$149:$I$169,9,0)</f>
        <v>#N/A</v>
      </c>
      <c r="CS174" s="12">
        <f t="array" ref="CS174">INDEX(CR:CR,MIN(IF(ISNUMBER(CR174:CR370),ROW(CR174:CR370),"")))</f>
        <v>0</v>
      </c>
      <c r="CT174" s="12">
        <f>IF('Données projet'!$A$150&gt;35,CT173+CS174-DB173,IF(A174&lt;'Données projet'!$A$150,$CQ$205^A174,IF(A174='Données projet'!$A$150,'Données projet'!$B$150,CT173+CS174-DB173)))</f>
        <v>-4.5474735088646412E-13</v>
      </c>
      <c r="CU174" s="17">
        <f>CT174*VLOOKUP('Données projet'!$B$13,Paramètres!$A$1:$I$89,3,0)*VLOOKUP('Données projet'!$B$13,Paramètres!$A$1:$I$89,5,0)</f>
        <v>-4.6111381379887462E-13</v>
      </c>
      <c r="CV174" s="13" t="e">
        <f t="shared" si="338"/>
        <v>#NUM!</v>
      </c>
      <c r="CW174" s="20" t="e">
        <f t="shared" si="339"/>
        <v>#NUM!</v>
      </c>
      <c r="CX174" s="59" t="e">
        <f t="shared" si="237"/>
        <v>#NUM!</v>
      </c>
      <c r="CY174" s="59">
        <f ca="1">AVERAGE(OFFSET($CX$3,0,0,'Données projet'!$E$13+1,1))-AVERAGE(OFFSET($H$3,0,0,'Données projet'!$E$13+1,1))</f>
        <v>250.31277422753283</v>
      </c>
      <c r="CZ174" s="59">
        <f t="shared" si="295"/>
        <v>159.20429420478047</v>
      </c>
      <c r="DA174" s="15">
        <f>IF(ISNA(VLOOKUP(A174,'Données projet'!$A$149:$I$169,3,0)),0,VLOOKUP(A174,'Données projet'!$A$149:$I$169,3,0))</f>
        <v>0</v>
      </c>
      <c r="DB174" s="15">
        <f>IF(ISNA(VLOOKUP(A174,'Données projet'!$A$149:$I$169,4,0)),0,VLOOKUP(A174,'Données projet'!$A$149:$I$169,4,0))</f>
        <v>0</v>
      </c>
      <c r="DC174" s="16">
        <f>IF(ISNA(VLOOKUP(A174,'Données projet'!$A$149:$I$169,5,0)),0%,VLOOKUP(A174,'Données projet'!$A$149:$I$169,5,0)*VLOOKUP('Données projet'!$B$13,Paramètres!$A$1:$I$89,7,0))</f>
        <v>0</v>
      </c>
      <c r="DD174" s="16">
        <f>IF(ISNA(VLOOKUP(A174,'Données projet'!$A$149:$I$169,6,0)),0%,VLOOKUP(A174,'Données projet'!$A$149:$I$169,6,0)*VLOOKUP('Données projet'!$B$13,Paramètres!$A$1:$I$89,7,0))</f>
        <v>0</v>
      </c>
      <c r="DE174" s="16">
        <f>IF(ISNA(VLOOKUP(A174,'Données projet'!$A$149:$I$169,7,0)),0%,VLOOKUP(A174,'Données projet'!$A$149:$I$169,7,0))</f>
        <v>0</v>
      </c>
      <c r="DF174" s="21">
        <f>EXP(-LN(2)/35)*DF173+(1-EXP(-LN(2)/35))/(LN(2)/35)*DB174*DC174*VLOOKUP('Données projet'!$B$13,Paramètres!$A$1:$I$89,3,0)*0.475*44/12</f>
        <v>130.67504710346697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340"/>
        <v>130.67504710346697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projet'!$A$175:$I$195,2,0)</f>
        <v>#N/A</v>
      </c>
      <c r="DM174" s="12" t="e">
        <f>VLOOKUP(A174,'Données projet'!$A$175:$I$195,9,0)</f>
        <v>#N/A</v>
      </c>
      <c r="DN174" s="12">
        <f t="array" ref="DN174">INDEX(DM:DM,MIN(IF(ISNUMBER(DM174:DM370),ROW(DM174:DM370),"")))</f>
        <v>0</v>
      </c>
      <c r="DO174" s="12">
        <f>IF('Données projet'!$A$176&gt;35,DO173+DN174-DW173,IF(A174&lt;'Données projet'!$A$176,$DL$205^A174,IF(A174='Données projet'!$A$176,'Données projet'!$B$176,DO173+DN174-DW173)))</f>
        <v>-2.8421709430404007E-13</v>
      </c>
      <c r="DP174" s="17">
        <f>DO174*VLOOKUP('Données projet'!$B$14,Paramètres!$A$1:$I$89,3,0)*VLOOKUP('Données projet'!$B$14,Paramètres!$A$1:$I$89,5,0)</f>
        <v>-2.0838797354372215E-13</v>
      </c>
      <c r="DQ174" s="13" t="e">
        <f t="shared" si="341"/>
        <v>#NUM!</v>
      </c>
      <c r="DR174" s="20" t="e">
        <f t="shared" si="342"/>
        <v>#NUM!</v>
      </c>
      <c r="DS174" s="59" t="e">
        <f t="shared" si="240"/>
        <v>#NUM!</v>
      </c>
      <c r="DT174" s="59">
        <f ca="1">AVERAGE(OFFSET($DS$3,0,0,'Données projet'!$E$14+1,1))-AVERAGE(OFFSET($H$3,0,0,'Données projet'!$E$14+1,1))</f>
        <v>296.91321813251051</v>
      </c>
      <c r="DU174" s="59">
        <f t="shared" si="297"/>
        <v>291.0718079639509</v>
      </c>
      <c r="DV174" s="15">
        <f>IF(ISNA(VLOOKUP(A174,'Données projet'!$A$175:$I$195,3,0)),0,VLOOKUP(A174,'Données projet'!$A$175:$I$195,3,0))</f>
        <v>0</v>
      </c>
      <c r="DW174" s="15">
        <f>IF(ISNA(VLOOKUP(A174,'Données projet'!$A$175:$I$195,4,0)),0,VLOOKUP(A174,'Données projet'!$A$175:$I$195,4,0))</f>
        <v>0</v>
      </c>
      <c r="DX174" s="16">
        <f>IF(ISNA(VLOOKUP(A174,'Données projet'!$A$175:$I$195,5,0)),0%,VLOOKUP(A174,'Données projet'!$A$175:$I$195,5,0)*VLOOKUP('Données projet'!$B$14,Paramètres!$A$1:$I$89,7,0))</f>
        <v>0</v>
      </c>
      <c r="DY174" s="16">
        <f>IF(ISNA(VLOOKUP(A174,'Données projet'!$A$175:$I$195,6,0)),0%,VLOOKUP(A174,'Données projet'!$A$175:$I$195,6,0)*VLOOKUP('Données projet'!$B$14,Paramètres!$A$1:$I$89,7,0))</f>
        <v>0</v>
      </c>
      <c r="DZ174" s="16">
        <f>IF(ISNA(VLOOKUP(A174,'Données projet'!$A$175:$I$195,7,0)),0%,VLOOKUP(A174,'Données projet'!$A$175:$I$195,7,0))</f>
        <v>0</v>
      </c>
      <c r="EA174" s="21">
        <f>EXP(-LN(2)/35)*EA173+(1-EXP(-LN(2)/35))/(LN(2)/35)*DW174*DX174*VLOOKUP('Données projet'!$B$14,Paramètres!$A$1:$I$89,3,0)*0.475*44/12</f>
        <v>28.609961695857606</v>
      </c>
      <c r="EB174" s="21">
        <f>EXP(-LN(2)/25)*EB173+(1-EXP(-LN(2)/25))/(LN(2)/25)*Calculateur!DW174*Calculateur!DY174*VLOOKUP('Données projet'!$B$14,Paramètres!$A$1:$I$89,3,0)*0.475*44/12</f>
        <v>0.42953646679719337</v>
      </c>
      <c r="EC174" s="21">
        <f>EXP(-LN(2)/2)*EC173+(1-EXP(-LN(2)/2))/(LN(2)/2)*DW174*DZ174*VLOOKUP('Données projet'!$B$14,Paramètres!$A$1:$I$89,3,0)*0.475*44/12</f>
        <v>0</v>
      </c>
      <c r="ED174" s="22">
        <f t="shared" si="343"/>
        <v>29.039498162654798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projet'!$A$201:$I$221,2,0)</f>
        <v>#N/A</v>
      </c>
      <c r="EH174" s="12" t="e">
        <f>VLOOKUP(A174,'Données projet'!$A$201:$I$221,9,0)</f>
        <v>#N/A</v>
      </c>
      <c r="EI174" s="12">
        <f t="array" ref="EI174">INDEX(EH:EH,MIN(IF(ISNUMBER(EH174:EH370),ROW(EH174:EH370),"")))</f>
        <v>0</v>
      </c>
      <c r="EJ174" s="12">
        <f>IF('Données projet'!$A$202&gt;35,EJ173+EI174-ER173,IF(A174&lt;'Données projet'!$A$202,$EG$205^A174,IF(A174='Données projet'!$A$202,'Données projet'!$B$202,EJ173+EI174-ER173)))</f>
        <v>5.1159076974727213E-13</v>
      </c>
      <c r="EK174" s="17">
        <f>EJ174*VLOOKUP('Données projet'!$B$15,Paramètres!$A$1:$I$89,3,0)*VLOOKUP('Données projet'!$B$15,Paramètres!$A$1:$I$89,5,0)</f>
        <v>2.3942448024172334E-13</v>
      </c>
      <c r="EL174" s="13">
        <f t="shared" si="344"/>
        <v>3.2492669905861755E-12</v>
      </c>
      <c r="EM174" s="20">
        <f t="shared" si="345"/>
        <v>6.0761376450252565E-12</v>
      </c>
      <c r="EN174" s="59">
        <f t="shared" si="243"/>
        <v>293.3333333333394</v>
      </c>
      <c r="EO174" s="59">
        <f ca="1">AVERAGE(OFFSET($EN$3,0,0,'Données projet'!$E$15+1,1))-AVERAGE(OFFSET($H$3,0,0,'Données projet'!$E$15+1,1))</f>
        <v>147.64256291235483</v>
      </c>
      <c r="EP174" s="59">
        <f t="shared" si="299"/>
        <v>70.859031694091868</v>
      </c>
      <c r="EQ174" s="15">
        <f>IF(ISNA(VLOOKUP(A174,'Données projet'!$A$201:$I$221,3,0)),0,VLOOKUP(A174,'Données projet'!$A$201:$I$221,3,0))</f>
        <v>0</v>
      </c>
      <c r="ER174" s="15">
        <f>IF(ISNA(VLOOKUP(A174,'Données projet'!$A$201:$I$221,4,0)),0,VLOOKUP(A174,'Données projet'!$A$201:$I$221,4,0))</f>
        <v>0</v>
      </c>
      <c r="ES174" s="16">
        <f>IF(ISNA(VLOOKUP(A174,'Données projet'!$A$201:$I$221,5,0)),0%,VLOOKUP(A174,'Données projet'!$A$201:$I$221,5,0)*VLOOKUP('Données projet'!$B$15,Paramètres!$A$1:$I$89,7,0))</f>
        <v>0</v>
      </c>
      <c r="ET174" s="16">
        <f>IF(ISNA(VLOOKUP(A174,'Données projet'!$A$201:$I$221,6,0)),0%,VLOOKUP(A174,'Données projet'!$A$201:$I$221,6,0)*VLOOKUP('Données projet'!$B$15,Paramètres!$A$1:$I$89,7,0))</f>
        <v>0</v>
      </c>
      <c r="EU174" s="16">
        <f>IF(ISNA(VLOOKUP(A174,'Données projet'!$A$201:$I$221,7,0)),0%,VLOOKUP(A174,'Données projet'!$A$201:$I$221,7,0))</f>
        <v>0</v>
      </c>
      <c r="EV174" s="21">
        <f>EXP(-LN(2)/35)*EV173+(1-EXP(-LN(2)/35))/(LN(2)/35)*ER174*ES174*VLOOKUP('Données projet'!$B$15,Paramètres!$A$1:$I$89,3,0)*0.475*44/12</f>
        <v>39.167488535861509</v>
      </c>
      <c r="EW174" s="21">
        <f>EXP(-LN(2)/25)*EW173+(1-EXP(-LN(2)/25))/(LN(2)/25)*Calculateur!ER174*Calculateur!ET174*VLOOKUP('Données projet'!$B$15,Paramètres!$A$1:$I$89,3,0)*0.475*44/12</f>
        <v>5.9593857261348591</v>
      </c>
      <c r="EX174" s="21">
        <f>EXP(-LN(2)/2)*EX173+(1-EXP(-LN(2)/2))/(LN(2)/2)*ER174*EU174*VLOOKUP('Données projet'!$B$15,Paramètres!$A$1:$I$89,3,0)*0.475*44/12</f>
        <v>8.5442742913557955E-9</v>
      </c>
      <c r="EY174" s="22">
        <f t="shared" si="346"/>
        <v>45.126874270540647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projet'!$A$227:$I$247,2,0)</f>
        <v>#N/A</v>
      </c>
      <c r="FC174" s="12" t="e">
        <f>VLOOKUP(A174,'Données projet'!$A$227:$I$247,9,0)</f>
        <v>#N/A</v>
      </c>
      <c r="FD174" s="12">
        <f t="array" ref="FD174">INDEX(FC:FC,MIN(IF(ISNUMBER(FC174:FC370),ROW(FC174:FC370),"")))</f>
        <v>0</v>
      </c>
      <c r="FE174" s="12">
        <f>IF('Données projet'!$A$228&gt;35,FE173+FD174-FM173,IF(A174&lt;'Données projet'!$A$228,$FB$205^A174,IF(A174='Données projet'!$A$228,'Données projet'!$B$228,FE173+FD174-FM173)))</f>
        <v>8.5265128291212022E-14</v>
      </c>
      <c r="FF174" s="17">
        <f>FE174*VLOOKUP('Données projet'!$B$16,Paramètres!$A$1:$I$89,3,0)*VLOOKUP('Données projet'!$B$16,Paramètres!$A$1:$I$89,5,0)</f>
        <v>8.9119112089974823E-14</v>
      </c>
      <c r="FG174" s="13">
        <f t="shared" si="347"/>
        <v>1.3568952080113142E-12</v>
      </c>
      <c r="FH174" s="20">
        <f t="shared" si="348"/>
        <v>2.5184749408430782E-12</v>
      </c>
      <c r="FI174" s="59">
        <f t="shared" si="246"/>
        <v>293.33333333333582</v>
      </c>
      <c r="FJ174" s="59">
        <f ca="1">AVERAGE(OFFSET($FI$3,0,0,'Données projet'!$E$16+1,1))-AVERAGE(OFFSET($H$3,0,0,'Données projet'!$E$16+1,1))</f>
        <v>259.03906550253788</v>
      </c>
      <c r="FK174" s="59">
        <f t="shared" si="301"/>
        <v>235.54542903570831</v>
      </c>
      <c r="FL174" s="15">
        <f>IF(ISNA(VLOOKUP(A174,'Données projet'!$A$227:$I$247,3,0)),0,VLOOKUP(A174,'Données projet'!$A$227:$I$247,3,0))</f>
        <v>0</v>
      </c>
      <c r="FM174" s="15">
        <f>IF(ISNA(VLOOKUP(A174,'Données projet'!$A$227:$I$247,4,0)),0,VLOOKUP(A174,'Données projet'!$A$227:$I$247,4,0))</f>
        <v>0</v>
      </c>
      <c r="FN174" s="16">
        <f>IF(ISNA(VLOOKUP(A174,'Données projet'!$A$227:$I$247,5,0)),0%,VLOOKUP(A174,'Données projet'!$A$227:$I$247,5,0)*VLOOKUP('Données projet'!$B$16,Paramètres!$A$1:$I$89,7,0))</f>
        <v>0</v>
      </c>
      <c r="FO174" s="16">
        <f>IF(ISNA(VLOOKUP(A174,'Données projet'!$A$227:$I$247,6,0)),0%,VLOOKUP(A174,'Données projet'!$A$227:$I$247,6,0)*VLOOKUP('Données projet'!$B$16,Paramètres!$A$1:$I$89,7,0))</f>
        <v>0</v>
      </c>
      <c r="FP174" s="16">
        <f>IF(ISNA(VLOOKUP(A174,'Données projet'!$A$227:$I$247,7,0)),0%,VLOOKUP(A174,'Données projet'!$A$227:$I$247,7,0))</f>
        <v>0</v>
      </c>
      <c r="FQ174" s="21">
        <f>EXP(-LN(2)/35)*FQ173+(1-EXP(-LN(2)/35))/(LN(2)/35)*FM174*FN174*VLOOKUP('Données projet'!$B$16,Paramètres!$A$1:$I$89,3,0)*0.475*44/12</f>
        <v>17.287464988751804</v>
      </c>
      <c r="FR174" s="21">
        <f>EXP(-LN(2)/25)*FR173+(1-EXP(-LN(2)/25))/(LN(2)/25)*Calculateur!FM174*Calculateur!FO174*VLOOKUP('Données projet'!$B$16,Paramètres!$A$1:$I$89,3,0)*0.475*44/12</f>
        <v>8.1981759152714595</v>
      </c>
      <c r="FS174" s="21">
        <f>EXP(-LN(2)/2)*FS173+(1-EXP(-LN(2)/2))/(LN(2)/2)*FM174*FP174*VLOOKUP('Données projet'!$B$16,Paramètres!$A$1:$I$89,3,0)*0.475*44/12</f>
        <v>0</v>
      </c>
      <c r="FT174" s="22">
        <f t="shared" si="349"/>
        <v>25.485640904023263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projet'!$A$253:$I$273,2,0)</f>
        <v>#N/A</v>
      </c>
      <c r="FX174" s="12" t="e">
        <f>VLOOKUP(A174,'Données projet'!$A$253:$I$273,9,0)</f>
        <v>#N/A</v>
      </c>
      <c r="FY174" s="12">
        <f t="array" ref="FY174">INDEX(FX:FX,MIN(IF(ISNUMBER(FX174:FX370),ROW(FX174:FX370),"")))</f>
        <v>0</v>
      </c>
      <c r="FZ174" s="12">
        <f>IF('Données projet'!$A$254&gt;35,FZ173+FY174-GH173,IF(A174&lt;'Données projet'!$A$254,$FW$205^A174,IF(A174='Données projet'!$A$254,'Données projet'!$B$254,FZ173+FY174-GH173)))</f>
        <v>-1.7053025658242404E-13</v>
      </c>
      <c r="GA174" s="17">
        <f>FZ174*VLOOKUP('Données projet'!$B$17,Paramètres!$A$1:$I$89,3,0)*VLOOKUP('Données projet'!$B$17,Paramètres!$A$1:$I$89,5,0)</f>
        <v>-1.4897523215040567E-13</v>
      </c>
      <c r="GB174" s="13" t="e">
        <f t="shared" si="350"/>
        <v>#NUM!</v>
      </c>
      <c r="GC174" s="20" t="e">
        <f t="shared" si="351"/>
        <v>#NUM!</v>
      </c>
      <c r="GD174" s="59" t="e">
        <f t="shared" si="249"/>
        <v>#NUM!</v>
      </c>
      <c r="GE174" s="59">
        <f ca="1">AVERAGE(OFFSET($GD$3,0,0,'Données projet'!$E$17+1,1))-AVERAGE(OFFSET($H$3,0,0,'Données projet'!$E$17+1,1))</f>
        <v>245.1983232777614</v>
      </c>
      <c r="GF174" s="59">
        <f t="shared" si="303"/>
        <v>242.34010522344573</v>
      </c>
      <c r="GG174" s="15">
        <f>IF(ISNA(VLOOKUP(A174,'Données projet'!$A$253:$I$273,3,0)),0,VLOOKUP(A174,'Données projet'!$A$253:$I$273,3,0))</f>
        <v>0</v>
      </c>
      <c r="GH174" s="15">
        <f>IF(ISNA(VLOOKUP(A174,'Données projet'!$A$253:$I$273,4,0)),0,VLOOKUP(A174,'Données projet'!$A$253:$I$273,4,0))</f>
        <v>0</v>
      </c>
      <c r="GI174" s="16">
        <f>IF(ISNA(VLOOKUP(A174,'Données projet'!$A$253:$I$273,5,0)),0%,VLOOKUP(A174,'Données projet'!$A$253:$I$273,5,0)*VLOOKUP('Données projet'!$B$17,Paramètres!$A$1:$I$89,7,0))</f>
        <v>0</v>
      </c>
      <c r="GJ174" s="16">
        <f>IF(ISNA(VLOOKUP(A174,'Données projet'!$A$253:$I$273,6,0)),0%,VLOOKUP(A174,'Données projet'!$A$253:$I$273,6,0)*VLOOKUP('Données projet'!$B$17,Paramètres!$A$1:$I$89,7,0))</f>
        <v>0</v>
      </c>
      <c r="GK174" s="16">
        <f>IF(ISNA(VLOOKUP(A174,'Données projet'!$A$253:$I$273,7,0)),0%,VLOOKUP(A174,'Données projet'!$A$253:$I$273,7,0))</f>
        <v>0</v>
      </c>
      <c r="GL174" s="21">
        <f>EXP(-LN(2)/35)*GL173+(1-EXP(-LN(2)/35))/(LN(2)/35)*GH174*GI174*VLOOKUP('Données projet'!$B$17,Paramètres!$A$1:$I$89,3,0)*0.475*44/12</f>
        <v>20.323786974180528</v>
      </c>
      <c r="GM174" s="21">
        <f>EXP(-LN(2)/25)*GM173+(1-EXP(-LN(2)/25))/(LN(2)/25)*Calculateur!GH174*Calculateur!GJ174*VLOOKUP('Données projet'!$B$17,Paramètres!$A$1:$I$89,3,0)*0.475*44/12</f>
        <v>1.7468315665843508</v>
      </c>
      <c r="GN174" s="21">
        <f>EXP(-LN(2)/2)*GN173+(1-EXP(-LN(2)/2))/(LN(2)/2)*GH174*GK174*VLOOKUP('Données projet'!$B$17,Paramètres!$A$1:$I$89,3,0)*0.475*44/12</f>
        <v>0</v>
      </c>
      <c r="GO174" s="21">
        <f t="shared" si="352"/>
        <v>22.07061854076488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projet'!$A$279:$I$299,2,0)</f>
        <v>#N/A</v>
      </c>
      <c r="GS174" s="12" t="e">
        <f>VLOOKUP(A174,'Données projet'!$A$279:$I$299,9,0)</f>
        <v>#N/A</v>
      </c>
      <c r="GT174" s="12">
        <f t="array" ref="GT174">INDEX(GS:GS,MIN(IF(ISNUMBER(GS174:GS370),ROW(GS174:GS370),"")))</f>
        <v>0</v>
      </c>
      <c r="GU174" s="12">
        <f>IF('Données projet'!$A$280&gt;35,GU173+GT174-HC173,IF(A174&lt;'Données projet'!$A$280,$GR$205^A174,IF(A174='Données projet'!$A$280,'Données projet'!$B$280,GU173+GT174-HC173)))</f>
        <v>-1.1368683772161603E-13</v>
      </c>
      <c r="GV174" s="17">
        <f>GU174*VLOOKUP('Données projet'!$B$18,Paramètres!$A$1:$I$89,3,0)*VLOOKUP('Données projet'!$B$18,Paramètres!$A$1:$I$89,5,0)</f>
        <v>-4.5815795601811263E-14</v>
      </c>
      <c r="GW174" s="13" t="e">
        <f t="shared" si="353"/>
        <v>#NUM!</v>
      </c>
      <c r="GX174" s="20" t="e">
        <f t="shared" si="354"/>
        <v>#NUM!</v>
      </c>
      <c r="GY174" s="59" t="e">
        <f t="shared" si="252"/>
        <v>#NUM!</v>
      </c>
      <c r="GZ174" s="59">
        <f ca="1">AVERAGE(OFFSET($GY$3,0,0,'Données projet'!$E$18+1,1))-AVERAGE(OFFSET($H$3,0,0,'Données projet'!$E$18+1,1))</f>
        <v>324.36162935850876</v>
      </c>
      <c r="HA174" s="59">
        <f t="shared" si="305"/>
        <v>265.23571072429735</v>
      </c>
      <c r="HB174" s="15">
        <f>IF(ISNA(VLOOKUP(A174,'Données projet'!$A$279:$I$299,3,0)),0,VLOOKUP(A174,'Données projet'!$A$279:$I$299,3,0))</f>
        <v>0</v>
      </c>
      <c r="HC174" s="15">
        <f>IF(ISNA(VLOOKUP(A174,'Données projet'!$A$279:$I$299,4,0)),0,VLOOKUP(A174,'Données projet'!$A$279:$I$299,4,0))</f>
        <v>0</v>
      </c>
      <c r="HD174" s="16">
        <f>IF(ISNA(VLOOKUP(A174,'Données projet'!$A$279:$I$299,5,0)),0%,VLOOKUP(A174,'Données projet'!$A$279:$I$299,5,0)*VLOOKUP('Données projet'!$B$18,Paramètres!$A$1:$I$89,7,0))</f>
        <v>0</v>
      </c>
      <c r="HE174" s="16">
        <f>IF(ISNA(VLOOKUP(A174,'Données projet'!$A$279:$I$299,6,0)),0%,VLOOKUP(A174,'Données projet'!$A$279:$I$299,6,0)*VLOOKUP('Données projet'!$B$18,Paramètres!$A$1:$I$89,7,0))</f>
        <v>0</v>
      </c>
      <c r="HF174" s="16">
        <f>IF(ISNA(VLOOKUP($A174,'Données projet'!$A$279:$I$299,7,0)),0%,VLOOKUP($A174,'Données projet'!$A$279:$I$299,7,0))</f>
        <v>0</v>
      </c>
      <c r="HG174" s="21">
        <f>EXP(-LN(2)/35)*HG173+(1-EXP(-LN(2)/35))/(LN(2)/35)*HC174*HD174*VLOOKUP('Données projet'!$B$18,Paramètres!$A$1:$I$89,3,0)*0.475*44/12</f>
        <v>38.945688862738599</v>
      </c>
      <c r="HH174" s="21">
        <f>EXP(-LN(2)/25)*HH173+(1-EXP(-LN(2)/25))/(LN(2)/25)*Calculateur!HC174*Calculateur!HE174*VLOOKUP('Données projet'!$B$18,Paramètres!$A$1:$I$89,3,0)*0.475*44/12</f>
        <v>1.9427891509120905</v>
      </c>
      <c r="HI174" s="21">
        <f>EXP(-LN(2)/2)*HI173+(1-EXP(-LN(2)/2))/(LN(2)/2)*HC174*HF174*VLOOKUP('Données projet'!$B$18,Paramètres!$A$1:$I$89,3,0)*0.475*44/12</f>
        <v>1.7177484169582292E-13</v>
      </c>
      <c r="HJ174" s="22">
        <f t="shared" si="355"/>
        <v>40.888478013650861</v>
      </c>
      <c r="HK174" s="74">
        <f>('Scénario référence'!$F$8+'Scénario référence'!$F$9+'Scénario référence'!$B$17+'Scénario référence'!$B$9+'Scénario référence'!$B$10)*70+IF((45+25*(1-EXP(-0.0175*$A174)))&lt;70,'Scénario référence'!$B$16*(45+25*(1-EXP(-0.0175*$A174))),70*'Scénario référence'!$B$16)+IF((32+38*(1-EXP(-0.0175*$A174)))&lt;70,'Scénario référence'!$B$18*(32+38*(1-EXP(-0.0175*$A174))),70*'Scénario référence'!$B$18)</f>
        <v>70</v>
      </c>
      <c r="HL174" s="12">
        <f>IF($A174&gt;30,10,('Scénario référence'!$B$16+'Scénario référence'!$B$17+'Scénario référence'!$B$18+'Scénario référence'!$B$9+'Scénario référence'!$B$10)*$A174*10/30+('Scénario référence'!$F$8+'Scénario référence'!$F$9)*10)</f>
        <v>10</v>
      </c>
      <c r="HM174" s="12" t="e">
        <f>VLOOKUP($A174,'Données projet'!$A$304:$I$324,2,0)</f>
        <v>#N/A</v>
      </c>
      <c r="HN174" s="12" t="e">
        <f>VLOOKUP($A174,'Données projet'!$A$304:$I$324,9,0)</f>
        <v>#N/A</v>
      </c>
      <c r="HO174" s="12">
        <f t="array" ref="HO174">INDEX(HN:HN,MIN(IF(ISNUMBER(HN174:HN370),ROW(HN174:HN370),"")))</f>
        <v>0</v>
      </c>
      <c r="HP174" s="12">
        <f>IF('Données projet'!$A$304&gt;35,HP173+HO174-HX173,IF($A174&lt;'Données projet'!$A$304,$CQ$205^$A174,IF($A174='Données projet'!$A$304,'Données projet'!$B$304,HP173+HO174-HX173)))</f>
        <v>0</v>
      </c>
      <c r="HQ174" s="17">
        <f>HP174*VLOOKUP('Données projet'!$B$19,Paramètres!$A$1:$I$89,3,0)*VLOOKUP('Données projet'!$B$19,Paramètres!$A$1:$I$89,5,0)</f>
        <v>0</v>
      </c>
      <c r="HR174" s="13" t="e">
        <f t="shared" si="306"/>
        <v>#NUM!</v>
      </c>
      <c r="HS174" s="14" t="e">
        <f t="shared" si="254"/>
        <v>#NUM!</v>
      </c>
      <c r="HT174" s="59" t="e">
        <f t="shared" si="255"/>
        <v>#NUM!</v>
      </c>
      <c r="HU174" s="59">
        <f ca="1">AVERAGE(OFFSET(HT$3,0,0,'Données projet'!$E$19+1,1))-AVERAGE(OFFSET($H$3,0,0,'Données projet'!$E$19+1,1))</f>
        <v>91.60721429656013</v>
      </c>
      <c r="HV174" s="59">
        <f t="shared" si="307"/>
        <v>258.94957804210856</v>
      </c>
      <c r="HW174" s="15">
        <f>IF(ISNA(VLOOKUP($A174,'Données projet'!$A$304:$I$324,3,0)),0,VLOOKUP($A174,'Données projet'!$A$304:$I$324,3,0))</f>
        <v>0</v>
      </c>
      <c r="HX174" s="15">
        <f>IF(ISNA(VLOOKUP($A174,'Données projet'!$A$304:$I$324,4,0)),0,VLOOKUP($A174,'Données projet'!$A$304:$I$324,4,0))</f>
        <v>0</v>
      </c>
      <c r="HY174" s="16">
        <f>IF(ISNA(VLOOKUP($A174,'Données projet'!$A$304:$I$324,5,0)),0%,VLOOKUP($A174,'Données projet'!$A$304:$I$324,5,0)*VLOOKUP('Données projet'!$B$19,Paramètres!$A$1:$I$89,7,0))</f>
        <v>0</v>
      </c>
      <c r="HZ174" s="16">
        <f>IF(ISNA(VLOOKUP($A174,'Données projet'!$A$304:$I$324,6,0)),0%,VLOOKUP($A174,'Données projet'!$A$304:$I$324,6,0)*VLOOKUP('Données projet'!$B$19,Paramètres!$A$1:$I$89,7,0))</f>
        <v>0</v>
      </c>
      <c r="IA174" s="16">
        <f>IF(ISNA(VLOOKUP($A174,'Données projet'!$A$304:$I$324,7,0)),0%,VLOOKUP($A174,'Données projet'!$A$304:$I$324,7,0))</f>
        <v>0</v>
      </c>
      <c r="IB174" s="21">
        <f>EXP(-LN(2)/35)*IB173+(1-EXP(-LN(2)/35))/(LN(2)/35)*HX174*HY174*VLOOKUP('Données projet'!$B$19,Paramètres!$A$1:$I$89,3,0)*0.475*44/12</f>
        <v>3.0228325289990519</v>
      </c>
      <c r="IC174" s="21">
        <f>EXP(-LN(2)/25)*IC173+(1-EXP(-LN(2)/25))/(LN(2)/25)*Calculateur!HX174*Calculateur!HZ174*VLOOKUP('Données projet'!$B$19,Paramètres!$A$1:$I$89,3,0)*0.475*44/12</f>
        <v>0.19507525532142922</v>
      </c>
      <c r="ID174" s="21">
        <f>EXP(-LN(2)/2)*ID173+(1-EXP(-LN(2)/2))/(LN(2)/2)*HX174*IA174*VLOOKUP('Données projet'!$B$19,Paramètres!$A$1:$I$89,3,0)*0.475*44/12</f>
        <v>3.431057337222237E-22</v>
      </c>
      <c r="IE174" s="22">
        <f t="shared" si="256"/>
        <v>3.2179077843204809</v>
      </c>
      <c r="IF174" s="74">
        <f>('Scénario référence'!$F$8+'Scénario référence'!$F$9+'Scénario référence'!$B$17+'Scénario référence'!$B$9+'Scénario référence'!$B$10)*70+IF((45+25*(1-EXP(-0.0175*$A174)))&lt;70,'Scénario référence'!$B$16*(45+25*(1-EXP(-0.0175*$A174))),70*'Scénario référence'!$B$16)+IF((32+38*(1-EXP(-0.0175*$A174)))&lt;70,'Scénario référence'!$B$18*(32+38*(1-EXP(-0.0175*$A174))),70*'Scénario référence'!$B$18)</f>
        <v>70</v>
      </c>
      <c r="IG174" s="12">
        <f>IF($A174&gt;30,10,('Scénario référence'!$B$16+'Scénario référence'!$B$17+'Scénario référence'!$B$18+'Scénario référence'!$B$9+'Scénario référence'!$B$10)*$A174*10/30+('Scénario référence'!$F$8+'Scénario référence'!$F$9)*10)</f>
        <v>10</v>
      </c>
      <c r="IH174" s="12" t="e">
        <f>VLOOKUP($A174,'Données projet'!$A$330:$I$350,2,0)</f>
        <v>#N/A</v>
      </c>
      <c r="II174" s="12" t="e">
        <f>VLOOKUP($A174,'Données projet'!$A$330:$I$350,9,0)</f>
        <v>#N/A</v>
      </c>
      <c r="IJ174" s="12">
        <f t="array" ref="IJ174">INDEX(II:II,MIN(IF(ISNUMBER(II174:II370),ROW(II174:II370),"")))</f>
        <v>0</v>
      </c>
      <c r="IK174" s="12">
        <f>IF('Données projet'!$A$330&gt;35,IK173+IJ174-IS173,IF($A174&lt;'Données projet'!$A$330,$CQ$205^$A174,IF($A174='Données projet'!$A$330,'Données projet'!$B$330,IK173+IJ174-IS173)))</f>
        <v>0</v>
      </c>
      <c r="IL174" s="17">
        <f>IK174*VLOOKUP('Données projet'!$B$20,Paramètres!$A$1:$I$89,3,0)*VLOOKUP('Données projet'!$B$20,Paramètres!$A$1:$I$89,5,0)</f>
        <v>0</v>
      </c>
      <c r="IM174" s="13" t="e">
        <f t="shared" si="308"/>
        <v>#NUM!</v>
      </c>
      <c r="IN174" s="20" t="e">
        <f t="shared" si="257"/>
        <v>#NUM!</v>
      </c>
      <c r="IO174" s="59" t="e">
        <f t="shared" si="258"/>
        <v>#NUM!</v>
      </c>
      <c r="IP174" s="59">
        <f ca="1">AVERAGE(OFFSET(IO$3,0,0,'Données projet'!$E$20+1,1))-AVERAGE(OFFSET($H$3,0,0,'Données projet'!$E$20+1,1))</f>
        <v>91.60721429656013</v>
      </c>
      <c r="IQ174" s="59">
        <f t="shared" si="309"/>
        <v>258.94957804210856</v>
      </c>
      <c r="IR174" s="15">
        <f>IF(ISNA(VLOOKUP($A174,'Données projet'!$A$330:$I$350,3,0)),0,VLOOKUP($A174,'Données projet'!$A$330:$I$350,3,0))</f>
        <v>0</v>
      </c>
      <c r="IS174" s="15">
        <f>IF(ISNA(VLOOKUP($A174,'Données projet'!$A$330:$I$350,4,0)),0,VLOOKUP($A174,'Données projet'!$A$330:$I$350,4,0))</f>
        <v>0</v>
      </c>
      <c r="IT174" s="16">
        <f>IF(ISNA(VLOOKUP($A174,'Données projet'!$A$330:$I$350,5,0)),0%,VLOOKUP($A174,'Données projet'!$A$330:$I$350,5,0)*VLOOKUP('Données projet'!$B$20,Paramètres!$A$1:$I$89,7,0))</f>
        <v>0</v>
      </c>
      <c r="IU174" s="16">
        <f>IF(ISNA(VLOOKUP($A174,'Données projet'!$A$330:$I$350,6,0)),0%,VLOOKUP($A174,'Données projet'!$A$330:$I$350,6,0)*VLOOKUP('Données projet'!$B$20,Paramètres!$A$1:$I$89,7,0))</f>
        <v>0</v>
      </c>
      <c r="IV174" s="16">
        <f>IF(ISNA(VLOOKUP($A174,'Données projet'!$A$330:$I$350,7,0)),0%,VLOOKUP($A174,'Données projet'!$A$330:$I$350,7,0))</f>
        <v>0</v>
      </c>
      <c r="IW174" s="21">
        <f>EXP(-LN(2)/35)*IW173+(1-EXP(-LN(2)/35))/(LN(2)/35)*IS174*IT174*VLOOKUP('Données projet'!$B$20,Paramètres!$A$1:$I$89,3,0)*0.475*44/12</f>
        <v>3.0228325289990519</v>
      </c>
      <c r="IX174" s="21">
        <f>EXP(-LN(2)/25)*IX173+(1-EXP(-LN(2)/25))/(LN(2)/25)*Calculateur!IS174*Calculateur!IU174*VLOOKUP('Données projet'!$B$20,Paramètres!$A$1:$I$89,3,0)*0.475*44/12</f>
        <v>0.19507525532142922</v>
      </c>
      <c r="IY174" s="21">
        <f>EXP(-LN(2)/2)*IY173+(1-EXP(-LN(2)/2))/(LN(2)/2)*IS174*IV174*VLOOKUP('Données projet'!$B$20,Paramètres!$A$1:$I$89,3,0)*0.475*44/12</f>
        <v>3.431057337222237E-22</v>
      </c>
      <c r="IZ174" s="22">
        <f t="shared" si="259"/>
        <v>3.2179077843204809</v>
      </c>
      <c r="JA174" s="74">
        <f>('Scénario référence'!$F$8+'Scénario référence'!$F$9+'Scénario référence'!$B$17+'Scénario référence'!$B$9+'Scénario référence'!$B$10)*70+IF((45+25*(1-EXP(-0.0175*$A174)))&lt;70,'Scénario référence'!$B$16*(45+25*(1-EXP(-0.0175*$A174))),70*'Scénario référence'!$B$16)+IF((32+38*(1-EXP(-0.0175*$A174)))&lt;70,'Scénario référence'!$B$18*(32+38*(1-EXP(-0.0175*$A174))),70*'Scénario référence'!$B$18)</f>
        <v>70</v>
      </c>
      <c r="JB174" s="12">
        <f>IF($A174&gt;30,10,('Scénario référence'!$B$16+'Scénario référence'!$B$17+'Scénario référence'!$B$18+'Scénario référence'!$B$9+'Scénario référence'!$B$10)*$A174*10/30+('Scénario référence'!$F$8+'Scénario référence'!$F$9)*10)</f>
        <v>10</v>
      </c>
      <c r="JC174" s="12" t="e">
        <f>VLOOKUP($A174,'Données projet'!$A$356:$I$376,2,0)</f>
        <v>#N/A</v>
      </c>
      <c r="JD174" s="12" t="e">
        <f>VLOOKUP($A174,'Données projet'!$A$356:$I$376,9,0)</f>
        <v>#N/A</v>
      </c>
      <c r="JE174" s="12">
        <f t="array" ref="JE174">INDEX(JD:JD,MIN(IF(ISNUMBER(JD174:JD370),ROW(JD174:JD370),"")))</f>
        <v>0</v>
      </c>
      <c r="JF174" s="12">
        <f>IF('Données projet'!$A$356&gt;35,JF173+JE174-JN173,IF($A174&lt;'Données projet'!$A$356,$CQ$205^$A174,IF($A174='Données projet'!$A$356,'Données projet'!$B$356,JF173+JE174-JN173)))</f>
        <v>-1.3073986337985843E-12</v>
      </c>
      <c r="JG174" s="17">
        <f>JF174*VLOOKUP('Données projet'!$B$21,Paramètres!$A$1:$I$89,3,0)*VLOOKUP('Données projet'!$B$21,Paramètres!$A$1:$I$89,5,0)</f>
        <v>-1.0605617717374117E-12</v>
      </c>
      <c r="JH174" s="13" t="e">
        <f t="shared" si="310"/>
        <v>#NUM!</v>
      </c>
      <c r="JI174" s="20" t="e">
        <f t="shared" si="260"/>
        <v>#NUM!</v>
      </c>
      <c r="JJ174" s="59" t="e">
        <f t="shared" si="261"/>
        <v>#NUM!</v>
      </c>
      <c r="JK174" s="59">
        <f ca="1">AVERAGE(OFFSET($JJ$3,0,0,'Données projet'!$E$22+1,1))-AVERAGE(OFFSET($H$3,0,0,'Données projet'!$E$22+1,1))</f>
        <v>353.35574633294613</v>
      </c>
      <c r="JL174" s="59">
        <f t="shared" si="311"/>
        <v>170.36796666474726</v>
      </c>
      <c r="JM174" s="15">
        <f>IF(ISNA(VLOOKUP($A174,'Données projet'!$A$356:$I$376,3,0)),0,VLOOKUP($A174,'Données projet'!$A$356:$I$376,3,0))</f>
        <v>0</v>
      </c>
      <c r="JN174" s="15">
        <f>IF(ISNA(VLOOKUP($A174,'Données projet'!$A$356:$I$376,4,0)),0,VLOOKUP($A174,'Données projet'!$A$356:$I$376,4,0))</f>
        <v>0</v>
      </c>
      <c r="JO174" s="16">
        <f>IF(ISNA(VLOOKUP($A174,'Données projet'!$A$356:$I$376,5,0)),0%,VLOOKUP($A174,'Données projet'!$A$356:$I$376,5,0)*VLOOKUP('Données projet'!$B$21,Paramètres!$A$1:$I$89,7,0))</f>
        <v>0</v>
      </c>
      <c r="JP174" s="16">
        <f>IF(ISNA(VLOOKUP($A174,'Données projet'!$A$356:$I$376,6,0)),0%,VLOOKUP($A174,'Données projet'!$A$356:$I$376,6,0)*VLOOKUP('Données projet'!$B$21,Paramètres!$A$1:$I$89,7,0))</f>
        <v>0</v>
      </c>
      <c r="JQ174" s="16">
        <f>IF(ISNA(VLOOKUP($A174,'Données projet'!$A$356:$I$376,7,0)),0%,VLOOKUP($A174,'Données projet'!$A$356:$I$376,7,0))</f>
        <v>0</v>
      </c>
      <c r="JR174" s="21">
        <f>EXP(-LN(2)/35)*JR173+(1-EXP(-LN(2)/35))/(LN(2)/35)*JN174*JO174*VLOOKUP('Données projet'!$B$21,Paramètres!$A$1:$I$89,3,0)*0.475*44/12</f>
        <v>48.460512861326876</v>
      </c>
      <c r="JS174" s="21">
        <f>EXP(-LN(2)/25)*JS173+(1-EXP(-LN(2)/25))/(LN(2)/25)*Calculateur!JN174*Calculateur!JP174*VLOOKUP('Données projet'!$B$21,Paramètres!$A$1:$I$89,3,0)*0.475*44/12</f>
        <v>42.695409152877701</v>
      </c>
      <c r="JT174" s="21">
        <f>EXP(-LN(2)/2)*JT173+(1-EXP(-LN(2)/2))/(LN(2)/2)*JN174*JQ174*VLOOKUP('Données projet'!$B$21,Paramètres!$A$1:$I$89,3,0)*0.475*44/12</f>
        <v>2.3679049758142459E-2</v>
      </c>
      <c r="JU174" s="18">
        <f t="shared" si="262"/>
        <v>91.179601063962721</v>
      </c>
      <c r="JV174" s="74">
        <f>('Scénario référence'!$F$8+'Scénario référence'!$F$9+'Scénario référence'!$B$17+'Scénario référence'!$B$9+'Scénario référence'!$B$10)*70+IF((45+25*(1-EXP(-0.0175*$A174)))&lt;70,'Scénario référence'!$B$16*(45+25*(1-EXP(-0.0175*$A174))),70*'Scénario référence'!$B$16)+IF((32+38*(1-EXP(-0.0175*$A174)))&lt;70,'Scénario référence'!$B$18*(32+38*(1-EXP(-0.0175*$A174))),70*'Scénario référence'!$B$18)</f>
        <v>70</v>
      </c>
      <c r="JW174" s="12">
        <f>IF($A174&gt;30,10,('Scénario référence'!$B$16+'Scénario référence'!$B$17+'Scénario référence'!$B$18+'Scénario référence'!$B$9+'Scénario référence'!$B$10)*$A174*10/30+('Scénario référence'!$F$8+'Scénario référence'!$F$9)*10)</f>
        <v>10</v>
      </c>
      <c r="JX174" s="12" t="e">
        <f>VLOOKUP($A174,'Données projet'!$A$382:$I$402,2,0)</f>
        <v>#N/A</v>
      </c>
      <c r="JY174" s="12" t="e">
        <f>VLOOKUP($A174,'Données projet'!$A$382:$I$402,9,0)</f>
        <v>#N/A</v>
      </c>
      <c r="JZ174" s="12">
        <f t="array" ref="JZ174">INDEX(JY:JY,MIN(IF(ISNUMBER(JY174:JY370),ROW(JY174:JY370),"")))</f>
        <v>0</v>
      </c>
      <c r="KA174" s="12">
        <f>IF('Données projet'!$A$382&gt;35,KA173+JZ174-KI173,IF($A174&lt;'Données projet'!$A$382,$CQ$205^$A174,IF($A174='Données projet'!$A$382,'Données projet'!$B$382,KA173+JZ174-KI173)))</f>
        <v>5.6843418860808015E-13</v>
      </c>
      <c r="KB174" s="17">
        <f>KA174*VLOOKUP('Données projet'!$B$22,Paramètres!$A$1:$I$89,3,0)*VLOOKUP('Données projet'!$B$22,Paramètres!$A$1:$I$89,5,0)</f>
        <v>3.8130565371830017E-13</v>
      </c>
      <c r="KC174" s="13">
        <f t="shared" si="312"/>
        <v>4.9019074112354236E-12</v>
      </c>
      <c r="KD174" s="20">
        <f t="shared" si="263"/>
        <v>9.2015960881277352E-12</v>
      </c>
      <c r="KE174" s="59">
        <f t="shared" si="264"/>
        <v>293.33333333334252</v>
      </c>
      <c r="KF174" s="59">
        <f ca="1">AVERAGE(OFFSET($KE$3,0,0,'Données projet'!$E$22+1,1))-AVERAGE(OFFSET($H$3,0,0,'Données projet'!$E$22+1,1))</f>
        <v>193.91714772848269</v>
      </c>
      <c r="KG174" s="59">
        <f t="shared" si="313"/>
        <v>159.20429420478047</v>
      </c>
      <c r="KH174" s="15">
        <f>IF(ISNA(VLOOKUP($A174,'Données projet'!$A$382:$I$402,3,0)),0,VLOOKUP($A174,'Données projet'!$A$382:$I$402,3,0))</f>
        <v>0</v>
      </c>
      <c r="KI174" s="15">
        <f>IF(ISNA(VLOOKUP($A174,'Données projet'!$A$382:$I$402,4,0)),0,VLOOKUP($A174,'Données projet'!$A$382:$I$402,4,0))</f>
        <v>0</v>
      </c>
      <c r="KJ174" s="16">
        <f>IF(ISNA(VLOOKUP($A174,'Données projet'!$A$382:$I$402,5,0)),0%,VLOOKUP($A174,'Données projet'!$A$382:$I$402,5,0)*VLOOKUP('Données projet'!$B$22,Paramètres!$A$1:$I$89,7,0))</f>
        <v>0</v>
      </c>
      <c r="KK174" s="16">
        <f>IF(ISNA(VLOOKUP($A174,'Données projet'!$A$382:$I$402,6,0)),0%,VLOOKUP($A174,'Données projet'!$A$382:$I$402,6,0)*VLOOKUP('Données projet'!$B$22,Paramètres!$A$1:$I$89,7,0))</f>
        <v>0</v>
      </c>
      <c r="KL174" s="16">
        <f>IF(ISNA(VLOOKUP($A174,'Données projet'!$A$382:$I$402,7,0)),0%,VLOOKUP($A174,'Données projet'!$A$382:$I$402,7,0))</f>
        <v>0</v>
      </c>
      <c r="KM174" s="21">
        <f>EXP(-LN(2)/35)*KM173+(1-EXP(-LN(2)/35))/(LN(2)/35)*KI174*KJ174*VLOOKUP('Données projet'!$B$22,Paramètres!$A$1:$I$89,3,0)*0.475*44/12</f>
        <v>70.75769732498226</v>
      </c>
      <c r="KN174" s="21">
        <f>EXP(-LN(2)/25)*KN173+(1-EXP(-LN(2)/25))/(LN(2)/25)*Calculateur!KI174*Calculateur!KK174*VLOOKUP('Données projet'!$B$22,Paramètres!$A$1:$I$89,3,0)*0.475*44/12</f>
        <v>0</v>
      </c>
      <c r="KO174" s="21">
        <f>EXP(-LN(2)/2)*KO173+(1-EXP(-LN(2)/2))/(LN(2)/2)*KI174*KL174*VLOOKUP('Données projet'!$B$22,Paramètres!$A$1:$I$89,3,0)*0.475*44/12</f>
        <v>0</v>
      </c>
      <c r="KP174" s="22">
        <f t="shared" si="265"/>
        <v>70.75769732498226</v>
      </c>
      <c r="KQ174" s="74">
        <f>('Scénario référence'!$F$8+'Scénario référence'!$F$9+'Scénario référence'!$B$17+'Scénario référence'!$B$9+'Scénario référence'!$B$10)*70+IF((45+25*(1-EXP(-0.0175*$A174)))&lt;70,'Scénario référence'!$B$16*(45+25*(1-EXP(-0.0175*$A174))),70*'Scénario référence'!$B$16)+IF((32+38*(1-EXP(-0.0175*$A174)))&lt;70,'Scénario référence'!$B$18*(32+38*(1-EXP(-0.0175*$A174))),70*'Scénario référence'!$B$18)</f>
        <v>70</v>
      </c>
      <c r="KR174" s="12">
        <f>IF($A174&gt;30,10,('Scénario référence'!$B$16+'Scénario référence'!$B$17+'Scénario référence'!$B$18+'Scénario référence'!$B$9+'Scénario référence'!$B$10)*$A174*10/30+('Scénario référence'!$F$8+'Scénario référence'!$F$9)*10)</f>
        <v>10</v>
      </c>
      <c r="KS174" s="12" t="e">
        <f>VLOOKUP($A174,'Données projet'!$A$408:$I$428,2,0)</f>
        <v>#N/A</v>
      </c>
      <c r="KT174" s="12" t="e">
        <f>VLOOKUP($A174,'Données projet'!$A$408:$I$428,9,0)</f>
        <v>#N/A</v>
      </c>
      <c r="KU174" s="12">
        <f t="array" ref="KU174">INDEX(KT:KT,MIN(IF(ISNUMBER(KT174:KT370),ROW(KT174:KT370),"")))</f>
        <v>0</v>
      </c>
      <c r="KV174" s="12">
        <f>IF('Données projet'!$A$408&gt;35,KV173+KU174-LD173,IF($A174&lt;'Données projet'!$A$408,$CQ$205^$A174,IF($A174='Données projet'!$A$408,'Données projet'!$B$408,KV173+KU174-LD173)))</f>
        <v>-1.1368683772161603E-13</v>
      </c>
      <c r="KW174" s="17">
        <f>KV174*VLOOKUP('Données projet'!$B$23,Paramètres!$A$1:$I$89,3,0)*VLOOKUP('Données projet'!$B$23,Paramètres!$A$1:$I$89,5,0)</f>
        <v>-9.9316821433603781E-14</v>
      </c>
      <c r="KX174" s="13" t="e">
        <f t="shared" si="314"/>
        <v>#NUM!</v>
      </c>
      <c r="KY174" s="14" t="e">
        <f t="shared" si="266"/>
        <v>#NUM!</v>
      </c>
      <c r="KZ174" s="59" t="e">
        <f t="shared" si="267"/>
        <v>#NUM!</v>
      </c>
      <c r="LA174" s="59">
        <f ca="1">AVERAGE(OFFSET($KZ$3,0,0,'Données projet'!$E$23+1,1))-AVERAGE(OFFSET($H$3,0,0,'Données projet'!$E$23+1,1))</f>
        <v>248.33596943633819</v>
      </c>
      <c r="LB174" s="59">
        <f t="shared" si="315"/>
        <v>242.34010522344573</v>
      </c>
      <c r="LC174" s="15">
        <f>IF(ISNA(VLOOKUP($A174,'Données projet'!$A$408:$I$428,3,0)),0,VLOOKUP($A174,'Données projet'!$A$408:$I$428,3,0))</f>
        <v>0</v>
      </c>
      <c r="LD174" s="15">
        <f>IF(ISNA(VLOOKUP($A174,'Données projet'!$A$408:$I$428,4,0)),0,VLOOKUP($A174,'Données projet'!$A$408:$I$428,4,0))</f>
        <v>0</v>
      </c>
      <c r="LE174" s="16">
        <f>IF(ISNA(VLOOKUP($A174,'Données projet'!$A$408:$I$428,5,0)),0%,VLOOKUP($A174,'Données projet'!$A$408:$I$428,5,0)*VLOOKUP('Données projet'!$B$23,Paramètres!$A$1:$I$89,7,0))</f>
        <v>0</v>
      </c>
      <c r="LF174" s="16">
        <f>IF(ISNA(VLOOKUP($A174,'Données projet'!$A$408:$I$428,6,0)),0%,VLOOKUP($A174,'Données projet'!$A$408:$I$428,6,0)*VLOOKUP('Données projet'!$B$23,Paramètres!$A$1:$I$89,7,0))</f>
        <v>0</v>
      </c>
      <c r="LG174" s="16">
        <f>IF(ISNA(VLOOKUP($A174,'Données projet'!$A$408:$I$428,7,0)),0%,VLOOKUP($A174,'Données projet'!$A$408:$I$428,7,0))</f>
        <v>0</v>
      </c>
      <c r="LH174" s="21">
        <f>EXP(-LN(2)/35)*LH173+(1-EXP(-LN(2)/35))/(LN(2)/35)*LD174*LE174*VLOOKUP('Données projet'!$B$23,Paramètres!$A$1:$I$89,3,0)*0.475*44/12</f>
        <v>20.323786974180528</v>
      </c>
      <c r="LI174" s="21">
        <f>EXP(-LN(2)/25)*LI173+(1-EXP(-LN(2)/25))/(LN(2)/25)*Calculateur!LD174*Calculateur!LF174*VLOOKUP('Données projet'!$B$23,Paramètres!$A$1:$I$89,3,0)*0.475*44/12</f>
        <v>1.7468315665843508</v>
      </c>
      <c r="LJ174" s="21">
        <f>EXP(-LN(2)/2)*LJ173+(1-EXP(-LN(2)/2))/(LN(2)/2)*LD174*LG174*VLOOKUP('Données projet'!$B$23,Paramètres!$A$1:$I$89,3,0)*0.475*44/12</f>
        <v>0</v>
      </c>
      <c r="LK174" s="22">
        <f t="shared" si="268"/>
        <v>22.07061854076488</v>
      </c>
      <c r="LL174" s="74">
        <f>('Scénario référence'!$F$8+'Scénario référence'!$F$9+'Scénario référence'!$B$17+'Scénario référence'!$B$9+'Scénario référence'!$B$10)*70+IF((45+25*(1-EXP(-0.0175*$A174)))&lt;70,'Scénario référence'!$B$16*(45+25*(1-EXP(-0.0175*$A174))),70*'Scénario référence'!$B$16)+IF((32+38*(1-EXP(-0.0175*$A174)))&lt;70,'Scénario référence'!$B$18*(32+38*(1-EXP(-0.0175*$A174))),70*'Scénario référence'!$B$18)</f>
        <v>70</v>
      </c>
      <c r="LM174" s="12">
        <f>IF($A174&gt;30,10,('Scénario référence'!$B$16+'Scénario référence'!$B$17+'Scénario référence'!$B$18+'Scénario référence'!$B$9+'Scénario référence'!$B$10)*$A174*10/30+('Scénario référence'!$F$8+'Scénario référence'!$F$9)*10)</f>
        <v>10</v>
      </c>
      <c r="LN174" s="12" t="e">
        <f>VLOOKUP($A174,'Données projet'!$A$434:$I$454,2,0)</f>
        <v>#N/A</v>
      </c>
      <c r="LO174" s="12" t="e">
        <f>VLOOKUP($A174,'Données projet'!$A$434:$I$454,9,0)</f>
        <v>#N/A</v>
      </c>
      <c r="LP174" s="12">
        <f t="array" ref="LP174">INDEX(LO:LO,MIN(IF(ISNUMBER(LO174:LO370),ROW(LO174:LO370),"")))</f>
        <v>0</v>
      </c>
      <c r="LQ174" s="12">
        <f>IF('Données projet'!$A$434&gt;35,LQ173+LP174-LY173,IF($A174&lt;'Données projet'!$A$434,$CQ$205^$A174,IF($A174='Données projet'!$A$434,'Données projet'!$B$434,LQ173+LP174-LY173)))</f>
        <v>-4.5474735088646412E-13</v>
      </c>
      <c r="LR174" s="17">
        <f>LQ174*VLOOKUP('Données projet'!$B$24,Paramètres!$A$1:$I$89,3,0)*VLOOKUP('Données projet'!$B$24,Paramètres!$A$1:$I$89,5,0)</f>
        <v>-4.6111381379887462E-13</v>
      </c>
      <c r="LS174" s="13" t="e">
        <f t="shared" si="316"/>
        <v>#NUM!</v>
      </c>
      <c r="LT174" s="14" t="e">
        <f t="shared" si="269"/>
        <v>#NUM!</v>
      </c>
      <c r="LU174" s="59" t="e">
        <f t="shared" si="270"/>
        <v>#NUM!</v>
      </c>
      <c r="LV174" s="59">
        <f ca="1">AVERAGE(OFFSET($LU$3,0,0,'Données projet'!$E$24+1,1))-AVERAGE(OFFSET($H$3,0,0,'Données projet'!$E$24+1,1))</f>
        <v>260.52627655062872</v>
      </c>
      <c r="LW174" s="59">
        <f t="shared" si="317"/>
        <v>159.20429420478047</v>
      </c>
      <c r="LX174" s="15">
        <f>IF(ISNA(VLOOKUP($A174,'Données projet'!$A$434:$I$454,3,0)),0,VLOOKUP($A174,'Données projet'!$A$434:$I$454,3,0))</f>
        <v>0</v>
      </c>
      <c r="LY174" s="15">
        <f>IF(ISNA(VLOOKUP($A174,'Données projet'!$A$434:$I$454,4,0)),0,VLOOKUP($A174,'Données projet'!$A$434:$I$454,4,0))</f>
        <v>0</v>
      </c>
      <c r="LZ174" s="16">
        <f>IF(ISNA(VLOOKUP($A174,'Données projet'!$A$434:$I$454,5,0)),0%,VLOOKUP($A174,'Données projet'!$A$434:$I$454,5,0)*VLOOKUP('Données projet'!$B$24,Paramètres!$A$1:$I$89,7,0))</f>
        <v>0</v>
      </c>
      <c r="MA174" s="16">
        <f>IF(ISNA(VLOOKUP($A174,'Données projet'!$A$434:$I$454,6,0)),0%,VLOOKUP($A174,'Données projet'!$A$434:$I$454,6,0)*VLOOKUP('Données projet'!$B$24,Paramètres!$A$1:$I$89,7,0))</f>
        <v>0</v>
      </c>
      <c r="MB174" s="16">
        <f>IF(ISNA(VLOOKUP($A174,'Données projet'!$A$434:$I$454,7,0)),0%,VLOOKUP($A174,'Données projet'!$A$434:$I$454,7,0))</f>
        <v>0</v>
      </c>
      <c r="MC174" s="21">
        <f>EXP(-LN(2)/35)*MC173+(1-EXP(-LN(2)/35))/(LN(2)/35)*LY174*LZ174*VLOOKUP('Données projet'!$B$24,Paramètres!$A$1:$I$89,3,0)*0.475*44/12</f>
        <v>130.67504710346697</v>
      </c>
      <c r="MD174" s="21">
        <f>EXP(-LN(2)/25)*MD173+(1-EXP(-LN(2)/25))/(LN(2)/25)*Calculateur!LY174*Calculateur!MA174*VLOOKUP('Données projet'!$B$24,Paramètres!$A$1:$I$89,3,0)*0.475*44/12</f>
        <v>0</v>
      </c>
      <c r="ME174" s="21">
        <f>EXP(-LN(2)/2)*ME173+(1-EXP(-LN(2)/2))/(LN(2)/2)*LY174*MB174*VLOOKUP('Données projet'!$B$24,Paramètres!$A$1:$I$89,3,0)*0.475*44/12</f>
        <v>0</v>
      </c>
      <c r="MF174" s="22">
        <f t="shared" si="271"/>
        <v>130.67504710346697</v>
      </c>
      <c r="MG174" s="74">
        <f>('Scénario référence'!$F$8+'Scénario référence'!$F$9+'Scénario référence'!$B$17+'Scénario référence'!$B$9+'Scénario référence'!$B$10)*70+IF((45+25*(1-EXP(-0.0175*$A174)))&lt;70,'Scénario référence'!$B$16*(45+25*(1-EXP(-0.0175*$A174))),70*'Scénario référence'!$B$16)+IF((32+38*(1-EXP(-0.0175*$A174)))&lt;70,'Scénario référence'!$B$18*(32+38*(1-EXP(-0.0175*$A174))),70*'Scénario référence'!$B$18)</f>
        <v>70</v>
      </c>
      <c r="MH174" s="12">
        <f>IF($A174&gt;30,10,('Scénario référence'!$B$16+'Scénario référence'!$B$17+'Scénario référence'!$B$18+'Scénario référence'!$B$9+'Scénario référence'!$B$10)*$A174*10/30+('Scénario référence'!$F$8+'Scénario référence'!$F$9)*10)</f>
        <v>10</v>
      </c>
      <c r="MI174" s="12" t="e">
        <f>VLOOKUP($A174,'Données projet'!$A$460:$I$480,2,0)</f>
        <v>#N/A</v>
      </c>
      <c r="MJ174" s="12" t="e">
        <f>VLOOKUP($A174,'Données projet'!$A$460:$I$480,9,0)</f>
        <v>#N/A</v>
      </c>
      <c r="MK174" s="12">
        <f t="array" ref="MK174">INDEX(MJ:MJ,MIN(IF(ISNUMBER(MJ174:MJ370),ROW(MJ174:MJ370),"")))</f>
        <v>0</v>
      </c>
      <c r="ML174" s="12">
        <f>IF('Données projet'!$A$460&gt;35,ML173+MK174-MT173,IF($A174&lt;'Données projet'!$A$460,$CQ$205^$A174,IF($A174='Données projet'!$A$460,'Données projet'!$B$460,ML173+MK174-MT173)))</f>
        <v>0</v>
      </c>
      <c r="MM174" s="17" t="e">
        <f>ML174*VLOOKUP('Données projet'!$B$25,Paramètres!$A$1:$I$89,3,0)*VLOOKUP('Données projet'!$B$25,Paramètres!$A$1:$I$89,5,0)</f>
        <v>#N/A</v>
      </c>
      <c r="MN174" s="13" t="e">
        <f t="shared" si="318"/>
        <v>#N/A</v>
      </c>
      <c r="MO174" s="14" t="e">
        <f t="shared" si="272"/>
        <v>#N/A</v>
      </c>
      <c r="MP174" s="59" t="e">
        <f t="shared" si="273"/>
        <v>#N/A</v>
      </c>
      <c r="MQ174" s="20" t="e">
        <f ca="1">AVERAGE(OFFSET($MP$3,0,0,'Données projet'!$E$25+1,1))-AVERAGE(OFFSET($H$3,0,0,'Données projet'!$E$25+1,1))</f>
        <v>#N/A</v>
      </c>
      <c r="MR174" s="59" t="e">
        <f t="shared" si="319"/>
        <v>#N/A</v>
      </c>
      <c r="MS174" s="15">
        <f>IF(ISNA(VLOOKUP($A174,'Données projet'!$A$460:$I$480,3,0)),0,VLOOKUP($A174,'Données projet'!$A$460:$I$480,3,0))</f>
        <v>0</v>
      </c>
      <c r="MT174" s="15">
        <f>IF(ISNA(VLOOKUP($A174,'Données projet'!$A$460:$I$480,4,0)),0,VLOOKUP($A174,'Données projet'!$A$460:$I$480,4,0))</f>
        <v>0</v>
      </c>
      <c r="MU174" s="16">
        <f>IF(ISNA(VLOOKUP($A174,'Données projet'!$A$460:$I$480,5,0)),0%,VLOOKUP($A174,'Données projet'!$A$460:$I$480,5,0)*VLOOKUP('Données projet'!$B$25,Paramètres!$A$1:$I$89,7,0))</f>
        <v>0</v>
      </c>
      <c r="MV174" s="16">
        <f>IF(ISNA(VLOOKUP($A174,'Données projet'!$A$460:$I$480,6,0)),0%,VLOOKUP($A174,'Données projet'!$A$460:$I$480,6,0)*VLOOKUP('Données projet'!$B$25,Paramètres!$A$1:$I$89,7,0))</f>
        <v>0</v>
      </c>
      <c r="MW174" s="16">
        <f>IF(ISNA(VLOOKUP($A174,'Données projet'!$A$460:$I$480,7,0)),0%,VLOOKUP($A174,'Données projet'!$A$460:$I$480,7,0))</f>
        <v>0</v>
      </c>
      <c r="MX174" s="21" t="e">
        <f>EXP(-LN(2)/35)*MX173+(1-EXP(-LN(2)/35))/(LN(2)/35)*MT174*MU174*VLOOKUP('Données projet'!$B$25,Paramètres!$A$1:$I$89,3,0)*0.475*44/12</f>
        <v>#N/A</v>
      </c>
      <c r="MY174" s="21" t="e">
        <f>EXP(-LN(2)/25)*MY173+(1-EXP(-LN(2)/25))/(LN(2)/25)*Calculateur!MT174*Calculateur!MV174*VLOOKUP('Données projet'!$B$25,Paramètres!$A$1:$I$89,3,0)*0.475*44/12</f>
        <v>#N/A</v>
      </c>
      <c r="MZ174" s="21" t="e">
        <f>EXP(-LN(2)/2)*MZ173+(1-EXP(-LN(2)/2))/(LN(2)/2)*MT174*MW174*VLOOKUP('Données projet'!$B$25,Paramètres!$A$1:$I$89,3,0)*0.475*44/12</f>
        <v>#N/A</v>
      </c>
      <c r="NA174" s="22" t="e">
        <f t="shared" si="274"/>
        <v>#N/A</v>
      </c>
      <c r="NB174" s="74">
        <f>('Scénario référence'!$F$8+'Scénario référence'!$F$9+'Scénario référence'!$B$17+'Scénario référence'!$B$9+'Scénario référence'!$B$10)*70+IF((45+25*(1-EXP(-0.0175*$A174)))&lt;70,'Scénario référence'!$B$16*(45+25*(1-EXP(-0.0175*$A174))),70*'Scénario référence'!$B$16)+IF((32+38*(1-EXP(-0.0175*$A174)))&lt;70,'Scénario référence'!$B$18*(32+38*(1-EXP(-0.0175*$A174))),70*'Scénario référence'!$B$18)</f>
        <v>70</v>
      </c>
      <c r="NC174" s="12">
        <f>IF($A174&gt;30,10,('Scénario référence'!$B$16+'Scénario référence'!$B$17+'Scénario référence'!$B$18+'Scénario référence'!$B$9+'Scénario référence'!$B$10)*$A174*10/30+('Scénario référence'!$F$8+'Scénario référence'!$F$9)*10)</f>
        <v>10</v>
      </c>
      <c r="ND174" s="12" t="e">
        <f>VLOOKUP($A174,'Données projet'!$A$486:$I$506,2,0)</f>
        <v>#N/A</v>
      </c>
      <c r="NE174" s="12" t="e">
        <f>VLOOKUP($A174,'Données projet'!$A$486:$I$506,9,0)</f>
        <v>#N/A</v>
      </c>
      <c r="NF174" s="12">
        <f t="array" ref="NF174">INDEX(NE:NE,MIN(IF(ISNUMBER(NE174:NE370),ROW(NE174:NE370),"")))</f>
        <v>0</v>
      </c>
      <c r="NG174" s="12">
        <f>IF('Données projet'!$A$486&gt;35,NG173+NF174-NO173,IF($A174&lt;'Données projet'!$A$486,$CQ$205^$A174,IF($A174='Données projet'!$A$486,'Données projet'!$B$486,NG173+NF174-NO173)))</f>
        <v>0</v>
      </c>
      <c r="NH174" s="17" t="e">
        <f>NG174*VLOOKUP('Données projet'!$B$26,Paramètres!$A$1:$I$89,3,0)*VLOOKUP('Données projet'!$B$26,Paramètres!$A$1:$I$89,5,0)</f>
        <v>#N/A</v>
      </c>
      <c r="NI174" s="13" t="e">
        <f t="shared" si="320"/>
        <v>#N/A</v>
      </c>
      <c r="NJ174" s="14" t="e">
        <f t="shared" si="275"/>
        <v>#N/A</v>
      </c>
      <c r="NK174" s="59" t="e">
        <f t="shared" si="276"/>
        <v>#N/A</v>
      </c>
      <c r="NL174" s="20" t="e">
        <f ca="1">AVERAGE(OFFSET($NK$3,0,0,'Données projet'!$E$26+1,1))-AVERAGE(OFFSET($H$3,0,0,'Données projet'!$E$26+1,1))</f>
        <v>#N/A</v>
      </c>
      <c r="NM174" s="59" t="e">
        <f t="shared" si="321"/>
        <v>#N/A</v>
      </c>
      <c r="NN174" s="15">
        <f>IF(ISNA(VLOOKUP($A174,'Données projet'!$A$486:$I$506,3,0)),0,VLOOKUP($A174,'Données projet'!$A$486:$I$506,3,0))</f>
        <v>0</v>
      </c>
      <c r="NO174" s="15">
        <f>IF(ISNA(VLOOKUP($A174,'Données projet'!$A$486:$I$506,4,0)),0,VLOOKUP($A174,'Données projet'!$A$486:$I$506,4,0))</f>
        <v>0</v>
      </c>
      <c r="NP174" s="16">
        <f>IF(ISNA(VLOOKUP($A174,'Données projet'!$A$486:$I$506,5,0)),0%,VLOOKUP($A174,'Données projet'!$A$486:$I$506,5,0)*VLOOKUP('Données projet'!$B$26,Paramètres!$A$1:$I$89,7,0))</f>
        <v>0</v>
      </c>
      <c r="NQ174" s="16">
        <f>IF(ISNA(VLOOKUP($A174,'Données projet'!$A$486:$I$506,6,0)),0%,VLOOKUP($A174,'Données projet'!$A$486:$I$506,6,0)*VLOOKUP('Données projet'!$B$26,Paramètres!$A$1:$I$89,7,0))</f>
        <v>0</v>
      </c>
      <c r="NR174" s="16">
        <f>IF(ISNA(VLOOKUP($A174,'Données projet'!$A$486:$I$506,7,0)),0%,VLOOKUP($A174,'Données projet'!$A$486:$I$506,7,0))</f>
        <v>0</v>
      </c>
      <c r="NS174" s="21" t="e">
        <f>EXP(-LN(2)/35)*NS173+(1-EXP(-LN(2)/35))/(LN(2)/35)*NO174*NP174*VLOOKUP('Données projet'!$B$26,Paramètres!$A$1:$I$89,3,0)*0.475*44/12</f>
        <v>#N/A</v>
      </c>
      <c r="NT174" s="21" t="e">
        <f>EXP(-LN(2)/25)*NT173+(1-EXP(-LN(2)/25))/(LN(2)/25)*Calculateur!NO174*Calculateur!NQ174*VLOOKUP('Données projet'!$B$26,Paramètres!$A$1:$I$89,3,0)*0.475*44/12</f>
        <v>#N/A</v>
      </c>
      <c r="NU174" s="21" t="e">
        <f>EXP(-LN(2)/2)*NU173+(1-EXP(-LN(2)/2))/(LN(2)/2)*NO174*NR174*VLOOKUP('Données projet'!$B$26,Paramètres!$A$1:$I$89,3,0)*0.475*44/12</f>
        <v>#N/A</v>
      </c>
      <c r="NV174" s="22" t="e">
        <f t="shared" si="277"/>
        <v>#N/A</v>
      </c>
      <c r="NW174" s="74">
        <f>('Scénario référence'!$F$8+'Scénario référence'!$F$9+'Scénario référence'!$B$17+'Scénario référence'!$B$9+'Scénario référence'!$B$10)*70+IF((45+25*(1-EXP(-0.0175*$A174)))&lt;70,'Scénario référence'!$B$16*(45+25*(1-EXP(-0.0175*$A174))),70*'Scénario référence'!$B$16)+IF((32+38*(1-EXP(-0.0175*$A174)))&lt;70,'Scénario référence'!$B$18*(32+38*(1-EXP(-0.0175*$A174))),70*'Scénario référence'!$B$18)</f>
        <v>70</v>
      </c>
      <c r="NX174" s="12">
        <f>IF($A174&gt;30,10,('Scénario référence'!$B$16+'Scénario référence'!$B$17+'Scénario référence'!$B$18+'Scénario référence'!$B$9+'Scénario référence'!$B$10)*$A174*10/30+('Scénario référence'!$F$8+'Scénario référence'!$F$9)*10)</f>
        <v>10</v>
      </c>
      <c r="NY174" s="12" t="e">
        <f>VLOOKUP($A174,'Données projet'!$A$512:$I$532,2,0)</f>
        <v>#N/A</v>
      </c>
      <c r="NZ174" s="12" t="e">
        <f>VLOOKUP($A174,'Données projet'!$A$512:$I$532,9,0)</f>
        <v>#N/A</v>
      </c>
      <c r="OA174" s="12">
        <f t="array" ref="OA174">INDEX(NZ:NZ,MIN(IF(ISNUMBER(NZ174:NZ370),ROW(NZ174:NZ370),"")))</f>
        <v>0</v>
      </c>
      <c r="OB174" s="12">
        <f>IF('Données projet'!$A$512&gt;35,OB173+OA174-OJ173,IF($A174&lt;'Données projet'!$A$512,$CQ$205^$A174,IF($A174='Données projet'!$A$512,'Données projet'!$B$512,OB173+OA174-OJ173)))</f>
        <v>0</v>
      </c>
      <c r="OC174" s="17" t="e">
        <f>OB174*VLOOKUP('Données projet'!$B$27,Paramètres!$A$1:$I$89,3,0)*VLOOKUP('Données projet'!$B$27,Paramètres!$A$1:$I$89,5,0)</f>
        <v>#N/A</v>
      </c>
      <c r="OD174" s="13" t="e">
        <f t="shared" si="322"/>
        <v>#N/A</v>
      </c>
      <c r="OE174" s="14" t="e">
        <f t="shared" si="278"/>
        <v>#N/A</v>
      </c>
      <c r="OF174" s="59" t="e">
        <f t="shared" si="279"/>
        <v>#N/A</v>
      </c>
      <c r="OG174" s="20" t="e">
        <f ca="1">AVERAGE(OFFSET($OF$3,0,0,'Données projet'!$E$27+1,1))-AVERAGE(OFFSET($H$3,0,0,'Données projet'!$E$27+1,1))</f>
        <v>#N/A</v>
      </c>
      <c r="OH174" s="59" t="e">
        <f t="shared" si="323"/>
        <v>#N/A</v>
      </c>
      <c r="OI174" s="15">
        <f>IF(ISNA(VLOOKUP($A174,'Données projet'!$A$512:$I$532,3,0)),0,VLOOKUP($A174,'Données projet'!$A$512:$I$532,3,0))</f>
        <v>0</v>
      </c>
      <c r="OJ174" s="15">
        <f>IF(ISNA(VLOOKUP($A174,'Données projet'!$A$512:$I$532,4,0)),0,VLOOKUP($A174,'Données projet'!$A$512:$I$532,4,0))</f>
        <v>0</v>
      </c>
      <c r="OK174" s="16">
        <f>IF(ISNA(VLOOKUP($A174,'Données projet'!$A$512:$I$532,5,0)),0%,VLOOKUP($A174,'Données projet'!$A$512:$I$532,5,0)*VLOOKUP('Données projet'!$B$27,Paramètres!$A$1:$I$89,7,0))</f>
        <v>0</v>
      </c>
      <c r="OL174" s="16">
        <f>IF(ISNA(VLOOKUP($A174,'Données projet'!$A$512:$I$532,6,0)),0%,VLOOKUP($A174,'Données projet'!$A$512:$I$532,6,0)*VLOOKUP('Données projet'!$B$27,Paramètres!$A$1:$I$89,7,0))</f>
        <v>0</v>
      </c>
      <c r="OM174" s="16">
        <f>IF(ISNA(VLOOKUP($A174,'Données projet'!$A$512:$I$532,7,0)),0%,VLOOKUP($A174,'Données projet'!$A$512:$I$532,7,0))</f>
        <v>0</v>
      </c>
      <c r="ON174" s="21" t="e">
        <f>EXP(-LN(2)/35)*ON173+(1-EXP(-LN(2)/35))/(LN(2)/35)*OJ174*OK174*VLOOKUP('Données projet'!$B$27,Paramètres!$A$1:$I$89,3,0)*0.475*44/12</f>
        <v>#N/A</v>
      </c>
      <c r="OO174" s="21" t="e">
        <f>EXP(-LN(2)/25)*OO173+(1-EXP(-LN(2)/25))/(LN(2)/25)*Calculateur!OJ174*Calculateur!OL174*VLOOKUP('Données projet'!$B$27,Paramètres!$A$1:$I$89,3,0)*0.475*44/12</f>
        <v>#N/A</v>
      </c>
      <c r="OP174" s="21" t="e">
        <f>EXP(-LN(2)/2)*OP173+(1-EXP(-LN(2)/2))/(LN(2)/2)*OJ174*OM174*VLOOKUP('Données projet'!$B$27,Paramètres!$A$1:$I$89,3,0)*0.475*44/12</f>
        <v>#N/A</v>
      </c>
      <c r="OQ174" s="22" t="e">
        <f t="shared" si="280"/>
        <v>#N/A</v>
      </c>
      <c r="OR174" s="74">
        <f>('Scénario référence'!$F$8+'Scénario référence'!$F$9+'Scénario référence'!$B$17+'Scénario référence'!$B$9+'Scénario référence'!$B$10)*70+IF((45+25*(1-EXP(-0.0175*$A174)))&lt;70,'Scénario référence'!$B$16*(45+25*(1-EXP(-0.0175*$A174))),70*'Scénario référence'!$B$16)+IF((32+38*(1-EXP(-0.0175*$A174)))&lt;70,'Scénario référence'!$B$18*(32+38*(1-EXP(-0.0175*$A174))),70*'Scénario référence'!$B$18)</f>
        <v>70</v>
      </c>
      <c r="OS174" s="12">
        <f>IF($A174&gt;30,10,('Scénario référence'!$B$16+'Scénario référence'!$B$17+'Scénario référence'!$B$18+'Scénario référence'!$B$9+'Scénario référence'!$B$10)*$A174*10/30+('Scénario référence'!$F$8+'Scénario référence'!$F$9)*10)</f>
        <v>10</v>
      </c>
      <c r="OT174" s="12" t="e">
        <f>VLOOKUP($A174,'Données projet'!$A$538:$I$558,2,0)</f>
        <v>#N/A</v>
      </c>
      <c r="OU174" s="12" t="e">
        <f>VLOOKUP($A174,'Données projet'!$A$538:$I$558,9,0)</f>
        <v>#N/A</v>
      </c>
      <c r="OV174" s="12">
        <f t="array" ref="OV174">INDEX(OU:OU,MIN(IF(ISNUMBER(OU174:OU370),ROW(OU174:OU370),"")))</f>
        <v>0</v>
      </c>
      <c r="OW174" s="12">
        <f>IF('Données projet'!$A$538&gt;35,OW173+OV174-PE173,IF($A174&lt;'Données projet'!$A$538,$CQ$205^$A174,IF($A174='Données projet'!$A$538,'Données projet'!$B$538,OW173+OV174-PE173)))</f>
        <v>0</v>
      </c>
      <c r="OX174" s="17" t="e">
        <f>OW174*VLOOKUP('Données projet'!$B$28,Paramètres!$A$1:$I$89,3,0)*VLOOKUP('Données projet'!$B$28,Paramètres!$A$1:$I$89,5,0)</f>
        <v>#N/A</v>
      </c>
      <c r="OY174" s="13" t="e">
        <f t="shared" si="324"/>
        <v>#N/A</v>
      </c>
      <c r="OZ174" s="14" t="e">
        <f t="shared" si="281"/>
        <v>#N/A</v>
      </c>
      <c r="PA174" s="59" t="e">
        <f t="shared" si="282"/>
        <v>#N/A</v>
      </c>
      <c r="PB174" s="20" t="e">
        <f ca="1">AVERAGE(OFFSET($PA$3,0,0,'Données projet'!$E$28+1,1))-AVERAGE(OFFSET($H$3,0,0,'Données projet'!$E$28+1,1))</f>
        <v>#N/A</v>
      </c>
      <c r="PC174" s="59" t="e">
        <f t="shared" si="325"/>
        <v>#N/A</v>
      </c>
      <c r="PD174" s="15">
        <f>IF(ISNA(VLOOKUP($A174,'Données projet'!$A$538:$I$558,3,0)),0,VLOOKUP($A174,'Données projet'!$A$538:$I$558,3,0))</f>
        <v>0</v>
      </c>
      <c r="PE174" s="15">
        <f>IF(ISNA(VLOOKUP($A174,'Données projet'!$A$538:$I$558,4,0)),0,VLOOKUP($A174,'Données projet'!$A$538:$I$558,4,0))</f>
        <v>0</v>
      </c>
      <c r="PF174" s="16">
        <f>IF(ISNA(VLOOKUP($A174,'Données projet'!$A$538:$I$558,5,0)),0%,VLOOKUP($A174,'Données projet'!$A$538:$I$558,5,0)*VLOOKUP('Données projet'!$B$28,Paramètres!$A$1:$I$89,7,0))</f>
        <v>0</v>
      </c>
      <c r="PG174" s="16">
        <f>IF(ISNA(VLOOKUP($A174,'Données projet'!$A$538:$I$558,6,0)),0%,VLOOKUP($A174,'Données projet'!$A$538:$I$558,6,0)*VLOOKUP('Données projet'!$B$28,Paramètres!$A$1:$I$89,7,0))</f>
        <v>0</v>
      </c>
      <c r="PH174" s="16">
        <f>IF(ISNA(VLOOKUP($A174,'Données projet'!$A$538:$I$558,7,0)),0%,VLOOKUP($A174,'Données projet'!$A$538:$I$558,7,0))</f>
        <v>0</v>
      </c>
      <c r="PI174" s="21" t="e">
        <f>EXP(-LN(2)/35)*PI173+(1-EXP(-LN(2)/35))/(LN(2)/35)*PE174*PF174*VLOOKUP('Données projet'!$B$28,Paramètres!$A$1:$I$89,3,0)*0.475*44/12</f>
        <v>#N/A</v>
      </c>
      <c r="PJ174" s="21" t="e">
        <f>EXP(-LN(2)/25)*PJ173+(1-EXP(-LN(2)/25))/(LN(2)/25)*Calculateur!PE174*Calculateur!PG174*VLOOKUP('Données projet'!$B$28,Paramètres!$A$1:$I$89,3,0)*0.475*44/12</f>
        <v>#N/A</v>
      </c>
      <c r="PK174" s="21" t="e">
        <f>EXP(-LN(2)/2)*PK173+(1-EXP(-LN(2)/2))/(LN(2)/2)*PE174*PH174*VLOOKUP('Données projet'!$B$28,Paramètres!$A$1:$I$89,3,0)*0.475*44/12</f>
        <v>#N/A</v>
      </c>
      <c r="PL174" s="22" t="e">
        <f t="shared" si="283"/>
        <v>#N/A</v>
      </c>
    </row>
    <row r="175" spans="1:428" x14ac:dyDescent="0.35">
      <c r="A175" s="10">
        <f t="shared" si="326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285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225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projet'!$A$45:$I$65,2,0)</f>
        <v>#N/A</v>
      </c>
      <c r="L175" s="12" t="e">
        <f>VLOOKUP(A175,'Données projet'!$A$45:$I$65,9,0)</f>
        <v>#N/A</v>
      </c>
      <c r="M175" s="12">
        <f t="array" ref="M175">INDEX(L:L,MIN(IF(ISNUMBER(L175:L371),ROW(L175:L371),"")))</f>
        <v>0</v>
      </c>
      <c r="N175" s="13">
        <f>IF('Données projet'!$A$46&gt;35,N174+M175-V174,IF(A175&lt;'Données projet'!$A$46,$K$205^A175,IF(A175='Données projet'!$A$46,'Données projet'!$B$46,N174+M175-V174)))</f>
        <v>-1.1368683772161603E-13</v>
      </c>
      <c r="O175" s="13">
        <f>N175*VLOOKUP('Données projet'!$B$9,Paramètres!$A$1:$I$89,3,0)*VLOOKUP('Données projet'!$B$9,Paramètres!$A$1:$I$89,5,0)</f>
        <v>-6.3550942286383367E-14</v>
      </c>
      <c r="P175" s="13" t="e">
        <f t="shared" si="286"/>
        <v>#NUM!</v>
      </c>
      <c r="Q175" s="20" t="e">
        <f t="shared" si="327"/>
        <v>#NUM!</v>
      </c>
      <c r="R175" s="59" t="e">
        <f t="shared" si="224"/>
        <v>#NUM!</v>
      </c>
      <c r="S175" s="59">
        <f ca="1">AVERAGE(OFFSET($R$3,0,0,'Données projet'!$E$9+1,1))-AVERAGE(OFFSET($H$3,0,0,'Données projet'!$E$9+1,1))</f>
        <v>274.57619581652199</v>
      </c>
      <c r="T175" s="59">
        <f t="shared" si="287"/>
        <v>366.15117322598775</v>
      </c>
      <c r="U175" s="15">
        <f>IF(ISNA(VLOOKUP(A175,'Données projet'!$A$45:$I$65,3,0)),0,VLOOKUP(A175,'Données projet'!$A$45:$I$65,3,0))</f>
        <v>0</v>
      </c>
      <c r="V175" s="15">
        <f>IF(ISNA(VLOOKUP(A175,'Données projet'!$A$45:$I$65,4,0)),0,VLOOKUP(A175,'Données projet'!$A$45:$I$65,4,0))</f>
        <v>0</v>
      </c>
      <c r="W175" s="16">
        <f>IF(ISNA(VLOOKUP(A175,'Données projet'!$A$45:$I$65,5,0)),0%,VLOOKUP(A175,'Données projet'!$A$45:$I$65,5,0)*VLOOKUP('Données projet'!$B$9,Paramètres!$A$1:$I$89,7,0))</f>
        <v>0</v>
      </c>
      <c r="X175" s="16">
        <f>IF(ISNA(VLOOKUP(A175,'Données projet'!$A$45:$I$65,6,0)),0%,VLOOKUP(A175,'Données projet'!$A$45:$I$65,6,0)*VLOOKUP('Données projet'!$B$9,Paramètres!$A$1:$I$89,7,0))</f>
        <v>0</v>
      </c>
      <c r="Y175" s="16">
        <f>IF(ISNA(VLOOKUP(A175,'Données projet'!$A$45:$I$65,7,0)),0%,VLOOKUP(A175,'Données projet'!$A$45:$I$65,7,0))</f>
        <v>0</v>
      </c>
      <c r="Z175" s="21">
        <f>EXP(-LN(2)/35)*Z174+(1-EXP(-LN(2)/35))/(LN(2)/35)*V175*W175*VLOOKUP('Données projet'!$B$9,Paramètres!$A$1:$I$89,3,0)*0.475*44/12</f>
        <v>22.339272306939581</v>
      </c>
      <c r="AA175" s="21">
        <f>EXP(-LN(2)/25)*AA174+(1-EXP(-LN(2)/25))/(LN(2)/25)*Calculateur!V175*Calculateur!X175*VLOOKUP('Données projet'!$B$9,Paramètres!$A$1:$I$89,3,0)*0.475*44/12</f>
        <v>2.2472946025000078</v>
      </c>
      <c r="AB175" s="21">
        <f>EXP(-LN(2)/2)*AB174+(1-EXP(-LN(2)/2))/(LN(2)/2)*V175*Y175*VLOOKUP('Données projet'!$B$9,Paramètres!$A$1:$I$89,3,0)*0.475*44/12</f>
        <v>8.3806884055720067E-17</v>
      </c>
      <c r="AC175" s="22">
        <f t="shared" si="328"/>
        <v>24.58656690943959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projet'!$A$71:$I$91,2,0)</f>
        <v>#N/A</v>
      </c>
      <c r="AG175" s="12" t="e">
        <f>VLOOKUP(A175,'Données projet'!$A$71:$I$91,9,0)</f>
        <v>#N/A</v>
      </c>
      <c r="AH175" s="12">
        <f t="array" ref="AH175">INDEX(AG:AG,MIN(IF(ISNUMBER(AG175:AG371),ROW(AG175:AG371),"")))</f>
        <v>0</v>
      </c>
      <c r="AI175" s="13">
        <f>IF('Données projet'!$A$72&gt;35,AI174+AH175-AQ174,IF(A175&lt;'Données projet'!$A$72,$AF$205^A175,IF(A175='Données projet'!$A$72,'Données projet'!$B$72,AI174+AH175-AQ174)))</f>
        <v>5.6843418860808015E-13</v>
      </c>
      <c r="AJ175" s="13">
        <f>AI175*VLOOKUP('Données projet'!$B$10,Paramètres!$A$1:$I$89,3,0)*VLOOKUP('Données projet'!$B$10,Paramètres!$A$1:$I$89,5,0)</f>
        <v>5.1431925385259092E-13</v>
      </c>
      <c r="AK175" s="13">
        <f t="shared" si="329"/>
        <v>6.3855359115685756E-12</v>
      </c>
      <c r="AL175" s="20">
        <f t="shared" si="330"/>
        <v>1.2017247746441865E-11</v>
      </c>
      <c r="AM175" s="59">
        <f t="shared" si="228"/>
        <v>293.33333333334531</v>
      </c>
      <c r="AN175" s="59">
        <f ca="1">AVERAGE(OFFSET($AM$3,0,0,'Données projet'!$E$10+1,1))-AVERAGE(OFFSET($H$3,0,0,'Données projet'!$E$10+1,1))</f>
        <v>270.87836509222456</v>
      </c>
      <c r="AO175" s="59">
        <f t="shared" si="289"/>
        <v>205.24998237949734</v>
      </c>
      <c r="AP175" s="15">
        <f>IF(ISNA(VLOOKUP(A175,'Données projet'!$A$71:$I$91,3,0)),0,VLOOKUP(A175,'Données projet'!$A$71:$I$91,3,0))</f>
        <v>0</v>
      </c>
      <c r="AQ175" s="15">
        <f>IF(ISNA(VLOOKUP(A175,'Données projet'!$A$71:$I$91,4,0)),0,VLOOKUP(A175,'Données projet'!$A$71:$I$91,4,0))</f>
        <v>0</v>
      </c>
      <c r="AR175" s="16">
        <f>IF(ISNA(VLOOKUP(A175,'Données projet'!$A$71:$I$91,5,0)),0%,VLOOKUP(A175,'Données projet'!$A$71:$I$91,5,0)*VLOOKUP('Données projet'!$B$10,Paramètres!$A$1:$I$89,7,0))</f>
        <v>0</v>
      </c>
      <c r="AS175" s="16">
        <f>IF(ISNA(VLOOKUP(A175,'Données projet'!$A$71:$I$91,6,0)),0%,VLOOKUP(A175,'Données projet'!$A$71:$I$91,6,0)*VLOOKUP('Données projet'!$B$10,Paramètres!$A$1:$I$89,7,0))</f>
        <v>0</v>
      </c>
      <c r="AT175" s="16">
        <f>IF(ISNA(VLOOKUP(A175,'Données projet'!$A$71:$I$91,7,0)),0%,VLOOKUP(A175,'Données projet'!$A$71:$I$91,7,0))</f>
        <v>0</v>
      </c>
      <c r="AU175" s="21">
        <f>EXP(-LN(2)/35)*AU174+(1-EXP(-LN(2)/35))/(LN(2)/35)*AQ175*AR175*VLOOKUP('Données projet'!$B$10,Paramètres!$A$1:$I$89,3,0)*0.475*44/12</f>
        <v>75.914538834446191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331"/>
        <v>75.914538834446191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projet'!$A$97:$I$117,2,0)</f>
        <v>#N/A</v>
      </c>
      <c r="BB175" s="12" t="e">
        <f>VLOOKUP(A175,'Données projet'!$A$97:$I$117,9,0)</f>
        <v>#N/A</v>
      </c>
      <c r="BC175" s="12">
        <f t="array" ref="BC175">INDEX(BB:BB,MIN(IF(ISNUMBER(BB175:BB371),ROW(BB175:BB371),"")))</f>
        <v>0</v>
      </c>
      <c r="BD175" s="12">
        <f>IF('Données projet'!$A$98&gt;35,BD174+BC175-BL174,IF(A175&lt;'Données projet'!$A$98,$BA$205^A175,IF(A175='Données projet'!$A$98,'Données projet'!$B$98,BD174+BC175-BL174)))</f>
        <v>-1.1368683772161603E-13</v>
      </c>
      <c r="BE175" s="13">
        <f>BD175*VLOOKUP('Données projet'!$B$11,Paramètres!$A$1:$I$89,3,0)*VLOOKUP('Données projet'!$B$11,Paramètres!$A$1:$I$89,5,0)</f>
        <v>-5.0249582272954292E-14</v>
      </c>
      <c r="BF175" s="13" t="e">
        <f t="shared" si="332"/>
        <v>#NUM!</v>
      </c>
      <c r="BG175" s="20" t="e">
        <f t="shared" si="333"/>
        <v>#NUM!</v>
      </c>
      <c r="BH175" s="59" t="e">
        <f t="shared" si="231"/>
        <v>#NUM!</v>
      </c>
      <c r="BI175" s="59">
        <f ca="1">AVERAGE(OFFSET($BH$3,0,0,'Données projet'!$E$11+1,1))-AVERAGE(OFFSET($H$3,0,0,'Données projet'!$E$11+1,1))</f>
        <v>211.31057120485542</v>
      </c>
      <c r="BJ175" s="59">
        <f t="shared" si="291"/>
        <v>283.33292006714777</v>
      </c>
      <c r="BK175" s="15">
        <f>IF(ISNA(VLOOKUP(A175,'Données projet'!$A$97:$I$117,3,0)),0,VLOOKUP(A175,'Données projet'!$A$97:$I$117,3,0))</f>
        <v>0</v>
      </c>
      <c r="BL175" s="15">
        <f>IF(ISNA(VLOOKUP(A175,'Données projet'!$A$97:$I$117,4,0)),0,VLOOKUP(A175,'Données projet'!$A$97:$I$117,4,0))</f>
        <v>0</v>
      </c>
      <c r="BM175" s="16">
        <f>IF(ISNA(VLOOKUP(A175,'Données projet'!$A$97:$I$117,5,0)),0%,VLOOKUP(A175,'Données projet'!$A$97:$I$117,5,0)*VLOOKUP('Données projet'!$B$11,Paramètres!$A$1:$I$89,7,0))</f>
        <v>0</v>
      </c>
      <c r="BN175" s="16">
        <f>IF(ISNA(VLOOKUP(A175,'Données projet'!$A$97:$I$117,6,0)),0%,VLOOKUP(A175,'Données projet'!$A$97:$I$117,6,0)*VLOOKUP('Données projet'!$B$11,Paramètres!$A$1:$I$89,7,0))</f>
        <v>0</v>
      </c>
      <c r="BO175" s="16">
        <f>IF(ISNA(VLOOKUP(A175,'Données projet'!$A$97:$I$117,7,0)),0%,VLOOKUP(A175,'Données projet'!$A$97:$I$117,7,0))</f>
        <v>0</v>
      </c>
      <c r="BP175" s="21">
        <f>EXP(-LN(2)/35)*BP174+(1-EXP(-LN(2)/35))/(LN(2)/35)*BL175*BM175*VLOOKUP('Données projet'!$B$11,Paramètres!$A$1:$I$89,3,0)*0.475*44/12</f>
        <v>17.663610661301075</v>
      </c>
      <c r="BQ175" s="21">
        <f>EXP(-LN(2)/25)*BQ174+(1-EXP(-LN(2)/25))/(LN(2)/25)*Calculateur!BL175*Calculateur!BN175*VLOOKUP('Données projet'!$B$11,Paramètres!$A$1:$I$89,3,0)*0.475*44/12</f>
        <v>1.7769306159302378</v>
      </c>
      <c r="BR175" s="21">
        <f>EXP(-LN(2)/2)*BR174+(1-EXP(-LN(2)/2))/(LN(2)/2)*BL175*BO175*VLOOKUP('Données projet'!$B$11,Paramètres!$A$1:$I$89,3,0)*0.475*44/12</f>
        <v>6.6265908323127482E-17</v>
      </c>
      <c r="BS175" s="22">
        <f t="shared" si="334"/>
        <v>19.440541277231311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projet'!$A$123:$I$143,2,0)</f>
        <v>#N/A</v>
      </c>
      <c r="BW175" s="12" t="e">
        <f>VLOOKUP(A175,'Données projet'!$A$123:$I$143,9,0)</f>
        <v>#N/A</v>
      </c>
      <c r="BX175" s="12">
        <f t="array" ref="BX175">INDEX(BW:BW,MIN(IF(ISNUMBER(BW175:BW371),ROW(BW175:BW371),"")))</f>
        <v>0</v>
      </c>
      <c r="BY175" s="12">
        <f>IF('Données projet'!$A$124&gt;35,BY174+BX175-CG174,IF(A175&lt;'Données projet'!$A$124,$BV$205^A175,IF(A175='Données projet'!$A$124,'Données projet'!$B$124,BY174+BX175-CG174)))</f>
        <v>0</v>
      </c>
      <c r="BZ175" s="13">
        <f>BY175*VLOOKUP('Données projet'!$B$12,Paramètres!$A$1:$I$89,3,0)*VLOOKUP('Données projet'!$B$12,Paramètres!$A$1:$I$89,5,0)</f>
        <v>0</v>
      </c>
      <c r="CA175" s="13" t="e">
        <f t="shared" si="335"/>
        <v>#NUM!</v>
      </c>
      <c r="CB175" s="20" t="e">
        <f t="shared" si="336"/>
        <v>#NUM!</v>
      </c>
      <c r="CC175" s="59" t="e">
        <f t="shared" si="234"/>
        <v>#NUM!</v>
      </c>
      <c r="CD175" s="59">
        <f ca="1">AVERAGE(OFFSET($CC$3,0,0,'Données projet'!$E$12+1,1))-AVERAGE(OFFSET($H$3,0,0,'Données projet'!$E$12+1,1))</f>
        <v>322.93502595881938</v>
      </c>
      <c r="CE175" s="59">
        <f t="shared" si="293"/>
        <v>302.67072119588164</v>
      </c>
      <c r="CF175" s="15">
        <f>IF(ISNA(VLOOKUP(A175,'Données projet'!$A$123:$I$143,3,0)),0,VLOOKUP(A175,'Données projet'!$A$123:$I$143,3,0))</f>
        <v>0</v>
      </c>
      <c r="CG175" s="15">
        <f>IF(ISNA(VLOOKUP(A175,'Données projet'!$A$123:$I$143,4,0)),0,VLOOKUP(A175,'Données projet'!$A$123:$I$143,4,0))</f>
        <v>0</v>
      </c>
      <c r="CH175" s="16">
        <f>IF(ISNA(VLOOKUP(A175,'Données projet'!$A$123:$I$143,5,0)),0%,VLOOKUP(A175,'Données projet'!$A$123:$I$143,5,0)*VLOOKUP('Données projet'!$B$12,Paramètres!$A$1:$I$89,7,0))</f>
        <v>0</v>
      </c>
      <c r="CI175" s="16">
        <f>IF(ISNA(VLOOKUP(A175,'Données projet'!$A$123:$I$143,6,0)),0%,VLOOKUP(A175,'Données projet'!$A$123:$I$143,6,0)*VLOOKUP('Données projet'!$B$12,Paramètres!$A$1:$I$89,7,0))</f>
        <v>0</v>
      </c>
      <c r="CJ175" s="16">
        <f>IF(ISNA(VLOOKUP(A175,'Données projet'!$A$123:$I$143,7,0)),0%,VLOOKUP(A175,'Données projet'!$A$123:$I$143,7,0))</f>
        <v>0</v>
      </c>
      <c r="CK175" s="21">
        <f>EXP(-LN(2)/35)*CK174+(1-EXP(-LN(2)/35))/(LN(2)/35)*CG175*CH175*VLOOKUP('Données projet'!$B$12,Paramètres!$A$1:$I$89,3,0)*0.475*44/12</f>
        <v>28.142399916098391</v>
      </c>
      <c r="CL175" s="21">
        <f>EXP(-LN(2)/25)*CL174+(1-EXP(-LN(2)/25))/(LN(2)/25)*Calculateur!CG175*Calculateur!CI175*VLOOKUP('Données projet'!$B$12,Paramètres!$A$1:$I$89,3,0)*0.475*44/12</f>
        <v>5.6872530832444248</v>
      </c>
      <c r="CM175" s="21">
        <f>EXP(-LN(2)/2)*CM174+(1-EXP(-LN(2)/2))/(LN(2)/2)*CG175*CJ175*VLOOKUP('Données projet'!$B$12,Paramètres!$A$1:$I$89,3,0)*0.475*44/12</f>
        <v>0</v>
      </c>
      <c r="CN175" s="22">
        <f t="shared" si="337"/>
        <v>33.829652999342812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projet'!$A$149:$I$169,2,0)</f>
        <v>#N/A</v>
      </c>
      <c r="CR175" s="12" t="e">
        <f>VLOOKUP(A175,'Données projet'!$A$149:$I$169,9,0)</f>
        <v>#N/A</v>
      </c>
      <c r="CS175" s="12">
        <f t="array" ref="CS175">INDEX(CR:CR,MIN(IF(ISNUMBER(CR175:CR371),ROW(CR175:CR371),"")))</f>
        <v>0</v>
      </c>
      <c r="CT175" s="12">
        <f>IF('Données projet'!$A$150&gt;35,CT174+CS175-DB174,IF(A175&lt;'Données projet'!$A$150,$CQ$205^A175,IF(A175='Données projet'!$A$150,'Données projet'!$B$150,CT174+CS175-DB174)))</f>
        <v>-4.5474735088646412E-13</v>
      </c>
      <c r="CU175" s="17">
        <f>CT175*VLOOKUP('Données projet'!$B$13,Paramètres!$A$1:$I$89,3,0)*VLOOKUP('Données projet'!$B$13,Paramètres!$A$1:$I$89,5,0)</f>
        <v>-4.6111381379887462E-13</v>
      </c>
      <c r="CV175" s="13" t="e">
        <f t="shared" si="338"/>
        <v>#NUM!</v>
      </c>
      <c r="CW175" s="20" t="e">
        <f t="shared" si="339"/>
        <v>#NUM!</v>
      </c>
      <c r="CX175" s="59" t="e">
        <f t="shared" si="237"/>
        <v>#NUM!</v>
      </c>
      <c r="CY175" s="59">
        <f ca="1">AVERAGE(OFFSET($CX$3,0,0,'Données projet'!$E$13+1,1))-AVERAGE(OFFSET($H$3,0,0,'Données projet'!$E$13+1,1))</f>
        <v>250.31277422753283</v>
      </c>
      <c r="CZ175" s="59">
        <f t="shared" si="295"/>
        <v>159.20429420478047</v>
      </c>
      <c r="DA175" s="15">
        <f>IF(ISNA(VLOOKUP(A175,'Données projet'!$A$149:$I$169,3,0)),0,VLOOKUP(A175,'Données projet'!$A$149:$I$169,3,0))</f>
        <v>0</v>
      </c>
      <c r="DB175" s="15">
        <f>IF(ISNA(VLOOKUP(A175,'Données projet'!$A$149:$I$169,4,0)),0,VLOOKUP(A175,'Données projet'!$A$149:$I$169,4,0))</f>
        <v>0</v>
      </c>
      <c r="DC175" s="16">
        <f>IF(ISNA(VLOOKUP(A175,'Données projet'!$A$149:$I$169,5,0)),0%,VLOOKUP(A175,'Données projet'!$A$149:$I$169,5,0)*VLOOKUP('Données projet'!$B$13,Paramètres!$A$1:$I$89,7,0))</f>
        <v>0</v>
      </c>
      <c r="DD175" s="16">
        <f>IF(ISNA(VLOOKUP(A175,'Données projet'!$A$149:$I$169,6,0)),0%,VLOOKUP(A175,'Données projet'!$A$149:$I$169,6,0)*VLOOKUP('Données projet'!$B$13,Paramètres!$A$1:$I$89,7,0))</f>
        <v>0</v>
      </c>
      <c r="DE175" s="16">
        <f>IF(ISNA(VLOOKUP(A175,'Données projet'!$A$149:$I$169,7,0)),0%,VLOOKUP(A175,'Données projet'!$A$149:$I$169,7,0))</f>
        <v>0</v>
      </c>
      <c r="DF175" s="21">
        <f>EXP(-LN(2)/35)*DF174+(1-EXP(-LN(2)/35))/(LN(2)/35)*DB175*DC175*VLOOKUP('Données projet'!$B$13,Paramètres!$A$1:$I$89,3,0)*0.475*44/12</f>
        <v>128.11258913367661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340"/>
        <v>128.11258913367661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projet'!$A$175:$I$195,2,0)</f>
        <v>#N/A</v>
      </c>
      <c r="DM175" s="12" t="e">
        <f>VLOOKUP(A175,'Données projet'!$A$175:$I$195,9,0)</f>
        <v>#N/A</v>
      </c>
      <c r="DN175" s="12">
        <f t="array" ref="DN175">INDEX(DM:DM,MIN(IF(ISNUMBER(DM175:DM371),ROW(DM175:DM371),"")))</f>
        <v>0</v>
      </c>
      <c r="DO175" s="12">
        <f>IF('Données projet'!$A$176&gt;35,DO174+DN175-DW174,IF(A175&lt;'Données projet'!$A$176,$DL$205^A175,IF(A175='Données projet'!$A$176,'Données projet'!$B$176,DO174+DN175-DW174)))</f>
        <v>-2.8421709430404007E-13</v>
      </c>
      <c r="DP175" s="17">
        <f>DO175*VLOOKUP('Données projet'!$B$14,Paramètres!$A$1:$I$89,3,0)*VLOOKUP('Données projet'!$B$14,Paramètres!$A$1:$I$89,5,0)</f>
        <v>-2.0838797354372215E-13</v>
      </c>
      <c r="DQ175" s="13" t="e">
        <f t="shared" si="341"/>
        <v>#NUM!</v>
      </c>
      <c r="DR175" s="20" t="e">
        <f t="shared" si="342"/>
        <v>#NUM!</v>
      </c>
      <c r="DS175" s="59" t="e">
        <f t="shared" si="240"/>
        <v>#NUM!</v>
      </c>
      <c r="DT175" s="59">
        <f ca="1">AVERAGE(OFFSET($DS$3,0,0,'Données projet'!$E$14+1,1))-AVERAGE(OFFSET($H$3,0,0,'Données projet'!$E$14+1,1))</f>
        <v>296.91321813251051</v>
      </c>
      <c r="DU175" s="59">
        <f t="shared" si="297"/>
        <v>291.0718079639509</v>
      </c>
      <c r="DV175" s="15">
        <f>IF(ISNA(VLOOKUP(A175,'Données projet'!$A$175:$I$195,3,0)),0,VLOOKUP(A175,'Données projet'!$A$175:$I$195,3,0))</f>
        <v>0</v>
      </c>
      <c r="DW175" s="15">
        <f>IF(ISNA(VLOOKUP(A175,'Données projet'!$A$175:$I$195,4,0)),0,VLOOKUP(A175,'Données projet'!$A$175:$I$195,4,0))</f>
        <v>0</v>
      </c>
      <c r="DX175" s="16">
        <f>IF(ISNA(VLOOKUP(A175,'Données projet'!$A$175:$I$195,5,0)),0%,VLOOKUP(A175,'Données projet'!$A$175:$I$195,5,0)*VLOOKUP('Données projet'!$B$14,Paramètres!$A$1:$I$89,7,0))</f>
        <v>0</v>
      </c>
      <c r="DY175" s="16">
        <f>IF(ISNA(VLOOKUP(A175,'Données projet'!$A$175:$I$195,6,0)),0%,VLOOKUP(A175,'Données projet'!$A$175:$I$195,6,0)*VLOOKUP('Données projet'!$B$14,Paramètres!$A$1:$I$89,7,0))</f>
        <v>0</v>
      </c>
      <c r="DZ175" s="16">
        <f>IF(ISNA(VLOOKUP(A175,'Données projet'!$A$175:$I$195,7,0)),0%,VLOOKUP(A175,'Données projet'!$A$175:$I$195,7,0))</f>
        <v>0</v>
      </c>
      <c r="EA175" s="21">
        <f>EXP(-LN(2)/35)*EA174+(1-EXP(-LN(2)/35))/(LN(2)/35)*DW175*DX175*VLOOKUP('Données projet'!$B$14,Paramètres!$A$1:$I$89,3,0)*0.475*44/12</f>
        <v>28.048937797355393</v>
      </c>
      <c r="EB175" s="21">
        <f>EXP(-LN(2)/25)*EB174+(1-EXP(-LN(2)/25))/(LN(2)/25)*Calculateur!DW175*Calculateur!DY175*VLOOKUP('Données projet'!$B$14,Paramètres!$A$1:$I$89,3,0)*0.475*44/12</f>
        <v>0.41779076952428307</v>
      </c>
      <c r="EC175" s="21">
        <f>EXP(-LN(2)/2)*EC174+(1-EXP(-LN(2)/2))/(LN(2)/2)*DW175*DZ175*VLOOKUP('Données projet'!$B$14,Paramètres!$A$1:$I$89,3,0)*0.475*44/12</f>
        <v>0</v>
      </c>
      <c r="ED175" s="22">
        <f t="shared" si="343"/>
        <v>28.466728566879677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projet'!$A$201:$I$221,2,0)</f>
        <v>#N/A</v>
      </c>
      <c r="EH175" s="12" t="e">
        <f>VLOOKUP(A175,'Données projet'!$A$201:$I$221,9,0)</f>
        <v>#N/A</v>
      </c>
      <c r="EI175" s="12">
        <f t="array" ref="EI175">INDEX(EH:EH,MIN(IF(ISNUMBER(EH175:EH371),ROW(EH175:EH371),"")))</f>
        <v>0</v>
      </c>
      <c r="EJ175" s="12">
        <f>IF('Données projet'!$A$202&gt;35,EJ174+EI175-ER174,IF(A175&lt;'Données projet'!$A$202,$EG$205^A175,IF(A175='Données projet'!$A$202,'Données projet'!$B$202,EJ174+EI175-ER174)))</f>
        <v>5.1159076974727213E-13</v>
      </c>
      <c r="EK175" s="17">
        <f>EJ175*VLOOKUP('Données projet'!$B$15,Paramètres!$A$1:$I$89,3,0)*VLOOKUP('Données projet'!$B$15,Paramètres!$A$1:$I$89,5,0)</f>
        <v>2.3942448024172334E-13</v>
      </c>
      <c r="EL175" s="13">
        <f t="shared" si="344"/>
        <v>3.2492669905861755E-12</v>
      </c>
      <c r="EM175" s="20">
        <f t="shared" si="345"/>
        <v>6.0761376450252565E-12</v>
      </c>
      <c r="EN175" s="59">
        <f t="shared" si="243"/>
        <v>293.3333333333394</v>
      </c>
      <c r="EO175" s="59">
        <f ca="1">AVERAGE(OFFSET($EN$3,0,0,'Données projet'!$E$15+1,1))-AVERAGE(OFFSET($H$3,0,0,'Données projet'!$E$15+1,1))</f>
        <v>147.64256291235483</v>
      </c>
      <c r="EP175" s="59">
        <f t="shared" si="299"/>
        <v>70.859031694091868</v>
      </c>
      <c r="EQ175" s="15">
        <f>IF(ISNA(VLOOKUP(A175,'Données projet'!$A$201:$I$221,3,0)),0,VLOOKUP(A175,'Données projet'!$A$201:$I$221,3,0))</f>
        <v>0</v>
      </c>
      <c r="ER175" s="15">
        <f>IF(ISNA(VLOOKUP(A175,'Données projet'!$A$201:$I$221,4,0)),0,VLOOKUP(A175,'Données projet'!$A$201:$I$221,4,0))</f>
        <v>0</v>
      </c>
      <c r="ES175" s="16">
        <f>IF(ISNA(VLOOKUP(A175,'Données projet'!$A$201:$I$221,5,0)),0%,VLOOKUP(A175,'Données projet'!$A$201:$I$221,5,0)*VLOOKUP('Données projet'!$B$15,Paramètres!$A$1:$I$89,7,0))</f>
        <v>0</v>
      </c>
      <c r="ET175" s="16">
        <f>IF(ISNA(VLOOKUP(A175,'Données projet'!$A$201:$I$221,6,0)),0%,VLOOKUP(A175,'Données projet'!$A$201:$I$221,6,0)*VLOOKUP('Données projet'!$B$15,Paramètres!$A$1:$I$89,7,0))</f>
        <v>0</v>
      </c>
      <c r="EU175" s="16">
        <f>IF(ISNA(VLOOKUP(A175,'Données projet'!$A$201:$I$221,7,0)),0%,VLOOKUP(A175,'Données projet'!$A$201:$I$221,7,0))</f>
        <v>0</v>
      </c>
      <c r="EV175" s="21">
        <f>EXP(-LN(2)/35)*EV174+(1-EXP(-LN(2)/35))/(LN(2)/35)*ER175*ES175*VLOOKUP('Données projet'!$B$15,Paramètres!$A$1:$I$89,3,0)*0.475*44/12</f>
        <v>38.39943797548235</v>
      </c>
      <c r="EW175" s="21">
        <f>EXP(-LN(2)/25)*EW174+(1-EXP(-LN(2)/25))/(LN(2)/25)*Calculateur!ER175*Calculateur!ET175*VLOOKUP('Données projet'!$B$15,Paramètres!$A$1:$I$89,3,0)*0.475*44/12</f>
        <v>5.7964260100632261</v>
      </c>
      <c r="EX175" s="21">
        <f>EXP(-LN(2)/2)*EX174+(1-EXP(-LN(2)/2))/(LN(2)/2)*ER175*EU175*VLOOKUP('Données projet'!$B$15,Paramètres!$A$1:$I$89,3,0)*0.475*44/12</f>
        <v>6.0417142917355661E-9</v>
      </c>
      <c r="EY175" s="22">
        <f t="shared" si="346"/>
        <v>44.195863991587295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projet'!$A$227:$I$247,2,0)</f>
        <v>#N/A</v>
      </c>
      <c r="FC175" s="12" t="e">
        <f>VLOOKUP(A175,'Données projet'!$A$227:$I$247,9,0)</f>
        <v>#N/A</v>
      </c>
      <c r="FD175" s="12">
        <f t="array" ref="FD175">INDEX(FC:FC,MIN(IF(ISNUMBER(FC175:FC371),ROW(FC175:FC371),"")))</f>
        <v>0</v>
      </c>
      <c r="FE175" s="12">
        <f>IF('Données projet'!$A$228&gt;35,FE174+FD175-FM174,IF(A175&lt;'Données projet'!$A$228,$FB$205^A175,IF(A175='Données projet'!$A$228,'Données projet'!$B$228,FE174+FD175-FM174)))</f>
        <v>8.5265128291212022E-14</v>
      </c>
      <c r="FF175" s="17">
        <f>FE175*VLOOKUP('Données projet'!$B$16,Paramètres!$A$1:$I$89,3,0)*VLOOKUP('Données projet'!$B$16,Paramètres!$A$1:$I$89,5,0)</f>
        <v>8.9119112089974823E-14</v>
      </c>
      <c r="FG175" s="13">
        <f t="shared" si="347"/>
        <v>1.3568952080113142E-12</v>
      </c>
      <c r="FH175" s="20">
        <f t="shared" si="348"/>
        <v>2.5184749408430782E-12</v>
      </c>
      <c r="FI175" s="59">
        <f t="shared" si="246"/>
        <v>293.33333333333582</v>
      </c>
      <c r="FJ175" s="59">
        <f ca="1">AVERAGE(OFFSET($FI$3,0,0,'Données projet'!$E$16+1,1))-AVERAGE(OFFSET($H$3,0,0,'Données projet'!$E$16+1,1))</f>
        <v>259.03906550253788</v>
      </c>
      <c r="FK175" s="59">
        <f t="shared" si="301"/>
        <v>235.54542903570831</v>
      </c>
      <c r="FL175" s="15">
        <f>IF(ISNA(VLOOKUP(A175,'Données projet'!$A$227:$I$247,3,0)),0,VLOOKUP(A175,'Données projet'!$A$227:$I$247,3,0))</f>
        <v>0</v>
      </c>
      <c r="FM175" s="15">
        <f>IF(ISNA(VLOOKUP(A175,'Données projet'!$A$227:$I$247,4,0)),0,VLOOKUP(A175,'Données projet'!$A$227:$I$247,4,0))</f>
        <v>0</v>
      </c>
      <c r="FN175" s="16">
        <f>IF(ISNA(VLOOKUP(A175,'Données projet'!$A$227:$I$247,5,0)),0%,VLOOKUP(A175,'Données projet'!$A$227:$I$247,5,0)*VLOOKUP('Données projet'!$B$16,Paramètres!$A$1:$I$89,7,0))</f>
        <v>0</v>
      </c>
      <c r="FO175" s="16">
        <f>IF(ISNA(VLOOKUP(A175,'Données projet'!$A$227:$I$247,6,0)),0%,VLOOKUP(A175,'Données projet'!$A$227:$I$247,6,0)*VLOOKUP('Données projet'!$B$16,Paramètres!$A$1:$I$89,7,0))</f>
        <v>0</v>
      </c>
      <c r="FP175" s="16">
        <f>IF(ISNA(VLOOKUP(A175,'Données projet'!$A$227:$I$247,7,0)),0%,VLOOKUP(A175,'Données projet'!$A$227:$I$247,7,0))</f>
        <v>0</v>
      </c>
      <c r="FQ175" s="21">
        <f>EXP(-LN(2)/35)*FQ174+(1-EXP(-LN(2)/35))/(LN(2)/35)*FM175*FN175*VLOOKUP('Données projet'!$B$16,Paramètres!$A$1:$I$89,3,0)*0.475*44/12</f>
        <v>16.948468344634861</v>
      </c>
      <c r="FR175" s="21">
        <f>EXP(-LN(2)/25)*FR174+(1-EXP(-LN(2)/25))/(LN(2)/25)*Calculateur!FM175*Calculateur!FO175*VLOOKUP('Données projet'!$B$16,Paramètres!$A$1:$I$89,3,0)*0.475*44/12</f>
        <v>7.9739963637450275</v>
      </c>
      <c r="FS175" s="21">
        <f>EXP(-LN(2)/2)*FS174+(1-EXP(-LN(2)/2))/(LN(2)/2)*FM175*FP175*VLOOKUP('Données projet'!$B$16,Paramètres!$A$1:$I$89,3,0)*0.475*44/12</f>
        <v>0</v>
      </c>
      <c r="FT175" s="22">
        <f t="shared" si="349"/>
        <v>24.922464708379888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projet'!$A$253:$I$273,2,0)</f>
        <v>#N/A</v>
      </c>
      <c r="FX175" s="12" t="e">
        <f>VLOOKUP(A175,'Données projet'!$A$253:$I$273,9,0)</f>
        <v>#N/A</v>
      </c>
      <c r="FY175" s="12">
        <f t="array" ref="FY175">INDEX(FX:FX,MIN(IF(ISNUMBER(FX175:FX371),ROW(FX175:FX371),"")))</f>
        <v>0</v>
      </c>
      <c r="FZ175" s="12">
        <f>IF('Données projet'!$A$254&gt;35,FZ174+FY175-GH174,IF(A175&lt;'Données projet'!$A$254,$FW$205^A175,IF(A175='Données projet'!$A$254,'Données projet'!$B$254,FZ174+FY175-GH174)))</f>
        <v>-1.7053025658242404E-13</v>
      </c>
      <c r="GA175" s="17">
        <f>FZ175*VLOOKUP('Données projet'!$B$17,Paramètres!$A$1:$I$89,3,0)*VLOOKUP('Données projet'!$B$17,Paramètres!$A$1:$I$89,5,0)</f>
        <v>-1.4897523215040567E-13</v>
      </c>
      <c r="GB175" s="13" t="e">
        <f t="shared" si="350"/>
        <v>#NUM!</v>
      </c>
      <c r="GC175" s="20" t="e">
        <f t="shared" si="351"/>
        <v>#NUM!</v>
      </c>
      <c r="GD175" s="59" t="e">
        <f t="shared" si="249"/>
        <v>#NUM!</v>
      </c>
      <c r="GE175" s="59">
        <f ca="1">AVERAGE(OFFSET($GD$3,0,0,'Données projet'!$E$17+1,1))-AVERAGE(OFFSET($H$3,0,0,'Données projet'!$E$17+1,1))</f>
        <v>245.1983232777614</v>
      </c>
      <c r="GF175" s="59">
        <f t="shared" si="303"/>
        <v>242.34010522344573</v>
      </c>
      <c r="GG175" s="15">
        <f>IF(ISNA(VLOOKUP(A175,'Données projet'!$A$253:$I$273,3,0)),0,VLOOKUP(A175,'Données projet'!$A$253:$I$273,3,0))</f>
        <v>0</v>
      </c>
      <c r="GH175" s="15">
        <f>IF(ISNA(VLOOKUP(A175,'Données projet'!$A$253:$I$273,4,0)),0,VLOOKUP(A175,'Données projet'!$A$253:$I$273,4,0))</f>
        <v>0</v>
      </c>
      <c r="GI175" s="16">
        <f>IF(ISNA(VLOOKUP(A175,'Données projet'!$A$253:$I$273,5,0)),0%,VLOOKUP(A175,'Données projet'!$A$253:$I$273,5,0)*VLOOKUP('Données projet'!$B$17,Paramètres!$A$1:$I$89,7,0))</f>
        <v>0</v>
      </c>
      <c r="GJ175" s="16">
        <f>IF(ISNA(VLOOKUP(A175,'Données projet'!$A$253:$I$273,6,0)),0%,VLOOKUP(A175,'Données projet'!$A$253:$I$273,6,0)*VLOOKUP('Données projet'!$B$17,Paramètres!$A$1:$I$89,7,0))</f>
        <v>0</v>
      </c>
      <c r="GK175" s="16">
        <f>IF(ISNA(VLOOKUP(A175,'Données projet'!$A$253:$I$273,7,0)),0%,VLOOKUP(A175,'Données projet'!$A$253:$I$273,7,0))</f>
        <v>0</v>
      </c>
      <c r="GL175" s="21">
        <f>EXP(-LN(2)/35)*GL174+(1-EXP(-LN(2)/35))/(LN(2)/35)*GH175*GI175*VLOOKUP('Données projet'!$B$17,Paramètres!$A$1:$I$89,3,0)*0.475*44/12</f>
        <v>19.92524990790287</v>
      </c>
      <c r="GM175" s="21">
        <f>EXP(-LN(2)/25)*GM174+(1-EXP(-LN(2)/25))/(LN(2)/25)*Calculateur!GH175*Calculateur!GJ175*VLOOKUP('Données projet'!$B$17,Paramètres!$A$1:$I$89,3,0)*0.475*44/12</f>
        <v>1.6990643655342221</v>
      </c>
      <c r="GN175" s="21">
        <f>EXP(-LN(2)/2)*GN174+(1-EXP(-LN(2)/2))/(LN(2)/2)*GH175*GK175*VLOOKUP('Données projet'!$B$17,Paramètres!$A$1:$I$89,3,0)*0.475*44/12</f>
        <v>0</v>
      </c>
      <c r="GO175" s="21">
        <f t="shared" si="352"/>
        <v>21.624314273437093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projet'!$A$279:$I$299,2,0)</f>
        <v>#N/A</v>
      </c>
      <c r="GS175" s="12" t="e">
        <f>VLOOKUP(A175,'Données projet'!$A$279:$I$299,9,0)</f>
        <v>#N/A</v>
      </c>
      <c r="GT175" s="12">
        <f t="array" ref="GT175">INDEX(GS:GS,MIN(IF(ISNUMBER(GS175:GS371),ROW(GS175:GS371),"")))</f>
        <v>0</v>
      </c>
      <c r="GU175" s="12">
        <f>IF('Données projet'!$A$280&gt;35,GU174+GT175-HC174,IF(A175&lt;'Données projet'!$A$280,$GR$205^A175,IF(A175='Données projet'!$A$280,'Données projet'!$B$280,GU174+GT175-HC174)))</f>
        <v>-1.1368683772161603E-13</v>
      </c>
      <c r="GV175" s="17">
        <f>GU175*VLOOKUP('Données projet'!$B$18,Paramètres!$A$1:$I$89,3,0)*VLOOKUP('Données projet'!$B$18,Paramètres!$A$1:$I$89,5,0)</f>
        <v>-4.5815795601811263E-14</v>
      </c>
      <c r="GW175" s="13" t="e">
        <f t="shared" si="353"/>
        <v>#NUM!</v>
      </c>
      <c r="GX175" s="20" t="e">
        <f t="shared" si="354"/>
        <v>#NUM!</v>
      </c>
      <c r="GY175" s="59" t="e">
        <f t="shared" si="252"/>
        <v>#NUM!</v>
      </c>
      <c r="GZ175" s="59">
        <f ca="1">AVERAGE(OFFSET($GY$3,0,0,'Données projet'!$E$18+1,1))-AVERAGE(OFFSET($H$3,0,0,'Données projet'!$E$18+1,1))</f>
        <v>324.36162935850876</v>
      </c>
      <c r="HA175" s="59">
        <f t="shared" si="305"/>
        <v>265.23571072429735</v>
      </c>
      <c r="HB175" s="15">
        <f>IF(ISNA(VLOOKUP(A175,'Données projet'!$A$279:$I$299,3,0)),0,VLOOKUP(A175,'Données projet'!$A$279:$I$299,3,0))</f>
        <v>0</v>
      </c>
      <c r="HC175" s="15">
        <f>IF(ISNA(VLOOKUP(A175,'Données projet'!$A$279:$I$299,4,0)),0,VLOOKUP(A175,'Données projet'!$A$279:$I$299,4,0))</f>
        <v>0</v>
      </c>
      <c r="HD175" s="16">
        <f>IF(ISNA(VLOOKUP(A175,'Données projet'!$A$279:$I$299,5,0)),0%,VLOOKUP(A175,'Données projet'!$A$279:$I$299,5,0)*VLOOKUP('Données projet'!$B$18,Paramètres!$A$1:$I$89,7,0))</f>
        <v>0</v>
      </c>
      <c r="HE175" s="16">
        <f>IF(ISNA(VLOOKUP(A175,'Données projet'!$A$279:$I$299,6,0)),0%,VLOOKUP(A175,'Données projet'!$A$279:$I$299,6,0)*VLOOKUP('Données projet'!$B$18,Paramètres!$A$1:$I$89,7,0))</f>
        <v>0</v>
      </c>
      <c r="HF175" s="16">
        <f>IF(ISNA(VLOOKUP($A175,'Données projet'!$A$279:$I$299,7,0)),0%,VLOOKUP($A175,'Données projet'!$A$279:$I$299,7,0))</f>
        <v>0</v>
      </c>
      <c r="HG175" s="21">
        <f>EXP(-LN(2)/35)*HG174+(1-EXP(-LN(2)/35))/(LN(2)/35)*HC175*HD175*VLOOKUP('Données projet'!$B$18,Paramètres!$A$1:$I$89,3,0)*0.475*44/12</f>
        <v>38.181987658664937</v>
      </c>
      <c r="HH175" s="21">
        <f>EXP(-LN(2)/25)*HH174+(1-EXP(-LN(2)/25))/(LN(2)/25)*Calculateur!HC175*Calculateur!HE175*VLOOKUP('Données projet'!$B$18,Paramètres!$A$1:$I$89,3,0)*0.475*44/12</f>
        <v>1.8896634794135583</v>
      </c>
      <c r="HI175" s="21">
        <f>EXP(-LN(2)/2)*HI174+(1-EXP(-LN(2)/2))/(LN(2)/2)*HC175*HF175*VLOOKUP('Données projet'!$B$18,Paramètres!$A$1:$I$89,3,0)*0.475*44/12</f>
        <v>1.2146315540036209E-13</v>
      </c>
      <c r="HJ175" s="22">
        <f t="shared" si="355"/>
        <v>40.071651138078614</v>
      </c>
      <c r="HK175" s="74">
        <f>('Scénario référence'!$F$8+'Scénario référence'!$F$9+'Scénario référence'!$B$17+'Scénario référence'!$B$9+'Scénario référence'!$B$10)*70+IF((45+25*(1-EXP(-0.0175*$A175)))&lt;70,'Scénario référence'!$B$16*(45+25*(1-EXP(-0.0175*$A175))),70*'Scénario référence'!$B$16)+IF((32+38*(1-EXP(-0.0175*$A175)))&lt;70,'Scénario référence'!$B$18*(32+38*(1-EXP(-0.0175*$A175))),70*'Scénario référence'!$B$18)</f>
        <v>70</v>
      </c>
      <c r="HL175" s="12">
        <f>IF($A175&gt;30,10,('Scénario référence'!$B$16+'Scénario référence'!$B$17+'Scénario référence'!$B$18+'Scénario référence'!$B$9+'Scénario référence'!$B$10)*$A175*10/30+('Scénario référence'!$F$8+'Scénario référence'!$F$9)*10)</f>
        <v>10</v>
      </c>
      <c r="HM175" s="12" t="e">
        <f>VLOOKUP($A175,'Données projet'!$A$304:$I$324,2,0)</f>
        <v>#N/A</v>
      </c>
      <c r="HN175" s="12" t="e">
        <f>VLOOKUP($A175,'Données projet'!$A$304:$I$324,9,0)</f>
        <v>#N/A</v>
      </c>
      <c r="HO175" s="12">
        <f t="array" ref="HO175">INDEX(HN:HN,MIN(IF(ISNUMBER(HN175:HN371),ROW(HN175:HN371),"")))</f>
        <v>0</v>
      </c>
      <c r="HP175" s="12">
        <f>IF('Données projet'!$A$304&gt;35,HP174+HO175-HX174,IF($A175&lt;'Données projet'!$A$304,$CQ$205^$A175,IF($A175='Données projet'!$A$304,'Données projet'!$B$304,HP174+HO175-HX174)))</f>
        <v>0</v>
      </c>
      <c r="HQ175" s="17">
        <f>HP175*VLOOKUP('Données projet'!$B$19,Paramètres!$A$1:$I$89,3,0)*VLOOKUP('Données projet'!$B$19,Paramètres!$A$1:$I$89,5,0)</f>
        <v>0</v>
      </c>
      <c r="HR175" s="13" t="e">
        <f t="shared" si="306"/>
        <v>#NUM!</v>
      </c>
      <c r="HS175" s="14" t="e">
        <f t="shared" si="254"/>
        <v>#NUM!</v>
      </c>
      <c r="HT175" s="59" t="e">
        <f t="shared" si="255"/>
        <v>#NUM!</v>
      </c>
      <c r="HU175" s="59">
        <f ca="1">AVERAGE(OFFSET(HT$3,0,0,'Données projet'!$E$19+1,1))-AVERAGE(OFFSET($H$3,0,0,'Données projet'!$E$19+1,1))</f>
        <v>91.60721429656013</v>
      </c>
      <c r="HV175" s="59">
        <f t="shared" si="307"/>
        <v>258.94957804210856</v>
      </c>
      <c r="HW175" s="15">
        <f>IF(ISNA(VLOOKUP($A175,'Données projet'!$A$304:$I$324,3,0)),0,VLOOKUP($A175,'Données projet'!$A$304:$I$324,3,0))</f>
        <v>0</v>
      </c>
      <c r="HX175" s="15">
        <f>IF(ISNA(VLOOKUP($A175,'Données projet'!$A$304:$I$324,4,0)),0,VLOOKUP($A175,'Données projet'!$A$304:$I$324,4,0))</f>
        <v>0</v>
      </c>
      <c r="HY175" s="16">
        <f>IF(ISNA(VLOOKUP($A175,'Données projet'!$A$304:$I$324,5,0)),0%,VLOOKUP($A175,'Données projet'!$A$304:$I$324,5,0)*VLOOKUP('Données projet'!$B$19,Paramètres!$A$1:$I$89,7,0))</f>
        <v>0</v>
      </c>
      <c r="HZ175" s="16">
        <f>IF(ISNA(VLOOKUP($A175,'Données projet'!$A$304:$I$324,6,0)),0%,VLOOKUP($A175,'Données projet'!$A$304:$I$324,6,0)*VLOOKUP('Données projet'!$B$19,Paramètres!$A$1:$I$89,7,0))</f>
        <v>0</v>
      </c>
      <c r="IA175" s="16">
        <f>IF(ISNA(VLOOKUP($A175,'Données projet'!$A$304:$I$324,7,0)),0%,VLOOKUP($A175,'Données projet'!$A$304:$I$324,7,0))</f>
        <v>0</v>
      </c>
      <c r="IB175" s="21">
        <f>EXP(-LN(2)/35)*IB174+(1-EXP(-LN(2)/35))/(LN(2)/35)*HX175*HY175*VLOOKUP('Données projet'!$B$19,Paramètres!$A$1:$I$89,3,0)*0.475*44/12</f>
        <v>2.9635566268511684</v>
      </c>
      <c r="IC175" s="21">
        <f>EXP(-LN(2)/25)*IC174+(1-EXP(-LN(2)/25))/(LN(2)/25)*Calculateur!HX175*Calculateur!HZ175*VLOOKUP('Données projet'!$B$19,Paramètres!$A$1:$I$89,3,0)*0.475*44/12</f>
        <v>0.18974091220610292</v>
      </c>
      <c r="ID175" s="21">
        <f>EXP(-LN(2)/2)*ID174+(1-EXP(-LN(2)/2))/(LN(2)/2)*HX175*IA175*VLOOKUP('Données projet'!$B$19,Paramètres!$A$1:$I$89,3,0)*0.475*44/12</f>
        <v>2.4261239097897028E-22</v>
      </c>
      <c r="IE175" s="22">
        <f t="shared" si="256"/>
        <v>3.1532975390572715</v>
      </c>
      <c r="IF175" s="74">
        <f>('Scénario référence'!$F$8+'Scénario référence'!$F$9+'Scénario référence'!$B$17+'Scénario référence'!$B$9+'Scénario référence'!$B$10)*70+IF((45+25*(1-EXP(-0.0175*$A175)))&lt;70,'Scénario référence'!$B$16*(45+25*(1-EXP(-0.0175*$A175))),70*'Scénario référence'!$B$16)+IF((32+38*(1-EXP(-0.0175*$A175)))&lt;70,'Scénario référence'!$B$18*(32+38*(1-EXP(-0.0175*$A175))),70*'Scénario référence'!$B$18)</f>
        <v>70</v>
      </c>
      <c r="IG175" s="12">
        <f>IF($A175&gt;30,10,('Scénario référence'!$B$16+'Scénario référence'!$B$17+'Scénario référence'!$B$18+'Scénario référence'!$B$9+'Scénario référence'!$B$10)*$A175*10/30+('Scénario référence'!$F$8+'Scénario référence'!$F$9)*10)</f>
        <v>10</v>
      </c>
      <c r="IH175" s="12" t="e">
        <f>VLOOKUP($A175,'Données projet'!$A$330:$I$350,2,0)</f>
        <v>#N/A</v>
      </c>
      <c r="II175" s="12" t="e">
        <f>VLOOKUP($A175,'Données projet'!$A$330:$I$350,9,0)</f>
        <v>#N/A</v>
      </c>
      <c r="IJ175" s="12">
        <f t="array" ref="IJ175">INDEX(II:II,MIN(IF(ISNUMBER(II175:II371),ROW(II175:II371),"")))</f>
        <v>0</v>
      </c>
      <c r="IK175" s="12">
        <f>IF('Données projet'!$A$330&gt;35,IK174+IJ175-IS174,IF($A175&lt;'Données projet'!$A$330,$CQ$205^$A175,IF($A175='Données projet'!$A$330,'Données projet'!$B$330,IK174+IJ175-IS174)))</f>
        <v>0</v>
      </c>
      <c r="IL175" s="17">
        <f>IK175*VLOOKUP('Données projet'!$B$20,Paramètres!$A$1:$I$89,3,0)*VLOOKUP('Données projet'!$B$20,Paramètres!$A$1:$I$89,5,0)</f>
        <v>0</v>
      </c>
      <c r="IM175" s="13" t="e">
        <f t="shared" si="308"/>
        <v>#NUM!</v>
      </c>
      <c r="IN175" s="20" t="e">
        <f t="shared" si="257"/>
        <v>#NUM!</v>
      </c>
      <c r="IO175" s="59" t="e">
        <f t="shared" si="258"/>
        <v>#NUM!</v>
      </c>
      <c r="IP175" s="59">
        <f ca="1">AVERAGE(OFFSET(IO$3,0,0,'Données projet'!$E$20+1,1))-AVERAGE(OFFSET($H$3,0,0,'Données projet'!$E$20+1,1))</f>
        <v>91.60721429656013</v>
      </c>
      <c r="IQ175" s="59">
        <f t="shared" si="309"/>
        <v>258.94957804210856</v>
      </c>
      <c r="IR175" s="15">
        <f>IF(ISNA(VLOOKUP($A175,'Données projet'!$A$330:$I$350,3,0)),0,VLOOKUP($A175,'Données projet'!$A$330:$I$350,3,0))</f>
        <v>0</v>
      </c>
      <c r="IS175" s="15">
        <f>IF(ISNA(VLOOKUP($A175,'Données projet'!$A$330:$I$350,4,0)),0,VLOOKUP($A175,'Données projet'!$A$330:$I$350,4,0))</f>
        <v>0</v>
      </c>
      <c r="IT175" s="16">
        <f>IF(ISNA(VLOOKUP($A175,'Données projet'!$A$330:$I$350,5,0)),0%,VLOOKUP($A175,'Données projet'!$A$330:$I$350,5,0)*VLOOKUP('Données projet'!$B$20,Paramètres!$A$1:$I$89,7,0))</f>
        <v>0</v>
      </c>
      <c r="IU175" s="16">
        <f>IF(ISNA(VLOOKUP($A175,'Données projet'!$A$330:$I$350,6,0)),0%,VLOOKUP($A175,'Données projet'!$A$330:$I$350,6,0)*VLOOKUP('Données projet'!$B$20,Paramètres!$A$1:$I$89,7,0))</f>
        <v>0</v>
      </c>
      <c r="IV175" s="16">
        <f>IF(ISNA(VLOOKUP($A175,'Données projet'!$A$330:$I$350,7,0)),0%,VLOOKUP($A175,'Données projet'!$A$330:$I$350,7,0))</f>
        <v>0</v>
      </c>
      <c r="IW175" s="21">
        <f>EXP(-LN(2)/35)*IW174+(1-EXP(-LN(2)/35))/(LN(2)/35)*IS175*IT175*VLOOKUP('Données projet'!$B$20,Paramètres!$A$1:$I$89,3,0)*0.475*44/12</f>
        <v>2.9635566268511684</v>
      </c>
      <c r="IX175" s="21">
        <f>EXP(-LN(2)/25)*IX174+(1-EXP(-LN(2)/25))/(LN(2)/25)*Calculateur!IS175*Calculateur!IU175*VLOOKUP('Données projet'!$B$20,Paramètres!$A$1:$I$89,3,0)*0.475*44/12</f>
        <v>0.18974091220610292</v>
      </c>
      <c r="IY175" s="21">
        <f>EXP(-LN(2)/2)*IY174+(1-EXP(-LN(2)/2))/(LN(2)/2)*IS175*IV175*VLOOKUP('Données projet'!$B$20,Paramètres!$A$1:$I$89,3,0)*0.475*44/12</f>
        <v>2.4261239097897028E-22</v>
      </c>
      <c r="IZ175" s="22">
        <f t="shared" si="259"/>
        <v>3.1532975390572715</v>
      </c>
      <c r="JA175" s="74">
        <f>('Scénario référence'!$F$8+'Scénario référence'!$F$9+'Scénario référence'!$B$17+'Scénario référence'!$B$9+'Scénario référence'!$B$10)*70+IF((45+25*(1-EXP(-0.0175*$A175)))&lt;70,'Scénario référence'!$B$16*(45+25*(1-EXP(-0.0175*$A175))),70*'Scénario référence'!$B$16)+IF((32+38*(1-EXP(-0.0175*$A175)))&lt;70,'Scénario référence'!$B$18*(32+38*(1-EXP(-0.0175*$A175))),70*'Scénario référence'!$B$18)</f>
        <v>70</v>
      </c>
      <c r="JB175" s="12">
        <f>IF($A175&gt;30,10,('Scénario référence'!$B$16+'Scénario référence'!$B$17+'Scénario référence'!$B$18+'Scénario référence'!$B$9+'Scénario référence'!$B$10)*$A175*10/30+('Scénario référence'!$F$8+'Scénario référence'!$F$9)*10)</f>
        <v>10</v>
      </c>
      <c r="JC175" s="12" t="e">
        <f>VLOOKUP($A175,'Données projet'!$A$356:$I$376,2,0)</f>
        <v>#N/A</v>
      </c>
      <c r="JD175" s="12" t="e">
        <f>VLOOKUP($A175,'Données projet'!$A$356:$I$376,9,0)</f>
        <v>#N/A</v>
      </c>
      <c r="JE175" s="12">
        <f t="array" ref="JE175">INDEX(JD:JD,MIN(IF(ISNUMBER(JD175:JD371),ROW(JD175:JD371),"")))</f>
        <v>0</v>
      </c>
      <c r="JF175" s="12">
        <f>IF('Données projet'!$A$356&gt;35,JF174+JE175-JN174,IF($A175&lt;'Données projet'!$A$356,$CQ$205^$A175,IF($A175='Données projet'!$A$356,'Données projet'!$B$356,JF174+JE175-JN174)))</f>
        <v>-1.3073986337985843E-12</v>
      </c>
      <c r="JG175" s="17">
        <f>JF175*VLOOKUP('Données projet'!$B$21,Paramètres!$A$1:$I$89,3,0)*VLOOKUP('Données projet'!$B$21,Paramètres!$A$1:$I$89,5,0)</f>
        <v>-1.0605617717374117E-12</v>
      </c>
      <c r="JH175" s="13" t="e">
        <f t="shared" si="310"/>
        <v>#NUM!</v>
      </c>
      <c r="JI175" s="20" t="e">
        <f t="shared" si="260"/>
        <v>#NUM!</v>
      </c>
      <c r="JJ175" s="59" t="e">
        <f t="shared" si="261"/>
        <v>#NUM!</v>
      </c>
      <c r="JK175" s="59">
        <f ca="1">AVERAGE(OFFSET($JJ$3,0,0,'Données projet'!$E$22+1,1))-AVERAGE(OFFSET($H$3,0,0,'Données projet'!$E$22+1,1))</f>
        <v>353.35574633294613</v>
      </c>
      <c r="JL175" s="59">
        <f t="shared" si="311"/>
        <v>170.36796666474726</v>
      </c>
      <c r="JM175" s="15">
        <f>IF(ISNA(VLOOKUP($A175,'Données projet'!$A$356:$I$376,3,0)),0,VLOOKUP($A175,'Données projet'!$A$356:$I$376,3,0))</f>
        <v>0</v>
      </c>
      <c r="JN175" s="15">
        <f>IF(ISNA(VLOOKUP($A175,'Données projet'!$A$356:$I$376,4,0)),0,VLOOKUP($A175,'Données projet'!$A$356:$I$376,4,0))</f>
        <v>0</v>
      </c>
      <c r="JO175" s="16">
        <f>IF(ISNA(VLOOKUP($A175,'Données projet'!$A$356:$I$376,5,0)),0%,VLOOKUP($A175,'Données projet'!$A$356:$I$376,5,0)*VLOOKUP('Données projet'!$B$21,Paramètres!$A$1:$I$89,7,0))</f>
        <v>0</v>
      </c>
      <c r="JP175" s="16">
        <f>IF(ISNA(VLOOKUP($A175,'Données projet'!$A$356:$I$376,6,0)),0%,VLOOKUP($A175,'Données projet'!$A$356:$I$376,6,0)*VLOOKUP('Données projet'!$B$21,Paramètres!$A$1:$I$89,7,0))</f>
        <v>0</v>
      </c>
      <c r="JQ175" s="16">
        <f>IF(ISNA(VLOOKUP($A175,'Données projet'!$A$356:$I$376,7,0)),0%,VLOOKUP($A175,'Données projet'!$A$356:$I$376,7,0))</f>
        <v>0</v>
      </c>
      <c r="JR175" s="21">
        <f>EXP(-LN(2)/35)*JR174+(1-EXP(-LN(2)/35))/(LN(2)/35)*JN175*JO175*VLOOKUP('Données projet'!$B$21,Paramètres!$A$1:$I$89,3,0)*0.475*44/12</f>
        <v>47.510231762110493</v>
      </c>
      <c r="JS175" s="21">
        <f>EXP(-LN(2)/25)*JS174+(1-EXP(-LN(2)/25))/(LN(2)/25)*Calculateur!JN175*Calculateur!JP175*VLOOKUP('Données projet'!$B$21,Paramètres!$A$1:$I$89,3,0)*0.475*44/12</f>
        <v>41.527900944338278</v>
      </c>
      <c r="JT175" s="21">
        <f>EXP(-LN(2)/2)*JT174+(1-EXP(-LN(2)/2))/(LN(2)/2)*JN175*JQ175*VLOOKUP('Données projet'!$B$21,Paramètres!$A$1:$I$89,3,0)*0.475*44/12</f>
        <v>1.6743616656036211E-2</v>
      </c>
      <c r="JU175" s="18">
        <f t="shared" si="262"/>
        <v>89.054876323104807</v>
      </c>
      <c r="JV175" s="74">
        <f>('Scénario référence'!$F$8+'Scénario référence'!$F$9+'Scénario référence'!$B$17+'Scénario référence'!$B$9+'Scénario référence'!$B$10)*70+IF((45+25*(1-EXP(-0.0175*$A175)))&lt;70,'Scénario référence'!$B$16*(45+25*(1-EXP(-0.0175*$A175))),70*'Scénario référence'!$B$16)+IF((32+38*(1-EXP(-0.0175*$A175)))&lt;70,'Scénario référence'!$B$18*(32+38*(1-EXP(-0.0175*$A175))),70*'Scénario référence'!$B$18)</f>
        <v>70</v>
      </c>
      <c r="JW175" s="12">
        <f>IF($A175&gt;30,10,('Scénario référence'!$B$16+'Scénario référence'!$B$17+'Scénario référence'!$B$18+'Scénario référence'!$B$9+'Scénario référence'!$B$10)*$A175*10/30+('Scénario référence'!$F$8+'Scénario référence'!$F$9)*10)</f>
        <v>10</v>
      </c>
      <c r="JX175" s="12" t="e">
        <f>VLOOKUP($A175,'Données projet'!$A$382:$I$402,2,0)</f>
        <v>#N/A</v>
      </c>
      <c r="JY175" s="12" t="e">
        <f>VLOOKUP($A175,'Données projet'!$A$382:$I$402,9,0)</f>
        <v>#N/A</v>
      </c>
      <c r="JZ175" s="12">
        <f t="array" ref="JZ175">INDEX(JY:JY,MIN(IF(ISNUMBER(JY175:JY371),ROW(JY175:JY371),"")))</f>
        <v>0</v>
      </c>
      <c r="KA175" s="12">
        <f>IF('Données projet'!$A$382&gt;35,KA174+JZ175-KI174,IF($A175&lt;'Données projet'!$A$382,$CQ$205^$A175,IF($A175='Données projet'!$A$382,'Données projet'!$B$382,KA174+JZ175-KI174)))</f>
        <v>5.6843418860808015E-13</v>
      </c>
      <c r="KB175" s="17">
        <f>KA175*VLOOKUP('Données projet'!$B$22,Paramètres!$A$1:$I$89,3,0)*VLOOKUP('Données projet'!$B$22,Paramètres!$A$1:$I$89,5,0)</f>
        <v>3.8130565371830017E-13</v>
      </c>
      <c r="KC175" s="13">
        <f t="shared" si="312"/>
        <v>4.9019074112354236E-12</v>
      </c>
      <c r="KD175" s="20">
        <f t="shared" si="263"/>
        <v>9.2015960881277352E-12</v>
      </c>
      <c r="KE175" s="59">
        <f t="shared" si="264"/>
        <v>293.33333333334252</v>
      </c>
      <c r="KF175" s="59">
        <f ca="1">AVERAGE(OFFSET($KE$3,0,0,'Données projet'!$E$22+1,1))-AVERAGE(OFFSET($H$3,0,0,'Données projet'!$E$22+1,1))</f>
        <v>193.91714772848269</v>
      </c>
      <c r="KG175" s="59">
        <f t="shared" si="313"/>
        <v>159.20429420478047</v>
      </c>
      <c r="KH175" s="15">
        <f>IF(ISNA(VLOOKUP($A175,'Données projet'!$A$382:$I$402,3,0)),0,VLOOKUP($A175,'Données projet'!$A$382:$I$402,3,0))</f>
        <v>0</v>
      </c>
      <c r="KI175" s="15">
        <f>IF(ISNA(VLOOKUP($A175,'Données projet'!$A$382:$I$402,4,0)),0,VLOOKUP($A175,'Données projet'!$A$382:$I$402,4,0))</f>
        <v>0</v>
      </c>
      <c r="KJ175" s="16">
        <f>IF(ISNA(VLOOKUP($A175,'Données projet'!$A$382:$I$402,5,0)),0%,VLOOKUP($A175,'Données projet'!$A$382:$I$402,5,0)*VLOOKUP('Données projet'!$B$22,Paramètres!$A$1:$I$89,7,0))</f>
        <v>0</v>
      </c>
      <c r="KK175" s="16">
        <f>IF(ISNA(VLOOKUP($A175,'Données projet'!$A$382:$I$402,6,0)),0%,VLOOKUP($A175,'Données projet'!$A$382:$I$402,6,0)*VLOOKUP('Données projet'!$B$22,Paramètres!$A$1:$I$89,7,0))</f>
        <v>0</v>
      </c>
      <c r="KL175" s="16">
        <f>IF(ISNA(VLOOKUP($A175,'Données projet'!$A$382:$I$402,7,0)),0%,VLOOKUP($A175,'Données projet'!$A$382:$I$402,7,0))</f>
        <v>0</v>
      </c>
      <c r="KM175" s="21">
        <f>EXP(-LN(2)/35)*KM174+(1-EXP(-LN(2)/35))/(LN(2)/35)*KI175*KJ175*VLOOKUP('Données projet'!$B$22,Paramètres!$A$1:$I$89,3,0)*0.475*44/12</f>
        <v>69.37018203837323</v>
      </c>
      <c r="KN175" s="21">
        <f>EXP(-LN(2)/25)*KN174+(1-EXP(-LN(2)/25))/(LN(2)/25)*Calculateur!KI175*Calculateur!KK175*VLOOKUP('Données projet'!$B$22,Paramètres!$A$1:$I$89,3,0)*0.475*44/12</f>
        <v>0</v>
      </c>
      <c r="KO175" s="21">
        <f>EXP(-LN(2)/2)*KO174+(1-EXP(-LN(2)/2))/(LN(2)/2)*KI175*KL175*VLOOKUP('Données projet'!$B$22,Paramètres!$A$1:$I$89,3,0)*0.475*44/12</f>
        <v>0</v>
      </c>
      <c r="KP175" s="22">
        <f t="shared" si="265"/>
        <v>69.37018203837323</v>
      </c>
      <c r="KQ175" s="74">
        <f>('Scénario référence'!$F$8+'Scénario référence'!$F$9+'Scénario référence'!$B$17+'Scénario référence'!$B$9+'Scénario référence'!$B$10)*70+IF((45+25*(1-EXP(-0.0175*$A175)))&lt;70,'Scénario référence'!$B$16*(45+25*(1-EXP(-0.0175*$A175))),70*'Scénario référence'!$B$16)+IF((32+38*(1-EXP(-0.0175*$A175)))&lt;70,'Scénario référence'!$B$18*(32+38*(1-EXP(-0.0175*$A175))),70*'Scénario référence'!$B$18)</f>
        <v>70</v>
      </c>
      <c r="KR175" s="12">
        <f>IF($A175&gt;30,10,('Scénario référence'!$B$16+'Scénario référence'!$B$17+'Scénario référence'!$B$18+'Scénario référence'!$B$9+'Scénario référence'!$B$10)*$A175*10/30+('Scénario référence'!$F$8+'Scénario référence'!$F$9)*10)</f>
        <v>10</v>
      </c>
      <c r="KS175" s="12" t="e">
        <f>VLOOKUP($A175,'Données projet'!$A$408:$I$428,2,0)</f>
        <v>#N/A</v>
      </c>
      <c r="KT175" s="12" t="e">
        <f>VLOOKUP($A175,'Données projet'!$A$408:$I$428,9,0)</f>
        <v>#N/A</v>
      </c>
      <c r="KU175" s="12">
        <f t="array" ref="KU175">INDEX(KT:KT,MIN(IF(ISNUMBER(KT175:KT371),ROW(KT175:KT371),"")))</f>
        <v>0</v>
      </c>
      <c r="KV175" s="12">
        <f>IF('Données projet'!$A$408&gt;35,KV174+KU175-LD174,IF($A175&lt;'Données projet'!$A$408,$CQ$205^$A175,IF($A175='Données projet'!$A$408,'Données projet'!$B$408,KV174+KU175-LD174)))</f>
        <v>-1.1368683772161603E-13</v>
      </c>
      <c r="KW175" s="17">
        <f>KV175*VLOOKUP('Données projet'!$B$23,Paramètres!$A$1:$I$89,3,0)*VLOOKUP('Données projet'!$B$23,Paramètres!$A$1:$I$89,5,0)</f>
        <v>-9.9316821433603781E-14</v>
      </c>
      <c r="KX175" s="13" t="e">
        <f t="shared" si="314"/>
        <v>#NUM!</v>
      </c>
      <c r="KY175" s="14" t="e">
        <f t="shared" si="266"/>
        <v>#NUM!</v>
      </c>
      <c r="KZ175" s="59" t="e">
        <f t="shared" si="267"/>
        <v>#NUM!</v>
      </c>
      <c r="LA175" s="59">
        <f ca="1">AVERAGE(OFFSET($KZ$3,0,0,'Données projet'!$E$23+1,1))-AVERAGE(OFFSET($H$3,0,0,'Données projet'!$E$23+1,1))</f>
        <v>248.33596943633819</v>
      </c>
      <c r="LB175" s="59">
        <f t="shared" si="315"/>
        <v>242.34010522344573</v>
      </c>
      <c r="LC175" s="15">
        <f>IF(ISNA(VLOOKUP($A175,'Données projet'!$A$408:$I$428,3,0)),0,VLOOKUP($A175,'Données projet'!$A$408:$I$428,3,0))</f>
        <v>0</v>
      </c>
      <c r="LD175" s="15">
        <f>IF(ISNA(VLOOKUP($A175,'Données projet'!$A$408:$I$428,4,0)),0,VLOOKUP($A175,'Données projet'!$A$408:$I$428,4,0))</f>
        <v>0</v>
      </c>
      <c r="LE175" s="16">
        <f>IF(ISNA(VLOOKUP($A175,'Données projet'!$A$408:$I$428,5,0)),0%,VLOOKUP($A175,'Données projet'!$A$408:$I$428,5,0)*VLOOKUP('Données projet'!$B$23,Paramètres!$A$1:$I$89,7,0))</f>
        <v>0</v>
      </c>
      <c r="LF175" s="16">
        <f>IF(ISNA(VLOOKUP($A175,'Données projet'!$A$408:$I$428,6,0)),0%,VLOOKUP($A175,'Données projet'!$A$408:$I$428,6,0)*VLOOKUP('Données projet'!$B$23,Paramètres!$A$1:$I$89,7,0))</f>
        <v>0</v>
      </c>
      <c r="LG175" s="16">
        <f>IF(ISNA(VLOOKUP($A175,'Données projet'!$A$408:$I$428,7,0)),0%,VLOOKUP($A175,'Données projet'!$A$408:$I$428,7,0))</f>
        <v>0</v>
      </c>
      <c r="LH175" s="21">
        <f>EXP(-LN(2)/35)*LH174+(1-EXP(-LN(2)/35))/(LN(2)/35)*LD175*LE175*VLOOKUP('Données projet'!$B$23,Paramètres!$A$1:$I$89,3,0)*0.475*44/12</f>
        <v>19.92524990790287</v>
      </c>
      <c r="LI175" s="21">
        <f>EXP(-LN(2)/25)*LI174+(1-EXP(-LN(2)/25))/(LN(2)/25)*Calculateur!LD175*Calculateur!LF175*VLOOKUP('Données projet'!$B$23,Paramètres!$A$1:$I$89,3,0)*0.475*44/12</f>
        <v>1.6990643655342221</v>
      </c>
      <c r="LJ175" s="21">
        <f>EXP(-LN(2)/2)*LJ174+(1-EXP(-LN(2)/2))/(LN(2)/2)*LD175*LG175*VLOOKUP('Données projet'!$B$23,Paramètres!$A$1:$I$89,3,0)*0.475*44/12</f>
        <v>0</v>
      </c>
      <c r="LK175" s="22">
        <f t="shared" si="268"/>
        <v>21.624314273437093</v>
      </c>
      <c r="LL175" s="74">
        <f>('Scénario référence'!$F$8+'Scénario référence'!$F$9+'Scénario référence'!$B$17+'Scénario référence'!$B$9+'Scénario référence'!$B$10)*70+IF((45+25*(1-EXP(-0.0175*$A175)))&lt;70,'Scénario référence'!$B$16*(45+25*(1-EXP(-0.0175*$A175))),70*'Scénario référence'!$B$16)+IF((32+38*(1-EXP(-0.0175*$A175)))&lt;70,'Scénario référence'!$B$18*(32+38*(1-EXP(-0.0175*$A175))),70*'Scénario référence'!$B$18)</f>
        <v>70</v>
      </c>
      <c r="LM175" s="12">
        <f>IF($A175&gt;30,10,('Scénario référence'!$B$16+'Scénario référence'!$B$17+'Scénario référence'!$B$18+'Scénario référence'!$B$9+'Scénario référence'!$B$10)*$A175*10/30+('Scénario référence'!$F$8+'Scénario référence'!$F$9)*10)</f>
        <v>10</v>
      </c>
      <c r="LN175" s="12" t="e">
        <f>VLOOKUP($A175,'Données projet'!$A$434:$I$454,2,0)</f>
        <v>#N/A</v>
      </c>
      <c r="LO175" s="12" t="e">
        <f>VLOOKUP($A175,'Données projet'!$A$434:$I$454,9,0)</f>
        <v>#N/A</v>
      </c>
      <c r="LP175" s="12">
        <f t="array" ref="LP175">INDEX(LO:LO,MIN(IF(ISNUMBER(LO175:LO371),ROW(LO175:LO371),"")))</f>
        <v>0</v>
      </c>
      <c r="LQ175" s="12">
        <f>IF('Données projet'!$A$434&gt;35,LQ174+LP175-LY174,IF($A175&lt;'Données projet'!$A$434,$CQ$205^$A175,IF($A175='Données projet'!$A$434,'Données projet'!$B$434,LQ174+LP175-LY174)))</f>
        <v>-4.5474735088646412E-13</v>
      </c>
      <c r="LR175" s="17">
        <f>LQ175*VLOOKUP('Données projet'!$B$24,Paramètres!$A$1:$I$89,3,0)*VLOOKUP('Données projet'!$B$24,Paramètres!$A$1:$I$89,5,0)</f>
        <v>-4.6111381379887462E-13</v>
      </c>
      <c r="LS175" s="13" t="e">
        <f t="shared" si="316"/>
        <v>#NUM!</v>
      </c>
      <c r="LT175" s="14" t="e">
        <f t="shared" si="269"/>
        <v>#NUM!</v>
      </c>
      <c r="LU175" s="59" t="e">
        <f t="shared" si="270"/>
        <v>#NUM!</v>
      </c>
      <c r="LV175" s="59">
        <f ca="1">AVERAGE(OFFSET($LU$3,0,0,'Données projet'!$E$24+1,1))-AVERAGE(OFFSET($H$3,0,0,'Données projet'!$E$24+1,1))</f>
        <v>260.52627655062872</v>
      </c>
      <c r="LW175" s="59">
        <f t="shared" si="317"/>
        <v>159.20429420478047</v>
      </c>
      <c r="LX175" s="15">
        <f>IF(ISNA(VLOOKUP($A175,'Données projet'!$A$434:$I$454,3,0)),0,VLOOKUP($A175,'Données projet'!$A$434:$I$454,3,0))</f>
        <v>0</v>
      </c>
      <c r="LY175" s="15">
        <f>IF(ISNA(VLOOKUP($A175,'Données projet'!$A$434:$I$454,4,0)),0,VLOOKUP($A175,'Données projet'!$A$434:$I$454,4,0))</f>
        <v>0</v>
      </c>
      <c r="LZ175" s="16">
        <f>IF(ISNA(VLOOKUP($A175,'Données projet'!$A$434:$I$454,5,0)),0%,VLOOKUP($A175,'Données projet'!$A$434:$I$454,5,0)*VLOOKUP('Données projet'!$B$24,Paramètres!$A$1:$I$89,7,0))</f>
        <v>0</v>
      </c>
      <c r="MA175" s="16">
        <f>IF(ISNA(VLOOKUP($A175,'Données projet'!$A$434:$I$454,6,0)),0%,VLOOKUP($A175,'Données projet'!$A$434:$I$454,6,0)*VLOOKUP('Données projet'!$B$24,Paramètres!$A$1:$I$89,7,0))</f>
        <v>0</v>
      </c>
      <c r="MB175" s="16">
        <f>IF(ISNA(VLOOKUP($A175,'Données projet'!$A$434:$I$454,7,0)),0%,VLOOKUP($A175,'Données projet'!$A$434:$I$454,7,0))</f>
        <v>0</v>
      </c>
      <c r="MC175" s="21">
        <f>EXP(-LN(2)/35)*MC174+(1-EXP(-LN(2)/35))/(LN(2)/35)*LY175*LZ175*VLOOKUP('Données projet'!$B$24,Paramètres!$A$1:$I$89,3,0)*0.475*44/12</f>
        <v>128.11258913367661</v>
      </c>
      <c r="MD175" s="21">
        <f>EXP(-LN(2)/25)*MD174+(1-EXP(-LN(2)/25))/(LN(2)/25)*Calculateur!LY175*Calculateur!MA175*VLOOKUP('Données projet'!$B$24,Paramètres!$A$1:$I$89,3,0)*0.475*44/12</f>
        <v>0</v>
      </c>
      <c r="ME175" s="21">
        <f>EXP(-LN(2)/2)*ME174+(1-EXP(-LN(2)/2))/(LN(2)/2)*LY175*MB175*VLOOKUP('Données projet'!$B$24,Paramètres!$A$1:$I$89,3,0)*0.475*44/12</f>
        <v>0</v>
      </c>
      <c r="MF175" s="22">
        <f t="shared" si="271"/>
        <v>128.11258913367661</v>
      </c>
      <c r="MG175" s="74">
        <f>('Scénario référence'!$F$8+'Scénario référence'!$F$9+'Scénario référence'!$B$17+'Scénario référence'!$B$9+'Scénario référence'!$B$10)*70+IF((45+25*(1-EXP(-0.0175*$A175)))&lt;70,'Scénario référence'!$B$16*(45+25*(1-EXP(-0.0175*$A175))),70*'Scénario référence'!$B$16)+IF((32+38*(1-EXP(-0.0175*$A175)))&lt;70,'Scénario référence'!$B$18*(32+38*(1-EXP(-0.0175*$A175))),70*'Scénario référence'!$B$18)</f>
        <v>70</v>
      </c>
      <c r="MH175" s="12">
        <f>IF($A175&gt;30,10,('Scénario référence'!$B$16+'Scénario référence'!$B$17+'Scénario référence'!$B$18+'Scénario référence'!$B$9+'Scénario référence'!$B$10)*$A175*10/30+('Scénario référence'!$F$8+'Scénario référence'!$F$9)*10)</f>
        <v>10</v>
      </c>
      <c r="MI175" s="12" t="e">
        <f>VLOOKUP($A175,'Données projet'!$A$460:$I$480,2,0)</f>
        <v>#N/A</v>
      </c>
      <c r="MJ175" s="12" t="e">
        <f>VLOOKUP($A175,'Données projet'!$A$460:$I$480,9,0)</f>
        <v>#N/A</v>
      </c>
      <c r="MK175" s="12">
        <f t="array" ref="MK175">INDEX(MJ:MJ,MIN(IF(ISNUMBER(MJ175:MJ371),ROW(MJ175:MJ371),"")))</f>
        <v>0</v>
      </c>
      <c r="ML175" s="12">
        <f>IF('Données projet'!$A$460&gt;35,ML174+MK175-MT174,IF($A175&lt;'Données projet'!$A$460,$CQ$205^$A175,IF($A175='Données projet'!$A$460,'Données projet'!$B$460,ML174+MK175-MT174)))</f>
        <v>0</v>
      </c>
      <c r="MM175" s="17" t="e">
        <f>ML175*VLOOKUP('Données projet'!$B$25,Paramètres!$A$1:$I$89,3,0)*VLOOKUP('Données projet'!$B$25,Paramètres!$A$1:$I$89,5,0)</f>
        <v>#N/A</v>
      </c>
      <c r="MN175" s="13" t="e">
        <f t="shared" si="318"/>
        <v>#N/A</v>
      </c>
      <c r="MO175" s="14" t="e">
        <f t="shared" si="272"/>
        <v>#N/A</v>
      </c>
      <c r="MP175" s="59" t="e">
        <f t="shared" si="273"/>
        <v>#N/A</v>
      </c>
      <c r="MQ175" s="20" t="e">
        <f ca="1">AVERAGE(OFFSET($MP$3,0,0,'Données projet'!$E$25+1,1))-AVERAGE(OFFSET($H$3,0,0,'Données projet'!$E$25+1,1))</f>
        <v>#N/A</v>
      </c>
      <c r="MR175" s="59" t="e">
        <f t="shared" si="319"/>
        <v>#N/A</v>
      </c>
      <c r="MS175" s="15">
        <f>IF(ISNA(VLOOKUP($A175,'Données projet'!$A$460:$I$480,3,0)),0,VLOOKUP($A175,'Données projet'!$A$460:$I$480,3,0))</f>
        <v>0</v>
      </c>
      <c r="MT175" s="15">
        <f>IF(ISNA(VLOOKUP($A175,'Données projet'!$A$460:$I$480,4,0)),0,VLOOKUP($A175,'Données projet'!$A$460:$I$480,4,0))</f>
        <v>0</v>
      </c>
      <c r="MU175" s="16">
        <f>IF(ISNA(VLOOKUP($A175,'Données projet'!$A$460:$I$480,5,0)),0%,VLOOKUP($A175,'Données projet'!$A$460:$I$480,5,0)*VLOOKUP('Données projet'!$B$25,Paramètres!$A$1:$I$89,7,0))</f>
        <v>0</v>
      </c>
      <c r="MV175" s="16">
        <f>IF(ISNA(VLOOKUP($A175,'Données projet'!$A$460:$I$480,6,0)),0%,VLOOKUP($A175,'Données projet'!$A$460:$I$480,6,0)*VLOOKUP('Données projet'!$B$25,Paramètres!$A$1:$I$89,7,0))</f>
        <v>0</v>
      </c>
      <c r="MW175" s="16">
        <f>IF(ISNA(VLOOKUP($A175,'Données projet'!$A$460:$I$480,7,0)),0%,VLOOKUP($A175,'Données projet'!$A$460:$I$480,7,0))</f>
        <v>0</v>
      </c>
      <c r="MX175" s="21" t="e">
        <f>EXP(-LN(2)/35)*MX174+(1-EXP(-LN(2)/35))/(LN(2)/35)*MT175*MU175*VLOOKUP('Données projet'!$B$25,Paramètres!$A$1:$I$89,3,0)*0.475*44/12</f>
        <v>#N/A</v>
      </c>
      <c r="MY175" s="21" t="e">
        <f>EXP(-LN(2)/25)*MY174+(1-EXP(-LN(2)/25))/(LN(2)/25)*Calculateur!MT175*Calculateur!MV175*VLOOKUP('Données projet'!$B$25,Paramètres!$A$1:$I$89,3,0)*0.475*44/12</f>
        <v>#N/A</v>
      </c>
      <c r="MZ175" s="21" t="e">
        <f>EXP(-LN(2)/2)*MZ174+(1-EXP(-LN(2)/2))/(LN(2)/2)*MT175*MW175*VLOOKUP('Données projet'!$B$25,Paramètres!$A$1:$I$89,3,0)*0.475*44/12</f>
        <v>#N/A</v>
      </c>
      <c r="NA175" s="22" t="e">
        <f t="shared" si="274"/>
        <v>#N/A</v>
      </c>
      <c r="NB175" s="74">
        <f>('Scénario référence'!$F$8+'Scénario référence'!$F$9+'Scénario référence'!$B$17+'Scénario référence'!$B$9+'Scénario référence'!$B$10)*70+IF((45+25*(1-EXP(-0.0175*$A175)))&lt;70,'Scénario référence'!$B$16*(45+25*(1-EXP(-0.0175*$A175))),70*'Scénario référence'!$B$16)+IF((32+38*(1-EXP(-0.0175*$A175)))&lt;70,'Scénario référence'!$B$18*(32+38*(1-EXP(-0.0175*$A175))),70*'Scénario référence'!$B$18)</f>
        <v>70</v>
      </c>
      <c r="NC175" s="12">
        <f>IF($A175&gt;30,10,('Scénario référence'!$B$16+'Scénario référence'!$B$17+'Scénario référence'!$B$18+'Scénario référence'!$B$9+'Scénario référence'!$B$10)*$A175*10/30+('Scénario référence'!$F$8+'Scénario référence'!$F$9)*10)</f>
        <v>10</v>
      </c>
      <c r="ND175" s="12" t="e">
        <f>VLOOKUP($A175,'Données projet'!$A$486:$I$506,2,0)</f>
        <v>#N/A</v>
      </c>
      <c r="NE175" s="12" t="e">
        <f>VLOOKUP($A175,'Données projet'!$A$486:$I$506,9,0)</f>
        <v>#N/A</v>
      </c>
      <c r="NF175" s="12">
        <f t="array" ref="NF175">INDEX(NE:NE,MIN(IF(ISNUMBER(NE175:NE371),ROW(NE175:NE371),"")))</f>
        <v>0</v>
      </c>
      <c r="NG175" s="12">
        <f>IF('Données projet'!$A$486&gt;35,NG174+NF175-NO174,IF($A175&lt;'Données projet'!$A$486,$CQ$205^$A175,IF($A175='Données projet'!$A$486,'Données projet'!$B$486,NG174+NF175-NO174)))</f>
        <v>0</v>
      </c>
      <c r="NH175" s="17" t="e">
        <f>NG175*VLOOKUP('Données projet'!$B$26,Paramètres!$A$1:$I$89,3,0)*VLOOKUP('Données projet'!$B$26,Paramètres!$A$1:$I$89,5,0)</f>
        <v>#N/A</v>
      </c>
      <c r="NI175" s="13" t="e">
        <f t="shared" si="320"/>
        <v>#N/A</v>
      </c>
      <c r="NJ175" s="14" t="e">
        <f t="shared" si="275"/>
        <v>#N/A</v>
      </c>
      <c r="NK175" s="59" t="e">
        <f t="shared" si="276"/>
        <v>#N/A</v>
      </c>
      <c r="NL175" s="20" t="e">
        <f ca="1">AVERAGE(OFFSET($NK$3,0,0,'Données projet'!$E$26+1,1))-AVERAGE(OFFSET($H$3,0,0,'Données projet'!$E$26+1,1))</f>
        <v>#N/A</v>
      </c>
      <c r="NM175" s="59" t="e">
        <f t="shared" si="321"/>
        <v>#N/A</v>
      </c>
      <c r="NN175" s="15">
        <f>IF(ISNA(VLOOKUP($A175,'Données projet'!$A$486:$I$506,3,0)),0,VLOOKUP($A175,'Données projet'!$A$486:$I$506,3,0))</f>
        <v>0</v>
      </c>
      <c r="NO175" s="15">
        <f>IF(ISNA(VLOOKUP($A175,'Données projet'!$A$486:$I$506,4,0)),0,VLOOKUP($A175,'Données projet'!$A$486:$I$506,4,0))</f>
        <v>0</v>
      </c>
      <c r="NP175" s="16">
        <f>IF(ISNA(VLOOKUP($A175,'Données projet'!$A$486:$I$506,5,0)),0%,VLOOKUP($A175,'Données projet'!$A$486:$I$506,5,0)*VLOOKUP('Données projet'!$B$26,Paramètres!$A$1:$I$89,7,0))</f>
        <v>0</v>
      </c>
      <c r="NQ175" s="16">
        <f>IF(ISNA(VLOOKUP($A175,'Données projet'!$A$486:$I$506,6,0)),0%,VLOOKUP($A175,'Données projet'!$A$486:$I$506,6,0)*VLOOKUP('Données projet'!$B$26,Paramètres!$A$1:$I$89,7,0))</f>
        <v>0</v>
      </c>
      <c r="NR175" s="16">
        <f>IF(ISNA(VLOOKUP($A175,'Données projet'!$A$486:$I$506,7,0)),0%,VLOOKUP($A175,'Données projet'!$A$486:$I$506,7,0))</f>
        <v>0</v>
      </c>
      <c r="NS175" s="21" t="e">
        <f>EXP(-LN(2)/35)*NS174+(1-EXP(-LN(2)/35))/(LN(2)/35)*NO175*NP175*VLOOKUP('Données projet'!$B$26,Paramètres!$A$1:$I$89,3,0)*0.475*44/12</f>
        <v>#N/A</v>
      </c>
      <c r="NT175" s="21" t="e">
        <f>EXP(-LN(2)/25)*NT174+(1-EXP(-LN(2)/25))/(LN(2)/25)*Calculateur!NO175*Calculateur!NQ175*VLOOKUP('Données projet'!$B$26,Paramètres!$A$1:$I$89,3,0)*0.475*44/12</f>
        <v>#N/A</v>
      </c>
      <c r="NU175" s="21" t="e">
        <f>EXP(-LN(2)/2)*NU174+(1-EXP(-LN(2)/2))/(LN(2)/2)*NO175*NR175*VLOOKUP('Données projet'!$B$26,Paramètres!$A$1:$I$89,3,0)*0.475*44/12</f>
        <v>#N/A</v>
      </c>
      <c r="NV175" s="22" t="e">
        <f t="shared" si="277"/>
        <v>#N/A</v>
      </c>
      <c r="NW175" s="74">
        <f>('Scénario référence'!$F$8+'Scénario référence'!$F$9+'Scénario référence'!$B$17+'Scénario référence'!$B$9+'Scénario référence'!$B$10)*70+IF((45+25*(1-EXP(-0.0175*$A175)))&lt;70,'Scénario référence'!$B$16*(45+25*(1-EXP(-0.0175*$A175))),70*'Scénario référence'!$B$16)+IF((32+38*(1-EXP(-0.0175*$A175)))&lt;70,'Scénario référence'!$B$18*(32+38*(1-EXP(-0.0175*$A175))),70*'Scénario référence'!$B$18)</f>
        <v>70</v>
      </c>
      <c r="NX175" s="12">
        <f>IF($A175&gt;30,10,('Scénario référence'!$B$16+'Scénario référence'!$B$17+'Scénario référence'!$B$18+'Scénario référence'!$B$9+'Scénario référence'!$B$10)*$A175*10/30+('Scénario référence'!$F$8+'Scénario référence'!$F$9)*10)</f>
        <v>10</v>
      </c>
      <c r="NY175" s="12" t="e">
        <f>VLOOKUP($A175,'Données projet'!$A$512:$I$532,2,0)</f>
        <v>#N/A</v>
      </c>
      <c r="NZ175" s="12" t="e">
        <f>VLOOKUP($A175,'Données projet'!$A$512:$I$532,9,0)</f>
        <v>#N/A</v>
      </c>
      <c r="OA175" s="12">
        <f t="array" ref="OA175">INDEX(NZ:NZ,MIN(IF(ISNUMBER(NZ175:NZ371),ROW(NZ175:NZ371),"")))</f>
        <v>0</v>
      </c>
      <c r="OB175" s="12">
        <f>IF('Données projet'!$A$512&gt;35,OB174+OA175-OJ174,IF($A175&lt;'Données projet'!$A$512,$CQ$205^$A175,IF($A175='Données projet'!$A$512,'Données projet'!$B$512,OB174+OA175-OJ174)))</f>
        <v>0</v>
      </c>
      <c r="OC175" s="17" t="e">
        <f>OB175*VLOOKUP('Données projet'!$B$27,Paramètres!$A$1:$I$89,3,0)*VLOOKUP('Données projet'!$B$27,Paramètres!$A$1:$I$89,5,0)</f>
        <v>#N/A</v>
      </c>
      <c r="OD175" s="13" t="e">
        <f t="shared" si="322"/>
        <v>#N/A</v>
      </c>
      <c r="OE175" s="14" t="e">
        <f t="shared" si="278"/>
        <v>#N/A</v>
      </c>
      <c r="OF175" s="59" t="e">
        <f t="shared" si="279"/>
        <v>#N/A</v>
      </c>
      <c r="OG175" s="20" t="e">
        <f ca="1">AVERAGE(OFFSET($OF$3,0,0,'Données projet'!$E$27+1,1))-AVERAGE(OFFSET($H$3,0,0,'Données projet'!$E$27+1,1))</f>
        <v>#N/A</v>
      </c>
      <c r="OH175" s="59" t="e">
        <f t="shared" si="323"/>
        <v>#N/A</v>
      </c>
      <c r="OI175" s="15">
        <f>IF(ISNA(VLOOKUP($A175,'Données projet'!$A$512:$I$532,3,0)),0,VLOOKUP($A175,'Données projet'!$A$512:$I$532,3,0))</f>
        <v>0</v>
      </c>
      <c r="OJ175" s="15">
        <f>IF(ISNA(VLOOKUP($A175,'Données projet'!$A$512:$I$532,4,0)),0,VLOOKUP($A175,'Données projet'!$A$512:$I$532,4,0))</f>
        <v>0</v>
      </c>
      <c r="OK175" s="16">
        <f>IF(ISNA(VLOOKUP($A175,'Données projet'!$A$512:$I$532,5,0)),0%,VLOOKUP($A175,'Données projet'!$A$512:$I$532,5,0)*VLOOKUP('Données projet'!$B$27,Paramètres!$A$1:$I$89,7,0))</f>
        <v>0</v>
      </c>
      <c r="OL175" s="16">
        <f>IF(ISNA(VLOOKUP($A175,'Données projet'!$A$512:$I$532,6,0)),0%,VLOOKUP($A175,'Données projet'!$A$512:$I$532,6,0)*VLOOKUP('Données projet'!$B$27,Paramètres!$A$1:$I$89,7,0))</f>
        <v>0</v>
      </c>
      <c r="OM175" s="16">
        <f>IF(ISNA(VLOOKUP($A175,'Données projet'!$A$512:$I$532,7,0)),0%,VLOOKUP($A175,'Données projet'!$A$512:$I$532,7,0))</f>
        <v>0</v>
      </c>
      <c r="ON175" s="21" t="e">
        <f>EXP(-LN(2)/35)*ON174+(1-EXP(-LN(2)/35))/(LN(2)/35)*OJ175*OK175*VLOOKUP('Données projet'!$B$27,Paramètres!$A$1:$I$89,3,0)*0.475*44/12</f>
        <v>#N/A</v>
      </c>
      <c r="OO175" s="21" t="e">
        <f>EXP(-LN(2)/25)*OO174+(1-EXP(-LN(2)/25))/(LN(2)/25)*Calculateur!OJ175*Calculateur!OL175*VLOOKUP('Données projet'!$B$27,Paramètres!$A$1:$I$89,3,0)*0.475*44/12</f>
        <v>#N/A</v>
      </c>
      <c r="OP175" s="21" t="e">
        <f>EXP(-LN(2)/2)*OP174+(1-EXP(-LN(2)/2))/(LN(2)/2)*OJ175*OM175*VLOOKUP('Données projet'!$B$27,Paramètres!$A$1:$I$89,3,0)*0.475*44/12</f>
        <v>#N/A</v>
      </c>
      <c r="OQ175" s="22" t="e">
        <f t="shared" si="280"/>
        <v>#N/A</v>
      </c>
      <c r="OR175" s="74">
        <f>('Scénario référence'!$F$8+'Scénario référence'!$F$9+'Scénario référence'!$B$17+'Scénario référence'!$B$9+'Scénario référence'!$B$10)*70+IF((45+25*(1-EXP(-0.0175*$A175)))&lt;70,'Scénario référence'!$B$16*(45+25*(1-EXP(-0.0175*$A175))),70*'Scénario référence'!$B$16)+IF((32+38*(1-EXP(-0.0175*$A175)))&lt;70,'Scénario référence'!$B$18*(32+38*(1-EXP(-0.0175*$A175))),70*'Scénario référence'!$B$18)</f>
        <v>70</v>
      </c>
      <c r="OS175" s="12">
        <f>IF($A175&gt;30,10,('Scénario référence'!$B$16+'Scénario référence'!$B$17+'Scénario référence'!$B$18+'Scénario référence'!$B$9+'Scénario référence'!$B$10)*$A175*10/30+('Scénario référence'!$F$8+'Scénario référence'!$F$9)*10)</f>
        <v>10</v>
      </c>
      <c r="OT175" s="12" t="e">
        <f>VLOOKUP($A175,'Données projet'!$A$538:$I$558,2,0)</f>
        <v>#N/A</v>
      </c>
      <c r="OU175" s="12" t="e">
        <f>VLOOKUP($A175,'Données projet'!$A$538:$I$558,9,0)</f>
        <v>#N/A</v>
      </c>
      <c r="OV175" s="12">
        <f t="array" ref="OV175">INDEX(OU:OU,MIN(IF(ISNUMBER(OU175:OU371),ROW(OU175:OU371),"")))</f>
        <v>0</v>
      </c>
      <c r="OW175" s="12">
        <f>IF('Données projet'!$A$538&gt;35,OW174+OV175-PE174,IF($A175&lt;'Données projet'!$A$538,$CQ$205^$A175,IF($A175='Données projet'!$A$538,'Données projet'!$B$538,OW174+OV175-PE174)))</f>
        <v>0</v>
      </c>
      <c r="OX175" s="17" t="e">
        <f>OW175*VLOOKUP('Données projet'!$B$28,Paramètres!$A$1:$I$89,3,0)*VLOOKUP('Données projet'!$B$28,Paramètres!$A$1:$I$89,5,0)</f>
        <v>#N/A</v>
      </c>
      <c r="OY175" s="13" t="e">
        <f t="shared" si="324"/>
        <v>#N/A</v>
      </c>
      <c r="OZ175" s="14" t="e">
        <f t="shared" si="281"/>
        <v>#N/A</v>
      </c>
      <c r="PA175" s="59" t="e">
        <f t="shared" si="282"/>
        <v>#N/A</v>
      </c>
      <c r="PB175" s="20" t="e">
        <f ca="1">AVERAGE(OFFSET($PA$3,0,0,'Données projet'!$E$28+1,1))-AVERAGE(OFFSET($H$3,0,0,'Données projet'!$E$28+1,1))</f>
        <v>#N/A</v>
      </c>
      <c r="PC175" s="59" t="e">
        <f t="shared" si="325"/>
        <v>#N/A</v>
      </c>
      <c r="PD175" s="15">
        <f>IF(ISNA(VLOOKUP($A175,'Données projet'!$A$538:$I$558,3,0)),0,VLOOKUP($A175,'Données projet'!$A$538:$I$558,3,0))</f>
        <v>0</v>
      </c>
      <c r="PE175" s="15">
        <f>IF(ISNA(VLOOKUP($A175,'Données projet'!$A$538:$I$558,4,0)),0,VLOOKUP($A175,'Données projet'!$A$538:$I$558,4,0))</f>
        <v>0</v>
      </c>
      <c r="PF175" s="16">
        <f>IF(ISNA(VLOOKUP($A175,'Données projet'!$A$538:$I$558,5,0)),0%,VLOOKUP($A175,'Données projet'!$A$538:$I$558,5,0)*VLOOKUP('Données projet'!$B$28,Paramètres!$A$1:$I$89,7,0))</f>
        <v>0</v>
      </c>
      <c r="PG175" s="16">
        <f>IF(ISNA(VLOOKUP($A175,'Données projet'!$A$538:$I$558,6,0)),0%,VLOOKUP($A175,'Données projet'!$A$538:$I$558,6,0)*VLOOKUP('Données projet'!$B$28,Paramètres!$A$1:$I$89,7,0))</f>
        <v>0</v>
      </c>
      <c r="PH175" s="16">
        <f>IF(ISNA(VLOOKUP($A175,'Données projet'!$A$538:$I$558,7,0)),0%,VLOOKUP($A175,'Données projet'!$A$538:$I$558,7,0))</f>
        <v>0</v>
      </c>
      <c r="PI175" s="21" t="e">
        <f>EXP(-LN(2)/35)*PI174+(1-EXP(-LN(2)/35))/(LN(2)/35)*PE175*PF175*VLOOKUP('Données projet'!$B$28,Paramètres!$A$1:$I$89,3,0)*0.475*44/12</f>
        <v>#N/A</v>
      </c>
      <c r="PJ175" s="21" t="e">
        <f>EXP(-LN(2)/25)*PJ174+(1-EXP(-LN(2)/25))/(LN(2)/25)*Calculateur!PE175*Calculateur!PG175*VLOOKUP('Données projet'!$B$28,Paramètres!$A$1:$I$89,3,0)*0.475*44/12</f>
        <v>#N/A</v>
      </c>
      <c r="PK175" s="21" t="e">
        <f>EXP(-LN(2)/2)*PK174+(1-EXP(-LN(2)/2))/(LN(2)/2)*PE175*PH175*VLOOKUP('Données projet'!$B$28,Paramètres!$A$1:$I$89,3,0)*0.475*44/12</f>
        <v>#N/A</v>
      </c>
      <c r="PL175" s="22" t="e">
        <f t="shared" si="283"/>
        <v>#N/A</v>
      </c>
    </row>
    <row r="176" spans="1:428" x14ac:dyDescent="0.35">
      <c r="A176" s="10">
        <f t="shared" si="326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285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225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projet'!$A$45:$I$65,2,0)</f>
        <v>#N/A</v>
      </c>
      <c r="L176" s="12" t="e">
        <f>VLOOKUP(A176,'Données projet'!$A$45:$I$65,9,0)</f>
        <v>#N/A</v>
      </c>
      <c r="M176" s="12">
        <f t="array" ref="M176">INDEX(L:L,MIN(IF(ISNUMBER(L176:L372),ROW(L176:L372),"")))</f>
        <v>0</v>
      </c>
      <c r="N176" s="13">
        <f>IF('Données projet'!$A$46&gt;35,N175+M176-V175,IF(A176&lt;'Données projet'!$A$46,$K$205^A176,IF(A176='Données projet'!$A$46,'Données projet'!$B$46,N175+M176-V175)))</f>
        <v>-1.1368683772161603E-13</v>
      </c>
      <c r="O176" s="13">
        <f>N176*VLOOKUP('Données projet'!$B$9,Paramètres!$A$1:$I$89,3,0)*VLOOKUP('Données projet'!$B$9,Paramètres!$A$1:$I$89,5,0)</f>
        <v>-6.3550942286383367E-14</v>
      </c>
      <c r="P176" s="13" t="e">
        <f t="shared" si="286"/>
        <v>#NUM!</v>
      </c>
      <c r="Q176" s="20" t="e">
        <f t="shared" si="327"/>
        <v>#NUM!</v>
      </c>
      <c r="R176" s="59" t="e">
        <f t="shared" si="224"/>
        <v>#NUM!</v>
      </c>
      <c r="S176" s="59">
        <f ca="1">AVERAGE(OFFSET($R$3,0,0,'Données projet'!$E$9+1,1))-AVERAGE(OFFSET($H$3,0,0,'Données projet'!$E$9+1,1))</f>
        <v>274.57619581652199</v>
      </c>
      <c r="T176" s="59">
        <f t="shared" si="287"/>
        <v>366.15117322598775</v>
      </c>
      <c r="U176" s="15">
        <f>IF(ISNA(VLOOKUP(A176,'Données projet'!$A$45:$I$65,3,0)),0,VLOOKUP(A176,'Données projet'!$A$45:$I$65,3,0))</f>
        <v>0</v>
      </c>
      <c r="V176" s="15">
        <f>IF(ISNA(VLOOKUP(A176,'Données projet'!$A$45:$I$65,4,0)),0,VLOOKUP(A176,'Données projet'!$A$45:$I$65,4,0))</f>
        <v>0</v>
      </c>
      <c r="W176" s="16">
        <f>IF(ISNA(VLOOKUP(A176,'Données projet'!$A$45:$I$65,5,0)),0%,VLOOKUP(A176,'Données projet'!$A$45:$I$65,5,0)*VLOOKUP('Données projet'!$B$9,Paramètres!$A$1:$I$89,7,0))</f>
        <v>0</v>
      </c>
      <c r="X176" s="16">
        <f>IF(ISNA(VLOOKUP(A176,'Données projet'!$A$45:$I$65,6,0)),0%,VLOOKUP(A176,'Données projet'!$A$45:$I$65,6,0)*VLOOKUP('Données projet'!$B$9,Paramètres!$A$1:$I$89,7,0))</f>
        <v>0</v>
      </c>
      <c r="Y176" s="16">
        <f>IF(ISNA(VLOOKUP(A176,'Données projet'!$A$45:$I$65,7,0)),0%,VLOOKUP(A176,'Données projet'!$A$45:$I$65,7,0))</f>
        <v>0</v>
      </c>
      <c r="Z176" s="21">
        <f>EXP(-LN(2)/35)*Z175+(1-EXP(-LN(2)/35))/(LN(2)/35)*V176*W176*VLOOKUP('Données projet'!$B$9,Paramètres!$A$1:$I$89,3,0)*0.475*44/12</f>
        <v>21.901212802611184</v>
      </c>
      <c r="AA176" s="21">
        <f>EXP(-LN(2)/25)*AA175+(1-EXP(-LN(2)/25))/(LN(2)/25)*Calculateur!V176*Calculateur!X176*VLOOKUP('Données projet'!$B$9,Paramètres!$A$1:$I$89,3,0)*0.475*44/12</f>
        <v>2.1858422134145581</v>
      </c>
      <c r="AB176" s="21">
        <f>EXP(-LN(2)/2)*AB175+(1-EXP(-LN(2)/2))/(LN(2)/2)*V176*Y176*VLOOKUP('Données projet'!$B$9,Paramètres!$A$1:$I$89,3,0)*0.475*44/12</f>
        <v>5.9260416025914408E-17</v>
      </c>
      <c r="AC176" s="22">
        <f t="shared" si="328"/>
        <v>24.087055016025744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projet'!$A$71:$I$91,2,0)</f>
        <v>#N/A</v>
      </c>
      <c r="AG176" s="12" t="e">
        <f>VLOOKUP(A176,'Données projet'!$A$71:$I$91,9,0)</f>
        <v>#N/A</v>
      </c>
      <c r="AH176" s="12">
        <f t="array" ref="AH176">INDEX(AG:AG,MIN(IF(ISNUMBER(AG176:AG372),ROW(AG176:AG372),"")))</f>
        <v>0</v>
      </c>
      <c r="AI176" s="13">
        <f>IF('Données projet'!$A$72&gt;35,AI175+AH176-AQ175,IF(A176&lt;'Données projet'!$A$72,$AF$205^A176,IF(A176='Données projet'!$A$72,'Données projet'!$B$72,AI175+AH176-AQ175)))</f>
        <v>5.6843418860808015E-13</v>
      </c>
      <c r="AJ176" s="13">
        <f>AI176*VLOOKUP('Données projet'!$B$10,Paramètres!$A$1:$I$89,3,0)*VLOOKUP('Données projet'!$B$10,Paramètres!$A$1:$I$89,5,0)</f>
        <v>5.1431925385259092E-13</v>
      </c>
      <c r="AK176" s="13">
        <f t="shared" si="329"/>
        <v>6.3855359115685756E-12</v>
      </c>
      <c r="AL176" s="20">
        <f t="shared" si="330"/>
        <v>1.2017247746441865E-11</v>
      </c>
      <c r="AM176" s="59">
        <f t="shared" si="228"/>
        <v>293.33333333334531</v>
      </c>
      <c r="AN176" s="59">
        <f ca="1">AVERAGE(OFFSET($AM$3,0,0,'Données projet'!$E$10+1,1))-AVERAGE(OFFSET($H$3,0,0,'Données projet'!$E$10+1,1))</f>
        <v>270.87836509222456</v>
      </c>
      <c r="AO176" s="59">
        <f t="shared" si="289"/>
        <v>205.24998237949734</v>
      </c>
      <c r="AP176" s="15">
        <f>IF(ISNA(VLOOKUP(A176,'Données projet'!$A$71:$I$91,3,0)),0,VLOOKUP(A176,'Données projet'!$A$71:$I$91,3,0))</f>
        <v>0</v>
      </c>
      <c r="AQ176" s="15">
        <f>IF(ISNA(VLOOKUP(A176,'Données projet'!$A$71:$I$91,4,0)),0,VLOOKUP(A176,'Données projet'!$A$71:$I$91,4,0))</f>
        <v>0</v>
      </c>
      <c r="AR176" s="16">
        <f>IF(ISNA(VLOOKUP(A176,'Données projet'!$A$71:$I$91,5,0)),0%,VLOOKUP(A176,'Données projet'!$A$71:$I$91,5,0)*VLOOKUP('Données projet'!$B$10,Paramètres!$A$1:$I$89,7,0))</f>
        <v>0</v>
      </c>
      <c r="AS176" s="16">
        <f>IF(ISNA(VLOOKUP(A176,'Données projet'!$A$71:$I$91,6,0)),0%,VLOOKUP(A176,'Données projet'!$A$71:$I$91,6,0)*VLOOKUP('Données projet'!$B$10,Paramètres!$A$1:$I$89,7,0))</f>
        <v>0</v>
      </c>
      <c r="AT176" s="16">
        <f>IF(ISNA(VLOOKUP(A176,'Données projet'!$A$71:$I$91,7,0)),0%,VLOOKUP(A176,'Données projet'!$A$71:$I$91,7,0))</f>
        <v>0</v>
      </c>
      <c r="AU176" s="21">
        <f>EXP(-LN(2)/35)*AU175+(1-EXP(-LN(2)/35))/(LN(2)/35)*AQ176*AR176*VLOOKUP('Données projet'!$B$10,Paramètres!$A$1:$I$89,3,0)*0.475*44/12</f>
        <v>74.425901031199317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331"/>
        <v>74.425901031199317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projet'!$A$97:$I$117,2,0)</f>
        <v>#N/A</v>
      </c>
      <c r="BB176" s="12" t="e">
        <f>VLOOKUP(A176,'Données projet'!$A$97:$I$117,9,0)</f>
        <v>#N/A</v>
      </c>
      <c r="BC176" s="12">
        <f t="array" ref="BC176">INDEX(BB:BB,MIN(IF(ISNUMBER(BB176:BB372),ROW(BB176:BB372),"")))</f>
        <v>0</v>
      </c>
      <c r="BD176" s="12">
        <f>IF('Données projet'!$A$98&gt;35,BD175+BC176-BL175,IF(A176&lt;'Données projet'!$A$98,$BA$205^A176,IF(A176='Données projet'!$A$98,'Données projet'!$B$98,BD175+BC176-BL175)))</f>
        <v>-1.1368683772161603E-13</v>
      </c>
      <c r="BE176" s="13">
        <f>BD176*VLOOKUP('Données projet'!$B$11,Paramètres!$A$1:$I$89,3,0)*VLOOKUP('Données projet'!$B$11,Paramètres!$A$1:$I$89,5,0)</f>
        <v>-5.0249582272954292E-14</v>
      </c>
      <c r="BF176" s="13" t="e">
        <f t="shared" si="332"/>
        <v>#NUM!</v>
      </c>
      <c r="BG176" s="20" t="e">
        <f t="shared" si="333"/>
        <v>#NUM!</v>
      </c>
      <c r="BH176" s="59" t="e">
        <f t="shared" si="231"/>
        <v>#NUM!</v>
      </c>
      <c r="BI176" s="59">
        <f ca="1">AVERAGE(OFFSET($BH$3,0,0,'Données projet'!$E$11+1,1))-AVERAGE(OFFSET($H$3,0,0,'Données projet'!$E$11+1,1))</f>
        <v>211.31057120485542</v>
      </c>
      <c r="BJ176" s="59">
        <f t="shared" si="291"/>
        <v>283.33292006714777</v>
      </c>
      <c r="BK176" s="15">
        <f>IF(ISNA(VLOOKUP(A176,'Données projet'!$A$97:$I$117,3,0)),0,VLOOKUP(A176,'Données projet'!$A$97:$I$117,3,0))</f>
        <v>0</v>
      </c>
      <c r="BL176" s="15">
        <f>IF(ISNA(VLOOKUP(A176,'Données projet'!$A$97:$I$117,4,0)),0,VLOOKUP(A176,'Données projet'!$A$97:$I$117,4,0))</f>
        <v>0</v>
      </c>
      <c r="BM176" s="16">
        <f>IF(ISNA(VLOOKUP(A176,'Données projet'!$A$97:$I$117,5,0)),0%,VLOOKUP(A176,'Données projet'!$A$97:$I$117,5,0)*VLOOKUP('Données projet'!$B$11,Paramètres!$A$1:$I$89,7,0))</f>
        <v>0</v>
      </c>
      <c r="BN176" s="16">
        <f>IF(ISNA(VLOOKUP(A176,'Données projet'!$A$97:$I$117,6,0)),0%,VLOOKUP(A176,'Données projet'!$A$97:$I$117,6,0)*VLOOKUP('Données projet'!$B$11,Paramètres!$A$1:$I$89,7,0))</f>
        <v>0</v>
      </c>
      <c r="BO176" s="16">
        <f>IF(ISNA(VLOOKUP(A176,'Données projet'!$A$97:$I$117,7,0)),0%,VLOOKUP(A176,'Données projet'!$A$97:$I$117,7,0))</f>
        <v>0</v>
      </c>
      <c r="BP176" s="21">
        <f>EXP(-LN(2)/35)*BP175+(1-EXP(-LN(2)/35))/(LN(2)/35)*BL176*BM176*VLOOKUP('Données projet'!$B$11,Paramètres!$A$1:$I$89,3,0)*0.475*44/12</f>
        <v>17.317238029971644</v>
      </c>
      <c r="BQ176" s="21">
        <f>EXP(-LN(2)/25)*BQ175+(1-EXP(-LN(2)/25))/(LN(2)/25)*Calculateur!BL176*Calculateur!BN176*VLOOKUP('Données projet'!$B$11,Paramètres!$A$1:$I$89,3,0)*0.475*44/12</f>
        <v>1.7283403547929057</v>
      </c>
      <c r="BR176" s="21">
        <f>EXP(-LN(2)/2)*BR175+(1-EXP(-LN(2)/2))/(LN(2)/2)*BL176*BO176*VLOOKUP('Données projet'!$B$11,Paramètres!$A$1:$I$89,3,0)*0.475*44/12</f>
        <v>4.6857073136769523E-17</v>
      </c>
      <c r="BS176" s="22">
        <f t="shared" si="334"/>
        <v>19.04557838476455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projet'!$A$123:$I$143,2,0)</f>
        <v>#N/A</v>
      </c>
      <c r="BW176" s="12" t="e">
        <f>VLOOKUP(A176,'Données projet'!$A$123:$I$143,9,0)</f>
        <v>#N/A</v>
      </c>
      <c r="BX176" s="12">
        <f t="array" ref="BX176">INDEX(BW:BW,MIN(IF(ISNUMBER(BW176:BW372),ROW(BW176:BW372),"")))</f>
        <v>0</v>
      </c>
      <c r="BY176" s="12">
        <f>IF('Données projet'!$A$124&gt;35,BY175+BX176-CG175,IF(A176&lt;'Données projet'!$A$124,$BV$205^A176,IF(A176='Données projet'!$A$124,'Données projet'!$B$124,BY175+BX176-CG175)))</f>
        <v>0</v>
      </c>
      <c r="BZ176" s="13">
        <f>BY176*VLOOKUP('Données projet'!$B$12,Paramètres!$A$1:$I$89,3,0)*VLOOKUP('Données projet'!$B$12,Paramètres!$A$1:$I$89,5,0)</f>
        <v>0</v>
      </c>
      <c r="CA176" s="13" t="e">
        <f t="shared" si="335"/>
        <v>#NUM!</v>
      </c>
      <c r="CB176" s="20" t="e">
        <f t="shared" si="336"/>
        <v>#NUM!</v>
      </c>
      <c r="CC176" s="59" t="e">
        <f t="shared" si="234"/>
        <v>#NUM!</v>
      </c>
      <c r="CD176" s="59">
        <f ca="1">AVERAGE(OFFSET($CC$3,0,0,'Données projet'!$E$12+1,1))-AVERAGE(OFFSET($H$3,0,0,'Données projet'!$E$12+1,1))</f>
        <v>322.93502595881938</v>
      </c>
      <c r="CE176" s="59">
        <f t="shared" si="293"/>
        <v>302.67072119588164</v>
      </c>
      <c r="CF176" s="15">
        <f>IF(ISNA(VLOOKUP(A176,'Données projet'!$A$123:$I$143,3,0)),0,VLOOKUP(A176,'Données projet'!$A$123:$I$143,3,0))</f>
        <v>0</v>
      </c>
      <c r="CG176" s="15">
        <f>IF(ISNA(VLOOKUP(A176,'Données projet'!$A$123:$I$143,4,0)),0,VLOOKUP(A176,'Données projet'!$A$123:$I$143,4,0))</f>
        <v>0</v>
      </c>
      <c r="CH176" s="16">
        <f>IF(ISNA(VLOOKUP(A176,'Données projet'!$A$123:$I$143,5,0)),0%,VLOOKUP(A176,'Données projet'!$A$123:$I$143,5,0)*VLOOKUP('Données projet'!$B$12,Paramètres!$A$1:$I$89,7,0))</f>
        <v>0</v>
      </c>
      <c r="CI176" s="16">
        <f>IF(ISNA(VLOOKUP(A176,'Données projet'!$A$123:$I$143,6,0)),0%,VLOOKUP(A176,'Données projet'!$A$123:$I$143,6,0)*VLOOKUP('Données projet'!$B$12,Paramètres!$A$1:$I$89,7,0))</f>
        <v>0</v>
      </c>
      <c r="CJ176" s="16">
        <f>IF(ISNA(VLOOKUP(A176,'Données projet'!$A$123:$I$143,7,0)),0%,VLOOKUP(A176,'Données projet'!$A$123:$I$143,7,0))</f>
        <v>0</v>
      </c>
      <c r="CK176" s="21">
        <f>EXP(-LN(2)/35)*CK175+(1-EXP(-LN(2)/35))/(LN(2)/35)*CG176*CH176*VLOOKUP('Données projet'!$B$12,Paramètres!$A$1:$I$89,3,0)*0.475*44/12</f>
        <v>27.59054461891273</v>
      </c>
      <c r="CL176" s="21">
        <f>EXP(-LN(2)/25)*CL175+(1-EXP(-LN(2)/25))/(LN(2)/25)*Calculateur!CG176*Calculateur!CI176*VLOOKUP('Données projet'!$B$12,Paramètres!$A$1:$I$89,3,0)*0.475*44/12</f>
        <v>5.531734848603465</v>
      </c>
      <c r="CM176" s="21">
        <f>EXP(-LN(2)/2)*CM175+(1-EXP(-LN(2)/2))/(LN(2)/2)*CG176*CJ176*VLOOKUP('Données projet'!$B$12,Paramètres!$A$1:$I$89,3,0)*0.475*44/12</f>
        <v>0</v>
      </c>
      <c r="CN176" s="22">
        <f t="shared" si="337"/>
        <v>33.122279467516194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projet'!$A$149:$I$169,2,0)</f>
        <v>#N/A</v>
      </c>
      <c r="CR176" s="12" t="e">
        <f>VLOOKUP(A176,'Données projet'!$A$149:$I$169,9,0)</f>
        <v>#N/A</v>
      </c>
      <c r="CS176" s="12">
        <f t="array" ref="CS176">INDEX(CR:CR,MIN(IF(ISNUMBER(CR176:CR372),ROW(CR176:CR372),"")))</f>
        <v>0</v>
      </c>
      <c r="CT176" s="12">
        <f>IF('Données projet'!$A$150&gt;35,CT175+CS176-DB175,IF(A176&lt;'Données projet'!$A$150,$CQ$205^A176,IF(A176='Données projet'!$A$150,'Données projet'!$B$150,CT175+CS176-DB175)))</f>
        <v>-4.5474735088646412E-13</v>
      </c>
      <c r="CU176" s="17">
        <f>CT176*VLOOKUP('Données projet'!$B$13,Paramètres!$A$1:$I$89,3,0)*VLOOKUP('Données projet'!$B$13,Paramètres!$A$1:$I$89,5,0)</f>
        <v>-4.6111381379887462E-13</v>
      </c>
      <c r="CV176" s="13" t="e">
        <f t="shared" si="338"/>
        <v>#NUM!</v>
      </c>
      <c r="CW176" s="20" t="e">
        <f t="shared" si="339"/>
        <v>#NUM!</v>
      </c>
      <c r="CX176" s="59" t="e">
        <f t="shared" si="237"/>
        <v>#NUM!</v>
      </c>
      <c r="CY176" s="59">
        <f ca="1">AVERAGE(OFFSET($CX$3,0,0,'Données projet'!$E$13+1,1))-AVERAGE(OFFSET($H$3,0,0,'Données projet'!$E$13+1,1))</f>
        <v>250.31277422753283</v>
      </c>
      <c r="CZ176" s="59">
        <f t="shared" si="295"/>
        <v>159.20429420478047</v>
      </c>
      <c r="DA176" s="15">
        <f>IF(ISNA(VLOOKUP(A176,'Données projet'!$A$149:$I$169,3,0)),0,VLOOKUP(A176,'Données projet'!$A$149:$I$169,3,0))</f>
        <v>0</v>
      </c>
      <c r="DB176" s="15">
        <f>IF(ISNA(VLOOKUP(A176,'Données projet'!$A$149:$I$169,4,0)),0,VLOOKUP(A176,'Données projet'!$A$149:$I$169,4,0))</f>
        <v>0</v>
      </c>
      <c r="DC176" s="16">
        <f>IF(ISNA(VLOOKUP(A176,'Données projet'!$A$149:$I$169,5,0)),0%,VLOOKUP(A176,'Données projet'!$A$149:$I$169,5,0)*VLOOKUP('Données projet'!$B$13,Paramètres!$A$1:$I$89,7,0))</f>
        <v>0</v>
      </c>
      <c r="DD176" s="16">
        <f>IF(ISNA(VLOOKUP(A176,'Données projet'!$A$149:$I$169,6,0)),0%,VLOOKUP(A176,'Données projet'!$A$149:$I$169,6,0)*VLOOKUP('Données projet'!$B$13,Paramètres!$A$1:$I$89,7,0))</f>
        <v>0</v>
      </c>
      <c r="DE176" s="16">
        <f>IF(ISNA(VLOOKUP(A176,'Données projet'!$A$149:$I$169,7,0)),0%,VLOOKUP(A176,'Données projet'!$A$149:$I$169,7,0))</f>
        <v>0</v>
      </c>
      <c r="DF176" s="21">
        <f>EXP(-LN(2)/35)*DF175+(1-EXP(-LN(2)/35))/(LN(2)/35)*DB176*DC176*VLOOKUP('Données projet'!$B$13,Paramètres!$A$1:$I$89,3,0)*0.475*44/12</f>
        <v>125.6003794017288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340"/>
        <v>125.6003794017288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projet'!$A$175:$I$195,2,0)</f>
        <v>#N/A</v>
      </c>
      <c r="DM176" s="12" t="e">
        <f>VLOOKUP(A176,'Données projet'!$A$175:$I$195,9,0)</f>
        <v>#N/A</v>
      </c>
      <c r="DN176" s="12">
        <f t="array" ref="DN176">INDEX(DM:DM,MIN(IF(ISNUMBER(DM176:DM372),ROW(DM176:DM372),"")))</f>
        <v>0</v>
      </c>
      <c r="DO176" s="12">
        <f>IF('Données projet'!$A$176&gt;35,DO175+DN176-DW175,IF(A176&lt;'Données projet'!$A$176,$DL$205^A176,IF(A176='Données projet'!$A$176,'Données projet'!$B$176,DO175+DN176-DW175)))</f>
        <v>-2.8421709430404007E-13</v>
      </c>
      <c r="DP176" s="17">
        <f>DO176*VLOOKUP('Données projet'!$B$14,Paramètres!$A$1:$I$89,3,0)*VLOOKUP('Données projet'!$B$14,Paramètres!$A$1:$I$89,5,0)</f>
        <v>-2.0838797354372215E-13</v>
      </c>
      <c r="DQ176" s="13" t="e">
        <f t="shared" si="341"/>
        <v>#NUM!</v>
      </c>
      <c r="DR176" s="20" t="e">
        <f t="shared" si="342"/>
        <v>#NUM!</v>
      </c>
      <c r="DS176" s="59" t="e">
        <f t="shared" si="240"/>
        <v>#NUM!</v>
      </c>
      <c r="DT176" s="59">
        <f ca="1">AVERAGE(OFFSET($DS$3,0,0,'Données projet'!$E$14+1,1))-AVERAGE(OFFSET($H$3,0,0,'Données projet'!$E$14+1,1))</f>
        <v>296.91321813251051</v>
      </c>
      <c r="DU176" s="59">
        <f t="shared" si="297"/>
        <v>291.0718079639509</v>
      </c>
      <c r="DV176" s="15">
        <f>IF(ISNA(VLOOKUP(A176,'Données projet'!$A$175:$I$195,3,0)),0,VLOOKUP(A176,'Données projet'!$A$175:$I$195,3,0))</f>
        <v>0</v>
      </c>
      <c r="DW176" s="15">
        <f>IF(ISNA(VLOOKUP(A176,'Données projet'!$A$175:$I$195,4,0)),0,VLOOKUP(A176,'Données projet'!$A$175:$I$195,4,0))</f>
        <v>0</v>
      </c>
      <c r="DX176" s="16">
        <f>IF(ISNA(VLOOKUP(A176,'Données projet'!$A$175:$I$195,5,0)),0%,VLOOKUP(A176,'Données projet'!$A$175:$I$195,5,0)*VLOOKUP('Données projet'!$B$14,Paramètres!$A$1:$I$89,7,0))</f>
        <v>0</v>
      </c>
      <c r="DY176" s="16">
        <f>IF(ISNA(VLOOKUP(A176,'Données projet'!$A$175:$I$195,6,0)),0%,VLOOKUP(A176,'Données projet'!$A$175:$I$195,6,0)*VLOOKUP('Données projet'!$B$14,Paramètres!$A$1:$I$89,7,0))</f>
        <v>0</v>
      </c>
      <c r="DZ176" s="16">
        <f>IF(ISNA(VLOOKUP(A176,'Données projet'!$A$175:$I$195,7,0)),0%,VLOOKUP(A176,'Données projet'!$A$175:$I$195,7,0))</f>
        <v>0</v>
      </c>
      <c r="EA176" s="21">
        <f>EXP(-LN(2)/35)*EA175+(1-EXP(-LN(2)/35))/(LN(2)/35)*DW176*DX176*VLOOKUP('Données projet'!$B$14,Paramètres!$A$1:$I$89,3,0)*0.475*44/12</f>
        <v>27.498915235312019</v>
      </c>
      <c r="EB176" s="21">
        <f>EXP(-LN(2)/25)*EB175+(1-EXP(-LN(2)/25))/(LN(2)/25)*Calculateur!DW176*Calculateur!DY176*VLOOKUP('Données projet'!$B$14,Paramètres!$A$1:$I$89,3,0)*0.475*44/12</f>
        <v>0.40636625896097983</v>
      </c>
      <c r="EC176" s="21">
        <f>EXP(-LN(2)/2)*EC175+(1-EXP(-LN(2)/2))/(LN(2)/2)*DW176*DZ176*VLOOKUP('Données projet'!$B$14,Paramètres!$A$1:$I$89,3,0)*0.475*44/12</f>
        <v>0</v>
      </c>
      <c r="ED176" s="22">
        <f t="shared" si="343"/>
        <v>27.905281494272998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projet'!$A$201:$I$221,2,0)</f>
        <v>#N/A</v>
      </c>
      <c r="EH176" s="12" t="e">
        <f>VLOOKUP(A176,'Données projet'!$A$201:$I$221,9,0)</f>
        <v>#N/A</v>
      </c>
      <c r="EI176" s="12">
        <f t="array" ref="EI176">INDEX(EH:EH,MIN(IF(ISNUMBER(EH176:EH372),ROW(EH176:EH372),"")))</f>
        <v>0</v>
      </c>
      <c r="EJ176" s="12">
        <f>IF('Données projet'!$A$202&gt;35,EJ175+EI176-ER175,IF(A176&lt;'Données projet'!$A$202,$EG$205^A176,IF(A176='Données projet'!$A$202,'Données projet'!$B$202,EJ175+EI176-ER175)))</f>
        <v>5.1159076974727213E-13</v>
      </c>
      <c r="EK176" s="17">
        <f>EJ176*VLOOKUP('Données projet'!$B$15,Paramètres!$A$1:$I$89,3,0)*VLOOKUP('Données projet'!$B$15,Paramètres!$A$1:$I$89,5,0)</f>
        <v>2.3942448024172334E-13</v>
      </c>
      <c r="EL176" s="13">
        <f t="shared" si="344"/>
        <v>3.2492669905861755E-12</v>
      </c>
      <c r="EM176" s="20">
        <f t="shared" si="345"/>
        <v>6.0761376450252565E-12</v>
      </c>
      <c r="EN176" s="59">
        <f t="shared" si="243"/>
        <v>293.3333333333394</v>
      </c>
      <c r="EO176" s="59">
        <f ca="1">AVERAGE(OFFSET($EN$3,0,0,'Données projet'!$E$15+1,1))-AVERAGE(OFFSET($H$3,0,0,'Données projet'!$E$15+1,1))</f>
        <v>147.64256291235483</v>
      </c>
      <c r="EP176" s="59">
        <f t="shared" si="299"/>
        <v>70.859031694091868</v>
      </c>
      <c r="EQ176" s="15">
        <f>IF(ISNA(VLOOKUP(A176,'Données projet'!$A$201:$I$221,3,0)),0,VLOOKUP(A176,'Données projet'!$A$201:$I$221,3,0))</f>
        <v>0</v>
      </c>
      <c r="ER176" s="15">
        <f>IF(ISNA(VLOOKUP(A176,'Données projet'!$A$201:$I$221,4,0)),0,VLOOKUP(A176,'Données projet'!$A$201:$I$221,4,0))</f>
        <v>0</v>
      </c>
      <c r="ES176" s="16">
        <f>IF(ISNA(VLOOKUP(A176,'Données projet'!$A$201:$I$221,5,0)),0%,VLOOKUP(A176,'Données projet'!$A$201:$I$221,5,0)*VLOOKUP('Données projet'!$B$15,Paramètres!$A$1:$I$89,7,0))</f>
        <v>0</v>
      </c>
      <c r="ET176" s="16">
        <f>IF(ISNA(VLOOKUP(A176,'Données projet'!$A$201:$I$221,6,0)),0%,VLOOKUP(A176,'Données projet'!$A$201:$I$221,6,0)*VLOOKUP('Données projet'!$B$15,Paramètres!$A$1:$I$89,7,0))</f>
        <v>0</v>
      </c>
      <c r="EU176" s="16">
        <f>IF(ISNA(VLOOKUP(A176,'Données projet'!$A$201:$I$221,7,0)),0%,VLOOKUP(A176,'Données projet'!$A$201:$I$221,7,0))</f>
        <v>0</v>
      </c>
      <c r="EV176" s="21">
        <f>EXP(-LN(2)/35)*EV175+(1-EXP(-LN(2)/35))/(LN(2)/35)*ER176*ES176*VLOOKUP('Données projet'!$B$15,Paramètres!$A$1:$I$89,3,0)*0.475*44/12</f>
        <v>37.64644841812764</v>
      </c>
      <c r="EW176" s="21">
        <f>EXP(-LN(2)/25)*EW175+(1-EXP(-LN(2)/25))/(LN(2)/25)*Calculateur!ER176*Calculateur!ET176*VLOOKUP('Données projet'!$B$15,Paramètres!$A$1:$I$89,3,0)*0.475*44/12</f>
        <v>5.6379224359972513</v>
      </c>
      <c r="EX176" s="21">
        <f>EXP(-LN(2)/2)*EX175+(1-EXP(-LN(2)/2))/(LN(2)/2)*ER176*EU176*VLOOKUP('Données projet'!$B$15,Paramètres!$A$1:$I$89,3,0)*0.475*44/12</f>
        <v>4.2721371456778978E-9</v>
      </c>
      <c r="EY176" s="22">
        <f t="shared" si="346"/>
        <v>43.284370858397033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projet'!$A$227:$I$247,2,0)</f>
        <v>#N/A</v>
      </c>
      <c r="FC176" s="12" t="e">
        <f>VLOOKUP(A176,'Données projet'!$A$227:$I$247,9,0)</f>
        <v>#N/A</v>
      </c>
      <c r="FD176" s="12">
        <f t="array" ref="FD176">INDEX(FC:FC,MIN(IF(ISNUMBER(FC176:FC372),ROW(FC176:FC372),"")))</f>
        <v>0</v>
      </c>
      <c r="FE176" s="12">
        <f>IF('Données projet'!$A$228&gt;35,FE175+FD176-FM175,IF(A176&lt;'Données projet'!$A$228,$FB$205^A176,IF(A176='Données projet'!$A$228,'Données projet'!$B$228,FE175+FD176-FM175)))</f>
        <v>8.5265128291212022E-14</v>
      </c>
      <c r="FF176" s="17">
        <f>FE176*VLOOKUP('Données projet'!$B$16,Paramètres!$A$1:$I$89,3,0)*VLOOKUP('Données projet'!$B$16,Paramètres!$A$1:$I$89,5,0)</f>
        <v>8.9119112089974823E-14</v>
      </c>
      <c r="FG176" s="13">
        <f t="shared" si="347"/>
        <v>1.3568952080113142E-12</v>
      </c>
      <c r="FH176" s="20">
        <f t="shared" si="348"/>
        <v>2.5184749408430782E-12</v>
      </c>
      <c r="FI176" s="59">
        <f t="shared" si="246"/>
        <v>293.33333333333582</v>
      </c>
      <c r="FJ176" s="59">
        <f ca="1">AVERAGE(OFFSET($FI$3,0,0,'Données projet'!$E$16+1,1))-AVERAGE(OFFSET($H$3,0,0,'Données projet'!$E$16+1,1))</f>
        <v>259.03906550253788</v>
      </c>
      <c r="FK176" s="59">
        <f t="shared" si="301"/>
        <v>235.54542903570831</v>
      </c>
      <c r="FL176" s="15">
        <f>IF(ISNA(VLOOKUP(A176,'Données projet'!$A$227:$I$247,3,0)),0,VLOOKUP(A176,'Données projet'!$A$227:$I$247,3,0))</f>
        <v>0</v>
      </c>
      <c r="FM176" s="15">
        <f>IF(ISNA(VLOOKUP(A176,'Données projet'!$A$227:$I$247,4,0)),0,VLOOKUP(A176,'Données projet'!$A$227:$I$247,4,0))</f>
        <v>0</v>
      </c>
      <c r="FN176" s="16">
        <f>IF(ISNA(VLOOKUP(A176,'Données projet'!$A$227:$I$247,5,0)),0%,VLOOKUP(A176,'Données projet'!$A$227:$I$247,5,0)*VLOOKUP('Données projet'!$B$16,Paramètres!$A$1:$I$89,7,0))</f>
        <v>0</v>
      </c>
      <c r="FO176" s="16">
        <f>IF(ISNA(VLOOKUP(A176,'Données projet'!$A$227:$I$247,6,0)),0%,VLOOKUP(A176,'Données projet'!$A$227:$I$247,6,0)*VLOOKUP('Données projet'!$B$16,Paramètres!$A$1:$I$89,7,0))</f>
        <v>0</v>
      </c>
      <c r="FP176" s="16">
        <f>IF(ISNA(VLOOKUP(A176,'Données projet'!$A$227:$I$247,7,0)),0%,VLOOKUP(A176,'Données projet'!$A$227:$I$247,7,0))</f>
        <v>0</v>
      </c>
      <c r="FQ176" s="21">
        <f>EXP(-LN(2)/35)*FQ175+(1-EXP(-LN(2)/35))/(LN(2)/35)*FM176*FN176*VLOOKUP('Données projet'!$B$16,Paramètres!$A$1:$I$89,3,0)*0.475*44/12</f>
        <v>16.616119217941513</v>
      </c>
      <c r="FR176" s="21">
        <f>EXP(-LN(2)/25)*FR175+(1-EXP(-LN(2)/25))/(LN(2)/25)*Calculateur!FM176*Calculateur!FO176*VLOOKUP('Données projet'!$B$16,Paramètres!$A$1:$I$89,3,0)*0.475*44/12</f>
        <v>7.7559470138441755</v>
      </c>
      <c r="FS176" s="21">
        <f>EXP(-LN(2)/2)*FS175+(1-EXP(-LN(2)/2))/(LN(2)/2)*FM176*FP176*VLOOKUP('Données projet'!$B$16,Paramètres!$A$1:$I$89,3,0)*0.475*44/12</f>
        <v>0</v>
      </c>
      <c r="FT176" s="22">
        <f t="shared" si="349"/>
        <v>24.372066231785688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projet'!$A$253:$I$273,2,0)</f>
        <v>#N/A</v>
      </c>
      <c r="FX176" s="12" t="e">
        <f>VLOOKUP(A176,'Données projet'!$A$253:$I$273,9,0)</f>
        <v>#N/A</v>
      </c>
      <c r="FY176" s="12">
        <f t="array" ref="FY176">INDEX(FX:FX,MIN(IF(ISNUMBER(FX176:FX372),ROW(FX176:FX372),"")))</f>
        <v>0</v>
      </c>
      <c r="FZ176" s="12">
        <f>IF('Données projet'!$A$254&gt;35,FZ175+FY176-GH175,IF(A176&lt;'Données projet'!$A$254,$FW$205^A176,IF(A176='Données projet'!$A$254,'Données projet'!$B$254,FZ175+FY176-GH175)))</f>
        <v>-1.7053025658242404E-13</v>
      </c>
      <c r="GA176" s="17">
        <f>FZ176*VLOOKUP('Données projet'!$B$17,Paramètres!$A$1:$I$89,3,0)*VLOOKUP('Données projet'!$B$17,Paramètres!$A$1:$I$89,5,0)</f>
        <v>-1.4897523215040567E-13</v>
      </c>
      <c r="GB176" s="13" t="e">
        <f t="shared" si="350"/>
        <v>#NUM!</v>
      </c>
      <c r="GC176" s="20" t="e">
        <f t="shared" si="351"/>
        <v>#NUM!</v>
      </c>
      <c r="GD176" s="59" t="e">
        <f t="shared" si="249"/>
        <v>#NUM!</v>
      </c>
      <c r="GE176" s="59">
        <f ca="1">AVERAGE(OFFSET($GD$3,0,0,'Données projet'!$E$17+1,1))-AVERAGE(OFFSET($H$3,0,0,'Données projet'!$E$17+1,1))</f>
        <v>245.1983232777614</v>
      </c>
      <c r="GF176" s="59">
        <f t="shared" si="303"/>
        <v>242.34010522344573</v>
      </c>
      <c r="GG176" s="15">
        <f>IF(ISNA(VLOOKUP(A176,'Données projet'!$A$253:$I$273,3,0)),0,VLOOKUP(A176,'Données projet'!$A$253:$I$273,3,0))</f>
        <v>0</v>
      </c>
      <c r="GH176" s="15">
        <f>IF(ISNA(VLOOKUP(A176,'Données projet'!$A$253:$I$273,4,0)),0,VLOOKUP(A176,'Données projet'!$A$253:$I$273,4,0))</f>
        <v>0</v>
      </c>
      <c r="GI176" s="16">
        <f>IF(ISNA(VLOOKUP(A176,'Données projet'!$A$253:$I$273,5,0)),0%,VLOOKUP(A176,'Données projet'!$A$253:$I$273,5,0)*VLOOKUP('Données projet'!$B$17,Paramètres!$A$1:$I$89,7,0))</f>
        <v>0</v>
      </c>
      <c r="GJ176" s="16">
        <f>IF(ISNA(VLOOKUP(A176,'Données projet'!$A$253:$I$273,6,0)),0%,VLOOKUP(A176,'Données projet'!$A$253:$I$273,6,0)*VLOOKUP('Données projet'!$B$17,Paramètres!$A$1:$I$89,7,0))</f>
        <v>0</v>
      </c>
      <c r="GK176" s="16">
        <f>IF(ISNA(VLOOKUP(A176,'Données projet'!$A$253:$I$273,7,0)),0%,VLOOKUP(A176,'Données projet'!$A$253:$I$273,7,0))</f>
        <v>0</v>
      </c>
      <c r="GL176" s="21">
        <f>EXP(-LN(2)/35)*GL175+(1-EXP(-LN(2)/35))/(LN(2)/35)*GH176*GI176*VLOOKUP('Données projet'!$B$17,Paramètres!$A$1:$I$89,3,0)*0.475*44/12</f>
        <v>19.53452791041131</v>
      </c>
      <c r="GM176" s="21">
        <f>EXP(-LN(2)/25)*GM175+(1-EXP(-LN(2)/25))/(LN(2)/25)*Calculateur!GH176*Calculateur!GJ176*VLOOKUP('Données projet'!$B$17,Paramètres!$A$1:$I$89,3,0)*0.475*44/12</f>
        <v>1.6526033611087771</v>
      </c>
      <c r="GN176" s="21">
        <f>EXP(-LN(2)/2)*GN175+(1-EXP(-LN(2)/2))/(LN(2)/2)*GH176*GK176*VLOOKUP('Données projet'!$B$17,Paramètres!$A$1:$I$89,3,0)*0.475*44/12</f>
        <v>0</v>
      </c>
      <c r="GO176" s="21">
        <f t="shared" si="352"/>
        <v>21.187131271520087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projet'!$A$279:$I$299,2,0)</f>
        <v>#N/A</v>
      </c>
      <c r="GS176" s="12" t="e">
        <f>VLOOKUP(A176,'Données projet'!$A$279:$I$299,9,0)</f>
        <v>#N/A</v>
      </c>
      <c r="GT176" s="12">
        <f t="array" ref="GT176">INDEX(GS:GS,MIN(IF(ISNUMBER(GS176:GS372),ROW(GS176:GS372),"")))</f>
        <v>0</v>
      </c>
      <c r="GU176" s="12">
        <f>IF('Données projet'!$A$280&gt;35,GU175+GT176-HC175,IF(A176&lt;'Données projet'!$A$280,$GR$205^A176,IF(A176='Données projet'!$A$280,'Données projet'!$B$280,GU175+GT176-HC175)))</f>
        <v>-1.1368683772161603E-13</v>
      </c>
      <c r="GV176" s="17">
        <f>GU176*VLOOKUP('Données projet'!$B$18,Paramètres!$A$1:$I$89,3,0)*VLOOKUP('Données projet'!$B$18,Paramètres!$A$1:$I$89,5,0)</f>
        <v>-4.5815795601811263E-14</v>
      </c>
      <c r="GW176" s="13" t="e">
        <f t="shared" si="353"/>
        <v>#NUM!</v>
      </c>
      <c r="GX176" s="20" t="e">
        <f t="shared" si="354"/>
        <v>#NUM!</v>
      </c>
      <c r="GY176" s="59" t="e">
        <f t="shared" si="252"/>
        <v>#NUM!</v>
      </c>
      <c r="GZ176" s="59">
        <f ca="1">AVERAGE(OFFSET($GY$3,0,0,'Données projet'!$E$18+1,1))-AVERAGE(OFFSET($H$3,0,0,'Données projet'!$E$18+1,1))</f>
        <v>324.36162935850876</v>
      </c>
      <c r="HA176" s="59">
        <f t="shared" si="305"/>
        <v>265.23571072429735</v>
      </c>
      <c r="HB176" s="15">
        <f>IF(ISNA(VLOOKUP(A176,'Données projet'!$A$279:$I$299,3,0)),0,VLOOKUP(A176,'Données projet'!$A$279:$I$299,3,0))</f>
        <v>0</v>
      </c>
      <c r="HC176" s="15">
        <f>IF(ISNA(VLOOKUP(A176,'Données projet'!$A$279:$I$299,4,0)),0,VLOOKUP(A176,'Données projet'!$A$279:$I$299,4,0))</f>
        <v>0</v>
      </c>
      <c r="HD176" s="16">
        <f>IF(ISNA(VLOOKUP(A176,'Données projet'!$A$279:$I$299,5,0)),0%,VLOOKUP(A176,'Données projet'!$A$279:$I$299,5,0)*VLOOKUP('Données projet'!$B$18,Paramètres!$A$1:$I$89,7,0))</f>
        <v>0</v>
      </c>
      <c r="HE176" s="16">
        <f>IF(ISNA(VLOOKUP(A176,'Données projet'!$A$279:$I$299,6,0)),0%,VLOOKUP(A176,'Données projet'!$A$279:$I$299,6,0)*VLOOKUP('Données projet'!$B$18,Paramètres!$A$1:$I$89,7,0))</f>
        <v>0</v>
      </c>
      <c r="HF176" s="16">
        <f>IF(ISNA(VLOOKUP($A176,'Données projet'!$A$279:$I$299,7,0)),0%,VLOOKUP($A176,'Données projet'!$A$279:$I$299,7,0))</f>
        <v>0</v>
      </c>
      <c r="HG176" s="21">
        <f>EXP(-LN(2)/35)*HG175+(1-EXP(-LN(2)/35))/(LN(2)/35)*HC176*HD176*VLOOKUP('Données projet'!$B$18,Paramètres!$A$1:$I$89,3,0)*0.475*44/12</f>
        <v>37.433262169391419</v>
      </c>
      <c r="HH176" s="21">
        <f>EXP(-LN(2)/25)*HH175+(1-EXP(-LN(2)/25))/(LN(2)/25)*Calculateur!HC176*Calculateur!HE176*VLOOKUP('Données projet'!$B$18,Paramètres!$A$1:$I$89,3,0)*0.475*44/12</f>
        <v>1.8379905321959111</v>
      </c>
      <c r="HI176" s="21">
        <f>EXP(-LN(2)/2)*HI175+(1-EXP(-LN(2)/2))/(LN(2)/2)*HC176*HF176*VLOOKUP('Données projet'!$B$18,Paramètres!$A$1:$I$89,3,0)*0.475*44/12</f>
        <v>8.5887420847911459E-14</v>
      </c>
      <c r="HJ176" s="22">
        <f t="shared" si="355"/>
        <v>39.271252701587414</v>
      </c>
      <c r="HK176" s="74">
        <f>('Scénario référence'!$F$8+'Scénario référence'!$F$9+'Scénario référence'!$B$17+'Scénario référence'!$B$9+'Scénario référence'!$B$10)*70+IF((45+25*(1-EXP(-0.0175*$A176)))&lt;70,'Scénario référence'!$B$16*(45+25*(1-EXP(-0.0175*$A176))),70*'Scénario référence'!$B$16)+IF((32+38*(1-EXP(-0.0175*$A176)))&lt;70,'Scénario référence'!$B$18*(32+38*(1-EXP(-0.0175*$A176))),70*'Scénario référence'!$B$18)</f>
        <v>70</v>
      </c>
      <c r="HL176" s="12">
        <f>IF($A176&gt;30,10,('Scénario référence'!$B$16+'Scénario référence'!$B$17+'Scénario référence'!$B$18+'Scénario référence'!$B$9+'Scénario référence'!$B$10)*$A176*10/30+('Scénario référence'!$F$8+'Scénario référence'!$F$9)*10)</f>
        <v>10</v>
      </c>
      <c r="HM176" s="12" t="e">
        <f>VLOOKUP($A176,'Données projet'!$A$304:$I$324,2,0)</f>
        <v>#N/A</v>
      </c>
      <c r="HN176" s="12" t="e">
        <f>VLOOKUP($A176,'Données projet'!$A$304:$I$324,9,0)</f>
        <v>#N/A</v>
      </c>
      <c r="HO176" s="12">
        <f t="array" ref="HO176">INDEX(HN:HN,MIN(IF(ISNUMBER(HN176:HN372),ROW(HN176:HN372),"")))</f>
        <v>0</v>
      </c>
      <c r="HP176" s="12">
        <f>IF('Données projet'!$A$304&gt;35,HP175+HO176-HX175,IF($A176&lt;'Données projet'!$A$304,$CQ$205^$A176,IF($A176='Données projet'!$A$304,'Données projet'!$B$304,HP175+HO176-HX175)))</f>
        <v>0</v>
      </c>
      <c r="HQ176" s="17">
        <f>HP176*VLOOKUP('Données projet'!$B$19,Paramètres!$A$1:$I$89,3,0)*VLOOKUP('Données projet'!$B$19,Paramètres!$A$1:$I$89,5,0)</f>
        <v>0</v>
      </c>
      <c r="HR176" s="13" t="e">
        <f t="shared" si="306"/>
        <v>#NUM!</v>
      </c>
      <c r="HS176" s="14" t="e">
        <f t="shared" si="254"/>
        <v>#NUM!</v>
      </c>
      <c r="HT176" s="59" t="e">
        <f t="shared" si="255"/>
        <v>#NUM!</v>
      </c>
      <c r="HU176" s="59">
        <f ca="1">AVERAGE(OFFSET(HT$3,0,0,'Données projet'!$E$19+1,1))-AVERAGE(OFFSET($H$3,0,0,'Données projet'!$E$19+1,1))</f>
        <v>91.60721429656013</v>
      </c>
      <c r="HV176" s="59">
        <f t="shared" si="307"/>
        <v>258.94957804210856</v>
      </c>
      <c r="HW176" s="15">
        <f>IF(ISNA(VLOOKUP($A176,'Données projet'!$A$304:$I$324,3,0)),0,VLOOKUP($A176,'Données projet'!$A$304:$I$324,3,0))</f>
        <v>0</v>
      </c>
      <c r="HX176" s="15">
        <f>IF(ISNA(VLOOKUP($A176,'Données projet'!$A$304:$I$324,4,0)),0,VLOOKUP($A176,'Données projet'!$A$304:$I$324,4,0))</f>
        <v>0</v>
      </c>
      <c r="HY176" s="16">
        <f>IF(ISNA(VLOOKUP($A176,'Données projet'!$A$304:$I$324,5,0)),0%,VLOOKUP($A176,'Données projet'!$A$304:$I$324,5,0)*VLOOKUP('Données projet'!$B$19,Paramètres!$A$1:$I$89,7,0))</f>
        <v>0</v>
      </c>
      <c r="HZ176" s="16">
        <f>IF(ISNA(VLOOKUP($A176,'Données projet'!$A$304:$I$324,6,0)),0%,VLOOKUP($A176,'Données projet'!$A$304:$I$324,6,0)*VLOOKUP('Données projet'!$B$19,Paramètres!$A$1:$I$89,7,0))</f>
        <v>0</v>
      </c>
      <c r="IA176" s="16">
        <f>IF(ISNA(VLOOKUP($A176,'Données projet'!$A$304:$I$324,7,0)),0%,VLOOKUP($A176,'Données projet'!$A$304:$I$324,7,0))</f>
        <v>0</v>
      </c>
      <c r="IB176" s="21">
        <f>EXP(-LN(2)/35)*IB175+(1-EXP(-LN(2)/35))/(LN(2)/35)*HX176*HY176*VLOOKUP('Données projet'!$B$19,Paramètres!$A$1:$I$89,3,0)*0.475*44/12</f>
        <v>2.9054430889896747</v>
      </c>
      <c r="IC176" s="21">
        <f>EXP(-LN(2)/25)*IC175+(1-EXP(-LN(2)/25))/(LN(2)/25)*Calculateur!HX176*Calculateur!HZ176*VLOOKUP('Données projet'!$B$19,Paramètres!$A$1:$I$89,3,0)*0.475*44/12</f>
        <v>0.18455243698378612</v>
      </c>
      <c r="ID176" s="21">
        <f>EXP(-LN(2)/2)*ID175+(1-EXP(-LN(2)/2))/(LN(2)/2)*HX176*IA176*VLOOKUP('Données projet'!$B$19,Paramètres!$A$1:$I$89,3,0)*0.475*44/12</f>
        <v>1.7155286686111185E-22</v>
      </c>
      <c r="IE176" s="22">
        <f t="shared" si="256"/>
        <v>3.0899955259734608</v>
      </c>
      <c r="IF176" s="74">
        <f>('Scénario référence'!$F$8+'Scénario référence'!$F$9+'Scénario référence'!$B$17+'Scénario référence'!$B$9+'Scénario référence'!$B$10)*70+IF((45+25*(1-EXP(-0.0175*$A176)))&lt;70,'Scénario référence'!$B$16*(45+25*(1-EXP(-0.0175*$A176))),70*'Scénario référence'!$B$16)+IF((32+38*(1-EXP(-0.0175*$A176)))&lt;70,'Scénario référence'!$B$18*(32+38*(1-EXP(-0.0175*$A176))),70*'Scénario référence'!$B$18)</f>
        <v>70</v>
      </c>
      <c r="IG176" s="12">
        <f>IF($A176&gt;30,10,('Scénario référence'!$B$16+'Scénario référence'!$B$17+'Scénario référence'!$B$18+'Scénario référence'!$B$9+'Scénario référence'!$B$10)*$A176*10/30+('Scénario référence'!$F$8+'Scénario référence'!$F$9)*10)</f>
        <v>10</v>
      </c>
      <c r="IH176" s="12" t="e">
        <f>VLOOKUP($A176,'Données projet'!$A$330:$I$350,2,0)</f>
        <v>#N/A</v>
      </c>
      <c r="II176" s="12" t="e">
        <f>VLOOKUP($A176,'Données projet'!$A$330:$I$350,9,0)</f>
        <v>#N/A</v>
      </c>
      <c r="IJ176" s="12">
        <f t="array" ref="IJ176">INDEX(II:II,MIN(IF(ISNUMBER(II176:II372),ROW(II176:II372),"")))</f>
        <v>0</v>
      </c>
      <c r="IK176" s="12">
        <f>IF('Données projet'!$A$330&gt;35,IK175+IJ176-IS175,IF($A176&lt;'Données projet'!$A$330,$CQ$205^$A176,IF($A176='Données projet'!$A$330,'Données projet'!$B$330,IK175+IJ176-IS175)))</f>
        <v>0</v>
      </c>
      <c r="IL176" s="17">
        <f>IK176*VLOOKUP('Données projet'!$B$20,Paramètres!$A$1:$I$89,3,0)*VLOOKUP('Données projet'!$B$20,Paramètres!$A$1:$I$89,5,0)</f>
        <v>0</v>
      </c>
      <c r="IM176" s="13" t="e">
        <f t="shared" si="308"/>
        <v>#NUM!</v>
      </c>
      <c r="IN176" s="20" t="e">
        <f t="shared" si="257"/>
        <v>#NUM!</v>
      </c>
      <c r="IO176" s="59" t="e">
        <f t="shared" si="258"/>
        <v>#NUM!</v>
      </c>
      <c r="IP176" s="59">
        <f ca="1">AVERAGE(OFFSET(IO$3,0,0,'Données projet'!$E$20+1,1))-AVERAGE(OFFSET($H$3,0,0,'Données projet'!$E$20+1,1))</f>
        <v>91.60721429656013</v>
      </c>
      <c r="IQ176" s="59">
        <f t="shared" si="309"/>
        <v>258.94957804210856</v>
      </c>
      <c r="IR176" s="15">
        <f>IF(ISNA(VLOOKUP($A176,'Données projet'!$A$330:$I$350,3,0)),0,VLOOKUP($A176,'Données projet'!$A$330:$I$350,3,0))</f>
        <v>0</v>
      </c>
      <c r="IS176" s="15">
        <f>IF(ISNA(VLOOKUP($A176,'Données projet'!$A$330:$I$350,4,0)),0,VLOOKUP($A176,'Données projet'!$A$330:$I$350,4,0))</f>
        <v>0</v>
      </c>
      <c r="IT176" s="16">
        <f>IF(ISNA(VLOOKUP($A176,'Données projet'!$A$330:$I$350,5,0)),0%,VLOOKUP($A176,'Données projet'!$A$330:$I$350,5,0)*VLOOKUP('Données projet'!$B$20,Paramètres!$A$1:$I$89,7,0))</f>
        <v>0</v>
      </c>
      <c r="IU176" s="16">
        <f>IF(ISNA(VLOOKUP($A176,'Données projet'!$A$330:$I$350,6,0)),0%,VLOOKUP($A176,'Données projet'!$A$330:$I$350,6,0)*VLOOKUP('Données projet'!$B$20,Paramètres!$A$1:$I$89,7,0))</f>
        <v>0</v>
      </c>
      <c r="IV176" s="16">
        <f>IF(ISNA(VLOOKUP($A176,'Données projet'!$A$330:$I$350,7,0)),0%,VLOOKUP($A176,'Données projet'!$A$330:$I$350,7,0))</f>
        <v>0</v>
      </c>
      <c r="IW176" s="21">
        <f>EXP(-LN(2)/35)*IW175+(1-EXP(-LN(2)/35))/(LN(2)/35)*IS176*IT176*VLOOKUP('Données projet'!$B$20,Paramètres!$A$1:$I$89,3,0)*0.475*44/12</f>
        <v>2.9054430889896747</v>
      </c>
      <c r="IX176" s="21">
        <f>EXP(-LN(2)/25)*IX175+(1-EXP(-LN(2)/25))/(LN(2)/25)*Calculateur!IS176*Calculateur!IU176*VLOOKUP('Données projet'!$B$20,Paramètres!$A$1:$I$89,3,0)*0.475*44/12</f>
        <v>0.18455243698378612</v>
      </c>
      <c r="IY176" s="21">
        <f>EXP(-LN(2)/2)*IY175+(1-EXP(-LN(2)/2))/(LN(2)/2)*IS176*IV176*VLOOKUP('Données projet'!$B$20,Paramètres!$A$1:$I$89,3,0)*0.475*44/12</f>
        <v>1.7155286686111185E-22</v>
      </c>
      <c r="IZ176" s="22">
        <f t="shared" si="259"/>
        <v>3.0899955259734608</v>
      </c>
      <c r="JA176" s="74">
        <f>('Scénario référence'!$F$8+'Scénario référence'!$F$9+'Scénario référence'!$B$17+'Scénario référence'!$B$9+'Scénario référence'!$B$10)*70+IF((45+25*(1-EXP(-0.0175*$A176)))&lt;70,'Scénario référence'!$B$16*(45+25*(1-EXP(-0.0175*$A176))),70*'Scénario référence'!$B$16)+IF((32+38*(1-EXP(-0.0175*$A176)))&lt;70,'Scénario référence'!$B$18*(32+38*(1-EXP(-0.0175*$A176))),70*'Scénario référence'!$B$18)</f>
        <v>70</v>
      </c>
      <c r="JB176" s="12">
        <f>IF($A176&gt;30,10,('Scénario référence'!$B$16+'Scénario référence'!$B$17+'Scénario référence'!$B$18+'Scénario référence'!$B$9+'Scénario référence'!$B$10)*$A176*10/30+('Scénario référence'!$F$8+'Scénario référence'!$F$9)*10)</f>
        <v>10</v>
      </c>
      <c r="JC176" s="12" t="e">
        <f>VLOOKUP($A176,'Données projet'!$A$356:$I$376,2,0)</f>
        <v>#N/A</v>
      </c>
      <c r="JD176" s="12" t="e">
        <f>VLOOKUP($A176,'Données projet'!$A$356:$I$376,9,0)</f>
        <v>#N/A</v>
      </c>
      <c r="JE176" s="12">
        <f t="array" ref="JE176">INDEX(JD:JD,MIN(IF(ISNUMBER(JD176:JD372),ROW(JD176:JD372),"")))</f>
        <v>0</v>
      </c>
      <c r="JF176" s="12">
        <f>IF('Données projet'!$A$356&gt;35,JF175+JE176-JN175,IF($A176&lt;'Données projet'!$A$356,$CQ$205^$A176,IF($A176='Données projet'!$A$356,'Données projet'!$B$356,JF175+JE176-JN175)))</f>
        <v>-1.3073986337985843E-12</v>
      </c>
      <c r="JG176" s="17">
        <f>JF176*VLOOKUP('Données projet'!$B$21,Paramètres!$A$1:$I$89,3,0)*VLOOKUP('Données projet'!$B$21,Paramètres!$A$1:$I$89,5,0)</f>
        <v>-1.0605617717374117E-12</v>
      </c>
      <c r="JH176" s="13" t="e">
        <f t="shared" si="310"/>
        <v>#NUM!</v>
      </c>
      <c r="JI176" s="20" t="e">
        <f t="shared" si="260"/>
        <v>#NUM!</v>
      </c>
      <c r="JJ176" s="59" t="e">
        <f t="shared" si="261"/>
        <v>#NUM!</v>
      </c>
      <c r="JK176" s="59">
        <f ca="1">AVERAGE(OFFSET($JJ$3,0,0,'Données projet'!$E$22+1,1))-AVERAGE(OFFSET($H$3,0,0,'Données projet'!$E$22+1,1))</f>
        <v>353.35574633294613</v>
      </c>
      <c r="JL176" s="59">
        <f t="shared" si="311"/>
        <v>170.36796666474726</v>
      </c>
      <c r="JM176" s="15">
        <f>IF(ISNA(VLOOKUP($A176,'Données projet'!$A$356:$I$376,3,0)),0,VLOOKUP($A176,'Données projet'!$A$356:$I$376,3,0))</f>
        <v>0</v>
      </c>
      <c r="JN176" s="15">
        <f>IF(ISNA(VLOOKUP($A176,'Données projet'!$A$356:$I$376,4,0)),0,VLOOKUP($A176,'Données projet'!$A$356:$I$376,4,0))</f>
        <v>0</v>
      </c>
      <c r="JO176" s="16">
        <f>IF(ISNA(VLOOKUP($A176,'Données projet'!$A$356:$I$376,5,0)),0%,VLOOKUP($A176,'Données projet'!$A$356:$I$376,5,0)*VLOOKUP('Données projet'!$B$21,Paramètres!$A$1:$I$89,7,0))</f>
        <v>0</v>
      </c>
      <c r="JP176" s="16">
        <f>IF(ISNA(VLOOKUP($A176,'Données projet'!$A$356:$I$376,6,0)),0%,VLOOKUP($A176,'Données projet'!$A$356:$I$376,6,0)*VLOOKUP('Données projet'!$B$21,Paramètres!$A$1:$I$89,7,0))</f>
        <v>0</v>
      </c>
      <c r="JQ176" s="16">
        <f>IF(ISNA(VLOOKUP($A176,'Données projet'!$A$356:$I$376,7,0)),0%,VLOOKUP($A176,'Données projet'!$A$356:$I$376,7,0))</f>
        <v>0</v>
      </c>
      <c r="JR176" s="21">
        <f>EXP(-LN(2)/35)*JR175+(1-EXP(-LN(2)/35))/(LN(2)/35)*JN176*JO176*VLOOKUP('Données projet'!$B$21,Paramètres!$A$1:$I$89,3,0)*0.475*44/12</f>
        <v>46.578585095635503</v>
      </c>
      <c r="JS176" s="21">
        <f>EXP(-LN(2)/25)*JS175+(1-EXP(-LN(2)/25))/(LN(2)/25)*Calculateur!JN176*Calculateur!JP176*VLOOKUP('Données projet'!$B$21,Paramètres!$A$1:$I$89,3,0)*0.475*44/12</f>
        <v>40.39231830915795</v>
      </c>
      <c r="JT176" s="21">
        <f>EXP(-LN(2)/2)*JT175+(1-EXP(-LN(2)/2))/(LN(2)/2)*JN176*JQ176*VLOOKUP('Données projet'!$B$21,Paramètres!$A$1:$I$89,3,0)*0.475*44/12</f>
        <v>1.183952487907123E-2</v>
      </c>
      <c r="JU176" s="18">
        <f t="shared" si="262"/>
        <v>86.982742929672526</v>
      </c>
      <c r="JV176" s="74">
        <f>('Scénario référence'!$F$8+'Scénario référence'!$F$9+'Scénario référence'!$B$17+'Scénario référence'!$B$9+'Scénario référence'!$B$10)*70+IF((45+25*(1-EXP(-0.0175*$A176)))&lt;70,'Scénario référence'!$B$16*(45+25*(1-EXP(-0.0175*$A176))),70*'Scénario référence'!$B$16)+IF((32+38*(1-EXP(-0.0175*$A176)))&lt;70,'Scénario référence'!$B$18*(32+38*(1-EXP(-0.0175*$A176))),70*'Scénario référence'!$B$18)</f>
        <v>70</v>
      </c>
      <c r="JW176" s="12">
        <f>IF($A176&gt;30,10,('Scénario référence'!$B$16+'Scénario référence'!$B$17+'Scénario référence'!$B$18+'Scénario référence'!$B$9+'Scénario référence'!$B$10)*$A176*10/30+('Scénario référence'!$F$8+'Scénario référence'!$F$9)*10)</f>
        <v>10</v>
      </c>
      <c r="JX176" s="12" t="e">
        <f>VLOOKUP($A176,'Données projet'!$A$382:$I$402,2,0)</f>
        <v>#N/A</v>
      </c>
      <c r="JY176" s="12" t="e">
        <f>VLOOKUP($A176,'Données projet'!$A$382:$I$402,9,0)</f>
        <v>#N/A</v>
      </c>
      <c r="JZ176" s="12">
        <f t="array" ref="JZ176">INDEX(JY:JY,MIN(IF(ISNUMBER(JY176:JY372),ROW(JY176:JY372),"")))</f>
        <v>0</v>
      </c>
      <c r="KA176" s="12">
        <f>IF('Données projet'!$A$382&gt;35,KA175+JZ176-KI175,IF($A176&lt;'Données projet'!$A$382,$CQ$205^$A176,IF($A176='Données projet'!$A$382,'Données projet'!$B$382,KA175+JZ176-KI175)))</f>
        <v>5.6843418860808015E-13</v>
      </c>
      <c r="KB176" s="17">
        <f>KA176*VLOOKUP('Données projet'!$B$22,Paramètres!$A$1:$I$89,3,0)*VLOOKUP('Données projet'!$B$22,Paramètres!$A$1:$I$89,5,0)</f>
        <v>3.8130565371830017E-13</v>
      </c>
      <c r="KC176" s="13">
        <f t="shared" si="312"/>
        <v>4.9019074112354236E-12</v>
      </c>
      <c r="KD176" s="20">
        <f t="shared" si="263"/>
        <v>9.2015960881277352E-12</v>
      </c>
      <c r="KE176" s="59">
        <f t="shared" si="264"/>
        <v>293.33333333334252</v>
      </c>
      <c r="KF176" s="59">
        <f ca="1">AVERAGE(OFFSET($KE$3,0,0,'Données projet'!$E$22+1,1))-AVERAGE(OFFSET($H$3,0,0,'Données projet'!$E$22+1,1))</f>
        <v>193.91714772848269</v>
      </c>
      <c r="KG176" s="59">
        <f t="shared" si="313"/>
        <v>159.20429420478047</v>
      </c>
      <c r="KH176" s="15">
        <f>IF(ISNA(VLOOKUP($A176,'Données projet'!$A$382:$I$402,3,0)),0,VLOOKUP($A176,'Données projet'!$A$382:$I$402,3,0))</f>
        <v>0</v>
      </c>
      <c r="KI176" s="15">
        <f>IF(ISNA(VLOOKUP($A176,'Données projet'!$A$382:$I$402,4,0)),0,VLOOKUP($A176,'Données projet'!$A$382:$I$402,4,0))</f>
        <v>0</v>
      </c>
      <c r="KJ176" s="16">
        <f>IF(ISNA(VLOOKUP($A176,'Données projet'!$A$382:$I$402,5,0)),0%,VLOOKUP($A176,'Données projet'!$A$382:$I$402,5,0)*VLOOKUP('Données projet'!$B$22,Paramètres!$A$1:$I$89,7,0))</f>
        <v>0</v>
      </c>
      <c r="KK176" s="16">
        <f>IF(ISNA(VLOOKUP($A176,'Données projet'!$A$382:$I$402,6,0)),0%,VLOOKUP($A176,'Données projet'!$A$382:$I$402,6,0)*VLOOKUP('Données projet'!$B$22,Paramètres!$A$1:$I$89,7,0))</f>
        <v>0</v>
      </c>
      <c r="KL176" s="16">
        <f>IF(ISNA(VLOOKUP($A176,'Données projet'!$A$382:$I$402,7,0)),0%,VLOOKUP($A176,'Données projet'!$A$382:$I$402,7,0))</f>
        <v>0</v>
      </c>
      <c r="KM176" s="21">
        <f>EXP(-LN(2)/35)*KM175+(1-EXP(-LN(2)/35))/(LN(2)/35)*KI176*KJ176*VLOOKUP('Données projet'!$B$22,Paramètres!$A$1:$I$89,3,0)*0.475*44/12</f>
        <v>68.009875080233854</v>
      </c>
      <c r="KN176" s="21">
        <f>EXP(-LN(2)/25)*KN175+(1-EXP(-LN(2)/25))/(LN(2)/25)*Calculateur!KI176*Calculateur!KK176*VLOOKUP('Données projet'!$B$22,Paramètres!$A$1:$I$89,3,0)*0.475*44/12</f>
        <v>0</v>
      </c>
      <c r="KO176" s="21">
        <f>EXP(-LN(2)/2)*KO175+(1-EXP(-LN(2)/2))/(LN(2)/2)*KI176*KL176*VLOOKUP('Données projet'!$B$22,Paramètres!$A$1:$I$89,3,0)*0.475*44/12</f>
        <v>0</v>
      </c>
      <c r="KP176" s="22">
        <f t="shared" si="265"/>
        <v>68.009875080233854</v>
      </c>
      <c r="KQ176" s="74">
        <f>('Scénario référence'!$F$8+'Scénario référence'!$F$9+'Scénario référence'!$B$17+'Scénario référence'!$B$9+'Scénario référence'!$B$10)*70+IF((45+25*(1-EXP(-0.0175*$A176)))&lt;70,'Scénario référence'!$B$16*(45+25*(1-EXP(-0.0175*$A176))),70*'Scénario référence'!$B$16)+IF((32+38*(1-EXP(-0.0175*$A176)))&lt;70,'Scénario référence'!$B$18*(32+38*(1-EXP(-0.0175*$A176))),70*'Scénario référence'!$B$18)</f>
        <v>70</v>
      </c>
      <c r="KR176" s="12">
        <f>IF($A176&gt;30,10,('Scénario référence'!$B$16+'Scénario référence'!$B$17+'Scénario référence'!$B$18+'Scénario référence'!$B$9+'Scénario référence'!$B$10)*$A176*10/30+('Scénario référence'!$F$8+'Scénario référence'!$F$9)*10)</f>
        <v>10</v>
      </c>
      <c r="KS176" s="12" t="e">
        <f>VLOOKUP($A176,'Données projet'!$A$408:$I$428,2,0)</f>
        <v>#N/A</v>
      </c>
      <c r="KT176" s="12" t="e">
        <f>VLOOKUP($A176,'Données projet'!$A$408:$I$428,9,0)</f>
        <v>#N/A</v>
      </c>
      <c r="KU176" s="12">
        <f t="array" ref="KU176">INDEX(KT:KT,MIN(IF(ISNUMBER(KT176:KT372),ROW(KT176:KT372),"")))</f>
        <v>0</v>
      </c>
      <c r="KV176" s="12">
        <f>IF('Données projet'!$A$408&gt;35,KV175+KU176-LD175,IF($A176&lt;'Données projet'!$A$408,$CQ$205^$A176,IF($A176='Données projet'!$A$408,'Données projet'!$B$408,KV175+KU176-LD175)))</f>
        <v>-1.1368683772161603E-13</v>
      </c>
      <c r="KW176" s="17">
        <f>KV176*VLOOKUP('Données projet'!$B$23,Paramètres!$A$1:$I$89,3,0)*VLOOKUP('Données projet'!$B$23,Paramètres!$A$1:$I$89,5,0)</f>
        <v>-9.9316821433603781E-14</v>
      </c>
      <c r="KX176" s="13" t="e">
        <f t="shared" si="314"/>
        <v>#NUM!</v>
      </c>
      <c r="KY176" s="14" t="e">
        <f t="shared" si="266"/>
        <v>#NUM!</v>
      </c>
      <c r="KZ176" s="59" t="e">
        <f t="shared" si="267"/>
        <v>#NUM!</v>
      </c>
      <c r="LA176" s="59">
        <f ca="1">AVERAGE(OFFSET($KZ$3,0,0,'Données projet'!$E$23+1,1))-AVERAGE(OFFSET($H$3,0,0,'Données projet'!$E$23+1,1))</f>
        <v>248.33596943633819</v>
      </c>
      <c r="LB176" s="59">
        <f t="shared" si="315"/>
        <v>242.34010522344573</v>
      </c>
      <c r="LC176" s="15">
        <f>IF(ISNA(VLOOKUP($A176,'Données projet'!$A$408:$I$428,3,0)),0,VLOOKUP($A176,'Données projet'!$A$408:$I$428,3,0))</f>
        <v>0</v>
      </c>
      <c r="LD176" s="15">
        <f>IF(ISNA(VLOOKUP($A176,'Données projet'!$A$408:$I$428,4,0)),0,VLOOKUP($A176,'Données projet'!$A$408:$I$428,4,0))</f>
        <v>0</v>
      </c>
      <c r="LE176" s="16">
        <f>IF(ISNA(VLOOKUP($A176,'Données projet'!$A$408:$I$428,5,0)),0%,VLOOKUP($A176,'Données projet'!$A$408:$I$428,5,0)*VLOOKUP('Données projet'!$B$23,Paramètres!$A$1:$I$89,7,0))</f>
        <v>0</v>
      </c>
      <c r="LF176" s="16">
        <f>IF(ISNA(VLOOKUP($A176,'Données projet'!$A$408:$I$428,6,0)),0%,VLOOKUP($A176,'Données projet'!$A$408:$I$428,6,0)*VLOOKUP('Données projet'!$B$23,Paramètres!$A$1:$I$89,7,0))</f>
        <v>0</v>
      </c>
      <c r="LG176" s="16">
        <f>IF(ISNA(VLOOKUP($A176,'Données projet'!$A$408:$I$428,7,0)),0%,VLOOKUP($A176,'Données projet'!$A$408:$I$428,7,0))</f>
        <v>0</v>
      </c>
      <c r="LH176" s="21">
        <f>EXP(-LN(2)/35)*LH175+(1-EXP(-LN(2)/35))/(LN(2)/35)*LD176*LE176*VLOOKUP('Données projet'!$B$23,Paramètres!$A$1:$I$89,3,0)*0.475*44/12</f>
        <v>19.53452791041131</v>
      </c>
      <c r="LI176" s="21">
        <f>EXP(-LN(2)/25)*LI175+(1-EXP(-LN(2)/25))/(LN(2)/25)*Calculateur!LD176*Calculateur!LF176*VLOOKUP('Données projet'!$B$23,Paramètres!$A$1:$I$89,3,0)*0.475*44/12</f>
        <v>1.6526033611087771</v>
      </c>
      <c r="LJ176" s="21">
        <f>EXP(-LN(2)/2)*LJ175+(1-EXP(-LN(2)/2))/(LN(2)/2)*LD176*LG176*VLOOKUP('Données projet'!$B$23,Paramètres!$A$1:$I$89,3,0)*0.475*44/12</f>
        <v>0</v>
      </c>
      <c r="LK176" s="22">
        <f t="shared" si="268"/>
        <v>21.187131271520087</v>
      </c>
      <c r="LL176" s="74">
        <f>('Scénario référence'!$F$8+'Scénario référence'!$F$9+'Scénario référence'!$B$17+'Scénario référence'!$B$9+'Scénario référence'!$B$10)*70+IF((45+25*(1-EXP(-0.0175*$A176)))&lt;70,'Scénario référence'!$B$16*(45+25*(1-EXP(-0.0175*$A176))),70*'Scénario référence'!$B$16)+IF((32+38*(1-EXP(-0.0175*$A176)))&lt;70,'Scénario référence'!$B$18*(32+38*(1-EXP(-0.0175*$A176))),70*'Scénario référence'!$B$18)</f>
        <v>70</v>
      </c>
      <c r="LM176" s="12">
        <f>IF($A176&gt;30,10,('Scénario référence'!$B$16+'Scénario référence'!$B$17+'Scénario référence'!$B$18+'Scénario référence'!$B$9+'Scénario référence'!$B$10)*$A176*10/30+('Scénario référence'!$F$8+'Scénario référence'!$F$9)*10)</f>
        <v>10</v>
      </c>
      <c r="LN176" s="12" t="e">
        <f>VLOOKUP($A176,'Données projet'!$A$434:$I$454,2,0)</f>
        <v>#N/A</v>
      </c>
      <c r="LO176" s="12" t="e">
        <f>VLOOKUP($A176,'Données projet'!$A$434:$I$454,9,0)</f>
        <v>#N/A</v>
      </c>
      <c r="LP176" s="12">
        <f t="array" ref="LP176">INDEX(LO:LO,MIN(IF(ISNUMBER(LO176:LO372),ROW(LO176:LO372),"")))</f>
        <v>0</v>
      </c>
      <c r="LQ176" s="12">
        <f>IF('Données projet'!$A$434&gt;35,LQ175+LP176-LY175,IF($A176&lt;'Données projet'!$A$434,$CQ$205^$A176,IF($A176='Données projet'!$A$434,'Données projet'!$B$434,LQ175+LP176-LY175)))</f>
        <v>-4.5474735088646412E-13</v>
      </c>
      <c r="LR176" s="17">
        <f>LQ176*VLOOKUP('Données projet'!$B$24,Paramètres!$A$1:$I$89,3,0)*VLOOKUP('Données projet'!$B$24,Paramètres!$A$1:$I$89,5,0)</f>
        <v>-4.6111381379887462E-13</v>
      </c>
      <c r="LS176" s="13" t="e">
        <f t="shared" si="316"/>
        <v>#NUM!</v>
      </c>
      <c r="LT176" s="14" t="e">
        <f t="shared" si="269"/>
        <v>#NUM!</v>
      </c>
      <c r="LU176" s="59" t="e">
        <f t="shared" si="270"/>
        <v>#NUM!</v>
      </c>
      <c r="LV176" s="59">
        <f ca="1">AVERAGE(OFFSET($LU$3,0,0,'Données projet'!$E$24+1,1))-AVERAGE(OFFSET($H$3,0,0,'Données projet'!$E$24+1,1))</f>
        <v>260.52627655062872</v>
      </c>
      <c r="LW176" s="59">
        <f t="shared" si="317"/>
        <v>159.20429420478047</v>
      </c>
      <c r="LX176" s="15">
        <f>IF(ISNA(VLOOKUP($A176,'Données projet'!$A$434:$I$454,3,0)),0,VLOOKUP($A176,'Données projet'!$A$434:$I$454,3,0))</f>
        <v>0</v>
      </c>
      <c r="LY176" s="15">
        <f>IF(ISNA(VLOOKUP($A176,'Données projet'!$A$434:$I$454,4,0)),0,VLOOKUP($A176,'Données projet'!$A$434:$I$454,4,0))</f>
        <v>0</v>
      </c>
      <c r="LZ176" s="16">
        <f>IF(ISNA(VLOOKUP($A176,'Données projet'!$A$434:$I$454,5,0)),0%,VLOOKUP($A176,'Données projet'!$A$434:$I$454,5,0)*VLOOKUP('Données projet'!$B$24,Paramètres!$A$1:$I$89,7,0))</f>
        <v>0</v>
      </c>
      <c r="MA176" s="16">
        <f>IF(ISNA(VLOOKUP($A176,'Données projet'!$A$434:$I$454,6,0)),0%,VLOOKUP($A176,'Données projet'!$A$434:$I$454,6,0)*VLOOKUP('Données projet'!$B$24,Paramètres!$A$1:$I$89,7,0))</f>
        <v>0</v>
      </c>
      <c r="MB176" s="16">
        <f>IF(ISNA(VLOOKUP($A176,'Données projet'!$A$434:$I$454,7,0)),0%,VLOOKUP($A176,'Données projet'!$A$434:$I$454,7,0))</f>
        <v>0</v>
      </c>
      <c r="MC176" s="21">
        <f>EXP(-LN(2)/35)*MC175+(1-EXP(-LN(2)/35))/(LN(2)/35)*LY176*LZ176*VLOOKUP('Données projet'!$B$24,Paramètres!$A$1:$I$89,3,0)*0.475*44/12</f>
        <v>125.6003794017288</v>
      </c>
      <c r="MD176" s="21">
        <f>EXP(-LN(2)/25)*MD175+(1-EXP(-LN(2)/25))/(LN(2)/25)*Calculateur!LY176*Calculateur!MA176*VLOOKUP('Données projet'!$B$24,Paramètres!$A$1:$I$89,3,0)*0.475*44/12</f>
        <v>0</v>
      </c>
      <c r="ME176" s="21">
        <f>EXP(-LN(2)/2)*ME175+(1-EXP(-LN(2)/2))/(LN(2)/2)*LY176*MB176*VLOOKUP('Données projet'!$B$24,Paramètres!$A$1:$I$89,3,0)*0.475*44/12</f>
        <v>0</v>
      </c>
      <c r="MF176" s="22">
        <f t="shared" si="271"/>
        <v>125.6003794017288</v>
      </c>
      <c r="MG176" s="74">
        <f>('Scénario référence'!$F$8+'Scénario référence'!$F$9+'Scénario référence'!$B$17+'Scénario référence'!$B$9+'Scénario référence'!$B$10)*70+IF((45+25*(1-EXP(-0.0175*$A176)))&lt;70,'Scénario référence'!$B$16*(45+25*(1-EXP(-0.0175*$A176))),70*'Scénario référence'!$B$16)+IF((32+38*(1-EXP(-0.0175*$A176)))&lt;70,'Scénario référence'!$B$18*(32+38*(1-EXP(-0.0175*$A176))),70*'Scénario référence'!$B$18)</f>
        <v>70</v>
      </c>
      <c r="MH176" s="12">
        <f>IF($A176&gt;30,10,('Scénario référence'!$B$16+'Scénario référence'!$B$17+'Scénario référence'!$B$18+'Scénario référence'!$B$9+'Scénario référence'!$B$10)*$A176*10/30+('Scénario référence'!$F$8+'Scénario référence'!$F$9)*10)</f>
        <v>10</v>
      </c>
      <c r="MI176" s="12" t="e">
        <f>VLOOKUP($A176,'Données projet'!$A$460:$I$480,2,0)</f>
        <v>#N/A</v>
      </c>
      <c r="MJ176" s="12" t="e">
        <f>VLOOKUP($A176,'Données projet'!$A$460:$I$480,9,0)</f>
        <v>#N/A</v>
      </c>
      <c r="MK176" s="12">
        <f t="array" ref="MK176">INDEX(MJ:MJ,MIN(IF(ISNUMBER(MJ176:MJ372),ROW(MJ176:MJ372),"")))</f>
        <v>0</v>
      </c>
      <c r="ML176" s="12">
        <f>IF('Données projet'!$A$460&gt;35,ML175+MK176-MT175,IF($A176&lt;'Données projet'!$A$460,$CQ$205^$A176,IF($A176='Données projet'!$A$460,'Données projet'!$B$460,ML175+MK176-MT175)))</f>
        <v>0</v>
      </c>
      <c r="MM176" s="17" t="e">
        <f>ML176*VLOOKUP('Données projet'!$B$25,Paramètres!$A$1:$I$89,3,0)*VLOOKUP('Données projet'!$B$25,Paramètres!$A$1:$I$89,5,0)</f>
        <v>#N/A</v>
      </c>
      <c r="MN176" s="13" t="e">
        <f t="shared" si="318"/>
        <v>#N/A</v>
      </c>
      <c r="MO176" s="14" t="e">
        <f t="shared" si="272"/>
        <v>#N/A</v>
      </c>
      <c r="MP176" s="59" t="e">
        <f t="shared" si="273"/>
        <v>#N/A</v>
      </c>
      <c r="MQ176" s="20" t="e">
        <f ca="1">AVERAGE(OFFSET($MP$3,0,0,'Données projet'!$E$25+1,1))-AVERAGE(OFFSET($H$3,0,0,'Données projet'!$E$25+1,1))</f>
        <v>#N/A</v>
      </c>
      <c r="MR176" s="59" t="e">
        <f t="shared" si="319"/>
        <v>#N/A</v>
      </c>
      <c r="MS176" s="15">
        <f>IF(ISNA(VLOOKUP($A176,'Données projet'!$A$460:$I$480,3,0)),0,VLOOKUP($A176,'Données projet'!$A$460:$I$480,3,0))</f>
        <v>0</v>
      </c>
      <c r="MT176" s="15">
        <f>IF(ISNA(VLOOKUP($A176,'Données projet'!$A$460:$I$480,4,0)),0,VLOOKUP($A176,'Données projet'!$A$460:$I$480,4,0))</f>
        <v>0</v>
      </c>
      <c r="MU176" s="16">
        <f>IF(ISNA(VLOOKUP($A176,'Données projet'!$A$460:$I$480,5,0)),0%,VLOOKUP($A176,'Données projet'!$A$460:$I$480,5,0)*VLOOKUP('Données projet'!$B$25,Paramètres!$A$1:$I$89,7,0))</f>
        <v>0</v>
      </c>
      <c r="MV176" s="16">
        <f>IF(ISNA(VLOOKUP($A176,'Données projet'!$A$460:$I$480,6,0)),0%,VLOOKUP($A176,'Données projet'!$A$460:$I$480,6,0)*VLOOKUP('Données projet'!$B$25,Paramètres!$A$1:$I$89,7,0))</f>
        <v>0</v>
      </c>
      <c r="MW176" s="16">
        <f>IF(ISNA(VLOOKUP($A176,'Données projet'!$A$460:$I$480,7,0)),0%,VLOOKUP($A176,'Données projet'!$A$460:$I$480,7,0))</f>
        <v>0</v>
      </c>
      <c r="MX176" s="21" t="e">
        <f>EXP(-LN(2)/35)*MX175+(1-EXP(-LN(2)/35))/(LN(2)/35)*MT176*MU176*VLOOKUP('Données projet'!$B$25,Paramètres!$A$1:$I$89,3,0)*0.475*44/12</f>
        <v>#N/A</v>
      </c>
      <c r="MY176" s="21" t="e">
        <f>EXP(-LN(2)/25)*MY175+(1-EXP(-LN(2)/25))/(LN(2)/25)*Calculateur!MT176*Calculateur!MV176*VLOOKUP('Données projet'!$B$25,Paramètres!$A$1:$I$89,3,0)*0.475*44/12</f>
        <v>#N/A</v>
      </c>
      <c r="MZ176" s="21" t="e">
        <f>EXP(-LN(2)/2)*MZ175+(1-EXP(-LN(2)/2))/(LN(2)/2)*MT176*MW176*VLOOKUP('Données projet'!$B$25,Paramètres!$A$1:$I$89,3,0)*0.475*44/12</f>
        <v>#N/A</v>
      </c>
      <c r="NA176" s="22" t="e">
        <f t="shared" si="274"/>
        <v>#N/A</v>
      </c>
      <c r="NB176" s="74">
        <f>('Scénario référence'!$F$8+'Scénario référence'!$F$9+'Scénario référence'!$B$17+'Scénario référence'!$B$9+'Scénario référence'!$B$10)*70+IF((45+25*(1-EXP(-0.0175*$A176)))&lt;70,'Scénario référence'!$B$16*(45+25*(1-EXP(-0.0175*$A176))),70*'Scénario référence'!$B$16)+IF((32+38*(1-EXP(-0.0175*$A176)))&lt;70,'Scénario référence'!$B$18*(32+38*(1-EXP(-0.0175*$A176))),70*'Scénario référence'!$B$18)</f>
        <v>70</v>
      </c>
      <c r="NC176" s="12">
        <f>IF($A176&gt;30,10,('Scénario référence'!$B$16+'Scénario référence'!$B$17+'Scénario référence'!$B$18+'Scénario référence'!$B$9+'Scénario référence'!$B$10)*$A176*10/30+('Scénario référence'!$F$8+'Scénario référence'!$F$9)*10)</f>
        <v>10</v>
      </c>
      <c r="ND176" s="12" t="e">
        <f>VLOOKUP($A176,'Données projet'!$A$486:$I$506,2,0)</f>
        <v>#N/A</v>
      </c>
      <c r="NE176" s="12" t="e">
        <f>VLOOKUP($A176,'Données projet'!$A$486:$I$506,9,0)</f>
        <v>#N/A</v>
      </c>
      <c r="NF176" s="12">
        <f t="array" ref="NF176">INDEX(NE:NE,MIN(IF(ISNUMBER(NE176:NE372),ROW(NE176:NE372),"")))</f>
        <v>0</v>
      </c>
      <c r="NG176" s="12">
        <f>IF('Données projet'!$A$486&gt;35,NG175+NF176-NO175,IF($A176&lt;'Données projet'!$A$486,$CQ$205^$A176,IF($A176='Données projet'!$A$486,'Données projet'!$B$486,NG175+NF176-NO175)))</f>
        <v>0</v>
      </c>
      <c r="NH176" s="17" t="e">
        <f>NG176*VLOOKUP('Données projet'!$B$26,Paramètres!$A$1:$I$89,3,0)*VLOOKUP('Données projet'!$B$26,Paramètres!$A$1:$I$89,5,0)</f>
        <v>#N/A</v>
      </c>
      <c r="NI176" s="13" t="e">
        <f t="shared" si="320"/>
        <v>#N/A</v>
      </c>
      <c r="NJ176" s="14" t="e">
        <f t="shared" si="275"/>
        <v>#N/A</v>
      </c>
      <c r="NK176" s="59" t="e">
        <f t="shared" si="276"/>
        <v>#N/A</v>
      </c>
      <c r="NL176" s="20" t="e">
        <f ca="1">AVERAGE(OFFSET($NK$3,0,0,'Données projet'!$E$26+1,1))-AVERAGE(OFFSET($H$3,0,0,'Données projet'!$E$26+1,1))</f>
        <v>#N/A</v>
      </c>
      <c r="NM176" s="59" t="e">
        <f t="shared" si="321"/>
        <v>#N/A</v>
      </c>
      <c r="NN176" s="15">
        <f>IF(ISNA(VLOOKUP($A176,'Données projet'!$A$486:$I$506,3,0)),0,VLOOKUP($A176,'Données projet'!$A$486:$I$506,3,0))</f>
        <v>0</v>
      </c>
      <c r="NO176" s="15">
        <f>IF(ISNA(VLOOKUP($A176,'Données projet'!$A$486:$I$506,4,0)),0,VLOOKUP($A176,'Données projet'!$A$486:$I$506,4,0))</f>
        <v>0</v>
      </c>
      <c r="NP176" s="16">
        <f>IF(ISNA(VLOOKUP($A176,'Données projet'!$A$486:$I$506,5,0)),0%,VLOOKUP($A176,'Données projet'!$A$486:$I$506,5,0)*VLOOKUP('Données projet'!$B$26,Paramètres!$A$1:$I$89,7,0))</f>
        <v>0</v>
      </c>
      <c r="NQ176" s="16">
        <f>IF(ISNA(VLOOKUP($A176,'Données projet'!$A$486:$I$506,6,0)),0%,VLOOKUP($A176,'Données projet'!$A$486:$I$506,6,0)*VLOOKUP('Données projet'!$B$26,Paramètres!$A$1:$I$89,7,0))</f>
        <v>0</v>
      </c>
      <c r="NR176" s="16">
        <f>IF(ISNA(VLOOKUP($A176,'Données projet'!$A$486:$I$506,7,0)),0%,VLOOKUP($A176,'Données projet'!$A$486:$I$506,7,0))</f>
        <v>0</v>
      </c>
      <c r="NS176" s="21" t="e">
        <f>EXP(-LN(2)/35)*NS175+(1-EXP(-LN(2)/35))/(LN(2)/35)*NO176*NP176*VLOOKUP('Données projet'!$B$26,Paramètres!$A$1:$I$89,3,0)*0.475*44/12</f>
        <v>#N/A</v>
      </c>
      <c r="NT176" s="21" t="e">
        <f>EXP(-LN(2)/25)*NT175+(1-EXP(-LN(2)/25))/(LN(2)/25)*Calculateur!NO176*Calculateur!NQ176*VLOOKUP('Données projet'!$B$26,Paramètres!$A$1:$I$89,3,0)*0.475*44/12</f>
        <v>#N/A</v>
      </c>
      <c r="NU176" s="21" t="e">
        <f>EXP(-LN(2)/2)*NU175+(1-EXP(-LN(2)/2))/(LN(2)/2)*NO176*NR176*VLOOKUP('Données projet'!$B$26,Paramètres!$A$1:$I$89,3,0)*0.475*44/12</f>
        <v>#N/A</v>
      </c>
      <c r="NV176" s="22" t="e">
        <f t="shared" si="277"/>
        <v>#N/A</v>
      </c>
      <c r="NW176" s="74">
        <f>('Scénario référence'!$F$8+'Scénario référence'!$F$9+'Scénario référence'!$B$17+'Scénario référence'!$B$9+'Scénario référence'!$B$10)*70+IF((45+25*(1-EXP(-0.0175*$A176)))&lt;70,'Scénario référence'!$B$16*(45+25*(1-EXP(-0.0175*$A176))),70*'Scénario référence'!$B$16)+IF((32+38*(1-EXP(-0.0175*$A176)))&lt;70,'Scénario référence'!$B$18*(32+38*(1-EXP(-0.0175*$A176))),70*'Scénario référence'!$B$18)</f>
        <v>70</v>
      </c>
      <c r="NX176" s="12">
        <f>IF($A176&gt;30,10,('Scénario référence'!$B$16+'Scénario référence'!$B$17+'Scénario référence'!$B$18+'Scénario référence'!$B$9+'Scénario référence'!$B$10)*$A176*10/30+('Scénario référence'!$F$8+'Scénario référence'!$F$9)*10)</f>
        <v>10</v>
      </c>
      <c r="NY176" s="12" t="e">
        <f>VLOOKUP($A176,'Données projet'!$A$512:$I$532,2,0)</f>
        <v>#N/A</v>
      </c>
      <c r="NZ176" s="12" t="e">
        <f>VLOOKUP($A176,'Données projet'!$A$512:$I$532,9,0)</f>
        <v>#N/A</v>
      </c>
      <c r="OA176" s="12">
        <f t="array" ref="OA176">INDEX(NZ:NZ,MIN(IF(ISNUMBER(NZ176:NZ372),ROW(NZ176:NZ372),"")))</f>
        <v>0</v>
      </c>
      <c r="OB176" s="12">
        <f>IF('Données projet'!$A$512&gt;35,OB175+OA176-OJ175,IF($A176&lt;'Données projet'!$A$512,$CQ$205^$A176,IF($A176='Données projet'!$A$512,'Données projet'!$B$512,OB175+OA176-OJ175)))</f>
        <v>0</v>
      </c>
      <c r="OC176" s="17" t="e">
        <f>OB176*VLOOKUP('Données projet'!$B$27,Paramètres!$A$1:$I$89,3,0)*VLOOKUP('Données projet'!$B$27,Paramètres!$A$1:$I$89,5,0)</f>
        <v>#N/A</v>
      </c>
      <c r="OD176" s="13" t="e">
        <f t="shared" si="322"/>
        <v>#N/A</v>
      </c>
      <c r="OE176" s="14" t="e">
        <f t="shared" si="278"/>
        <v>#N/A</v>
      </c>
      <c r="OF176" s="59" t="e">
        <f t="shared" si="279"/>
        <v>#N/A</v>
      </c>
      <c r="OG176" s="20" t="e">
        <f ca="1">AVERAGE(OFFSET($OF$3,0,0,'Données projet'!$E$27+1,1))-AVERAGE(OFFSET($H$3,0,0,'Données projet'!$E$27+1,1))</f>
        <v>#N/A</v>
      </c>
      <c r="OH176" s="59" t="e">
        <f t="shared" si="323"/>
        <v>#N/A</v>
      </c>
      <c r="OI176" s="15">
        <f>IF(ISNA(VLOOKUP($A176,'Données projet'!$A$512:$I$532,3,0)),0,VLOOKUP($A176,'Données projet'!$A$512:$I$532,3,0))</f>
        <v>0</v>
      </c>
      <c r="OJ176" s="15">
        <f>IF(ISNA(VLOOKUP($A176,'Données projet'!$A$512:$I$532,4,0)),0,VLOOKUP($A176,'Données projet'!$A$512:$I$532,4,0))</f>
        <v>0</v>
      </c>
      <c r="OK176" s="16">
        <f>IF(ISNA(VLOOKUP($A176,'Données projet'!$A$512:$I$532,5,0)),0%,VLOOKUP($A176,'Données projet'!$A$512:$I$532,5,0)*VLOOKUP('Données projet'!$B$27,Paramètres!$A$1:$I$89,7,0))</f>
        <v>0</v>
      </c>
      <c r="OL176" s="16">
        <f>IF(ISNA(VLOOKUP($A176,'Données projet'!$A$512:$I$532,6,0)),0%,VLOOKUP($A176,'Données projet'!$A$512:$I$532,6,0)*VLOOKUP('Données projet'!$B$27,Paramètres!$A$1:$I$89,7,0))</f>
        <v>0</v>
      </c>
      <c r="OM176" s="16">
        <f>IF(ISNA(VLOOKUP($A176,'Données projet'!$A$512:$I$532,7,0)),0%,VLOOKUP($A176,'Données projet'!$A$512:$I$532,7,0))</f>
        <v>0</v>
      </c>
      <c r="ON176" s="21" t="e">
        <f>EXP(-LN(2)/35)*ON175+(1-EXP(-LN(2)/35))/(LN(2)/35)*OJ176*OK176*VLOOKUP('Données projet'!$B$27,Paramètres!$A$1:$I$89,3,0)*0.475*44/12</f>
        <v>#N/A</v>
      </c>
      <c r="OO176" s="21" t="e">
        <f>EXP(-LN(2)/25)*OO175+(1-EXP(-LN(2)/25))/(LN(2)/25)*Calculateur!OJ176*Calculateur!OL176*VLOOKUP('Données projet'!$B$27,Paramètres!$A$1:$I$89,3,0)*0.475*44/12</f>
        <v>#N/A</v>
      </c>
      <c r="OP176" s="21" t="e">
        <f>EXP(-LN(2)/2)*OP175+(1-EXP(-LN(2)/2))/(LN(2)/2)*OJ176*OM176*VLOOKUP('Données projet'!$B$27,Paramètres!$A$1:$I$89,3,0)*0.475*44/12</f>
        <v>#N/A</v>
      </c>
      <c r="OQ176" s="22" t="e">
        <f t="shared" si="280"/>
        <v>#N/A</v>
      </c>
      <c r="OR176" s="74">
        <f>('Scénario référence'!$F$8+'Scénario référence'!$F$9+'Scénario référence'!$B$17+'Scénario référence'!$B$9+'Scénario référence'!$B$10)*70+IF((45+25*(1-EXP(-0.0175*$A176)))&lt;70,'Scénario référence'!$B$16*(45+25*(1-EXP(-0.0175*$A176))),70*'Scénario référence'!$B$16)+IF((32+38*(1-EXP(-0.0175*$A176)))&lt;70,'Scénario référence'!$B$18*(32+38*(1-EXP(-0.0175*$A176))),70*'Scénario référence'!$B$18)</f>
        <v>70</v>
      </c>
      <c r="OS176" s="12">
        <f>IF($A176&gt;30,10,('Scénario référence'!$B$16+'Scénario référence'!$B$17+'Scénario référence'!$B$18+'Scénario référence'!$B$9+'Scénario référence'!$B$10)*$A176*10/30+('Scénario référence'!$F$8+'Scénario référence'!$F$9)*10)</f>
        <v>10</v>
      </c>
      <c r="OT176" s="12" t="e">
        <f>VLOOKUP($A176,'Données projet'!$A$538:$I$558,2,0)</f>
        <v>#N/A</v>
      </c>
      <c r="OU176" s="12" t="e">
        <f>VLOOKUP($A176,'Données projet'!$A$538:$I$558,9,0)</f>
        <v>#N/A</v>
      </c>
      <c r="OV176" s="12">
        <f t="array" ref="OV176">INDEX(OU:OU,MIN(IF(ISNUMBER(OU176:OU372),ROW(OU176:OU372),"")))</f>
        <v>0</v>
      </c>
      <c r="OW176" s="12">
        <f>IF('Données projet'!$A$538&gt;35,OW175+OV176-PE175,IF($A176&lt;'Données projet'!$A$538,$CQ$205^$A176,IF($A176='Données projet'!$A$538,'Données projet'!$B$538,OW175+OV176-PE175)))</f>
        <v>0</v>
      </c>
      <c r="OX176" s="17" t="e">
        <f>OW176*VLOOKUP('Données projet'!$B$28,Paramètres!$A$1:$I$89,3,0)*VLOOKUP('Données projet'!$B$28,Paramètres!$A$1:$I$89,5,0)</f>
        <v>#N/A</v>
      </c>
      <c r="OY176" s="13" t="e">
        <f t="shared" si="324"/>
        <v>#N/A</v>
      </c>
      <c r="OZ176" s="14" t="e">
        <f t="shared" si="281"/>
        <v>#N/A</v>
      </c>
      <c r="PA176" s="59" t="e">
        <f t="shared" si="282"/>
        <v>#N/A</v>
      </c>
      <c r="PB176" s="20" t="e">
        <f ca="1">AVERAGE(OFFSET($PA$3,0,0,'Données projet'!$E$28+1,1))-AVERAGE(OFFSET($H$3,0,0,'Données projet'!$E$28+1,1))</f>
        <v>#N/A</v>
      </c>
      <c r="PC176" s="59" t="e">
        <f t="shared" si="325"/>
        <v>#N/A</v>
      </c>
      <c r="PD176" s="15">
        <f>IF(ISNA(VLOOKUP($A176,'Données projet'!$A$538:$I$558,3,0)),0,VLOOKUP($A176,'Données projet'!$A$538:$I$558,3,0))</f>
        <v>0</v>
      </c>
      <c r="PE176" s="15">
        <f>IF(ISNA(VLOOKUP($A176,'Données projet'!$A$538:$I$558,4,0)),0,VLOOKUP($A176,'Données projet'!$A$538:$I$558,4,0))</f>
        <v>0</v>
      </c>
      <c r="PF176" s="16">
        <f>IF(ISNA(VLOOKUP($A176,'Données projet'!$A$538:$I$558,5,0)),0%,VLOOKUP($A176,'Données projet'!$A$538:$I$558,5,0)*VLOOKUP('Données projet'!$B$28,Paramètres!$A$1:$I$89,7,0))</f>
        <v>0</v>
      </c>
      <c r="PG176" s="16">
        <f>IF(ISNA(VLOOKUP($A176,'Données projet'!$A$538:$I$558,6,0)),0%,VLOOKUP($A176,'Données projet'!$A$538:$I$558,6,0)*VLOOKUP('Données projet'!$B$28,Paramètres!$A$1:$I$89,7,0))</f>
        <v>0</v>
      </c>
      <c r="PH176" s="16">
        <f>IF(ISNA(VLOOKUP($A176,'Données projet'!$A$538:$I$558,7,0)),0%,VLOOKUP($A176,'Données projet'!$A$538:$I$558,7,0))</f>
        <v>0</v>
      </c>
      <c r="PI176" s="21" t="e">
        <f>EXP(-LN(2)/35)*PI175+(1-EXP(-LN(2)/35))/(LN(2)/35)*PE176*PF176*VLOOKUP('Données projet'!$B$28,Paramètres!$A$1:$I$89,3,0)*0.475*44/12</f>
        <v>#N/A</v>
      </c>
      <c r="PJ176" s="21" t="e">
        <f>EXP(-LN(2)/25)*PJ175+(1-EXP(-LN(2)/25))/(LN(2)/25)*Calculateur!PE176*Calculateur!PG176*VLOOKUP('Données projet'!$B$28,Paramètres!$A$1:$I$89,3,0)*0.475*44/12</f>
        <v>#N/A</v>
      </c>
      <c r="PK176" s="21" t="e">
        <f>EXP(-LN(2)/2)*PK175+(1-EXP(-LN(2)/2))/(LN(2)/2)*PE176*PH176*VLOOKUP('Données projet'!$B$28,Paramètres!$A$1:$I$89,3,0)*0.475*44/12</f>
        <v>#N/A</v>
      </c>
      <c r="PL176" s="22" t="e">
        <f t="shared" si="283"/>
        <v>#N/A</v>
      </c>
    </row>
    <row r="177" spans="1:428" x14ac:dyDescent="0.35">
      <c r="A177" s="10">
        <f t="shared" si="326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285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225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projet'!$A$45:$I$65,2,0)</f>
        <v>#N/A</v>
      </c>
      <c r="L177" s="12" t="e">
        <f>VLOOKUP(A177,'Données projet'!$A$45:$I$65,9,0)</f>
        <v>#N/A</v>
      </c>
      <c r="M177" s="12">
        <f t="array" ref="M177">INDEX(L:L,MIN(IF(ISNUMBER(L177:L373),ROW(L177:L373),"")))</f>
        <v>0</v>
      </c>
      <c r="N177" s="13">
        <f>IF('Données projet'!$A$46&gt;35,N176+M177-V176,IF(A177&lt;'Données projet'!$A$46,$K$205^A177,IF(A177='Données projet'!$A$46,'Données projet'!$B$46,N176+M177-V176)))</f>
        <v>-1.1368683772161603E-13</v>
      </c>
      <c r="O177" s="13">
        <f>N177*VLOOKUP('Données projet'!$B$9,Paramètres!$A$1:$I$89,3,0)*VLOOKUP('Données projet'!$B$9,Paramètres!$A$1:$I$89,5,0)</f>
        <v>-6.3550942286383367E-14</v>
      </c>
      <c r="P177" s="13" t="e">
        <f t="shared" si="286"/>
        <v>#NUM!</v>
      </c>
      <c r="Q177" s="20" t="e">
        <f t="shared" si="327"/>
        <v>#NUM!</v>
      </c>
      <c r="R177" s="59" t="e">
        <f t="shared" si="224"/>
        <v>#NUM!</v>
      </c>
      <c r="S177" s="59">
        <f ca="1">AVERAGE(OFFSET($R$3,0,0,'Données projet'!$E$9+1,1))-AVERAGE(OFFSET($H$3,0,0,'Données projet'!$E$9+1,1))</f>
        <v>274.57619581652199</v>
      </c>
      <c r="T177" s="59">
        <f t="shared" si="287"/>
        <v>366.15117322598775</v>
      </c>
      <c r="U177" s="15">
        <f>IF(ISNA(VLOOKUP(A177,'Données projet'!$A$45:$I$65,3,0)),0,VLOOKUP(A177,'Données projet'!$A$45:$I$65,3,0))</f>
        <v>0</v>
      </c>
      <c r="V177" s="15">
        <f>IF(ISNA(VLOOKUP(A177,'Données projet'!$A$45:$I$65,4,0)),0,VLOOKUP(A177,'Données projet'!$A$45:$I$65,4,0))</f>
        <v>0</v>
      </c>
      <c r="W177" s="16">
        <f>IF(ISNA(VLOOKUP(A177,'Données projet'!$A$45:$I$65,5,0)),0%,VLOOKUP(A177,'Données projet'!$A$45:$I$65,5,0)*VLOOKUP('Données projet'!$B$9,Paramètres!$A$1:$I$89,7,0))</f>
        <v>0</v>
      </c>
      <c r="X177" s="16">
        <f>IF(ISNA(VLOOKUP(A177,'Données projet'!$A$45:$I$65,6,0)),0%,VLOOKUP(A177,'Données projet'!$A$45:$I$65,6,0)*VLOOKUP('Données projet'!$B$9,Paramètres!$A$1:$I$89,7,0))</f>
        <v>0</v>
      </c>
      <c r="Y177" s="16">
        <f>IF(ISNA(VLOOKUP(A177,'Données projet'!$A$45:$I$65,7,0)),0%,VLOOKUP(A177,'Données projet'!$A$45:$I$65,7,0))</f>
        <v>0</v>
      </c>
      <c r="Z177" s="21">
        <f>EXP(-LN(2)/35)*Z176+(1-EXP(-LN(2)/35))/(LN(2)/35)*V177*W177*VLOOKUP('Données projet'!$B$9,Paramètres!$A$1:$I$89,3,0)*0.475*44/12</f>
        <v>21.471743377972754</v>
      </c>
      <c r="AA177" s="21">
        <f>EXP(-LN(2)/25)*AA176+(1-EXP(-LN(2)/25))/(LN(2)/25)*Calculateur!V177*Calculateur!X177*VLOOKUP('Données projet'!$B$9,Paramètres!$A$1:$I$89,3,0)*0.475*44/12</f>
        <v>2.1260702431402909</v>
      </c>
      <c r="AB177" s="21">
        <f>EXP(-LN(2)/2)*AB176+(1-EXP(-LN(2)/2))/(LN(2)/2)*V177*Y177*VLOOKUP('Données projet'!$B$9,Paramètres!$A$1:$I$89,3,0)*0.475*44/12</f>
        <v>4.1903442027860034E-17</v>
      </c>
      <c r="AC177" s="22">
        <f t="shared" si="328"/>
        <v>23.597813621113044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projet'!$A$71:$I$91,2,0)</f>
        <v>#N/A</v>
      </c>
      <c r="AG177" s="12" t="e">
        <f>VLOOKUP(A177,'Données projet'!$A$71:$I$91,9,0)</f>
        <v>#N/A</v>
      </c>
      <c r="AH177" s="12">
        <f t="array" ref="AH177">INDEX(AG:AG,MIN(IF(ISNUMBER(AG177:AG373),ROW(AG177:AG373),"")))</f>
        <v>0</v>
      </c>
      <c r="AI177" s="13">
        <f>IF('Données projet'!$A$72&gt;35,AI176+AH177-AQ176,IF(A177&lt;'Données projet'!$A$72,$AF$205^A177,IF(A177='Données projet'!$A$72,'Données projet'!$B$72,AI176+AH177-AQ176)))</f>
        <v>5.6843418860808015E-13</v>
      </c>
      <c r="AJ177" s="13">
        <f>AI177*VLOOKUP('Données projet'!$B$10,Paramètres!$A$1:$I$89,3,0)*VLOOKUP('Données projet'!$B$10,Paramètres!$A$1:$I$89,5,0)</f>
        <v>5.1431925385259092E-13</v>
      </c>
      <c r="AK177" s="13">
        <f t="shared" si="329"/>
        <v>6.3855359115685756E-12</v>
      </c>
      <c r="AL177" s="20">
        <f t="shared" si="330"/>
        <v>1.2017247746441865E-11</v>
      </c>
      <c r="AM177" s="59">
        <f t="shared" si="228"/>
        <v>293.33333333334531</v>
      </c>
      <c r="AN177" s="59">
        <f ca="1">AVERAGE(OFFSET($AM$3,0,0,'Données projet'!$E$10+1,1))-AVERAGE(OFFSET($H$3,0,0,'Données projet'!$E$10+1,1))</f>
        <v>270.87836509222456</v>
      </c>
      <c r="AO177" s="59">
        <f t="shared" si="289"/>
        <v>205.24998237949734</v>
      </c>
      <c r="AP177" s="15">
        <f>IF(ISNA(VLOOKUP(A177,'Données projet'!$A$71:$I$91,3,0)),0,VLOOKUP(A177,'Données projet'!$A$71:$I$91,3,0))</f>
        <v>0</v>
      </c>
      <c r="AQ177" s="15">
        <f>IF(ISNA(VLOOKUP(A177,'Données projet'!$A$71:$I$91,4,0)),0,VLOOKUP(A177,'Données projet'!$A$71:$I$91,4,0))</f>
        <v>0</v>
      </c>
      <c r="AR177" s="16">
        <f>IF(ISNA(VLOOKUP(A177,'Données projet'!$A$71:$I$91,5,0)),0%,VLOOKUP(A177,'Données projet'!$A$71:$I$91,5,0)*VLOOKUP('Données projet'!$B$10,Paramètres!$A$1:$I$89,7,0))</f>
        <v>0</v>
      </c>
      <c r="AS177" s="16">
        <f>IF(ISNA(VLOOKUP(A177,'Données projet'!$A$71:$I$91,6,0)),0%,VLOOKUP(A177,'Données projet'!$A$71:$I$91,6,0)*VLOOKUP('Données projet'!$B$10,Paramètres!$A$1:$I$89,7,0))</f>
        <v>0</v>
      </c>
      <c r="AT177" s="16">
        <f>IF(ISNA(VLOOKUP(A177,'Données projet'!$A$71:$I$91,7,0)),0%,VLOOKUP(A177,'Données projet'!$A$71:$I$91,7,0))</f>
        <v>0</v>
      </c>
      <c r="AU177" s="21">
        <f>EXP(-LN(2)/35)*AU176+(1-EXP(-LN(2)/35))/(LN(2)/35)*AQ177*AR177*VLOOKUP('Données projet'!$B$10,Paramètres!$A$1:$I$89,3,0)*0.475*44/12</f>
        <v>72.966454507294713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331"/>
        <v>72.966454507294713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projet'!$A$97:$I$117,2,0)</f>
        <v>#N/A</v>
      </c>
      <c r="BB177" s="12" t="e">
        <f>VLOOKUP(A177,'Données projet'!$A$97:$I$117,9,0)</f>
        <v>#N/A</v>
      </c>
      <c r="BC177" s="12">
        <f t="array" ref="BC177">INDEX(BB:BB,MIN(IF(ISNUMBER(BB177:BB373),ROW(BB177:BB373),"")))</f>
        <v>0</v>
      </c>
      <c r="BD177" s="12">
        <f>IF('Données projet'!$A$98&gt;35,BD176+BC177-BL176,IF(A177&lt;'Données projet'!$A$98,$BA$205^A177,IF(A177='Données projet'!$A$98,'Données projet'!$B$98,BD176+BC177-BL176)))</f>
        <v>-1.1368683772161603E-13</v>
      </c>
      <c r="BE177" s="13">
        <f>BD177*VLOOKUP('Données projet'!$B$11,Paramètres!$A$1:$I$89,3,0)*VLOOKUP('Données projet'!$B$11,Paramètres!$A$1:$I$89,5,0)</f>
        <v>-5.0249582272954292E-14</v>
      </c>
      <c r="BF177" s="13" t="e">
        <f t="shared" si="332"/>
        <v>#NUM!</v>
      </c>
      <c r="BG177" s="20" t="e">
        <f t="shared" si="333"/>
        <v>#NUM!</v>
      </c>
      <c r="BH177" s="59" t="e">
        <f t="shared" si="231"/>
        <v>#NUM!</v>
      </c>
      <c r="BI177" s="59">
        <f ca="1">AVERAGE(OFFSET($BH$3,0,0,'Données projet'!$E$11+1,1))-AVERAGE(OFFSET($H$3,0,0,'Données projet'!$E$11+1,1))</f>
        <v>211.31057120485542</v>
      </c>
      <c r="BJ177" s="59">
        <f t="shared" si="291"/>
        <v>283.33292006714777</v>
      </c>
      <c r="BK177" s="15">
        <f>IF(ISNA(VLOOKUP(A177,'Données projet'!$A$97:$I$117,3,0)),0,VLOOKUP(A177,'Données projet'!$A$97:$I$117,3,0))</f>
        <v>0</v>
      </c>
      <c r="BL177" s="15">
        <f>IF(ISNA(VLOOKUP(A177,'Données projet'!$A$97:$I$117,4,0)),0,VLOOKUP(A177,'Données projet'!$A$97:$I$117,4,0))</f>
        <v>0</v>
      </c>
      <c r="BM177" s="16">
        <f>IF(ISNA(VLOOKUP(A177,'Données projet'!$A$97:$I$117,5,0)),0%,VLOOKUP(A177,'Données projet'!$A$97:$I$117,5,0)*VLOOKUP('Données projet'!$B$11,Paramètres!$A$1:$I$89,7,0))</f>
        <v>0</v>
      </c>
      <c r="BN177" s="16">
        <f>IF(ISNA(VLOOKUP(A177,'Données projet'!$A$97:$I$117,6,0)),0%,VLOOKUP(A177,'Données projet'!$A$97:$I$117,6,0)*VLOOKUP('Données projet'!$B$11,Paramètres!$A$1:$I$89,7,0))</f>
        <v>0</v>
      </c>
      <c r="BO177" s="16">
        <f>IF(ISNA(VLOOKUP(A177,'Données projet'!$A$97:$I$117,7,0)),0%,VLOOKUP(A177,'Données projet'!$A$97:$I$117,7,0))</f>
        <v>0</v>
      </c>
      <c r="BP177" s="21">
        <f>EXP(-LN(2)/35)*BP176+(1-EXP(-LN(2)/35))/(LN(2)/35)*BL177*BM177*VLOOKUP('Données projet'!$B$11,Paramètres!$A$1:$I$89,3,0)*0.475*44/12</f>
        <v>16.977657554676142</v>
      </c>
      <c r="BQ177" s="21">
        <f>EXP(-LN(2)/25)*BQ176+(1-EXP(-LN(2)/25))/(LN(2)/25)*Calculateur!BL177*Calculateur!BN177*VLOOKUP('Données projet'!$B$11,Paramètres!$A$1:$I$89,3,0)*0.475*44/12</f>
        <v>1.6810787969016245</v>
      </c>
      <c r="BR177" s="21">
        <f>EXP(-LN(2)/2)*BR176+(1-EXP(-LN(2)/2))/(LN(2)/2)*BL177*BO177*VLOOKUP('Données projet'!$B$11,Paramètres!$A$1:$I$89,3,0)*0.475*44/12</f>
        <v>3.3132954161563741E-17</v>
      </c>
      <c r="BS177" s="22">
        <f t="shared" si="334"/>
        <v>18.658736351577765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projet'!$A$123:$I$143,2,0)</f>
        <v>#N/A</v>
      </c>
      <c r="BW177" s="12" t="e">
        <f>VLOOKUP(A177,'Données projet'!$A$123:$I$143,9,0)</f>
        <v>#N/A</v>
      </c>
      <c r="BX177" s="12">
        <f t="array" ref="BX177">INDEX(BW:BW,MIN(IF(ISNUMBER(BW177:BW373),ROW(BW177:BW373),"")))</f>
        <v>0</v>
      </c>
      <c r="BY177" s="12">
        <f>IF('Données projet'!$A$124&gt;35,BY176+BX177-CG176,IF(A177&lt;'Données projet'!$A$124,$BV$205^A177,IF(A177='Données projet'!$A$124,'Données projet'!$B$124,BY176+BX177-CG176)))</f>
        <v>0</v>
      </c>
      <c r="BZ177" s="13">
        <f>BY177*VLOOKUP('Données projet'!$B$12,Paramètres!$A$1:$I$89,3,0)*VLOOKUP('Données projet'!$B$12,Paramètres!$A$1:$I$89,5,0)</f>
        <v>0</v>
      </c>
      <c r="CA177" s="13" t="e">
        <f t="shared" si="335"/>
        <v>#NUM!</v>
      </c>
      <c r="CB177" s="20" t="e">
        <f t="shared" si="336"/>
        <v>#NUM!</v>
      </c>
      <c r="CC177" s="59" t="e">
        <f t="shared" si="234"/>
        <v>#NUM!</v>
      </c>
      <c r="CD177" s="59">
        <f ca="1">AVERAGE(OFFSET($CC$3,0,0,'Données projet'!$E$12+1,1))-AVERAGE(OFFSET($H$3,0,0,'Données projet'!$E$12+1,1))</f>
        <v>322.93502595881938</v>
      </c>
      <c r="CE177" s="59">
        <f t="shared" si="293"/>
        <v>302.67072119588164</v>
      </c>
      <c r="CF177" s="15">
        <f>IF(ISNA(VLOOKUP(A177,'Données projet'!$A$123:$I$143,3,0)),0,VLOOKUP(A177,'Données projet'!$A$123:$I$143,3,0))</f>
        <v>0</v>
      </c>
      <c r="CG177" s="15">
        <f>IF(ISNA(VLOOKUP(A177,'Données projet'!$A$123:$I$143,4,0)),0,VLOOKUP(A177,'Données projet'!$A$123:$I$143,4,0))</f>
        <v>0</v>
      </c>
      <c r="CH177" s="16">
        <f>IF(ISNA(VLOOKUP(A177,'Données projet'!$A$123:$I$143,5,0)),0%,VLOOKUP(A177,'Données projet'!$A$123:$I$143,5,0)*VLOOKUP('Données projet'!$B$12,Paramètres!$A$1:$I$89,7,0))</f>
        <v>0</v>
      </c>
      <c r="CI177" s="16">
        <f>IF(ISNA(VLOOKUP(A177,'Données projet'!$A$123:$I$143,6,0)),0%,VLOOKUP(A177,'Données projet'!$A$123:$I$143,6,0)*VLOOKUP('Données projet'!$B$12,Paramètres!$A$1:$I$89,7,0))</f>
        <v>0</v>
      </c>
      <c r="CJ177" s="16">
        <f>IF(ISNA(VLOOKUP(A177,'Données projet'!$A$123:$I$143,7,0)),0%,VLOOKUP(A177,'Données projet'!$A$123:$I$143,7,0))</f>
        <v>0</v>
      </c>
      <c r="CK177" s="21">
        <f>EXP(-LN(2)/35)*CK176+(1-EXP(-LN(2)/35))/(LN(2)/35)*CG177*CH177*VLOOKUP('Données projet'!$B$12,Paramètres!$A$1:$I$89,3,0)*0.475*44/12</f>
        <v>27.049510867506385</v>
      </c>
      <c r="CL177" s="21">
        <f>EXP(-LN(2)/25)*CL176+(1-EXP(-LN(2)/25))/(LN(2)/25)*Calculateur!CG177*Calculateur!CI177*VLOOKUP('Données projet'!$B$12,Paramètres!$A$1:$I$89,3,0)*0.475*44/12</f>
        <v>5.3804692682671105</v>
      </c>
      <c r="CM177" s="21">
        <f>EXP(-LN(2)/2)*CM176+(1-EXP(-LN(2)/2))/(LN(2)/2)*CG177*CJ177*VLOOKUP('Données projet'!$B$12,Paramètres!$A$1:$I$89,3,0)*0.475*44/12</f>
        <v>0</v>
      </c>
      <c r="CN177" s="22">
        <f t="shared" si="337"/>
        <v>32.429980135773498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projet'!$A$149:$I$169,2,0)</f>
        <v>#N/A</v>
      </c>
      <c r="CR177" s="12" t="e">
        <f>VLOOKUP(A177,'Données projet'!$A$149:$I$169,9,0)</f>
        <v>#N/A</v>
      </c>
      <c r="CS177" s="12">
        <f t="array" ref="CS177">INDEX(CR:CR,MIN(IF(ISNUMBER(CR177:CR373),ROW(CR177:CR373),"")))</f>
        <v>0</v>
      </c>
      <c r="CT177" s="12">
        <f>IF('Données projet'!$A$150&gt;35,CT176+CS177-DB176,IF(A177&lt;'Données projet'!$A$150,$CQ$205^A177,IF(A177='Données projet'!$A$150,'Données projet'!$B$150,CT176+CS177-DB176)))</f>
        <v>-4.5474735088646412E-13</v>
      </c>
      <c r="CU177" s="17">
        <f>CT177*VLOOKUP('Données projet'!$B$13,Paramètres!$A$1:$I$89,3,0)*VLOOKUP('Données projet'!$B$13,Paramètres!$A$1:$I$89,5,0)</f>
        <v>-4.6111381379887462E-13</v>
      </c>
      <c r="CV177" s="13" t="e">
        <f t="shared" si="338"/>
        <v>#NUM!</v>
      </c>
      <c r="CW177" s="20" t="e">
        <f t="shared" si="339"/>
        <v>#NUM!</v>
      </c>
      <c r="CX177" s="59" t="e">
        <f t="shared" si="237"/>
        <v>#NUM!</v>
      </c>
      <c r="CY177" s="59">
        <f ca="1">AVERAGE(OFFSET($CX$3,0,0,'Données projet'!$E$13+1,1))-AVERAGE(OFFSET($H$3,0,0,'Données projet'!$E$13+1,1))</f>
        <v>250.31277422753283</v>
      </c>
      <c r="CZ177" s="59">
        <f t="shared" si="295"/>
        <v>159.20429420478047</v>
      </c>
      <c r="DA177" s="15">
        <f>IF(ISNA(VLOOKUP(A177,'Données projet'!$A$149:$I$169,3,0)),0,VLOOKUP(A177,'Données projet'!$A$149:$I$169,3,0))</f>
        <v>0</v>
      </c>
      <c r="DB177" s="15">
        <f>IF(ISNA(VLOOKUP(A177,'Données projet'!$A$149:$I$169,4,0)),0,VLOOKUP(A177,'Données projet'!$A$149:$I$169,4,0))</f>
        <v>0</v>
      </c>
      <c r="DC177" s="16">
        <f>IF(ISNA(VLOOKUP(A177,'Données projet'!$A$149:$I$169,5,0)),0%,VLOOKUP(A177,'Données projet'!$A$149:$I$169,5,0)*VLOOKUP('Données projet'!$B$13,Paramètres!$A$1:$I$89,7,0))</f>
        <v>0</v>
      </c>
      <c r="DD177" s="16">
        <f>IF(ISNA(VLOOKUP(A177,'Données projet'!$A$149:$I$169,6,0)),0%,VLOOKUP(A177,'Données projet'!$A$149:$I$169,6,0)*VLOOKUP('Données projet'!$B$13,Paramètres!$A$1:$I$89,7,0))</f>
        <v>0</v>
      </c>
      <c r="DE177" s="16">
        <f>IF(ISNA(VLOOKUP(A177,'Données projet'!$A$149:$I$169,7,0)),0%,VLOOKUP(A177,'Données projet'!$A$149:$I$169,7,0))</f>
        <v>0</v>
      </c>
      <c r="DF177" s="21">
        <f>EXP(-LN(2)/35)*DF176+(1-EXP(-LN(2)/35))/(LN(2)/35)*DB177*DC177*VLOOKUP('Données projet'!$B$13,Paramètres!$A$1:$I$89,3,0)*0.475*44/12</f>
        <v>123.13743257032786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340"/>
        <v>123.13743257032786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projet'!$A$175:$I$195,2,0)</f>
        <v>#N/A</v>
      </c>
      <c r="DM177" s="12" t="e">
        <f>VLOOKUP(A177,'Données projet'!$A$175:$I$195,9,0)</f>
        <v>#N/A</v>
      </c>
      <c r="DN177" s="12">
        <f t="array" ref="DN177">INDEX(DM:DM,MIN(IF(ISNUMBER(DM177:DM373),ROW(DM177:DM373),"")))</f>
        <v>0</v>
      </c>
      <c r="DO177" s="12">
        <f>IF('Données projet'!$A$176&gt;35,DO176+DN177-DW176,IF(A177&lt;'Données projet'!$A$176,$DL$205^A177,IF(A177='Données projet'!$A$176,'Données projet'!$B$176,DO176+DN177-DW176)))</f>
        <v>-2.8421709430404007E-13</v>
      </c>
      <c r="DP177" s="17">
        <f>DO177*VLOOKUP('Données projet'!$B$14,Paramètres!$A$1:$I$89,3,0)*VLOOKUP('Données projet'!$B$14,Paramètres!$A$1:$I$89,5,0)</f>
        <v>-2.0838797354372215E-13</v>
      </c>
      <c r="DQ177" s="13" t="e">
        <f t="shared" si="341"/>
        <v>#NUM!</v>
      </c>
      <c r="DR177" s="20" t="e">
        <f t="shared" si="342"/>
        <v>#NUM!</v>
      </c>
      <c r="DS177" s="59" t="e">
        <f t="shared" si="240"/>
        <v>#NUM!</v>
      </c>
      <c r="DT177" s="59">
        <f ca="1">AVERAGE(OFFSET($DS$3,0,0,'Données projet'!$E$14+1,1))-AVERAGE(OFFSET($H$3,0,0,'Données projet'!$E$14+1,1))</f>
        <v>296.91321813251051</v>
      </c>
      <c r="DU177" s="59">
        <f t="shared" si="297"/>
        <v>291.0718079639509</v>
      </c>
      <c r="DV177" s="15">
        <f>IF(ISNA(VLOOKUP(A177,'Données projet'!$A$175:$I$195,3,0)),0,VLOOKUP(A177,'Données projet'!$A$175:$I$195,3,0))</f>
        <v>0</v>
      </c>
      <c r="DW177" s="15">
        <f>IF(ISNA(VLOOKUP(A177,'Données projet'!$A$175:$I$195,4,0)),0,VLOOKUP(A177,'Données projet'!$A$175:$I$195,4,0))</f>
        <v>0</v>
      </c>
      <c r="DX177" s="16">
        <f>IF(ISNA(VLOOKUP(A177,'Données projet'!$A$175:$I$195,5,0)),0%,VLOOKUP(A177,'Données projet'!$A$175:$I$195,5,0)*VLOOKUP('Données projet'!$B$14,Paramètres!$A$1:$I$89,7,0))</f>
        <v>0</v>
      </c>
      <c r="DY177" s="16">
        <f>IF(ISNA(VLOOKUP(A177,'Données projet'!$A$175:$I$195,6,0)),0%,VLOOKUP(A177,'Données projet'!$A$175:$I$195,6,0)*VLOOKUP('Données projet'!$B$14,Paramètres!$A$1:$I$89,7,0))</f>
        <v>0</v>
      </c>
      <c r="DZ177" s="16">
        <f>IF(ISNA(VLOOKUP(A177,'Données projet'!$A$175:$I$195,7,0)),0%,VLOOKUP(A177,'Données projet'!$A$175:$I$195,7,0))</f>
        <v>0</v>
      </c>
      <c r="EA177" s="21">
        <f>EXP(-LN(2)/35)*EA176+(1-EXP(-LN(2)/35))/(LN(2)/35)*DW177*DX177*VLOOKUP('Données projet'!$B$14,Paramètres!$A$1:$I$89,3,0)*0.475*44/12</f>
        <v>26.959678280229678</v>
      </c>
      <c r="EB177" s="21">
        <f>EXP(-LN(2)/25)*EB176+(1-EXP(-LN(2)/25))/(LN(2)/25)*Calculateur!DW177*Calculateur!DY177*VLOOKUP('Données projet'!$B$14,Paramètres!$A$1:$I$89,3,0)*0.475*44/12</f>
        <v>0.39525415223981902</v>
      </c>
      <c r="EC177" s="21">
        <f>EXP(-LN(2)/2)*EC176+(1-EXP(-LN(2)/2))/(LN(2)/2)*DW177*DZ177*VLOOKUP('Données projet'!$B$14,Paramètres!$A$1:$I$89,3,0)*0.475*44/12</f>
        <v>0</v>
      </c>
      <c r="ED177" s="22">
        <f t="shared" si="343"/>
        <v>27.354932432469496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projet'!$A$201:$I$221,2,0)</f>
        <v>#N/A</v>
      </c>
      <c r="EH177" s="12" t="e">
        <f>VLOOKUP(A177,'Données projet'!$A$201:$I$221,9,0)</f>
        <v>#N/A</v>
      </c>
      <c r="EI177" s="12">
        <f t="array" ref="EI177">INDEX(EH:EH,MIN(IF(ISNUMBER(EH177:EH373),ROW(EH177:EH373),"")))</f>
        <v>0</v>
      </c>
      <c r="EJ177" s="12">
        <f>IF('Données projet'!$A$202&gt;35,EJ176+EI177-ER176,IF(A177&lt;'Données projet'!$A$202,$EG$205^A177,IF(A177='Données projet'!$A$202,'Données projet'!$B$202,EJ176+EI177-ER176)))</f>
        <v>5.1159076974727213E-13</v>
      </c>
      <c r="EK177" s="17">
        <f>EJ177*VLOOKUP('Données projet'!$B$15,Paramètres!$A$1:$I$89,3,0)*VLOOKUP('Données projet'!$B$15,Paramètres!$A$1:$I$89,5,0)</f>
        <v>2.3942448024172334E-13</v>
      </c>
      <c r="EL177" s="13">
        <f t="shared" si="344"/>
        <v>3.2492669905861755E-12</v>
      </c>
      <c r="EM177" s="20">
        <f t="shared" si="345"/>
        <v>6.0761376450252565E-12</v>
      </c>
      <c r="EN177" s="59">
        <f t="shared" si="243"/>
        <v>293.3333333333394</v>
      </c>
      <c r="EO177" s="59">
        <f ca="1">AVERAGE(OFFSET($EN$3,0,0,'Données projet'!$E$15+1,1))-AVERAGE(OFFSET($H$3,0,0,'Données projet'!$E$15+1,1))</f>
        <v>147.64256291235483</v>
      </c>
      <c r="EP177" s="59">
        <f t="shared" si="299"/>
        <v>70.859031694091868</v>
      </c>
      <c r="EQ177" s="15">
        <f>IF(ISNA(VLOOKUP(A177,'Données projet'!$A$201:$I$221,3,0)),0,VLOOKUP(A177,'Données projet'!$A$201:$I$221,3,0))</f>
        <v>0</v>
      </c>
      <c r="ER177" s="15">
        <f>IF(ISNA(VLOOKUP(A177,'Données projet'!$A$201:$I$221,4,0)),0,VLOOKUP(A177,'Données projet'!$A$201:$I$221,4,0))</f>
        <v>0</v>
      </c>
      <c r="ES177" s="16">
        <f>IF(ISNA(VLOOKUP(A177,'Données projet'!$A$201:$I$221,5,0)),0%,VLOOKUP(A177,'Données projet'!$A$201:$I$221,5,0)*VLOOKUP('Données projet'!$B$15,Paramètres!$A$1:$I$89,7,0))</f>
        <v>0</v>
      </c>
      <c r="ET177" s="16">
        <f>IF(ISNA(VLOOKUP(A177,'Données projet'!$A$201:$I$221,6,0)),0%,VLOOKUP(A177,'Données projet'!$A$201:$I$221,6,0)*VLOOKUP('Données projet'!$B$15,Paramètres!$A$1:$I$89,7,0))</f>
        <v>0</v>
      </c>
      <c r="EU177" s="16">
        <f>IF(ISNA(VLOOKUP(A177,'Données projet'!$A$201:$I$221,7,0)),0%,VLOOKUP(A177,'Données projet'!$A$201:$I$221,7,0))</f>
        <v>0</v>
      </c>
      <c r="EV177" s="21">
        <f>EXP(-LN(2)/35)*EV176+(1-EXP(-LN(2)/35))/(LN(2)/35)*ER177*ES177*VLOOKUP('Données projet'!$B$15,Paramètres!$A$1:$I$89,3,0)*0.475*44/12</f>
        <v>36.908224526714378</v>
      </c>
      <c r="EW177" s="21">
        <f>EXP(-LN(2)/25)*EW176+(1-EXP(-LN(2)/25))/(LN(2)/25)*Calculateur!ER177*Calculateur!ET177*VLOOKUP('Données projet'!$B$15,Paramètres!$A$1:$I$89,3,0)*0.475*44/12</f>
        <v>5.4837531504994512</v>
      </c>
      <c r="EX177" s="21">
        <f>EXP(-LN(2)/2)*EX176+(1-EXP(-LN(2)/2))/(LN(2)/2)*ER177*EU177*VLOOKUP('Données projet'!$B$15,Paramètres!$A$1:$I$89,3,0)*0.475*44/12</f>
        <v>3.020857145867783E-9</v>
      </c>
      <c r="EY177" s="22">
        <f t="shared" si="346"/>
        <v>42.391977680234689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projet'!$A$227:$I$247,2,0)</f>
        <v>#N/A</v>
      </c>
      <c r="FC177" s="12" t="e">
        <f>VLOOKUP(A177,'Données projet'!$A$227:$I$247,9,0)</f>
        <v>#N/A</v>
      </c>
      <c r="FD177" s="12">
        <f t="array" ref="FD177">INDEX(FC:FC,MIN(IF(ISNUMBER(FC177:FC373),ROW(FC177:FC373),"")))</f>
        <v>0</v>
      </c>
      <c r="FE177" s="12">
        <f>IF('Données projet'!$A$228&gt;35,FE176+FD177-FM176,IF(A177&lt;'Données projet'!$A$228,$FB$205^A177,IF(A177='Données projet'!$A$228,'Données projet'!$B$228,FE176+FD177-FM176)))</f>
        <v>8.5265128291212022E-14</v>
      </c>
      <c r="FF177" s="17">
        <f>FE177*VLOOKUP('Données projet'!$B$16,Paramètres!$A$1:$I$89,3,0)*VLOOKUP('Données projet'!$B$16,Paramètres!$A$1:$I$89,5,0)</f>
        <v>8.9119112089974823E-14</v>
      </c>
      <c r="FG177" s="13">
        <f t="shared" si="347"/>
        <v>1.3568952080113142E-12</v>
      </c>
      <c r="FH177" s="20">
        <f t="shared" si="348"/>
        <v>2.5184749408430782E-12</v>
      </c>
      <c r="FI177" s="59">
        <f t="shared" si="246"/>
        <v>293.33333333333582</v>
      </c>
      <c r="FJ177" s="59">
        <f ca="1">AVERAGE(OFFSET($FI$3,0,0,'Données projet'!$E$16+1,1))-AVERAGE(OFFSET($H$3,0,0,'Données projet'!$E$16+1,1))</f>
        <v>259.03906550253788</v>
      </c>
      <c r="FK177" s="59">
        <f t="shared" si="301"/>
        <v>235.54542903570831</v>
      </c>
      <c r="FL177" s="15">
        <f>IF(ISNA(VLOOKUP(A177,'Données projet'!$A$227:$I$247,3,0)),0,VLOOKUP(A177,'Données projet'!$A$227:$I$247,3,0))</f>
        <v>0</v>
      </c>
      <c r="FM177" s="15">
        <f>IF(ISNA(VLOOKUP(A177,'Données projet'!$A$227:$I$247,4,0)),0,VLOOKUP(A177,'Données projet'!$A$227:$I$247,4,0))</f>
        <v>0</v>
      </c>
      <c r="FN177" s="16">
        <f>IF(ISNA(VLOOKUP(A177,'Données projet'!$A$227:$I$247,5,0)),0%,VLOOKUP(A177,'Données projet'!$A$227:$I$247,5,0)*VLOOKUP('Données projet'!$B$16,Paramètres!$A$1:$I$89,7,0))</f>
        <v>0</v>
      </c>
      <c r="FO177" s="16">
        <f>IF(ISNA(VLOOKUP(A177,'Données projet'!$A$227:$I$247,6,0)),0%,VLOOKUP(A177,'Données projet'!$A$227:$I$247,6,0)*VLOOKUP('Données projet'!$B$16,Paramètres!$A$1:$I$89,7,0))</f>
        <v>0</v>
      </c>
      <c r="FP177" s="16">
        <f>IF(ISNA(VLOOKUP(A177,'Données projet'!$A$227:$I$247,7,0)),0%,VLOOKUP(A177,'Données projet'!$A$227:$I$247,7,0))</f>
        <v>0</v>
      </c>
      <c r="FQ177" s="21">
        <f>EXP(-LN(2)/35)*FQ176+(1-EXP(-LN(2)/35))/(LN(2)/35)*FM177*FN177*VLOOKUP('Données projet'!$B$16,Paramètres!$A$1:$I$89,3,0)*0.475*44/12</f>
        <v>16.290287254909671</v>
      </c>
      <c r="FR177" s="21">
        <f>EXP(-LN(2)/25)*FR176+(1-EXP(-LN(2)/25))/(LN(2)/25)*Calculateur!FM177*Calculateur!FO177*VLOOKUP('Données projet'!$B$16,Paramètres!$A$1:$I$89,3,0)*0.475*44/12</f>
        <v>7.5438602348830797</v>
      </c>
      <c r="FS177" s="21">
        <f>EXP(-LN(2)/2)*FS176+(1-EXP(-LN(2)/2))/(LN(2)/2)*FM177*FP177*VLOOKUP('Données projet'!$B$16,Paramètres!$A$1:$I$89,3,0)*0.475*44/12</f>
        <v>0</v>
      </c>
      <c r="FT177" s="22">
        <f t="shared" si="349"/>
        <v>23.834147489792752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projet'!$A$253:$I$273,2,0)</f>
        <v>#N/A</v>
      </c>
      <c r="FX177" s="12" t="e">
        <f>VLOOKUP(A177,'Données projet'!$A$253:$I$273,9,0)</f>
        <v>#N/A</v>
      </c>
      <c r="FY177" s="12">
        <f t="array" ref="FY177">INDEX(FX:FX,MIN(IF(ISNUMBER(FX177:FX373),ROW(FX177:FX373),"")))</f>
        <v>0</v>
      </c>
      <c r="FZ177" s="12">
        <f>IF('Données projet'!$A$254&gt;35,FZ176+FY177-GH176,IF(A177&lt;'Données projet'!$A$254,$FW$205^A177,IF(A177='Données projet'!$A$254,'Données projet'!$B$254,FZ176+FY177-GH176)))</f>
        <v>-1.7053025658242404E-13</v>
      </c>
      <c r="GA177" s="17">
        <f>FZ177*VLOOKUP('Données projet'!$B$17,Paramètres!$A$1:$I$89,3,0)*VLOOKUP('Données projet'!$B$17,Paramètres!$A$1:$I$89,5,0)</f>
        <v>-1.4897523215040567E-13</v>
      </c>
      <c r="GB177" s="13" t="e">
        <f t="shared" si="350"/>
        <v>#NUM!</v>
      </c>
      <c r="GC177" s="20" t="e">
        <f t="shared" si="351"/>
        <v>#NUM!</v>
      </c>
      <c r="GD177" s="59" t="e">
        <f t="shared" si="249"/>
        <v>#NUM!</v>
      </c>
      <c r="GE177" s="59">
        <f ca="1">AVERAGE(OFFSET($GD$3,0,0,'Données projet'!$E$17+1,1))-AVERAGE(OFFSET($H$3,0,0,'Données projet'!$E$17+1,1))</f>
        <v>245.1983232777614</v>
      </c>
      <c r="GF177" s="59">
        <f t="shared" si="303"/>
        <v>242.34010522344573</v>
      </c>
      <c r="GG177" s="15">
        <f>IF(ISNA(VLOOKUP(A177,'Données projet'!$A$253:$I$273,3,0)),0,VLOOKUP(A177,'Données projet'!$A$253:$I$273,3,0))</f>
        <v>0</v>
      </c>
      <c r="GH177" s="15">
        <f>IF(ISNA(VLOOKUP(A177,'Données projet'!$A$253:$I$273,4,0)),0,VLOOKUP(A177,'Données projet'!$A$253:$I$273,4,0))</f>
        <v>0</v>
      </c>
      <c r="GI177" s="16">
        <f>IF(ISNA(VLOOKUP(A177,'Données projet'!$A$253:$I$273,5,0)),0%,VLOOKUP(A177,'Données projet'!$A$253:$I$273,5,0)*VLOOKUP('Données projet'!$B$17,Paramètres!$A$1:$I$89,7,0))</f>
        <v>0</v>
      </c>
      <c r="GJ177" s="16">
        <f>IF(ISNA(VLOOKUP(A177,'Données projet'!$A$253:$I$273,6,0)),0%,VLOOKUP(A177,'Données projet'!$A$253:$I$273,6,0)*VLOOKUP('Données projet'!$B$17,Paramètres!$A$1:$I$89,7,0))</f>
        <v>0</v>
      </c>
      <c r="GK177" s="16">
        <f>IF(ISNA(VLOOKUP(A177,'Données projet'!$A$253:$I$273,7,0)),0%,VLOOKUP(A177,'Données projet'!$A$253:$I$273,7,0))</f>
        <v>0</v>
      </c>
      <c r="GL177" s="21">
        <f>EXP(-LN(2)/35)*GL176+(1-EXP(-LN(2)/35))/(LN(2)/35)*GH177*GI177*VLOOKUP('Données projet'!$B$17,Paramètres!$A$1:$I$89,3,0)*0.475*44/12</f>
        <v>19.151467732973671</v>
      </c>
      <c r="GM177" s="21">
        <f>EXP(-LN(2)/25)*GM176+(1-EXP(-LN(2)/25))/(LN(2)/25)*Calculateur!GH177*Calculateur!GJ177*VLOOKUP('Données projet'!$B$17,Paramètres!$A$1:$I$89,3,0)*0.475*44/12</f>
        <v>1.607412835292624</v>
      </c>
      <c r="GN177" s="21">
        <f>EXP(-LN(2)/2)*GN176+(1-EXP(-LN(2)/2))/(LN(2)/2)*GH177*GK177*VLOOKUP('Données projet'!$B$17,Paramètres!$A$1:$I$89,3,0)*0.475*44/12</f>
        <v>0</v>
      </c>
      <c r="GO177" s="21">
        <f t="shared" si="352"/>
        <v>20.758880568266296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projet'!$A$279:$I$299,2,0)</f>
        <v>#N/A</v>
      </c>
      <c r="GS177" s="12" t="e">
        <f>VLOOKUP(A177,'Données projet'!$A$279:$I$299,9,0)</f>
        <v>#N/A</v>
      </c>
      <c r="GT177" s="12">
        <f t="array" ref="GT177">INDEX(GS:GS,MIN(IF(ISNUMBER(GS177:GS373),ROW(GS177:GS373),"")))</f>
        <v>0</v>
      </c>
      <c r="GU177" s="12">
        <f>IF('Données projet'!$A$280&gt;35,GU176+GT177-HC176,IF(A177&lt;'Données projet'!$A$280,$GR$205^A177,IF(A177='Données projet'!$A$280,'Données projet'!$B$280,GU176+GT177-HC176)))</f>
        <v>-1.1368683772161603E-13</v>
      </c>
      <c r="GV177" s="17">
        <f>GU177*VLOOKUP('Données projet'!$B$18,Paramètres!$A$1:$I$89,3,0)*VLOOKUP('Données projet'!$B$18,Paramètres!$A$1:$I$89,5,0)</f>
        <v>-4.5815795601811263E-14</v>
      </c>
      <c r="GW177" s="13" t="e">
        <f t="shared" si="353"/>
        <v>#NUM!</v>
      </c>
      <c r="GX177" s="20" t="e">
        <f t="shared" si="354"/>
        <v>#NUM!</v>
      </c>
      <c r="GY177" s="59" t="e">
        <f t="shared" si="252"/>
        <v>#NUM!</v>
      </c>
      <c r="GZ177" s="59">
        <f ca="1">AVERAGE(OFFSET($GY$3,0,0,'Données projet'!$E$18+1,1))-AVERAGE(OFFSET($H$3,0,0,'Données projet'!$E$18+1,1))</f>
        <v>324.36162935850876</v>
      </c>
      <c r="HA177" s="59">
        <f t="shared" si="305"/>
        <v>265.23571072429735</v>
      </c>
      <c r="HB177" s="15">
        <f>IF(ISNA(VLOOKUP(A177,'Données projet'!$A$279:$I$299,3,0)),0,VLOOKUP(A177,'Données projet'!$A$279:$I$299,3,0))</f>
        <v>0</v>
      </c>
      <c r="HC177" s="15">
        <f>IF(ISNA(VLOOKUP(A177,'Données projet'!$A$279:$I$299,4,0)),0,VLOOKUP(A177,'Données projet'!$A$279:$I$299,4,0))</f>
        <v>0</v>
      </c>
      <c r="HD177" s="16">
        <f>IF(ISNA(VLOOKUP(A177,'Données projet'!$A$279:$I$299,5,0)),0%,VLOOKUP(A177,'Données projet'!$A$279:$I$299,5,0)*VLOOKUP('Données projet'!$B$18,Paramètres!$A$1:$I$89,7,0))</f>
        <v>0</v>
      </c>
      <c r="HE177" s="16">
        <f>IF(ISNA(VLOOKUP(A177,'Données projet'!$A$279:$I$299,6,0)),0%,VLOOKUP(A177,'Données projet'!$A$279:$I$299,6,0)*VLOOKUP('Données projet'!$B$18,Paramètres!$A$1:$I$89,7,0))</f>
        <v>0</v>
      </c>
      <c r="HF177" s="16">
        <f>IF(ISNA(VLOOKUP($A177,'Données projet'!$A$279:$I$299,7,0)),0%,VLOOKUP($A177,'Données projet'!$A$279:$I$299,7,0))</f>
        <v>0</v>
      </c>
      <c r="HG177" s="21">
        <f>EXP(-LN(2)/35)*HG176+(1-EXP(-LN(2)/35))/(LN(2)/35)*HC177*HD177*VLOOKUP('Données projet'!$B$18,Paramètres!$A$1:$I$89,3,0)*0.475*44/12</f>
        <v>36.699218730285104</v>
      </c>
      <c r="HH177" s="21">
        <f>EXP(-LN(2)/25)*HH176+(1-EXP(-LN(2)/25))/(LN(2)/25)*Calculateur!HC177*Calculateur!HE177*VLOOKUP('Données projet'!$B$18,Paramètres!$A$1:$I$89,3,0)*0.475*44/12</f>
        <v>1.7877305844372926</v>
      </c>
      <c r="HI177" s="21">
        <f>EXP(-LN(2)/2)*HI176+(1-EXP(-LN(2)/2))/(LN(2)/2)*HC177*HF177*VLOOKUP('Données projet'!$B$18,Paramètres!$A$1:$I$89,3,0)*0.475*44/12</f>
        <v>6.0731577700181047E-14</v>
      </c>
      <c r="HJ177" s="22">
        <f t="shared" si="355"/>
        <v>38.486949314722459</v>
      </c>
      <c r="HK177" s="74">
        <f>('Scénario référence'!$F$8+'Scénario référence'!$F$9+'Scénario référence'!$B$17+'Scénario référence'!$B$9+'Scénario référence'!$B$10)*70+IF((45+25*(1-EXP(-0.0175*$A177)))&lt;70,'Scénario référence'!$B$16*(45+25*(1-EXP(-0.0175*$A177))),70*'Scénario référence'!$B$16)+IF((32+38*(1-EXP(-0.0175*$A177)))&lt;70,'Scénario référence'!$B$18*(32+38*(1-EXP(-0.0175*$A177))),70*'Scénario référence'!$B$18)</f>
        <v>70</v>
      </c>
      <c r="HL177" s="12">
        <f>IF($A177&gt;30,10,('Scénario référence'!$B$16+'Scénario référence'!$B$17+'Scénario référence'!$B$18+'Scénario référence'!$B$9+'Scénario référence'!$B$10)*$A177*10/30+('Scénario référence'!$F$8+'Scénario référence'!$F$9)*10)</f>
        <v>10</v>
      </c>
      <c r="HM177" s="12" t="e">
        <f>VLOOKUP($A177,'Données projet'!$A$304:$I$324,2,0)</f>
        <v>#N/A</v>
      </c>
      <c r="HN177" s="12" t="e">
        <f>VLOOKUP($A177,'Données projet'!$A$304:$I$324,9,0)</f>
        <v>#N/A</v>
      </c>
      <c r="HO177" s="12">
        <f t="array" ref="HO177">INDEX(HN:HN,MIN(IF(ISNUMBER(HN177:HN373),ROW(HN177:HN373),"")))</f>
        <v>0</v>
      </c>
      <c r="HP177" s="12">
        <f>IF('Données projet'!$A$304&gt;35,HP176+HO177-HX176,IF($A177&lt;'Données projet'!$A$304,$CQ$205^$A177,IF($A177='Données projet'!$A$304,'Données projet'!$B$304,HP176+HO177-HX176)))</f>
        <v>0</v>
      </c>
      <c r="HQ177" s="17">
        <f>HP177*VLOOKUP('Données projet'!$B$19,Paramètres!$A$1:$I$89,3,0)*VLOOKUP('Données projet'!$B$19,Paramètres!$A$1:$I$89,5,0)</f>
        <v>0</v>
      </c>
      <c r="HR177" s="13" t="e">
        <f t="shared" si="306"/>
        <v>#NUM!</v>
      </c>
      <c r="HS177" s="14" t="e">
        <f t="shared" si="254"/>
        <v>#NUM!</v>
      </c>
      <c r="HT177" s="59" t="e">
        <f t="shared" si="255"/>
        <v>#NUM!</v>
      </c>
      <c r="HU177" s="59">
        <f ca="1">AVERAGE(OFFSET(HT$3,0,0,'Données projet'!$E$19+1,1))-AVERAGE(OFFSET($H$3,0,0,'Données projet'!$E$19+1,1))</f>
        <v>91.60721429656013</v>
      </c>
      <c r="HV177" s="59">
        <f t="shared" si="307"/>
        <v>258.94957804210856</v>
      </c>
      <c r="HW177" s="15">
        <f>IF(ISNA(VLOOKUP($A177,'Données projet'!$A$304:$I$324,3,0)),0,VLOOKUP($A177,'Données projet'!$A$304:$I$324,3,0))</f>
        <v>0</v>
      </c>
      <c r="HX177" s="15">
        <f>IF(ISNA(VLOOKUP($A177,'Données projet'!$A$304:$I$324,4,0)),0,VLOOKUP($A177,'Données projet'!$A$304:$I$324,4,0))</f>
        <v>0</v>
      </c>
      <c r="HY177" s="16">
        <f>IF(ISNA(VLOOKUP($A177,'Données projet'!$A$304:$I$324,5,0)),0%,VLOOKUP($A177,'Données projet'!$A$304:$I$324,5,0)*VLOOKUP('Données projet'!$B$19,Paramètres!$A$1:$I$89,7,0))</f>
        <v>0</v>
      </c>
      <c r="HZ177" s="16">
        <f>IF(ISNA(VLOOKUP($A177,'Données projet'!$A$304:$I$324,6,0)),0%,VLOOKUP($A177,'Données projet'!$A$304:$I$324,6,0)*VLOOKUP('Données projet'!$B$19,Paramètres!$A$1:$I$89,7,0))</f>
        <v>0</v>
      </c>
      <c r="IA177" s="16">
        <f>IF(ISNA(VLOOKUP($A177,'Données projet'!$A$304:$I$324,7,0)),0%,VLOOKUP($A177,'Données projet'!$A$304:$I$324,7,0))</f>
        <v>0</v>
      </c>
      <c r="IB177" s="21">
        <f>EXP(-LN(2)/35)*IB176+(1-EXP(-LN(2)/35))/(LN(2)/35)*HX177*HY177*VLOOKUP('Données projet'!$B$19,Paramètres!$A$1:$I$89,3,0)*0.475*44/12</f>
        <v>2.8484691221598868</v>
      </c>
      <c r="IC177" s="21">
        <f>EXP(-LN(2)/25)*IC176+(1-EXP(-LN(2)/25))/(LN(2)/25)*Calculateur!HX177*Calculateur!HZ177*VLOOKUP('Données projet'!$B$19,Paramètres!$A$1:$I$89,3,0)*0.475*44/12</f>
        <v>0.17950584088927363</v>
      </c>
      <c r="ID177" s="21">
        <f>EXP(-LN(2)/2)*ID176+(1-EXP(-LN(2)/2))/(LN(2)/2)*HX177*IA177*VLOOKUP('Données projet'!$B$19,Paramètres!$A$1:$I$89,3,0)*0.475*44/12</f>
        <v>1.2130619548948514E-22</v>
      </c>
      <c r="IE177" s="22">
        <f t="shared" si="256"/>
        <v>3.0279749630491604</v>
      </c>
      <c r="IF177" s="74">
        <f>('Scénario référence'!$F$8+'Scénario référence'!$F$9+'Scénario référence'!$B$17+'Scénario référence'!$B$9+'Scénario référence'!$B$10)*70+IF((45+25*(1-EXP(-0.0175*$A177)))&lt;70,'Scénario référence'!$B$16*(45+25*(1-EXP(-0.0175*$A177))),70*'Scénario référence'!$B$16)+IF((32+38*(1-EXP(-0.0175*$A177)))&lt;70,'Scénario référence'!$B$18*(32+38*(1-EXP(-0.0175*$A177))),70*'Scénario référence'!$B$18)</f>
        <v>70</v>
      </c>
      <c r="IG177" s="12">
        <f>IF($A177&gt;30,10,('Scénario référence'!$B$16+'Scénario référence'!$B$17+'Scénario référence'!$B$18+'Scénario référence'!$B$9+'Scénario référence'!$B$10)*$A177*10/30+('Scénario référence'!$F$8+'Scénario référence'!$F$9)*10)</f>
        <v>10</v>
      </c>
      <c r="IH177" s="12" t="e">
        <f>VLOOKUP($A177,'Données projet'!$A$330:$I$350,2,0)</f>
        <v>#N/A</v>
      </c>
      <c r="II177" s="12" t="e">
        <f>VLOOKUP($A177,'Données projet'!$A$330:$I$350,9,0)</f>
        <v>#N/A</v>
      </c>
      <c r="IJ177" s="12">
        <f t="array" ref="IJ177">INDEX(II:II,MIN(IF(ISNUMBER(II177:II373),ROW(II177:II373),"")))</f>
        <v>0</v>
      </c>
      <c r="IK177" s="12">
        <f>IF('Données projet'!$A$330&gt;35,IK176+IJ177-IS176,IF($A177&lt;'Données projet'!$A$330,$CQ$205^$A177,IF($A177='Données projet'!$A$330,'Données projet'!$B$330,IK176+IJ177-IS176)))</f>
        <v>0</v>
      </c>
      <c r="IL177" s="17">
        <f>IK177*VLOOKUP('Données projet'!$B$20,Paramètres!$A$1:$I$89,3,0)*VLOOKUP('Données projet'!$B$20,Paramètres!$A$1:$I$89,5,0)</f>
        <v>0</v>
      </c>
      <c r="IM177" s="13" t="e">
        <f t="shared" si="308"/>
        <v>#NUM!</v>
      </c>
      <c r="IN177" s="20" t="e">
        <f t="shared" si="257"/>
        <v>#NUM!</v>
      </c>
      <c r="IO177" s="59" t="e">
        <f t="shared" si="258"/>
        <v>#NUM!</v>
      </c>
      <c r="IP177" s="59">
        <f ca="1">AVERAGE(OFFSET(IO$3,0,0,'Données projet'!$E$20+1,1))-AVERAGE(OFFSET($H$3,0,0,'Données projet'!$E$20+1,1))</f>
        <v>91.60721429656013</v>
      </c>
      <c r="IQ177" s="59">
        <f t="shared" si="309"/>
        <v>258.94957804210856</v>
      </c>
      <c r="IR177" s="15">
        <f>IF(ISNA(VLOOKUP($A177,'Données projet'!$A$330:$I$350,3,0)),0,VLOOKUP($A177,'Données projet'!$A$330:$I$350,3,0))</f>
        <v>0</v>
      </c>
      <c r="IS177" s="15">
        <f>IF(ISNA(VLOOKUP($A177,'Données projet'!$A$330:$I$350,4,0)),0,VLOOKUP($A177,'Données projet'!$A$330:$I$350,4,0))</f>
        <v>0</v>
      </c>
      <c r="IT177" s="16">
        <f>IF(ISNA(VLOOKUP($A177,'Données projet'!$A$330:$I$350,5,0)),0%,VLOOKUP($A177,'Données projet'!$A$330:$I$350,5,0)*VLOOKUP('Données projet'!$B$20,Paramètres!$A$1:$I$89,7,0))</f>
        <v>0</v>
      </c>
      <c r="IU177" s="16">
        <f>IF(ISNA(VLOOKUP($A177,'Données projet'!$A$330:$I$350,6,0)),0%,VLOOKUP($A177,'Données projet'!$A$330:$I$350,6,0)*VLOOKUP('Données projet'!$B$20,Paramètres!$A$1:$I$89,7,0))</f>
        <v>0</v>
      </c>
      <c r="IV177" s="16">
        <f>IF(ISNA(VLOOKUP($A177,'Données projet'!$A$330:$I$350,7,0)),0%,VLOOKUP($A177,'Données projet'!$A$330:$I$350,7,0))</f>
        <v>0</v>
      </c>
      <c r="IW177" s="21">
        <f>EXP(-LN(2)/35)*IW176+(1-EXP(-LN(2)/35))/(LN(2)/35)*IS177*IT177*VLOOKUP('Données projet'!$B$20,Paramètres!$A$1:$I$89,3,0)*0.475*44/12</f>
        <v>2.8484691221598868</v>
      </c>
      <c r="IX177" s="21">
        <f>EXP(-LN(2)/25)*IX176+(1-EXP(-LN(2)/25))/(LN(2)/25)*Calculateur!IS177*Calculateur!IU177*VLOOKUP('Données projet'!$B$20,Paramètres!$A$1:$I$89,3,0)*0.475*44/12</f>
        <v>0.17950584088927363</v>
      </c>
      <c r="IY177" s="21">
        <f>EXP(-LN(2)/2)*IY176+(1-EXP(-LN(2)/2))/(LN(2)/2)*IS177*IV177*VLOOKUP('Données projet'!$B$20,Paramètres!$A$1:$I$89,3,0)*0.475*44/12</f>
        <v>1.2130619548948514E-22</v>
      </c>
      <c r="IZ177" s="22">
        <f t="shared" si="259"/>
        <v>3.0279749630491604</v>
      </c>
      <c r="JA177" s="74">
        <f>('Scénario référence'!$F$8+'Scénario référence'!$F$9+'Scénario référence'!$B$17+'Scénario référence'!$B$9+'Scénario référence'!$B$10)*70+IF((45+25*(1-EXP(-0.0175*$A177)))&lt;70,'Scénario référence'!$B$16*(45+25*(1-EXP(-0.0175*$A177))),70*'Scénario référence'!$B$16)+IF((32+38*(1-EXP(-0.0175*$A177)))&lt;70,'Scénario référence'!$B$18*(32+38*(1-EXP(-0.0175*$A177))),70*'Scénario référence'!$B$18)</f>
        <v>70</v>
      </c>
      <c r="JB177" s="12">
        <f>IF($A177&gt;30,10,('Scénario référence'!$B$16+'Scénario référence'!$B$17+'Scénario référence'!$B$18+'Scénario référence'!$B$9+'Scénario référence'!$B$10)*$A177*10/30+('Scénario référence'!$F$8+'Scénario référence'!$F$9)*10)</f>
        <v>10</v>
      </c>
      <c r="JC177" s="12" t="e">
        <f>VLOOKUP($A177,'Données projet'!$A$356:$I$376,2,0)</f>
        <v>#N/A</v>
      </c>
      <c r="JD177" s="12" t="e">
        <f>VLOOKUP($A177,'Données projet'!$A$356:$I$376,9,0)</f>
        <v>#N/A</v>
      </c>
      <c r="JE177" s="12">
        <f t="array" ref="JE177">INDEX(JD:JD,MIN(IF(ISNUMBER(JD177:JD373),ROW(JD177:JD373),"")))</f>
        <v>0</v>
      </c>
      <c r="JF177" s="12">
        <f>IF('Données projet'!$A$356&gt;35,JF176+JE177-JN176,IF($A177&lt;'Données projet'!$A$356,$CQ$205^$A177,IF($A177='Données projet'!$A$356,'Données projet'!$B$356,JF176+JE177-JN176)))</f>
        <v>-1.3073986337985843E-12</v>
      </c>
      <c r="JG177" s="17">
        <f>JF177*VLOOKUP('Données projet'!$B$21,Paramètres!$A$1:$I$89,3,0)*VLOOKUP('Données projet'!$B$21,Paramètres!$A$1:$I$89,5,0)</f>
        <v>-1.0605617717374117E-12</v>
      </c>
      <c r="JH177" s="13" t="e">
        <f t="shared" si="310"/>
        <v>#NUM!</v>
      </c>
      <c r="JI177" s="20" t="e">
        <f t="shared" si="260"/>
        <v>#NUM!</v>
      </c>
      <c r="JJ177" s="59" t="e">
        <f t="shared" si="261"/>
        <v>#NUM!</v>
      </c>
      <c r="JK177" s="59">
        <f ca="1">AVERAGE(OFFSET($JJ$3,0,0,'Données projet'!$E$22+1,1))-AVERAGE(OFFSET($H$3,0,0,'Données projet'!$E$22+1,1))</f>
        <v>353.35574633294613</v>
      </c>
      <c r="JL177" s="59">
        <f t="shared" si="311"/>
        <v>170.36796666474726</v>
      </c>
      <c r="JM177" s="15">
        <f>IF(ISNA(VLOOKUP($A177,'Données projet'!$A$356:$I$376,3,0)),0,VLOOKUP($A177,'Données projet'!$A$356:$I$376,3,0))</f>
        <v>0</v>
      </c>
      <c r="JN177" s="15">
        <f>IF(ISNA(VLOOKUP($A177,'Données projet'!$A$356:$I$376,4,0)),0,VLOOKUP($A177,'Données projet'!$A$356:$I$376,4,0))</f>
        <v>0</v>
      </c>
      <c r="JO177" s="16">
        <f>IF(ISNA(VLOOKUP($A177,'Données projet'!$A$356:$I$376,5,0)),0%,VLOOKUP($A177,'Données projet'!$A$356:$I$376,5,0)*VLOOKUP('Données projet'!$B$21,Paramètres!$A$1:$I$89,7,0))</f>
        <v>0</v>
      </c>
      <c r="JP177" s="16">
        <f>IF(ISNA(VLOOKUP($A177,'Données projet'!$A$356:$I$376,6,0)),0%,VLOOKUP($A177,'Données projet'!$A$356:$I$376,6,0)*VLOOKUP('Données projet'!$B$21,Paramètres!$A$1:$I$89,7,0))</f>
        <v>0</v>
      </c>
      <c r="JQ177" s="16">
        <f>IF(ISNA(VLOOKUP($A177,'Données projet'!$A$356:$I$376,7,0)),0%,VLOOKUP($A177,'Données projet'!$A$356:$I$376,7,0))</f>
        <v>0</v>
      </c>
      <c r="JR177" s="21">
        <f>EXP(-LN(2)/35)*JR176+(1-EXP(-LN(2)/35))/(LN(2)/35)*JN177*JO177*VLOOKUP('Données projet'!$B$21,Paramètres!$A$1:$I$89,3,0)*0.475*44/12</f>
        <v>45.665207452041734</v>
      </c>
      <c r="JS177" s="21">
        <f>EXP(-LN(2)/25)*JS176+(1-EXP(-LN(2)/25))/(LN(2)/25)*Calculateur!JN177*Calculateur!JP177*VLOOKUP('Données projet'!$B$21,Paramètres!$A$1:$I$89,3,0)*0.475*44/12</f>
        <v>39.287788240854326</v>
      </c>
      <c r="JT177" s="21">
        <f>EXP(-LN(2)/2)*JT176+(1-EXP(-LN(2)/2))/(LN(2)/2)*JN177*JQ177*VLOOKUP('Données projet'!$B$21,Paramètres!$A$1:$I$89,3,0)*0.475*44/12</f>
        <v>8.3718083280181054E-3</v>
      </c>
      <c r="JU177" s="18">
        <f t="shared" si="262"/>
        <v>84.961367501224075</v>
      </c>
      <c r="JV177" s="74">
        <f>('Scénario référence'!$F$8+'Scénario référence'!$F$9+'Scénario référence'!$B$17+'Scénario référence'!$B$9+'Scénario référence'!$B$10)*70+IF((45+25*(1-EXP(-0.0175*$A177)))&lt;70,'Scénario référence'!$B$16*(45+25*(1-EXP(-0.0175*$A177))),70*'Scénario référence'!$B$16)+IF((32+38*(1-EXP(-0.0175*$A177)))&lt;70,'Scénario référence'!$B$18*(32+38*(1-EXP(-0.0175*$A177))),70*'Scénario référence'!$B$18)</f>
        <v>70</v>
      </c>
      <c r="JW177" s="12">
        <f>IF($A177&gt;30,10,('Scénario référence'!$B$16+'Scénario référence'!$B$17+'Scénario référence'!$B$18+'Scénario référence'!$B$9+'Scénario référence'!$B$10)*$A177*10/30+('Scénario référence'!$F$8+'Scénario référence'!$F$9)*10)</f>
        <v>10</v>
      </c>
      <c r="JX177" s="12" t="e">
        <f>VLOOKUP($A177,'Données projet'!$A$382:$I$402,2,0)</f>
        <v>#N/A</v>
      </c>
      <c r="JY177" s="12" t="e">
        <f>VLOOKUP($A177,'Données projet'!$A$382:$I$402,9,0)</f>
        <v>#N/A</v>
      </c>
      <c r="JZ177" s="12">
        <f t="array" ref="JZ177">INDEX(JY:JY,MIN(IF(ISNUMBER(JY177:JY373),ROW(JY177:JY373),"")))</f>
        <v>0</v>
      </c>
      <c r="KA177" s="12">
        <f>IF('Données projet'!$A$382&gt;35,KA176+JZ177-KI176,IF($A177&lt;'Données projet'!$A$382,$CQ$205^$A177,IF($A177='Données projet'!$A$382,'Données projet'!$B$382,KA176+JZ177-KI176)))</f>
        <v>5.6843418860808015E-13</v>
      </c>
      <c r="KB177" s="17">
        <f>KA177*VLOOKUP('Données projet'!$B$22,Paramètres!$A$1:$I$89,3,0)*VLOOKUP('Données projet'!$B$22,Paramètres!$A$1:$I$89,5,0)</f>
        <v>3.8130565371830017E-13</v>
      </c>
      <c r="KC177" s="13">
        <f t="shared" si="312"/>
        <v>4.9019074112354236E-12</v>
      </c>
      <c r="KD177" s="20">
        <f t="shared" si="263"/>
        <v>9.2015960881277352E-12</v>
      </c>
      <c r="KE177" s="59">
        <f t="shared" si="264"/>
        <v>293.33333333334252</v>
      </c>
      <c r="KF177" s="59">
        <f ca="1">AVERAGE(OFFSET($KE$3,0,0,'Données projet'!$E$22+1,1))-AVERAGE(OFFSET($H$3,0,0,'Données projet'!$E$22+1,1))</f>
        <v>193.91714772848269</v>
      </c>
      <c r="KG177" s="59">
        <f t="shared" si="313"/>
        <v>159.20429420478047</v>
      </c>
      <c r="KH177" s="15">
        <f>IF(ISNA(VLOOKUP($A177,'Données projet'!$A$382:$I$402,3,0)),0,VLOOKUP($A177,'Données projet'!$A$382:$I$402,3,0))</f>
        <v>0</v>
      </c>
      <c r="KI177" s="15">
        <f>IF(ISNA(VLOOKUP($A177,'Données projet'!$A$382:$I$402,4,0)),0,VLOOKUP($A177,'Données projet'!$A$382:$I$402,4,0))</f>
        <v>0</v>
      </c>
      <c r="KJ177" s="16">
        <f>IF(ISNA(VLOOKUP($A177,'Données projet'!$A$382:$I$402,5,0)),0%,VLOOKUP($A177,'Données projet'!$A$382:$I$402,5,0)*VLOOKUP('Données projet'!$B$22,Paramètres!$A$1:$I$89,7,0))</f>
        <v>0</v>
      </c>
      <c r="KK177" s="16">
        <f>IF(ISNA(VLOOKUP($A177,'Données projet'!$A$382:$I$402,6,0)),0%,VLOOKUP($A177,'Données projet'!$A$382:$I$402,6,0)*VLOOKUP('Données projet'!$B$22,Paramètres!$A$1:$I$89,7,0))</f>
        <v>0</v>
      </c>
      <c r="KL177" s="16">
        <f>IF(ISNA(VLOOKUP($A177,'Données projet'!$A$382:$I$402,7,0)),0%,VLOOKUP($A177,'Données projet'!$A$382:$I$402,7,0))</f>
        <v>0</v>
      </c>
      <c r="KM177" s="21">
        <f>EXP(-LN(2)/35)*KM176+(1-EXP(-LN(2)/35))/(LN(2)/35)*KI177*KJ177*VLOOKUP('Données projet'!$B$22,Paramètres!$A$1:$I$89,3,0)*0.475*44/12</f>
        <v>66.676242911838273</v>
      </c>
      <c r="KN177" s="21">
        <f>EXP(-LN(2)/25)*KN176+(1-EXP(-LN(2)/25))/(LN(2)/25)*Calculateur!KI177*Calculateur!KK177*VLOOKUP('Données projet'!$B$22,Paramètres!$A$1:$I$89,3,0)*0.475*44/12</f>
        <v>0</v>
      </c>
      <c r="KO177" s="21">
        <f>EXP(-LN(2)/2)*KO176+(1-EXP(-LN(2)/2))/(LN(2)/2)*KI177*KL177*VLOOKUP('Données projet'!$B$22,Paramètres!$A$1:$I$89,3,0)*0.475*44/12</f>
        <v>0</v>
      </c>
      <c r="KP177" s="22">
        <f t="shared" si="265"/>
        <v>66.676242911838273</v>
      </c>
      <c r="KQ177" s="74">
        <f>('Scénario référence'!$F$8+'Scénario référence'!$F$9+'Scénario référence'!$B$17+'Scénario référence'!$B$9+'Scénario référence'!$B$10)*70+IF((45+25*(1-EXP(-0.0175*$A177)))&lt;70,'Scénario référence'!$B$16*(45+25*(1-EXP(-0.0175*$A177))),70*'Scénario référence'!$B$16)+IF((32+38*(1-EXP(-0.0175*$A177)))&lt;70,'Scénario référence'!$B$18*(32+38*(1-EXP(-0.0175*$A177))),70*'Scénario référence'!$B$18)</f>
        <v>70</v>
      </c>
      <c r="KR177" s="12">
        <f>IF($A177&gt;30,10,('Scénario référence'!$B$16+'Scénario référence'!$B$17+'Scénario référence'!$B$18+'Scénario référence'!$B$9+'Scénario référence'!$B$10)*$A177*10/30+('Scénario référence'!$F$8+'Scénario référence'!$F$9)*10)</f>
        <v>10</v>
      </c>
      <c r="KS177" s="12" t="e">
        <f>VLOOKUP($A177,'Données projet'!$A$408:$I$428,2,0)</f>
        <v>#N/A</v>
      </c>
      <c r="KT177" s="12" t="e">
        <f>VLOOKUP($A177,'Données projet'!$A$408:$I$428,9,0)</f>
        <v>#N/A</v>
      </c>
      <c r="KU177" s="12">
        <f t="array" ref="KU177">INDEX(KT:KT,MIN(IF(ISNUMBER(KT177:KT373),ROW(KT177:KT373),"")))</f>
        <v>0</v>
      </c>
      <c r="KV177" s="12">
        <f>IF('Données projet'!$A$408&gt;35,KV176+KU177-LD176,IF($A177&lt;'Données projet'!$A$408,$CQ$205^$A177,IF($A177='Données projet'!$A$408,'Données projet'!$B$408,KV176+KU177-LD176)))</f>
        <v>-1.1368683772161603E-13</v>
      </c>
      <c r="KW177" s="17">
        <f>KV177*VLOOKUP('Données projet'!$B$23,Paramètres!$A$1:$I$89,3,0)*VLOOKUP('Données projet'!$B$23,Paramètres!$A$1:$I$89,5,0)</f>
        <v>-9.9316821433603781E-14</v>
      </c>
      <c r="KX177" s="13" t="e">
        <f t="shared" si="314"/>
        <v>#NUM!</v>
      </c>
      <c r="KY177" s="14" t="e">
        <f t="shared" si="266"/>
        <v>#NUM!</v>
      </c>
      <c r="KZ177" s="59" t="e">
        <f t="shared" si="267"/>
        <v>#NUM!</v>
      </c>
      <c r="LA177" s="59">
        <f ca="1">AVERAGE(OFFSET($KZ$3,0,0,'Données projet'!$E$23+1,1))-AVERAGE(OFFSET($H$3,0,0,'Données projet'!$E$23+1,1))</f>
        <v>248.33596943633819</v>
      </c>
      <c r="LB177" s="59">
        <f t="shared" si="315"/>
        <v>242.34010522344573</v>
      </c>
      <c r="LC177" s="15">
        <f>IF(ISNA(VLOOKUP($A177,'Données projet'!$A$408:$I$428,3,0)),0,VLOOKUP($A177,'Données projet'!$A$408:$I$428,3,0))</f>
        <v>0</v>
      </c>
      <c r="LD177" s="15">
        <f>IF(ISNA(VLOOKUP($A177,'Données projet'!$A$408:$I$428,4,0)),0,VLOOKUP($A177,'Données projet'!$A$408:$I$428,4,0))</f>
        <v>0</v>
      </c>
      <c r="LE177" s="16">
        <f>IF(ISNA(VLOOKUP($A177,'Données projet'!$A$408:$I$428,5,0)),0%,VLOOKUP($A177,'Données projet'!$A$408:$I$428,5,0)*VLOOKUP('Données projet'!$B$23,Paramètres!$A$1:$I$89,7,0))</f>
        <v>0</v>
      </c>
      <c r="LF177" s="16">
        <f>IF(ISNA(VLOOKUP($A177,'Données projet'!$A$408:$I$428,6,0)),0%,VLOOKUP($A177,'Données projet'!$A$408:$I$428,6,0)*VLOOKUP('Données projet'!$B$23,Paramètres!$A$1:$I$89,7,0))</f>
        <v>0</v>
      </c>
      <c r="LG177" s="16">
        <f>IF(ISNA(VLOOKUP($A177,'Données projet'!$A$408:$I$428,7,0)),0%,VLOOKUP($A177,'Données projet'!$A$408:$I$428,7,0))</f>
        <v>0</v>
      </c>
      <c r="LH177" s="21">
        <f>EXP(-LN(2)/35)*LH176+(1-EXP(-LN(2)/35))/(LN(2)/35)*LD177*LE177*VLOOKUP('Données projet'!$B$23,Paramètres!$A$1:$I$89,3,0)*0.475*44/12</f>
        <v>19.151467732973671</v>
      </c>
      <c r="LI177" s="21">
        <f>EXP(-LN(2)/25)*LI176+(1-EXP(-LN(2)/25))/(LN(2)/25)*Calculateur!LD177*Calculateur!LF177*VLOOKUP('Données projet'!$B$23,Paramètres!$A$1:$I$89,3,0)*0.475*44/12</f>
        <v>1.607412835292624</v>
      </c>
      <c r="LJ177" s="21">
        <f>EXP(-LN(2)/2)*LJ176+(1-EXP(-LN(2)/2))/(LN(2)/2)*LD177*LG177*VLOOKUP('Données projet'!$B$23,Paramètres!$A$1:$I$89,3,0)*0.475*44/12</f>
        <v>0</v>
      </c>
      <c r="LK177" s="22">
        <f t="shared" si="268"/>
        <v>20.758880568266296</v>
      </c>
      <c r="LL177" s="74">
        <f>('Scénario référence'!$F$8+'Scénario référence'!$F$9+'Scénario référence'!$B$17+'Scénario référence'!$B$9+'Scénario référence'!$B$10)*70+IF((45+25*(1-EXP(-0.0175*$A177)))&lt;70,'Scénario référence'!$B$16*(45+25*(1-EXP(-0.0175*$A177))),70*'Scénario référence'!$B$16)+IF((32+38*(1-EXP(-0.0175*$A177)))&lt;70,'Scénario référence'!$B$18*(32+38*(1-EXP(-0.0175*$A177))),70*'Scénario référence'!$B$18)</f>
        <v>70</v>
      </c>
      <c r="LM177" s="12">
        <f>IF($A177&gt;30,10,('Scénario référence'!$B$16+'Scénario référence'!$B$17+'Scénario référence'!$B$18+'Scénario référence'!$B$9+'Scénario référence'!$B$10)*$A177*10/30+('Scénario référence'!$F$8+'Scénario référence'!$F$9)*10)</f>
        <v>10</v>
      </c>
      <c r="LN177" s="12" t="e">
        <f>VLOOKUP($A177,'Données projet'!$A$434:$I$454,2,0)</f>
        <v>#N/A</v>
      </c>
      <c r="LO177" s="12" t="e">
        <f>VLOOKUP($A177,'Données projet'!$A$434:$I$454,9,0)</f>
        <v>#N/A</v>
      </c>
      <c r="LP177" s="12">
        <f t="array" ref="LP177">INDEX(LO:LO,MIN(IF(ISNUMBER(LO177:LO373),ROW(LO177:LO373),"")))</f>
        <v>0</v>
      </c>
      <c r="LQ177" s="12">
        <f>IF('Données projet'!$A$434&gt;35,LQ176+LP177-LY176,IF($A177&lt;'Données projet'!$A$434,$CQ$205^$A177,IF($A177='Données projet'!$A$434,'Données projet'!$B$434,LQ176+LP177-LY176)))</f>
        <v>-4.5474735088646412E-13</v>
      </c>
      <c r="LR177" s="17">
        <f>LQ177*VLOOKUP('Données projet'!$B$24,Paramètres!$A$1:$I$89,3,0)*VLOOKUP('Données projet'!$B$24,Paramètres!$A$1:$I$89,5,0)</f>
        <v>-4.6111381379887462E-13</v>
      </c>
      <c r="LS177" s="13" t="e">
        <f t="shared" si="316"/>
        <v>#NUM!</v>
      </c>
      <c r="LT177" s="14" t="e">
        <f t="shared" si="269"/>
        <v>#NUM!</v>
      </c>
      <c r="LU177" s="59" t="e">
        <f t="shared" si="270"/>
        <v>#NUM!</v>
      </c>
      <c r="LV177" s="59">
        <f ca="1">AVERAGE(OFFSET($LU$3,0,0,'Données projet'!$E$24+1,1))-AVERAGE(OFFSET($H$3,0,0,'Données projet'!$E$24+1,1))</f>
        <v>260.52627655062872</v>
      </c>
      <c r="LW177" s="59">
        <f t="shared" si="317"/>
        <v>159.20429420478047</v>
      </c>
      <c r="LX177" s="15">
        <f>IF(ISNA(VLOOKUP($A177,'Données projet'!$A$434:$I$454,3,0)),0,VLOOKUP($A177,'Données projet'!$A$434:$I$454,3,0))</f>
        <v>0</v>
      </c>
      <c r="LY177" s="15">
        <f>IF(ISNA(VLOOKUP($A177,'Données projet'!$A$434:$I$454,4,0)),0,VLOOKUP($A177,'Données projet'!$A$434:$I$454,4,0))</f>
        <v>0</v>
      </c>
      <c r="LZ177" s="16">
        <f>IF(ISNA(VLOOKUP($A177,'Données projet'!$A$434:$I$454,5,0)),0%,VLOOKUP($A177,'Données projet'!$A$434:$I$454,5,0)*VLOOKUP('Données projet'!$B$24,Paramètres!$A$1:$I$89,7,0))</f>
        <v>0</v>
      </c>
      <c r="MA177" s="16">
        <f>IF(ISNA(VLOOKUP($A177,'Données projet'!$A$434:$I$454,6,0)),0%,VLOOKUP($A177,'Données projet'!$A$434:$I$454,6,0)*VLOOKUP('Données projet'!$B$24,Paramètres!$A$1:$I$89,7,0))</f>
        <v>0</v>
      </c>
      <c r="MB177" s="16">
        <f>IF(ISNA(VLOOKUP($A177,'Données projet'!$A$434:$I$454,7,0)),0%,VLOOKUP($A177,'Données projet'!$A$434:$I$454,7,0))</f>
        <v>0</v>
      </c>
      <c r="MC177" s="21">
        <f>EXP(-LN(2)/35)*MC176+(1-EXP(-LN(2)/35))/(LN(2)/35)*LY177*LZ177*VLOOKUP('Données projet'!$B$24,Paramètres!$A$1:$I$89,3,0)*0.475*44/12</f>
        <v>123.13743257032786</v>
      </c>
      <c r="MD177" s="21">
        <f>EXP(-LN(2)/25)*MD176+(1-EXP(-LN(2)/25))/(LN(2)/25)*Calculateur!LY177*Calculateur!MA177*VLOOKUP('Données projet'!$B$24,Paramètres!$A$1:$I$89,3,0)*0.475*44/12</f>
        <v>0</v>
      </c>
      <c r="ME177" s="21">
        <f>EXP(-LN(2)/2)*ME176+(1-EXP(-LN(2)/2))/(LN(2)/2)*LY177*MB177*VLOOKUP('Données projet'!$B$24,Paramètres!$A$1:$I$89,3,0)*0.475*44/12</f>
        <v>0</v>
      </c>
      <c r="MF177" s="22">
        <f t="shared" si="271"/>
        <v>123.13743257032786</v>
      </c>
      <c r="MG177" s="74">
        <f>('Scénario référence'!$F$8+'Scénario référence'!$F$9+'Scénario référence'!$B$17+'Scénario référence'!$B$9+'Scénario référence'!$B$10)*70+IF((45+25*(1-EXP(-0.0175*$A177)))&lt;70,'Scénario référence'!$B$16*(45+25*(1-EXP(-0.0175*$A177))),70*'Scénario référence'!$B$16)+IF((32+38*(1-EXP(-0.0175*$A177)))&lt;70,'Scénario référence'!$B$18*(32+38*(1-EXP(-0.0175*$A177))),70*'Scénario référence'!$B$18)</f>
        <v>70</v>
      </c>
      <c r="MH177" s="12">
        <f>IF($A177&gt;30,10,('Scénario référence'!$B$16+'Scénario référence'!$B$17+'Scénario référence'!$B$18+'Scénario référence'!$B$9+'Scénario référence'!$B$10)*$A177*10/30+('Scénario référence'!$F$8+'Scénario référence'!$F$9)*10)</f>
        <v>10</v>
      </c>
      <c r="MI177" s="12" t="e">
        <f>VLOOKUP($A177,'Données projet'!$A$460:$I$480,2,0)</f>
        <v>#N/A</v>
      </c>
      <c r="MJ177" s="12" t="e">
        <f>VLOOKUP($A177,'Données projet'!$A$460:$I$480,9,0)</f>
        <v>#N/A</v>
      </c>
      <c r="MK177" s="12">
        <f t="array" ref="MK177">INDEX(MJ:MJ,MIN(IF(ISNUMBER(MJ177:MJ373),ROW(MJ177:MJ373),"")))</f>
        <v>0</v>
      </c>
      <c r="ML177" s="12">
        <f>IF('Données projet'!$A$460&gt;35,ML176+MK177-MT176,IF($A177&lt;'Données projet'!$A$460,$CQ$205^$A177,IF($A177='Données projet'!$A$460,'Données projet'!$B$460,ML176+MK177-MT176)))</f>
        <v>0</v>
      </c>
      <c r="MM177" s="17" t="e">
        <f>ML177*VLOOKUP('Données projet'!$B$25,Paramètres!$A$1:$I$89,3,0)*VLOOKUP('Données projet'!$B$25,Paramètres!$A$1:$I$89,5,0)</f>
        <v>#N/A</v>
      </c>
      <c r="MN177" s="13" t="e">
        <f t="shared" si="318"/>
        <v>#N/A</v>
      </c>
      <c r="MO177" s="14" t="e">
        <f t="shared" si="272"/>
        <v>#N/A</v>
      </c>
      <c r="MP177" s="59" t="e">
        <f t="shared" si="273"/>
        <v>#N/A</v>
      </c>
      <c r="MQ177" s="20" t="e">
        <f ca="1">AVERAGE(OFFSET($MP$3,0,0,'Données projet'!$E$25+1,1))-AVERAGE(OFFSET($H$3,0,0,'Données projet'!$E$25+1,1))</f>
        <v>#N/A</v>
      </c>
      <c r="MR177" s="59" t="e">
        <f t="shared" si="319"/>
        <v>#N/A</v>
      </c>
      <c r="MS177" s="15">
        <f>IF(ISNA(VLOOKUP($A177,'Données projet'!$A$460:$I$480,3,0)),0,VLOOKUP($A177,'Données projet'!$A$460:$I$480,3,0))</f>
        <v>0</v>
      </c>
      <c r="MT177" s="15">
        <f>IF(ISNA(VLOOKUP($A177,'Données projet'!$A$460:$I$480,4,0)),0,VLOOKUP($A177,'Données projet'!$A$460:$I$480,4,0))</f>
        <v>0</v>
      </c>
      <c r="MU177" s="16">
        <f>IF(ISNA(VLOOKUP($A177,'Données projet'!$A$460:$I$480,5,0)),0%,VLOOKUP($A177,'Données projet'!$A$460:$I$480,5,0)*VLOOKUP('Données projet'!$B$25,Paramètres!$A$1:$I$89,7,0))</f>
        <v>0</v>
      </c>
      <c r="MV177" s="16">
        <f>IF(ISNA(VLOOKUP($A177,'Données projet'!$A$460:$I$480,6,0)),0%,VLOOKUP($A177,'Données projet'!$A$460:$I$480,6,0)*VLOOKUP('Données projet'!$B$25,Paramètres!$A$1:$I$89,7,0))</f>
        <v>0</v>
      </c>
      <c r="MW177" s="16">
        <f>IF(ISNA(VLOOKUP($A177,'Données projet'!$A$460:$I$480,7,0)),0%,VLOOKUP($A177,'Données projet'!$A$460:$I$480,7,0))</f>
        <v>0</v>
      </c>
      <c r="MX177" s="21" t="e">
        <f>EXP(-LN(2)/35)*MX176+(1-EXP(-LN(2)/35))/(LN(2)/35)*MT177*MU177*VLOOKUP('Données projet'!$B$25,Paramètres!$A$1:$I$89,3,0)*0.475*44/12</f>
        <v>#N/A</v>
      </c>
      <c r="MY177" s="21" t="e">
        <f>EXP(-LN(2)/25)*MY176+(1-EXP(-LN(2)/25))/(LN(2)/25)*Calculateur!MT177*Calculateur!MV177*VLOOKUP('Données projet'!$B$25,Paramètres!$A$1:$I$89,3,0)*0.475*44/12</f>
        <v>#N/A</v>
      </c>
      <c r="MZ177" s="21" t="e">
        <f>EXP(-LN(2)/2)*MZ176+(1-EXP(-LN(2)/2))/(LN(2)/2)*MT177*MW177*VLOOKUP('Données projet'!$B$25,Paramètres!$A$1:$I$89,3,0)*0.475*44/12</f>
        <v>#N/A</v>
      </c>
      <c r="NA177" s="22" t="e">
        <f t="shared" si="274"/>
        <v>#N/A</v>
      </c>
      <c r="NB177" s="74">
        <f>('Scénario référence'!$F$8+'Scénario référence'!$F$9+'Scénario référence'!$B$17+'Scénario référence'!$B$9+'Scénario référence'!$B$10)*70+IF((45+25*(1-EXP(-0.0175*$A177)))&lt;70,'Scénario référence'!$B$16*(45+25*(1-EXP(-0.0175*$A177))),70*'Scénario référence'!$B$16)+IF((32+38*(1-EXP(-0.0175*$A177)))&lt;70,'Scénario référence'!$B$18*(32+38*(1-EXP(-0.0175*$A177))),70*'Scénario référence'!$B$18)</f>
        <v>70</v>
      </c>
      <c r="NC177" s="12">
        <f>IF($A177&gt;30,10,('Scénario référence'!$B$16+'Scénario référence'!$B$17+'Scénario référence'!$B$18+'Scénario référence'!$B$9+'Scénario référence'!$B$10)*$A177*10/30+('Scénario référence'!$F$8+'Scénario référence'!$F$9)*10)</f>
        <v>10</v>
      </c>
      <c r="ND177" s="12" t="e">
        <f>VLOOKUP($A177,'Données projet'!$A$486:$I$506,2,0)</f>
        <v>#N/A</v>
      </c>
      <c r="NE177" s="12" t="e">
        <f>VLOOKUP($A177,'Données projet'!$A$486:$I$506,9,0)</f>
        <v>#N/A</v>
      </c>
      <c r="NF177" s="12">
        <f t="array" ref="NF177">INDEX(NE:NE,MIN(IF(ISNUMBER(NE177:NE373),ROW(NE177:NE373),"")))</f>
        <v>0</v>
      </c>
      <c r="NG177" s="12">
        <f>IF('Données projet'!$A$486&gt;35,NG176+NF177-NO176,IF($A177&lt;'Données projet'!$A$486,$CQ$205^$A177,IF($A177='Données projet'!$A$486,'Données projet'!$B$486,NG176+NF177-NO176)))</f>
        <v>0</v>
      </c>
      <c r="NH177" s="17" t="e">
        <f>NG177*VLOOKUP('Données projet'!$B$26,Paramètres!$A$1:$I$89,3,0)*VLOOKUP('Données projet'!$B$26,Paramètres!$A$1:$I$89,5,0)</f>
        <v>#N/A</v>
      </c>
      <c r="NI177" s="13" t="e">
        <f t="shared" si="320"/>
        <v>#N/A</v>
      </c>
      <c r="NJ177" s="14" t="e">
        <f t="shared" si="275"/>
        <v>#N/A</v>
      </c>
      <c r="NK177" s="59" t="e">
        <f t="shared" si="276"/>
        <v>#N/A</v>
      </c>
      <c r="NL177" s="20" t="e">
        <f ca="1">AVERAGE(OFFSET($NK$3,0,0,'Données projet'!$E$26+1,1))-AVERAGE(OFFSET($H$3,0,0,'Données projet'!$E$26+1,1))</f>
        <v>#N/A</v>
      </c>
      <c r="NM177" s="59" t="e">
        <f t="shared" si="321"/>
        <v>#N/A</v>
      </c>
      <c r="NN177" s="15">
        <f>IF(ISNA(VLOOKUP($A177,'Données projet'!$A$486:$I$506,3,0)),0,VLOOKUP($A177,'Données projet'!$A$486:$I$506,3,0))</f>
        <v>0</v>
      </c>
      <c r="NO177" s="15">
        <f>IF(ISNA(VLOOKUP($A177,'Données projet'!$A$486:$I$506,4,0)),0,VLOOKUP($A177,'Données projet'!$A$486:$I$506,4,0))</f>
        <v>0</v>
      </c>
      <c r="NP177" s="16">
        <f>IF(ISNA(VLOOKUP($A177,'Données projet'!$A$486:$I$506,5,0)),0%,VLOOKUP($A177,'Données projet'!$A$486:$I$506,5,0)*VLOOKUP('Données projet'!$B$26,Paramètres!$A$1:$I$89,7,0))</f>
        <v>0</v>
      </c>
      <c r="NQ177" s="16">
        <f>IF(ISNA(VLOOKUP($A177,'Données projet'!$A$486:$I$506,6,0)),0%,VLOOKUP($A177,'Données projet'!$A$486:$I$506,6,0)*VLOOKUP('Données projet'!$B$26,Paramètres!$A$1:$I$89,7,0))</f>
        <v>0</v>
      </c>
      <c r="NR177" s="16">
        <f>IF(ISNA(VLOOKUP($A177,'Données projet'!$A$486:$I$506,7,0)),0%,VLOOKUP($A177,'Données projet'!$A$486:$I$506,7,0))</f>
        <v>0</v>
      </c>
      <c r="NS177" s="21" t="e">
        <f>EXP(-LN(2)/35)*NS176+(1-EXP(-LN(2)/35))/(LN(2)/35)*NO177*NP177*VLOOKUP('Données projet'!$B$26,Paramètres!$A$1:$I$89,3,0)*0.475*44/12</f>
        <v>#N/A</v>
      </c>
      <c r="NT177" s="21" t="e">
        <f>EXP(-LN(2)/25)*NT176+(1-EXP(-LN(2)/25))/(LN(2)/25)*Calculateur!NO177*Calculateur!NQ177*VLOOKUP('Données projet'!$B$26,Paramètres!$A$1:$I$89,3,0)*0.475*44/12</f>
        <v>#N/A</v>
      </c>
      <c r="NU177" s="21" t="e">
        <f>EXP(-LN(2)/2)*NU176+(1-EXP(-LN(2)/2))/(LN(2)/2)*NO177*NR177*VLOOKUP('Données projet'!$B$26,Paramètres!$A$1:$I$89,3,0)*0.475*44/12</f>
        <v>#N/A</v>
      </c>
      <c r="NV177" s="22" t="e">
        <f t="shared" si="277"/>
        <v>#N/A</v>
      </c>
      <c r="NW177" s="74">
        <f>('Scénario référence'!$F$8+'Scénario référence'!$F$9+'Scénario référence'!$B$17+'Scénario référence'!$B$9+'Scénario référence'!$B$10)*70+IF((45+25*(1-EXP(-0.0175*$A177)))&lt;70,'Scénario référence'!$B$16*(45+25*(1-EXP(-0.0175*$A177))),70*'Scénario référence'!$B$16)+IF((32+38*(1-EXP(-0.0175*$A177)))&lt;70,'Scénario référence'!$B$18*(32+38*(1-EXP(-0.0175*$A177))),70*'Scénario référence'!$B$18)</f>
        <v>70</v>
      </c>
      <c r="NX177" s="12">
        <f>IF($A177&gt;30,10,('Scénario référence'!$B$16+'Scénario référence'!$B$17+'Scénario référence'!$B$18+'Scénario référence'!$B$9+'Scénario référence'!$B$10)*$A177*10/30+('Scénario référence'!$F$8+'Scénario référence'!$F$9)*10)</f>
        <v>10</v>
      </c>
      <c r="NY177" s="12" t="e">
        <f>VLOOKUP($A177,'Données projet'!$A$512:$I$532,2,0)</f>
        <v>#N/A</v>
      </c>
      <c r="NZ177" s="12" t="e">
        <f>VLOOKUP($A177,'Données projet'!$A$512:$I$532,9,0)</f>
        <v>#N/A</v>
      </c>
      <c r="OA177" s="12">
        <f t="array" ref="OA177">INDEX(NZ:NZ,MIN(IF(ISNUMBER(NZ177:NZ373),ROW(NZ177:NZ373),"")))</f>
        <v>0</v>
      </c>
      <c r="OB177" s="12">
        <f>IF('Données projet'!$A$512&gt;35,OB176+OA177-OJ176,IF($A177&lt;'Données projet'!$A$512,$CQ$205^$A177,IF($A177='Données projet'!$A$512,'Données projet'!$B$512,OB176+OA177-OJ176)))</f>
        <v>0</v>
      </c>
      <c r="OC177" s="17" t="e">
        <f>OB177*VLOOKUP('Données projet'!$B$27,Paramètres!$A$1:$I$89,3,0)*VLOOKUP('Données projet'!$B$27,Paramètres!$A$1:$I$89,5,0)</f>
        <v>#N/A</v>
      </c>
      <c r="OD177" s="13" t="e">
        <f t="shared" si="322"/>
        <v>#N/A</v>
      </c>
      <c r="OE177" s="14" t="e">
        <f t="shared" si="278"/>
        <v>#N/A</v>
      </c>
      <c r="OF177" s="59" t="e">
        <f t="shared" si="279"/>
        <v>#N/A</v>
      </c>
      <c r="OG177" s="20" t="e">
        <f ca="1">AVERAGE(OFFSET($OF$3,0,0,'Données projet'!$E$27+1,1))-AVERAGE(OFFSET($H$3,0,0,'Données projet'!$E$27+1,1))</f>
        <v>#N/A</v>
      </c>
      <c r="OH177" s="59" t="e">
        <f t="shared" si="323"/>
        <v>#N/A</v>
      </c>
      <c r="OI177" s="15">
        <f>IF(ISNA(VLOOKUP($A177,'Données projet'!$A$512:$I$532,3,0)),0,VLOOKUP($A177,'Données projet'!$A$512:$I$532,3,0))</f>
        <v>0</v>
      </c>
      <c r="OJ177" s="15">
        <f>IF(ISNA(VLOOKUP($A177,'Données projet'!$A$512:$I$532,4,0)),0,VLOOKUP($A177,'Données projet'!$A$512:$I$532,4,0))</f>
        <v>0</v>
      </c>
      <c r="OK177" s="16">
        <f>IF(ISNA(VLOOKUP($A177,'Données projet'!$A$512:$I$532,5,0)),0%,VLOOKUP($A177,'Données projet'!$A$512:$I$532,5,0)*VLOOKUP('Données projet'!$B$27,Paramètres!$A$1:$I$89,7,0))</f>
        <v>0</v>
      </c>
      <c r="OL177" s="16">
        <f>IF(ISNA(VLOOKUP($A177,'Données projet'!$A$512:$I$532,6,0)),0%,VLOOKUP($A177,'Données projet'!$A$512:$I$532,6,0)*VLOOKUP('Données projet'!$B$27,Paramètres!$A$1:$I$89,7,0))</f>
        <v>0</v>
      </c>
      <c r="OM177" s="16">
        <f>IF(ISNA(VLOOKUP($A177,'Données projet'!$A$512:$I$532,7,0)),0%,VLOOKUP($A177,'Données projet'!$A$512:$I$532,7,0))</f>
        <v>0</v>
      </c>
      <c r="ON177" s="21" t="e">
        <f>EXP(-LN(2)/35)*ON176+(1-EXP(-LN(2)/35))/(LN(2)/35)*OJ177*OK177*VLOOKUP('Données projet'!$B$27,Paramètres!$A$1:$I$89,3,0)*0.475*44/12</f>
        <v>#N/A</v>
      </c>
      <c r="OO177" s="21" t="e">
        <f>EXP(-LN(2)/25)*OO176+(1-EXP(-LN(2)/25))/(LN(2)/25)*Calculateur!OJ177*Calculateur!OL177*VLOOKUP('Données projet'!$B$27,Paramètres!$A$1:$I$89,3,0)*0.475*44/12</f>
        <v>#N/A</v>
      </c>
      <c r="OP177" s="21" t="e">
        <f>EXP(-LN(2)/2)*OP176+(1-EXP(-LN(2)/2))/(LN(2)/2)*OJ177*OM177*VLOOKUP('Données projet'!$B$27,Paramètres!$A$1:$I$89,3,0)*0.475*44/12</f>
        <v>#N/A</v>
      </c>
      <c r="OQ177" s="22" t="e">
        <f t="shared" si="280"/>
        <v>#N/A</v>
      </c>
      <c r="OR177" s="74">
        <f>('Scénario référence'!$F$8+'Scénario référence'!$F$9+'Scénario référence'!$B$17+'Scénario référence'!$B$9+'Scénario référence'!$B$10)*70+IF((45+25*(1-EXP(-0.0175*$A177)))&lt;70,'Scénario référence'!$B$16*(45+25*(1-EXP(-0.0175*$A177))),70*'Scénario référence'!$B$16)+IF((32+38*(1-EXP(-0.0175*$A177)))&lt;70,'Scénario référence'!$B$18*(32+38*(1-EXP(-0.0175*$A177))),70*'Scénario référence'!$B$18)</f>
        <v>70</v>
      </c>
      <c r="OS177" s="12">
        <f>IF($A177&gt;30,10,('Scénario référence'!$B$16+'Scénario référence'!$B$17+'Scénario référence'!$B$18+'Scénario référence'!$B$9+'Scénario référence'!$B$10)*$A177*10/30+('Scénario référence'!$F$8+'Scénario référence'!$F$9)*10)</f>
        <v>10</v>
      </c>
      <c r="OT177" s="12" t="e">
        <f>VLOOKUP($A177,'Données projet'!$A$538:$I$558,2,0)</f>
        <v>#N/A</v>
      </c>
      <c r="OU177" s="12" t="e">
        <f>VLOOKUP($A177,'Données projet'!$A$538:$I$558,9,0)</f>
        <v>#N/A</v>
      </c>
      <c r="OV177" s="12">
        <f t="array" ref="OV177">INDEX(OU:OU,MIN(IF(ISNUMBER(OU177:OU373),ROW(OU177:OU373),"")))</f>
        <v>0</v>
      </c>
      <c r="OW177" s="12">
        <f>IF('Données projet'!$A$538&gt;35,OW176+OV177-PE176,IF($A177&lt;'Données projet'!$A$538,$CQ$205^$A177,IF($A177='Données projet'!$A$538,'Données projet'!$B$538,OW176+OV177-PE176)))</f>
        <v>0</v>
      </c>
      <c r="OX177" s="17" t="e">
        <f>OW177*VLOOKUP('Données projet'!$B$28,Paramètres!$A$1:$I$89,3,0)*VLOOKUP('Données projet'!$B$28,Paramètres!$A$1:$I$89,5,0)</f>
        <v>#N/A</v>
      </c>
      <c r="OY177" s="13" t="e">
        <f t="shared" si="324"/>
        <v>#N/A</v>
      </c>
      <c r="OZ177" s="14" t="e">
        <f t="shared" si="281"/>
        <v>#N/A</v>
      </c>
      <c r="PA177" s="59" t="e">
        <f t="shared" si="282"/>
        <v>#N/A</v>
      </c>
      <c r="PB177" s="20" t="e">
        <f ca="1">AVERAGE(OFFSET($PA$3,0,0,'Données projet'!$E$28+1,1))-AVERAGE(OFFSET($H$3,0,0,'Données projet'!$E$28+1,1))</f>
        <v>#N/A</v>
      </c>
      <c r="PC177" s="59" t="e">
        <f t="shared" si="325"/>
        <v>#N/A</v>
      </c>
      <c r="PD177" s="15">
        <f>IF(ISNA(VLOOKUP($A177,'Données projet'!$A$538:$I$558,3,0)),0,VLOOKUP($A177,'Données projet'!$A$538:$I$558,3,0))</f>
        <v>0</v>
      </c>
      <c r="PE177" s="15">
        <f>IF(ISNA(VLOOKUP($A177,'Données projet'!$A$538:$I$558,4,0)),0,VLOOKUP($A177,'Données projet'!$A$538:$I$558,4,0))</f>
        <v>0</v>
      </c>
      <c r="PF177" s="16">
        <f>IF(ISNA(VLOOKUP($A177,'Données projet'!$A$538:$I$558,5,0)),0%,VLOOKUP($A177,'Données projet'!$A$538:$I$558,5,0)*VLOOKUP('Données projet'!$B$28,Paramètres!$A$1:$I$89,7,0))</f>
        <v>0</v>
      </c>
      <c r="PG177" s="16">
        <f>IF(ISNA(VLOOKUP($A177,'Données projet'!$A$538:$I$558,6,0)),0%,VLOOKUP($A177,'Données projet'!$A$538:$I$558,6,0)*VLOOKUP('Données projet'!$B$28,Paramètres!$A$1:$I$89,7,0))</f>
        <v>0</v>
      </c>
      <c r="PH177" s="16">
        <f>IF(ISNA(VLOOKUP($A177,'Données projet'!$A$538:$I$558,7,0)),0%,VLOOKUP($A177,'Données projet'!$A$538:$I$558,7,0))</f>
        <v>0</v>
      </c>
      <c r="PI177" s="21" t="e">
        <f>EXP(-LN(2)/35)*PI176+(1-EXP(-LN(2)/35))/(LN(2)/35)*PE177*PF177*VLOOKUP('Données projet'!$B$28,Paramètres!$A$1:$I$89,3,0)*0.475*44/12</f>
        <v>#N/A</v>
      </c>
      <c r="PJ177" s="21" t="e">
        <f>EXP(-LN(2)/25)*PJ176+(1-EXP(-LN(2)/25))/(LN(2)/25)*Calculateur!PE177*Calculateur!PG177*VLOOKUP('Données projet'!$B$28,Paramètres!$A$1:$I$89,3,0)*0.475*44/12</f>
        <v>#N/A</v>
      </c>
      <c r="PK177" s="21" t="e">
        <f>EXP(-LN(2)/2)*PK176+(1-EXP(-LN(2)/2))/(LN(2)/2)*PE177*PH177*VLOOKUP('Données projet'!$B$28,Paramètres!$A$1:$I$89,3,0)*0.475*44/12</f>
        <v>#N/A</v>
      </c>
      <c r="PL177" s="22" t="e">
        <f t="shared" si="283"/>
        <v>#N/A</v>
      </c>
    </row>
    <row r="178" spans="1:428" x14ac:dyDescent="0.35">
      <c r="A178" s="10">
        <f t="shared" si="326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285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225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projet'!$A$45:$I$65,2,0)</f>
        <v>#N/A</v>
      </c>
      <c r="L178" s="12" t="e">
        <f>VLOOKUP(A178,'Données projet'!$A$45:$I$65,9,0)</f>
        <v>#N/A</v>
      </c>
      <c r="M178" s="12">
        <f t="array" ref="M178">INDEX(L:L,MIN(IF(ISNUMBER(L178:L374),ROW(L178:L374),"")))</f>
        <v>0</v>
      </c>
      <c r="N178" s="13">
        <f>IF('Données projet'!$A$46&gt;35,N177+M178-V177,IF(A178&lt;'Données projet'!$A$46,$K$205^A178,IF(A178='Données projet'!$A$46,'Données projet'!$B$46,N177+M178-V177)))</f>
        <v>-1.1368683772161603E-13</v>
      </c>
      <c r="O178" s="13">
        <f>N178*VLOOKUP('Données projet'!$B$9,Paramètres!$A$1:$I$89,3,0)*VLOOKUP('Données projet'!$B$9,Paramètres!$A$1:$I$89,5,0)</f>
        <v>-6.3550942286383367E-14</v>
      </c>
      <c r="P178" s="13" t="e">
        <f t="shared" si="286"/>
        <v>#NUM!</v>
      </c>
      <c r="Q178" s="20" t="e">
        <f t="shared" si="327"/>
        <v>#NUM!</v>
      </c>
      <c r="R178" s="59" t="e">
        <f t="shared" si="224"/>
        <v>#NUM!</v>
      </c>
      <c r="S178" s="59">
        <f ca="1">AVERAGE(OFFSET($R$3,0,0,'Données projet'!$E$9+1,1))-AVERAGE(OFFSET($H$3,0,0,'Données projet'!$E$9+1,1))</f>
        <v>274.57619581652199</v>
      </c>
      <c r="T178" s="59">
        <f t="shared" si="287"/>
        <v>366.15117322598775</v>
      </c>
      <c r="U178" s="15">
        <f>IF(ISNA(VLOOKUP(A178,'Données projet'!$A$45:$I$65,3,0)),0,VLOOKUP(A178,'Données projet'!$A$45:$I$65,3,0))</f>
        <v>0</v>
      </c>
      <c r="V178" s="15">
        <f>IF(ISNA(VLOOKUP(A178,'Données projet'!$A$45:$I$65,4,0)),0,VLOOKUP(A178,'Données projet'!$A$45:$I$65,4,0))</f>
        <v>0</v>
      </c>
      <c r="W178" s="16">
        <f>IF(ISNA(VLOOKUP(A178,'Données projet'!$A$45:$I$65,5,0)),0%,VLOOKUP(A178,'Données projet'!$A$45:$I$65,5,0)*VLOOKUP('Données projet'!$B$9,Paramètres!$A$1:$I$89,7,0))</f>
        <v>0</v>
      </c>
      <c r="X178" s="16">
        <f>IF(ISNA(VLOOKUP(A178,'Données projet'!$A$45:$I$65,6,0)),0%,VLOOKUP(A178,'Données projet'!$A$45:$I$65,6,0)*VLOOKUP('Données projet'!$B$9,Paramètres!$A$1:$I$89,7,0))</f>
        <v>0</v>
      </c>
      <c r="Y178" s="16">
        <f>IF(ISNA(VLOOKUP(A178,'Données projet'!$A$45:$I$65,7,0)),0%,VLOOKUP(A178,'Données projet'!$A$45:$I$65,7,0))</f>
        <v>0</v>
      </c>
      <c r="Z178" s="21">
        <f>EXP(-LN(2)/35)*Z177+(1-EXP(-LN(2)/35))/(LN(2)/35)*V178*W178*VLOOKUP('Données projet'!$B$9,Paramètres!$A$1:$I$89,3,0)*0.475*44/12</f>
        <v>21.050695586800998</v>
      </c>
      <c r="AA178" s="21">
        <f>EXP(-LN(2)/25)*AA177+(1-EXP(-LN(2)/25))/(LN(2)/25)*Calculateur!V178*Calculateur!X178*VLOOKUP('Données projet'!$B$9,Paramètres!$A$1:$I$89,3,0)*0.475*44/12</f>
        <v>2.0679327405364449</v>
      </c>
      <c r="AB178" s="21">
        <f>EXP(-LN(2)/2)*AB177+(1-EXP(-LN(2)/2))/(LN(2)/2)*V178*Y178*VLOOKUP('Données projet'!$B$9,Paramètres!$A$1:$I$89,3,0)*0.475*44/12</f>
        <v>2.9630208012957204E-17</v>
      </c>
      <c r="AC178" s="22">
        <f t="shared" si="328"/>
        <v>23.118628327337444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projet'!$A$71:$I$91,2,0)</f>
        <v>#N/A</v>
      </c>
      <c r="AG178" s="12" t="e">
        <f>VLOOKUP(A178,'Données projet'!$A$71:$I$91,9,0)</f>
        <v>#N/A</v>
      </c>
      <c r="AH178" s="12">
        <f t="array" ref="AH178">INDEX(AG:AG,MIN(IF(ISNUMBER(AG178:AG374),ROW(AG178:AG374),"")))</f>
        <v>0</v>
      </c>
      <c r="AI178" s="13">
        <f>IF('Données projet'!$A$72&gt;35,AI177+AH178-AQ177,IF(A178&lt;'Données projet'!$A$72,$AF$205^A178,IF(A178='Données projet'!$A$72,'Données projet'!$B$72,AI177+AH178-AQ177)))</f>
        <v>5.6843418860808015E-13</v>
      </c>
      <c r="AJ178" s="13">
        <f>AI178*VLOOKUP('Données projet'!$B$10,Paramètres!$A$1:$I$89,3,0)*VLOOKUP('Données projet'!$B$10,Paramètres!$A$1:$I$89,5,0)</f>
        <v>5.1431925385259092E-13</v>
      </c>
      <c r="AK178" s="13">
        <f t="shared" si="329"/>
        <v>6.3855359115685756E-12</v>
      </c>
      <c r="AL178" s="20">
        <f t="shared" si="330"/>
        <v>1.2017247746441865E-11</v>
      </c>
      <c r="AM178" s="59">
        <f t="shared" si="228"/>
        <v>293.33333333334531</v>
      </c>
      <c r="AN178" s="59">
        <f ca="1">AVERAGE(OFFSET($AM$3,0,0,'Données projet'!$E$10+1,1))-AVERAGE(OFFSET($H$3,0,0,'Données projet'!$E$10+1,1))</f>
        <v>270.87836509222456</v>
      </c>
      <c r="AO178" s="59">
        <f t="shared" si="289"/>
        <v>205.24998237949734</v>
      </c>
      <c r="AP178" s="15">
        <f>IF(ISNA(VLOOKUP(A178,'Données projet'!$A$71:$I$91,3,0)),0,VLOOKUP(A178,'Données projet'!$A$71:$I$91,3,0))</f>
        <v>0</v>
      </c>
      <c r="AQ178" s="15">
        <f>IF(ISNA(VLOOKUP(A178,'Données projet'!$A$71:$I$91,4,0)),0,VLOOKUP(A178,'Données projet'!$A$71:$I$91,4,0))</f>
        <v>0</v>
      </c>
      <c r="AR178" s="16">
        <f>IF(ISNA(VLOOKUP(A178,'Données projet'!$A$71:$I$91,5,0)),0%,VLOOKUP(A178,'Données projet'!$A$71:$I$91,5,0)*VLOOKUP('Données projet'!$B$10,Paramètres!$A$1:$I$89,7,0))</f>
        <v>0</v>
      </c>
      <c r="AS178" s="16">
        <f>IF(ISNA(VLOOKUP(A178,'Données projet'!$A$71:$I$91,6,0)),0%,VLOOKUP(A178,'Données projet'!$A$71:$I$91,6,0)*VLOOKUP('Données projet'!$B$10,Paramètres!$A$1:$I$89,7,0))</f>
        <v>0</v>
      </c>
      <c r="AT178" s="16">
        <f>IF(ISNA(VLOOKUP(A178,'Données projet'!$A$71:$I$91,7,0)),0%,VLOOKUP(A178,'Données projet'!$A$71:$I$91,7,0))</f>
        <v>0</v>
      </c>
      <c r="AU178" s="21">
        <f>EXP(-LN(2)/35)*AU177+(1-EXP(-LN(2)/35))/(LN(2)/35)*AQ178*AR178*VLOOKUP('Données projet'!$B$10,Paramètres!$A$1:$I$89,3,0)*0.475*44/12</f>
        <v>71.535626839549394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331"/>
        <v>71.535626839549394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projet'!$A$97:$I$117,2,0)</f>
        <v>#N/A</v>
      </c>
      <c r="BB178" s="12" t="e">
        <f>VLOOKUP(A178,'Données projet'!$A$97:$I$117,9,0)</f>
        <v>#N/A</v>
      </c>
      <c r="BC178" s="12">
        <f t="array" ref="BC178">INDEX(BB:BB,MIN(IF(ISNUMBER(BB178:BB374),ROW(BB178:BB374),"")))</f>
        <v>0</v>
      </c>
      <c r="BD178" s="12">
        <f>IF('Données projet'!$A$98&gt;35,BD177+BC178-BL177,IF(A178&lt;'Données projet'!$A$98,$BA$205^A178,IF(A178='Données projet'!$A$98,'Données projet'!$B$98,BD177+BC178-BL177)))</f>
        <v>-1.1368683772161603E-13</v>
      </c>
      <c r="BE178" s="13">
        <f>BD178*VLOOKUP('Données projet'!$B$11,Paramètres!$A$1:$I$89,3,0)*VLOOKUP('Données projet'!$B$11,Paramètres!$A$1:$I$89,5,0)</f>
        <v>-5.0249582272954292E-14</v>
      </c>
      <c r="BF178" s="13" t="e">
        <f t="shared" si="332"/>
        <v>#NUM!</v>
      </c>
      <c r="BG178" s="20" t="e">
        <f t="shared" si="333"/>
        <v>#NUM!</v>
      </c>
      <c r="BH178" s="59" t="e">
        <f t="shared" si="231"/>
        <v>#NUM!</v>
      </c>
      <c r="BI178" s="59">
        <f ca="1">AVERAGE(OFFSET($BH$3,0,0,'Données projet'!$E$11+1,1))-AVERAGE(OFFSET($H$3,0,0,'Données projet'!$E$11+1,1))</f>
        <v>211.31057120485542</v>
      </c>
      <c r="BJ178" s="59">
        <f t="shared" si="291"/>
        <v>283.33292006714777</v>
      </c>
      <c r="BK178" s="15">
        <f>IF(ISNA(VLOOKUP(A178,'Données projet'!$A$97:$I$117,3,0)),0,VLOOKUP(A178,'Données projet'!$A$97:$I$117,3,0))</f>
        <v>0</v>
      </c>
      <c r="BL178" s="15">
        <f>IF(ISNA(VLOOKUP(A178,'Données projet'!$A$97:$I$117,4,0)),0,VLOOKUP(A178,'Données projet'!$A$97:$I$117,4,0))</f>
        <v>0</v>
      </c>
      <c r="BM178" s="16">
        <f>IF(ISNA(VLOOKUP(A178,'Données projet'!$A$97:$I$117,5,0)),0%,VLOOKUP(A178,'Données projet'!$A$97:$I$117,5,0)*VLOOKUP('Données projet'!$B$11,Paramètres!$A$1:$I$89,7,0))</f>
        <v>0</v>
      </c>
      <c r="BN178" s="16">
        <f>IF(ISNA(VLOOKUP(A178,'Données projet'!$A$97:$I$117,6,0)),0%,VLOOKUP(A178,'Données projet'!$A$97:$I$117,6,0)*VLOOKUP('Données projet'!$B$11,Paramètres!$A$1:$I$89,7,0))</f>
        <v>0</v>
      </c>
      <c r="BO178" s="16">
        <f>IF(ISNA(VLOOKUP(A178,'Données projet'!$A$97:$I$117,7,0)),0%,VLOOKUP(A178,'Données projet'!$A$97:$I$117,7,0))</f>
        <v>0</v>
      </c>
      <c r="BP178" s="21">
        <f>EXP(-LN(2)/35)*BP177+(1-EXP(-LN(2)/35))/(LN(2)/35)*BL178*BM178*VLOOKUP('Données projet'!$B$11,Paramètres!$A$1:$I$89,3,0)*0.475*44/12</f>
        <v>16.644736045377545</v>
      </c>
      <c r="BQ178" s="21">
        <f>EXP(-LN(2)/25)*BQ177+(1-EXP(-LN(2)/25))/(LN(2)/25)*Calculateur!BL178*Calculateur!BN178*VLOOKUP('Données projet'!$B$11,Paramètres!$A$1:$I$89,3,0)*0.475*44/12</f>
        <v>1.6351096087962578</v>
      </c>
      <c r="BR178" s="21">
        <f>EXP(-LN(2)/2)*BR177+(1-EXP(-LN(2)/2))/(LN(2)/2)*BL178*BO178*VLOOKUP('Données projet'!$B$11,Paramètres!$A$1:$I$89,3,0)*0.475*44/12</f>
        <v>2.3428536568384762E-17</v>
      </c>
      <c r="BS178" s="22">
        <f t="shared" si="334"/>
        <v>18.279845654173805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projet'!$A$123:$I$143,2,0)</f>
        <v>#N/A</v>
      </c>
      <c r="BW178" s="12" t="e">
        <f>VLOOKUP(A178,'Données projet'!$A$123:$I$143,9,0)</f>
        <v>#N/A</v>
      </c>
      <c r="BX178" s="12">
        <f t="array" ref="BX178">INDEX(BW:BW,MIN(IF(ISNUMBER(BW178:BW374),ROW(BW178:BW374),"")))</f>
        <v>0</v>
      </c>
      <c r="BY178" s="12">
        <f>IF('Données projet'!$A$124&gt;35,BY177+BX178-CG177,IF(A178&lt;'Données projet'!$A$124,$BV$205^A178,IF(A178='Données projet'!$A$124,'Données projet'!$B$124,BY177+BX178-CG177)))</f>
        <v>0</v>
      </c>
      <c r="BZ178" s="13">
        <f>BY178*VLOOKUP('Données projet'!$B$12,Paramètres!$A$1:$I$89,3,0)*VLOOKUP('Données projet'!$B$12,Paramètres!$A$1:$I$89,5,0)</f>
        <v>0</v>
      </c>
      <c r="CA178" s="13" t="e">
        <f t="shared" si="335"/>
        <v>#NUM!</v>
      </c>
      <c r="CB178" s="20" t="e">
        <f t="shared" si="336"/>
        <v>#NUM!</v>
      </c>
      <c r="CC178" s="59" t="e">
        <f t="shared" si="234"/>
        <v>#NUM!</v>
      </c>
      <c r="CD178" s="59">
        <f ca="1">AVERAGE(OFFSET($CC$3,0,0,'Données projet'!$E$12+1,1))-AVERAGE(OFFSET($H$3,0,0,'Données projet'!$E$12+1,1))</f>
        <v>322.93502595881938</v>
      </c>
      <c r="CE178" s="59">
        <f t="shared" si="293"/>
        <v>302.67072119588164</v>
      </c>
      <c r="CF178" s="15">
        <f>IF(ISNA(VLOOKUP(A178,'Données projet'!$A$123:$I$143,3,0)),0,VLOOKUP(A178,'Données projet'!$A$123:$I$143,3,0))</f>
        <v>0</v>
      </c>
      <c r="CG178" s="15">
        <f>IF(ISNA(VLOOKUP(A178,'Données projet'!$A$123:$I$143,4,0)),0,VLOOKUP(A178,'Données projet'!$A$123:$I$143,4,0))</f>
        <v>0</v>
      </c>
      <c r="CH178" s="16">
        <f>IF(ISNA(VLOOKUP(A178,'Données projet'!$A$123:$I$143,5,0)),0%,VLOOKUP(A178,'Données projet'!$A$123:$I$143,5,0)*VLOOKUP('Données projet'!$B$12,Paramètres!$A$1:$I$89,7,0))</f>
        <v>0</v>
      </c>
      <c r="CI178" s="16">
        <f>IF(ISNA(VLOOKUP(A178,'Données projet'!$A$123:$I$143,6,0)),0%,VLOOKUP(A178,'Données projet'!$A$123:$I$143,6,0)*VLOOKUP('Données projet'!$B$12,Paramètres!$A$1:$I$89,7,0))</f>
        <v>0</v>
      </c>
      <c r="CJ178" s="16">
        <f>IF(ISNA(VLOOKUP(A178,'Données projet'!$A$123:$I$143,7,0)),0%,VLOOKUP(A178,'Données projet'!$A$123:$I$143,7,0))</f>
        <v>0</v>
      </c>
      <c r="CK178" s="21">
        <f>EXP(-LN(2)/35)*CK177+(1-EXP(-LN(2)/35))/(LN(2)/35)*CG178*CH178*VLOOKUP('Données projet'!$B$12,Paramètres!$A$1:$I$89,3,0)*0.475*44/12</f>
        <v>26.519086457967116</v>
      </c>
      <c r="CL178" s="21">
        <f>EXP(-LN(2)/25)*CL177+(1-EXP(-LN(2)/25))/(LN(2)/25)*Calculateur!CG178*Calculateur!CI178*VLOOKUP('Données projet'!$B$12,Paramètres!$A$1:$I$89,3,0)*0.475*44/12</f>
        <v>5.2333400531797647</v>
      </c>
      <c r="CM178" s="21">
        <f>EXP(-LN(2)/2)*CM177+(1-EXP(-LN(2)/2))/(LN(2)/2)*CG178*CJ178*VLOOKUP('Données projet'!$B$12,Paramètres!$A$1:$I$89,3,0)*0.475*44/12</f>
        <v>0</v>
      </c>
      <c r="CN178" s="22">
        <f t="shared" si="337"/>
        <v>31.752426511146879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projet'!$A$149:$I$169,2,0)</f>
        <v>#N/A</v>
      </c>
      <c r="CR178" s="12" t="e">
        <f>VLOOKUP(A178,'Données projet'!$A$149:$I$169,9,0)</f>
        <v>#N/A</v>
      </c>
      <c r="CS178" s="12">
        <f t="array" ref="CS178">INDEX(CR:CR,MIN(IF(ISNUMBER(CR178:CR374),ROW(CR178:CR374),"")))</f>
        <v>0</v>
      </c>
      <c r="CT178" s="12">
        <f>IF('Données projet'!$A$150&gt;35,CT177+CS178-DB177,IF(A178&lt;'Données projet'!$A$150,$CQ$205^A178,IF(A178='Données projet'!$A$150,'Données projet'!$B$150,CT177+CS178-DB177)))</f>
        <v>-4.5474735088646412E-13</v>
      </c>
      <c r="CU178" s="17">
        <f>CT178*VLOOKUP('Données projet'!$B$13,Paramètres!$A$1:$I$89,3,0)*VLOOKUP('Données projet'!$B$13,Paramètres!$A$1:$I$89,5,0)</f>
        <v>-4.6111381379887462E-13</v>
      </c>
      <c r="CV178" s="13" t="e">
        <f t="shared" si="338"/>
        <v>#NUM!</v>
      </c>
      <c r="CW178" s="20" t="e">
        <f t="shared" si="339"/>
        <v>#NUM!</v>
      </c>
      <c r="CX178" s="59" t="e">
        <f t="shared" si="237"/>
        <v>#NUM!</v>
      </c>
      <c r="CY178" s="59">
        <f ca="1">AVERAGE(OFFSET($CX$3,0,0,'Données projet'!$E$13+1,1))-AVERAGE(OFFSET($H$3,0,0,'Données projet'!$E$13+1,1))</f>
        <v>250.31277422753283</v>
      </c>
      <c r="CZ178" s="59">
        <f t="shared" si="295"/>
        <v>159.20429420478047</v>
      </c>
      <c r="DA178" s="15">
        <f>IF(ISNA(VLOOKUP(A178,'Données projet'!$A$149:$I$169,3,0)),0,VLOOKUP(A178,'Données projet'!$A$149:$I$169,3,0))</f>
        <v>0</v>
      </c>
      <c r="DB178" s="15">
        <f>IF(ISNA(VLOOKUP(A178,'Données projet'!$A$149:$I$169,4,0)),0,VLOOKUP(A178,'Données projet'!$A$149:$I$169,4,0))</f>
        <v>0</v>
      </c>
      <c r="DC178" s="16">
        <f>IF(ISNA(VLOOKUP(A178,'Données projet'!$A$149:$I$169,5,0)),0%,VLOOKUP(A178,'Données projet'!$A$149:$I$169,5,0)*VLOOKUP('Données projet'!$B$13,Paramètres!$A$1:$I$89,7,0))</f>
        <v>0</v>
      </c>
      <c r="DD178" s="16">
        <f>IF(ISNA(VLOOKUP(A178,'Données projet'!$A$149:$I$169,6,0)),0%,VLOOKUP(A178,'Données projet'!$A$149:$I$169,6,0)*VLOOKUP('Données projet'!$B$13,Paramètres!$A$1:$I$89,7,0))</f>
        <v>0</v>
      </c>
      <c r="DE178" s="16">
        <f>IF(ISNA(VLOOKUP(A178,'Données projet'!$A$149:$I$169,7,0)),0%,VLOOKUP(A178,'Données projet'!$A$149:$I$169,7,0))</f>
        <v>0</v>
      </c>
      <c r="DF178" s="21">
        <f>EXP(-LN(2)/35)*DF177+(1-EXP(-LN(2)/35))/(LN(2)/35)*DB178*DC178*VLOOKUP('Données projet'!$B$13,Paramètres!$A$1:$I$89,3,0)*0.475*44/12</f>
        <v>120.72278262404146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340"/>
        <v>120.72278262404146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projet'!$A$175:$I$195,2,0)</f>
        <v>#N/A</v>
      </c>
      <c r="DM178" s="12" t="e">
        <f>VLOOKUP(A178,'Données projet'!$A$175:$I$195,9,0)</f>
        <v>#N/A</v>
      </c>
      <c r="DN178" s="12">
        <f t="array" ref="DN178">INDEX(DM:DM,MIN(IF(ISNUMBER(DM178:DM374),ROW(DM178:DM374),"")))</f>
        <v>0</v>
      </c>
      <c r="DO178" s="12">
        <f>IF('Données projet'!$A$176&gt;35,DO177+DN178-DW177,IF(A178&lt;'Données projet'!$A$176,$DL$205^A178,IF(A178='Données projet'!$A$176,'Données projet'!$B$176,DO177+DN178-DW177)))</f>
        <v>-2.8421709430404007E-13</v>
      </c>
      <c r="DP178" s="17">
        <f>DO178*VLOOKUP('Données projet'!$B$14,Paramètres!$A$1:$I$89,3,0)*VLOOKUP('Données projet'!$B$14,Paramètres!$A$1:$I$89,5,0)</f>
        <v>-2.0838797354372215E-13</v>
      </c>
      <c r="DQ178" s="13" t="e">
        <f t="shared" si="341"/>
        <v>#NUM!</v>
      </c>
      <c r="DR178" s="20" t="e">
        <f t="shared" si="342"/>
        <v>#NUM!</v>
      </c>
      <c r="DS178" s="59" t="e">
        <f t="shared" si="240"/>
        <v>#NUM!</v>
      </c>
      <c r="DT178" s="59">
        <f ca="1">AVERAGE(OFFSET($DS$3,0,0,'Données projet'!$E$14+1,1))-AVERAGE(OFFSET($H$3,0,0,'Données projet'!$E$14+1,1))</f>
        <v>296.91321813251051</v>
      </c>
      <c r="DU178" s="59">
        <f t="shared" si="297"/>
        <v>291.0718079639509</v>
      </c>
      <c r="DV178" s="15">
        <f>IF(ISNA(VLOOKUP(A178,'Données projet'!$A$175:$I$195,3,0)),0,VLOOKUP(A178,'Données projet'!$A$175:$I$195,3,0))</f>
        <v>0</v>
      </c>
      <c r="DW178" s="15">
        <f>IF(ISNA(VLOOKUP(A178,'Données projet'!$A$175:$I$195,4,0)),0,VLOOKUP(A178,'Données projet'!$A$175:$I$195,4,0))</f>
        <v>0</v>
      </c>
      <c r="DX178" s="16">
        <f>IF(ISNA(VLOOKUP(A178,'Données projet'!$A$175:$I$195,5,0)),0%,VLOOKUP(A178,'Données projet'!$A$175:$I$195,5,0)*VLOOKUP('Données projet'!$B$14,Paramètres!$A$1:$I$89,7,0))</f>
        <v>0</v>
      </c>
      <c r="DY178" s="16">
        <f>IF(ISNA(VLOOKUP(A178,'Données projet'!$A$175:$I$195,6,0)),0%,VLOOKUP(A178,'Données projet'!$A$175:$I$195,6,0)*VLOOKUP('Données projet'!$B$14,Paramètres!$A$1:$I$89,7,0))</f>
        <v>0</v>
      </c>
      <c r="DZ178" s="16">
        <f>IF(ISNA(VLOOKUP(A178,'Données projet'!$A$175:$I$195,7,0)),0%,VLOOKUP(A178,'Données projet'!$A$175:$I$195,7,0))</f>
        <v>0</v>
      </c>
      <c r="EA178" s="21">
        <f>EXP(-LN(2)/35)*EA177+(1-EXP(-LN(2)/35))/(LN(2)/35)*DW178*DX178*VLOOKUP('Données projet'!$B$14,Paramètres!$A$1:$I$89,3,0)*0.475*44/12</f>
        <v>26.431015432934437</v>
      </c>
      <c r="EB178" s="21">
        <f>EXP(-LN(2)/25)*EB177+(1-EXP(-LN(2)/25))/(LN(2)/25)*Calculateur!DW178*Calculateur!DY178*VLOOKUP('Données projet'!$B$14,Paramètres!$A$1:$I$89,3,0)*0.475*44/12</f>
        <v>0.38444590666130868</v>
      </c>
      <c r="EC178" s="21">
        <f>EXP(-LN(2)/2)*EC177+(1-EXP(-LN(2)/2))/(LN(2)/2)*DW178*DZ178*VLOOKUP('Données projet'!$B$14,Paramètres!$A$1:$I$89,3,0)*0.475*44/12</f>
        <v>0</v>
      </c>
      <c r="ED178" s="22">
        <f t="shared" si="343"/>
        <v>26.815461339595746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projet'!$A$201:$I$221,2,0)</f>
        <v>#N/A</v>
      </c>
      <c r="EH178" s="12" t="e">
        <f>VLOOKUP(A178,'Données projet'!$A$201:$I$221,9,0)</f>
        <v>#N/A</v>
      </c>
      <c r="EI178" s="12">
        <f t="array" ref="EI178">INDEX(EH:EH,MIN(IF(ISNUMBER(EH178:EH374),ROW(EH178:EH374),"")))</f>
        <v>0</v>
      </c>
      <c r="EJ178" s="12">
        <f>IF('Données projet'!$A$202&gt;35,EJ177+EI178-ER177,IF(A178&lt;'Données projet'!$A$202,$EG$205^A178,IF(A178='Données projet'!$A$202,'Données projet'!$B$202,EJ177+EI178-ER177)))</f>
        <v>5.1159076974727213E-13</v>
      </c>
      <c r="EK178" s="17">
        <f>EJ178*VLOOKUP('Données projet'!$B$15,Paramètres!$A$1:$I$89,3,0)*VLOOKUP('Données projet'!$B$15,Paramètres!$A$1:$I$89,5,0)</f>
        <v>2.3942448024172334E-13</v>
      </c>
      <c r="EL178" s="13">
        <f t="shared" si="344"/>
        <v>3.2492669905861755E-12</v>
      </c>
      <c r="EM178" s="20">
        <f t="shared" si="345"/>
        <v>6.0761376450252565E-12</v>
      </c>
      <c r="EN178" s="59">
        <f t="shared" si="243"/>
        <v>293.3333333333394</v>
      </c>
      <c r="EO178" s="59">
        <f ca="1">AVERAGE(OFFSET($EN$3,0,0,'Données projet'!$E$15+1,1))-AVERAGE(OFFSET($H$3,0,0,'Données projet'!$E$15+1,1))</f>
        <v>147.64256291235483</v>
      </c>
      <c r="EP178" s="59">
        <f t="shared" si="299"/>
        <v>70.859031694091868</v>
      </c>
      <c r="EQ178" s="15">
        <f>IF(ISNA(VLOOKUP(A178,'Données projet'!$A$201:$I$221,3,0)),0,VLOOKUP(A178,'Données projet'!$A$201:$I$221,3,0))</f>
        <v>0</v>
      </c>
      <c r="ER178" s="15">
        <f>IF(ISNA(VLOOKUP(A178,'Données projet'!$A$201:$I$221,4,0)),0,VLOOKUP(A178,'Données projet'!$A$201:$I$221,4,0))</f>
        <v>0</v>
      </c>
      <c r="ES178" s="16">
        <f>IF(ISNA(VLOOKUP(A178,'Données projet'!$A$201:$I$221,5,0)),0%,VLOOKUP(A178,'Données projet'!$A$201:$I$221,5,0)*VLOOKUP('Données projet'!$B$15,Paramètres!$A$1:$I$89,7,0))</f>
        <v>0</v>
      </c>
      <c r="ET178" s="16">
        <f>IF(ISNA(VLOOKUP(A178,'Données projet'!$A$201:$I$221,6,0)),0%,VLOOKUP(A178,'Données projet'!$A$201:$I$221,6,0)*VLOOKUP('Données projet'!$B$15,Paramètres!$A$1:$I$89,7,0))</f>
        <v>0</v>
      </c>
      <c r="EU178" s="16">
        <f>IF(ISNA(VLOOKUP(A178,'Données projet'!$A$201:$I$221,7,0)),0%,VLOOKUP(A178,'Données projet'!$A$201:$I$221,7,0))</f>
        <v>0</v>
      </c>
      <c r="EV178" s="21">
        <f>EXP(-LN(2)/35)*EV177+(1-EXP(-LN(2)/35))/(LN(2)/35)*ER178*ES178*VLOOKUP('Données projet'!$B$15,Paramètres!$A$1:$I$89,3,0)*0.475*44/12</f>
        <v>36.184476755539613</v>
      </c>
      <c r="EW178" s="21">
        <f>EXP(-LN(2)/25)*EW177+(1-EXP(-LN(2)/25))/(LN(2)/25)*Calculateur!ER178*Calculateur!ET178*VLOOKUP('Données projet'!$B$15,Paramètres!$A$1:$I$89,3,0)*0.475*44/12</f>
        <v>5.3337996322209991</v>
      </c>
      <c r="EX178" s="21">
        <f>EXP(-LN(2)/2)*EX177+(1-EXP(-LN(2)/2))/(LN(2)/2)*ER178*EU178*VLOOKUP('Données projet'!$B$15,Paramètres!$A$1:$I$89,3,0)*0.475*44/12</f>
        <v>2.1360685728389489E-9</v>
      </c>
      <c r="EY178" s="22">
        <f t="shared" si="346"/>
        <v>41.518276389896684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projet'!$A$227:$I$247,2,0)</f>
        <v>#N/A</v>
      </c>
      <c r="FC178" s="12" t="e">
        <f>VLOOKUP(A178,'Données projet'!$A$227:$I$247,9,0)</f>
        <v>#N/A</v>
      </c>
      <c r="FD178" s="12">
        <f t="array" ref="FD178">INDEX(FC:FC,MIN(IF(ISNUMBER(FC178:FC374),ROW(FC178:FC374),"")))</f>
        <v>0</v>
      </c>
      <c r="FE178" s="12">
        <f>IF('Données projet'!$A$228&gt;35,FE177+FD178-FM177,IF(A178&lt;'Données projet'!$A$228,$FB$205^A178,IF(A178='Données projet'!$A$228,'Données projet'!$B$228,FE177+FD178-FM177)))</f>
        <v>8.5265128291212022E-14</v>
      </c>
      <c r="FF178" s="17">
        <f>FE178*VLOOKUP('Données projet'!$B$16,Paramètres!$A$1:$I$89,3,0)*VLOOKUP('Données projet'!$B$16,Paramètres!$A$1:$I$89,5,0)</f>
        <v>8.9119112089974823E-14</v>
      </c>
      <c r="FG178" s="13">
        <f t="shared" si="347"/>
        <v>1.3568952080113142E-12</v>
      </c>
      <c r="FH178" s="20">
        <f t="shared" si="348"/>
        <v>2.5184749408430782E-12</v>
      </c>
      <c r="FI178" s="59">
        <f t="shared" si="246"/>
        <v>293.33333333333582</v>
      </c>
      <c r="FJ178" s="59">
        <f ca="1">AVERAGE(OFFSET($FI$3,0,0,'Données projet'!$E$16+1,1))-AVERAGE(OFFSET($H$3,0,0,'Données projet'!$E$16+1,1))</f>
        <v>259.03906550253788</v>
      </c>
      <c r="FK178" s="59">
        <f t="shared" si="301"/>
        <v>235.54542903570831</v>
      </c>
      <c r="FL178" s="15">
        <f>IF(ISNA(VLOOKUP(A178,'Données projet'!$A$227:$I$247,3,0)),0,VLOOKUP(A178,'Données projet'!$A$227:$I$247,3,0))</f>
        <v>0</v>
      </c>
      <c r="FM178" s="15">
        <f>IF(ISNA(VLOOKUP(A178,'Données projet'!$A$227:$I$247,4,0)),0,VLOOKUP(A178,'Données projet'!$A$227:$I$247,4,0))</f>
        <v>0</v>
      </c>
      <c r="FN178" s="16">
        <f>IF(ISNA(VLOOKUP(A178,'Données projet'!$A$227:$I$247,5,0)),0%,VLOOKUP(A178,'Données projet'!$A$227:$I$247,5,0)*VLOOKUP('Données projet'!$B$16,Paramètres!$A$1:$I$89,7,0))</f>
        <v>0</v>
      </c>
      <c r="FO178" s="16">
        <f>IF(ISNA(VLOOKUP(A178,'Données projet'!$A$227:$I$247,6,0)),0%,VLOOKUP(A178,'Données projet'!$A$227:$I$247,6,0)*VLOOKUP('Données projet'!$B$16,Paramètres!$A$1:$I$89,7,0))</f>
        <v>0</v>
      </c>
      <c r="FP178" s="16">
        <f>IF(ISNA(VLOOKUP(A178,'Données projet'!$A$227:$I$247,7,0)),0%,VLOOKUP(A178,'Données projet'!$A$227:$I$247,7,0))</f>
        <v>0</v>
      </c>
      <c r="FQ178" s="21">
        <f>EXP(-LN(2)/35)*FQ177+(1-EXP(-LN(2)/35))/(LN(2)/35)*FM178*FN178*VLOOKUP('Données projet'!$B$16,Paramètres!$A$1:$I$89,3,0)*0.475*44/12</f>
        <v>15.970844657935011</v>
      </c>
      <c r="FR178" s="21">
        <f>EXP(-LN(2)/25)*FR177+(1-EXP(-LN(2)/25))/(LN(2)/25)*Calculateur!FM178*Calculateur!FO178*VLOOKUP('Données projet'!$B$16,Paramètres!$A$1:$I$89,3,0)*0.475*44/12</f>
        <v>7.3375729800458336</v>
      </c>
      <c r="FS178" s="21">
        <f>EXP(-LN(2)/2)*FS177+(1-EXP(-LN(2)/2))/(LN(2)/2)*FM178*FP178*VLOOKUP('Données projet'!$B$16,Paramètres!$A$1:$I$89,3,0)*0.475*44/12</f>
        <v>0</v>
      </c>
      <c r="FT178" s="22">
        <f t="shared" si="349"/>
        <v>23.308417637980845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projet'!$A$253:$I$273,2,0)</f>
        <v>#N/A</v>
      </c>
      <c r="FX178" s="12" t="e">
        <f>VLOOKUP(A178,'Données projet'!$A$253:$I$273,9,0)</f>
        <v>#N/A</v>
      </c>
      <c r="FY178" s="12">
        <f t="array" ref="FY178">INDEX(FX:FX,MIN(IF(ISNUMBER(FX178:FX374),ROW(FX178:FX374),"")))</f>
        <v>0</v>
      </c>
      <c r="FZ178" s="12">
        <f>IF('Données projet'!$A$254&gt;35,FZ177+FY178-GH177,IF(A178&lt;'Données projet'!$A$254,$FW$205^A178,IF(A178='Données projet'!$A$254,'Données projet'!$B$254,FZ177+FY178-GH177)))</f>
        <v>-1.7053025658242404E-13</v>
      </c>
      <c r="GA178" s="17">
        <f>FZ178*VLOOKUP('Données projet'!$B$17,Paramètres!$A$1:$I$89,3,0)*VLOOKUP('Données projet'!$B$17,Paramètres!$A$1:$I$89,5,0)</f>
        <v>-1.4897523215040567E-13</v>
      </c>
      <c r="GB178" s="13" t="e">
        <f t="shared" si="350"/>
        <v>#NUM!</v>
      </c>
      <c r="GC178" s="20" t="e">
        <f t="shared" si="351"/>
        <v>#NUM!</v>
      </c>
      <c r="GD178" s="59" t="e">
        <f t="shared" si="249"/>
        <v>#NUM!</v>
      </c>
      <c r="GE178" s="59">
        <f ca="1">AVERAGE(OFFSET($GD$3,0,0,'Données projet'!$E$17+1,1))-AVERAGE(OFFSET($H$3,0,0,'Données projet'!$E$17+1,1))</f>
        <v>245.1983232777614</v>
      </c>
      <c r="GF178" s="59">
        <f t="shared" si="303"/>
        <v>242.34010522344573</v>
      </c>
      <c r="GG178" s="15">
        <f>IF(ISNA(VLOOKUP(A178,'Données projet'!$A$253:$I$273,3,0)),0,VLOOKUP(A178,'Données projet'!$A$253:$I$273,3,0))</f>
        <v>0</v>
      </c>
      <c r="GH178" s="15">
        <f>IF(ISNA(VLOOKUP(A178,'Données projet'!$A$253:$I$273,4,0)),0,VLOOKUP(A178,'Données projet'!$A$253:$I$273,4,0))</f>
        <v>0</v>
      </c>
      <c r="GI178" s="16">
        <f>IF(ISNA(VLOOKUP(A178,'Données projet'!$A$253:$I$273,5,0)),0%,VLOOKUP(A178,'Données projet'!$A$253:$I$273,5,0)*VLOOKUP('Données projet'!$B$17,Paramètres!$A$1:$I$89,7,0))</f>
        <v>0</v>
      </c>
      <c r="GJ178" s="16">
        <f>IF(ISNA(VLOOKUP(A178,'Données projet'!$A$253:$I$273,6,0)),0%,VLOOKUP(A178,'Données projet'!$A$253:$I$273,6,0)*VLOOKUP('Données projet'!$B$17,Paramètres!$A$1:$I$89,7,0))</f>
        <v>0</v>
      </c>
      <c r="GK178" s="16">
        <f>IF(ISNA(VLOOKUP(A178,'Données projet'!$A$253:$I$273,7,0)),0%,VLOOKUP(A178,'Données projet'!$A$253:$I$273,7,0))</f>
        <v>0</v>
      </c>
      <c r="GL178" s="21">
        <f>EXP(-LN(2)/35)*GL177+(1-EXP(-LN(2)/35))/(LN(2)/35)*GH178*GI178*VLOOKUP('Données projet'!$B$17,Paramètres!$A$1:$I$89,3,0)*0.475*44/12</f>
        <v>18.775919131971946</v>
      </c>
      <c r="GM178" s="21">
        <f>EXP(-LN(2)/25)*GM177+(1-EXP(-LN(2)/25))/(LN(2)/25)*Calculateur!GH178*Calculateur!GJ178*VLOOKUP('Données projet'!$B$17,Paramètres!$A$1:$I$89,3,0)*0.475*44/12</f>
        <v>1.5634580467813799</v>
      </c>
      <c r="GN178" s="21">
        <f>EXP(-LN(2)/2)*GN177+(1-EXP(-LN(2)/2))/(LN(2)/2)*GH178*GK178*VLOOKUP('Données projet'!$B$17,Paramètres!$A$1:$I$89,3,0)*0.475*44/12</f>
        <v>0</v>
      </c>
      <c r="GO178" s="21">
        <f t="shared" si="352"/>
        <v>20.339377178753328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projet'!$A$279:$I$299,2,0)</f>
        <v>#N/A</v>
      </c>
      <c r="GS178" s="12" t="e">
        <f>VLOOKUP(A178,'Données projet'!$A$279:$I$299,9,0)</f>
        <v>#N/A</v>
      </c>
      <c r="GT178" s="12">
        <f t="array" ref="GT178">INDEX(GS:GS,MIN(IF(ISNUMBER(GS178:GS374),ROW(GS178:GS374),"")))</f>
        <v>0</v>
      </c>
      <c r="GU178" s="12">
        <f>IF('Données projet'!$A$280&gt;35,GU177+GT178-HC177,IF(A178&lt;'Données projet'!$A$280,$GR$205^A178,IF(A178='Données projet'!$A$280,'Données projet'!$B$280,GU177+GT178-HC177)))</f>
        <v>-1.1368683772161603E-13</v>
      </c>
      <c r="GV178" s="17">
        <f>GU178*VLOOKUP('Données projet'!$B$18,Paramètres!$A$1:$I$89,3,0)*VLOOKUP('Données projet'!$B$18,Paramètres!$A$1:$I$89,5,0)</f>
        <v>-4.5815795601811263E-14</v>
      </c>
      <c r="GW178" s="13" t="e">
        <f t="shared" si="353"/>
        <v>#NUM!</v>
      </c>
      <c r="GX178" s="20" t="e">
        <f t="shared" si="354"/>
        <v>#NUM!</v>
      </c>
      <c r="GY178" s="59" t="e">
        <f t="shared" si="252"/>
        <v>#NUM!</v>
      </c>
      <c r="GZ178" s="59">
        <f ca="1">AVERAGE(OFFSET($GY$3,0,0,'Données projet'!$E$18+1,1))-AVERAGE(OFFSET($H$3,0,0,'Données projet'!$E$18+1,1))</f>
        <v>324.36162935850876</v>
      </c>
      <c r="HA178" s="59">
        <f t="shared" si="305"/>
        <v>265.23571072429735</v>
      </c>
      <c r="HB178" s="15">
        <f>IF(ISNA(VLOOKUP(A178,'Données projet'!$A$279:$I$299,3,0)),0,VLOOKUP(A178,'Données projet'!$A$279:$I$299,3,0))</f>
        <v>0</v>
      </c>
      <c r="HC178" s="15">
        <f>IF(ISNA(VLOOKUP(A178,'Données projet'!$A$279:$I$299,4,0)),0,VLOOKUP(A178,'Données projet'!$A$279:$I$299,4,0))</f>
        <v>0</v>
      </c>
      <c r="HD178" s="16">
        <f>IF(ISNA(VLOOKUP(A178,'Données projet'!$A$279:$I$299,5,0)),0%,VLOOKUP(A178,'Données projet'!$A$279:$I$299,5,0)*VLOOKUP('Données projet'!$B$18,Paramètres!$A$1:$I$89,7,0))</f>
        <v>0</v>
      </c>
      <c r="HE178" s="16">
        <f>IF(ISNA(VLOOKUP(A178,'Données projet'!$A$279:$I$299,6,0)),0%,VLOOKUP(A178,'Données projet'!$A$279:$I$299,6,0)*VLOOKUP('Données projet'!$B$18,Paramètres!$A$1:$I$89,7,0))</f>
        <v>0</v>
      </c>
      <c r="HF178" s="16">
        <f>IF(ISNA(VLOOKUP($A178,'Données projet'!$A$279:$I$299,7,0)),0%,VLOOKUP($A178,'Données projet'!$A$279:$I$299,7,0))</f>
        <v>0</v>
      </c>
      <c r="HG178" s="21">
        <f>EXP(-LN(2)/35)*HG177+(1-EXP(-LN(2)/35))/(LN(2)/35)*HC178*HD178*VLOOKUP('Données projet'!$B$18,Paramètres!$A$1:$I$89,3,0)*0.475*44/12</f>
        <v>35.979569435297371</v>
      </c>
      <c r="HH178" s="21">
        <f>EXP(-LN(2)/25)*HH177+(1-EXP(-LN(2)/25))/(LN(2)/25)*Calculateur!HC178*Calculateur!HE178*VLOOKUP('Données projet'!$B$18,Paramètres!$A$1:$I$89,3,0)*0.475*44/12</f>
        <v>1.7388449975931892</v>
      </c>
      <c r="HI178" s="21">
        <f>EXP(-LN(2)/2)*HI177+(1-EXP(-LN(2)/2))/(LN(2)/2)*HC178*HF178*VLOOKUP('Données projet'!$B$18,Paramètres!$A$1:$I$89,3,0)*0.475*44/12</f>
        <v>4.2943710423955729E-14</v>
      </c>
      <c r="HJ178" s="22">
        <f t="shared" si="355"/>
        <v>37.718414432890604</v>
      </c>
      <c r="HK178" s="74">
        <f>('Scénario référence'!$F$8+'Scénario référence'!$F$9+'Scénario référence'!$B$17+'Scénario référence'!$B$9+'Scénario référence'!$B$10)*70+IF((45+25*(1-EXP(-0.0175*$A178)))&lt;70,'Scénario référence'!$B$16*(45+25*(1-EXP(-0.0175*$A178))),70*'Scénario référence'!$B$16)+IF((32+38*(1-EXP(-0.0175*$A178)))&lt;70,'Scénario référence'!$B$18*(32+38*(1-EXP(-0.0175*$A178))),70*'Scénario référence'!$B$18)</f>
        <v>70</v>
      </c>
      <c r="HL178" s="12">
        <f>IF($A178&gt;30,10,('Scénario référence'!$B$16+'Scénario référence'!$B$17+'Scénario référence'!$B$18+'Scénario référence'!$B$9+'Scénario référence'!$B$10)*$A178*10/30+('Scénario référence'!$F$8+'Scénario référence'!$F$9)*10)</f>
        <v>10</v>
      </c>
      <c r="HM178" s="12" t="e">
        <f>VLOOKUP($A178,'Données projet'!$A$304:$I$324,2,0)</f>
        <v>#N/A</v>
      </c>
      <c r="HN178" s="12" t="e">
        <f>VLOOKUP($A178,'Données projet'!$A$304:$I$324,9,0)</f>
        <v>#N/A</v>
      </c>
      <c r="HO178" s="12">
        <f t="array" ref="HO178">INDEX(HN:HN,MIN(IF(ISNUMBER(HN178:HN374),ROW(HN178:HN374),"")))</f>
        <v>0</v>
      </c>
      <c r="HP178" s="12">
        <f>IF('Données projet'!$A$304&gt;35,HP177+HO178-HX177,IF($A178&lt;'Données projet'!$A$304,$CQ$205^$A178,IF($A178='Données projet'!$A$304,'Données projet'!$B$304,HP177+HO178-HX177)))</f>
        <v>0</v>
      </c>
      <c r="HQ178" s="17">
        <f>HP178*VLOOKUP('Données projet'!$B$19,Paramètres!$A$1:$I$89,3,0)*VLOOKUP('Données projet'!$B$19,Paramètres!$A$1:$I$89,5,0)</f>
        <v>0</v>
      </c>
      <c r="HR178" s="13" t="e">
        <f t="shared" si="306"/>
        <v>#NUM!</v>
      </c>
      <c r="HS178" s="14" t="e">
        <f t="shared" si="254"/>
        <v>#NUM!</v>
      </c>
      <c r="HT178" s="59" t="e">
        <f t="shared" si="255"/>
        <v>#NUM!</v>
      </c>
      <c r="HU178" s="59">
        <f ca="1">AVERAGE(OFFSET(HT$3,0,0,'Données projet'!$E$19+1,1))-AVERAGE(OFFSET($H$3,0,0,'Données projet'!$E$19+1,1))</f>
        <v>91.60721429656013</v>
      </c>
      <c r="HV178" s="59">
        <f t="shared" si="307"/>
        <v>258.94957804210856</v>
      </c>
      <c r="HW178" s="15">
        <f>IF(ISNA(VLOOKUP($A178,'Données projet'!$A$304:$I$324,3,0)),0,VLOOKUP($A178,'Données projet'!$A$304:$I$324,3,0))</f>
        <v>0</v>
      </c>
      <c r="HX178" s="15">
        <f>IF(ISNA(VLOOKUP($A178,'Données projet'!$A$304:$I$324,4,0)),0,VLOOKUP($A178,'Données projet'!$A$304:$I$324,4,0))</f>
        <v>0</v>
      </c>
      <c r="HY178" s="16">
        <f>IF(ISNA(VLOOKUP($A178,'Données projet'!$A$304:$I$324,5,0)),0%,VLOOKUP($A178,'Données projet'!$A$304:$I$324,5,0)*VLOOKUP('Données projet'!$B$19,Paramètres!$A$1:$I$89,7,0))</f>
        <v>0</v>
      </c>
      <c r="HZ178" s="16">
        <f>IF(ISNA(VLOOKUP($A178,'Données projet'!$A$304:$I$324,6,0)),0%,VLOOKUP($A178,'Données projet'!$A$304:$I$324,6,0)*VLOOKUP('Données projet'!$B$19,Paramètres!$A$1:$I$89,7,0))</f>
        <v>0</v>
      </c>
      <c r="IA178" s="16">
        <f>IF(ISNA(VLOOKUP($A178,'Données projet'!$A$304:$I$324,7,0)),0%,VLOOKUP($A178,'Données projet'!$A$304:$I$324,7,0))</f>
        <v>0</v>
      </c>
      <c r="IB178" s="21">
        <f>EXP(-LN(2)/35)*IB177+(1-EXP(-LN(2)/35))/(LN(2)/35)*HX178*HY178*VLOOKUP('Données projet'!$B$19,Paramètres!$A$1:$I$89,3,0)*0.475*44/12</f>
        <v>2.7926123800689426</v>
      </c>
      <c r="IC178" s="21">
        <f>EXP(-LN(2)/25)*IC177+(1-EXP(-LN(2)/25))/(LN(2)/25)*Calculateur!HX178*Calculateur!HZ178*VLOOKUP('Données projet'!$B$19,Paramètres!$A$1:$I$89,3,0)*0.475*44/12</f>
        <v>0.17459724423035453</v>
      </c>
      <c r="ID178" s="21">
        <f>EXP(-LN(2)/2)*ID177+(1-EXP(-LN(2)/2))/(LN(2)/2)*HX178*IA178*VLOOKUP('Données projet'!$B$19,Paramètres!$A$1:$I$89,3,0)*0.475*44/12</f>
        <v>8.5776433430555926E-23</v>
      </c>
      <c r="IE178" s="22">
        <f t="shared" si="256"/>
        <v>2.9672096242992971</v>
      </c>
      <c r="IF178" s="74">
        <f>('Scénario référence'!$F$8+'Scénario référence'!$F$9+'Scénario référence'!$B$17+'Scénario référence'!$B$9+'Scénario référence'!$B$10)*70+IF((45+25*(1-EXP(-0.0175*$A178)))&lt;70,'Scénario référence'!$B$16*(45+25*(1-EXP(-0.0175*$A178))),70*'Scénario référence'!$B$16)+IF((32+38*(1-EXP(-0.0175*$A178)))&lt;70,'Scénario référence'!$B$18*(32+38*(1-EXP(-0.0175*$A178))),70*'Scénario référence'!$B$18)</f>
        <v>70</v>
      </c>
      <c r="IG178" s="12">
        <f>IF($A178&gt;30,10,('Scénario référence'!$B$16+'Scénario référence'!$B$17+'Scénario référence'!$B$18+'Scénario référence'!$B$9+'Scénario référence'!$B$10)*$A178*10/30+('Scénario référence'!$F$8+'Scénario référence'!$F$9)*10)</f>
        <v>10</v>
      </c>
      <c r="IH178" s="12" t="e">
        <f>VLOOKUP($A178,'Données projet'!$A$330:$I$350,2,0)</f>
        <v>#N/A</v>
      </c>
      <c r="II178" s="12" t="e">
        <f>VLOOKUP($A178,'Données projet'!$A$330:$I$350,9,0)</f>
        <v>#N/A</v>
      </c>
      <c r="IJ178" s="12">
        <f t="array" ref="IJ178">INDEX(II:II,MIN(IF(ISNUMBER(II178:II374),ROW(II178:II374),"")))</f>
        <v>0</v>
      </c>
      <c r="IK178" s="12">
        <f>IF('Données projet'!$A$330&gt;35,IK177+IJ178-IS177,IF($A178&lt;'Données projet'!$A$330,$CQ$205^$A178,IF($A178='Données projet'!$A$330,'Données projet'!$B$330,IK177+IJ178-IS177)))</f>
        <v>0</v>
      </c>
      <c r="IL178" s="17">
        <f>IK178*VLOOKUP('Données projet'!$B$20,Paramètres!$A$1:$I$89,3,0)*VLOOKUP('Données projet'!$B$20,Paramètres!$A$1:$I$89,5,0)</f>
        <v>0</v>
      </c>
      <c r="IM178" s="13" t="e">
        <f t="shared" si="308"/>
        <v>#NUM!</v>
      </c>
      <c r="IN178" s="20" t="e">
        <f t="shared" si="257"/>
        <v>#NUM!</v>
      </c>
      <c r="IO178" s="59" t="e">
        <f t="shared" si="258"/>
        <v>#NUM!</v>
      </c>
      <c r="IP178" s="59">
        <f ca="1">AVERAGE(OFFSET(IO$3,0,0,'Données projet'!$E$20+1,1))-AVERAGE(OFFSET($H$3,0,0,'Données projet'!$E$20+1,1))</f>
        <v>91.60721429656013</v>
      </c>
      <c r="IQ178" s="59">
        <f t="shared" si="309"/>
        <v>258.94957804210856</v>
      </c>
      <c r="IR178" s="15">
        <f>IF(ISNA(VLOOKUP($A178,'Données projet'!$A$330:$I$350,3,0)),0,VLOOKUP($A178,'Données projet'!$A$330:$I$350,3,0))</f>
        <v>0</v>
      </c>
      <c r="IS178" s="15">
        <f>IF(ISNA(VLOOKUP($A178,'Données projet'!$A$330:$I$350,4,0)),0,VLOOKUP($A178,'Données projet'!$A$330:$I$350,4,0))</f>
        <v>0</v>
      </c>
      <c r="IT178" s="16">
        <f>IF(ISNA(VLOOKUP($A178,'Données projet'!$A$330:$I$350,5,0)),0%,VLOOKUP($A178,'Données projet'!$A$330:$I$350,5,0)*VLOOKUP('Données projet'!$B$20,Paramètres!$A$1:$I$89,7,0))</f>
        <v>0</v>
      </c>
      <c r="IU178" s="16">
        <f>IF(ISNA(VLOOKUP($A178,'Données projet'!$A$330:$I$350,6,0)),0%,VLOOKUP($A178,'Données projet'!$A$330:$I$350,6,0)*VLOOKUP('Données projet'!$B$20,Paramètres!$A$1:$I$89,7,0))</f>
        <v>0</v>
      </c>
      <c r="IV178" s="16">
        <f>IF(ISNA(VLOOKUP($A178,'Données projet'!$A$330:$I$350,7,0)),0%,VLOOKUP($A178,'Données projet'!$A$330:$I$350,7,0))</f>
        <v>0</v>
      </c>
      <c r="IW178" s="21">
        <f>EXP(-LN(2)/35)*IW177+(1-EXP(-LN(2)/35))/(LN(2)/35)*IS178*IT178*VLOOKUP('Données projet'!$B$20,Paramètres!$A$1:$I$89,3,0)*0.475*44/12</f>
        <v>2.7926123800689426</v>
      </c>
      <c r="IX178" s="21">
        <f>EXP(-LN(2)/25)*IX177+(1-EXP(-LN(2)/25))/(LN(2)/25)*Calculateur!IS178*Calculateur!IU178*VLOOKUP('Données projet'!$B$20,Paramètres!$A$1:$I$89,3,0)*0.475*44/12</f>
        <v>0.17459724423035453</v>
      </c>
      <c r="IY178" s="21">
        <f>EXP(-LN(2)/2)*IY177+(1-EXP(-LN(2)/2))/(LN(2)/2)*IS178*IV178*VLOOKUP('Données projet'!$B$20,Paramètres!$A$1:$I$89,3,0)*0.475*44/12</f>
        <v>8.5776433430555926E-23</v>
      </c>
      <c r="IZ178" s="22">
        <f t="shared" si="259"/>
        <v>2.9672096242992971</v>
      </c>
      <c r="JA178" s="74">
        <f>('Scénario référence'!$F$8+'Scénario référence'!$F$9+'Scénario référence'!$B$17+'Scénario référence'!$B$9+'Scénario référence'!$B$10)*70+IF((45+25*(1-EXP(-0.0175*$A178)))&lt;70,'Scénario référence'!$B$16*(45+25*(1-EXP(-0.0175*$A178))),70*'Scénario référence'!$B$16)+IF((32+38*(1-EXP(-0.0175*$A178)))&lt;70,'Scénario référence'!$B$18*(32+38*(1-EXP(-0.0175*$A178))),70*'Scénario référence'!$B$18)</f>
        <v>70</v>
      </c>
      <c r="JB178" s="12">
        <f>IF($A178&gt;30,10,('Scénario référence'!$B$16+'Scénario référence'!$B$17+'Scénario référence'!$B$18+'Scénario référence'!$B$9+'Scénario référence'!$B$10)*$A178*10/30+('Scénario référence'!$F$8+'Scénario référence'!$F$9)*10)</f>
        <v>10</v>
      </c>
      <c r="JC178" s="12" t="e">
        <f>VLOOKUP($A178,'Données projet'!$A$356:$I$376,2,0)</f>
        <v>#N/A</v>
      </c>
      <c r="JD178" s="12" t="e">
        <f>VLOOKUP($A178,'Données projet'!$A$356:$I$376,9,0)</f>
        <v>#N/A</v>
      </c>
      <c r="JE178" s="12">
        <f t="array" ref="JE178">INDEX(JD:JD,MIN(IF(ISNUMBER(JD178:JD374),ROW(JD178:JD374),"")))</f>
        <v>0</v>
      </c>
      <c r="JF178" s="12">
        <f>IF('Données projet'!$A$356&gt;35,JF177+JE178-JN177,IF($A178&lt;'Données projet'!$A$356,$CQ$205^$A178,IF($A178='Données projet'!$A$356,'Données projet'!$B$356,JF177+JE178-JN177)))</f>
        <v>-1.3073986337985843E-12</v>
      </c>
      <c r="JG178" s="17">
        <f>JF178*VLOOKUP('Données projet'!$B$21,Paramètres!$A$1:$I$89,3,0)*VLOOKUP('Données projet'!$B$21,Paramètres!$A$1:$I$89,5,0)</f>
        <v>-1.0605617717374117E-12</v>
      </c>
      <c r="JH178" s="13" t="e">
        <f t="shared" si="310"/>
        <v>#NUM!</v>
      </c>
      <c r="JI178" s="20" t="e">
        <f t="shared" si="260"/>
        <v>#NUM!</v>
      </c>
      <c r="JJ178" s="59" t="e">
        <f t="shared" si="261"/>
        <v>#NUM!</v>
      </c>
      <c r="JK178" s="59">
        <f ca="1">AVERAGE(OFFSET($JJ$3,0,0,'Données projet'!$E$22+1,1))-AVERAGE(OFFSET($H$3,0,0,'Données projet'!$E$22+1,1))</f>
        <v>353.35574633294613</v>
      </c>
      <c r="JL178" s="59">
        <f t="shared" si="311"/>
        <v>170.36796666474726</v>
      </c>
      <c r="JM178" s="15">
        <f>IF(ISNA(VLOOKUP($A178,'Données projet'!$A$356:$I$376,3,0)),0,VLOOKUP($A178,'Données projet'!$A$356:$I$376,3,0))</f>
        <v>0</v>
      </c>
      <c r="JN178" s="15">
        <f>IF(ISNA(VLOOKUP($A178,'Données projet'!$A$356:$I$376,4,0)),0,VLOOKUP($A178,'Données projet'!$A$356:$I$376,4,0))</f>
        <v>0</v>
      </c>
      <c r="JO178" s="16">
        <f>IF(ISNA(VLOOKUP($A178,'Données projet'!$A$356:$I$376,5,0)),0%,VLOOKUP($A178,'Données projet'!$A$356:$I$376,5,0)*VLOOKUP('Données projet'!$B$21,Paramètres!$A$1:$I$89,7,0))</f>
        <v>0</v>
      </c>
      <c r="JP178" s="16">
        <f>IF(ISNA(VLOOKUP($A178,'Données projet'!$A$356:$I$376,6,0)),0%,VLOOKUP($A178,'Données projet'!$A$356:$I$376,6,0)*VLOOKUP('Données projet'!$B$21,Paramètres!$A$1:$I$89,7,0))</f>
        <v>0</v>
      </c>
      <c r="JQ178" s="16">
        <f>IF(ISNA(VLOOKUP($A178,'Données projet'!$A$356:$I$376,7,0)),0%,VLOOKUP($A178,'Données projet'!$A$356:$I$376,7,0))</f>
        <v>0</v>
      </c>
      <c r="JR178" s="21">
        <f>EXP(-LN(2)/35)*JR177+(1-EXP(-LN(2)/35))/(LN(2)/35)*JN178*JO178*VLOOKUP('Données projet'!$B$21,Paramètres!$A$1:$I$89,3,0)*0.475*44/12</f>
        <v>44.769740586933487</v>
      </c>
      <c r="JS178" s="21">
        <f>EXP(-LN(2)/25)*JS177+(1-EXP(-LN(2)/25))/(LN(2)/25)*Calculateur!JN178*Calculateur!JP178*VLOOKUP('Données projet'!$B$21,Paramètres!$A$1:$I$89,3,0)*0.475*44/12</f>
        <v>38.213461605353174</v>
      </c>
      <c r="JT178" s="21">
        <f>EXP(-LN(2)/2)*JT177+(1-EXP(-LN(2)/2))/(LN(2)/2)*JN178*JQ178*VLOOKUP('Données projet'!$B$21,Paramètres!$A$1:$I$89,3,0)*0.475*44/12</f>
        <v>5.9197624395356148E-3</v>
      </c>
      <c r="JU178" s="18">
        <f t="shared" si="262"/>
        <v>82.989121954726187</v>
      </c>
      <c r="JV178" s="74">
        <f>('Scénario référence'!$F$8+'Scénario référence'!$F$9+'Scénario référence'!$B$17+'Scénario référence'!$B$9+'Scénario référence'!$B$10)*70+IF((45+25*(1-EXP(-0.0175*$A178)))&lt;70,'Scénario référence'!$B$16*(45+25*(1-EXP(-0.0175*$A178))),70*'Scénario référence'!$B$16)+IF((32+38*(1-EXP(-0.0175*$A178)))&lt;70,'Scénario référence'!$B$18*(32+38*(1-EXP(-0.0175*$A178))),70*'Scénario référence'!$B$18)</f>
        <v>70</v>
      </c>
      <c r="JW178" s="12">
        <f>IF($A178&gt;30,10,('Scénario référence'!$B$16+'Scénario référence'!$B$17+'Scénario référence'!$B$18+'Scénario référence'!$B$9+'Scénario référence'!$B$10)*$A178*10/30+('Scénario référence'!$F$8+'Scénario référence'!$F$9)*10)</f>
        <v>10</v>
      </c>
      <c r="JX178" s="12" t="e">
        <f>VLOOKUP($A178,'Données projet'!$A$382:$I$402,2,0)</f>
        <v>#N/A</v>
      </c>
      <c r="JY178" s="12" t="e">
        <f>VLOOKUP($A178,'Données projet'!$A$382:$I$402,9,0)</f>
        <v>#N/A</v>
      </c>
      <c r="JZ178" s="12">
        <f t="array" ref="JZ178">INDEX(JY:JY,MIN(IF(ISNUMBER(JY178:JY374),ROW(JY178:JY374),"")))</f>
        <v>0</v>
      </c>
      <c r="KA178" s="12">
        <f>IF('Données projet'!$A$382&gt;35,KA177+JZ178-KI177,IF($A178&lt;'Données projet'!$A$382,$CQ$205^$A178,IF($A178='Données projet'!$A$382,'Données projet'!$B$382,KA177+JZ178-KI177)))</f>
        <v>5.6843418860808015E-13</v>
      </c>
      <c r="KB178" s="17">
        <f>KA178*VLOOKUP('Données projet'!$B$22,Paramètres!$A$1:$I$89,3,0)*VLOOKUP('Données projet'!$B$22,Paramètres!$A$1:$I$89,5,0)</f>
        <v>3.8130565371830017E-13</v>
      </c>
      <c r="KC178" s="13">
        <f t="shared" si="312"/>
        <v>4.9019074112354236E-12</v>
      </c>
      <c r="KD178" s="20">
        <f t="shared" si="263"/>
        <v>9.2015960881277352E-12</v>
      </c>
      <c r="KE178" s="59">
        <f t="shared" si="264"/>
        <v>293.33333333334252</v>
      </c>
      <c r="KF178" s="59">
        <f ca="1">AVERAGE(OFFSET($KE$3,0,0,'Données projet'!$E$22+1,1))-AVERAGE(OFFSET($H$3,0,0,'Données projet'!$E$22+1,1))</f>
        <v>193.91714772848269</v>
      </c>
      <c r="KG178" s="59">
        <f t="shared" si="313"/>
        <v>159.20429420478047</v>
      </c>
      <c r="KH178" s="15">
        <f>IF(ISNA(VLOOKUP($A178,'Données projet'!$A$382:$I$402,3,0)),0,VLOOKUP($A178,'Données projet'!$A$382:$I$402,3,0))</f>
        <v>0</v>
      </c>
      <c r="KI178" s="15">
        <f>IF(ISNA(VLOOKUP($A178,'Données projet'!$A$382:$I$402,4,0)),0,VLOOKUP($A178,'Données projet'!$A$382:$I$402,4,0))</f>
        <v>0</v>
      </c>
      <c r="KJ178" s="16">
        <f>IF(ISNA(VLOOKUP($A178,'Données projet'!$A$382:$I$402,5,0)),0%,VLOOKUP($A178,'Données projet'!$A$382:$I$402,5,0)*VLOOKUP('Données projet'!$B$22,Paramètres!$A$1:$I$89,7,0))</f>
        <v>0</v>
      </c>
      <c r="KK178" s="16">
        <f>IF(ISNA(VLOOKUP($A178,'Données projet'!$A$382:$I$402,6,0)),0%,VLOOKUP($A178,'Données projet'!$A$382:$I$402,6,0)*VLOOKUP('Données projet'!$B$22,Paramètres!$A$1:$I$89,7,0))</f>
        <v>0</v>
      </c>
      <c r="KL178" s="16">
        <f>IF(ISNA(VLOOKUP($A178,'Données projet'!$A$382:$I$402,7,0)),0%,VLOOKUP($A178,'Données projet'!$A$382:$I$402,7,0))</f>
        <v>0</v>
      </c>
      <c r="KM178" s="21">
        <f>EXP(-LN(2)/35)*KM177+(1-EXP(-LN(2)/35))/(LN(2)/35)*KI178*KJ178*VLOOKUP('Données projet'!$B$22,Paramètres!$A$1:$I$89,3,0)*0.475*44/12</f>
        <v>65.368762456829614</v>
      </c>
      <c r="KN178" s="21">
        <f>EXP(-LN(2)/25)*KN177+(1-EXP(-LN(2)/25))/(LN(2)/25)*Calculateur!KI178*Calculateur!KK178*VLOOKUP('Données projet'!$B$22,Paramètres!$A$1:$I$89,3,0)*0.475*44/12</f>
        <v>0</v>
      </c>
      <c r="KO178" s="21">
        <f>EXP(-LN(2)/2)*KO177+(1-EXP(-LN(2)/2))/(LN(2)/2)*KI178*KL178*VLOOKUP('Données projet'!$B$22,Paramètres!$A$1:$I$89,3,0)*0.475*44/12</f>
        <v>0</v>
      </c>
      <c r="KP178" s="22">
        <f t="shared" si="265"/>
        <v>65.368762456829614</v>
      </c>
      <c r="KQ178" s="74">
        <f>('Scénario référence'!$F$8+'Scénario référence'!$F$9+'Scénario référence'!$B$17+'Scénario référence'!$B$9+'Scénario référence'!$B$10)*70+IF((45+25*(1-EXP(-0.0175*$A178)))&lt;70,'Scénario référence'!$B$16*(45+25*(1-EXP(-0.0175*$A178))),70*'Scénario référence'!$B$16)+IF((32+38*(1-EXP(-0.0175*$A178)))&lt;70,'Scénario référence'!$B$18*(32+38*(1-EXP(-0.0175*$A178))),70*'Scénario référence'!$B$18)</f>
        <v>70</v>
      </c>
      <c r="KR178" s="12">
        <f>IF($A178&gt;30,10,('Scénario référence'!$B$16+'Scénario référence'!$B$17+'Scénario référence'!$B$18+'Scénario référence'!$B$9+'Scénario référence'!$B$10)*$A178*10/30+('Scénario référence'!$F$8+'Scénario référence'!$F$9)*10)</f>
        <v>10</v>
      </c>
      <c r="KS178" s="12" t="e">
        <f>VLOOKUP($A178,'Données projet'!$A$408:$I$428,2,0)</f>
        <v>#N/A</v>
      </c>
      <c r="KT178" s="12" t="e">
        <f>VLOOKUP($A178,'Données projet'!$A$408:$I$428,9,0)</f>
        <v>#N/A</v>
      </c>
      <c r="KU178" s="12">
        <f t="array" ref="KU178">INDEX(KT:KT,MIN(IF(ISNUMBER(KT178:KT374),ROW(KT178:KT374),"")))</f>
        <v>0</v>
      </c>
      <c r="KV178" s="12">
        <f>IF('Données projet'!$A$408&gt;35,KV177+KU178-LD177,IF($A178&lt;'Données projet'!$A$408,$CQ$205^$A178,IF($A178='Données projet'!$A$408,'Données projet'!$B$408,KV177+KU178-LD177)))</f>
        <v>-1.1368683772161603E-13</v>
      </c>
      <c r="KW178" s="17">
        <f>KV178*VLOOKUP('Données projet'!$B$23,Paramètres!$A$1:$I$89,3,0)*VLOOKUP('Données projet'!$B$23,Paramètres!$A$1:$I$89,5,0)</f>
        <v>-9.9316821433603781E-14</v>
      </c>
      <c r="KX178" s="13" t="e">
        <f t="shared" si="314"/>
        <v>#NUM!</v>
      </c>
      <c r="KY178" s="14" t="e">
        <f t="shared" si="266"/>
        <v>#NUM!</v>
      </c>
      <c r="KZ178" s="59" t="e">
        <f t="shared" si="267"/>
        <v>#NUM!</v>
      </c>
      <c r="LA178" s="59">
        <f ca="1">AVERAGE(OFFSET($KZ$3,0,0,'Données projet'!$E$23+1,1))-AVERAGE(OFFSET($H$3,0,0,'Données projet'!$E$23+1,1))</f>
        <v>248.33596943633819</v>
      </c>
      <c r="LB178" s="59">
        <f t="shared" si="315"/>
        <v>242.34010522344573</v>
      </c>
      <c r="LC178" s="15">
        <f>IF(ISNA(VLOOKUP($A178,'Données projet'!$A$408:$I$428,3,0)),0,VLOOKUP($A178,'Données projet'!$A$408:$I$428,3,0))</f>
        <v>0</v>
      </c>
      <c r="LD178" s="15">
        <f>IF(ISNA(VLOOKUP($A178,'Données projet'!$A$408:$I$428,4,0)),0,VLOOKUP($A178,'Données projet'!$A$408:$I$428,4,0))</f>
        <v>0</v>
      </c>
      <c r="LE178" s="16">
        <f>IF(ISNA(VLOOKUP($A178,'Données projet'!$A$408:$I$428,5,0)),0%,VLOOKUP($A178,'Données projet'!$A$408:$I$428,5,0)*VLOOKUP('Données projet'!$B$23,Paramètres!$A$1:$I$89,7,0))</f>
        <v>0</v>
      </c>
      <c r="LF178" s="16">
        <f>IF(ISNA(VLOOKUP($A178,'Données projet'!$A$408:$I$428,6,0)),0%,VLOOKUP($A178,'Données projet'!$A$408:$I$428,6,0)*VLOOKUP('Données projet'!$B$23,Paramètres!$A$1:$I$89,7,0))</f>
        <v>0</v>
      </c>
      <c r="LG178" s="16">
        <f>IF(ISNA(VLOOKUP($A178,'Données projet'!$A$408:$I$428,7,0)),0%,VLOOKUP($A178,'Données projet'!$A$408:$I$428,7,0))</f>
        <v>0</v>
      </c>
      <c r="LH178" s="21">
        <f>EXP(-LN(2)/35)*LH177+(1-EXP(-LN(2)/35))/(LN(2)/35)*LD178*LE178*VLOOKUP('Données projet'!$B$23,Paramètres!$A$1:$I$89,3,0)*0.475*44/12</f>
        <v>18.775919131971946</v>
      </c>
      <c r="LI178" s="21">
        <f>EXP(-LN(2)/25)*LI177+(1-EXP(-LN(2)/25))/(LN(2)/25)*Calculateur!LD178*Calculateur!LF178*VLOOKUP('Données projet'!$B$23,Paramètres!$A$1:$I$89,3,0)*0.475*44/12</f>
        <v>1.5634580467813799</v>
      </c>
      <c r="LJ178" s="21">
        <f>EXP(-LN(2)/2)*LJ177+(1-EXP(-LN(2)/2))/(LN(2)/2)*LD178*LG178*VLOOKUP('Données projet'!$B$23,Paramètres!$A$1:$I$89,3,0)*0.475*44/12</f>
        <v>0</v>
      </c>
      <c r="LK178" s="22">
        <f t="shared" si="268"/>
        <v>20.339377178753328</v>
      </c>
      <c r="LL178" s="74">
        <f>('Scénario référence'!$F$8+'Scénario référence'!$F$9+'Scénario référence'!$B$17+'Scénario référence'!$B$9+'Scénario référence'!$B$10)*70+IF((45+25*(1-EXP(-0.0175*$A178)))&lt;70,'Scénario référence'!$B$16*(45+25*(1-EXP(-0.0175*$A178))),70*'Scénario référence'!$B$16)+IF((32+38*(1-EXP(-0.0175*$A178)))&lt;70,'Scénario référence'!$B$18*(32+38*(1-EXP(-0.0175*$A178))),70*'Scénario référence'!$B$18)</f>
        <v>70</v>
      </c>
      <c r="LM178" s="12">
        <f>IF($A178&gt;30,10,('Scénario référence'!$B$16+'Scénario référence'!$B$17+'Scénario référence'!$B$18+'Scénario référence'!$B$9+'Scénario référence'!$B$10)*$A178*10/30+('Scénario référence'!$F$8+'Scénario référence'!$F$9)*10)</f>
        <v>10</v>
      </c>
      <c r="LN178" s="12" t="e">
        <f>VLOOKUP($A178,'Données projet'!$A$434:$I$454,2,0)</f>
        <v>#N/A</v>
      </c>
      <c r="LO178" s="12" t="e">
        <f>VLOOKUP($A178,'Données projet'!$A$434:$I$454,9,0)</f>
        <v>#N/A</v>
      </c>
      <c r="LP178" s="12">
        <f t="array" ref="LP178">INDEX(LO:LO,MIN(IF(ISNUMBER(LO178:LO374),ROW(LO178:LO374),"")))</f>
        <v>0</v>
      </c>
      <c r="LQ178" s="12">
        <f>IF('Données projet'!$A$434&gt;35,LQ177+LP178-LY177,IF($A178&lt;'Données projet'!$A$434,$CQ$205^$A178,IF($A178='Données projet'!$A$434,'Données projet'!$B$434,LQ177+LP178-LY177)))</f>
        <v>-4.5474735088646412E-13</v>
      </c>
      <c r="LR178" s="17">
        <f>LQ178*VLOOKUP('Données projet'!$B$24,Paramètres!$A$1:$I$89,3,0)*VLOOKUP('Données projet'!$B$24,Paramètres!$A$1:$I$89,5,0)</f>
        <v>-4.6111381379887462E-13</v>
      </c>
      <c r="LS178" s="13" t="e">
        <f t="shared" si="316"/>
        <v>#NUM!</v>
      </c>
      <c r="LT178" s="14" t="e">
        <f t="shared" si="269"/>
        <v>#NUM!</v>
      </c>
      <c r="LU178" s="59" t="e">
        <f t="shared" si="270"/>
        <v>#NUM!</v>
      </c>
      <c r="LV178" s="59">
        <f ca="1">AVERAGE(OFFSET($LU$3,0,0,'Données projet'!$E$24+1,1))-AVERAGE(OFFSET($H$3,0,0,'Données projet'!$E$24+1,1))</f>
        <v>260.52627655062872</v>
      </c>
      <c r="LW178" s="59">
        <f t="shared" si="317"/>
        <v>159.20429420478047</v>
      </c>
      <c r="LX178" s="15">
        <f>IF(ISNA(VLOOKUP($A178,'Données projet'!$A$434:$I$454,3,0)),0,VLOOKUP($A178,'Données projet'!$A$434:$I$454,3,0))</f>
        <v>0</v>
      </c>
      <c r="LY178" s="15">
        <f>IF(ISNA(VLOOKUP($A178,'Données projet'!$A$434:$I$454,4,0)),0,VLOOKUP($A178,'Données projet'!$A$434:$I$454,4,0))</f>
        <v>0</v>
      </c>
      <c r="LZ178" s="16">
        <f>IF(ISNA(VLOOKUP($A178,'Données projet'!$A$434:$I$454,5,0)),0%,VLOOKUP($A178,'Données projet'!$A$434:$I$454,5,0)*VLOOKUP('Données projet'!$B$24,Paramètres!$A$1:$I$89,7,0))</f>
        <v>0</v>
      </c>
      <c r="MA178" s="16">
        <f>IF(ISNA(VLOOKUP($A178,'Données projet'!$A$434:$I$454,6,0)),0%,VLOOKUP($A178,'Données projet'!$A$434:$I$454,6,0)*VLOOKUP('Données projet'!$B$24,Paramètres!$A$1:$I$89,7,0))</f>
        <v>0</v>
      </c>
      <c r="MB178" s="16">
        <f>IF(ISNA(VLOOKUP($A178,'Données projet'!$A$434:$I$454,7,0)),0%,VLOOKUP($A178,'Données projet'!$A$434:$I$454,7,0))</f>
        <v>0</v>
      </c>
      <c r="MC178" s="21">
        <f>EXP(-LN(2)/35)*MC177+(1-EXP(-LN(2)/35))/(LN(2)/35)*LY178*LZ178*VLOOKUP('Données projet'!$B$24,Paramètres!$A$1:$I$89,3,0)*0.475*44/12</f>
        <v>120.72278262404146</v>
      </c>
      <c r="MD178" s="21">
        <f>EXP(-LN(2)/25)*MD177+(1-EXP(-LN(2)/25))/(LN(2)/25)*Calculateur!LY178*Calculateur!MA178*VLOOKUP('Données projet'!$B$24,Paramètres!$A$1:$I$89,3,0)*0.475*44/12</f>
        <v>0</v>
      </c>
      <c r="ME178" s="21">
        <f>EXP(-LN(2)/2)*ME177+(1-EXP(-LN(2)/2))/(LN(2)/2)*LY178*MB178*VLOOKUP('Données projet'!$B$24,Paramètres!$A$1:$I$89,3,0)*0.475*44/12</f>
        <v>0</v>
      </c>
      <c r="MF178" s="22">
        <f t="shared" si="271"/>
        <v>120.72278262404146</v>
      </c>
      <c r="MG178" s="74">
        <f>('Scénario référence'!$F$8+'Scénario référence'!$F$9+'Scénario référence'!$B$17+'Scénario référence'!$B$9+'Scénario référence'!$B$10)*70+IF((45+25*(1-EXP(-0.0175*$A178)))&lt;70,'Scénario référence'!$B$16*(45+25*(1-EXP(-0.0175*$A178))),70*'Scénario référence'!$B$16)+IF((32+38*(1-EXP(-0.0175*$A178)))&lt;70,'Scénario référence'!$B$18*(32+38*(1-EXP(-0.0175*$A178))),70*'Scénario référence'!$B$18)</f>
        <v>70</v>
      </c>
      <c r="MH178" s="12">
        <f>IF($A178&gt;30,10,('Scénario référence'!$B$16+'Scénario référence'!$B$17+'Scénario référence'!$B$18+'Scénario référence'!$B$9+'Scénario référence'!$B$10)*$A178*10/30+('Scénario référence'!$F$8+'Scénario référence'!$F$9)*10)</f>
        <v>10</v>
      </c>
      <c r="MI178" s="12" t="e">
        <f>VLOOKUP($A178,'Données projet'!$A$460:$I$480,2,0)</f>
        <v>#N/A</v>
      </c>
      <c r="MJ178" s="12" t="e">
        <f>VLOOKUP($A178,'Données projet'!$A$460:$I$480,9,0)</f>
        <v>#N/A</v>
      </c>
      <c r="MK178" s="12">
        <f t="array" ref="MK178">INDEX(MJ:MJ,MIN(IF(ISNUMBER(MJ178:MJ374),ROW(MJ178:MJ374),"")))</f>
        <v>0</v>
      </c>
      <c r="ML178" s="12">
        <f>IF('Données projet'!$A$460&gt;35,ML177+MK178-MT177,IF($A178&lt;'Données projet'!$A$460,$CQ$205^$A178,IF($A178='Données projet'!$A$460,'Données projet'!$B$460,ML177+MK178-MT177)))</f>
        <v>0</v>
      </c>
      <c r="MM178" s="17" t="e">
        <f>ML178*VLOOKUP('Données projet'!$B$25,Paramètres!$A$1:$I$89,3,0)*VLOOKUP('Données projet'!$B$25,Paramètres!$A$1:$I$89,5,0)</f>
        <v>#N/A</v>
      </c>
      <c r="MN178" s="13" t="e">
        <f t="shared" si="318"/>
        <v>#N/A</v>
      </c>
      <c r="MO178" s="14" t="e">
        <f t="shared" si="272"/>
        <v>#N/A</v>
      </c>
      <c r="MP178" s="59" t="e">
        <f t="shared" si="273"/>
        <v>#N/A</v>
      </c>
      <c r="MQ178" s="20" t="e">
        <f ca="1">AVERAGE(OFFSET($MP$3,0,0,'Données projet'!$E$25+1,1))-AVERAGE(OFFSET($H$3,0,0,'Données projet'!$E$25+1,1))</f>
        <v>#N/A</v>
      </c>
      <c r="MR178" s="59" t="e">
        <f t="shared" si="319"/>
        <v>#N/A</v>
      </c>
      <c r="MS178" s="15">
        <f>IF(ISNA(VLOOKUP($A178,'Données projet'!$A$460:$I$480,3,0)),0,VLOOKUP($A178,'Données projet'!$A$460:$I$480,3,0))</f>
        <v>0</v>
      </c>
      <c r="MT178" s="15">
        <f>IF(ISNA(VLOOKUP($A178,'Données projet'!$A$460:$I$480,4,0)),0,VLOOKUP($A178,'Données projet'!$A$460:$I$480,4,0))</f>
        <v>0</v>
      </c>
      <c r="MU178" s="16">
        <f>IF(ISNA(VLOOKUP($A178,'Données projet'!$A$460:$I$480,5,0)),0%,VLOOKUP($A178,'Données projet'!$A$460:$I$480,5,0)*VLOOKUP('Données projet'!$B$25,Paramètres!$A$1:$I$89,7,0))</f>
        <v>0</v>
      </c>
      <c r="MV178" s="16">
        <f>IF(ISNA(VLOOKUP($A178,'Données projet'!$A$460:$I$480,6,0)),0%,VLOOKUP($A178,'Données projet'!$A$460:$I$480,6,0)*VLOOKUP('Données projet'!$B$25,Paramètres!$A$1:$I$89,7,0))</f>
        <v>0</v>
      </c>
      <c r="MW178" s="16">
        <f>IF(ISNA(VLOOKUP($A178,'Données projet'!$A$460:$I$480,7,0)),0%,VLOOKUP($A178,'Données projet'!$A$460:$I$480,7,0))</f>
        <v>0</v>
      </c>
      <c r="MX178" s="21" t="e">
        <f>EXP(-LN(2)/35)*MX177+(1-EXP(-LN(2)/35))/(LN(2)/35)*MT178*MU178*VLOOKUP('Données projet'!$B$25,Paramètres!$A$1:$I$89,3,0)*0.475*44/12</f>
        <v>#N/A</v>
      </c>
      <c r="MY178" s="21" t="e">
        <f>EXP(-LN(2)/25)*MY177+(1-EXP(-LN(2)/25))/(LN(2)/25)*Calculateur!MT178*Calculateur!MV178*VLOOKUP('Données projet'!$B$25,Paramètres!$A$1:$I$89,3,0)*0.475*44/12</f>
        <v>#N/A</v>
      </c>
      <c r="MZ178" s="21" t="e">
        <f>EXP(-LN(2)/2)*MZ177+(1-EXP(-LN(2)/2))/(LN(2)/2)*MT178*MW178*VLOOKUP('Données projet'!$B$25,Paramètres!$A$1:$I$89,3,0)*0.475*44/12</f>
        <v>#N/A</v>
      </c>
      <c r="NA178" s="22" t="e">
        <f t="shared" si="274"/>
        <v>#N/A</v>
      </c>
      <c r="NB178" s="74">
        <f>('Scénario référence'!$F$8+'Scénario référence'!$F$9+'Scénario référence'!$B$17+'Scénario référence'!$B$9+'Scénario référence'!$B$10)*70+IF((45+25*(1-EXP(-0.0175*$A178)))&lt;70,'Scénario référence'!$B$16*(45+25*(1-EXP(-0.0175*$A178))),70*'Scénario référence'!$B$16)+IF((32+38*(1-EXP(-0.0175*$A178)))&lt;70,'Scénario référence'!$B$18*(32+38*(1-EXP(-0.0175*$A178))),70*'Scénario référence'!$B$18)</f>
        <v>70</v>
      </c>
      <c r="NC178" s="12">
        <f>IF($A178&gt;30,10,('Scénario référence'!$B$16+'Scénario référence'!$B$17+'Scénario référence'!$B$18+'Scénario référence'!$B$9+'Scénario référence'!$B$10)*$A178*10/30+('Scénario référence'!$F$8+'Scénario référence'!$F$9)*10)</f>
        <v>10</v>
      </c>
      <c r="ND178" s="12" t="e">
        <f>VLOOKUP($A178,'Données projet'!$A$486:$I$506,2,0)</f>
        <v>#N/A</v>
      </c>
      <c r="NE178" s="12" t="e">
        <f>VLOOKUP($A178,'Données projet'!$A$486:$I$506,9,0)</f>
        <v>#N/A</v>
      </c>
      <c r="NF178" s="12">
        <f t="array" ref="NF178">INDEX(NE:NE,MIN(IF(ISNUMBER(NE178:NE374),ROW(NE178:NE374),"")))</f>
        <v>0</v>
      </c>
      <c r="NG178" s="12">
        <f>IF('Données projet'!$A$486&gt;35,NG177+NF178-NO177,IF($A178&lt;'Données projet'!$A$486,$CQ$205^$A178,IF($A178='Données projet'!$A$486,'Données projet'!$B$486,NG177+NF178-NO177)))</f>
        <v>0</v>
      </c>
      <c r="NH178" s="17" t="e">
        <f>NG178*VLOOKUP('Données projet'!$B$26,Paramètres!$A$1:$I$89,3,0)*VLOOKUP('Données projet'!$B$26,Paramètres!$A$1:$I$89,5,0)</f>
        <v>#N/A</v>
      </c>
      <c r="NI178" s="13" t="e">
        <f t="shared" si="320"/>
        <v>#N/A</v>
      </c>
      <c r="NJ178" s="14" t="e">
        <f t="shared" si="275"/>
        <v>#N/A</v>
      </c>
      <c r="NK178" s="59" t="e">
        <f t="shared" si="276"/>
        <v>#N/A</v>
      </c>
      <c r="NL178" s="20" t="e">
        <f ca="1">AVERAGE(OFFSET($NK$3,0,0,'Données projet'!$E$26+1,1))-AVERAGE(OFFSET($H$3,0,0,'Données projet'!$E$26+1,1))</f>
        <v>#N/A</v>
      </c>
      <c r="NM178" s="59" t="e">
        <f t="shared" si="321"/>
        <v>#N/A</v>
      </c>
      <c r="NN178" s="15">
        <f>IF(ISNA(VLOOKUP($A178,'Données projet'!$A$486:$I$506,3,0)),0,VLOOKUP($A178,'Données projet'!$A$486:$I$506,3,0))</f>
        <v>0</v>
      </c>
      <c r="NO178" s="15">
        <f>IF(ISNA(VLOOKUP($A178,'Données projet'!$A$486:$I$506,4,0)),0,VLOOKUP($A178,'Données projet'!$A$486:$I$506,4,0))</f>
        <v>0</v>
      </c>
      <c r="NP178" s="16">
        <f>IF(ISNA(VLOOKUP($A178,'Données projet'!$A$486:$I$506,5,0)),0%,VLOOKUP($A178,'Données projet'!$A$486:$I$506,5,0)*VLOOKUP('Données projet'!$B$26,Paramètres!$A$1:$I$89,7,0))</f>
        <v>0</v>
      </c>
      <c r="NQ178" s="16">
        <f>IF(ISNA(VLOOKUP($A178,'Données projet'!$A$486:$I$506,6,0)),0%,VLOOKUP($A178,'Données projet'!$A$486:$I$506,6,0)*VLOOKUP('Données projet'!$B$26,Paramètres!$A$1:$I$89,7,0))</f>
        <v>0</v>
      </c>
      <c r="NR178" s="16">
        <f>IF(ISNA(VLOOKUP($A178,'Données projet'!$A$486:$I$506,7,0)),0%,VLOOKUP($A178,'Données projet'!$A$486:$I$506,7,0))</f>
        <v>0</v>
      </c>
      <c r="NS178" s="21" t="e">
        <f>EXP(-LN(2)/35)*NS177+(1-EXP(-LN(2)/35))/(LN(2)/35)*NO178*NP178*VLOOKUP('Données projet'!$B$26,Paramètres!$A$1:$I$89,3,0)*0.475*44/12</f>
        <v>#N/A</v>
      </c>
      <c r="NT178" s="21" t="e">
        <f>EXP(-LN(2)/25)*NT177+(1-EXP(-LN(2)/25))/(LN(2)/25)*Calculateur!NO178*Calculateur!NQ178*VLOOKUP('Données projet'!$B$26,Paramètres!$A$1:$I$89,3,0)*0.475*44/12</f>
        <v>#N/A</v>
      </c>
      <c r="NU178" s="21" t="e">
        <f>EXP(-LN(2)/2)*NU177+(1-EXP(-LN(2)/2))/(LN(2)/2)*NO178*NR178*VLOOKUP('Données projet'!$B$26,Paramètres!$A$1:$I$89,3,0)*0.475*44/12</f>
        <v>#N/A</v>
      </c>
      <c r="NV178" s="22" t="e">
        <f t="shared" si="277"/>
        <v>#N/A</v>
      </c>
      <c r="NW178" s="74">
        <f>('Scénario référence'!$F$8+'Scénario référence'!$F$9+'Scénario référence'!$B$17+'Scénario référence'!$B$9+'Scénario référence'!$B$10)*70+IF((45+25*(1-EXP(-0.0175*$A178)))&lt;70,'Scénario référence'!$B$16*(45+25*(1-EXP(-0.0175*$A178))),70*'Scénario référence'!$B$16)+IF((32+38*(1-EXP(-0.0175*$A178)))&lt;70,'Scénario référence'!$B$18*(32+38*(1-EXP(-0.0175*$A178))),70*'Scénario référence'!$B$18)</f>
        <v>70</v>
      </c>
      <c r="NX178" s="12">
        <f>IF($A178&gt;30,10,('Scénario référence'!$B$16+'Scénario référence'!$B$17+'Scénario référence'!$B$18+'Scénario référence'!$B$9+'Scénario référence'!$B$10)*$A178*10/30+('Scénario référence'!$F$8+'Scénario référence'!$F$9)*10)</f>
        <v>10</v>
      </c>
      <c r="NY178" s="12" t="e">
        <f>VLOOKUP($A178,'Données projet'!$A$512:$I$532,2,0)</f>
        <v>#N/A</v>
      </c>
      <c r="NZ178" s="12" t="e">
        <f>VLOOKUP($A178,'Données projet'!$A$512:$I$532,9,0)</f>
        <v>#N/A</v>
      </c>
      <c r="OA178" s="12">
        <f t="array" ref="OA178">INDEX(NZ:NZ,MIN(IF(ISNUMBER(NZ178:NZ374),ROW(NZ178:NZ374),"")))</f>
        <v>0</v>
      </c>
      <c r="OB178" s="12">
        <f>IF('Données projet'!$A$512&gt;35,OB177+OA178-OJ177,IF($A178&lt;'Données projet'!$A$512,$CQ$205^$A178,IF($A178='Données projet'!$A$512,'Données projet'!$B$512,OB177+OA178-OJ177)))</f>
        <v>0</v>
      </c>
      <c r="OC178" s="17" t="e">
        <f>OB178*VLOOKUP('Données projet'!$B$27,Paramètres!$A$1:$I$89,3,0)*VLOOKUP('Données projet'!$B$27,Paramètres!$A$1:$I$89,5,0)</f>
        <v>#N/A</v>
      </c>
      <c r="OD178" s="13" t="e">
        <f t="shared" si="322"/>
        <v>#N/A</v>
      </c>
      <c r="OE178" s="14" t="e">
        <f t="shared" si="278"/>
        <v>#N/A</v>
      </c>
      <c r="OF178" s="59" t="e">
        <f t="shared" si="279"/>
        <v>#N/A</v>
      </c>
      <c r="OG178" s="20" t="e">
        <f ca="1">AVERAGE(OFFSET($OF$3,0,0,'Données projet'!$E$27+1,1))-AVERAGE(OFFSET($H$3,0,0,'Données projet'!$E$27+1,1))</f>
        <v>#N/A</v>
      </c>
      <c r="OH178" s="59" t="e">
        <f t="shared" si="323"/>
        <v>#N/A</v>
      </c>
      <c r="OI178" s="15">
        <f>IF(ISNA(VLOOKUP($A178,'Données projet'!$A$512:$I$532,3,0)),0,VLOOKUP($A178,'Données projet'!$A$512:$I$532,3,0))</f>
        <v>0</v>
      </c>
      <c r="OJ178" s="15">
        <f>IF(ISNA(VLOOKUP($A178,'Données projet'!$A$512:$I$532,4,0)),0,VLOOKUP($A178,'Données projet'!$A$512:$I$532,4,0))</f>
        <v>0</v>
      </c>
      <c r="OK178" s="16">
        <f>IF(ISNA(VLOOKUP($A178,'Données projet'!$A$512:$I$532,5,0)),0%,VLOOKUP($A178,'Données projet'!$A$512:$I$532,5,0)*VLOOKUP('Données projet'!$B$27,Paramètres!$A$1:$I$89,7,0))</f>
        <v>0</v>
      </c>
      <c r="OL178" s="16">
        <f>IF(ISNA(VLOOKUP($A178,'Données projet'!$A$512:$I$532,6,0)),0%,VLOOKUP($A178,'Données projet'!$A$512:$I$532,6,0)*VLOOKUP('Données projet'!$B$27,Paramètres!$A$1:$I$89,7,0))</f>
        <v>0</v>
      </c>
      <c r="OM178" s="16">
        <f>IF(ISNA(VLOOKUP($A178,'Données projet'!$A$512:$I$532,7,0)),0%,VLOOKUP($A178,'Données projet'!$A$512:$I$532,7,0))</f>
        <v>0</v>
      </c>
      <c r="ON178" s="21" t="e">
        <f>EXP(-LN(2)/35)*ON177+(1-EXP(-LN(2)/35))/(LN(2)/35)*OJ178*OK178*VLOOKUP('Données projet'!$B$27,Paramètres!$A$1:$I$89,3,0)*0.475*44/12</f>
        <v>#N/A</v>
      </c>
      <c r="OO178" s="21" t="e">
        <f>EXP(-LN(2)/25)*OO177+(1-EXP(-LN(2)/25))/(LN(2)/25)*Calculateur!OJ178*Calculateur!OL178*VLOOKUP('Données projet'!$B$27,Paramètres!$A$1:$I$89,3,0)*0.475*44/12</f>
        <v>#N/A</v>
      </c>
      <c r="OP178" s="21" t="e">
        <f>EXP(-LN(2)/2)*OP177+(1-EXP(-LN(2)/2))/(LN(2)/2)*OJ178*OM178*VLOOKUP('Données projet'!$B$27,Paramètres!$A$1:$I$89,3,0)*0.475*44/12</f>
        <v>#N/A</v>
      </c>
      <c r="OQ178" s="22" t="e">
        <f t="shared" si="280"/>
        <v>#N/A</v>
      </c>
      <c r="OR178" s="74">
        <f>('Scénario référence'!$F$8+'Scénario référence'!$F$9+'Scénario référence'!$B$17+'Scénario référence'!$B$9+'Scénario référence'!$B$10)*70+IF((45+25*(1-EXP(-0.0175*$A178)))&lt;70,'Scénario référence'!$B$16*(45+25*(1-EXP(-0.0175*$A178))),70*'Scénario référence'!$B$16)+IF((32+38*(1-EXP(-0.0175*$A178)))&lt;70,'Scénario référence'!$B$18*(32+38*(1-EXP(-0.0175*$A178))),70*'Scénario référence'!$B$18)</f>
        <v>70</v>
      </c>
      <c r="OS178" s="12">
        <f>IF($A178&gt;30,10,('Scénario référence'!$B$16+'Scénario référence'!$B$17+'Scénario référence'!$B$18+'Scénario référence'!$B$9+'Scénario référence'!$B$10)*$A178*10/30+('Scénario référence'!$F$8+'Scénario référence'!$F$9)*10)</f>
        <v>10</v>
      </c>
      <c r="OT178" s="12" t="e">
        <f>VLOOKUP($A178,'Données projet'!$A$538:$I$558,2,0)</f>
        <v>#N/A</v>
      </c>
      <c r="OU178" s="12" t="e">
        <f>VLOOKUP($A178,'Données projet'!$A$538:$I$558,9,0)</f>
        <v>#N/A</v>
      </c>
      <c r="OV178" s="12">
        <f t="array" ref="OV178">INDEX(OU:OU,MIN(IF(ISNUMBER(OU178:OU374),ROW(OU178:OU374),"")))</f>
        <v>0</v>
      </c>
      <c r="OW178" s="12">
        <f>IF('Données projet'!$A$538&gt;35,OW177+OV178-PE177,IF($A178&lt;'Données projet'!$A$538,$CQ$205^$A178,IF($A178='Données projet'!$A$538,'Données projet'!$B$538,OW177+OV178-PE177)))</f>
        <v>0</v>
      </c>
      <c r="OX178" s="17" t="e">
        <f>OW178*VLOOKUP('Données projet'!$B$28,Paramètres!$A$1:$I$89,3,0)*VLOOKUP('Données projet'!$B$28,Paramètres!$A$1:$I$89,5,0)</f>
        <v>#N/A</v>
      </c>
      <c r="OY178" s="13" t="e">
        <f t="shared" si="324"/>
        <v>#N/A</v>
      </c>
      <c r="OZ178" s="14" t="e">
        <f t="shared" si="281"/>
        <v>#N/A</v>
      </c>
      <c r="PA178" s="59" t="e">
        <f t="shared" si="282"/>
        <v>#N/A</v>
      </c>
      <c r="PB178" s="20" t="e">
        <f ca="1">AVERAGE(OFFSET($PA$3,0,0,'Données projet'!$E$28+1,1))-AVERAGE(OFFSET($H$3,0,0,'Données projet'!$E$28+1,1))</f>
        <v>#N/A</v>
      </c>
      <c r="PC178" s="59" t="e">
        <f t="shared" si="325"/>
        <v>#N/A</v>
      </c>
      <c r="PD178" s="15">
        <f>IF(ISNA(VLOOKUP($A178,'Données projet'!$A$538:$I$558,3,0)),0,VLOOKUP($A178,'Données projet'!$A$538:$I$558,3,0))</f>
        <v>0</v>
      </c>
      <c r="PE178" s="15">
        <f>IF(ISNA(VLOOKUP($A178,'Données projet'!$A$538:$I$558,4,0)),0,VLOOKUP($A178,'Données projet'!$A$538:$I$558,4,0))</f>
        <v>0</v>
      </c>
      <c r="PF178" s="16">
        <f>IF(ISNA(VLOOKUP($A178,'Données projet'!$A$538:$I$558,5,0)),0%,VLOOKUP($A178,'Données projet'!$A$538:$I$558,5,0)*VLOOKUP('Données projet'!$B$28,Paramètres!$A$1:$I$89,7,0))</f>
        <v>0</v>
      </c>
      <c r="PG178" s="16">
        <f>IF(ISNA(VLOOKUP($A178,'Données projet'!$A$538:$I$558,6,0)),0%,VLOOKUP($A178,'Données projet'!$A$538:$I$558,6,0)*VLOOKUP('Données projet'!$B$28,Paramètres!$A$1:$I$89,7,0))</f>
        <v>0</v>
      </c>
      <c r="PH178" s="16">
        <f>IF(ISNA(VLOOKUP($A178,'Données projet'!$A$538:$I$558,7,0)),0%,VLOOKUP($A178,'Données projet'!$A$538:$I$558,7,0))</f>
        <v>0</v>
      </c>
      <c r="PI178" s="21" t="e">
        <f>EXP(-LN(2)/35)*PI177+(1-EXP(-LN(2)/35))/(LN(2)/35)*PE178*PF178*VLOOKUP('Données projet'!$B$28,Paramètres!$A$1:$I$89,3,0)*0.475*44/12</f>
        <v>#N/A</v>
      </c>
      <c r="PJ178" s="21" t="e">
        <f>EXP(-LN(2)/25)*PJ177+(1-EXP(-LN(2)/25))/(LN(2)/25)*Calculateur!PE178*Calculateur!PG178*VLOOKUP('Données projet'!$B$28,Paramètres!$A$1:$I$89,3,0)*0.475*44/12</f>
        <v>#N/A</v>
      </c>
      <c r="PK178" s="21" t="e">
        <f>EXP(-LN(2)/2)*PK177+(1-EXP(-LN(2)/2))/(LN(2)/2)*PE178*PH178*VLOOKUP('Données projet'!$B$28,Paramètres!$A$1:$I$89,3,0)*0.475*44/12</f>
        <v>#N/A</v>
      </c>
      <c r="PL178" s="22" t="e">
        <f t="shared" si="283"/>
        <v>#N/A</v>
      </c>
    </row>
    <row r="179" spans="1:428" x14ac:dyDescent="0.35">
      <c r="A179" s="10">
        <f t="shared" si="326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285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225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projet'!$A$45:$I$65,2,0)</f>
        <v>#N/A</v>
      </c>
      <c r="L179" s="12" t="e">
        <f>VLOOKUP(A179,'Données projet'!$A$45:$I$65,9,0)</f>
        <v>#N/A</v>
      </c>
      <c r="M179" s="12">
        <f t="array" ref="M179">INDEX(L:L,MIN(IF(ISNUMBER(L179:L375),ROW(L179:L375),"")))</f>
        <v>0</v>
      </c>
      <c r="N179" s="13">
        <f>IF('Données projet'!$A$46&gt;35,N178+M179-V178,IF(A179&lt;'Données projet'!$A$46,$K$205^A179,IF(A179='Données projet'!$A$46,'Données projet'!$B$46,N178+M179-V178)))</f>
        <v>-1.1368683772161603E-13</v>
      </c>
      <c r="O179" s="13">
        <f>N179*VLOOKUP('Données projet'!$B$9,Paramètres!$A$1:$I$89,3,0)*VLOOKUP('Données projet'!$B$9,Paramètres!$A$1:$I$89,5,0)</f>
        <v>-6.3550942286383367E-14</v>
      </c>
      <c r="P179" s="13" t="e">
        <f t="shared" si="286"/>
        <v>#NUM!</v>
      </c>
      <c r="Q179" s="20" t="e">
        <f t="shared" si="327"/>
        <v>#NUM!</v>
      </c>
      <c r="R179" s="59" t="e">
        <f t="shared" si="224"/>
        <v>#NUM!</v>
      </c>
      <c r="S179" s="59">
        <f ca="1">AVERAGE(OFFSET($R$3,0,0,'Données projet'!$E$9+1,1))-AVERAGE(OFFSET($H$3,0,0,'Données projet'!$E$9+1,1))</f>
        <v>274.57619581652199</v>
      </c>
      <c r="T179" s="59">
        <f t="shared" si="287"/>
        <v>366.15117322598775</v>
      </c>
      <c r="U179" s="15">
        <f>IF(ISNA(VLOOKUP(A179,'Données projet'!$A$45:$I$65,3,0)),0,VLOOKUP(A179,'Données projet'!$A$45:$I$65,3,0))</f>
        <v>0</v>
      </c>
      <c r="V179" s="15">
        <f>IF(ISNA(VLOOKUP(A179,'Données projet'!$A$45:$I$65,4,0)),0,VLOOKUP(A179,'Données projet'!$A$45:$I$65,4,0))</f>
        <v>0</v>
      </c>
      <c r="W179" s="16">
        <f>IF(ISNA(VLOOKUP(A179,'Données projet'!$A$45:$I$65,5,0)),0%,VLOOKUP(A179,'Données projet'!$A$45:$I$65,5,0)*VLOOKUP('Données projet'!$B$9,Paramètres!$A$1:$I$89,7,0))</f>
        <v>0</v>
      </c>
      <c r="X179" s="16">
        <f>IF(ISNA(VLOOKUP(A179,'Données projet'!$A$45:$I$65,6,0)),0%,VLOOKUP(A179,'Données projet'!$A$45:$I$65,6,0)*VLOOKUP('Données projet'!$B$9,Paramètres!$A$1:$I$89,7,0))</f>
        <v>0</v>
      </c>
      <c r="Y179" s="16">
        <f>IF(ISNA(VLOOKUP(A179,'Données projet'!$A$45:$I$65,7,0)),0%,VLOOKUP(A179,'Données projet'!$A$45:$I$65,7,0))</f>
        <v>0</v>
      </c>
      <c r="Z179" s="21">
        <f>EXP(-LN(2)/35)*Z178+(1-EXP(-LN(2)/35))/(LN(2)/35)*V179*W179*VLOOKUP('Données projet'!$B$9,Paramètres!$A$1:$I$89,3,0)*0.475*44/12</f>
        <v>20.637904286000328</v>
      </c>
      <c r="AA179" s="21">
        <f>EXP(-LN(2)/25)*AA178+(1-EXP(-LN(2)/25))/(LN(2)/25)*Calculateur!V179*Calculateur!X179*VLOOKUP('Données projet'!$B$9,Paramètres!$A$1:$I$89,3,0)*0.475*44/12</f>
        <v>2.0113850109986195</v>
      </c>
      <c r="AB179" s="21">
        <f>EXP(-LN(2)/2)*AB178+(1-EXP(-LN(2)/2))/(LN(2)/2)*V179*Y179*VLOOKUP('Données projet'!$B$9,Paramètres!$A$1:$I$89,3,0)*0.475*44/12</f>
        <v>2.0951721013930017E-17</v>
      </c>
      <c r="AC179" s="22">
        <f t="shared" si="328"/>
        <v>22.649289296998948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projet'!$A$71:$I$91,2,0)</f>
        <v>#N/A</v>
      </c>
      <c r="AG179" s="12" t="e">
        <f>VLOOKUP(A179,'Données projet'!$A$71:$I$91,9,0)</f>
        <v>#N/A</v>
      </c>
      <c r="AH179" s="12">
        <f t="array" ref="AH179">INDEX(AG:AG,MIN(IF(ISNUMBER(AG179:AG375),ROW(AG179:AG375),"")))</f>
        <v>0</v>
      </c>
      <c r="AI179" s="13">
        <f>IF('Données projet'!$A$72&gt;35,AI178+AH179-AQ178,IF(A179&lt;'Données projet'!$A$72,$AF$205^A179,IF(A179='Données projet'!$A$72,'Données projet'!$B$72,AI178+AH179-AQ178)))</f>
        <v>5.6843418860808015E-13</v>
      </c>
      <c r="AJ179" s="13">
        <f>AI179*VLOOKUP('Données projet'!$B$10,Paramètres!$A$1:$I$89,3,0)*VLOOKUP('Données projet'!$B$10,Paramètres!$A$1:$I$89,5,0)</f>
        <v>5.1431925385259092E-13</v>
      </c>
      <c r="AK179" s="13">
        <f t="shared" si="329"/>
        <v>6.3855359115685756E-12</v>
      </c>
      <c r="AL179" s="20">
        <f t="shared" si="330"/>
        <v>1.2017247746441865E-11</v>
      </c>
      <c r="AM179" s="59">
        <f t="shared" si="228"/>
        <v>293.33333333334531</v>
      </c>
      <c r="AN179" s="59">
        <f ca="1">AVERAGE(OFFSET($AM$3,0,0,'Données projet'!$E$10+1,1))-AVERAGE(OFFSET($H$3,0,0,'Données projet'!$E$10+1,1))</f>
        <v>270.87836509222456</v>
      </c>
      <c r="AO179" s="59">
        <f t="shared" si="289"/>
        <v>205.24998237949734</v>
      </c>
      <c r="AP179" s="15">
        <f>IF(ISNA(VLOOKUP(A179,'Données projet'!$A$71:$I$91,3,0)),0,VLOOKUP(A179,'Données projet'!$A$71:$I$91,3,0))</f>
        <v>0</v>
      </c>
      <c r="AQ179" s="15">
        <f>IF(ISNA(VLOOKUP(A179,'Données projet'!$A$71:$I$91,4,0)),0,VLOOKUP(A179,'Données projet'!$A$71:$I$91,4,0))</f>
        <v>0</v>
      </c>
      <c r="AR179" s="16">
        <f>IF(ISNA(VLOOKUP(A179,'Données projet'!$A$71:$I$91,5,0)),0%,VLOOKUP(A179,'Données projet'!$A$71:$I$91,5,0)*VLOOKUP('Données projet'!$B$10,Paramètres!$A$1:$I$89,7,0))</f>
        <v>0</v>
      </c>
      <c r="AS179" s="16">
        <f>IF(ISNA(VLOOKUP(A179,'Données projet'!$A$71:$I$91,6,0)),0%,VLOOKUP(A179,'Données projet'!$A$71:$I$91,6,0)*VLOOKUP('Données projet'!$B$10,Paramètres!$A$1:$I$89,7,0))</f>
        <v>0</v>
      </c>
      <c r="AT179" s="16">
        <f>IF(ISNA(VLOOKUP(A179,'Données projet'!$A$71:$I$91,7,0)),0%,VLOOKUP(A179,'Données projet'!$A$71:$I$91,7,0))</f>
        <v>0</v>
      </c>
      <c r="AU179" s="21">
        <f>EXP(-LN(2)/35)*AU178+(1-EXP(-LN(2)/35))/(LN(2)/35)*AQ179*AR179*VLOOKUP('Données projet'!$B$10,Paramètres!$A$1:$I$89,3,0)*0.475*44/12</f>
        <v>70.132856829649853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331"/>
        <v>70.132856829649853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projet'!$A$97:$I$117,2,0)</f>
        <v>#N/A</v>
      </c>
      <c r="BB179" s="12" t="e">
        <f>VLOOKUP(A179,'Données projet'!$A$97:$I$117,9,0)</f>
        <v>#N/A</v>
      </c>
      <c r="BC179" s="12">
        <f t="array" ref="BC179">INDEX(BB:BB,MIN(IF(ISNUMBER(BB179:BB375),ROW(BB179:BB375),"")))</f>
        <v>0</v>
      </c>
      <c r="BD179" s="12">
        <f>IF('Données projet'!$A$98&gt;35,BD178+BC179-BL178,IF(A179&lt;'Données projet'!$A$98,$BA$205^A179,IF(A179='Données projet'!$A$98,'Données projet'!$B$98,BD178+BC179-BL178)))</f>
        <v>-1.1368683772161603E-13</v>
      </c>
      <c r="BE179" s="13">
        <f>BD179*VLOOKUP('Données projet'!$B$11,Paramètres!$A$1:$I$89,3,0)*VLOOKUP('Données projet'!$B$11,Paramètres!$A$1:$I$89,5,0)</f>
        <v>-5.0249582272954292E-14</v>
      </c>
      <c r="BF179" s="13" t="e">
        <f t="shared" si="332"/>
        <v>#NUM!</v>
      </c>
      <c r="BG179" s="20" t="e">
        <f t="shared" si="333"/>
        <v>#NUM!</v>
      </c>
      <c r="BH179" s="59" t="e">
        <f t="shared" si="231"/>
        <v>#NUM!</v>
      </c>
      <c r="BI179" s="59">
        <f ca="1">AVERAGE(OFFSET($BH$3,0,0,'Données projet'!$E$11+1,1))-AVERAGE(OFFSET($H$3,0,0,'Données projet'!$E$11+1,1))</f>
        <v>211.31057120485542</v>
      </c>
      <c r="BJ179" s="59">
        <f t="shared" si="291"/>
        <v>283.33292006714777</v>
      </c>
      <c r="BK179" s="15">
        <f>IF(ISNA(VLOOKUP(A179,'Données projet'!$A$97:$I$117,3,0)),0,VLOOKUP(A179,'Données projet'!$A$97:$I$117,3,0))</f>
        <v>0</v>
      </c>
      <c r="BL179" s="15">
        <f>IF(ISNA(VLOOKUP(A179,'Données projet'!$A$97:$I$117,4,0)),0,VLOOKUP(A179,'Données projet'!$A$97:$I$117,4,0))</f>
        <v>0</v>
      </c>
      <c r="BM179" s="16">
        <f>IF(ISNA(VLOOKUP(A179,'Données projet'!$A$97:$I$117,5,0)),0%,VLOOKUP(A179,'Données projet'!$A$97:$I$117,5,0)*VLOOKUP('Données projet'!$B$11,Paramètres!$A$1:$I$89,7,0))</f>
        <v>0</v>
      </c>
      <c r="BN179" s="16">
        <f>IF(ISNA(VLOOKUP(A179,'Données projet'!$A$97:$I$117,6,0)),0%,VLOOKUP(A179,'Données projet'!$A$97:$I$117,6,0)*VLOOKUP('Données projet'!$B$11,Paramètres!$A$1:$I$89,7,0))</f>
        <v>0</v>
      </c>
      <c r="BO179" s="16">
        <f>IF(ISNA(VLOOKUP(A179,'Données projet'!$A$97:$I$117,7,0)),0%,VLOOKUP(A179,'Données projet'!$A$97:$I$117,7,0))</f>
        <v>0</v>
      </c>
      <c r="BP179" s="21">
        <f>EXP(-LN(2)/35)*BP178+(1-EXP(-LN(2)/35))/(LN(2)/35)*BL179*BM179*VLOOKUP('Données projet'!$B$11,Paramètres!$A$1:$I$89,3,0)*0.475*44/12</f>
        <v>16.318342923814225</v>
      </c>
      <c r="BQ179" s="21">
        <f>EXP(-LN(2)/25)*BQ178+(1-EXP(-LN(2)/25))/(LN(2)/25)*Calculateur!BL179*Calculateur!BN179*VLOOKUP('Données projet'!$B$11,Paramètres!$A$1:$I$89,3,0)*0.475*44/12</f>
        <v>1.5903974505570468</v>
      </c>
      <c r="BR179" s="21">
        <f>EXP(-LN(2)/2)*BR178+(1-EXP(-LN(2)/2))/(LN(2)/2)*BL179*BO179*VLOOKUP('Données projet'!$B$11,Paramètres!$A$1:$I$89,3,0)*0.475*44/12</f>
        <v>1.656647708078187E-17</v>
      </c>
      <c r="BS179" s="22">
        <f t="shared" si="334"/>
        <v>17.90874037437127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projet'!$A$123:$I$143,2,0)</f>
        <v>#N/A</v>
      </c>
      <c r="BW179" s="12" t="e">
        <f>VLOOKUP(A179,'Données projet'!$A$123:$I$143,9,0)</f>
        <v>#N/A</v>
      </c>
      <c r="BX179" s="12">
        <f t="array" ref="BX179">INDEX(BW:BW,MIN(IF(ISNUMBER(BW179:BW375),ROW(BW179:BW375),"")))</f>
        <v>0</v>
      </c>
      <c r="BY179" s="12">
        <f>IF('Données projet'!$A$124&gt;35,BY178+BX179-CG178,IF(A179&lt;'Données projet'!$A$124,$BV$205^A179,IF(A179='Données projet'!$A$124,'Données projet'!$B$124,BY178+BX179-CG178)))</f>
        <v>0</v>
      </c>
      <c r="BZ179" s="13">
        <f>BY179*VLOOKUP('Données projet'!$B$12,Paramètres!$A$1:$I$89,3,0)*VLOOKUP('Données projet'!$B$12,Paramètres!$A$1:$I$89,5,0)</f>
        <v>0</v>
      </c>
      <c r="CA179" s="13" t="e">
        <f t="shared" si="335"/>
        <v>#NUM!</v>
      </c>
      <c r="CB179" s="20" t="e">
        <f t="shared" si="336"/>
        <v>#NUM!</v>
      </c>
      <c r="CC179" s="59" t="e">
        <f t="shared" si="234"/>
        <v>#NUM!</v>
      </c>
      <c r="CD179" s="59">
        <f ca="1">AVERAGE(OFFSET($CC$3,0,0,'Données projet'!$E$12+1,1))-AVERAGE(OFFSET($H$3,0,0,'Données projet'!$E$12+1,1))</f>
        <v>322.93502595881938</v>
      </c>
      <c r="CE179" s="59">
        <f t="shared" si="293"/>
        <v>302.67072119588164</v>
      </c>
      <c r="CF179" s="15">
        <f>IF(ISNA(VLOOKUP(A179,'Données projet'!$A$123:$I$143,3,0)),0,VLOOKUP(A179,'Données projet'!$A$123:$I$143,3,0))</f>
        <v>0</v>
      </c>
      <c r="CG179" s="15">
        <f>IF(ISNA(VLOOKUP(A179,'Données projet'!$A$123:$I$143,4,0)),0,VLOOKUP(A179,'Données projet'!$A$123:$I$143,4,0))</f>
        <v>0</v>
      </c>
      <c r="CH179" s="16">
        <f>IF(ISNA(VLOOKUP(A179,'Données projet'!$A$123:$I$143,5,0)),0%,VLOOKUP(A179,'Données projet'!$A$123:$I$143,5,0)*VLOOKUP('Données projet'!$B$12,Paramètres!$A$1:$I$89,7,0))</f>
        <v>0</v>
      </c>
      <c r="CI179" s="16">
        <f>IF(ISNA(VLOOKUP(A179,'Données projet'!$A$123:$I$143,6,0)),0%,VLOOKUP(A179,'Données projet'!$A$123:$I$143,6,0)*VLOOKUP('Données projet'!$B$12,Paramètres!$A$1:$I$89,7,0))</f>
        <v>0</v>
      </c>
      <c r="CJ179" s="16">
        <f>IF(ISNA(VLOOKUP(A179,'Données projet'!$A$123:$I$143,7,0)),0%,VLOOKUP(A179,'Données projet'!$A$123:$I$143,7,0))</f>
        <v>0</v>
      </c>
      <c r="CK179" s="21">
        <f>EXP(-LN(2)/35)*CK178+(1-EXP(-LN(2)/35))/(LN(2)/35)*CG179*CH179*VLOOKUP('Données projet'!$B$12,Paramètres!$A$1:$I$89,3,0)*0.475*44/12</f>
        <v>25.999063347571969</v>
      </c>
      <c r="CL179" s="21">
        <f>EXP(-LN(2)/25)*CL178+(1-EXP(-LN(2)/25))/(LN(2)/25)*Calculateur!CG179*Calculateur!CI179*VLOOKUP('Données projet'!$B$12,Paramètres!$A$1:$I$89,3,0)*0.475*44/12</f>
        <v>5.0902340942161715</v>
      </c>
      <c r="CM179" s="21">
        <f>EXP(-LN(2)/2)*CM178+(1-EXP(-LN(2)/2))/(LN(2)/2)*CG179*CJ179*VLOOKUP('Données projet'!$B$12,Paramètres!$A$1:$I$89,3,0)*0.475*44/12</f>
        <v>0</v>
      </c>
      <c r="CN179" s="22">
        <f t="shared" si="337"/>
        <v>31.08929744178814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projet'!$A$149:$I$169,2,0)</f>
        <v>#N/A</v>
      </c>
      <c r="CR179" s="12" t="e">
        <f>VLOOKUP(A179,'Données projet'!$A$149:$I$169,9,0)</f>
        <v>#N/A</v>
      </c>
      <c r="CS179" s="12">
        <f t="array" ref="CS179">INDEX(CR:CR,MIN(IF(ISNUMBER(CR179:CR375),ROW(CR179:CR375),"")))</f>
        <v>0</v>
      </c>
      <c r="CT179" s="12">
        <f>IF('Données projet'!$A$150&gt;35,CT178+CS179-DB178,IF(A179&lt;'Données projet'!$A$150,$CQ$205^A179,IF(A179='Données projet'!$A$150,'Données projet'!$B$150,CT178+CS179-DB178)))</f>
        <v>-4.5474735088646412E-13</v>
      </c>
      <c r="CU179" s="17">
        <f>CT179*VLOOKUP('Données projet'!$B$13,Paramètres!$A$1:$I$89,3,0)*VLOOKUP('Données projet'!$B$13,Paramètres!$A$1:$I$89,5,0)</f>
        <v>-4.6111381379887462E-13</v>
      </c>
      <c r="CV179" s="13" t="e">
        <f t="shared" si="338"/>
        <v>#NUM!</v>
      </c>
      <c r="CW179" s="20" t="e">
        <f t="shared" si="339"/>
        <v>#NUM!</v>
      </c>
      <c r="CX179" s="59" t="e">
        <f t="shared" si="237"/>
        <v>#NUM!</v>
      </c>
      <c r="CY179" s="59">
        <f ca="1">AVERAGE(OFFSET($CX$3,0,0,'Données projet'!$E$13+1,1))-AVERAGE(OFFSET($H$3,0,0,'Données projet'!$E$13+1,1))</f>
        <v>250.31277422753283</v>
      </c>
      <c r="CZ179" s="59">
        <f t="shared" si="295"/>
        <v>159.20429420478047</v>
      </c>
      <c r="DA179" s="15">
        <f>IF(ISNA(VLOOKUP(A179,'Données projet'!$A$149:$I$169,3,0)),0,VLOOKUP(A179,'Données projet'!$A$149:$I$169,3,0))</f>
        <v>0</v>
      </c>
      <c r="DB179" s="15">
        <f>IF(ISNA(VLOOKUP(A179,'Données projet'!$A$149:$I$169,4,0)),0,VLOOKUP(A179,'Données projet'!$A$149:$I$169,4,0))</f>
        <v>0</v>
      </c>
      <c r="DC179" s="16">
        <f>IF(ISNA(VLOOKUP(A179,'Données projet'!$A$149:$I$169,5,0)),0%,VLOOKUP(A179,'Données projet'!$A$149:$I$169,5,0)*VLOOKUP('Données projet'!$B$13,Paramètres!$A$1:$I$89,7,0))</f>
        <v>0</v>
      </c>
      <c r="DD179" s="16">
        <f>IF(ISNA(VLOOKUP(A179,'Données projet'!$A$149:$I$169,6,0)),0%,VLOOKUP(A179,'Données projet'!$A$149:$I$169,6,0)*VLOOKUP('Données projet'!$B$13,Paramètres!$A$1:$I$89,7,0))</f>
        <v>0</v>
      </c>
      <c r="DE179" s="16">
        <f>IF(ISNA(VLOOKUP(A179,'Données projet'!$A$149:$I$169,7,0)),0%,VLOOKUP(A179,'Données projet'!$A$149:$I$169,7,0))</f>
        <v>0</v>
      </c>
      <c r="DF179" s="21">
        <f>EXP(-LN(2)/35)*DF178+(1-EXP(-LN(2)/35))/(LN(2)/35)*DB179*DC179*VLOOKUP('Données projet'!$B$13,Paramètres!$A$1:$I$89,3,0)*0.475*44/12</f>
        <v>118.35548249041069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340"/>
        <v>118.35548249041069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projet'!$A$175:$I$195,2,0)</f>
        <v>#N/A</v>
      </c>
      <c r="DM179" s="12" t="e">
        <f>VLOOKUP(A179,'Données projet'!$A$175:$I$195,9,0)</f>
        <v>#N/A</v>
      </c>
      <c r="DN179" s="12">
        <f t="array" ref="DN179">INDEX(DM:DM,MIN(IF(ISNUMBER(DM179:DM375),ROW(DM179:DM375),"")))</f>
        <v>0</v>
      </c>
      <c r="DO179" s="12">
        <f>IF('Données projet'!$A$176&gt;35,DO178+DN179-DW178,IF(A179&lt;'Données projet'!$A$176,$DL$205^A179,IF(A179='Données projet'!$A$176,'Données projet'!$B$176,DO178+DN179-DW178)))</f>
        <v>-2.8421709430404007E-13</v>
      </c>
      <c r="DP179" s="17">
        <f>DO179*VLOOKUP('Données projet'!$B$14,Paramètres!$A$1:$I$89,3,0)*VLOOKUP('Données projet'!$B$14,Paramètres!$A$1:$I$89,5,0)</f>
        <v>-2.0838797354372215E-13</v>
      </c>
      <c r="DQ179" s="13" t="e">
        <f t="shared" si="341"/>
        <v>#NUM!</v>
      </c>
      <c r="DR179" s="20" t="e">
        <f t="shared" si="342"/>
        <v>#NUM!</v>
      </c>
      <c r="DS179" s="59" t="e">
        <f t="shared" si="240"/>
        <v>#NUM!</v>
      </c>
      <c r="DT179" s="59">
        <f ca="1">AVERAGE(OFFSET($DS$3,0,0,'Données projet'!$E$14+1,1))-AVERAGE(OFFSET($H$3,0,0,'Données projet'!$E$14+1,1))</f>
        <v>296.91321813251051</v>
      </c>
      <c r="DU179" s="59">
        <f t="shared" si="297"/>
        <v>291.0718079639509</v>
      </c>
      <c r="DV179" s="15">
        <f>IF(ISNA(VLOOKUP(A179,'Données projet'!$A$175:$I$195,3,0)),0,VLOOKUP(A179,'Données projet'!$A$175:$I$195,3,0))</f>
        <v>0</v>
      </c>
      <c r="DW179" s="15">
        <f>IF(ISNA(VLOOKUP(A179,'Données projet'!$A$175:$I$195,4,0)),0,VLOOKUP(A179,'Données projet'!$A$175:$I$195,4,0))</f>
        <v>0</v>
      </c>
      <c r="DX179" s="16">
        <f>IF(ISNA(VLOOKUP(A179,'Données projet'!$A$175:$I$195,5,0)),0%,VLOOKUP(A179,'Données projet'!$A$175:$I$195,5,0)*VLOOKUP('Données projet'!$B$14,Paramètres!$A$1:$I$89,7,0))</f>
        <v>0</v>
      </c>
      <c r="DY179" s="16">
        <f>IF(ISNA(VLOOKUP(A179,'Données projet'!$A$175:$I$195,6,0)),0%,VLOOKUP(A179,'Données projet'!$A$175:$I$195,6,0)*VLOOKUP('Données projet'!$B$14,Paramètres!$A$1:$I$89,7,0))</f>
        <v>0</v>
      </c>
      <c r="DZ179" s="16">
        <f>IF(ISNA(VLOOKUP(A179,'Données projet'!$A$175:$I$195,7,0)),0%,VLOOKUP(A179,'Données projet'!$A$175:$I$195,7,0))</f>
        <v>0</v>
      </c>
      <c r="EA179" s="21">
        <f>EXP(-LN(2)/35)*EA178+(1-EXP(-LN(2)/35))/(LN(2)/35)*DW179*DX179*VLOOKUP('Données projet'!$B$14,Paramètres!$A$1:$I$89,3,0)*0.475*44/12</f>
        <v>25.912719341622157</v>
      </c>
      <c r="EB179" s="21">
        <f>EXP(-LN(2)/25)*EB178+(1-EXP(-LN(2)/25))/(LN(2)/25)*Calculateur!DW179*Calculateur!DY179*VLOOKUP('Données projet'!$B$14,Paramètres!$A$1:$I$89,3,0)*0.475*44/12</f>
        <v>0.37393321312652361</v>
      </c>
      <c r="EC179" s="21">
        <f>EXP(-LN(2)/2)*EC178+(1-EXP(-LN(2)/2))/(LN(2)/2)*DW179*DZ179*VLOOKUP('Données projet'!$B$14,Paramètres!$A$1:$I$89,3,0)*0.475*44/12</f>
        <v>0</v>
      </c>
      <c r="ED179" s="22">
        <f t="shared" si="343"/>
        <v>26.286652554748681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projet'!$A$201:$I$221,2,0)</f>
        <v>#N/A</v>
      </c>
      <c r="EH179" s="12" t="e">
        <f>VLOOKUP(A179,'Données projet'!$A$201:$I$221,9,0)</f>
        <v>#N/A</v>
      </c>
      <c r="EI179" s="12">
        <f t="array" ref="EI179">INDEX(EH:EH,MIN(IF(ISNUMBER(EH179:EH375),ROW(EH179:EH375),"")))</f>
        <v>0</v>
      </c>
      <c r="EJ179" s="12">
        <f>IF('Données projet'!$A$202&gt;35,EJ178+EI179-ER178,IF(A179&lt;'Données projet'!$A$202,$EG$205^A179,IF(A179='Données projet'!$A$202,'Données projet'!$B$202,EJ178+EI179-ER178)))</f>
        <v>5.1159076974727213E-13</v>
      </c>
      <c r="EK179" s="17">
        <f>EJ179*VLOOKUP('Données projet'!$B$15,Paramètres!$A$1:$I$89,3,0)*VLOOKUP('Données projet'!$B$15,Paramètres!$A$1:$I$89,5,0)</f>
        <v>2.3942448024172334E-13</v>
      </c>
      <c r="EL179" s="13">
        <f t="shared" si="344"/>
        <v>3.2492669905861755E-12</v>
      </c>
      <c r="EM179" s="20">
        <f t="shared" si="345"/>
        <v>6.0761376450252565E-12</v>
      </c>
      <c r="EN179" s="59">
        <f t="shared" si="243"/>
        <v>293.3333333333394</v>
      </c>
      <c r="EO179" s="59">
        <f ca="1">AVERAGE(OFFSET($EN$3,0,0,'Données projet'!$E$15+1,1))-AVERAGE(OFFSET($H$3,0,0,'Données projet'!$E$15+1,1))</f>
        <v>147.64256291235483</v>
      </c>
      <c r="EP179" s="59">
        <f t="shared" si="299"/>
        <v>70.859031694091868</v>
      </c>
      <c r="EQ179" s="15">
        <f>IF(ISNA(VLOOKUP(A179,'Données projet'!$A$201:$I$221,3,0)),0,VLOOKUP(A179,'Données projet'!$A$201:$I$221,3,0))</f>
        <v>0</v>
      </c>
      <c r="ER179" s="15">
        <f>IF(ISNA(VLOOKUP(A179,'Données projet'!$A$201:$I$221,4,0)),0,VLOOKUP(A179,'Données projet'!$A$201:$I$221,4,0))</f>
        <v>0</v>
      </c>
      <c r="ES179" s="16">
        <f>IF(ISNA(VLOOKUP(A179,'Données projet'!$A$201:$I$221,5,0)),0%,VLOOKUP(A179,'Données projet'!$A$201:$I$221,5,0)*VLOOKUP('Données projet'!$B$15,Paramètres!$A$1:$I$89,7,0))</f>
        <v>0</v>
      </c>
      <c r="ET179" s="16">
        <f>IF(ISNA(VLOOKUP(A179,'Données projet'!$A$201:$I$221,6,0)),0%,VLOOKUP(A179,'Données projet'!$A$201:$I$221,6,0)*VLOOKUP('Données projet'!$B$15,Paramètres!$A$1:$I$89,7,0))</f>
        <v>0</v>
      </c>
      <c r="EU179" s="16">
        <f>IF(ISNA(VLOOKUP(A179,'Données projet'!$A$201:$I$221,7,0)),0%,VLOOKUP(A179,'Données projet'!$A$201:$I$221,7,0))</f>
        <v>0</v>
      </c>
      <c r="EV179" s="21">
        <f>EXP(-LN(2)/35)*EV178+(1-EXP(-LN(2)/35))/(LN(2)/35)*ER179*ES179*VLOOKUP('Données projet'!$B$15,Paramètres!$A$1:$I$89,3,0)*0.475*44/12</f>
        <v>35.474921236715034</v>
      </c>
      <c r="EW179" s="21">
        <f>EXP(-LN(2)/25)*EW178+(1-EXP(-LN(2)/25))/(LN(2)/25)*Calculateur!ER179*Calculateur!ET179*VLOOKUP('Données projet'!$B$15,Paramètres!$A$1:$I$89,3,0)*0.475*44/12</f>
        <v>5.1879466007855841</v>
      </c>
      <c r="EX179" s="21">
        <f>EXP(-LN(2)/2)*EX178+(1-EXP(-LN(2)/2))/(LN(2)/2)*ER179*EU179*VLOOKUP('Données projet'!$B$15,Paramètres!$A$1:$I$89,3,0)*0.475*44/12</f>
        <v>1.5104285729338915E-9</v>
      </c>
      <c r="EY179" s="22">
        <f t="shared" si="346"/>
        <v>40.662867839011049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projet'!$A$227:$I$247,2,0)</f>
        <v>#N/A</v>
      </c>
      <c r="FC179" s="12" t="e">
        <f>VLOOKUP(A179,'Données projet'!$A$227:$I$247,9,0)</f>
        <v>#N/A</v>
      </c>
      <c r="FD179" s="12">
        <f t="array" ref="FD179">INDEX(FC:FC,MIN(IF(ISNUMBER(FC179:FC375),ROW(FC179:FC375),"")))</f>
        <v>0</v>
      </c>
      <c r="FE179" s="12">
        <f>IF('Données projet'!$A$228&gt;35,FE178+FD179-FM178,IF(A179&lt;'Données projet'!$A$228,$FB$205^A179,IF(A179='Données projet'!$A$228,'Données projet'!$B$228,FE178+FD179-FM178)))</f>
        <v>8.5265128291212022E-14</v>
      </c>
      <c r="FF179" s="17">
        <f>FE179*VLOOKUP('Données projet'!$B$16,Paramètres!$A$1:$I$89,3,0)*VLOOKUP('Données projet'!$B$16,Paramètres!$A$1:$I$89,5,0)</f>
        <v>8.9119112089974823E-14</v>
      </c>
      <c r="FG179" s="13">
        <f t="shared" si="347"/>
        <v>1.3568952080113142E-12</v>
      </c>
      <c r="FH179" s="20">
        <f t="shared" si="348"/>
        <v>2.5184749408430782E-12</v>
      </c>
      <c r="FI179" s="59">
        <f t="shared" si="246"/>
        <v>293.33333333333582</v>
      </c>
      <c r="FJ179" s="59">
        <f ca="1">AVERAGE(OFFSET($FI$3,0,0,'Données projet'!$E$16+1,1))-AVERAGE(OFFSET($H$3,0,0,'Données projet'!$E$16+1,1))</f>
        <v>259.03906550253788</v>
      </c>
      <c r="FK179" s="59">
        <f t="shared" si="301"/>
        <v>235.54542903570831</v>
      </c>
      <c r="FL179" s="15">
        <f>IF(ISNA(VLOOKUP(A179,'Données projet'!$A$227:$I$247,3,0)),0,VLOOKUP(A179,'Données projet'!$A$227:$I$247,3,0))</f>
        <v>0</v>
      </c>
      <c r="FM179" s="15">
        <f>IF(ISNA(VLOOKUP(A179,'Données projet'!$A$227:$I$247,4,0)),0,VLOOKUP(A179,'Données projet'!$A$227:$I$247,4,0))</f>
        <v>0</v>
      </c>
      <c r="FN179" s="16">
        <f>IF(ISNA(VLOOKUP(A179,'Données projet'!$A$227:$I$247,5,0)),0%,VLOOKUP(A179,'Données projet'!$A$227:$I$247,5,0)*VLOOKUP('Données projet'!$B$16,Paramètres!$A$1:$I$89,7,0))</f>
        <v>0</v>
      </c>
      <c r="FO179" s="16">
        <f>IF(ISNA(VLOOKUP(A179,'Données projet'!$A$227:$I$247,6,0)),0%,VLOOKUP(A179,'Données projet'!$A$227:$I$247,6,0)*VLOOKUP('Données projet'!$B$16,Paramètres!$A$1:$I$89,7,0))</f>
        <v>0</v>
      </c>
      <c r="FP179" s="16">
        <f>IF(ISNA(VLOOKUP(A179,'Données projet'!$A$227:$I$247,7,0)),0%,VLOOKUP(A179,'Données projet'!$A$227:$I$247,7,0))</f>
        <v>0</v>
      </c>
      <c r="FQ179" s="21">
        <f>EXP(-LN(2)/35)*FQ178+(1-EXP(-LN(2)/35))/(LN(2)/35)*FM179*FN179*VLOOKUP('Données projet'!$B$16,Paramètres!$A$1:$I$89,3,0)*0.475*44/12</f>
        <v>15.657666135446277</v>
      </c>
      <c r="FR179" s="21">
        <f>EXP(-LN(2)/25)*FR178+(1-EXP(-LN(2)/25))/(LN(2)/25)*Calculateur!FM179*Calculateur!FO179*VLOOKUP('Données projet'!$B$16,Paramètres!$A$1:$I$89,3,0)*0.475*44/12</f>
        <v>7.1369266610402873</v>
      </c>
      <c r="FS179" s="21">
        <f>EXP(-LN(2)/2)*FS178+(1-EXP(-LN(2)/2))/(LN(2)/2)*FM179*FP179*VLOOKUP('Données projet'!$B$16,Paramètres!$A$1:$I$89,3,0)*0.475*44/12</f>
        <v>0</v>
      </c>
      <c r="FT179" s="22">
        <f t="shared" si="349"/>
        <v>22.794592796486565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projet'!$A$253:$I$273,2,0)</f>
        <v>#N/A</v>
      </c>
      <c r="FX179" s="12" t="e">
        <f>VLOOKUP(A179,'Données projet'!$A$253:$I$273,9,0)</f>
        <v>#N/A</v>
      </c>
      <c r="FY179" s="12">
        <f t="array" ref="FY179">INDEX(FX:FX,MIN(IF(ISNUMBER(FX179:FX375),ROW(FX179:FX375),"")))</f>
        <v>0</v>
      </c>
      <c r="FZ179" s="12">
        <f>IF('Données projet'!$A$254&gt;35,FZ178+FY179-GH178,IF(A179&lt;'Données projet'!$A$254,$FW$205^A179,IF(A179='Données projet'!$A$254,'Données projet'!$B$254,FZ178+FY179-GH178)))</f>
        <v>-1.7053025658242404E-13</v>
      </c>
      <c r="GA179" s="17">
        <f>FZ179*VLOOKUP('Données projet'!$B$17,Paramètres!$A$1:$I$89,3,0)*VLOOKUP('Données projet'!$B$17,Paramètres!$A$1:$I$89,5,0)</f>
        <v>-1.4897523215040567E-13</v>
      </c>
      <c r="GB179" s="13" t="e">
        <f t="shared" si="350"/>
        <v>#NUM!</v>
      </c>
      <c r="GC179" s="20" t="e">
        <f t="shared" si="351"/>
        <v>#NUM!</v>
      </c>
      <c r="GD179" s="59" t="e">
        <f t="shared" si="249"/>
        <v>#NUM!</v>
      </c>
      <c r="GE179" s="59">
        <f ca="1">AVERAGE(OFFSET($GD$3,0,0,'Données projet'!$E$17+1,1))-AVERAGE(OFFSET($H$3,0,0,'Données projet'!$E$17+1,1))</f>
        <v>245.1983232777614</v>
      </c>
      <c r="GF179" s="59">
        <f t="shared" si="303"/>
        <v>242.34010522344573</v>
      </c>
      <c r="GG179" s="15">
        <f>IF(ISNA(VLOOKUP(A179,'Données projet'!$A$253:$I$273,3,0)),0,VLOOKUP(A179,'Données projet'!$A$253:$I$273,3,0))</f>
        <v>0</v>
      </c>
      <c r="GH179" s="15">
        <f>IF(ISNA(VLOOKUP(A179,'Données projet'!$A$253:$I$273,4,0)),0,VLOOKUP(A179,'Données projet'!$A$253:$I$273,4,0))</f>
        <v>0</v>
      </c>
      <c r="GI179" s="16">
        <f>IF(ISNA(VLOOKUP(A179,'Données projet'!$A$253:$I$273,5,0)),0%,VLOOKUP(A179,'Données projet'!$A$253:$I$273,5,0)*VLOOKUP('Données projet'!$B$17,Paramètres!$A$1:$I$89,7,0))</f>
        <v>0</v>
      </c>
      <c r="GJ179" s="16">
        <f>IF(ISNA(VLOOKUP(A179,'Données projet'!$A$253:$I$273,6,0)),0%,VLOOKUP(A179,'Données projet'!$A$253:$I$273,6,0)*VLOOKUP('Données projet'!$B$17,Paramètres!$A$1:$I$89,7,0))</f>
        <v>0</v>
      </c>
      <c r="GK179" s="16">
        <f>IF(ISNA(VLOOKUP(A179,'Données projet'!$A$253:$I$273,7,0)),0%,VLOOKUP(A179,'Données projet'!$A$253:$I$273,7,0))</f>
        <v>0</v>
      </c>
      <c r="GL179" s="21">
        <f>EXP(-LN(2)/35)*GL178+(1-EXP(-LN(2)/35))/(LN(2)/35)*GH179*GI179*VLOOKUP('Données projet'!$B$17,Paramètres!$A$1:$I$89,3,0)*0.475*44/12</f>
        <v>18.407734809973839</v>
      </c>
      <c r="GM179" s="21">
        <f>EXP(-LN(2)/25)*GM178+(1-EXP(-LN(2)/25))/(LN(2)/25)*Calculateur!GH179*Calculateur!GJ179*VLOOKUP('Données projet'!$B$17,Paramètres!$A$1:$I$89,3,0)*0.475*44/12</f>
        <v>1.5207052042734577</v>
      </c>
      <c r="GN179" s="21">
        <f>EXP(-LN(2)/2)*GN178+(1-EXP(-LN(2)/2))/(LN(2)/2)*GH179*GK179*VLOOKUP('Données projet'!$B$17,Paramètres!$A$1:$I$89,3,0)*0.475*44/12</f>
        <v>0</v>
      </c>
      <c r="GO179" s="21">
        <f t="shared" si="352"/>
        <v>19.928440014247297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projet'!$A$279:$I$299,2,0)</f>
        <v>#N/A</v>
      </c>
      <c r="GS179" s="12" t="e">
        <f>VLOOKUP(A179,'Données projet'!$A$279:$I$299,9,0)</f>
        <v>#N/A</v>
      </c>
      <c r="GT179" s="12">
        <f t="array" ref="GT179">INDEX(GS:GS,MIN(IF(ISNUMBER(GS179:GS375),ROW(GS179:GS375),"")))</f>
        <v>0</v>
      </c>
      <c r="GU179" s="12">
        <f>IF('Données projet'!$A$280&gt;35,GU178+GT179-HC178,IF(A179&lt;'Données projet'!$A$280,$GR$205^A179,IF(A179='Données projet'!$A$280,'Données projet'!$B$280,GU178+GT179-HC178)))</f>
        <v>-1.1368683772161603E-13</v>
      </c>
      <c r="GV179" s="17">
        <f>GU179*VLOOKUP('Données projet'!$B$18,Paramètres!$A$1:$I$89,3,0)*VLOOKUP('Données projet'!$B$18,Paramètres!$A$1:$I$89,5,0)</f>
        <v>-4.5815795601811263E-14</v>
      </c>
      <c r="GW179" s="13" t="e">
        <f t="shared" si="353"/>
        <v>#NUM!</v>
      </c>
      <c r="GX179" s="20" t="e">
        <f t="shared" si="354"/>
        <v>#NUM!</v>
      </c>
      <c r="GY179" s="59" t="e">
        <f t="shared" si="252"/>
        <v>#NUM!</v>
      </c>
      <c r="GZ179" s="59">
        <f ca="1">AVERAGE(OFFSET($GY$3,0,0,'Données projet'!$E$18+1,1))-AVERAGE(OFFSET($H$3,0,0,'Données projet'!$E$18+1,1))</f>
        <v>324.36162935850876</v>
      </c>
      <c r="HA179" s="59">
        <f t="shared" si="305"/>
        <v>265.23571072429735</v>
      </c>
      <c r="HB179" s="15">
        <f>IF(ISNA(VLOOKUP(A179,'Données projet'!$A$279:$I$299,3,0)),0,VLOOKUP(A179,'Données projet'!$A$279:$I$299,3,0))</f>
        <v>0</v>
      </c>
      <c r="HC179" s="15">
        <f>IF(ISNA(VLOOKUP(A179,'Données projet'!$A$279:$I$299,4,0)),0,VLOOKUP(A179,'Données projet'!$A$279:$I$299,4,0))</f>
        <v>0</v>
      </c>
      <c r="HD179" s="16">
        <f>IF(ISNA(VLOOKUP(A179,'Données projet'!$A$279:$I$299,5,0)),0%,VLOOKUP(A179,'Données projet'!$A$279:$I$299,5,0)*VLOOKUP('Données projet'!$B$18,Paramètres!$A$1:$I$89,7,0))</f>
        <v>0</v>
      </c>
      <c r="HE179" s="16">
        <f>IF(ISNA(VLOOKUP(A179,'Données projet'!$A$279:$I$299,6,0)),0%,VLOOKUP(A179,'Données projet'!$A$279:$I$299,6,0)*VLOOKUP('Données projet'!$B$18,Paramètres!$A$1:$I$89,7,0))</f>
        <v>0</v>
      </c>
      <c r="HF179" s="16">
        <f>IF(ISNA(VLOOKUP($A179,'Données projet'!$A$279:$I$299,7,0)),0%,VLOOKUP($A179,'Données projet'!$A$279:$I$299,7,0))</f>
        <v>0</v>
      </c>
      <c r="HG179" s="21">
        <f>EXP(-LN(2)/35)*HG178+(1-EXP(-LN(2)/35))/(LN(2)/35)*HC179*HD179*VLOOKUP('Données projet'!$B$18,Paramètres!$A$1:$I$89,3,0)*0.475*44/12</f>
        <v>35.274032024041617</v>
      </c>
      <c r="HH179" s="21">
        <f>EXP(-LN(2)/25)*HH178+(1-EXP(-LN(2)/25))/(LN(2)/25)*Calculateur!HC179*Calculateur!HE179*VLOOKUP('Données projet'!$B$18,Paramètres!$A$1:$I$89,3,0)*0.475*44/12</f>
        <v>1.6912961896921193</v>
      </c>
      <c r="HI179" s="21">
        <f>EXP(-LN(2)/2)*HI178+(1-EXP(-LN(2)/2))/(LN(2)/2)*HC179*HF179*VLOOKUP('Données projet'!$B$18,Paramètres!$A$1:$I$89,3,0)*0.475*44/12</f>
        <v>3.0365788850090524E-14</v>
      </c>
      <c r="HJ179" s="22">
        <f t="shared" si="355"/>
        <v>36.965328213733763</v>
      </c>
      <c r="HK179" s="74">
        <f>('Scénario référence'!$F$8+'Scénario référence'!$F$9+'Scénario référence'!$B$17+'Scénario référence'!$B$9+'Scénario référence'!$B$10)*70+IF((45+25*(1-EXP(-0.0175*$A179)))&lt;70,'Scénario référence'!$B$16*(45+25*(1-EXP(-0.0175*$A179))),70*'Scénario référence'!$B$16)+IF((32+38*(1-EXP(-0.0175*$A179)))&lt;70,'Scénario référence'!$B$18*(32+38*(1-EXP(-0.0175*$A179))),70*'Scénario référence'!$B$18)</f>
        <v>70</v>
      </c>
      <c r="HL179" s="12">
        <f>IF($A179&gt;30,10,('Scénario référence'!$B$16+'Scénario référence'!$B$17+'Scénario référence'!$B$18+'Scénario référence'!$B$9+'Scénario référence'!$B$10)*$A179*10/30+('Scénario référence'!$F$8+'Scénario référence'!$F$9)*10)</f>
        <v>10</v>
      </c>
      <c r="HM179" s="12" t="e">
        <f>VLOOKUP($A179,'Données projet'!$A$304:$I$324,2,0)</f>
        <v>#N/A</v>
      </c>
      <c r="HN179" s="12" t="e">
        <f>VLOOKUP($A179,'Données projet'!$A$304:$I$324,9,0)</f>
        <v>#N/A</v>
      </c>
      <c r="HO179" s="12">
        <f t="array" ref="HO179">INDEX(HN:HN,MIN(IF(ISNUMBER(HN179:HN375),ROW(HN179:HN375),"")))</f>
        <v>0</v>
      </c>
      <c r="HP179" s="12">
        <f>IF('Données projet'!$A$304&gt;35,HP178+HO179-HX178,IF($A179&lt;'Données projet'!$A$304,$CQ$205^$A179,IF($A179='Données projet'!$A$304,'Données projet'!$B$304,HP178+HO179-HX178)))</f>
        <v>0</v>
      </c>
      <c r="HQ179" s="17">
        <f>HP179*VLOOKUP('Données projet'!$B$19,Paramètres!$A$1:$I$89,3,0)*VLOOKUP('Données projet'!$B$19,Paramètres!$A$1:$I$89,5,0)</f>
        <v>0</v>
      </c>
      <c r="HR179" s="13" t="e">
        <f t="shared" si="306"/>
        <v>#NUM!</v>
      </c>
      <c r="HS179" s="14" t="e">
        <f t="shared" si="254"/>
        <v>#NUM!</v>
      </c>
      <c r="HT179" s="59" t="e">
        <f t="shared" si="255"/>
        <v>#NUM!</v>
      </c>
      <c r="HU179" s="59">
        <f ca="1">AVERAGE(OFFSET(HT$3,0,0,'Données projet'!$E$19+1,1))-AVERAGE(OFFSET($H$3,0,0,'Données projet'!$E$19+1,1))</f>
        <v>91.60721429656013</v>
      </c>
      <c r="HV179" s="59">
        <f t="shared" si="307"/>
        <v>258.94957804210856</v>
      </c>
      <c r="HW179" s="15">
        <f>IF(ISNA(VLOOKUP($A179,'Données projet'!$A$304:$I$324,3,0)),0,VLOOKUP($A179,'Données projet'!$A$304:$I$324,3,0))</f>
        <v>0</v>
      </c>
      <c r="HX179" s="15">
        <f>IF(ISNA(VLOOKUP($A179,'Données projet'!$A$304:$I$324,4,0)),0,VLOOKUP($A179,'Données projet'!$A$304:$I$324,4,0))</f>
        <v>0</v>
      </c>
      <c r="HY179" s="16">
        <f>IF(ISNA(VLOOKUP($A179,'Données projet'!$A$304:$I$324,5,0)),0%,VLOOKUP($A179,'Données projet'!$A$304:$I$324,5,0)*VLOOKUP('Données projet'!$B$19,Paramètres!$A$1:$I$89,7,0))</f>
        <v>0</v>
      </c>
      <c r="HZ179" s="16">
        <f>IF(ISNA(VLOOKUP($A179,'Données projet'!$A$304:$I$324,6,0)),0%,VLOOKUP($A179,'Données projet'!$A$304:$I$324,6,0)*VLOOKUP('Données projet'!$B$19,Paramètres!$A$1:$I$89,7,0))</f>
        <v>0</v>
      </c>
      <c r="IA179" s="16">
        <f>IF(ISNA(VLOOKUP($A179,'Données projet'!$A$304:$I$324,7,0)),0%,VLOOKUP($A179,'Données projet'!$A$304:$I$324,7,0))</f>
        <v>0</v>
      </c>
      <c r="IB179" s="21">
        <f>EXP(-LN(2)/35)*IB178+(1-EXP(-LN(2)/35))/(LN(2)/35)*HX179*HY179*VLOOKUP('Données projet'!$B$19,Paramètres!$A$1:$I$89,3,0)*0.475*44/12</f>
        <v>2.7378509546211531</v>
      </c>
      <c r="IC179" s="21">
        <f>EXP(-LN(2)/25)*IC178+(1-EXP(-LN(2)/25))/(LN(2)/25)*Calculateur!HX179*Calculateur!HZ179*VLOOKUP('Données projet'!$B$19,Paramètres!$A$1:$I$89,3,0)*0.475*44/12</f>
        <v>0.16982287340520547</v>
      </c>
      <c r="ID179" s="21">
        <f>EXP(-LN(2)/2)*ID178+(1-EXP(-LN(2)/2))/(LN(2)/2)*HX179*IA179*VLOOKUP('Données projet'!$B$19,Paramètres!$A$1:$I$89,3,0)*0.475*44/12</f>
        <v>6.0653097744742569E-23</v>
      </c>
      <c r="IE179" s="22">
        <f t="shared" si="256"/>
        <v>2.9076738280263585</v>
      </c>
      <c r="IF179" s="74">
        <f>('Scénario référence'!$F$8+'Scénario référence'!$F$9+'Scénario référence'!$B$17+'Scénario référence'!$B$9+'Scénario référence'!$B$10)*70+IF((45+25*(1-EXP(-0.0175*$A179)))&lt;70,'Scénario référence'!$B$16*(45+25*(1-EXP(-0.0175*$A179))),70*'Scénario référence'!$B$16)+IF((32+38*(1-EXP(-0.0175*$A179)))&lt;70,'Scénario référence'!$B$18*(32+38*(1-EXP(-0.0175*$A179))),70*'Scénario référence'!$B$18)</f>
        <v>70</v>
      </c>
      <c r="IG179" s="12">
        <f>IF($A179&gt;30,10,('Scénario référence'!$B$16+'Scénario référence'!$B$17+'Scénario référence'!$B$18+'Scénario référence'!$B$9+'Scénario référence'!$B$10)*$A179*10/30+('Scénario référence'!$F$8+'Scénario référence'!$F$9)*10)</f>
        <v>10</v>
      </c>
      <c r="IH179" s="12" t="e">
        <f>VLOOKUP($A179,'Données projet'!$A$330:$I$350,2,0)</f>
        <v>#N/A</v>
      </c>
      <c r="II179" s="12" t="e">
        <f>VLOOKUP($A179,'Données projet'!$A$330:$I$350,9,0)</f>
        <v>#N/A</v>
      </c>
      <c r="IJ179" s="12">
        <f t="array" ref="IJ179">INDEX(II:II,MIN(IF(ISNUMBER(II179:II375),ROW(II179:II375),"")))</f>
        <v>0</v>
      </c>
      <c r="IK179" s="12">
        <f>IF('Données projet'!$A$330&gt;35,IK178+IJ179-IS178,IF($A179&lt;'Données projet'!$A$330,$CQ$205^$A179,IF($A179='Données projet'!$A$330,'Données projet'!$B$330,IK178+IJ179-IS178)))</f>
        <v>0</v>
      </c>
      <c r="IL179" s="17">
        <f>IK179*VLOOKUP('Données projet'!$B$20,Paramètres!$A$1:$I$89,3,0)*VLOOKUP('Données projet'!$B$20,Paramètres!$A$1:$I$89,5,0)</f>
        <v>0</v>
      </c>
      <c r="IM179" s="13" t="e">
        <f t="shared" si="308"/>
        <v>#NUM!</v>
      </c>
      <c r="IN179" s="20" t="e">
        <f t="shared" si="257"/>
        <v>#NUM!</v>
      </c>
      <c r="IO179" s="59" t="e">
        <f t="shared" si="258"/>
        <v>#NUM!</v>
      </c>
      <c r="IP179" s="59">
        <f ca="1">AVERAGE(OFFSET(IO$3,0,0,'Données projet'!$E$20+1,1))-AVERAGE(OFFSET($H$3,0,0,'Données projet'!$E$20+1,1))</f>
        <v>91.60721429656013</v>
      </c>
      <c r="IQ179" s="59">
        <f t="shared" si="309"/>
        <v>258.94957804210856</v>
      </c>
      <c r="IR179" s="15">
        <f>IF(ISNA(VLOOKUP($A179,'Données projet'!$A$330:$I$350,3,0)),0,VLOOKUP($A179,'Données projet'!$A$330:$I$350,3,0))</f>
        <v>0</v>
      </c>
      <c r="IS179" s="15">
        <f>IF(ISNA(VLOOKUP($A179,'Données projet'!$A$330:$I$350,4,0)),0,VLOOKUP($A179,'Données projet'!$A$330:$I$350,4,0))</f>
        <v>0</v>
      </c>
      <c r="IT179" s="16">
        <f>IF(ISNA(VLOOKUP($A179,'Données projet'!$A$330:$I$350,5,0)),0%,VLOOKUP($A179,'Données projet'!$A$330:$I$350,5,0)*VLOOKUP('Données projet'!$B$20,Paramètres!$A$1:$I$89,7,0))</f>
        <v>0</v>
      </c>
      <c r="IU179" s="16">
        <f>IF(ISNA(VLOOKUP($A179,'Données projet'!$A$330:$I$350,6,0)),0%,VLOOKUP($A179,'Données projet'!$A$330:$I$350,6,0)*VLOOKUP('Données projet'!$B$20,Paramètres!$A$1:$I$89,7,0))</f>
        <v>0</v>
      </c>
      <c r="IV179" s="16">
        <f>IF(ISNA(VLOOKUP($A179,'Données projet'!$A$330:$I$350,7,0)),0%,VLOOKUP($A179,'Données projet'!$A$330:$I$350,7,0))</f>
        <v>0</v>
      </c>
      <c r="IW179" s="21">
        <f>EXP(-LN(2)/35)*IW178+(1-EXP(-LN(2)/35))/(LN(2)/35)*IS179*IT179*VLOOKUP('Données projet'!$B$20,Paramètres!$A$1:$I$89,3,0)*0.475*44/12</f>
        <v>2.7378509546211531</v>
      </c>
      <c r="IX179" s="21">
        <f>EXP(-LN(2)/25)*IX178+(1-EXP(-LN(2)/25))/(LN(2)/25)*Calculateur!IS179*Calculateur!IU179*VLOOKUP('Données projet'!$B$20,Paramètres!$A$1:$I$89,3,0)*0.475*44/12</f>
        <v>0.16982287340520547</v>
      </c>
      <c r="IY179" s="21">
        <f>EXP(-LN(2)/2)*IY178+(1-EXP(-LN(2)/2))/(LN(2)/2)*IS179*IV179*VLOOKUP('Données projet'!$B$20,Paramètres!$A$1:$I$89,3,0)*0.475*44/12</f>
        <v>6.0653097744742569E-23</v>
      </c>
      <c r="IZ179" s="22">
        <f t="shared" si="259"/>
        <v>2.9076738280263585</v>
      </c>
      <c r="JA179" s="74">
        <f>('Scénario référence'!$F$8+'Scénario référence'!$F$9+'Scénario référence'!$B$17+'Scénario référence'!$B$9+'Scénario référence'!$B$10)*70+IF((45+25*(1-EXP(-0.0175*$A179)))&lt;70,'Scénario référence'!$B$16*(45+25*(1-EXP(-0.0175*$A179))),70*'Scénario référence'!$B$16)+IF((32+38*(1-EXP(-0.0175*$A179)))&lt;70,'Scénario référence'!$B$18*(32+38*(1-EXP(-0.0175*$A179))),70*'Scénario référence'!$B$18)</f>
        <v>70</v>
      </c>
      <c r="JB179" s="12">
        <f>IF($A179&gt;30,10,('Scénario référence'!$B$16+'Scénario référence'!$B$17+'Scénario référence'!$B$18+'Scénario référence'!$B$9+'Scénario référence'!$B$10)*$A179*10/30+('Scénario référence'!$F$8+'Scénario référence'!$F$9)*10)</f>
        <v>10</v>
      </c>
      <c r="JC179" s="12" t="e">
        <f>VLOOKUP($A179,'Données projet'!$A$356:$I$376,2,0)</f>
        <v>#N/A</v>
      </c>
      <c r="JD179" s="12" t="e">
        <f>VLOOKUP($A179,'Données projet'!$A$356:$I$376,9,0)</f>
        <v>#N/A</v>
      </c>
      <c r="JE179" s="12">
        <f t="array" ref="JE179">INDEX(JD:JD,MIN(IF(ISNUMBER(JD179:JD375),ROW(JD179:JD375),"")))</f>
        <v>0</v>
      </c>
      <c r="JF179" s="12">
        <f>IF('Données projet'!$A$356&gt;35,JF178+JE179-JN178,IF($A179&lt;'Données projet'!$A$356,$CQ$205^$A179,IF($A179='Données projet'!$A$356,'Données projet'!$B$356,JF178+JE179-JN178)))</f>
        <v>-1.3073986337985843E-12</v>
      </c>
      <c r="JG179" s="17">
        <f>JF179*VLOOKUP('Données projet'!$B$21,Paramètres!$A$1:$I$89,3,0)*VLOOKUP('Données projet'!$B$21,Paramètres!$A$1:$I$89,5,0)</f>
        <v>-1.0605617717374117E-12</v>
      </c>
      <c r="JH179" s="13" t="e">
        <f t="shared" si="310"/>
        <v>#NUM!</v>
      </c>
      <c r="JI179" s="20" t="e">
        <f t="shared" si="260"/>
        <v>#NUM!</v>
      </c>
      <c r="JJ179" s="59" t="e">
        <f t="shared" si="261"/>
        <v>#NUM!</v>
      </c>
      <c r="JK179" s="59">
        <f ca="1">AVERAGE(OFFSET($JJ$3,0,0,'Données projet'!$E$22+1,1))-AVERAGE(OFFSET($H$3,0,0,'Données projet'!$E$22+1,1))</f>
        <v>353.35574633294613</v>
      </c>
      <c r="JL179" s="59">
        <f t="shared" si="311"/>
        <v>170.36796666474726</v>
      </c>
      <c r="JM179" s="15">
        <f>IF(ISNA(VLOOKUP($A179,'Données projet'!$A$356:$I$376,3,0)),0,VLOOKUP($A179,'Données projet'!$A$356:$I$376,3,0))</f>
        <v>0</v>
      </c>
      <c r="JN179" s="15">
        <f>IF(ISNA(VLOOKUP($A179,'Données projet'!$A$356:$I$376,4,0)),0,VLOOKUP($A179,'Données projet'!$A$356:$I$376,4,0))</f>
        <v>0</v>
      </c>
      <c r="JO179" s="16">
        <f>IF(ISNA(VLOOKUP($A179,'Données projet'!$A$356:$I$376,5,0)),0%,VLOOKUP($A179,'Données projet'!$A$356:$I$376,5,0)*VLOOKUP('Données projet'!$B$21,Paramètres!$A$1:$I$89,7,0))</f>
        <v>0</v>
      </c>
      <c r="JP179" s="16">
        <f>IF(ISNA(VLOOKUP($A179,'Données projet'!$A$356:$I$376,6,0)),0%,VLOOKUP($A179,'Données projet'!$A$356:$I$376,6,0)*VLOOKUP('Données projet'!$B$21,Paramètres!$A$1:$I$89,7,0))</f>
        <v>0</v>
      </c>
      <c r="JQ179" s="16">
        <f>IF(ISNA(VLOOKUP($A179,'Données projet'!$A$356:$I$376,7,0)),0%,VLOOKUP($A179,'Données projet'!$A$356:$I$376,7,0))</f>
        <v>0</v>
      </c>
      <c r="JR179" s="21">
        <f>EXP(-LN(2)/35)*JR178+(1-EXP(-LN(2)/35))/(LN(2)/35)*JN179*JO179*VLOOKUP('Données projet'!$B$21,Paramètres!$A$1:$I$89,3,0)*0.475*44/12</f>
        <v>43.89183328086915</v>
      </c>
      <c r="JS179" s="21">
        <f>EXP(-LN(2)/25)*JS178+(1-EXP(-LN(2)/25))/(LN(2)/25)*Calculateur!JN179*Calculateur!JP179*VLOOKUP('Données projet'!$B$21,Paramètres!$A$1:$I$89,3,0)*0.475*44/12</f>
        <v>37.168512488196185</v>
      </c>
      <c r="JT179" s="21">
        <f>EXP(-LN(2)/2)*JT178+(1-EXP(-LN(2)/2))/(LN(2)/2)*JN179*JQ179*VLOOKUP('Données projet'!$B$21,Paramètres!$A$1:$I$89,3,0)*0.475*44/12</f>
        <v>4.1859041640090527E-3</v>
      </c>
      <c r="JU179" s="18">
        <f t="shared" si="262"/>
        <v>81.06453167322934</v>
      </c>
      <c r="JV179" s="74">
        <f>('Scénario référence'!$F$8+'Scénario référence'!$F$9+'Scénario référence'!$B$17+'Scénario référence'!$B$9+'Scénario référence'!$B$10)*70+IF((45+25*(1-EXP(-0.0175*$A179)))&lt;70,'Scénario référence'!$B$16*(45+25*(1-EXP(-0.0175*$A179))),70*'Scénario référence'!$B$16)+IF((32+38*(1-EXP(-0.0175*$A179)))&lt;70,'Scénario référence'!$B$18*(32+38*(1-EXP(-0.0175*$A179))),70*'Scénario référence'!$B$18)</f>
        <v>70</v>
      </c>
      <c r="JW179" s="12">
        <f>IF($A179&gt;30,10,('Scénario référence'!$B$16+'Scénario référence'!$B$17+'Scénario référence'!$B$18+'Scénario référence'!$B$9+'Scénario référence'!$B$10)*$A179*10/30+('Scénario référence'!$F$8+'Scénario référence'!$F$9)*10)</f>
        <v>10</v>
      </c>
      <c r="JX179" s="12" t="e">
        <f>VLOOKUP($A179,'Données projet'!$A$382:$I$402,2,0)</f>
        <v>#N/A</v>
      </c>
      <c r="JY179" s="12" t="e">
        <f>VLOOKUP($A179,'Données projet'!$A$382:$I$402,9,0)</f>
        <v>#N/A</v>
      </c>
      <c r="JZ179" s="12">
        <f t="array" ref="JZ179">INDEX(JY:JY,MIN(IF(ISNUMBER(JY179:JY375),ROW(JY179:JY375),"")))</f>
        <v>0</v>
      </c>
      <c r="KA179" s="12">
        <f>IF('Données projet'!$A$382&gt;35,KA178+JZ179-KI178,IF($A179&lt;'Données projet'!$A$382,$CQ$205^$A179,IF($A179='Données projet'!$A$382,'Données projet'!$B$382,KA178+JZ179-KI178)))</f>
        <v>5.6843418860808015E-13</v>
      </c>
      <c r="KB179" s="17">
        <f>KA179*VLOOKUP('Données projet'!$B$22,Paramètres!$A$1:$I$89,3,0)*VLOOKUP('Données projet'!$B$22,Paramètres!$A$1:$I$89,5,0)</f>
        <v>3.8130565371830017E-13</v>
      </c>
      <c r="KC179" s="13">
        <f t="shared" si="312"/>
        <v>4.9019074112354236E-12</v>
      </c>
      <c r="KD179" s="20">
        <f t="shared" si="263"/>
        <v>9.2015960881277352E-12</v>
      </c>
      <c r="KE179" s="59">
        <f t="shared" si="264"/>
        <v>293.33333333334252</v>
      </c>
      <c r="KF179" s="59">
        <f ca="1">AVERAGE(OFFSET($KE$3,0,0,'Données projet'!$E$22+1,1))-AVERAGE(OFFSET($H$3,0,0,'Données projet'!$E$22+1,1))</f>
        <v>193.91714772848269</v>
      </c>
      <c r="KG179" s="59">
        <f t="shared" si="313"/>
        <v>159.20429420478047</v>
      </c>
      <c r="KH179" s="15">
        <f>IF(ISNA(VLOOKUP($A179,'Données projet'!$A$382:$I$402,3,0)),0,VLOOKUP($A179,'Données projet'!$A$382:$I$402,3,0))</f>
        <v>0</v>
      </c>
      <c r="KI179" s="15">
        <f>IF(ISNA(VLOOKUP($A179,'Données projet'!$A$382:$I$402,4,0)),0,VLOOKUP($A179,'Données projet'!$A$382:$I$402,4,0))</f>
        <v>0</v>
      </c>
      <c r="KJ179" s="16">
        <f>IF(ISNA(VLOOKUP($A179,'Données projet'!$A$382:$I$402,5,0)),0%,VLOOKUP($A179,'Données projet'!$A$382:$I$402,5,0)*VLOOKUP('Données projet'!$B$22,Paramètres!$A$1:$I$89,7,0))</f>
        <v>0</v>
      </c>
      <c r="KK179" s="16">
        <f>IF(ISNA(VLOOKUP($A179,'Données projet'!$A$382:$I$402,6,0)),0%,VLOOKUP($A179,'Données projet'!$A$382:$I$402,6,0)*VLOOKUP('Données projet'!$B$22,Paramètres!$A$1:$I$89,7,0))</f>
        <v>0</v>
      </c>
      <c r="KL179" s="16">
        <f>IF(ISNA(VLOOKUP($A179,'Données projet'!$A$382:$I$402,7,0)),0%,VLOOKUP($A179,'Données projet'!$A$382:$I$402,7,0))</f>
        <v>0</v>
      </c>
      <c r="KM179" s="21">
        <f>EXP(-LN(2)/35)*KM178+(1-EXP(-LN(2)/35))/(LN(2)/35)*KI179*KJ179*VLOOKUP('Données projet'!$B$22,Paramètres!$A$1:$I$89,3,0)*0.475*44/12</f>
        <v>64.086920896059354</v>
      </c>
      <c r="KN179" s="21">
        <f>EXP(-LN(2)/25)*KN178+(1-EXP(-LN(2)/25))/(LN(2)/25)*Calculateur!KI179*Calculateur!KK179*VLOOKUP('Données projet'!$B$22,Paramètres!$A$1:$I$89,3,0)*0.475*44/12</f>
        <v>0</v>
      </c>
      <c r="KO179" s="21">
        <f>EXP(-LN(2)/2)*KO178+(1-EXP(-LN(2)/2))/(LN(2)/2)*KI179*KL179*VLOOKUP('Données projet'!$B$22,Paramètres!$A$1:$I$89,3,0)*0.475*44/12</f>
        <v>0</v>
      </c>
      <c r="KP179" s="22">
        <f t="shared" si="265"/>
        <v>64.086920896059354</v>
      </c>
      <c r="KQ179" s="74">
        <f>('Scénario référence'!$F$8+'Scénario référence'!$F$9+'Scénario référence'!$B$17+'Scénario référence'!$B$9+'Scénario référence'!$B$10)*70+IF((45+25*(1-EXP(-0.0175*$A179)))&lt;70,'Scénario référence'!$B$16*(45+25*(1-EXP(-0.0175*$A179))),70*'Scénario référence'!$B$16)+IF((32+38*(1-EXP(-0.0175*$A179)))&lt;70,'Scénario référence'!$B$18*(32+38*(1-EXP(-0.0175*$A179))),70*'Scénario référence'!$B$18)</f>
        <v>70</v>
      </c>
      <c r="KR179" s="12">
        <f>IF($A179&gt;30,10,('Scénario référence'!$B$16+'Scénario référence'!$B$17+'Scénario référence'!$B$18+'Scénario référence'!$B$9+'Scénario référence'!$B$10)*$A179*10/30+('Scénario référence'!$F$8+'Scénario référence'!$F$9)*10)</f>
        <v>10</v>
      </c>
      <c r="KS179" s="12" t="e">
        <f>VLOOKUP($A179,'Données projet'!$A$408:$I$428,2,0)</f>
        <v>#N/A</v>
      </c>
      <c r="KT179" s="12" t="e">
        <f>VLOOKUP($A179,'Données projet'!$A$408:$I$428,9,0)</f>
        <v>#N/A</v>
      </c>
      <c r="KU179" s="12">
        <f t="array" ref="KU179">INDEX(KT:KT,MIN(IF(ISNUMBER(KT179:KT375),ROW(KT179:KT375),"")))</f>
        <v>0</v>
      </c>
      <c r="KV179" s="12">
        <f>IF('Données projet'!$A$408&gt;35,KV178+KU179-LD178,IF($A179&lt;'Données projet'!$A$408,$CQ$205^$A179,IF($A179='Données projet'!$A$408,'Données projet'!$B$408,KV178+KU179-LD178)))</f>
        <v>-1.1368683772161603E-13</v>
      </c>
      <c r="KW179" s="17">
        <f>KV179*VLOOKUP('Données projet'!$B$23,Paramètres!$A$1:$I$89,3,0)*VLOOKUP('Données projet'!$B$23,Paramètres!$A$1:$I$89,5,0)</f>
        <v>-9.9316821433603781E-14</v>
      </c>
      <c r="KX179" s="13" t="e">
        <f t="shared" si="314"/>
        <v>#NUM!</v>
      </c>
      <c r="KY179" s="14" t="e">
        <f t="shared" si="266"/>
        <v>#NUM!</v>
      </c>
      <c r="KZ179" s="59" t="e">
        <f t="shared" si="267"/>
        <v>#NUM!</v>
      </c>
      <c r="LA179" s="59">
        <f ca="1">AVERAGE(OFFSET($KZ$3,0,0,'Données projet'!$E$23+1,1))-AVERAGE(OFFSET($H$3,0,0,'Données projet'!$E$23+1,1))</f>
        <v>248.33596943633819</v>
      </c>
      <c r="LB179" s="59">
        <f t="shared" si="315"/>
        <v>242.34010522344573</v>
      </c>
      <c r="LC179" s="15">
        <f>IF(ISNA(VLOOKUP($A179,'Données projet'!$A$408:$I$428,3,0)),0,VLOOKUP($A179,'Données projet'!$A$408:$I$428,3,0))</f>
        <v>0</v>
      </c>
      <c r="LD179" s="15">
        <f>IF(ISNA(VLOOKUP($A179,'Données projet'!$A$408:$I$428,4,0)),0,VLOOKUP($A179,'Données projet'!$A$408:$I$428,4,0))</f>
        <v>0</v>
      </c>
      <c r="LE179" s="16">
        <f>IF(ISNA(VLOOKUP($A179,'Données projet'!$A$408:$I$428,5,0)),0%,VLOOKUP($A179,'Données projet'!$A$408:$I$428,5,0)*VLOOKUP('Données projet'!$B$23,Paramètres!$A$1:$I$89,7,0))</f>
        <v>0</v>
      </c>
      <c r="LF179" s="16">
        <f>IF(ISNA(VLOOKUP($A179,'Données projet'!$A$408:$I$428,6,0)),0%,VLOOKUP($A179,'Données projet'!$A$408:$I$428,6,0)*VLOOKUP('Données projet'!$B$23,Paramètres!$A$1:$I$89,7,0))</f>
        <v>0</v>
      </c>
      <c r="LG179" s="16">
        <f>IF(ISNA(VLOOKUP($A179,'Données projet'!$A$408:$I$428,7,0)),0%,VLOOKUP($A179,'Données projet'!$A$408:$I$428,7,0))</f>
        <v>0</v>
      </c>
      <c r="LH179" s="21">
        <f>EXP(-LN(2)/35)*LH178+(1-EXP(-LN(2)/35))/(LN(2)/35)*LD179*LE179*VLOOKUP('Données projet'!$B$23,Paramètres!$A$1:$I$89,3,0)*0.475*44/12</f>
        <v>18.407734809973839</v>
      </c>
      <c r="LI179" s="21">
        <f>EXP(-LN(2)/25)*LI178+(1-EXP(-LN(2)/25))/(LN(2)/25)*Calculateur!LD179*Calculateur!LF179*VLOOKUP('Données projet'!$B$23,Paramètres!$A$1:$I$89,3,0)*0.475*44/12</f>
        <v>1.5207052042734577</v>
      </c>
      <c r="LJ179" s="21">
        <f>EXP(-LN(2)/2)*LJ178+(1-EXP(-LN(2)/2))/(LN(2)/2)*LD179*LG179*VLOOKUP('Données projet'!$B$23,Paramètres!$A$1:$I$89,3,0)*0.475*44/12</f>
        <v>0</v>
      </c>
      <c r="LK179" s="22">
        <f t="shared" si="268"/>
        <v>19.928440014247297</v>
      </c>
      <c r="LL179" s="74">
        <f>('Scénario référence'!$F$8+'Scénario référence'!$F$9+'Scénario référence'!$B$17+'Scénario référence'!$B$9+'Scénario référence'!$B$10)*70+IF((45+25*(1-EXP(-0.0175*$A179)))&lt;70,'Scénario référence'!$B$16*(45+25*(1-EXP(-0.0175*$A179))),70*'Scénario référence'!$B$16)+IF((32+38*(1-EXP(-0.0175*$A179)))&lt;70,'Scénario référence'!$B$18*(32+38*(1-EXP(-0.0175*$A179))),70*'Scénario référence'!$B$18)</f>
        <v>70</v>
      </c>
      <c r="LM179" s="12">
        <f>IF($A179&gt;30,10,('Scénario référence'!$B$16+'Scénario référence'!$B$17+'Scénario référence'!$B$18+'Scénario référence'!$B$9+'Scénario référence'!$B$10)*$A179*10/30+('Scénario référence'!$F$8+'Scénario référence'!$F$9)*10)</f>
        <v>10</v>
      </c>
      <c r="LN179" s="12" t="e">
        <f>VLOOKUP($A179,'Données projet'!$A$434:$I$454,2,0)</f>
        <v>#N/A</v>
      </c>
      <c r="LO179" s="12" t="e">
        <f>VLOOKUP($A179,'Données projet'!$A$434:$I$454,9,0)</f>
        <v>#N/A</v>
      </c>
      <c r="LP179" s="12">
        <f t="array" ref="LP179">INDEX(LO:LO,MIN(IF(ISNUMBER(LO179:LO375),ROW(LO179:LO375),"")))</f>
        <v>0</v>
      </c>
      <c r="LQ179" s="12">
        <f>IF('Données projet'!$A$434&gt;35,LQ178+LP179-LY178,IF($A179&lt;'Données projet'!$A$434,$CQ$205^$A179,IF($A179='Données projet'!$A$434,'Données projet'!$B$434,LQ178+LP179-LY178)))</f>
        <v>-4.5474735088646412E-13</v>
      </c>
      <c r="LR179" s="17">
        <f>LQ179*VLOOKUP('Données projet'!$B$24,Paramètres!$A$1:$I$89,3,0)*VLOOKUP('Données projet'!$B$24,Paramètres!$A$1:$I$89,5,0)</f>
        <v>-4.6111381379887462E-13</v>
      </c>
      <c r="LS179" s="13" t="e">
        <f t="shared" si="316"/>
        <v>#NUM!</v>
      </c>
      <c r="LT179" s="14" t="e">
        <f t="shared" si="269"/>
        <v>#NUM!</v>
      </c>
      <c r="LU179" s="59" t="e">
        <f t="shared" si="270"/>
        <v>#NUM!</v>
      </c>
      <c r="LV179" s="59">
        <f ca="1">AVERAGE(OFFSET($LU$3,0,0,'Données projet'!$E$24+1,1))-AVERAGE(OFFSET($H$3,0,0,'Données projet'!$E$24+1,1))</f>
        <v>260.52627655062872</v>
      </c>
      <c r="LW179" s="59">
        <f t="shared" si="317"/>
        <v>159.20429420478047</v>
      </c>
      <c r="LX179" s="15">
        <f>IF(ISNA(VLOOKUP($A179,'Données projet'!$A$434:$I$454,3,0)),0,VLOOKUP($A179,'Données projet'!$A$434:$I$454,3,0))</f>
        <v>0</v>
      </c>
      <c r="LY179" s="15">
        <f>IF(ISNA(VLOOKUP($A179,'Données projet'!$A$434:$I$454,4,0)),0,VLOOKUP($A179,'Données projet'!$A$434:$I$454,4,0))</f>
        <v>0</v>
      </c>
      <c r="LZ179" s="16">
        <f>IF(ISNA(VLOOKUP($A179,'Données projet'!$A$434:$I$454,5,0)),0%,VLOOKUP($A179,'Données projet'!$A$434:$I$454,5,0)*VLOOKUP('Données projet'!$B$24,Paramètres!$A$1:$I$89,7,0))</f>
        <v>0</v>
      </c>
      <c r="MA179" s="16">
        <f>IF(ISNA(VLOOKUP($A179,'Données projet'!$A$434:$I$454,6,0)),0%,VLOOKUP($A179,'Données projet'!$A$434:$I$454,6,0)*VLOOKUP('Données projet'!$B$24,Paramètres!$A$1:$I$89,7,0))</f>
        <v>0</v>
      </c>
      <c r="MB179" s="16">
        <f>IF(ISNA(VLOOKUP($A179,'Données projet'!$A$434:$I$454,7,0)),0%,VLOOKUP($A179,'Données projet'!$A$434:$I$454,7,0))</f>
        <v>0</v>
      </c>
      <c r="MC179" s="21">
        <f>EXP(-LN(2)/35)*MC178+(1-EXP(-LN(2)/35))/(LN(2)/35)*LY179*LZ179*VLOOKUP('Données projet'!$B$24,Paramètres!$A$1:$I$89,3,0)*0.475*44/12</f>
        <v>118.35548249041069</v>
      </c>
      <c r="MD179" s="21">
        <f>EXP(-LN(2)/25)*MD178+(1-EXP(-LN(2)/25))/(LN(2)/25)*Calculateur!LY179*Calculateur!MA179*VLOOKUP('Données projet'!$B$24,Paramètres!$A$1:$I$89,3,0)*0.475*44/12</f>
        <v>0</v>
      </c>
      <c r="ME179" s="21">
        <f>EXP(-LN(2)/2)*ME178+(1-EXP(-LN(2)/2))/(LN(2)/2)*LY179*MB179*VLOOKUP('Données projet'!$B$24,Paramètres!$A$1:$I$89,3,0)*0.475*44/12</f>
        <v>0</v>
      </c>
      <c r="MF179" s="22">
        <f t="shared" si="271"/>
        <v>118.35548249041069</v>
      </c>
      <c r="MG179" s="74">
        <f>('Scénario référence'!$F$8+'Scénario référence'!$F$9+'Scénario référence'!$B$17+'Scénario référence'!$B$9+'Scénario référence'!$B$10)*70+IF((45+25*(1-EXP(-0.0175*$A179)))&lt;70,'Scénario référence'!$B$16*(45+25*(1-EXP(-0.0175*$A179))),70*'Scénario référence'!$B$16)+IF((32+38*(1-EXP(-0.0175*$A179)))&lt;70,'Scénario référence'!$B$18*(32+38*(1-EXP(-0.0175*$A179))),70*'Scénario référence'!$B$18)</f>
        <v>70</v>
      </c>
      <c r="MH179" s="12">
        <f>IF($A179&gt;30,10,('Scénario référence'!$B$16+'Scénario référence'!$B$17+'Scénario référence'!$B$18+'Scénario référence'!$B$9+'Scénario référence'!$B$10)*$A179*10/30+('Scénario référence'!$F$8+'Scénario référence'!$F$9)*10)</f>
        <v>10</v>
      </c>
      <c r="MI179" s="12" t="e">
        <f>VLOOKUP($A179,'Données projet'!$A$460:$I$480,2,0)</f>
        <v>#N/A</v>
      </c>
      <c r="MJ179" s="12" t="e">
        <f>VLOOKUP($A179,'Données projet'!$A$460:$I$480,9,0)</f>
        <v>#N/A</v>
      </c>
      <c r="MK179" s="12">
        <f t="array" ref="MK179">INDEX(MJ:MJ,MIN(IF(ISNUMBER(MJ179:MJ375),ROW(MJ179:MJ375),"")))</f>
        <v>0</v>
      </c>
      <c r="ML179" s="12">
        <f>IF('Données projet'!$A$460&gt;35,ML178+MK179-MT178,IF($A179&lt;'Données projet'!$A$460,$CQ$205^$A179,IF($A179='Données projet'!$A$460,'Données projet'!$B$460,ML178+MK179-MT178)))</f>
        <v>0</v>
      </c>
      <c r="MM179" s="17" t="e">
        <f>ML179*VLOOKUP('Données projet'!$B$25,Paramètres!$A$1:$I$89,3,0)*VLOOKUP('Données projet'!$B$25,Paramètres!$A$1:$I$89,5,0)</f>
        <v>#N/A</v>
      </c>
      <c r="MN179" s="13" t="e">
        <f t="shared" si="318"/>
        <v>#N/A</v>
      </c>
      <c r="MO179" s="14" t="e">
        <f t="shared" si="272"/>
        <v>#N/A</v>
      </c>
      <c r="MP179" s="59" t="e">
        <f t="shared" si="273"/>
        <v>#N/A</v>
      </c>
      <c r="MQ179" s="20" t="e">
        <f ca="1">AVERAGE(OFFSET($MP$3,0,0,'Données projet'!$E$25+1,1))-AVERAGE(OFFSET($H$3,0,0,'Données projet'!$E$25+1,1))</f>
        <v>#N/A</v>
      </c>
      <c r="MR179" s="59" t="e">
        <f t="shared" si="319"/>
        <v>#N/A</v>
      </c>
      <c r="MS179" s="15">
        <f>IF(ISNA(VLOOKUP($A179,'Données projet'!$A$460:$I$480,3,0)),0,VLOOKUP($A179,'Données projet'!$A$460:$I$480,3,0))</f>
        <v>0</v>
      </c>
      <c r="MT179" s="15">
        <f>IF(ISNA(VLOOKUP($A179,'Données projet'!$A$460:$I$480,4,0)),0,VLOOKUP($A179,'Données projet'!$A$460:$I$480,4,0))</f>
        <v>0</v>
      </c>
      <c r="MU179" s="16">
        <f>IF(ISNA(VLOOKUP($A179,'Données projet'!$A$460:$I$480,5,0)),0%,VLOOKUP($A179,'Données projet'!$A$460:$I$480,5,0)*VLOOKUP('Données projet'!$B$25,Paramètres!$A$1:$I$89,7,0))</f>
        <v>0</v>
      </c>
      <c r="MV179" s="16">
        <f>IF(ISNA(VLOOKUP($A179,'Données projet'!$A$460:$I$480,6,0)),0%,VLOOKUP($A179,'Données projet'!$A$460:$I$480,6,0)*VLOOKUP('Données projet'!$B$25,Paramètres!$A$1:$I$89,7,0))</f>
        <v>0</v>
      </c>
      <c r="MW179" s="16">
        <f>IF(ISNA(VLOOKUP($A179,'Données projet'!$A$460:$I$480,7,0)),0%,VLOOKUP($A179,'Données projet'!$A$460:$I$480,7,0))</f>
        <v>0</v>
      </c>
      <c r="MX179" s="21" t="e">
        <f>EXP(-LN(2)/35)*MX178+(1-EXP(-LN(2)/35))/(LN(2)/35)*MT179*MU179*VLOOKUP('Données projet'!$B$25,Paramètres!$A$1:$I$89,3,0)*0.475*44/12</f>
        <v>#N/A</v>
      </c>
      <c r="MY179" s="21" t="e">
        <f>EXP(-LN(2)/25)*MY178+(1-EXP(-LN(2)/25))/(LN(2)/25)*Calculateur!MT179*Calculateur!MV179*VLOOKUP('Données projet'!$B$25,Paramètres!$A$1:$I$89,3,0)*0.475*44/12</f>
        <v>#N/A</v>
      </c>
      <c r="MZ179" s="21" t="e">
        <f>EXP(-LN(2)/2)*MZ178+(1-EXP(-LN(2)/2))/(LN(2)/2)*MT179*MW179*VLOOKUP('Données projet'!$B$25,Paramètres!$A$1:$I$89,3,0)*0.475*44/12</f>
        <v>#N/A</v>
      </c>
      <c r="NA179" s="22" t="e">
        <f t="shared" si="274"/>
        <v>#N/A</v>
      </c>
      <c r="NB179" s="74">
        <f>('Scénario référence'!$F$8+'Scénario référence'!$F$9+'Scénario référence'!$B$17+'Scénario référence'!$B$9+'Scénario référence'!$B$10)*70+IF((45+25*(1-EXP(-0.0175*$A179)))&lt;70,'Scénario référence'!$B$16*(45+25*(1-EXP(-0.0175*$A179))),70*'Scénario référence'!$B$16)+IF((32+38*(1-EXP(-0.0175*$A179)))&lt;70,'Scénario référence'!$B$18*(32+38*(1-EXP(-0.0175*$A179))),70*'Scénario référence'!$B$18)</f>
        <v>70</v>
      </c>
      <c r="NC179" s="12">
        <f>IF($A179&gt;30,10,('Scénario référence'!$B$16+'Scénario référence'!$B$17+'Scénario référence'!$B$18+'Scénario référence'!$B$9+'Scénario référence'!$B$10)*$A179*10/30+('Scénario référence'!$F$8+'Scénario référence'!$F$9)*10)</f>
        <v>10</v>
      </c>
      <c r="ND179" s="12" t="e">
        <f>VLOOKUP($A179,'Données projet'!$A$486:$I$506,2,0)</f>
        <v>#N/A</v>
      </c>
      <c r="NE179" s="12" t="e">
        <f>VLOOKUP($A179,'Données projet'!$A$486:$I$506,9,0)</f>
        <v>#N/A</v>
      </c>
      <c r="NF179" s="12">
        <f t="array" ref="NF179">INDEX(NE:NE,MIN(IF(ISNUMBER(NE179:NE375),ROW(NE179:NE375),"")))</f>
        <v>0</v>
      </c>
      <c r="NG179" s="12">
        <f>IF('Données projet'!$A$486&gt;35,NG178+NF179-NO178,IF($A179&lt;'Données projet'!$A$486,$CQ$205^$A179,IF($A179='Données projet'!$A$486,'Données projet'!$B$486,NG178+NF179-NO178)))</f>
        <v>0</v>
      </c>
      <c r="NH179" s="17" t="e">
        <f>NG179*VLOOKUP('Données projet'!$B$26,Paramètres!$A$1:$I$89,3,0)*VLOOKUP('Données projet'!$B$26,Paramètres!$A$1:$I$89,5,0)</f>
        <v>#N/A</v>
      </c>
      <c r="NI179" s="13" t="e">
        <f t="shared" si="320"/>
        <v>#N/A</v>
      </c>
      <c r="NJ179" s="14" t="e">
        <f t="shared" si="275"/>
        <v>#N/A</v>
      </c>
      <c r="NK179" s="59" t="e">
        <f t="shared" si="276"/>
        <v>#N/A</v>
      </c>
      <c r="NL179" s="20" t="e">
        <f ca="1">AVERAGE(OFFSET($NK$3,0,0,'Données projet'!$E$26+1,1))-AVERAGE(OFFSET($H$3,0,0,'Données projet'!$E$26+1,1))</f>
        <v>#N/A</v>
      </c>
      <c r="NM179" s="59" t="e">
        <f t="shared" si="321"/>
        <v>#N/A</v>
      </c>
      <c r="NN179" s="15">
        <f>IF(ISNA(VLOOKUP($A179,'Données projet'!$A$486:$I$506,3,0)),0,VLOOKUP($A179,'Données projet'!$A$486:$I$506,3,0))</f>
        <v>0</v>
      </c>
      <c r="NO179" s="15">
        <f>IF(ISNA(VLOOKUP($A179,'Données projet'!$A$486:$I$506,4,0)),0,VLOOKUP($A179,'Données projet'!$A$486:$I$506,4,0))</f>
        <v>0</v>
      </c>
      <c r="NP179" s="16">
        <f>IF(ISNA(VLOOKUP($A179,'Données projet'!$A$486:$I$506,5,0)),0%,VLOOKUP($A179,'Données projet'!$A$486:$I$506,5,0)*VLOOKUP('Données projet'!$B$26,Paramètres!$A$1:$I$89,7,0))</f>
        <v>0</v>
      </c>
      <c r="NQ179" s="16">
        <f>IF(ISNA(VLOOKUP($A179,'Données projet'!$A$486:$I$506,6,0)),0%,VLOOKUP($A179,'Données projet'!$A$486:$I$506,6,0)*VLOOKUP('Données projet'!$B$26,Paramètres!$A$1:$I$89,7,0))</f>
        <v>0</v>
      </c>
      <c r="NR179" s="16">
        <f>IF(ISNA(VLOOKUP($A179,'Données projet'!$A$486:$I$506,7,0)),0%,VLOOKUP($A179,'Données projet'!$A$486:$I$506,7,0))</f>
        <v>0</v>
      </c>
      <c r="NS179" s="21" t="e">
        <f>EXP(-LN(2)/35)*NS178+(1-EXP(-LN(2)/35))/(LN(2)/35)*NO179*NP179*VLOOKUP('Données projet'!$B$26,Paramètres!$A$1:$I$89,3,0)*0.475*44/12</f>
        <v>#N/A</v>
      </c>
      <c r="NT179" s="21" t="e">
        <f>EXP(-LN(2)/25)*NT178+(1-EXP(-LN(2)/25))/(LN(2)/25)*Calculateur!NO179*Calculateur!NQ179*VLOOKUP('Données projet'!$B$26,Paramètres!$A$1:$I$89,3,0)*0.475*44/12</f>
        <v>#N/A</v>
      </c>
      <c r="NU179" s="21" t="e">
        <f>EXP(-LN(2)/2)*NU178+(1-EXP(-LN(2)/2))/(LN(2)/2)*NO179*NR179*VLOOKUP('Données projet'!$B$26,Paramètres!$A$1:$I$89,3,0)*0.475*44/12</f>
        <v>#N/A</v>
      </c>
      <c r="NV179" s="22" t="e">
        <f t="shared" si="277"/>
        <v>#N/A</v>
      </c>
      <c r="NW179" s="74">
        <f>('Scénario référence'!$F$8+'Scénario référence'!$F$9+'Scénario référence'!$B$17+'Scénario référence'!$B$9+'Scénario référence'!$B$10)*70+IF((45+25*(1-EXP(-0.0175*$A179)))&lt;70,'Scénario référence'!$B$16*(45+25*(1-EXP(-0.0175*$A179))),70*'Scénario référence'!$B$16)+IF((32+38*(1-EXP(-0.0175*$A179)))&lt;70,'Scénario référence'!$B$18*(32+38*(1-EXP(-0.0175*$A179))),70*'Scénario référence'!$B$18)</f>
        <v>70</v>
      </c>
      <c r="NX179" s="12">
        <f>IF($A179&gt;30,10,('Scénario référence'!$B$16+'Scénario référence'!$B$17+'Scénario référence'!$B$18+'Scénario référence'!$B$9+'Scénario référence'!$B$10)*$A179*10/30+('Scénario référence'!$F$8+'Scénario référence'!$F$9)*10)</f>
        <v>10</v>
      </c>
      <c r="NY179" s="12" t="e">
        <f>VLOOKUP($A179,'Données projet'!$A$512:$I$532,2,0)</f>
        <v>#N/A</v>
      </c>
      <c r="NZ179" s="12" t="e">
        <f>VLOOKUP($A179,'Données projet'!$A$512:$I$532,9,0)</f>
        <v>#N/A</v>
      </c>
      <c r="OA179" s="12">
        <f t="array" ref="OA179">INDEX(NZ:NZ,MIN(IF(ISNUMBER(NZ179:NZ375),ROW(NZ179:NZ375),"")))</f>
        <v>0</v>
      </c>
      <c r="OB179" s="12">
        <f>IF('Données projet'!$A$512&gt;35,OB178+OA179-OJ178,IF($A179&lt;'Données projet'!$A$512,$CQ$205^$A179,IF($A179='Données projet'!$A$512,'Données projet'!$B$512,OB178+OA179-OJ178)))</f>
        <v>0</v>
      </c>
      <c r="OC179" s="17" t="e">
        <f>OB179*VLOOKUP('Données projet'!$B$27,Paramètres!$A$1:$I$89,3,0)*VLOOKUP('Données projet'!$B$27,Paramètres!$A$1:$I$89,5,0)</f>
        <v>#N/A</v>
      </c>
      <c r="OD179" s="13" t="e">
        <f t="shared" si="322"/>
        <v>#N/A</v>
      </c>
      <c r="OE179" s="14" t="e">
        <f t="shared" si="278"/>
        <v>#N/A</v>
      </c>
      <c r="OF179" s="59" t="e">
        <f t="shared" si="279"/>
        <v>#N/A</v>
      </c>
      <c r="OG179" s="20" t="e">
        <f ca="1">AVERAGE(OFFSET($OF$3,0,0,'Données projet'!$E$27+1,1))-AVERAGE(OFFSET($H$3,0,0,'Données projet'!$E$27+1,1))</f>
        <v>#N/A</v>
      </c>
      <c r="OH179" s="59" t="e">
        <f t="shared" si="323"/>
        <v>#N/A</v>
      </c>
      <c r="OI179" s="15">
        <f>IF(ISNA(VLOOKUP($A179,'Données projet'!$A$512:$I$532,3,0)),0,VLOOKUP($A179,'Données projet'!$A$512:$I$532,3,0))</f>
        <v>0</v>
      </c>
      <c r="OJ179" s="15">
        <f>IF(ISNA(VLOOKUP($A179,'Données projet'!$A$512:$I$532,4,0)),0,VLOOKUP($A179,'Données projet'!$A$512:$I$532,4,0))</f>
        <v>0</v>
      </c>
      <c r="OK179" s="16">
        <f>IF(ISNA(VLOOKUP($A179,'Données projet'!$A$512:$I$532,5,0)),0%,VLOOKUP($A179,'Données projet'!$A$512:$I$532,5,0)*VLOOKUP('Données projet'!$B$27,Paramètres!$A$1:$I$89,7,0))</f>
        <v>0</v>
      </c>
      <c r="OL179" s="16">
        <f>IF(ISNA(VLOOKUP($A179,'Données projet'!$A$512:$I$532,6,0)),0%,VLOOKUP($A179,'Données projet'!$A$512:$I$532,6,0)*VLOOKUP('Données projet'!$B$27,Paramètres!$A$1:$I$89,7,0))</f>
        <v>0</v>
      </c>
      <c r="OM179" s="16">
        <f>IF(ISNA(VLOOKUP($A179,'Données projet'!$A$512:$I$532,7,0)),0%,VLOOKUP($A179,'Données projet'!$A$512:$I$532,7,0))</f>
        <v>0</v>
      </c>
      <c r="ON179" s="21" t="e">
        <f>EXP(-LN(2)/35)*ON178+(1-EXP(-LN(2)/35))/(LN(2)/35)*OJ179*OK179*VLOOKUP('Données projet'!$B$27,Paramètres!$A$1:$I$89,3,0)*0.475*44/12</f>
        <v>#N/A</v>
      </c>
      <c r="OO179" s="21" t="e">
        <f>EXP(-LN(2)/25)*OO178+(1-EXP(-LN(2)/25))/(LN(2)/25)*Calculateur!OJ179*Calculateur!OL179*VLOOKUP('Données projet'!$B$27,Paramètres!$A$1:$I$89,3,0)*0.475*44/12</f>
        <v>#N/A</v>
      </c>
      <c r="OP179" s="21" t="e">
        <f>EXP(-LN(2)/2)*OP178+(1-EXP(-LN(2)/2))/(LN(2)/2)*OJ179*OM179*VLOOKUP('Données projet'!$B$27,Paramètres!$A$1:$I$89,3,0)*0.475*44/12</f>
        <v>#N/A</v>
      </c>
      <c r="OQ179" s="22" t="e">
        <f t="shared" si="280"/>
        <v>#N/A</v>
      </c>
      <c r="OR179" s="74">
        <f>('Scénario référence'!$F$8+'Scénario référence'!$F$9+'Scénario référence'!$B$17+'Scénario référence'!$B$9+'Scénario référence'!$B$10)*70+IF((45+25*(1-EXP(-0.0175*$A179)))&lt;70,'Scénario référence'!$B$16*(45+25*(1-EXP(-0.0175*$A179))),70*'Scénario référence'!$B$16)+IF((32+38*(1-EXP(-0.0175*$A179)))&lt;70,'Scénario référence'!$B$18*(32+38*(1-EXP(-0.0175*$A179))),70*'Scénario référence'!$B$18)</f>
        <v>70</v>
      </c>
      <c r="OS179" s="12">
        <f>IF($A179&gt;30,10,('Scénario référence'!$B$16+'Scénario référence'!$B$17+'Scénario référence'!$B$18+'Scénario référence'!$B$9+'Scénario référence'!$B$10)*$A179*10/30+('Scénario référence'!$F$8+'Scénario référence'!$F$9)*10)</f>
        <v>10</v>
      </c>
      <c r="OT179" s="12" t="e">
        <f>VLOOKUP($A179,'Données projet'!$A$538:$I$558,2,0)</f>
        <v>#N/A</v>
      </c>
      <c r="OU179" s="12" t="e">
        <f>VLOOKUP($A179,'Données projet'!$A$538:$I$558,9,0)</f>
        <v>#N/A</v>
      </c>
      <c r="OV179" s="12">
        <f t="array" ref="OV179">INDEX(OU:OU,MIN(IF(ISNUMBER(OU179:OU375),ROW(OU179:OU375),"")))</f>
        <v>0</v>
      </c>
      <c r="OW179" s="12">
        <f>IF('Données projet'!$A$538&gt;35,OW178+OV179-PE178,IF($A179&lt;'Données projet'!$A$538,$CQ$205^$A179,IF($A179='Données projet'!$A$538,'Données projet'!$B$538,OW178+OV179-PE178)))</f>
        <v>0</v>
      </c>
      <c r="OX179" s="17" t="e">
        <f>OW179*VLOOKUP('Données projet'!$B$28,Paramètres!$A$1:$I$89,3,0)*VLOOKUP('Données projet'!$B$28,Paramètres!$A$1:$I$89,5,0)</f>
        <v>#N/A</v>
      </c>
      <c r="OY179" s="13" t="e">
        <f t="shared" si="324"/>
        <v>#N/A</v>
      </c>
      <c r="OZ179" s="14" t="e">
        <f t="shared" si="281"/>
        <v>#N/A</v>
      </c>
      <c r="PA179" s="59" t="e">
        <f t="shared" si="282"/>
        <v>#N/A</v>
      </c>
      <c r="PB179" s="20" t="e">
        <f ca="1">AVERAGE(OFFSET($PA$3,0,0,'Données projet'!$E$28+1,1))-AVERAGE(OFFSET($H$3,0,0,'Données projet'!$E$28+1,1))</f>
        <v>#N/A</v>
      </c>
      <c r="PC179" s="59" t="e">
        <f t="shared" si="325"/>
        <v>#N/A</v>
      </c>
      <c r="PD179" s="15">
        <f>IF(ISNA(VLOOKUP($A179,'Données projet'!$A$538:$I$558,3,0)),0,VLOOKUP($A179,'Données projet'!$A$538:$I$558,3,0))</f>
        <v>0</v>
      </c>
      <c r="PE179" s="15">
        <f>IF(ISNA(VLOOKUP($A179,'Données projet'!$A$538:$I$558,4,0)),0,VLOOKUP($A179,'Données projet'!$A$538:$I$558,4,0))</f>
        <v>0</v>
      </c>
      <c r="PF179" s="16">
        <f>IF(ISNA(VLOOKUP($A179,'Données projet'!$A$538:$I$558,5,0)),0%,VLOOKUP($A179,'Données projet'!$A$538:$I$558,5,0)*VLOOKUP('Données projet'!$B$28,Paramètres!$A$1:$I$89,7,0))</f>
        <v>0</v>
      </c>
      <c r="PG179" s="16">
        <f>IF(ISNA(VLOOKUP($A179,'Données projet'!$A$538:$I$558,6,0)),0%,VLOOKUP($A179,'Données projet'!$A$538:$I$558,6,0)*VLOOKUP('Données projet'!$B$28,Paramètres!$A$1:$I$89,7,0))</f>
        <v>0</v>
      </c>
      <c r="PH179" s="16">
        <f>IF(ISNA(VLOOKUP($A179,'Données projet'!$A$538:$I$558,7,0)),0%,VLOOKUP($A179,'Données projet'!$A$538:$I$558,7,0))</f>
        <v>0</v>
      </c>
      <c r="PI179" s="21" t="e">
        <f>EXP(-LN(2)/35)*PI178+(1-EXP(-LN(2)/35))/(LN(2)/35)*PE179*PF179*VLOOKUP('Données projet'!$B$28,Paramètres!$A$1:$I$89,3,0)*0.475*44/12</f>
        <v>#N/A</v>
      </c>
      <c r="PJ179" s="21" t="e">
        <f>EXP(-LN(2)/25)*PJ178+(1-EXP(-LN(2)/25))/(LN(2)/25)*Calculateur!PE179*Calculateur!PG179*VLOOKUP('Données projet'!$B$28,Paramètres!$A$1:$I$89,3,0)*0.475*44/12</f>
        <v>#N/A</v>
      </c>
      <c r="PK179" s="21" t="e">
        <f>EXP(-LN(2)/2)*PK178+(1-EXP(-LN(2)/2))/(LN(2)/2)*PE179*PH179*VLOOKUP('Données projet'!$B$28,Paramètres!$A$1:$I$89,3,0)*0.475*44/12</f>
        <v>#N/A</v>
      </c>
      <c r="PL179" s="22" t="e">
        <f t="shared" si="283"/>
        <v>#N/A</v>
      </c>
    </row>
    <row r="180" spans="1:428" x14ac:dyDescent="0.35">
      <c r="A180" s="10">
        <f t="shared" si="326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285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225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projet'!$A$45:$I$65,2,0)</f>
        <v>#N/A</v>
      </c>
      <c r="L180" s="12" t="e">
        <f>VLOOKUP(A180,'Données projet'!$A$45:$I$65,9,0)</f>
        <v>#N/A</v>
      </c>
      <c r="M180" s="12">
        <f t="array" ref="M180">INDEX(L:L,MIN(IF(ISNUMBER(L180:L376),ROW(L180:L376),"")))</f>
        <v>0</v>
      </c>
      <c r="N180" s="13">
        <f>IF('Données projet'!$A$46&gt;35,N179+M180-V179,IF(A180&lt;'Données projet'!$A$46,$K$205^A180,IF(A180='Données projet'!$A$46,'Données projet'!$B$46,N179+M180-V179)))</f>
        <v>-1.1368683772161603E-13</v>
      </c>
      <c r="O180" s="13">
        <f>N180*VLOOKUP('Données projet'!$B$9,Paramètres!$A$1:$I$89,3,0)*VLOOKUP('Données projet'!$B$9,Paramètres!$A$1:$I$89,5,0)</f>
        <v>-6.3550942286383367E-14</v>
      </c>
      <c r="P180" s="13" t="e">
        <f t="shared" si="286"/>
        <v>#NUM!</v>
      </c>
      <c r="Q180" s="20" t="e">
        <f t="shared" si="327"/>
        <v>#NUM!</v>
      </c>
      <c r="R180" s="59" t="e">
        <f t="shared" si="224"/>
        <v>#NUM!</v>
      </c>
      <c r="S180" s="59">
        <f ca="1">AVERAGE(OFFSET($R$3,0,0,'Données projet'!$E$9+1,1))-AVERAGE(OFFSET($H$3,0,0,'Données projet'!$E$9+1,1))</f>
        <v>274.57619581652199</v>
      </c>
      <c r="T180" s="59">
        <f t="shared" si="287"/>
        <v>366.15117322598775</v>
      </c>
      <c r="U180" s="15">
        <f>IF(ISNA(VLOOKUP(A180,'Données projet'!$A$45:$I$65,3,0)),0,VLOOKUP(A180,'Données projet'!$A$45:$I$65,3,0))</f>
        <v>0</v>
      </c>
      <c r="V180" s="15">
        <f>IF(ISNA(VLOOKUP(A180,'Données projet'!$A$45:$I$65,4,0)),0,VLOOKUP(A180,'Données projet'!$A$45:$I$65,4,0))</f>
        <v>0</v>
      </c>
      <c r="W180" s="16">
        <f>IF(ISNA(VLOOKUP(A180,'Données projet'!$A$45:$I$65,5,0)),0%,VLOOKUP(A180,'Données projet'!$A$45:$I$65,5,0)*VLOOKUP('Données projet'!$B$9,Paramètres!$A$1:$I$89,7,0))</f>
        <v>0</v>
      </c>
      <c r="X180" s="16">
        <f>IF(ISNA(VLOOKUP(A180,'Données projet'!$A$45:$I$65,6,0)),0%,VLOOKUP(A180,'Données projet'!$A$45:$I$65,6,0)*VLOOKUP('Données projet'!$B$9,Paramètres!$A$1:$I$89,7,0))</f>
        <v>0</v>
      </c>
      <c r="Y180" s="16">
        <f>IF(ISNA(VLOOKUP(A180,'Données projet'!$A$45:$I$65,7,0)),0%,VLOOKUP(A180,'Données projet'!$A$45:$I$65,7,0))</f>
        <v>0</v>
      </c>
      <c r="Z180" s="21">
        <f>EXP(-LN(2)/35)*Z179+(1-EXP(-LN(2)/35))/(LN(2)/35)*V180*W180*VLOOKUP('Données projet'!$B$9,Paramètres!$A$1:$I$89,3,0)*0.475*44/12</f>
        <v>20.233207570830526</v>
      </c>
      <c r="AA180" s="21">
        <f>EXP(-LN(2)/25)*AA179+(1-EXP(-LN(2)/25))/(LN(2)/25)*Calculateur!V180*Calculateur!X180*VLOOKUP('Données projet'!$B$9,Paramètres!$A$1:$I$89,3,0)*0.475*44/12</f>
        <v>1.9563835820987217</v>
      </c>
      <c r="AB180" s="21">
        <f>EXP(-LN(2)/2)*AB179+(1-EXP(-LN(2)/2))/(LN(2)/2)*V180*Y180*VLOOKUP('Données projet'!$B$9,Paramètres!$A$1:$I$89,3,0)*0.475*44/12</f>
        <v>1.4815104006478602E-17</v>
      </c>
      <c r="AC180" s="22">
        <f t="shared" si="328"/>
        <v>22.189591152929246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projet'!$A$71:$I$91,2,0)</f>
        <v>#N/A</v>
      </c>
      <c r="AG180" s="12" t="e">
        <f>VLOOKUP(A180,'Données projet'!$A$71:$I$91,9,0)</f>
        <v>#N/A</v>
      </c>
      <c r="AH180" s="12">
        <f t="array" ref="AH180">INDEX(AG:AG,MIN(IF(ISNUMBER(AG180:AG376),ROW(AG180:AG376),"")))</f>
        <v>0</v>
      </c>
      <c r="AI180" s="13">
        <f>IF('Données projet'!$A$72&gt;35,AI179+AH180-AQ179,IF(A180&lt;'Données projet'!$A$72,$AF$205^A180,IF(A180='Données projet'!$A$72,'Données projet'!$B$72,AI179+AH180-AQ179)))</f>
        <v>5.6843418860808015E-13</v>
      </c>
      <c r="AJ180" s="13">
        <f>AI180*VLOOKUP('Données projet'!$B$10,Paramètres!$A$1:$I$89,3,0)*VLOOKUP('Données projet'!$B$10,Paramètres!$A$1:$I$89,5,0)</f>
        <v>5.1431925385259092E-13</v>
      </c>
      <c r="AK180" s="13">
        <f t="shared" si="329"/>
        <v>6.3855359115685756E-12</v>
      </c>
      <c r="AL180" s="20">
        <f t="shared" si="330"/>
        <v>1.2017247746441865E-11</v>
      </c>
      <c r="AM180" s="59">
        <f t="shared" si="228"/>
        <v>293.33333333334531</v>
      </c>
      <c r="AN180" s="59">
        <f ca="1">AVERAGE(OFFSET($AM$3,0,0,'Données projet'!$E$10+1,1))-AVERAGE(OFFSET($H$3,0,0,'Données projet'!$E$10+1,1))</f>
        <v>270.87836509222456</v>
      </c>
      <c r="AO180" s="59">
        <f t="shared" si="289"/>
        <v>205.24998237949734</v>
      </c>
      <c r="AP180" s="15">
        <f>IF(ISNA(VLOOKUP(A180,'Données projet'!$A$71:$I$91,3,0)),0,VLOOKUP(A180,'Données projet'!$A$71:$I$91,3,0))</f>
        <v>0</v>
      </c>
      <c r="AQ180" s="15">
        <f>IF(ISNA(VLOOKUP(A180,'Données projet'!$A$71:$I$91,4,0)),0,VLOOKUP(A180,'Données projet'!$A$71:$I$91,4,0))</f>
        <v>0</v>
      </c>
      <c r="AR180" s="16">
        <f>IF(ISNA(VLOOKUP(A180,'Données projet'!$A$71:$I$91,5,0)),0%,VLOOKUP(A180,'Données projet'!$A$71:$I$91,5,0)*VLOOKUP('Données projet'!$B$10,Paramètres!$A$1:$I$89,7,0))</f>
        <v>0</v>
      </c>
      <c r="AS180" s="16">
        <f>IF(ISNA(VLOOKUP(A180,'Données projet'!$A$71:$I$91,6,0)),0%,VLOOKUP(A180,'Données projet'!$A$71:$I$91,6,0)*VLOOKUP('Données projet'!$B$10,Paramètres!$A$1:$I$89,7,0))</f>
        <v>0</v>
      </c>
      <c r="AT180" s="16">
        <f>IF(ISNA(VLOOKUP(A180,'Données projet'!$A$71:$I$91,7,0)),0%,VLOOKUP(A180,'Données projet'!$A$71:$I$91,7,0))</f>
        <v>0</v>
      </c>
      <c r="AU180" s="21">
        <f>EXP(-LN(2)/35)*AU179+(1-EXP(-LN(2)/35))/(LN(2)/35)*AQ180*AR180*VLOOKUP('Données projet'!$B$10,Paramètres!$A$1:$I$89,3,0)*0.475*44/12</f>
        <v>68.757594284039229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331"/>
        <v>68.757594284039229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projet'!$A$97:$I$117,2,0)</f>
        <v>#N/A</v>
      </c>
      <c r="BB180" s="12" t="e">
        <f>VLOOKUP(A180,'Données projet'!$A$97:$I$117,9,0)</f>
        <v>#N/A</v>
      </c>
      <c r="BC180" s="12">
        <f t="array" ref="BC180">INDEX(BB:BB,MIN(IF(ISNUMBER(BB180:BB376),ROW(BB180:BB376),"")))</f>
        <v>0</v>
      </c>
      <c r="BD180" s="12">
        <f>IF('Données projet'!$A$98&gt;35,BD179+BC180-BL179,IF(A180&lt;'Données projet'!$A$98,$BA$205^A180,IF(A180='Données projet'!$A$98,'Données projet'!$B$98,BD179+BC180-BL179)))</f>
        <v>-1.1368683772161603E-13</v>
      </c>
      <c r="BE180" s="13">
        <f>BD180*VLOOKUP('Données projet'!$B$11,Paramètres!$A$1:$I$89,3,0)*VLOOKUP('Données projet'!$B$11,Paramètres!$A$1:$I$89,5,0)</f>
        <v>-5.0249582272954292E-14</v>
      </c>
      <c r="BF180" s="13" t="e">
        <f t="shared" si="332"/>
        <v>#NUM!</v>
      </c>
      <c r="BG180" s="20" t="e">
        <f t="shared" si="333"/>
        <v>#NUM!</v>
      </c>
      <c r="BH180" s="59" t="e">
        <f t="shared" si="231"/>
        <v>#NUM!</v>
      </c>
      <c r="BI180" s="59">
        <f ca="1">AVERAGE(OFFSET($BH$3,0,0,'Données projet'!$E$11+1,1))-AVERAGE(OFFSET($H$3,0,0,'Données projet'!$E$11+1,1))</f>
        <v>211.31057120485542</v>
      </c>
      <c r="BJ180" s="59">
        <f t="shared" si="291"/>
        <v>283.33292006714777</v>
      </c>
      <c r="BK180" s="15">
        <f>IF(ISNA(VLOOKUP(A180,'Données projet'!$A$97:$I$117,3,0)),0,VLOOKUP(A180,'Données projet'!$A$97:$I$117,3,0))</f>
        <v>0</v>
      </c>
      <c r="BL180" s="15">
        <f>IF(ISNA(VLOOKUP(A180,'Données projet'!$A$97:$I$117,4,0)),0,VLOOKUP(A180,'Données projet'!$A$97:$I$117,4,0))</f>
        <v>0</v>
      </c>
      <c r="BM180" s="16">
        <f>IF(ISNA(VLOOKUP(A180,'Données projet'!$A$97:$I$117,5,0)),0%,VLOOKUP(A180,'Données projet'!$A$97:$I$117,5,0)*VLOOKUP('Données projet'!$B$11,Paramètres!$A$1:$I$89,7,0))</f>
        <v>0</v>
      </c>
      <c r="BN180" s="16">
        <f>IF(ISNA(VLOOKUP(A180,'Données projet'!$A$97:$I$117,6,0)),0%,VLOOKUP(A180,'Données projet'!$A$97:$I$117,6,0)*VLOOKUP('Données projet'!$B$11,Paramètres!$A$1:$I$89,7,0))</f>
        <v>0</v>
      </c>
      <c r="BO180" s="16">
        <f>IF(ISNA(VLOOKUP(A180,'Données projet'!$A$97:$I$117,7,0)),0%,VLOOKUP(A180,'Données projet'!$A$97:$I$117,7,0))</f>
        <v>0</v>
      </c>
      <c r="BP180" s="21">
        <f>EXP(-LN(2)/35)*BP179+(1-EXP(-LN(2)/35))/(LN(2)/35)*BL180*BM180*VLOOKUP('Données projet'!$B$11,Paramètres!$A$1:$I$89,3,0)*0.475*44/12</f>
        <v>15.998350172284614</v>
      </c>
      <c r="BQ180" s="21">
        <f>EXP(-LN(2)/25)*BQ179+(1-EXP(-LN(2)/25))/(LN(2)/25)*Calculateur!BL180*Calculateur!BN180*VLOOKUP('Données projet'!$B$11,Paramètres!$A$1:$I$89,3,0)*0.475*44/12</f>
        <v>1.5469079486361974</v>
      </c>
      <c r="BR180" s="21">
        <f>EXP(-LN(2)/2)*BR179+(1-EXP(-LN(2)/2))/(LN(2)/2)*BL180*BO180*VLOOKUP('Données projet'!$B$11,Paramètres!$A$1:$I$89,3,0)*0.475*44/12</f>
        <v>1.1714268284192381E-17</v>
      </c>
      <c r="BS180" s="22">
        <f t="shared" si="334"/>
        <v>17.54525812092081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projet'!$A$123:$I$143,2,0)</f>
        <v>#N/A</v>
      </c>
      <c r="BW180" s="12" t="e">
        <f>VLOOKUP(A180,'Données projet'!$A$123:$I$143,9,0)</f>
        <v>#N/A</v>
      </c>
      <c r="BX180" s="12">
        <f t="array" ref="BX180">INDEX(BW:BW,MIN(IF(ISNUMBER(BW180:BW376),ROW(BW180:BW376),"")))</f>
        <v>0</v>
      </c>
      <c r="BY180" s="12">
        <f>IF('Données projet'!$A$124&gt;35,BY179+BX180-CG179,IF(A180&lt;'Données projet'!$A$124,$BV$205^A180,IF(A180='Données projet'!$A$124,'Données projet'!$B$124,BY179+BX180-CG179)))</f>
        <v>0</v>
      </c>
      <c r="BZ180" s="13">
        <f>BY180*VLOOKUP('Données projet'!$B$12,Paramètres!$A$1:$I$89,3,0)*VLOOKUP('Données projet'!$B$12,Paramètres!$A$1:$I$89,5,0)</f>
        <v>0</v>
      </c>
      <c r="CA180" s="13" t="e">
        <f t="shared" si="335"/>
        <v>#NUM!</v>
      </c>
      <c r="CB180" s="20" t="e">
        <f t="shared" si="336"/>
        <v>#NUM!</v>
      </c>
      <c r="CC180" s="59" t="e">
        <f t="shared" si="234"/>
        <v>#NUM!</v>
      </c>
      <c r="CD180" s="59">
        <f ca="1">AVERAGE(OFFSET($CC$3,0,0,'Données projet'!$E$12+1,1))-AVERAGE(OFFSET($H$3,0,0,'Données projet'!$E$12+1,1))</f>
        <v>322.93502595881938</v>
      </c>
      <c r="CE180" s="59">
        <f t="shared" si="293"/>
        <v>302.67072119588164</v>
      </c>
      <c r="CF180" s="15">
        <f>IF(ISNA(VLOOKUP(A180,'Données projet'!$A$123:$I$143,3,0)),0,VLOOKUP(A180,'Données projet'!$A$123:$I$143,3,0))</f>
        <v>0</v>
      </c>
      <c r="CG180" s="15">
        <f>IF(ISNA(VLOOKUP(A180,'Données projet'!$A$123:$I$143,4,0)),0,VLOOKUP(A180,'Données projet'!$A$123:$I$143,4,0))</f>
        <v>0</v>
      </c>
      <c r="CH180" s="16">
        <f>IF(ISNA(VLOOKUP(A180,'Données projet'!$A$123:$I$143,5,0)),0%,VLOOKUP(A180,'Données projet'!$A$123:$I$143,5,0)*VLOOKUP('Données projet'!$B$12,Paramètres!$A$1:$I$89,7,0))</f>
        <v>0</v>
      </c>
      <c r="CI180" s="16">
        <f>IF(ISNA(VLOOKUP(A180,'Données projet'!$A$123:$I$143,6,0)),0%,VLOOKUP(A180,'Données projet'!$A$123:$I$143,6,0)*VLOOKUP('Données projet'!$B$12,Paramètres!$A$1:$I$89,7,0))</f>
        <v>0</v>
      </c>
      <c r="CJ180" s="16">
        <f>IF(ISNA(VLOOKUP(A180,'Données projet'!$A$123:$I$143,7,0)),0%,VLOOKUP(A180,'Données projet'!$A$123:$I$143,7,0))</f>
        <v>0</v>
      </c>
      <c r="CK180" s="21">
        <f>EXP(-LN(2)/35)*CK179+(1-EXP(-LN(2)/35))/(LN(2)/35)*CG180*CH180*VLOOKUP('Données projet'!$B$12,Paramètres!$A$1:$I$89,3,0)*0.475*44/12</f>
        <v>25.489237573188891</v>
      </c>
      <c r="CL180" s="21">
        <f>EXP(-LN(2)/25)*CL179+(1-EXP(-LN(2)/25))/(LN(2)/25)*Calculateur!CG180*Calculateur!CI180*VLOOKUP('Données projet'!$B$12,Paramètres!$A$1:$I$89,3,0)*0.475*44/12</f>
        <v>4.9510413752260529</v>
      </c>
      <c r="CM180" s="21">
        <f>EXP(-LN(2)/2)*CM179+(1-EXP(-LN(2)/2))/(LN(2)/2)*CG180*CJ180*VLOOKUP('Données projet'!$B$12,Paramètres!$A$1:$I$89,3,0)*0.475*44/12</f>
        <v>0</v>
      </c>
      <c r="CN180" s="22">
        <f t="shared" si="337"/>
        <v>30.440278948414942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projet'!$A$149:$I$169,2,0)</f>
        <v>#N/A</v>
      </c>
      <c r="CR180" s="12" t="e">
        <f>VLOOKUP(A180,'Données projet'!$A$149:$I$169,9,0)</f>
        <v>#N/A</v>
      </c>
      <c r="CS180" s="12">
        <f t="array" ref="CS180">INDEX(CR:CR,MIN(IF(ISNUMBER(CR180:CR376),ROW(CR180:CR376),"")))</f>
        <v>0</v>
      </c>
      <c r="CT180" s="12">
        <f>IF('Données projet'!$A$150&gt;35,CT179+CS180-DB179,IF(A180&lt;'Données projet'!$A$150,$CQ$205^A180,IF(A180='Données projet'!$A$150,'Données projet'!$B$150,CT179+CS180-DB179)))</f>
        <v>-4.5474735088646412E-13</v>
      </c>
      <c r="CU180" s="17">
        <f>CT180*VLOOKUP('Données projet'!$B$13,Paramètres!$A$1:$I$89,3,0)*VLOOKUP('Données projet'!$B$13,Paramètres!$A$1:$I$89,5,0)</f>
        <v>-4.6111381379887462E-13</v>
      </c>
      <c r="CV180" s="13" t="e">
        <f t="shared" si="338"/>
        <v>#NUM!</v>
      </c>
      <c r="CW180" s="20" t="e">
        <f t="shared" si="339"/>
        <v>#NUM!</v>
      </c>
      <c r="CX180" s="59" t="e">
        <f t="shared" si="237"/>
        <v>#NUM!</v>
      </c>
      <c r="CY180" s="59">
        <f ca="1">AVERAGE(OFFSET($CX$3,0,0,'Données projet'!$E$13+1,1))-AVERAGE(OFFSET($H$3,0,0,'Données projet'!$E$13+1,1))</f>
        <v>250.31277422753283</v>
      </c>
      <c r="CZ180" s="59">
        <f t="shared" si="295"/>
        <v>159.20429420478047</v>
      </c>
      <c r="DA180" s="15">
        <f>IF(ISNA(VLOOKUP(A180,'Données projet'!$A$149:$I$169,3,0)),0,VLOOKUP(A180,'Données projet'!$A$149:$I$169,3,0))</f>
        <v>0</v>
      </c>
      <c r="DB180" s="15">
        <f>IF(ISNA(VLOOKUP(A180,'Données projet'!$A$149:$I$169,4,0)),0,VLOOKUP(A180,'Données projet'!$A$149:$I$169,4,0))</f>
        <v>0</v>
      </c>
      <c r="DC180" s="16">
        <f>IF(ISNA(VLOOKUP(A180,'Données projet'!$A$149:$I$169,5,0)),0%,VLOOKUP(A180,'Données projet'!$A$149:$I$169,5,0)*VLOOKUP('Données projet'!$B$13,Paramètres!$A$1:$I$89,7,0))</f>
        <v>0</v>
      </c>
      <c r="DD180" s="16">
        <f>IF(ISNA(VLOOKUP(A180,'Données projet'!$A$149:$I$169,6,0)),0%,VLOOKUP(A180,'Données projet'!$A$149:$I$169,6,0)*VLOOKUP('Données projet'!$B$13,Paramètres!$A$1:$I$89,7,0))</f>
        <v>0</v>
      </c>
      <c r="DE180" s="16">
        <f>IF(ISNA(VLOOKUP(A180,'Données projet'!$A$149:$I$169,7,0)),0%,VLOOKUP(A180,'Données projet'!$A$149:$I$169,7,0))</f>
        <v>0</v>
      </c>
      <c r="DF180" s="21">
        <f>EXP(-LN(2)/35)*DF179+(1-EXP(-LN(2)/35))/(LN(2)/35)*DB180*DC180*VLOOKUP('Données projet'!$B$13,Paramètres!$A$1:$I$89,3,0)*0.475*44/12</f>
        <v>116.03460366848992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340"/>
        <v>116.03460366848992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projet'!$A$175:$I$195,2,0)</f>
        <v>#N/A</v>
      </c>
      <c r="DM180" s="12" t="e">
        <f>VLOOKUP(A180,'Données projet'!$A$175:$I$195,9,0)</f>
        <v>#N/A</v>
      </c>
      <c r="DN180" s="12">
        <f t="array" ref="DN180">INDEX(DM:DM,MIN(IF(ISNUMBER(DM180:DM376),ROW(DM180:DM376),"")))</f>
        <v>0</v>
      </c>
      <c r="DO180" s="12">
        <f>IF('Données projet'!$A$176&gt;35,DO179+DN180-DW179,IF(A180&lt;'Données projet'!$A$176,$DL$205^A180,IF(A180='Données projet'!$A$176,'Données projet'!$B$176,DO179+DN180-DW179)))</f>
        <v>-2.8421709430404007E-13</v>
      </c>
      <c r="DP180" s="17">
        <f>DO180*VLOOKUP('Données projet'!$B$14,Paramètres!$A$1:$I$89,3,0)*VLOOKUP('Données projet'!$B$14,Paramètres!$A$1:$I$89,5,0)</f>
        <v>-2.0838797354372215E-13</v>
      </c>
      <c r="DQ180" s="13" t="e">
        <f t="shared" si="341"/>
        <v>#NUM!</v>
      </c>
      <c r="DR180" s="20" t="e">
        <f t="shared" si="342"/>
        <v>#NUM!</v>
      </c>
      <c r="DS180" s="59" t="e">
        <f t="shared" si="240"/>
        <v>#NUM!</v>
      </c>
      <c r="DT180" s="59">
        <f ca="1">AVERAGE(OFFSET($DS$3,0,0,'Données projet'!$E$14+1,1))-AVERAGE(OFFSET($H$3,0,0,'Données projet'!$E$14+1,1))</f>
        <v>296.91321813251051</v>
      </c>
      <c r="DU180" s="59">
        <f t="shared" si="297"/>
        <v>291.0718079639509</v>
      </c>
      <c r="DV180" s="15">
        <f>IF(ISNA(VLOOKUP(A180,'Données projet'!$A$175:$I$195,3,0)),0,VLOOKUP(A180,'Données projet'!$A$175:$I$195,3,0))</f>
        <v>0</v>
      </c>
      <c r="DW180" s="15">
        <f>IF(ISNA(VLOOKUP(A180,'Données projet'!$A$175:$I$195,4,0)),0,VLOOKUP(A180,'Données projet'!$A$175:$I$195,4,0))</f>
        <v>0</v>
      </c>
      <c r="DX180" s="16">
        <f>IF(ISNA(VLOOKUP(A180,'Données projet'!$A$175:$I$195,5,0)),0%,VLOOKUP(A180,'Données projet'!$A$175:$I$195,5,0)*VLOOKUP('Données projet'!$B$14,Paramètres!$A$1:$I$89,7,0))</f>
        <v>0</v>
      </c>
      <c r="DY180" s="16">
        <f>IF(ISNA(VLOOKUP(A180,'Données projet'!$A$175:$I$195,6,0)),0%,VLOOKUP(A180,'Données projet'!$A$175:$I$195,6,0)*VLOOKUP('Données projet'!$B$14,Paramètres!$A$1:$I$89,7,0))</f>
        <v>0</v>
      </c>
      <c r="DZ180" s="16">
        <f>IF(ISNA(VLOOKUP(A180,'Données projet'!$A$175:$I$195,7,0)),0%,VLOOKUP(A180,'Données projet'!$A$175:$I$195,7,0))</f>
        <v>0</v>
      </c>
      <c r="EA180" s="21">
        <f>EXP(-LN(2)/35)*EA179+(1-EXP(-LN(2)/35))/(LN(2)/35)*DW180*DX180*VLOOKUP('Données projet'!$B$14,Paramètres!$A$1:$I$89,3,0)*0.475*44/12</f>
        <v>25.40458672053111</v>
      </c>
      <c r="EB180" s="21">
        <f>EXP(-LN(2)/25)*EB179+(1-EXP(-LN(2)/25))/(LN(2)/25)*Calculateur!DW180*Calculateur!DY180*VLOOKUP('Données projet'!$B$14,Paramètres!$A$1:$I$89,3,0)*0.475*44/12</f>
        <v>0.36370798974928575</v>
      </c>
      <c r="EC180" s="21">
        <f>EXP(-LN(2)/2)*EC179+(1-EXP(-LN(2)/2))/(LN(2)/2)*DW180*DZ180*VLOOKUP('Données projet'!$B$14,Paramètres!$A$1:$I$89,3,0)*0.475*44/12</f>
        <v>0</v>
      </c>
      <c r="ED180" s="22">
        <f t="shared" si="343"/>
        <v>25.768294710280397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projet'!$A$201:$I$221,2,0)</f>
        <v>#N/A</v>
      </c>
      <c r="EH180" s="12" t="e">
        <f>VLOOKUP(A180,'Données projet'!$A$201:$I$221,9,0)</f>
        <v>#N/A</v>
      </c>
      <c r="EI180" s="12">
        <f t="array" ref="EI180">INDEX(EH:EH,MIN(IF(ISNUMBER(EH180:EH376),ROW(EH180:EH376),"")))</f>
        <v>0</v>
      </c>
      <c r="EJ180" s="12">
        <f>IF('Données projet'!$A$202&gt;35,EJ179+EI180-ER179,IF(A180&lt;'Données projet'!$A$202,$EG$205^A180,IF(A180='Données projet'!$A$202,'Données projet'!$B$202,EJ179+EI180-ER179)))</f>
        <v>5.1159076974727213E-13</v>
      </c>
      <c r="EK180" s="17">
        <f>EJ180*VLOOKUP('Données projet'!$B$15,Paramètres!$A$1:$I$89,3,0)*VLOOKUP('Données projet'!$B$15,Paramètres!$A$1:$I$89,5,0)</f>
        <v>2.3942448024172334E-13</v>
      </c>
      <c r="EL180" s="13">
        <f t="shared" si="344"/>
        <v>3.2492669905861755E-12</v>
      </c>
      <c r="EM180" s="20">
        <f t="shared" si="345"/>
        <v>6.0761376450252565E-12</v>
      </c>
      <c r="EN180" s="59">
        <f t="shared" si="243"/>
        <v>293.3333333333394</v>
      </c>
      <c r="EO180" s="59">
        <f ca="1">AVERAGE(OFFSET($EN$3,0,0,'Données projet'!$E$15+1,1))-AVERAGE(OFFSET($H$3,0,0,'Données projet'!$E$15+1,1))</f>
        <v>147.64256291235483</v>
      </c>
      <c r="EP180" s="59">
        <f t="shared" si="299"/>
        <v>70.859031694091868</v>
      </c>
      <c r="EQ180" s="15">
        <f>IF(ISNA(VLOOKUP(A180,'Données projet'!$A$201:$I$221,3,0)),0,VLOOKUP(A180,'Données projet'!$A$201:$I$221,3,0))</f>
        <v>0</v>
      </c>
      <c r="ER180" s="15">
        <f>IF(ISNA(VLOOKUP(A180,'Données projet'!$A$201:$I$221,4,0)),0,VLOOKUP(A180,'Données projet'!$A$201:$I$221,4,0))</f>
        <v>0</v>
      </c>
      <c r="ES180" s="16">
        <f>IF(ISNA(VLOOKUP(A180,'Données projet'!$A$201:$I$221,5,0)),0%,VLOOKUP(A180,'Données projet'!$A$201:$I$221,5,0)*VLOOKUP('Données projet'!$B$15,Paramètres!$A$1:$I$89,7,0))</f>
        <v>0</v>
      </c>
      <c r="ET180" s="16">
        <f>IF(ISNA(VLOOKUP(A180,'Données projet'!$A$201:$I$221,6,0)),0%,VLOOKUP(A180,'Données projet'!$A$201:$I$221,6,0)*VLOOKUP('Données projet'!$B$15,Paramètres!$A$1:$I$89,7,0))</f>
        <v>0</v>
      </c>
      <c r="EU180" s="16">
        <f>IF(ISNA(VLOOKUP(A180,'Données projet'!$A$201:$I$221,7,0)),0%,VLOOKUP(A180,'Données projet'!$A$201:$I$221,7,0))</f>
        <v>0</v>
      </c>
      <c r="EV180" s="21">
        <f>EXP(-LN(2)/35)*EV179+(1-EXP(-LN(2)/35))/(LN(2)/35)*ER180*ES180*VLOOKUP('Données projet'!$B$15,Paramètres!$A$1:$I$89,3,0)*0.475*44/12</f>
        <v>34.779279668828472</v>
      </c>
      <c r="EW180" s="21">
        <f>EXP(-LN(2)/25)*EW179+(1-EXP(-LN(2)/25))/(LN(2)/25)*Calculateur!ER180*Calculateur!ET180*VLOOKUP('Données projet'!$B$15,Paramètres!$A$1:$I$89,3,0)*0.475*44/12</f>
        <v>5.0460819281648481</v>
      </c>
      <c r="EX180" s="21">
        <f>EXP(-LN(2)/2)*EX179+(1-EXP(-LN(2)/2))/(LN(2)/2)*ER180*EU180*VLOOKUP('Données projet'!$B$15,Paramètres!$A$1:$I$89,3,0)*0.475*44/12</f>
        <v>1.0680342864194744E-9</v>
      </c>
      <c r="EY180" s="22">
        <f t="shared" si="346"/>
        <v>39.825361598061349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projet'!$A$227:$I$247,2,0)</f>
        <v>#N/A</v>
      </c>
      <c r="FC180" s="12" t="e">
        <f>VLOOKUP(A180,'Données projet'!$A$227:$I$247,9,0)</f>
        <v>#N/A</v>
      </c>
      <c r="FD180" s="12">
        <f t="array" ref="FD180">INDEX(FC:FC,MIN(IF(ISNUMBER(FC180:FC376),ROW(FC180:FC376),"")))</f>
        <v>0</v>
      </c>
      <c r="FE180" s="12">
        <f>IF('Données projet'!$A$228&gt;35,FE179+FD180-FM179,IF(A180&lt;'Données projet'!$A$228,$FB$205^A180,IF(A180='Données projet'!$A$228,'Données projet'!$B$228,FE179+FD180-FM179)))</f>
        <v>8.5265128291212022E-14</v>
      </c>
      <c r="FF180" s="17">
        <f>FE180*VLOOKUP('Données projet'!$B$16,Paramètres!$A$1:$I$89,3,0)*VLOOKUP('Données projet'!$B$16,Paramètres!$A$1:$I$89,5,0)</f>
        <v>8.9119112089974823E-14</v>
      </c>
      <c r="FG180" s="13">
        <f t="shared" si="347"/>
        <v>1.3568952080113142E-12</v>
      </c>
      <c r="FH180" s="20">
        <f t="shared" si="348"/>
        <v>2.5184749408430782E-12</v>
      </c>
      <c r="FI180" s="59">
        <f t="shared" si="246"/>
        <v>293.33333333333582</v>
      </c>
      <c r="FJ180" s="59">
        <f ca="1">AVERAGE(OFFSET($FI$3,0,0,'Données projet'!$E$16+1,1))-AVERAGE(OFFSET($H$3,0,0,'Données projet'!$E$16+1,1))</f>
        <v>259.03906550253788</v>
      </c>
      <c r="FK180" s="59">
        <f t="shared" si="301"/>
        <v>235.54542903570831</v>
      </c>
      <c r="FL180" s="15">
        <f>IF(ISNA(VLOOKUP(A180,'Données projet'!$A$227:$I$247,3,0)),0,VLOOKUP(A180,'Données projet'!$A$227:$I$247,3,0))</f>
        <v>0</v>
      </c>
      <c r="FM180" s="15">
        <f>IF(ISNA(VLOOKUP(A180,'Données projet'!$A$227:$I$247,4,0)),0,VLOOKUP(A180,'Données projet'!$A$227:$I$247,4,0))</f>
        <v>0</v>
      </c>
      <c r="FN180" s="16">
        <f>IF(ISNA(VLOOKUP(A180,'Données projet'!$A$227:$I$247,5,0)),0%,VLOOKUP(A180,'Données projet'!$A$227:$I$247,5,0)*VLOOKUP('Données projet'!$B$16,Paramètres!$A$1:$I$89,7,0))</f>
        <v>0</v>
      </c>
      <c r="FO180" s="16">
        <f>IF(ISNA(VLOOKUP(A180,'Données projet'!$A$227:$I$247,6,0)),0%,VLOOKUP(A180,'Données projet'!$A$227:$I$247,6,0)*VLOOKUP('Données projet'!$B$16,Paramètres!$A$1:$I$89,7,0))</f>
        <v>0</v>
      </c>
      <c r="FP180" s="16">
        <f>IF(ISNA(VLOOKUP(A180,'Données projet'!$A$227:$I$247,7,0)),0%,VLOOKUP(A180,'Données projet'!$A$227:$I$247,7,0))</f>
        <v>0</v>
      </c>
      <c r="FQ180" s="21">
        <f>EXP(-LN(2)/35)*FQ179+(1-EXP(-LN(2)/35))/(LN(2)/35)*FM180*FN180*VLOOKUP('Données projet'!$B$16,Paramètres!$A$1:$I$89,3,0)*0.475*44/12</f>
        <v>15.350628852763512</v>
      </c>
      <c r="FR180" s="21">
        <f>EXP(-LN(2)/25)*FR179+(1-EXP(-LN(2)/25))/(LN(2)/25)*Calculateur!FM180*Calculateur!FO180*VLOOKUP('Données projet'!$B$16,Paramètres!$A$1:$I$89,3,0)*0.475*44/12</f>
        <v>6.9417670261794795</v>
      </c>
      <c r="FS180" s="21">
        <f>EXP(-LN(2)/2)*FS179+(1-EXP(-LN(2)/2))/(LN(2)/2)*FM180*FP180*VLOOKUP('Données projet'!$B$16,Paramètres!$A$1:$I$89,3,0)*0.475*44/12</f>
        <v>0</v>
      </c>
      <c r="FT180" s="22">
        <f t="shared" si="349"/>
        <v>22.29239587894299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projet'!$A$253:$I$273,2,0)</f>
        <v>#N/A</v>
      </c>
      <c r="FX180" s="12" t="e">
        <f>VLOOKUP(A180,'Données projet'!$A$253:$I$273,9,0)</f>
        <v>#N/A</v>
      </c>
      <c r="FY180" s="12">
        <f t="array" ref="FY180">INDEX(FX:FX,MIN(IF(ISNUMBER(FX180:FX376),ROW(FX180:FX376),"")))</f>
        <v>0</v>
      </c>
      <c r="FZ180" s="12">
        <f>IF('Données projet'!$A$254&gt;35,FZ179+FY180-GH179,IF(A180&lt;'Données projet'!$A$254,$FW$205^A180,IF(A180='Données projet'!$A$254,'Données projet'!$B$254,FZ179+FY180-GH179)))</f>
        <v>-1.7053025658242404E-13</v>
      </c>
      <c r="GA180" s="17">
        <f>FZ180*VLOOKUP('Données projet'!$B$17,Paramètres!$A$1:$I$89,3,0)*VLOOKUP('Données projet'!$B$17,Paramètres!$A$1:$I$89,5,0)</f>
        <v>-1.4897523215040567E-13</v>
      </c>
      <c r="GB180" s="13" t="e">
        <f t="shared" si="350"/>
        <v>#NUM!</v>
      </c>
      <c r="GC180" s="20" t="e">
        <f t="shared" si="351"/>
        <v>#NUM!</v>
      </c>
      <c r="GD180" s="59" t="e">
        <f t="shared" si="249"/>
        <v>#NUM!</v>
      </c>
      <c r="GE180" s="59">
        <f ca="1">AVERAGE(OFFSET($GD$3,0,0,'Données projet'!$E$17+1,1))-AVERAGE(OFFSET($H$3,0,0,'Données projet'!$E$17+1,1))</f>
        <v>245.1983232777614</v>
      </c>
      <c r="GF180" s="59">
        <f t="shared" si="303"/>
        <v>242.34010522344573</v>
      </c>
      <c r="GG180" s="15">
        <f>IF(ISNA(VLOOKUP(A180,'Données projet'!$A$253:$I$273,3,0)),0,VLOOKUP(A180,'Données projet'!$A$253:$I$273,3,0))</f>
        <v>0</v>
      </c>
      <c r="GH180" s="15">
        <f>IF(ISNA(VLOOKUP(A180,'Données projet'!$A$253:$I$273,4,0)),0,VLOOKUP(A180,'Données projet'!$A$253:$I$273,4,0))</f>
        <v>0</v>
      </c>
      <c r="GI180" s="16">
        <f>IF(ISNA(VLOOKUP(A180,'Données projet'!$A$253:$I$273,5,0)),0%,VLOOKUP(A180,'Données projet'!$A$253:$I$273,5,0)*VLOOKUP('Données projet'!$B$17,Paramètres!$A$1:$I$89,7,0))</f>
        <v>0</v>
      </c>
      <c r="GJ180" s="16">
        <f>IF(ISNA(VLOOKUP(A180,'Données projet'!$A$253:$I$273,6,0)),0%,VLOOKUP(A180,'Données projet'!$A$253:$I$273,6,0)*VLOOKUP('Données projet'!$B$17,Paramètres!$A$1:$I$89,7,0))</f>
        <v>0</v>
      </c>
      <c r="GK180" s="16">
        <f>IF(ISNA(VLOOKUP(A180,'Données projet'!$A$253:$I$273,7,0)),0%,VLOOKUP(A180,'Données projet'!$A$253:$I$273,7,0))</f>
        <v>0</v>
      </c>
      <c r="GL180" s="21">
        <f>EXP(-LN(2)/35)*GL179+(1-EXP(-LN(2)/35))/(LN(2)/35)*GH180*GI180*VLOOKUP('Données projet'!$B$17,Paramètres!$A$1:$I$89,3,0)*0.475*44/12</f>
        <v>18.046770357959851</v>
      </c>
      <c r="GM180" s="21">
        <f>EXP(-LN(2)/25)*GM179+(1-EXP(-LN(2)/25))/(LN(2)/25)*Calculateur!GH180*Calculateur!GJ180*VLOOKUP('Données projet'!$B$17,Paramètres!$A$1:$I$89,3,0)*0.475*44/12</f>
        <v>1.4791214404921889</v>
      </c>
      <c r="GN180" s="21">
        <f>EXP(-LN(2)/2)*GN179+(1-EXP(-LN(2)/2))/(LN(2)/2)*GH180*GK180*VLOOKUP('Données projet'!$B$17,Paramètres!$A$1:$I$89,3,0)*0.475*44/12</f>
        <v>0</v>
      </c>
      <c r="GO180" s="21">
        <f t="shared" si="352"/>
        <v>19.52589179845204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projet'!$A$279:$I$299,2,0)</f>
        <v>#N/A</v>
      </c>
      <c r="GS180" s="12" t="e">
        <f>VLOOKUP(A180,'Données projet'!$A$279:$I$299,9,0)</f>
        <v>#N/A</v>
      </c>
      <c r="GT180" s="12">
        <f t="array" ref="GT180">INDEX(GS:GS,MIN(IF(ISNUMBER(GS180:GS376),ROW(GS180:GS376),"")))</f>
        <v>0</v>
      </c>
      <c r="GU180" s="12">
        <f>IF('Données projet'!$A$280&gt;35,GU179+GT180-HC179,IF(A180&lt;'Données projet'!$A$280,$GR$205^A180,IF(A180='Données projet'!$A$280,'Données projet'!$B$280,GU179+GT180-HC179)))</f>
        <v>-1.1368683772161603E-13</v>
      </c>
      <c r="GV180" s="17">
        <f>GU180*VLOOKUP('Données projet'!$B$18,Paramètres!$A$1:$I$89,3,0)*VLOOKUP('Données projet'!$B$18,Paramètres!$A$1:$I$89,5,0)</f>
        <v>-4.5815795601811263E-14</v>
      </c>
      <c r="GW180" s="13" t="e">
        <f t="shared" si="353"/>
        <v>#NUM!</v>
      </c>
      <c r="GX180" s="20" t="e">
        <f t="shared" si="354"/>
        <v>#NUM!</v>
      </c>
      <c r="GY180" s="59" t="e">
        <f t="shared" si="252"/>
        <v>#NUM!</v>
      </c>
      <c r="GZ180" s="59">
        <f ca="1">AVERAGE(OFFSET($GY$3,0,0,'Données projet'!$E$18+1,1))-AVERAGE(OFFSET($H$3,0,0,'Données projet'!$E$18+1,1))</f>
        <v>324.36162935850876</v>
      </c>
      <c r="HA180" s="59">
        <f t="shared" si="305"/>
        <v>265.23571072429735</v>
      </c>
      <c r="HB180" s="15">
        <f>IF(ISNA(VLOOKUP(A180,'Données projet'!$A$279:$I$299,3,0)),0,VLOOKUP(A180,'Données projet'!$A$279:$I$299,3,0))</f>
        <v>0</v>
      </c>
      <c r="HC180" s="15">
        <f>IF(ISNA(VLOOKUP(A180,'Données projet'!$A$279:$I$299,4,0)),0,VLOOKUP(A180,'Données projet'!$A$279:$I$299,4,0))</f>
        <v>0</v>
      </c>
      <c r="HD180" s="16">
        <f>IF(ISNA(VLOOKUP(A180,'Données projet'!$A$279:$I$299,5,0)),0%,VLOOKUP(A180,'Données projet'!$A$279:$I$299,5,0)*VLOOKUP('Données projet'!$B$18,Paramètres!$A$1:$I$89,7,0))</f>
        <v>0</v>
      </c>
      <c r="HE180" s="16">
        <f>IF(ISNA(VLOOKUP(A180,'Données projet'!$A$279:$I$299,6,0)),0%,VLOOKUP(A180,'Données projet'!$A$279:$I$299,6,0)*VLOOKUP('Données projet'!$B$18,Paramètres!$A$1:$I$89,7,0))</f>
        <v>0</v>
      </c>
      <c r="HF180" s="16">
        <f>IF(ISNA(VLOOKUP($A180,'Données projet'!$A$279:$I$299,7,0)),0%,VLOOKUP($A180,'Données projet'!$A$279:$I$299,7,0))</f>
        <v>0</v>
      </c>
      <c r="HG180" s="21">
        <f>EXP(-LN(2)/35)*HG179+(1-EXP(-LN(2)/35))/(LN(2)/35)*HC180*HD180*VLOOKUP('Données projet'!$B$18,Paramètres!$A$1:$I$89,3,0)*0.475*44/12</f>
        <v>34.582329771085263</v>
      </c>
      <c r="HH180" s="21">
        <f>EXP(-LN(2)/25)*HH179+(1-EXP(-LN(2)/25))/(LN(2)/25)*Calculateur!HC180*Calculateur!HE180*VLOOKUP('Données projet'!$B$18,Paramètres!$A$1:$I$89,3,0)*0.475*44/12</f>
        <v>1.6450476064435871</v>
      </c>
      <c r="HI180" s="21">
        <f>EXP(-LN(2)/2)*HI179+(1-EXP(-LN(2)/2))/(LN(2)/2)*HC180*HF180*VLOOKUP('Données projet'!$B$18,Paramètres!$A$1:$I$89,3,0)*0.475*44/12</f>
        <v>2.1471855211977865E-14</v>
      </c>
      <c r="HJ180" s="22">
        <f t="shared" si="355"/>
        <v>36.227377377528875</v>
      </c>
      <c r="HK180" s="74">
        <f>('Scénario référence'!$F$8+'Scénario référence'!$F$9+'Scénario référence'!$B$17+'Scénario référence'!$B$9+'Scénario référence'!$B$10)*70+IF((45+25*(1-EXP(-0.0175*$A180)))&lt;70,'Scénario référence'!$B$16*(45+25*(1-EXP(-0.0175*$A180))),70*'Scénario référence'!$B$16)+IF((32+38*(1-EXP(-0.0175*$A180)))&lt;70,'Scénario référence'!$B$18*(32+38*(1-EXP(-0.0175*$A180))),70*'Scénario référence'!$B$18)</f>
        <v>70</v>
      </c>
      <c r="HL180" s="12">
        <f>IF($A180&gt;30,10,('Scénario référence'!$B$16+'Scénario référence'!$B$17+'Scénario référence'!$B$18+'Scénario référence'!$B$9+'Scénario référence'!$B$10)*$A180*10/30+('Scénario référence'!$F$8+'Scénario référence'!$F$9)*10)</f>
        <v>10</v>
      </c>
      <c r="HM180" s="12" t="e">
        <f>VLOOKUP($A180,'Données projet'!$A$304:$I$324,2,0)</f>
        <v>#N/A</v>
      </c>
      <c r="HN180" s="12" t="e">
        <f>VLOOKUP($A180,'Données projet'!$A$304:$I$324,9,0)</f>
        <v>#N/A</v>
      </c>
      <c r="HO180" s="12">
        <f t="array" ref="HO180">INDEX(HN:HN,MIN(IF(ISNUMBER(HN180:HN376),ROW(HN180:HN376),"")))</f>
        <v>0</v>
      </c>
      <c r="HP180" s="12">
        <f>IF('Données projet'!$A$304&gt;35,HP179+HO180-HX179,IF($A180&lt;'Données projet'!$A$304,$CQ$205^$A180,IF($A180='Données projet'!$A$304,'Données projet'!$B$304,HP179+HO180-HX179)))</f>
        <v>0</v>
      </c>
      <c r="HQ180" s="17">
        <f>HP180*VLOOKUP('Données projet'!$B$19,Paramètres!$A$1:$I$89,3,0)*VLOOKUP('Données projet'!$B$19,Paramètres!$A$1:$I$89,5,0)</f>
        <v>0</v>
      </c>
      <c r="HR180" s="13" t="e">
        <f t="shared" si="306"/>
        <v>#NUM!</v>
      </c>
      <c r="HS180" s="14" t="e">
        <f t="shared" si="254"/>
        <v>#NUM!</v>
      </c>
      <c r="HT180" s="59" t="e">
        <f t="shared" si="255"/>
        <v>#NUM!</v>
      </c>
      <c r="HU180" s="59">
        <f ca="1">AVERAGE(OFFSET(HT$3,0,0,'Données projet'!$E$19+1,1))-AVERAGE(OFFSET($H$3,0,0,'Données projet'!$E$19+1,1))</f>
        <v>91.60721429656013</v>
      </c>
      <c r="HV180" s="59">
        <f t="shared" si="307"/>
        <v>258.94957804210856</v>
      </c>
      <c r="HW180" s="15">
        <f>IF(ISNA(VLOOKUP($A180,'Données projet'!$A$304:$I$324,3,0)),0,VLOOKUP($A180,'Données projet'!$A$304:$I$324,3,0))</f>
        <v>0</v>
      </c>
      <c r="HX180" s="15">
        <f>IF(ISNA(VLOOKUP($A180,'Données projet'!$A$304:$I$324,4,0)),0,VLOOKUP($A180,'Données projet'!$A$304:$I$324,4,0))</f>
        <v>0</v>
      </c>
      <c r="HY180" s="16">
        <f>IF(ISNA(VLOOKUP($A180,'Données projet'!$A$304:$I$324,5,0)),0%,VLOOKUP($A180,'Données projet'!$A$304:$I$324,5,0)*VLOOKUP('Données projet'!$B$19,Paramètres!$A$1:$I$89,7,0))</f>
        <v>0</v>
      </c>
      <c r="HZ180" s="16">
        <f>IF(ISNA(VLOOKUP($A180,'Données projet'!$A$304:$I$324,6,0)),0%,VLOOKUP($A180,'Données projet'!$A$304:$I$324,6,0)*VLOOKUP('Données projet'!$B$19,Paramètres!$A$1:$I$89,7,0))</f>
        <v>0</v>
      </c>
      <c r="IA180" s="16">
        <f>IF(ISNA(VLOOKUP($A180,'Données projet'!$A$304:$I$324,7,0)),0%,VLOOKUP($A180,'Données projet'!$A$304:$I$324,7,0))</f>
        <v>0</v>
      </c>
      <c r="IB180" s="21">
        <f>EXP(-LN(2)/35)*IB179+(1-EXP(-LN(2)/35))/(LN(2)/35)*HX180*HY180*VLOOKUP('Données projet'!$B$19,Paramètres!$A$1:$I$89,3,0)*0.475*44/12</f>
        <v>2.6841633673252234</v>
      </c>
      <c r="IC180" s="21">
        <f>EXP(-LN(2)/25)*IC179+(1-EXP(-LN(2)/25))/(LN(2)/25)*Calculateur!HX180*Calculateur!HZ180*VLOOKUP('Données projet'!$B$19,Paramètres!$A$1:$I$89,3,0)*0.475*44/12</f>
        <v>0.16517905800134333</v>
      </c>
      <c r="ID180" s="21">
        <f>EXP(-LN(2)/2)*ID179+(1-EXP(-LN(2)/2))/(LN(2)/2)*HX180*IA180*VLOOKUP('Données projet'!$B$19,Paramètres!$A$1:$I$89,3,0)*0.475*44/12</f>
        <v>4.2888216715277963E-23</v>
      </c>
      <c r="IE180" s="22">
        <f t="shared" si="256"/>
        <v>2.8493424253265669</v>
      </c>
      <c r="IF180" s="74">
        <f>('Scénario référence'!$F$8+'Scénario référence'!$F$9+'Scénario référence'!$B$17+'Scénario référence'!$B$9+'Scénario référence'!$B$10)*70+IF((45+25*(1-EXP(-0.0175*$A180)))&lt;70,'Scénario référence'!$B$16*(45+25*(1-EXP(-0.0175*$A180))),70*'Scénario référence'!$B$16)+IF((32+38*(1-EXP(-0.0175*$A180)))&lt;70,'Scénario référence'!$B$18*(32+38*(1-EXP(-0.0175*$A180))),70*'Scénario référence'!$B$18)</f>
        <v>70</v>
      </c>
      <c r="IG180" s="12">
        <f>IF($A180&gt;30,10,('Scénario référence'!$B$16+'Scénario référence'!$B$17+'Scénario référence'!$B$18+'Scénario référence'!$B$9+'Scénario référence'!$B$10)*$A180*10/30+('Scénario référence'!$F$8+'Scénario référence'!$F$9)*10)</f>
        <v>10</v>
      </c>
      <c r="IH180" s="12" t="e">
        <f>VLOOKUP($A180,'Données projet'!$A$330:$I$350,2,0)</f>
        <v>#N/A</v>
      </c>
      <c r="II180" s="12" t="e">
        <f>VLOOKUP($A180,'Données projet'!$A$330:$I$350,9,0)</f>
        <v>#N/A</v>
      </c>
      <c r="IJ180" s="12">
        <f t="array" ref="IJ180">INDEX(II:II,MIN(IF(ISNUMBER(II180:II376),ROW(II180:II376),"")))</f>
        <v>0</v>
      </c>
      <c r="IK180" s="12">
        <f>IF('Données projet'!$A$330&gt;35,IK179+IJ180-IS179,IF($A180&lt;'Données projet'!$A$330,$CQ$205^$A180,IF($A180='Données projet'!$A$330,'Données projet'!$B$330,IK179+IJ180-IS179)))</f>
        <v>0</v>
      </c>
      <c r="IL180" s="17">
        <f>IK180*VLOOKUP('Données projet'!$B$20,Paramètres!$A$1:$I$89,3,0)*VLOOKUP('Données projet'!$B$20,Paramètres!$A$1:$I$89,5,0)</f>
        <v>0</v>
      </c>
      <c r="IM180" s="13" t="e">
        <f t="shared" si="308"/>
        <v>#NUM!</v>
      </c>
      <c r="IN180" s="20" t="e">
        <f t="shared" si="257"/>
        <v>#NUM!</v>
      </c>
      <c r="IO180" s="59" t="e">
        <f t="shared" si="258"/>
        <v>#NUM!</v>
      </c>
      <c r="IP180" s="59">
        <f ca="1">AVERAGE(OFFSET(IO$3,0,0,'Données projet'!$E$20+1,1))-AVERAGE(OFFSET($H$3,0,0,'Données projet'!$E$20+1,1))</f>
        <v>91.60721429656013</v>
      </c>
      <c r="IQ180" s="59">
        <f t="shared" si="309"/>
        <v>258.94957804210856</v>
      </c>
      <c r="IR180" s="15">
        <f>IF(ISNA(VLOOKUP($A180,'Données projet'!$A$330:$I$350,3,0)),0,VLOOKUP($A180,'Données projet'!$A$330:$I$350,3,0))</f>
        <v>0</v>
      </c>
      <c r="IS180" s="15">
        <f>IF(ISNA(VLOOKUP($A180,'Données projet'!$A$330:$I$350,4,0)),0,VLOOKUP($A180,'Données projet'!$A$330:$I$350,4,0))</f>
        <v>0</v>
      </c>
      <c r="IT180" s="16">
        <f>IF(ISNA(VLOOKUP($A180,'Données projet'!$A$330:$I$350,5,0)),0%,VLOOKUP($A180,'Données projet'!$A$330:$I$350,5,0)*VLOOKUP('Données projet'!$B$20,Paramètres!$A$1:$I$89,7,0))</f>
        <v>0</v>
      </c>
      <c r="IU180" s="16">
        <f>IF(ISNA(VLOOKUP($A180,'Données projet'!$A$330:$I$350,6,0)),0%,VLOOKUP($A180,'Données projet'!$A$330:$I$350,6,0)*VLOOKUP('Données projet'!$B$20,Paramètres!$A$1:$I$89,7,0))</f>
        <v>0</v>
      </c>
      <c r="IV180" s="16">
        <f>IF(ISNA(VLOOKUP($A180,'Données projet'!$A$330:$I$350,7,0)),0%,VLOOKUP($A180,'Données projet'!$A$330:$I$350,7,0))</f>
        <v>0</v>
      </c>
      <c r="IW180" s="21">
        <f>EXP(-LN(2)/35)*IW179+(1-EXP(-LN(2)/35))/(LN(2)/35)*IS180*IT180*VLOOKUP('Données projet'!$B$20,Paramètres!$A$1:$I$89,3,0)*0.475*44/12</f>
        <v>2.6841633673252234</v>
      </c>
      <c r="IX180" s="21">
        <f>EXP(-LN(2)/25)*IX179+(1-EXP(-LN(2)/25))/(LN(2)/25)*Calculateur!IS180*Calculateur!IU180*VLOOKUP('Données projet'!$B$20,Paramètres!$A$1:$I$89,3,0)*0.475*44/12</f>
        <v>0.16517905800134333</v>
      </c>
      <c r="IY180" s="21">
        <f>EXP(-LN(2)/2)*IY179+(1-EXP(-LN(2)/2))/(LN(2)/2)*IS180*IV180*VLOOKUP('Données projet'!$B$20,Paramètres!$A$1:$I$89,3,0)*0.475*44/12</f>
        <v>4.2888216715277963E-23</v>
      </c>
      <c r="IZ180" s="22">
        <f t="shared" si="259"/>
        <v>2.8493424253265669</v>
      </c>
      <c r="JA180" s="74">
        <f>('Scénario référence'!$F$8+'Scénario référence'!$F$9+'Scénario référence'!$B$17+'Scénario référence'!$B$9+'Scénario référence'!$B$10)*70+IF((45+25*(1-EXP(-0.0175*$A180)))&lt;70,'Scénario référence'!$B$16*(45+25*(1-EXP(-0.0175*$A180))),70*'Scénario référence'!$B$16)+IF((32+38*(1-EXP(-0.0175*$A180)))&lt;70,'Scénario référence'!$B$18*(32+38*(1-EXP(-0.0175*$A180))),70*'Scénario référence'!$B$18)</f>
        <v>70</v>
      </c>
      <c r="JB180" s="12">
        <f>IF($A180&gt;30,10,('Scénario référence'!$B$16+'Scénario référence'!$B$17+'Scénario référence'!$B$18+'Scénario référence'!$B$9+'Scénario référence'!$B$10)*$A180*10/30+('Scénario référence'!$F$8+'Scénario référence'!$F$9)*10)</f>
        <v>10</v>
      </c>
      <c r="JC180" s="12" t="e">
        <f>VLOOKUP($A180,'Données projet'!$A$356:$I$376,2,0)</f>
        <v>#N/A</v>
      </c>
      <c r="JD180" s="12" t="e">
        <f>VLOOKUP($A180,'Données projet'!$A$356:$I$376,9,0)</f>
        <v>#N/A</v>
      </c>
      <c r="JE180" s="12">
        <f t="array" ref="JE180">INDEX(JD:JD,MIN(IF(ISNUMBER(JD180:JD376),ROW(JD180:JD376),"")))</f>
        <v>0</v>
      </c>
      <c r="JF180" s="12">
        <f>IF('Données projet'!$A$356&gt;35,JF179+JE180-JN179,IF($A180&lt;'Données projet'!$A$356,$CQ$205^$A180,IF($A180='Données projet'!$A$356,'Données projet'!$B$356,JF179+JE180-JN179)))</f>
        <v>-1.3073986337985843E-12</v>
      </c>
      <c r="JG180" s="17">
        <f>JF180*VLOOKUP('Données projet'!$B$21,Paramètres!$A$1:$I$89,3,0)*VLOOKUP('Données projet'!$B$21,Paramètres!$A$1:$I$89,5,0)</f>
        <v>-1.0605617717374117E-12</v>
      </c>
      <c r="JH180" s="13" t="e">
        <f t="shared" si="310"/>
        <v>#NUM!</v>
      </c>
      <c r="JI180" s="20" t="e">
        <f t="shared" si="260"/>
        <v>#NUM!</v>
      </c>
      <c r="JJ180" s="59" t="e">
        <f t="shared" si="261"/>
        <v>#NUM!</v>
      </c>
      <c r="JK180" s="59">
        <f ca="1">AVERAGE(OFFSET($JJ$3,0,0,'Données projet'!$E$22+1,1))-AVERAGE(OFFSET($H$3,0,0,'Données projet'!$E$22+1,1))</f>
        <v>353.35574633294613</v>
      </c>
      <c r="JL180" s="59">
        <f t="shared" si="311"/>
        <v>170.36796666474726</v>
      </c>
      <c r="JM180" s="15">
        <f>IF(ISNA(VLOOKUP($A180,'Données projet'!$A$356:$I$376,3,0)),0,VLOOKUP($A180,'Données projet'!$A$356:$I$376,3,0))</f>
        <v>0</v>
      </c>
      <c r="JN180" s="15">
        <f>IF(ISNA(VLOOKUP($A180,'Données projet'!$A$356:$I$376,4,0)),0,VLOOKUP($A180,'Données projet'!$A$356:$I$376,4,0))</f>
        <v>0</v>
      </c>
      <c r="JO180" s="16">
        <f>IF(ISNA(VLOOKUP($A180,'Données projet'!$A$356:$I$376,5,0)),0%,VLOOKUP($A180,'Données projet'!$A$356:$I$376,5,0)*VLOOKUP('Données projet'!$B$21,Paramètres!$A$1:$I$89,7,0))</f>
        <v>0</v>
      </c>
      <c r="JP180" s="16">
        <f>IF(ISNA(VLOOKUP($A180,'Données projet'!$A$356:$I$376,6,0)),0%,VLOOKUP($A180,'Données projet'!$A$356:$I$376,6,0)*VLOOKUP('Données projet'!$B$21,Paramètres!$A$1:$I$89,7,0))</f>
        <v>0</v>
      </c>
      <c r="JQ180" s="16">
        <f>IF(ISNA(VLOOKUP($A180,'Données projet'!$A$356:$I$376,7,0)),0%,VLOOKUP($A180,'Données projet'!$A$356:$I$376,7,0))</f>
        <v>0</v>
      </c>
      <c r="JR180" s="21">
        <f>EXP(-LN(2)/35)*JR179+(1-EXP(-LN(2)/35))/(LN(2)/35)*JN180*JO180*VLOOKUP('Données projet'!$B$21,Paramètres!$A$1:$I$89,3,0)*0.475*44/12</f>
        <v>43.031141201606154</v>
      </c>
      <c r="JS180" s="21">
        <f>EXP(-LN(2)/25)*JS179+(1-EXP(-LN(2)/25))/(LN(2)/25)*Calculateur!JN180*Calculateur!JP180*VLOOKUP('Données projet'!$B$21,Paramètres!$A$1:$I$89,3,0)*0.475*44/12</f>
        <v>36.152137559599339</v>
      </c>
      <c r="JT180" s="21">
        <f>EXP(-LN(2)/2)*JT179+(1-EXP(-LN(2)/2))/(LN(2)/2)*JN180*JQ180*VLOOKUP('Données projet'!$B$21,Paramètres!$A$1:$I$89,3,0)*0.475*44/12</f>
        <v>2.9598812197678074E-3</v>
      </c>
      <c r="JU180" s="18">
        <f t="shared" si="262"/>
        <v>79.186238642425252</v>
      </c>
      <c r="JV180" s="74">
        <f>('Scénario référence'!$F$8+'Scénario référence'!$F$9+'Scénario référence'!$B$17+'Scénario référence'!$B$9+'Scénario référence'!$B$10)*70+IF((45+25*(1-EXP(-0.0175*$A180)))&lt;70,'Scénario référence'!$B$16*(45+25*(1-EXP(-0.0175*$A180))),70*'Scénario référence'!$B$16)+IF((32+38*(1-EXP(-0.0175*$A180)))&lt;70,'Scénario référence'!$B$18*(32+38*(1-EXP(-0.0175*$A180))),70*'Scénario référence'!$B$18)</f>
        <v>70</v>
      </c>
      <c r="JW180" s="12">
        <f>IF($A180&gt;30,10,('Scénario référence'!$B$16+'Scénario référence'!$B$17+'Scénario référence'!$B$18+'Scénario référence'!$B$9+'Scénario référence'!$B$10)*$A180*10/30+('Scénario référence'!$F$8+'Scénario référence'!$F$9)*10)</f>
        <v>10</v>
      </c>
      <c r="JX180" s="12" t="e">
        <f>VLOOKUP($A180,'Données projet'!$A$382:$I$402,2,0)</f>
        <v>#N/A</v>
      </c>
      <c r="JY180" s="12" t="e">
        <f>VLOOKUP($A180,'Données projet'!$A$382:$I$402,9,0)</f>
        <v>#N/A</v>
      </c>
      <c r="JZ180" s="12">
        <f t="array" ref="JZ180">INDEX(JY:JY,MIN(IF(ISNUMBER(JY180:JY376),ROW(JY180:JY376),"")))</f>
        <v>0</v>
      </c>
      <c r="KA180" s="12">
        <f>IF('Données projet'!$A$382&gt;35,KA179+JZ180-KI179,IF($A180&lt;'Données projet'!$A$382,$CQ$205^$A180,IF($A180='Données projet'!$A$382,'Données projet'!$B$382,KA179+JZ180-KI179)))</f>
        <v>5.6843418860808015E-13</v>
      </c>
      <c r="KB180" s="17">
        <f>KA180*VLOOKUP('Données projet'!$B$22,Paramètres!$A$1:$I$89,3,0)*VLOOKUP('Données projet'!$B$22,Paramètres!$A$1:$I$89,5,0)</f>
        <v>3.8130565371830017E-13</v>
      </c>
      <c r="KC180" s="13">
        <f t="shared" si="312"/>
        <v>4.9019074112354236E-12</v>
      </c>
      <c r="KD180" s="20">
        <f t="shared" si="263"/>
        <v>9.2015960881277352E-12</v>
      </c>
      <c r="KE180" s="59">
        <f t="shared" si="264"/>
        <v>293.33333333334252</v>
      </c>
      <c r="KF180" s="59">
        <f ca="1">AVERAGE(OFFSET($KE$3,0,0,'Données projet'!$E$22+1,1))-AVERAGE(OFFSET($H$3,0,0,'Données projet'!$E$22+1,1))</f>
        <v>193.91714772848269</v>
      </c>
      <c r="KG180" s="59">
        <f t="shared" si="313"/>
        <v>159.20429420478047</v>
      </c>
      <c r="KH180" s="15">
        <f>IF(ISNA(VLOOKUP($A180,'Données projet'!$A$382:$I$402,3,0)),0,VLOOKUP($A180,'Données projet'!$A$382:$I$402,3,0))</f>
        <v>0</v>
      </c>
      <c r="KI180" s="15">
        <f>IF(ISNA(VLOOKUP($A180,'Données projet'!$A$382:$I$402,4,0)),0,VLOOKUP($A180,'Données projet'!$A$382:$I$402,4,0))</f>
        <v>0</v>
      </c>
      <c r="KJ180" s="16">
        <f>IF(ISNA(VLOOKUP($A180,'Données projet'!$A$382:$I$402,5,0)),0%,VLOOKUP($A180,'Données projet'!$A$382:$I$402,5,0)*VLOOKUP('Données projet'!$B$22,Paramètres!$A$1:$I$89,7,0))</f>
        <v>0</v>
      </c>
      <c r="KK180" s="16">
        <f>IF(ISNA(VLOOKUP($A180,'Données projet'!$A$382:$I$402,6,0)),0%,VLOOKUP($A180,'Données projet'!$A$382:$I$402,6,0)*VLOOKUP('Données projet'!$B$22,Paramètres!$A$1:$I$89,7,0))</f>
        <v>0</v>
      </c>
      <c r="KL180" s="16">
        <f>IF(ISNA(VLOOKUP($A180,'Données projet'!$A$382:$I$402,7,0)),0%,VLOOKUP($A180,'Données projet'!$A$382:$I$402,7,0))</f>
        <v>0</v>
      </c>
      <c r="KM180" s="21">
        <f>EXP(-LN(2)/35)*KM179+(1-EXP(-LN(2)/35))/(LN(2)/35)*KI180*KJ180*VLOOKUP('Données projet'!$B$22,Paramètres!$A$1:$I$89,3,0)*0.475*44/12</f>
        <v>62.830215466449644</v>
      </c>
      <c r="KN180" s="21">
        <f>EXP(-LN(2)/25)*KN179+(1-EXP(-LN(2)/25))/(LN(2)/25)*Calculateur!KI180*Calculateur!KK180*VLOOKUP('Données projet'!$B$22,Paramètres!$A$1:$I$89,3,0)*0.475*44/12</f>
        <v>0</v>
      </c>
      <c r="KO180" s="21">
        <f>EXP(-LN(2)/2)*KO179+(1-EXP(-LN(2)/2))/(LN(2)/2)*KI180*KL180*VLOOKUP('Données projet'!$B$22,Paramètres!$A$1:$I$89,3,0)*0.475*44/12</f>
        <v>0</v>
      </c>
      <c r="KP180" s="22">
        <f t="shared" si="265"/>
        <v>62.830215466449644</v>
      </c>
      <c r="KQ180" s="74">
        <f>('Scénario référence'!$F$8+'Scénario référence'!$F$9+'Scénario référence'!$B$17+'Scénario référence'!$B$9+'Scénario référence'!$B$10)*70+IF((45+25*(1-EXP(-0.0175*$A180)))&lt;70,'Scénario référence'!$B$16*(45+25*(1-EXP(-0.0175*$A180))),70*'Scénario référence'!$B$16)+IF((32+38*(1-EXP(-0.0175*$A180)))&lt;70,'Scénario référence'!$B$18*(32+38*(1-EXP(-0.0175*$A180))),70*'Scénario référence'!$B$18)</f>
        <v>70</v>
      </c>
      <c r="KR180" s="12">
        <f>IF($A180&gt;30,10,('Scénario référence'!$B$16+'Scénario référence'!$B$17+'Scénario référence'!$B$18+'Scénario référence'!$B$9+'Scénario référence'!$B$10)*$A180*10/30+('Scénario référence'!$F$8+'Scénario référence'!$F$9)*10)</f>
        <v>10</v>
      </c>
      <c r="KS180" s="12" t="e">
        <f>VLOOKUP($A180,'Données projet'!$A$408:$I$428,2,0)</f>
        <v>#N/A</v>
      </c>
      <c r="KT180" s="12" t="e">
        <f>VLOOKUP($A180,'Données projet'!$A$408:$I$428,9,0)</f>
        <v>#N/A</v>
      </c>
      <c r="KU180" s="12">
        <f t="array" ref="KU180">INDEX(KT:KT,MIN(IF(ISNUMBER(KT180:KT376),ROW(KT180:KT376),"")))</f>
        <v>0</v>
      </c>
      <c r="KV180" s="12">
        <f>IF('Données projet'!$A$408&gt;35,KV179+KU180-LD179,IF($A180&lt;'Données projet'!$A$408,$CQ$205^$A180,IF($A180='Données projet'!$A$408,'Données projet'!$B$408,KV179+KU180-LD179)))</f>
        <v>-1.1368683772161603E-13</v>
      </c>
      <c r="KW180" s="17">
        <f>KV180*VLOOKUP('Données projet'!$B$23,Paramètres!$A$1:$I$89,3,0)*VLOOKUP('Données projet'!$B$23,Paramètres!$A$1:$I$89,5,0)</f>
        <v>-9.9316821433603781E-14</v>
      </c>
      <c r="KX180" s="13" t="e">
        <f t="shared" si="314"/>
        <v>#NUM!</v>
      </c>
      <c r="KY180" s="14" t="e">
        <f t="shared" si="266"/>
        <v>#NUM!</v>
      </c>
      <c r="KZ180" s="59" t="e">
        <f t="shared" si="267"/>
        <v>#NUM!</v>
      </c>
      <c r="LA180" s="59">
        <f ca="1">AVERAGE(OFFSET($KZ$3,0,0,'Données projet'!$E$23+1,1))-AVERAGE(OFFSET($H$3,0,0,'Données projet'!$E$23+1,1))</f>
        <v>248.33596943633819</v>
      </c>
      <c r="LB180" s="59">
        <f t="shared" si="315"/>
        <v>242.34010522344573</v>
      </c>
      <c r="LC180" s="15">
        <f>IF(ISNA(VLOOKUP($A180,'Données projet'!$A$408:$I$428,3,0)),0,VLOOKUP($A180,'Données projet'!$A$408:$I$428,3,0))</f>
        <v>0</v>
      </c>
      <c r="LD180" s="15">
        <f>IF(ISNA(VLOOKUP($A180,'Données projet'!$A$408:$I$428,4,0)),0,VLOOKUP($A180,'Données projet'!$A$408:$I$428,4,0))</f>
        <v>0</v>
      </c>
      <c r="LE180" s="16">
        <f>IF(ISNA(VLOOKUP($A180,'Données projet'!$A$408:$I$428,5,0)),0%,VLOOKUP($A180,'Données projet'!$A$408:$I$428,5,0)*VLOOKUP('Données projet'!$B$23,Paramètres!$A$1:$I$89,7,0))</f>
        <v>0</v>
      </c>
      <c r="LF180" s="16">
        <f>IF(ISNA(VLOOKUP($A180,'Données projet'!$A$408:$I$428,6,0)),0%,VLOOKUP($A180,'Données projet'!$A$408:$I$428,6,0)*VLOOKUP('Données projet'!$B$23,Paramètres!$A$1:$I$89,7,0))</f>
        <v>0</v>
      </c>
      <c r="LG180" s="16">
        <f>IF(ISNA(VLOOKUP($A180,'Données projet'!$A$408:$I$428,7,0)),0%,VLOOKUP($A180,'Données projet'!$A$408:$I$428,7,0))</f>
        <v>0</v>
      </c>
      <c r="LH180" s="21">
        <f>EXP(-LN(2)/35)*LH179+(1-EXP(-LN(2)/35))/(LN(2)/35)*LD180*LE180*VLOOKUP('Données projet'!$B$23,Paramètres!$A$1:$I$89,3,0)*0.475*44/12</f>
        <v>18.046770357959851</v>
      </c>
      <c r="LI180" s="21">
        <f>EXP(-LN(2)/25)*LI179+(1-EXP(-LN(2)/25))/(LN(2)/25)*Calculateur!LD180*Calculateur!LF180*VLOOKUP('Données projet'!$B$23,Paramètres!$A$1:$I$89,3,0)*0.475*44/12</f>
        <v>1.4791214404921889</v>
      </c>
      <c r="LJ180" s="21">
        <f>EXP(-LN(2)/2)*LJ179+(1-EXP(-LN(2)/2))/(LN(2)/2)*LD180*LG180*VLOOKUP('Données projet'!$B$23,Paramètres!$A$1:$I$89,3,0)*0.475*44/12</f>
        <v>0</v>
      </c>
      <c r="LK180" s="22">
        <f t="shared" si="268"/>
        <v>19.52589179845204</v>
      </c>
      <c r="LL180" s="74">
        <f>('Scénario référence'!$F$8+'Scénario référence'!$F$9+'Scénario référence'!$B$17+'Scénario référence'!$B$9+'Scénario référence'!$B$10)*70+IF((45+25*(1-EXP(-0.0175*$A180)))&lt;70,'Scénario référence'!$B$16*(45+25*(1-EXP(-0.0175*$A180))),70*'Scénario référence'!$B$16)+IF((32+38*(1-EXP(-0.0175*$A180)))&lt;70,'Scénario référence'!$B$18*(32+38*(1-EXP(-0.0175*$A180))),70*'Scénario référence'!$B$18)</f>
        <v>70</v>
      </c>
      <c r="LM180" s="12">
        <f>IF($A180&gt;30,10,('Scénario référence'!$B$16+'Scénario référence'!$B$17+'Scénario référence'!$B$18+'Scénario référence'!$B$9+'Scénario référence'!$B$10)*$A180*10/30+('Scénario référence'!$F$8+'Scénario référence'!$F$9)*10)</f>
        <v>10</v>
      </c>
      <c r="LN180" s="12" t="e">
        <f>VLOOKUP($A180,'Données projet'!$A$434:$I$454,2,0)</f>
        <v>#N/A</v>
      </c>
      <c r="LO180" s="12" t="e">
        <f>VLOOKUP($A180,'Données projet'!$A$434:$I$454,9,0)</f>
        <v>#N/A</v>
      </c>
      <c r="LP180" s="12">
        <f t="array" ref="LP180">INDEX(LO:LO,MIN(IF(ISNUMBER(LO180:LO376),ROW(LO180:LO376),"")))</f>
        <v>0</v>
      </c>
      <c r="LQ180" s="12">
        <f>IF('Données projet'!$A$434&gt;35,LQ179+LP180-LY179,IF($A180&lt;'Données projet'!$A$434,$CQ$205^$A180,IF($A180='Données projet'!$A$434,'Données projet'!$B$434,LQ179+LP180-LY179)))</f>
        <v>-4.5474735088646412E-13</v>
      </c>
      <c r="LR180" s="17">
        <f>LQ180*VLOOKUP('Données projet'!$B$24,Paramètres!$A$1:$I$89,3,0)*VLOOKUP('Données projet'!$B$24,Paramètres!$A$1:$I$89,5,0)</f>
        <v>-4.6111381379887462E-13</v>
      </c>
      <c r="LS180" s="13" t="e">
        <f t="shared" si="316"/>
        <v>#NUM!</v>
      </c>
      <c r="LT180" s="14" t="e">
        <f t="shared" si="269"/>
        <v>#NUM!</v>
      </c>
      <c r="LU180" s="59" t="e">
        <f t="shared" si="270"/>
        <v>#NUM!</v>
      </c>
      <c r="LV180" s="59">
        <f ca="1">AVERAGE(OFFSET($LU$3,0,0,'Données projet'!$E$24+1,1))-AVERAGE(OFFSET($H$3,0,0,'Données projet'!$E$24+1,1))</f>
        <v>260.52627655062872</v>
      </c>
      <c r="LW180" s="59">
        <f t="shared" si="317"/>
        <v>159.20429420478047</v>
      </c>
      <c r="LX180" s="15">
        <f>IF(ISNA(VLOOKUP($A180,'Données projet'!$A$434:$I$454,3,0)),0,VLOOKUP($A180,'Données projet'!$A$434:$I$454,3,0))</f>
        <v>0</v>
      </c>
      <c r="LY180" s="15">
        <f>IF(ISNA(VLOOKUP($A180,'Données projet'!$A$434:$I$454,4,0)),0,VLOOKUP($A180,'Données projet'!$A$434:$I$454,4,0))</f>
        <v>0</v>
      </c>
      <c r="LZ180" s="16">
        <f>IF(ISNA(VLOOKUP($A180,'Données projet'!$A$434:$I$454,5,0)),0%,VLOOKUP($A180,'Données projet'!$A$434:$I$454,5,0)*VLOOKUP('Données projet'!$B$24,Paramètres!$A$1:$I$89,7,0))</f>
        <v>0</v>
      </c>
      <c r="MA180" s="16">
        <f>IF(ISNA(VLOOKUP($A180,'Données projet'!$A$434:$I$454,6,0)),0%,VLOOKUP($A180,'Données projet'!$A$434:$I$454,6,0)*VLOOKUP('Données projet'!$B$24,Paramètres!$A$1:$I$89,7,0))</f>
        <v>0</v>
      </c>
      <c r="MB180" s="16">
        <f>IF(ISNA(VLOOKUP($A180,'Données projet'!$A$434:$I$454,7,0)),0%,VLOOKUP($A180,'Données projet'!$A$434:$I$454,7,0))</f>
        <v>0</v>
      </c>
      <c r="MC180" s="21">
        <f>EXP(-LN(2)/35)*MC179+(1-EXP(-LN(2)/35))/(LN(2)/35)*LY180*LZ180*VLOOKUP('Données projet'!$B$24,Paramètres!$A$1:$I$89,3,0)*0.475*44/12</f>
        <v>116.03460366848992</v>
      </c>
      <c r="MD180" s="21">
        <f>EXP(-LN(2)/25)*MD179+(1-EXP(-LN(2)/25))/(LN(2)/25)*Calculateur!LY180*Calculateur!MA180*VLOOKUP('Données projet'!$B$24,Paramètres!$A$1:$I$89,3,0)*0.475*44/12</f>
        <v>0</v>
      </c>
      <c r="ME180" s="21">
        <f>EXP(-LN(2)/2)*ME179+(1-EXP(-LN(2)/2))/(LN(2)/2)*LY180*MB180*VLOOKUP('Données projet'!$B$24,Paramètres!$A$1:$I$89,3,0)*0.475*44/12</f>
        <v>0</v>
      </c>
      <c r="MF180" s="22">
        <f t="shared" si="271"/>
        <v>116.03460366848992</v>
      </c>
      <c r="MG180" s="74">
        <f>('Scénario référence'!$F$8+'Scénario référence'!$F$9+'Scénario référence'!$B$17+'Scénario référence'!$B$9+'Scénario référence'!$B$10)*70+IF((45+25*(1-EXP(-0.0175*$A180)))&lt;70,'Scénario référence'!$B$16*(45+25*(1-EXP(-0.0175*$A180))),70*'Scénario référence'!$B$16)+IF((32+38*(1-EXP(-0.0175*$A180)))&lt;70,'Scénario référence'!$B$18*(32+38*(1-EXP(-0.0175*$A180))),70*'Scénario référence'!$B$18)</f>
        <v>70</v>
      </c>
      <c r="MH180" s="12">
        <f>IF($A180&gt;30,10,('Scénario référence'!$B$16+'Scénario référence'!$B$17+'Scénario référence'!$B$18+'Scénario référence'!$B$9+'Scénario référence'!$B$10)*$A180*10/30+('Scénario référence'!$F$8+'Scénario référence'!$F$9)*10)</f>
        <v>10</v>
      </c>
      <c r="MI180" s="12" t="e">
        <f>VLOOKUP($A180,'Données projet'!$A$460:$I$480,2,0)</f>
        <v>#N/A</v>
      </c>
      <c r="MJ180" s="12" t="e">
        <f>VLOOKUP($A180,'Données projet'!$A$460:$I$480,9,0)</f>
        <v>#N/A</v>
      </c>
      <c r="MK180" s="12">
        <f t="array" ref="MK180">INDEX(MJ:MJ,MIN(IF(ISNUMBER(MJ180:MJ376),ROW(MJ180:MJ376),"")))</f>
        <v>0</v>
      </c>
      <c r="ML180" s="12">
        <f>IF('Données projet'!$A$460&gt;35,ML179+MK180-MT179,IF($A180&lt;'Données projet'!$A$460,$CQ$205^$A180,IF($A180='Données projet'!$A$460,'Données projet'!$B$460,ML179+MK180-MT179)))</f>
        <v>0</v>
      </c>
      <c r="MM180" s="17" t="e">
        <f>ML180*VLOOKUP('Données projet'!$B$25,Paramètres!$A$1:$I$89,3,0)*VLOOKUP('Données projet'!$B$25,Paramètres!$A$1:$I$89,5,0)</f>
        <v>#N/A</v>
      </c>
      <c r="MN180" s="13" t="e">
        <f t="shared" si="318"/>
        <v>#N/A</v>
      </c>
      <c r="MO180" s="14" t="e">
        <f t="shared" si="272"/>
        <v>#N/A</v>
      </c>
      <c r="MP180" s="59" t="e">
        <f t="shared" si="273"/>
        <v>#N/A</v>
      </c>
      <c r="MQ180" s="20" t="e">
        <f ca="1">AVERAGE(OFFSET($MP$3,0,0,'Données projet'!$E$25+1,1))-AVERAGE(OFFSET($H$3,0,0,'Données projet'!$E$25+1,1))</f>
        <v>#N/A</v>
      </c>
      <c r="MR180" s="59" t="e">
        <f t="shared" si="319"/>
        <v>#N/A</v>
      </c>
      <c r="MS180" s="15">
        <f>IF(ISNA(VLOOKUP($A180,'Données projet'!$A$460:$I$480,3,0)),0,VLOOKUP($A180,'Données projet'!$A$460:$I$480,3,0))</f>
        <v>0</v>
      </c>
      <c r="MT180" s="15">
        <f>IF(ISNA(VLOOKUP($A180,'Données projet'!$A$460:$I$480,4,0)),0,VLOOKUP($A180,'Données projet'!$A$460:$I$480,4,0))</f>
        <v>0</v>
      </c>
      <c r="MU180" s="16">
        <f>IF(ISNA(VLOOKUP($A180,'Données projet'!$A$460:$I$480,5,0)),0%,VLOOKUP($A180,'Données projet'!$A$460:$I$480,5,0)*VLOOKUP('Données projet'!$B$25,Paramètres!$A$1:$I$89,7,0))</f>
        <v>0</v>
      </c>
      <c r="MV180" s="16">
        <f>IF(ISNA(VLOOKUP($A180,'Données projet'!$A$460:$I$480,6,0)),0%,VLOOKUP($A180,'Données projet'!$A$460:$I$480,6,0)*VLOOKUP('Données projet'!$B$25,Paramètres!$A$1:$I$89,7,0))</f>
        <v>0</v>
      </c>
      <c r="MW180" s="16">
        <f>IF(ISNA(VLOOKUP($A180,'Données projet'!$A$460:$I$480,7,0)),0%,VLOOKUP($A180,'Données projet'!$A$460:$I$480,7,0))</f>
        <v>0</v>
      </c>
      <c r="MX180" s="21" t="e">
        <f>EXP(-LN(2)/35)*MX179+(1-EXP(-LN(2)/35))/(LN(2)/35)*MT180*MU180*VLOOKUP('Données projet'!$B$25,Paramètres!$A$1:$I$89,3,0)*0.475*44/12</f>
        <v>#N/A</v>
      </c>
      <c r="MY180" s="21" t="e">
        <f>EXP(-LN(2)/25)*MY179+(1-EXP(-LN(2)/25))/(LN(2)/25)*Calculateur!MT180*Calculateur!MV180*VLOOKUP('Données projet'!$B$25,Paramètres!$A$1:$I$89,3,0)*0.475*44/12</f>
        <v>#N/A</v>
      </c>
      <c r="MZ180" s="21" t="e">
        <f>EXP(-LN(2)/2)*MZ179+(1-EXP(-LN(2)/2))/(LN(2)/2)*MT180*MW180*VLOOKUP('Données projet'!$B$25,Paramètres!$A$1:$I$89,3,0)*0.475*44/12</f>
        <v>#N/A</v>
      </c>
      <c r="NA180" s="22" t="e">
        <f t="shared" si="274"/>
        <v>#N/A</v>
      </c>
      <c r="NB180" s="74">
        <f>('Scénario référence'!$F$8+'Scénario référence'!$F$9+'Scénario référence'!$B$17+'Scénario référence'!$B$9+'Scénario référence'!$B$10)*70+IF((45+25*(1-EXP(-0.0175*$A180)))&lt;70,'Scénario référence'!$B$16*(45+25*(1-EXP(-0.0175*$A180))),70*'Scénario référence'!$B$16)+IF((32+38*(1-EXP(-0.0175*$A180)))&lt;70,'Scénario référence'!$B$18*(32+38*(1-EXP(-0.0175*$A180))),70*'Scénario référence'!$B$18)</f>
        <v>70</v>
      </c>
      <c r="NC180" s="12">
        <f>IF($A180&gt;30,10,('Scénario référence'!$B$16+'Scénario référence'!$B$17+'Scénario référence'!$B$18+'Scénario référence'!$B$9+'Scénario référence'!$B$10)*$A180*10/30+('Scénario référence'!$F$8+'Scénario référence'!$F$9)*10)</f>
        <v>10</v>
      </c>
      <c r="ND180" s="12" t="e">
        <f>VLOOKUP($A180,'Données projet'!$A$486:$I$506,2,0)</f>
        <v>#N/A</v>
      </c>
      <c r="NE180" s="12" t="e">
        <f>VLOOKUP($A180,'Données projet'!$A$486:$I$506,9,0)</f>
        <v>#N/A</v>
      </c>
      <c r="NF180" s="12">
        <f t="array" ref="NF180">INDEX(NE:NE,MIN(IF(ISNUMBER(NE180:NE376),ROW(NE180:NE376),"")))</f>
        <v>0</v>
      </c>
      <c r="NG180" s="12">
        <f>IF('Données projet'!$A$486&gt;35,NG179+NF180-NO179,IF($A180&lt;'Données projet'!$A$486,$CQ$205^$A180,IF($A180='Données projet'!$A$486,'Données projet'!$B$486,NG179+NF180-NO179)))</f>
        <v>0</v>
      </c>
      <c r="NH180" s="17" t="e">
        <f>NG180*VLOOKUP('Données projet'!$B$26,Paramètres!$A$1:$I$89,3,0)*VLOOKUP('Données projet'!$B$26,Paramètres!$A$1:$I$89,5,0)</f>
        <v>#N/A</v>
      </c>
      <c r="NI180" s="13" t="e">
        <f t="shared" si="320"/>
        <v>#N/A</v>
      </c>
      <c r="NJ180" s="14" t="e">
        <f t="shared" si="275"/>
        <v>#N/A</v>
      </c>
      <c r="NK180" s="59" t="e">
        <f t="shared" si="276"/>
        <v>#N/A</v>
      </c>
      <c r="NL180" s="20" t="e">
        <f ca="1">AVERAGE(OFFSET($NK$3,0,0,'Données projet'!$E$26+1,1))-AVERAGE(OFFSET($H$3,0,0,'Données projet'!$E$26+1,1))</f>
        <v>#N/A</v>
      </c>
      <c r="NM180" s="59" t="e">
        <f t="shared" si="321"/>
        <v>#N/A</v>
      </c>
      <c r="NN180" s="15">
        <f>IF(ISNA(VLOOKUP($A180,'Données projet'!$A$486:$I$506,3,0)),0,VLOOKUP($A180,'Données projet'!$A$486:$I$506,3,0))</f>
        <v>0</v>
      </c>
      <c r="NO180" s="15">
        <f>IF(ISNA(VLOOKUP($A180,'Données projet'!$A$486:$I$506,4,0)),0,VLOOKUP($A180,'Données projet'!$A$486:$I$506,4,0))</f>
        <v>0</v>
      </c>
      <c r="NP180" s="16">
        <f>IF(ISNA(VLOOKUP($A180,'Données projet'!$A$486:$I$506,5,0)),0%,VLOOKUP($A180,'Données projet'!$A$486:$I$506,5,0)*VLOOKUP('Données projet'!$B$26,Paramètres!$A$1:$I$89,7,0))</f>
        <v>0</v>
      </c>
      <c r="NQ180" s="16">
        <f>IF(ISNA(VLOOKUP($A180,'Données projet'!$A$486:$I$506,6,0)),0%,VLOOKUP($A180,'Données projet'!$A$486:$I$506,6,0)*VLOOKUP('Données projet'!$B$26,Paramètres!$A$1:$I$89,7,0))</f>
        <v>0</v>
      </c>
      <c r="NR180" s="16">
        <f>IF(ISNA(VLOOKUP($A180,'Données projet'!$A$486:$I$506,7,0)),0%,VLOOKUP($A180,'Données projet'!$A$486:$I$506,7,0))</f>
        <v>0</v>
      </c>
      <c r="NS180" s="21" t="e">
        <f>EXP(-LN(2)/35)*NS179+(1-EXP(-LN(2)/35))/(LN(2)/35)*NO180*NP180*VLOOKUP('Données projet'!$B$26,Paramètres!$A$1:$I$89,3,0)*0.475*44/12</f>
        <v>#N/A</v>
      </c>
      <c r="NT180" s="21" t="e">
        <f>EXP(-LN(2)/25)*NT179+(1-EXP(-LN(2)/25))/(LN(2)/25)*Calculateur!NO180*Calculateur!NQ180*VLOOKUP('Données projet'!$B$26,Paramètres!$A$1:$I$89,3,0)*0.475*44/12</f>
        <v>#N/A</v>
      </c>
      <c r="NU180" s="21" t="e">
        <f>EXP(-LN(2)/2)*NU179+(1-EXP(-LN(2)/2))/(LN(2)/2)*NO180*NR180*VLOOKUP('Données projet'!$B$26,Paramètres!$A$1:$I$89,3,0)*0.475*44/12</f>
        <v>#N/A</v>
      </c>
      <c r="NV180" s="22" t="e">
        <f t="shared" si="277"/>
        <v>#N/A</v>
      </c>
      <c r="NW180" s="74">
        <f>('Scénario référence'!$F$8+'Scénario référence'!$F$9+'Scénario référence'!$B$17+'Scénario référence'!$B$9+'Scénario référence'!$B$10)*70+IF((45+25*(1-EXP(-0.0175*$A180)))&lt;70,'Scénario référence'!$B$16*(45+25*(1-EXP(-0.0175*$A180))),70*'Scénario référence'!$B$16)+IF((32+38*(1-EXP(-0.0175*$A180)))&lt;70,'Scénario référence'!$B$18*(32+38*(1-EXP(-0.0175*$A180))),70*'Scénario référence'!$B$18)</f>
        <v>70</v>
      </c>
      <c r="NX180" s="12">
        <f>IF($A180&gt;30,10,('Scénario référence'!$B$16+'Scénario référence'!$B$17+'Scénario référence'!$B$18+'Scénario référence'!$B$9+'Scénario référence'!$B$10)*$A180*10/30+('Scénario référence'!$F$8+'Scénario référence'!$F$9)*10)</f>
        <v>10</v>
      </c>
      <c r="NY180" s="12" t="e">
        <f>VLOOKUP($A180,'Données projet'!$A$512:$I$532,2,0)</f>
        <v>#N/A</v>
      </c>
      <c r="NZ180" s="12" t="e">
        <f>VLOOKUP($A180,'Données projet'!$A$512:$I$532,9,0)</f>
        <v>#N/A</v>
      </c>
      <c r="OA180" s="12">
        <f t="array" ref="OA180">INDEX(NZ:NZ,MIN(IF(ISNUMBER(NZ180:NZ376),ROW(NZ180:NZ376),"")))</f>
        <v>0</v>
      </c>
      <c r="OB180" s="12">
        <f>IF('Données projet'!$A$512&gt;35,OB179+OA180-OJ179,IF($A180&lt;'Données projet'!$A$512,$CQ$205^$A180,IF($A180='Données projet'!$A$512,'Données projet'!$B$512,OB179+OA180-OJ179)))</f>
        <v>0</v>
      </c>
      <c r="OC180" s="17" t="e">
        <f>OB180*VLOOKUP('Données projet'!$B$27,Paramètres!$A$1:$I$89,3,0)*VLOOKUP('Données projet'!$B$27,Paramètres!$A$1:$I$89,5,0)</f>
        <v>#N/A</v>
      </c>
      <c r="OD180" s="13" t="e">
        <f t="shared" si="322"/>
        <v>#N/A</v>
      </c>
      <c r="OE180" s="14" t="e">
        <f t="shared" si="278"/>
        <v>#N/A</v>
      </c>
      <c r="OF180" s="59" t="e">
        <f t="shared" si="279"/>
        <v>#N/A</v>
      </c>
      <c r="OG180" s="20" t="e">
        <f ca="1">AVERAGE(OFFSET($OF$3,0,0,'Données projet'!$E$27+1,1))-AVERAGE(OFFSET($H$3,0,0,'Données projet'!$E$27+1,1))</f>
        <v>#N/A</v>
      </c>
      <c r="OH180" s="59" t="e">
        <f t="shared" si="323"/>
        <v>#N/A</v>
      </c>
      <c r="OI180" s="15">
        <f>IF(ISNA(VLOOKUP($A180,'Données projet'!$A$512:$I$532,3,0)),0,VLOOKUP($A180,'Données projet'!$A$512:$I$532,3,0))</f>
        <v>0</v>
      </c>
      <c r="OJ180" s="15">
        <f>IF(ISNA(VLOOKUP($A180,'Données projet'!$A$512:$I$532,4,0)),0,VLOOKUP($A180,'Données projet'!$A$512:$I$532,4,0))</f>
        <v>0</v>
      </c>
      <c r="OK180" s="16">
        <f>IF(ISNA(VLOOKUP($A180,'Données projet'!$A$512:$I$532,5,0)),0%,VLOOKUP($A180,'Données projet'!$A$512:$I$532,5,0)*VLOOKUP('Données projet'!$B$27,Paramètres!$A$1:$I$89,7,0))</f>
        <v>0</v>
      </c>
      <c r="OL180" s="16">
        <f>IF(ISNA(VLOOKUP($A180,'Données projet'!$A$512:$I$532,6,0)),0%,VLOOKUP($A180,'Données projet'!$A$512:$I$532,6,0)*VLOOKUP('Données projet'!$B$27,Paramètres!$A$1:$I$89,7,0))</f>
        <v>0</v>
      </c>
      <c r="OM180" s="16">
        <f>IF(ISNA(VLOOKUP($A180,'Données projet'!$A$512:$I$532,7,0)),0%,VLOOKUP($A180,'Données projet'!$A$512:$I$532,7,0))</f>
        <v>0</v>
      </c>
      <c r="ON180" s="21" t="e">
        <f>EXP(-LN(2)/35)*ON179+(1-EXP(-LN(2)/35))/(LN(2)/35)*OJ180*OK180*VLOOKUP('Données projet'!$B$27,Paramètres!$A$1:$I$89,3,0)*0.475*44/12</f>
        <v>#N/A</v>
      </c>
      <c r="OO180" s="21" t="e">
        <f>EXP(-LN(2)/25)*OO179+(1-EXP(-LN(2)/25))/(LN(2)/25)*Calculateur!OJ180*Calculateur!OL180*VLOOKUP('Données projet'!$B$27,Paramètres!$A$1:$I$89,3,0)*0.475*44/12</f>
        <v>#N/A</v>
      </c>
      <c r="OP180" s="21" t="e">
        <f>EXP(-LN(2)/2)*OP179+(1-EXP(-LN(2)/2))/(LN(2)/2)*OJ180*OM180*VLOOKUP('Données projet'!$B$27,Paramètres!$A$1:$I$89,3,0)*0.475*44/12</f>
        <v>#N/A</v>
      </c>
      <c r="OQ180" s="22" t="e">
        <f t="shared" si="280"/>
        <v>#N/A</v>
      </c>
      <c r="OR180" s="74">
        <f>('Scénario référence'!$F$8+'Scénario référence'!$F$9+'Scénario référence'!$B$17+'Scénario référence'!$B$9+'Scénario référence'!$B$10)*70+IF((45+25*(1-EXP(-0.0175*$A180)))&lt;70,'Scénario référence'!$B$16*(45+25*(1-EXP(-0.0175*$A180))),70*'Scénario référence'!$B$16)+IF((32+38*(1-EXP(-0.0175*$A180)))&lt;70,'Scénario référence'!$B$18*(32+38*(1-EXP(-0.0175*$A180))),70*'Scénario référence'!$B$18)</f>
        <v>70</v>
      </c>
      <c r="OS180" s="12">
        <f>IF($A180&gt;30,10,('Scénario référence'!$B$16+'Scénario référence'!$B$17+'Scénario référence'!$B$18+'Scénario référence'!$B$9+'Scénario référence'!$B$10)*$A180*10/30+('Scénario référence'!$F$8+'Scénario référence'!$F$9)*10)</f>
        <v>10</v>
      </c>
      <c r="OT180" s="12" t="e">
        <f>VLOOKUP($A180,'Données projet'!$A$538:$I$558,2,0)</f>
        <v>#N/A</v>
      </c>
      <c r="OU180" s="12" t="e">
        <f>VLOOKUP($A180,'Données projet'!$A$538:$I$558,9,0)</f>
        <v>#N/A</v>
      </c>
      <c r="OV180" s="12">
        <f t="array" ref="OV180">INDEX(OU:OU,MIN(IF(ISNUMBER(OU180:OU376),ROW(OU180:OU376),"")))</f>
        <v>0</v>
      </c>
      <c r="OW180" s="12">
        <f>IF('Données projet'!$A$538&gt;35,OW179+OV180-PE179,IF($A180&lt;'Données projet'!$A$538,$CQ$205^$A180,IF($A180='Données projet'!$A$538,'Données projet'!$B$538,OW179+OV180-PE179)))</f>
        <v>0</v>
      </c>
      <c r="OX180" s="17" t="e">
        <f>OW180*VLOOKUP('Données projet'!$B$28,Paramètres!$A$1:$I$89,3,0)*VLOOKUP('Données projet'!$B$28,Paramètres!$A$1:$I$89,5,0)</f>
        <v>#N/A</v>
      </c>
      <c r="OY180" s="13" t="e">
        <f t="shared" si="324"/>
        <v>#N/A</v>
      </c>
      <c r="OZ180" s="14" t="e">
        <f t="shared" si="281"/>
        <v>#N/A</v>
      </c>
      <c r="PA180" s="59" t="e">
        <f t="shared" si="282"/>
        <v>#N/A</v>
      </c>
      <c r="PB180" s="20" t="e">
        <f ca="1">AVERAGE(OFFSET($PA$3,0,0,'Données projet'!$E$28+1,1))-AVERAGE(OFFSET($H$3,0,0,'Données projet'!$E$28+1,1))</f>
        <v>#N/A</v>
      </c>
      <c r="PC180" s="59" t="e">
        <f t="shared" si="325"/>
        <v>#N/A</v>
      </c>
      <c r="PD180" s="15">
        <f>IF(ISNA(VLOOKUP($A180,'Données projet'!$A$538:$I$558,3,0)),0,VLOOKUP($A180,'Données projet'!$A$538:$I$558,3,0))</f>
        <v>0</v>
      </c>
      <c r="PE180" s="15">
        <f>IF(ISNA(VLOOKUP($A180,'Données projet'!$A$538:$I$558,4,0)),0,VLOOKUP($A180,'Données projet'!$A$538:$I$558,4,0))</f>
        <v>0</v>
      </c>
      <c r="PF180" s="16">
        <f>IF(ISNA(VLOOKUP($A180,'Données projet'!$A$538:$I$558,5,0)),0%,VLOOKUP($A180,'Données projet'!$A$538:$I$558,5,0)*VLOOKUP('Données projet'!$B$28,Paramètres!$A$1:$I$89,7,0))</f>
        <v>0</v>
      </c>
      <c r="PG180" s="16">
        <f>IF(ISNA(VLOOKUP($A180,'Données projet'!$A$538:$I$558,6,0)),0%,VLOOKUP($A180,'Données projet'!$A$538:$I$558,6,0)*VLOOKUP('Données projet'!$B$28,Paramètres!$A$1:$I$89,7,0))</f>
        <v>0</v>
      </c>
      <c r="PH180" s="16">
        <f>IF(ISNA(VLOOKUP($A180,'Données projet'!$A$538:$I$558,7,0)),0%,VLOOKUP($A180,'Données projet'!$A$538:$I$558,7,0))</f>
        <v>0</v>
      </c>
      <c r="PI180" s="21" t="e">
        <f>EXP(-LN(2)/35)*PI179+(1-EXP(-LN(2)/35))/(LN(2)/35)*PE180*PF180*VLOOKUP('Données projet'!$B$28,Paramètres!$A$1:$I$89,3,0)*0.475*44/12</f>
        <v>#N/A</v>
      </c>
      <c r="PJ180" s="21" t="e">
        <f>EXP(-LN(2)/25)*PJ179+(1-EXP(-LN(2)/25))/(LN(2)/25)*Calculateur!PE180*Calculateur!PG180*VLOOKUP('Données projet'!$B$28,Paramètres!$A$1:$I$89,3,0)*0.475*44/12</f>
        <v>#N/A</v>
      </c>
      <c r="PK180" s="21" t="e">
        <f>EXP(-LN(2)/2)*PK179+(1-EXP(-LN(2)/2))/(LN(2)/2)*PE180*PH180*VLOOKUP('Données projet'!$B$28,Paramètres!$A$1:$I$89,3,0)*0.475*44/12</f>
        <v>#N/A</v>
      </c>
      <c r="PL180" s="22" t="e">
        <f t="shared" si="283"/>
        <v>#N/A</v>
      </c>
    </row>
    <row r="181" spans="1:428" x14ac:dyDescent="0.35">
      <c r="A181" s="10">
        <f t="shared" si="326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285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225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projet'!$A$45:$I$65,2,0)</f>
        <v>#N/A</v>
      </c>
      <c r="L181" s="12" t="e">
        <f>VLOOKUP(A181,'Données projet'!$A$45:$I$65,9,0)</f>
        <v>#N/A</v>
      </c>
      <c r="M181" s="12">
        <f t="array" ref="M181">INDEX(L:L,MIN(IF(ISNUMBER(L181:L377),ROW(L181:L377),"")))</f>
        <v>0</v>
      </c>
      <c r="N181" s="13">
        <f>IF('Données projet'!$A$46&gt;35,N180+M181-V180,IF(A181&lt;'Données projet'!$A$46,$K$205^A181,IF(A181='Données projet'!$A$46,'Données projet'!$B$46,N180+M181-V180)))</f>
        <v>-1.1368683772161603E-13</v>
      </c>
      <c r="O181" s="13">
        <f>N181*VLOOKUP('Données projet'!$B$9,Paramètres!$A$1:$I$89,3,0)*VLOOKUP('Données projet'!$B$9,Paramètres!$A$1:$I$89,5,0)</f>
        <v>-6.3550942286383367E-14</v>
      </c>
      <c r="P181" s="13" t="e">
        <f t="shared" si="286"/>
        <v>#NUM!</v>
      </c>
      <c r="Q181" s="20" t="e">
        <f t="shared" si="327"/>
        <v>#NUM!</v>
      </c>
      <c r="R181" s="59" t="e">
        <f t="shared" si="224"/>
        <v>#NUM!</v>
      </c>
      <c r="S181" s="59">
        <f ca="1">AVERAGE(OFFSET($R$3,0,0,'Données projet'!$E$9+1,1))-AVERAGE(OFFSET($H$3,0,0,'Données projet'!$E$9+1,1))</f>
        <v>274.57619581652199</v>
      </c>
      <c r="T181" s="59">
        <f t="shared" si="287"/>
        <v>366.15117322598775</v>
      </c>
      <c r="U181" s="15">
        <f>IF(ISNA(VLOOKUP(A181,'Données projet'!$A$45:$I$65,3,0)),0,VLOOKUP(A181,'Données projet'!$A$45:$I$65,3,0))</f>
        <v>0</v>
      </c>
      <c r="V181" s="15">
        <f>IF(ISNA(VLOOKUP(A181,'Données projet'!$A$45:$I$65,4,0)),0,VLOOKUP(A181,'Données projet'!$A$45:$I$65,4,0))</f>
        <v>0</v>
      </c>
      <c r="W181" s="16">
        <f>IF(ISNA(VLOOKUP(A181,'Données projet'!$A$45:$I$65,5,0)),0%,VLOOKUP(A181,'Données projet'!$A$45:$I$65,5,0)*VLOOKUP('Données projet'!$B$9,Paramètres!$A$1:$I$89,7,0))</f>
        <v>0</v>
      </c>
      <c r="X181" s="16">
        <f>IF(ISNA(VLOOKUP(A181,'Données projet'!$A$45:$I$65,6,0)),0%,VLOOKUP(A181,'Données projet'!$A$45:$I$65,6,0)*VLOOKUP('Données projet'!$B$9,Paramètres!$A$1:$I$89,7,0))</f>
        <v>0</v>
      </c>
      <c r="Y181" s="16">
        <f>IF(ISNA(VLOOKUP(A181,'Données projet'!$A$45:$I$65,7,0)),0%,VLOOKUP(A181,'Données projet'!$A$45:$I$65,7,0))</f>
        <v>0</v>
      </c>
      <c r="Z181" s="21">
        <f>EXP(-LN(2)/35)*Z180+(1-EXP(-LN(2)/35))/(LN(2)/35)*V181*W181*VLOOKUP('Données projet'!$B$9,Paramètres!$A$1:$I$89,3,0)*0.475*44/12</f>
        <v>19.83644671140458</v>
      </c>
      <c r="AA181" s="21">
        <f>EXP(-LN(2)/25)*AA180+(1-EXP(-LN(2)/25))/(LN(2)/25)*Calculateur!V181*Calculateur!X181*VLOOKUP('Données projet'!$B$9,Paramètres!$A$1:$I$89,3,0)*0.475*44/12</f>
        <v>1.9028861701644908</v>
      </c>
      <c r="AB181" s="21">
        <f>EXP(-LN(2)/2)*AB180+(1-EXP(-LN(2)/2))/(LN(2)/2)*V181*Y181*VLOOKUP('Données projet'!$B$9,Paramètres!$A$1:$I$89,3,0)*0.475*44/12</f>
        <v>1.0475860506965008E-17</v>
      </c>
      <c r="AC181" s="22">
        <f t="shared" si="328"/>
        <v>21.739332881569069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projet'!$A$71:$I$91,2,0)</f>
        <v>#N/A</v>
      </c>
      <c r="AG181" s="12" t="e">
        <f>VLOOKUP(A181,'Données projet'!$A$71:$I$91,9,0)</f>
        <v>#N/A</v>
      </c>
      <c r="AH181" s="12">
        <f t="array" ref="AH181">INDEX(AG:AG,MIN(IF(ISNUMBER(AG181:AG377),ROW(AG181:AG377),"")))</f>
        <v>0</v>
      </c>
      <c r="AI181" s="13">
        <f>IF('Données projet'!$A$72&gt;35,AI180+AH181-AQ180,IF(A181&lt;'Données projet'!$A$72,$AF$205^A181,IF(A181='Données projet'!$A$72,'Données projet'!$B$72,AI180+AH181-AQ180)))</f>
        <v>5.6843418860808015E-13</v>
      </c>
      <c r="AJ181" s="13">
        <f>AI181*VLOOKUP('Données projet'!$B$10,Paramètres!$A$1:$I$89,3,0)*VLOOKUP('Données projet'!$B$10,Paramètres!$A$1:$I$89,5,0)</f>
        <v>5.1431925385259092E-13</v>
      </c>
      <c r="AK181" s="13">
        <f t="shared" si="329"/>
        <v>6.3855359115685756E-12</v>
      </c>
      <c r="AL181" s="20">
        <f t="shared" si="330"/>
        <v>1.2017247746441865E-11</v>
      </c>
      <c r="AM181" s="59">
        <f t="shared" si="228"/>
        <v>293.33333333334531</v>
      </c>
      <c r="AN181" s="59">
        <f ca="1">AVERAGE(OFFSET($AM$3,0,0,'Données projet'!$E$10+1,1))-AVERAGE(OFFSET($H$3,0,0,'Données projet'!$E$10+1,1))</f>
        <v>270.87836509222456</v>
      </c>
      <c r="AO181" s="59">
        <f t="shared" si="289"/>
        <v>205.24998237949734</v>
      </c>
      <c r="AP181" s="15">
        <f>IF(ISNA(VLOOKUP(A181,'Données projet'!$A$71:$I$91,3,0)),0,VLOOKUP(A181,'Données projet'!$A$71:$I$91,3,0))</f>
        <v>0</v>
      </c>
      <c r="AQ181" s="15">
        <f>IF(ISNA(VLOOKUP(A181,'Données projet'!$A$71:$I$91,4,0)),0,VLOOKUP(A181,'Données projet'!$A$71:$I$91,4,0))</f>
        <v>0</v>
      </c>
      <c r="AR181" s="16">
        <f>IF(ISNA(VLOOKUP(A181,'Données projet'!$A$71:$I$91,5,0)),0%,VLOOKUP(A181,'Données projet'!$A$71:$I$91,5,0)*VLOOKUP('Données projet'!$B$10,Paramètres!$A$1:$I$89,7,0))</f>
        <v>0</v>
      </c>
      <c r="AS181" s="16">
        <f>IF(ISNA(VLOOKUP(A181,'Données projet'!$A$71:$I$91,6,0)),0%,VLOOKUP(A181,'Données projet'!$A$71:$I$91,6,0)*VLOOKUP('Données projet'!$B$10,Paramètres!$A$1:$I$89,7,0))</f>
        <v>0</v>
      </c>
      <c r="AT181" s="16">
        <f>IF(ISNA(VLOOKUP(A181,'Données projet'!$A$71:$I$91,7,0)),0%,VLOOKUP(A181,'Données projet'!$A$71:$I$91,7,0))</f>
        <v>0</v>
      </c>
      <c r="AU181" s="21">
        <f>EXP(-LN(2)/35)*AU180+(1-EXP(-LN(2)/35))/(LN(2)/35)*AQ181*AR181*VLOOKUP('Données projet'!$B$10,Paramètres!$A$1:$I$89,3,0)*0.475*44/12</f>
        <v>67.409299798120699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331"/>
        <v>67.409299798120699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projet'!$A$97:$I$117,2,0)</f>
        <v>#N/A</v>
      </c>
      <c r="BB181" s="12" t="e">
        <f>VLOOKUP(A181,'Données projet'!$A$97:$I$117,9,0)</f>
        <v>#N/A</v>
      </c>
      <c r="BC181" s="12">
        <f t="array" ref="BC181">INDEX(BB:BB,MIN(IF(ISNUMBER(BB181:BB377),ROW(BB181:BB377),"")))</f>
        <v>0</v>
      </c>
      <c r="BD181" s="12">
        <f>IF('Données projet'!$A$98&gt;35,BD180+BC181-BL180,IF(A181&lt;'Données projet'!$A$98,$BA$205^A181,IF(A181='Données projet'!$A$98,'Données projet'!$B$98,BD180+BC181-BL180)))</f>
        <v>-1.1368683772161603E-13</v>
      </c>
      <c r="BE181" s="13">
        <f>BD181*VLOOKUP('Données projet'!$B$11,Paramètres!$A$1:$I$89,3,0)*VLOOKUP('Données projet'!$B$11,Paramètres!$A$1:$I$89,5,0)</f>
        <v>-5.0249582272954292E-14</v>
      </c>
      <c r="BF181" s="13" t="e">
        <f t="shared" si="332"/>
        <v>#NUM!</v>
      </c>
      <c r="BG181" s="20" t="e">
        <f t="shared" si="333"/>
        <v>#NUM!</v>
      </c>
      <c r="BH181" s="59" t="e">
        <f t="shared" si="231"/>
        <v>#NUM!</v>
      </c>
      <c r="BI181" s="59">
        <f ca="1">AVERAGE(OFFSET($BH$3,0,0,'Données projet'!$E$11+1,1))-AVERAGE(OFFSET($H$3,0,0,'Données projet'!$E$11+1,1))</f>
        <v>211.31057120485542</v>
      </c>
      <c r="BJ181" s="59">
        <f t="shared" si="291"/>
        <v>283.33292006714777</v>
      </c>
      <c r="BK181" s="15">
        <f>IF(ISNA(VLOOKUP(A181,'Données projet'!$A$97:$I$117,3,0)),0,VLOOKUP(A181,'Données projet'!$A$97:$I$117,3,0))</f>
        <v>0</v>
      </c>
      <c r="BL181" s="15">
        <f>IF(ISNA(VLOOKUP(A181,'Données projet'!$A$97:$I$117,4,0)),0,VLOOKUP(A181,'Données projet'!$A$97:$I$117,4,0))</f>
        <v>0</v>
      </c>
      <c r="BM181" s="16">
        <f>IF(ISNA(VLOOKUP(A181,'Données projet'!$A$97:$I$117,5,0)),0%,VLOOKUP(A181,'Données projet'!$A$97:$I$117,5,0)*VLOOKUP('Données projet'!$B$11,Paramètres!$A$1:$I$89,7,0))</f>
        <v>0</v>
      </c>
      <c r="BN181" s="16">
        <f>IF(ISNA(VLOOKUP(A181,'Données projet'!$A$97:$I$117,6,0)),0%,VLOOKUP(A181,'Données projet'!$A$97:$I$117,6,0)*VLOOKUP('Données projet'!$B$11,Paramètres!$A$1:$I$89,7,0))</f>
        <v>0</v>
      </c>
      <c r="BO181" s="16">
        <f>IF(ISNA(VLOOKUP(A181,'Données projet'!$A$97:$I$117,7,0)),0%,VLOOKUP(A181,'Données projet'!$A$97:$I$117,7,0))</f>
        <v>0</v>
      </c>
      <c r="BP181" s="21">
        <f>EXP(-LN(2)/35)*BP180+(1-EXP(-LN(2)/35))/(LN(2)/35)*BL181*BM181*VLOOKUP('Données projet'!$B$11,Paramètres!$A$1:$I$89,3,0)*0.475*44/12</f>
        <v>15.684632283436192</v>
      </c>
      <c r="BQ181" s="21">
        <f>EXP(-LN(2)/25)*BQ180+(1-EXP(-LN(2)/25))/(LN(2)/25)*Calculateur!BL181*Calculateur!BN181*VLOOKUP('Données projet'!$B$11,Paramètres!$A$1:$I$89,3,0)*0.475*44/12</f>
        <v>1.5046076694323871</v>
      </c>
      <c r="BR181" s="21">
        <f>EXP(-LN(2)/2)*BR180+(1-EXP(-LN(2)/2))/(LN(2)/2)*BL181*BO181*VLOOKUP('Données projet'!$B$11,Paramètres!$A$1:$I$89,3,0)*0.475*44/12</f>
        <v>8.2832385403909352E-18</v>
      </c>
      <c r="BS181" s="22">
        <f t="shared" si="334"/>
        <v>17.189239952868579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projet'!$A$123:$I$143,2,0)</f>
        <v>#N/A</v>
      </c>
      <c r="BW181" s="12" t="e">
        <f>VLOOKUP(A181,'Données projet'!$A$123:$I$143,9,0)</f>
        <v>#N/A</v>
      </c>
      <c r="BX181" s="12">
        <f t="array" ref="BX181">INDEX(BW:BW,MIN(IF(ISNUMBER(BW181:BW377),ROW(BW181:BW377),"")))</f>
        <v>0</v>
      </c>
      <c r="BY181" s="12">
        <f>IF('Données projet'!$A$124&gt;35,BY180+BX181-CG180,IF(A181&lt;'Données projet'!$A$124,$BV$205^A181,IF(A181='Données projet'!$A$124,'Données projet'!$B$124,BY180+BX181-CG180)))</f>
        <v>0</v>
      </c>
      <c r="BZ181" s="13">
        <f>BY181*VLOOKUP('Données projet'!$B$12,Paramètres!$A$1:$I$89,3,0)*VLOOKUP('Données projet'!$B$12,Paramètres!$A$1:$I$89,5,0)</f>
        <v>0</v>
      </c>
      <c r="CA181" s="13" t="e">
        <f t="shared" si="335"/>
        <v>#NUM!</v>
      </c>
      <c r="CB181" s="20" t="e">
        <f t="shared" si="336"/>
        <v>#NUM!</v>
      </c>
      <c r="CC181" s="59" t="e">
        <f t="shared" si="234"/>
        <v>#NUM!</v>
      </c>
      <c r="CD181" s="59">
        <f ca="1">AVERAGE(OFFSET($CC$3,0,0,'Données projet'!$E$12+1,1))-AVERAGE(OFFSET($H$3,0,0,'Données projet'!$E$12+1,1))</f>
        <v>322.93502595881938</v>
      </c>
      <c r="CE181" s="59">
        <f t="shared" si="293"/>
        <v>302.67072119588164</v>
      </c>
      <c r="CF181" s="15">
        <f>IF(ISNA(VLOOKUP(A181,'Données projet'!$A$123:$I$143,3,0)),0,VLOOKUP(A181,'Données projet'!$A$123:$I$143,3,0))</f>
        <v>0</v>
      </c>
      <c r="CG181" s="15">
        <f>IF(ISNA(VLOOKUP(A181,'Données projet'!$A$123:$I$143,4,0)),0,VLOOKUP(A181,'Données projet'!$A$123:$I$143,4,0))</f>
        <v>0</v>
      </c>
      <c r="CH181" s="16">
        <f>IF(ISNA(VLOOKUP(A181,'Données projet'!$A$123:$I$143,5,0)),0%,VLOOKUP(A181,'Données projet'!$A$123:$I$143,5,0)*VLOOKUP('Données projet'!$B$12,Paramètres!$A$1:$I$89,7,0))</f>
        <v>0</v>
      </c>
      <c r="CI181" s="16">
        <f>IF(ISNA(VLOOKUP(A181,'Données projet'!$A$123:$I$143,6,0)),0%,VLOOKUP(A181,'Données projet'!$A$123:$I$143,6,0)*VLOOKUP('Données projet'!$B$12,Paramètres!$A$1:$I$89,7,0))</f>
        <v>0</v>
      </c>
      <c r="CJ181" s="16">
        <f>IF(ISNA(VLOOKUP(A181,'Données projet'!$A$123:$I$143,7,0)),0%,VLOOKUP(A181,'Données projet'!$A$123:$I$143,7,0))</f>
        <v>0</v>
      </c>
      <c r="CK181" s="21">
        <f>EXP(-LN(2)/35)*CK180+(1-EXP(-LN(2)/35))/(LN(2)/35)*CG181*CH181*VLOOKUP('Données projet'!$B$12,Paramètres!$A$1:$I$89,3,0)*0.475*44/12</f>
        <v>24.989409171278449</v>
      </c>
      <c r="CL181" s="21">
        <f>EXP(-LN(2)/25)*CL180+(1-EXP(-LN(2)/25))/(LN(2)/25)*Calculateur!CG181*Calculateur!CI181*VLOOKUP('Données projet'!$B$12,Paramètres!$A$1:$I$89,3,0)*0.475*44/12</f>
        <v>4.815654888456546</v>
      </c>
      <c r="CM181" s="21">
        <f>EXP(-LN(2)/2)*CM180+(1-EXP(-LN(2)/2))/(LN(2)/2)*CG181*CJ181*VLOOKUP('Données projet'!$B$12,Paramètres!$A$1:$I$89,3,0)*0.475*44/12</f>
        <v>0</v>
      </c>
      <c r="CN181" s="22">
        <f t="shared" si="337"/>
        <v>29.805064059734995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projet'!$A$149:$I$169,2,0)</f>
        <v>#N/A</v>
      </c>
      <c r="CR181" s="12" t="e">
        <f>VLOOKUP(A181,'Données projet'!$A$149:$I$169,9,0)</f>
        <v>#N/A</v>
      </c>
      <c r="CS181" s="12">
        <f t="array" ref="CS181">INDEX(CR:CR,MIN(IF(ISNUMBER(CR181:CR377),ROW(CR181:CR377),"")))</f>
        <v>0</v>
      </c>
      <c r="CT181" s="12">
        <f>IF('Données projet'!$A$150&gt;35,CT180+CS181-DB180,IF(A181&lt;'Données projet'!$A$150,$CQ$205^A181,IF(A181='Données projet'!$A$150,'Données projet'!$B$150,CT180+CS181-DB180)))</f>
        <v>-4.5474735088646412E-13</v>
      </c>
      <c r="CU181" s="17">
        <f>CT181*VLOOKUP('Données projet'!$B$13,Paramètres!$A$1:$I$89,3,0)*VLOOKUP('Données projet'!$B$13,Paramètres!$A$1:$I$89,5,0)</f>
        <v>-4.6111381379887462E-13</v>
      </c>
      <c r="CV181" s="13" t="e">
        <f t="shared" si="338"/>
        <v>#NUM!</v>
      </c>
      <c r="CW181" s="20" t="e">
        <f t="shared" si="339"/>
        <v>#NUM!</v>
      </c>
      <c r="CX181" s="59" t="e">
        <f t="shared" si="237"/>
        <v>#NUM!</v>
      </c>
      <c r="CY181" s="59">
        <f ca="1">AVERAGE(OFFSET($CX$3,0,0,'Données projet'!$E$13+1,1))-AVERAGE(OFFSET($H$3,0,0,'Données projet'!$E$13+1,1))</f>
        <v>250.31277422753283</v>
      </c>
      <c r="CZ181" s="59">
        <f t="shared" si="295"/>
        <v>159.20429420478047</v>
      </c>
      <c r="DA181" s="15">
        <f>IF(ISNA(VLOOKUP(A181,'Données projet'!$A$149:$I$169,3,0)),0,VLOOKUP(A181,'Données projet'!$A$149:$I$169,3,0))</f>
        <v>0</v>
      </c>
      <c r="DB181" s="15">
        <f>IF(ISNA(VLOOKUP(A181,'Données projet'!$A$149:$I$169,4,0)),0,VLOOKUP(A181,'Données projet'!$A$149:$I$169,4,0))</f>
        <v>0</v>
      </c>
      <c r="DC181" s="16">
        <f>IF(ISNA(VLOOKUP(A181,'Données projet'!$A$149:$I$169,5,0)),0%,VLOOKUP(A181,'Données projet'!$A$149:$I$169,5,0)*VLOOKUP('Données projet'!$B$13,Paramètres!$A$1:$I$89,7,0))</f>
        <v>0</v>
      </c>
      <c r="DD181" s="16">
        <f>IF(ISNA(VLOOKUP(A181,'Données projet'!$A$149:$I$169,6,0)),0%,VLOOKUP(A181,'Données projet'!$A$149:$I$169,6,0)*VLOOKUP('Données projet'!$B$13,Paramètres!$A$1:$I$89,7,0))</f>
        <v>0</v>
      </c>
      <c r="DE181" s="16">
        <f>IF(ISNA(VLOOKUP(A181,'Données projet'!$A$149:$I$169,7,0)),0%,VLOOKUP(A181,'Données projet'!$A$149:$I$169,7,0))</f>
        <v>0</v>
      </c>
      <c r="DF181" s="21">
        <f>EXP(-LN(2)/35)*DF180+(1-EXP(-LN(2)/35))/(LN(2)/35)*DB181*DC181*VLOOKUP('Données projet'!$B$13,Paramètres!$A$1:$I$89,3,0)*0.475*44/12</f>
        <v>113.75923586467071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340"/>
        <v>113.75923586467071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projet'!$A$175:$I$195,2,0)</f>
        <v>#N/A</v>
      </c>
      <c r="DM181" s="12" t="e">
        <f>VLOOKUP(A181,'Données projet'!$A$175:$I$195,9,0)</f>
        <v>#N/A</v>
      </c>
      <c r="DN181" s="12">
        <f t="array" ref="DN181">INDEX(DM:DM,MIN(IF(ISNUMBER(DM181:DM377),ROW(DM181:DM377),"")))</f>
        <v>0</v>
      </c>
      <c r="DO181" s="12">
        <f>IF('Données projet'!$A$176&gt;35,DO180+DN181-DW180,IF(A181&lt;'Données projet'!$A$176,$DL$205^A181,IF(A181='Données projet'!$A$176,'Données projet'!$B$176,DO180+DN181-DW180)))</f>
        <v>-2.8421709430404007E-13</v>
      </c>
      <c r="DP181" s="17">
        <f>DO181*VLOOKUP('Données projet'!$B$14,Paramètres!$A$1:$I$89,3,0)*VLOOKUP('Données projet'!$B$14,Paramètres!$A$1:$I$89,5,0)</f>
        <v>-2.0838797354372215E-13</v>
      </c>
      <c r="DQ181" s="13" t="e">
        <f t="shared" si="341"/>
        <v>#NUM!</v>
      </c>
      <c r="DR181" s="20" t="e">
        <f t="shared" si="342"/>
        <v>#NUM!</v>
      </c>
      <c r="DS181" s="59" t="e">
        <f t="shared" si="240"/>
        <v>#NUM!</v>
      </c>
      <c r="DT181" s="59">
        <f ca="1">AVERAGE(OFFSET($DS$3,0,0,'Données projet'!$E$14+1,1))-AVERAGE(OFFSET($H$3,0,0,'Données projet'!$E$14+1,1))</f>
        <v>296.91321813251051</v>
      </c>
      <c r="DU181" s="59">
        <f t="shared" si="297"/>
        <v>291.0718079639509</v>
      </c>
      <c r="DV181" s="15">
        <f>IF(ISNA(VLOOKUP(A181,'Données projet'!$A$175:$I$195,3,0)),0,VLOOKUP(A181,'Données projet'!$A$175:$I$195,3,0))</f>
        <v>0</v>
      </c>
      <c r="DW181" s="15">
        <f>IF(ISNA(VLOOKUP(A181,'Données projet'!$A$175:$I$195,4,0)),0,VLOOKUP(A181,'Données projet'!$A$175:$I$195,4,0))</f>
        <v>0</v>
      </c>
      <c r="DX181" s="16">
        <f>IF(ISNA(VLOOKUP(A181,'Données projet'!$A$175:$I$195,5,0)),0%,VLOOKUP(A181,'Données projet'!$A$175:$I$195,5,0)*VLOOKUP('Données projet'!$B$14,Paramètres!$A$1:$I$89,7,0))</f>
        <v>0</v>
      </c>
      <c r="DY181" s="16">
        <f>IF(ISNA(VLOOKUP(A181,'Données projet'!$A$175:$I$195,6,0)),0%,VLOOKUP(A181,'Données projet'!$A$175:$I$195,6,0)*VLOOKUP('Données projet'!$B$14,Paramètres!$A$1:$I$89,7,0))</f>
        <v>0</v>
      </c>
      <c r="DZ181" s="16">
        <f>IF(ISNA(VLOOKUP(A181,'Données projet'!$A$175:$I$195,7,0)),0%,VLOOKUP(A181,'Données projet'!$A$175:$I$195,7,0))</f>
        <v>0</v>
      </c>
      <c r="EA181" s="21">
        <f>EXP(-LN(2)/35)*EA180+(1-EXP(-LN(2)/35))/(LN(2)/35)*DW181*DX181*VLOOKUP('Données projet'!$B$14,Paramètres!$A$1:$I$89,3,0)*0.475*44/12</f>
        <v>24.906418270209365</v>
      </c>
      <c r="EB181" s="21">
        <f>EXP(-LN(2)/25)*EB180+(1-EXP(-LN(2)/25))/(LN(2)/25)*Calculateur!DW181*Calculateur!DY181*VLOOKUP('Données projet'!$B$14,Paramètres!$A$1:$I$89,3,0)*0.475*44/12</f>
        <v>0.3537623756430196</v>
      </c>
      <c r="EC181" s="21">
        <f>EXP(-LN(2)/2)*EC180+(1-EXP(-LN(2)/2))/(LN(2)/2)*DW181*DZ181*VLOOKUP('Données projet'!$B$14,Paramètres!$A$1:$I$89,3,0)*0.475*44/12</f>
        <v>0</v>
      </c>
      <c r="ED181" s="22">
        <f t="shared" si="343"/>
        <v>25.260180645852383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projet'!$A$201:$I$221,2,0)</f>
        <v>#N/A</v>
      </c>
      <c r="EH181" s="12" t="e">
        <f>VLOOKUP(A181,'Données projet'!$A$201:$I$221,9,0)</f>
        <v>#N/A</v>
      </c>
      <c r="EI181" s="12">
        <f t="array" ref="EI181">INDEX(EH:EH,MIN(IF(ISNUMBER(EH181:EH377),ROW(EH181:EH377),"")))</f>
        <v>0</v>
      </c>
      <c r="EJ181" s="12">
        <f>IF('Données projet'!$A$202&gt;35,EJ180+EI181-ER180,IF(A181&lt;'Données projet'!$A$202,$EG$205^A181,IF(A181='Données projet'!$A$202,'Données projet'!$B$202,EJ180+EI181-ER180)))</f>
        <v>5.1159076974727213E-13</v>
      </c>
      <c r="EK181" s="17">
        <f>EJ181*VLOOKUP('Données projet'!$B$15,Paramètres!$A$1:$I$89,3,0)*VLOOKUP('Données projet'!$B$15,Paramètres!$A$1:$I$89,5,0)</f>
        <v>2.3942448024172334E-13</v>
      </c>
      <c r="EL181" s="13">
        <f t="shared" si="344"/>
        <v>3.2492669905861755E-12</v>
      </c>
      <c r="EM181" s="20">
        <f t="shared" si="345"/>
        <v>6.0761376450252565E-12</v>
      </c>
      <c r="EN181" s="59">
        <f t="shared" si="243"/>
        <v>293.3333333333394</v>
      </c>
      <c r="EO181" s="59">
        <f ca="1">AVERAGE(OFFSET($EN$3,0,0,'Données projet'!$E$15+1,1))-AVERAGE(OFFSET($H$3,0,0,'Données projet'!$E$15+1,1))</f>
        <v>147.64256291235483</v>
      </c>
      <c r="EP181" s="59">
        <f t="shared" si="299"/>
        <v>70.859031694091868</v>
      </c>
      <c r="EQ181" s="15">
        <f>IF(ISNA(VLOOKUP(A181,'Données projet'!$A$201:$I$221,3,0)),0,VLOOKUP(A181,'Données projet'!$A$201:$I$221,3,0))</f>
        <v>0</v>
      </c>
      <c r="ER181" s="15">
        <f>IF(ISNA(VLOOKUP(A181,'Données projet'!$A$201:$I$221,4,0)),0,VLOOKUP(A181,'Données projet'!$A$201:$I$221,4,0))</f>
        <v>0</v>
      </c>
      <c r="ES181" s="16">
        <f>IF(ISNA(VLOOKUP(A181,'Données projet'!$A$201:$I$221,5,0)),0%,VLOOKUP(A181,'Données projet'!$A$201:$I$221,5,0)*VLOOKUP('Données projet'!$B$15,Paramètres!$A$1:$I$89,7,0))</f>
        <v>0</v>
      </c>
      <c r="ET181" s="16">
        <f>IF(ISNA(VLOOKUP(A181,'Données projet'!$A$201:$I$221,6,0)),0%,VLOOKUP(A181,'Données projet'!$A$201:$I$221,6,0)*VLOOKUP('Données projet'!$B$15,Paramètres!$A$1:$I$89,7,0))</f>
        <v>0</v>
      </c>
      <c r="EU181" s="16">
        <f>IF(ISNA(VLOOKUP(A181,'Données projet'!$A$201:$I$221,7,0)),0%,VLOOKUP(A181,'Données projet'!$A$201:$I$221,7,0))</f>
        <v>0</v>
      </c>
      <c r="EV181" s="21">
        <f>EXP(-LN(2)/35)*EV180+(1-EXP(-LN(2)/35))/(LN(2)/35)*ER181*ES181*VLOOKUP('Données projet'!$B$15,Paramètres!$A$1:$I$89,3,0)*0.475*44/12</f>
        <v>34.097279207788709</v>
      </c>
      <c r="EW181" s="21">
        <f>EXP(-LN(2)/25)*EW180+(1-EXP(-LN(2)/25))/(LN(2)/25)*Calculateur!ER181*Calculateur!ET181*VLOOKUP('Données projet'!$B$15,Paramètres!$A$1:$I$89,3,0)*0.475*44/12</f>
        <v>4.9080965524772644</v>
      </c>
      <c r="EX181" s="21">
        <f>EXP(-LN(2)/2)*EX180+(1-EXP(-LN(2)/2))/(LN(2)/2)*ER181*EU181*VLOOKUP('Données projet'!$B$15,Paramètres!$A$1:$I$89,3,0)*0.475*44/12</f>
        <v>7.5521428646694576E-10</v>
      </c>
      <c r="EY181" s="22">
        <f t="shared" si="346"/>
        <v>39.005375761021192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projet'!$A$227:$I$247,2,0)</f>
        <v>#N/A</v>
      </c>
      <c r="FC181" s="12" t="e">
        <f>VLOOKUP(A181,'Données projet'!$A$227:$I$247,9,0)</f>
        <v>#N/A</v>
      </c>
      <c r="FD181" s="12">
        <f t="array" ref="FD181">INDEX(FC:FC,MIN(IF(ISNUMBER(FC181:FC377),ROW(FC181:FC377),"")))</f>
        <v>0</v>
      </c>
      <c r="FE181" s="12">
        <f>IF('Données projet'!$A$228&gt;35,FE180+FD181-FM180,IF(A181&lt;'Données projet'!$A$228,$FB$205^A181,IF(A181='Données projet'!$A$228,'Données projet'!$B$228,FE180+FD181-FM180)))</f>
        <v>8.5265128291212022E-14</v>
      </c>
      <c r="FF181" s="17">
        <f>FE181*VLOOKUP('Données projet'!$B$16,Paramètres!$A$1:$I$89,3,0)*VLOOKUP('Données projet'!$B$16,Paramètres!$A$1:$I$89,5,0)</f>
        <v>8.9119112089974823E-14</v>
      </c>
      <c r="FG181" s="13">
        <f t="shared" si="347"/>
        <v>1.3568952080113142E-12</v>
      </c>
      <c r="FH181" s="20">
        <f t="shared" si="348"/>
        <v>2.5184749408430782E-12</v>
      </c>
      <c r="FI181" s="59">
        <f t="shared" si="246"/>
        <v>293.33333333333582</v>
      </c>
      <c r="FJ181" s="59">
        <f ca="1">AVERAGE(OFFSET($FI$3,0,0,'Données projet'!$E$16+1,1))-AVERAGE(OFFSET($H$3,0,0,'Données projet'!$E$16+1,1))</f>
        <v>259.03906550253788</v>
      </c>
      <c r="FK181" s="59">
        <f t="shared" si="301"/>
        <v>235.54542903570831</v>
      </c>
      <c r="FL181" s="15">
        <f>IF(ISNA(VLOOKUP(A181,'Données projet'!$A$227:$I$247,3,0)),0,VLOOKUP(A181,'Données projet'!$A$227:$I$247,3,0))</f>
        <v>0</v>
      </c>
      <c r="FM181" s="15">
        <f>IF(ISNA(VLOOKUP(A181,'Données projet'!$A$227:$I$247,4,0)),0,VLOOKUP(A181,'Données projet'!$A$227:$I$247,4,0))</f>
        <v>0</v>
      </c>
      <c r="FN181" s="16">
        <f>IF(ISNA(VLOOKUP(A181,'Données projet'!$A$227:$I$247,5,0)),0%,VLOOKUP(A181,'Données projet'!$A$227:$I$247,5,0)*VLOOKUP('Données projet'!$B$16,Paramètres!$A$1:$I$89,7,0))</f>
        <v>0</v>
      </c>
      <c r="FO181" s="16">
        <f>IF(ISNA(VLOOKUP(A181,'Données projet'!$A$227:$I$247,6,0)),0%,VLOOKUP(A181,'Données projet'!$A$227:$I$247,6,0)*VLOOKUP('Données projet'!$B$16,Paramètres!$A$1:$I$89,7,0))</f>
        <v>0</v>
      </c>
      <c r="FP181" s="16">
        <f>IF(ISNA(VLOOKUP(A181,'Données projet'!$A$227:$I$247,7,0)),0%,VLOOKUP(A181,'Données projet'!$A$227:$I$247,7,0))</f>
        <v>0</v>
      </c>
      <c r="FQ181" s="21">
        <f>EXP(-LN(2)/35)*FQ180+(1-EXP(-LN(2)/35))/(LN(2)/35)*FM181*FN181*VLOOKUP('Données projet'!$B$16,Paramètres!$A$1:$I$89,3,0)*0.475*44/12</f>
        <v>15.049612383919904</v>
      </c>
      <c r="FR181" s="21">
        <f>EXP(-LN(2)/25)*FR180+(1-EXP(-LN(2)/25))/(LN(2)/25)*Calculateur!FM181*Calculateur!FO181*VLOOKUP('Données projet'!$B$16,Paramètres!$A$1:$I$89,3,0)*0.475*44/12</f>
        <v>6.7519440417969392</v>
      </c>
      <c r="FS181" s="21">
        <f>EXP(-LN(2)/2)*FS180+(1-EXP(-LN(2)/2))/(LN(2)/2)*FM181*FP181*VLOOKUP('Données projet'!$B$16,Paramètres!$A$1:$I$89,3,0)*0.475*44/12</f>
        <v>0</v>
      </c>
      <c r="FT181" s="22">
        <f t="shared" si="349"/>
        <v>21.801556425716843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projet'!$A$253:$I$273,2,0)</f>
        <v>#N/A</v>
      </c>
      <c r="FX181" s="12" t="e">
        <f>VLOOKUP(A181,'Données projet'!$A$253:$I$273,9,0)</f>
        <v>#N/A</v>
      </c>
      <c r="FY181" s="12">
        <f t="array" ref="FY181">INDEX(FX:FX,MIN(IF(ISNUMBER(FX181:FX377),ROW(FX181:FX377),"")))</f>
        <v>0</v>
      </c>
      <c r="FZ181" s="12">
        <f>IF('Données projet'!$A$254&gt;35,FZ180+FY181-GH180,IF(A181&lt;'Données projet'!$A$254,$FW$205^A181,IF(A181='Données projet'!$A$254,'Données projet'!$B$254,FZ180+FY181-GH180)))</f>
        <v>-1.7053025658242404E-13</v>
      </c>
      <c r="GA181" s="17">
        <f>FZ181*VLOOKUP('Données projet'!$B$17,Paramètres!$A$1:$I$89,3,0)*VLOOKUP('Données projet'!$B$17,Paramètres!$A$1:$I$89,5,0)</f>
        <v>-1.4897523215040567E-13</v>
      </c>
      <c r="GB181" s="13" t="e">
        <f t="shared" si="350"/>
        <v>#NUM!</v>
      </c>
      <c r="GC181" s="20" t="e">
        <f t="shared" si="351"/>
        <v>#NUM!</v>
      </c>
      <c r="GD181" s="59" t="e">
        <f t="shared" si="249"/>
        <v>#NUM!</v>
      </c>
      <c r="GE181" s="59">
        <f ca="1">AVERAGE(OFFSET($GD$3,0,0,'Données projet'!$E$17+1,1))-AVERAGE(OFFSET($H$3,0,0,'Données projet'!$E$17+1,1))</f>
        <v>245.1983232777614</v>
      </c>
      <c r="GF181" s="59">
        <f t="shared" si="303"/>
        <v>242.34010522344573</v>
      </c>
      <c r="GG181" s="15">
        <f>IF(ISNA(VLOOKUP(A181,'Données projet'!$A$253:$I$273,3,0)),0,VLOOKUP(A181,'Données projet'!$A$253:$I$273,3,0))</f>
        <v>0</v>
      </c>
      <c r="GH181" s="15">
        <f>IF(ISNA(VLOOKUP(A181,'Données projet'!$A$253:$I$273,4,0)),0,VLOOKUP(A181,'Données projet'!$A$253:$I$273,4,0))</f>
        <v>0</v>
      </c>
      <c r="GI181" s="16">
        <f>IF(ISNA(VLOOKUP(A181,'Données projet'!$A$253:$I$273,5,0)),0%,VLOOKUP(A181,'Données projet'!$A$253:$I$273,5,0)*VLOOKUP('Données projet'!$B$17,Paramètres!$A$1:$I$89,7,0))</f>
        <v>0</v>
      </c>
      <c r="GJ181" s="16">
        <f>IF(ISNA(VLOOKUP(A181,'Données projet'!$A$253:$I$273,6,0)),0%,VLOOKUP(A181,'Données projet'!$A$253:$I$273,6,0)*VLOOKUP('Données projet'!$B$17,Paramètres!$A$1:$I$89,7,0))</f>
        <v>0</v>
      </c>
      <c r="GK181" s="16">
        <f>IF(ISNA(VLOOKUP(A181,'Données projet'!$A$253:$I$273,7,0)),0%,VLOOKUP(A181,'Données projet'!$A$253:$I$273,7,0))</f>
        <v>0</v>
      </c>
      <c r="GL181" s="21">
        <f>EXP(-LN(2)/35)*GL180+(1-EXP(-LN(2)/35))/(LN(2)/35)*GH181*GI181*VLOOKUP('Données projet'!$B$17,Paramètres!$A$1:$I$89,3,0)*0.475*44/12</f>
        <v>17.692884198683281</v>
      </c>
      <c r="GM181" s="21">
        <f>EXP(-LN(2)/25)*GM180+(1-EXP(-LN(2)/25))/(LN(2)/25)*Calculateur!GH181*Calculateur!GJ181*VLOOKUP('Données projet'!$B$17,Paramètres!$A$1:$I$89,3,0)*0.475*44/12</f>
        <v>1.4386747869183141</v>
      </c>
      <c r="GN181" s="21">
        <f>EXP(-LN(2)/2)*GN180+(1-EXP(-LN(2)/2))/(LN(2)/2)*GH181*GK181*VLOOKUP('Données projet'!$B$17,Paramètres!$A$1:$I$89,3,0)*0.475*44/12</f>
        <v>0</v>
      </c>
      <c r="GO181" s="21">
        <f t="shared" si="352"/>
        <v>19.131558985601593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projet'!$A$279:$I$299,2,0)</f>
        <v>#N/A</v>
      </c>
      <c r="GS181" s="12" t="e">
        <f>VLOOKUP(A181,'Données projet'!$A$279:$I$299,9,0)</f>
        <v>#N/A</v>
      </c>
      <c r="GT181" s="12">
        <f t="array" ref="GT181">INDEX(GS:GS,MIN(IF(ISNUMBER(GS181:GS377),ROW(GS181:GS377),"")))</f>
        <v>0</v>
      </c>
      <c r="GU181" s="12">
        <f>IF('Données projet'!$A$280&gt;35,GU180+GT181-HC180,IF(A181&lt;'Données projet'!$A$280,$GR$205^A181,IF(A181='Données projet'!$A$280,'Données projet'!$B$280,GU180+GT181-HC180)))</f>
        <v>-1.1368683772161603E-13</v>
      </c>
      <c r="GV181" s="17">
        <f>GU181*VLOOKUP('Données projet'!$B$18,Paramètres!$A$1:$I$89,3,0)*VLOOKUP('Données projet'!$B$18,Paramètres!$A$1:$I$89,5,0)</f>
        <v>-4.5815795601811263E-14</v>
      </c>
      <c r="GW181" s="13" t="e">
        <f t="shared" si="353"/>
        <v>#NUM!</v>
      </c>
      <c r="GX181" s="20" t="e">
        <f t="shared" si="354"/>
        <v>#NUM!</v>
      </c>
      <c r="GY181" s="59" t="e">
        <f t="shared" si="252"/>
        <v>#NUM!</v>
      </c>
      <c r="GZ181" s="59">
        <f ca="1">AVERAGE(OFFSET($GY$3,0,0,'Données projet'!$E$18+1,1))-AVERAGE(OFFSET($H$3,0,0,'Données projet'!$E$18+1,1))</f>
        <v>324.36162935850876</v>
      </c>
      <c r="HA181" s="59">
        <f t="shared" si="305"/>
        <v>265.23571072429735</v>
      </c>
      <c r="HB181" s="15">
        <f>IF(ISNA(VLOOKUP(A181,'Données projet'!$A$279:$I$299,3,0)),0,VLOOKUP(A181,'Données projet'!$A$279:$I$299,3,0))</f>
        <v>0</v>
      </c>
      <c r="HC181" s="15">
        <f>IF(ISNA(VLOOKUP(A181,'Données projet'!$A$279:$I$299,4,0)),0,VLOOKUP(A181,'Données projet'!$A$279:$I$299,4,0))</f>
        <v>0</v>
      </c>
      <c r="HD181" s="16">
        <f>IF(ISNA(VLOOKUP(A181,'Données projet'!$A$279:$I$299,5,0)),0%,VLOOKUP(A181,'Données projet'!$A$279:$I$299,5,0)*VLOOKUP('Données projet'!$B$18,Paramètres!$A$1:$I$89,7,0))</f>
        <v>0</v>
      </c>
      <c r="HE181" s="16">
        <f>IF(ISNA(VLOOKUP(A181,'Données projet'!$A$279:$I$299,6,0)),0%,VLOOKUP(A181,'Données projet'!$A$279:$I$299,6,0)*VLOOKUP('Données projet'!$B$18,Paramètres!$A$1:$I$89,7,0))</f>
        <v>0</v>
      </c>
      <c r="HF181" s="16">
        <f>IF(ISNA(VLOOKUP($A181,'Données projet'!$A$279:$I$299,7,0)),0%,VLOOKUP($A181,'Données projet'!$A$279:$I$299,7,0))</f>
        <v>0</v>
      </c>
      <c r="HG181" s="21">
        <f>EXP(-LN(2)/35)*HG180+(1-EXP(-LN(2)/35))/(LN(2)/35)*HC181*HD181*VLOOKUP('Données projet'!$B$18,Paramètres!$A$1:$I$89,3,0)*0.475*44/12</f>
        <v>33.904191377412666</v>
      </c>
      <c r="HH181" s="21">
        <f>EXP(-LN(2)/25)*HH180+(1-EXP(-LN(2)/25))/(LN(2)/25)*Calculateur!HC181*Calculateur!HE181*VLOOKUP('Données projet'!$B$18,Paramètres!$A$1:$I$89,3,0)*0.475*44/12</f>
        <v>1.6000636931360934</v>
      </c>
      <c r="HI181" s="21">
        <f>EXP(-LN(2)/2)*HI180+(1-EXP(-LN(2)/2))/(LN(2)/2)*HC181*HF181*VLOOKUP('Données projet'!$B$18,Paramètres!$A$1:$I$89,3,0)*0.475*44/12</f>
        <v>1.5182894425045262E-14</v>
      </c>
      <c r="HJ181" s="22">
        <f t="shared" si="355"/>
        <v>35.504255070548773</v>
      </c>
      <c r="HK181" s="74">
        <f>('Scénario référence'!$F$8+'Scénario référence'!$F$9+'Scénario référence'!$B$17+'Scénario référence'!$B$9+'Scénario référence'!$B$10)*70+IF((45+25*(1-EXP(-0.0175*$A181)))&lt;70,'Scénario référence'!$B$16*(45+25*(1-EXP(-0.0175*$A181))),70*'Scénario référence'!$B$16)+IF((32+38*(1-EXP(-0.0175*$A181)))&lt;70,'Scénario référence'!$B$18*(32+38*(1-EXP(-0.0175*$A181))),70*'Scénario référence'!$B$18)</f>
        <v>70</v>
      </c>
      <c r="HL181" s="12">
        <f>IF($A181&gt;30,10,('Scénario référence'!$B$16+'Scénario référence'!$B$17+'Scénario référence'!$B$18+'Scénario référence'!$B$9+'Scénario référence'!$B$10)*$A181*10/30+('Scénario référence'!$F$8+'Scénario référence'!$F$9)*10)</f>
        <v>10</v>
      </c>
      <c r="HM181" s="12" t="e">
        <f>VLOOKUP($A181,'Données projet'!$A$304:$I$324,2,0)</f>
        <v>#N/A</v>
      </c>
      <c r="HN181" s="12" t="e">
        <f>VLOOKUP($A181,'Données projet'!$A$304:$I$324,9,0)</f>
        <v>#N/A</v>
      </c>
      <c r="HO181" s="12">
        <f t="array" ref="HO181">INDEX(HN:HN,MIN(IF(ISNUMBER(HN181:HN377),ROW(HN181:HN377),"")))</f>
        <v>0</v>
      </c>
      <c r="HP181" s="12">
        <f>IF('Données projet'!$A$304&gt;35,HP180+HO181-HX180,IF($A181&lt;'Données projet'!$A$304,$CQ$205^$A181,IF($A181='Données projet'!$A$304,'Données projet'!$B$304,HP180+HO181-HX180)))</f>
        <v>0</v>
      </c>
      <c r="HQ181" s="17">
        <f>HP181*VLOOKUP('Données projet'!$B$19,Paramètres!$A$1:$I$89,3,0)*VLOOKUP('Données projet'!$B$19,Paramètres!$A$1:$I$89,5,0)</f>
        <v>0</v>
      </c>
      <c r="HR181" s="13" t="e">
        <f t="shared" si="306"/>
        <v>#NUM!</v>
      </c>
      <c r="HS181" s="14" t="e">
        <f t="shared" si="254"/>
        <v>#NUM!</v>
      </c>
      <c r="HT181" s="59" t="e">
        <f t="shared" si="255"/>
        <v>#NUM!</v>
      </c>
      <c r="HU181" s="59">
        <f ca="1">AVERAGE(OFFSET(HT$3,0,0,'Données projet'!$E$19+1,1))-AVERAGE(OFFSET($H$3,0,0,'Données projet'!$E$19+1,1))</f>
        <v>91.60721429656013</v>
      </c>
      <c r="HV181" s="59">
        <f t="shared" si="307"/>
        <v>258.94957804210856</v>
      </c>
      <c r="HW181" s="15">
        <f>IF(ISNA(VLOOKUP($A181,'Données projet'!$A$304:$I$324,3,0)),0,VLOOKUP($A181,'Données projet'!$A$304:$I$324,3,0))</f>
        <v>0</v>
      </c>
      <c r="HX181" s="15">
        <f>IF(ISNA(VLOOKUP($A181,'Données projet'!$A$304:$I$324,4,0)),0,VLOOKUP($A181,'Données projet'!$A$304:$I$324,4,0))</f>
        <v>0</v>
      </c>
      <c r="HY181" s="16">
        <f>IF(ISNA(VLOOKUP($A181,'Données projet'!$A$304:$I$324,5,0)),0%,VLOOKUP($A181,'Données projet'!$A$304:$I$324,5,0)*VLOOKUP('Données projet'!$B$19,Paramètres!$A$1:$I$89,7,0))</f>
        <v>0</v>
      </c>
      <c r="HZ181" s="16">
        <f>IF(ISNA(VLOOKUP($A181,'Données projet'!$A$304:$I$324,6,0)),0%,VLOOKUP($A181,'Données projet'!$A$304:$I$324,6,0)*VLOOKUP('Données projet'!$B$19,Paramètres!$A$1:$I$89,7,0))</f>
        <v>0</v>
      </c>
      <c r="IA181" s="16">
        <f>IF(ISNA(VLOOKUP($A181,'Données projet'!$A$304:$I$324,7,0)),0%,VLOOKUP($A181,'Données projet'!$A$304:$I$324,7,0))</f>
        <v>0</v>
      </c>
      <c r="IB181" s="21">
        <f>EXP(-LN(2)/35)*IB180+(1-EXP(-LN(2)/35))/(LN(2)/35)*HX181*HY181*VLOOKUP('Données projet'!$B$19,Paramètres!$A$1:$I$89,3,0)*0.475*44/12</f>
        <v>2.6315285608699721</v>
      </c>
      <c r="IC181" s="21">
        <f>EXP(-LN(2)/25)*IC180+(1-EXP(-LN(2)/25))/(LN(2)/25)*Calculateur!HX181*Calculateur!HZ181*VLOOKUP('Données projet'!$B$19,Paramètres!$A$1:$I$89,3,0)*0.475*44/12</f>
        <v>0.16066222797390747</v>
      </c>
      <c r="ID181" s="21">
        <f>EXP(-LN(2)/2)*ID180+(1-EXP(-LN(2)/2))/(LN(2)/2)*HX181*IA181*VLOOKUP('Données projet'!$B$19,Paramètres!$A$1:$I$89,3,0)*0.475*44/12</f>
        <v>3.0326548872371284E-23</v>
      </c>
      <c r="IE181" s="22">
        <f t="shared" si="256"/>
        <v>2.7921907888438797</v>
      </c>
      <c r="IF181" s="74">
        <f>('Scénario référence'!$F$8+'Scénario référence'!$F$9+'Scénario référence'!$B$17+'Scénario référence'!$B$9+'Scénario référence'!$B$10)*70+IF((45+25*(1-EXP(-0.0175*$A181)))&lt;70,'Scénario référence'!$B$16*(45+25*(1-EXP(-0.0175*$A181))),70*'Scénario référence'!$B$16)+IF((32+38*(1-EXP(-0.0175*$A181)))&lt;70,'Scénario référence'!$B$18*(32+38*(1-EXP(-0.0175*$A181))),70*'Scénario référence'!$B$18)</f>
        <v>70</v>
      </c>
      <c r="IG181" s="12">
        <f>IF($A181&gt;30,10,('Scénario référence'!$B$16+'Scénario référence'!$B$17+'Scénario référence'!$B$18+'Scénario référence'!$B$9+'Scénario référence'!$B$10)*$A181*10/30+('Scénario référence'!$F$8+'Scénario référence'!$F$9)*10)</f>
        <v>10</v>
      </c>
      <c r="IH181" s="12" t="e">
        <f>VLOOKUP($A181,'Données projet'!$A$330:$I$350,2,0)</f>
        <v>#N/A</v>
      </c>
      <c r="II181" s="12" t="e">
        <f>VLOOKUP($A181,'Données projet'!$A$330:$I$350,9,0)</f>
        <v>#N/A</v>
      </c>
      <c r="IJ181" s="12">
        <f t="array" ref="IJ181">INDEX(II:II,MIN(IF(ISNUMBER(II181:II377),ROW(II181:II377),"")))</f>
        <v>0</v>
      </c>
      <c r="IK181" s="12">
        <f>IF('Données projet'!$A$330&gt;35,IK180+IJ181-IS180,IF($A181&lt;'Données projet'!$A$330,$CQ$205^$A181,IF($A181='Données projet'!$A$330,'Données projet'!$B$330,IK180+IJ181-IS180)))</f>
        <v>0</v>
      </c>
      <c r="IL181" s="17">
        <f>IK181*VLOOKUP('Données projet'!$B$20,Paramètres!$A$1:$I$89,3,0)*VLOOKUP('Données projet'!$B$20,Paramètres!$A$1:$I$89,5,0)</f>
        <v>0</v>
      </c>
      <c r="IM181" s="13" t="e">
        <f t="shared" si="308"/>
        <v>#NUM!</v>
      </c>
      <c r="IN181" s="20" t="e">
        <f t="shared" si="257"/>
        <v>#NUM!</v>
      </c>
      <c r="IO181" s="59" t="e">
        <f t="shared" si="258"/>
        <v>#NUM!</v>
      </c>
      <c r="IP181" s="59">
        <f ca="1">AVERAGE(OFFSET(IO$3,0,0,'Données projet'!$E$20+1,1))-AVERAGE(OFFSET($H$3,0,0,'Données projet'!$E$20+1,1))</f>
        <v>91.60721429656013</v>
      </c>
      <c r="IQ181" s="59">
        <f t="shared" si="309"/>
        <v>258.94957804210856</v>
      </c>
      <c r="IR181" s="15">
        <f>IF(ISNA(VLOOKUP($A181,'Données projet'!$A$330:$I$350,3,0)),0,VLOOKUP($A181,'Données projet'!$A$330:$I$350,3,0))</f>
        <v>0</v>
      </c>
      <c r="IS181" s="15">
        <f>IF(ISNA(VLOOKUP($A181,'Données projet'!$A$330:$I$350,4,0)),0,VLOOKUP($A181,'Données projet'!$A$330:$I$350,4,0))</f>
        <v>0</v>
      </c>
      <c r="IT181" s="16">
        <f>IF(ISNA(VLOOKUP($A181,'Données projet'!$A$330:$I$350,5,0)),0%,VLOOKUP($A181,'Données projet'!$A$330:$I$350,5,0)*VLOOKUP('Données projet'!$B$20,Paramètres!$A$1:$I$89,7,0))</f>
        <v>0</v>
      </c>
      <c r="IU181" s="16">
        <f>IF(ISNA(VLOOKUP($A181,'Données projet'!$A$330:$I$350,6,0)),0%,VLOOKUP($A181,'Données projet'!$A$330:$I$350,6,0)*VLOOKUP('Données projet'!$B$20,Paramètres!$A$1:$I$89,7,0))</f>
        <v>0</v>
      </c>
      <c r="IV181" s="16">
        <f>IF(ISNA(VLOOKUP($A181,'Données projet'!$A$330:$I$350,7,0)),0%,VLOOKUP($A181,'Données projet'!$A$330:$I$350,7,0))</f>
        <v>0</v>
      </c>
      <c r="IW181" s="21">
        <f>EXP(-LN(2)/35)*IW180+(1-EXP(-LN(2)/35))/(LN(2)/35)*IS181*IT181*VLOOKUP('Données projet'!$B$20,Paramètres!$A$1:$I$89,3,0)*0.475*44/12</f>
        <v>2.6315285608699721</v>
      </c>
      <c r="IX181" s="21">
        <f>EXP(-LN(2)/25)*IX180+(1-EXP(-LN(2)/25))/(LN(2)/25)*Calculateur!IS181*Calculateur!IU181*VLOOKUP('Données projet'!$B$20,Paramètres!$A$1:$I$89,3,0)*0.475*44/12</f>
        <v>0.16066222797390747</v>
      </c>
      <c r="IY181" s="21">
        <f>EXP(-LN(2)/2)*IY180+(1-EXP(-LN(2)/2))/(LN(2)/2)*IS181*IV181*VLOOKUP('Données projet'!$B$20,Paramètres!$A$1:$I$89,3,0)*0.475*44/12</f>
        <v>3.0326548872371284E-23</v>
      </c>
      <c r="IZ181" s="22">
        <f t="shared" si="259"/>
        <v>2.7921907888438797</v>
      </c>
      <c r="JA181" s="74">
        <f>('Scénario référence'!$F$8+'Scénario référence'!$F$9+'Scénario référence'!$B$17+'Scénario référence'!$B$9+'Scénario référence'!$B$10)*70+IF((45+25*(1-EXP(-0.0175*$A181)))&lt;70,'Scénario référence'!$B$16*(45+25*(1-EXP(-0.0175*$A181))),70*'Scénario référence'!$B$16)+IF((32+38*(1-EXP(-0.0175*$A181)))&lt;70,'Scénario référence'!$B$18*(32+38*(1-EXP(-0.0175*$A181))),70*'Scénario référence'!$B$18)</f>
        <v>70</v>
      </c>
      <c r="JB181" s="12">
        <f>IF($A181&gt;30,10,('Scénario référence'!$B$16+'Scénario référence'!$B$17+'Scénario référence'!$B$18+'Scénario référence'!$B$9+'Scénario référence'!$B$10)*$A181*10/30+('Scénario référence'!$F$8+'Scénario référence'!$F$9)*10)</f>
        <v>10</v>
      </c>
      <c r="JC181" s="12" t="e">
        <f>VLOOKUP($A181,'Données projet'!$A$356:$I$376,2,0)</f>
        <v>#N/A</v>
      </c>
      <c r="JD181" s="12" t="e">
        <f>VLOOKUP($A181,'Données projet'!$A$356:$I$376,9,0)</f>
        <v>#N/A</v>
      </c>
      <c r="JE181" s="12">
        <f t="array" ref="JE181">INDEX(JD:JD,MIN(IF(ISNUMBER(JD181:JD377),ROW(JD181:JD377),"")))</f>
        <v>0</v>
      </c>
      <c r="JF181" s="12">
        <f>IF('Données projet'!$A$356&gt;35,JF180+JE181-JN180,IF($A181&lt;'Données projet'!$A$356,$CQ$205^$A181,IF($A181='Données projet'!$A$356,'Données projet'!$B$356,JF180+JE181-JN180)))</f>
        <v>-1.3073986337985843E-12</v>
      </c>
      <c r="JG181" s="17">
        <f>JF181*VLOOKUP('Données projet'!$B$21,Paramètres!$A$1:$I$89,3,0)*VLOOKUP('Données projet'!$B$21,Paramètres!$A$1:$I$89,5,0)</f>
        <v>-1.0605617717374117E-12</v>
      </c>
      <c r="JH181" s="13" t="e">
        <f t="shared" si="310"/>
        <v>#NUM!</v>
      </c>
      <c r="JI181" s="20" t="e">
        <f t="shared" si="260"/>
        <v>#NUM!</v>
      </c>
      <c r="JJ181" s="59" t="e">
        <f t="shared" si="261"/>
        <v>#NUM!</v>
      </c>
      <c r="JK181" s="59">
        <f ca="1">AVERAGE(OFFSET($JJ$3,0,0,'Données projet'!$E$22+1,1))-AVERAGE(OFFSET($H$3,0,0,'Données projet'!$E$22+1,1))</f>
        <v>353.35574633294613</v>
      </c>
      <c r="JL181" s="59">
        <f t="shared" si="311"/>
        <v>170.36796666474726</v>
      </c>
      <c r="JM181" s="15">
        <f>IF(ISNA(VLOOKUP($A181,'Données projet'!$A$356:$I$376,3,0)),0,VLOOKUP($A181,'Données projet'!$A$356:$I$376,3,0))</f>
        <v>0</v>
      </c>
      <c r="JN181" s="15">
        <f>IF(ISNA(VLOOKUP($A181,'Données projet'!$A$356:$I$376,4,0)),0,VLOOKUP($A181,'Données projet'!$A$356:$I$376,4,0))</f>
        <v>0</v>
      </c>
      <c r="JO181" s="16">
        <f>IF(ISNA(VLOOKUP($A181,'Données projet'!$A$356:$I$376,5,0)),0%,VLOOKUP($A181,'Données projet'!$A$356:$I$376,5,0)*VLOOKUP('Données projet'!$B$21,Paramètres!$A$1:$I$89,7,0))</f>
        <v>0</v>
      </c>
      <c r="JP181" s="16">
        <f>IF(ISNA(VLOOKUP($A181,'Données projet'!$A$356:$I$376,6,0)),0%,VLOOKUP($A181,'Données projet'!$A$356:$I$376,6,0)*VLOOKUP('Données projet'!$B$21,Paramètres!$A$1:$I$89,7,0))</f>
        <v>0</v>
      </c>
      <c r="JQ181" s="16">
        <f>IF(ISNA(VLOOKUP($A181,'Données projet'!$A$356:$I$376,7,0)),0%,VLOOKUP($A181,'Données projet'!$A$356:$I$376,7,0))</f>
        <v>0</v>
      </c>
      <c r="JR181" s="21">
        <f>EXP(-LN(2)/35)*JR180+(1-EXP(-LN(2)/35))/(LN(2)/35)*JN181*JO181*VLOOKUP('Données projet'!$B$21,Paramètres!$A$1:$I$89,3,0)*0.475*44/12</f>
        <v>42.187326769047175</v>
      </c>
      <c r="JS181" s="21">
        <f>EXP(-LN(2)/25)*JS180+(1-EXP(-LN(2)/25))/(LN(2)/25)*Calculateur!JN181*Calculateur!JP181*VLOOKUP('Données projet'!$B$21,Paramètres!$A$1:$I$89,3,0)*0.475*44/12</f>
        <v>35.163555456873809</v>
      </c>
      <c r="JT181" s="21">
        <f>EXP(-LN(2)/2)*JT180+(1-EXP(-LN(2)/2))/(LN(2)/2)*JN181*JQ181*VLOOKUP('Données projet'!$B$21,Paramètres!$A$1:$I$89,3,0)*0.475*44/12</f>
        <v>2.0929520820045264E-3</v>
      </c>
      <c r="JU181" s="18">
        <f t="shared" si="262"/>
        <v>77.352975178002993</v>
      </c>
      <c r="JV181" s="74">
        <f>('Scénario référence'!$F$8+'Scénario référence'!$F$9+'Scénario référence'!$B$17+'Scénario référence'!$B$9+'Scénario référence'!$B$10)*70+IF((45+25*(1-EXP(-0.0175*$A181)))&lt;70,'Scénario référence'!$B$16*(45+25*(1-EXP(-0.0175*$A181))),70*'Scénario référence'!$B$16)+IF((32+38*(1-EXP(-0.0175*$A181)))&lt;70,'Scénario référence'!$B$18*(32+38*(1-EXP(-0.0175*$A181))),70*'Scénario référence'!$B$18)</f>
        <v>70</v>
      </c>
      <c r="JW181" s="12">
        <f>IF($A181&gt;30,10,('Scénario référence'!$B$16+'Scénario référence'!$B$17+'Scénario référence'!$B$18+'Scénario référence'!$B$9+'Scénario référence'!$B$10)*$A181*10/30+('Scénario référence'!$F$8+'Scénario référence'!$F$9)*10)</f>
        <v>10</v>
      </c>
      <c r="JX181" s="12" t="e">
        <f>VLOOKUP($A181,'Données projet'!$A$382:$I$402,2,0)</f>
        <v>#N/A</v>
      </c>
      <c r="JY181" s="12" t="e">
        <f>VLOOKUP($A181,'Données projet'!$A$382:$I$402,9,0)</f>
        <v>#N/A</v>
      </c>
      <c r="JZ181" s="12">
        <f t="array" ref="JZ181">INDEX(JY:JY,MIN(IF(ISNUMBER(JY181:JY377),ROW(JY181:JY377),"")))</f>
        <v>0</v>
      </c>
      <c r="KA181" s="12">
        <f>IF('Données projet'!$A$382&gt;35,KA180+JZ181-KI180,IF($A181&lt;'Données projet'!$A$382,$CQ$205^$A181,IF($A181='Données projet'!$A$382,'Données projet'!$B$382,KA180+JZ181-KI180)))</f>
        <v>5.6843418860808015E-13</v>
      </c>
      <c r="KB181" s="17">
        <f>KA181*VLOOKUP('Données projet'!$B$22,Paramètres!$A$1:$I$89,3,0)*VLOOKUP('Données projet'!$B$22,Paramètres!$A$1:$I$89,5,0)</f>
        <v>3.8130565371830017E-13</v>
      </c>
      <c r="KC181" s="13">
        <f t="shared" si="312"/>
        <v>4.9019074112354236E-12</v>
      </c>
      <c r="KD181" s="20">
        <f t="shared" si="263"/>
        <v>9.2015960881277352E-12</v>
      </c>
      <c r="KE181" s="59">
        <f t="shared" si="264"/>
        <v>293.33333333334252</v>
      </c>
      <c r="KF181" s="59">
        <f ca="1">AVERAGE(OFFSET($KE$3,0,0,'Données projet'!$E$22+1,1))-AVERAGE(OFFSET($H$3,0,0,'Données projet'!$E$22+1,1))</f>
        <v>193.91714772848269</v>
      </c>
      <c r="KG181" s="59">
        <f t="shared" si="313"/>
        <v>159.20429420478047</v>
      </c>
      <c r="KH181" s="15">
        <f>IF(ISNA(VLOOKUP($A181,'Données projet'!$A$382:$I$402,3,0)),0,VLOOKUP($A181,'Données projet'!$A$382:$I$402,3,0))</f>
        <v>0</v>
      </c>
      <c r="KI181" s="15">
        <f>IF(ISNA(VLOOKUP($A181,'Données projet'!$A$382:$I$402,4,0)),0,VLOOKUP($A181,'Données projet'!$A$382:$I$402,4,0))</f>
        <v>0</v>
      </c>
      <c r="KJ181" s="16">
        <f>IF(ISNA(VLOOKUP($A181,'Données projet'!$A$382:$I$402,5,0)),0%,VLOOKUP($A181,'Données projet'!$A$382:$I$402,5,0)*VLOOKUP('Données projet'!$B$22,Paramètres!$A$1:$I$89,7,0))</f>
        <v>0</v>
      </c>
      <c r="KK181" s="16">
        <f>IF(ISNA(VLOOKUP($A181,'Données projet'!$A$382:$I$402,6,0)),0%,VLOOKUP($A181,'Données projet'!$A$382:$I$402,6,0)*VLOOKUP('Données projet'!$B$22,Paramètres!$A$1:$I$89,7,0))</f>
        <v>0</v>
      </c>
      <c r="KL181" s="16">
        <f>IF(ISNA(VLOOKUP($A181,'Données projet'!$A$382:$I$402,7,0)),0%,VLOOKUP($A181,'Données projet'!$A$382:$I$402,7,0))</f>
        <v>0</v>
      </c>
      <c r="KM181" s="21">
        <f>EXP(-LN(2)/35)*KM180+(1-EXP(-LN(2)/35))/(LN(2)/35)*KI181*KJ181*VLOOKUP('Données projet'!$B$22,Paramètres!$A$1:$I$89,3,0)*0.475*44/12</f>
        <v>61.598153263799951</v>
      </c>
      <c r="KN181" s="21">
        <f>EXP(-LN(2)/25)*KN180+(1-EXP(-LN(2)/25))/(LN(2)/25)*Calculateur!KI181*Calculateur!KK181*VLOOKUP('Données projet'!$B$22,Paramètres!$A$1:$I$89,3,0)*0.475*44/12</f>
        <v>0</v>
      </c>
      <c r="KO181" s="21">
        <f>EXP(-LN(2)/2)*KO180+(1-EXP(-LN(2)/2))/(LN(2)/2)*KI181*KL181*VLOOKUP('Données projet'!$B$22,Paramètres!$A$1:$I$89,3,0)*0.475*44/12</f>
        <v>0</v>
      </c>
      <c r="KP181" s="22">
        <f t="shared" si="265"/>
        <v>61.598153263799951</v>
      </c>
      <c r="KQ181" s="74">
        <f>('Scénario référence'!$F$8+'Scénario référence'!$F$9+'Scénario référence'!$B$17+'Scénario référence'!$B$9+'Scénario référence'!$B$10)*70+IF((45+25*(1-EXP(-0.0175*$A181)))&lt;70,'Scénario référence'!$B$16*(45+25*(1-EXP(-0.0175*$A181))),70*'Scénario référence'!$B$16)+IF((32+38*(1-EXP(-0.0175*$A181)))&lt;70,'Scénario référence'!$B$18*(32+38*(1-EXP(-0.0175*$A181))),70*'Scénario référence'!$B$18)</f>
        <v>70</v>
      </c>
      <c r="KR181" s="12">
        <f>IF($A181&gt;30,10,('Scénario référence'!$B$16+'Scénario référence'!$B$17+'Scénario référence'!$B$18+'Scénario référence'!$B$9+'Scénario référence'!$B$10)*$A181*10/30+('Scénario référence'!$F$8+'Scénario référence'!$F$9)*10)</f>
        <v>10</v>
      </c>
      <c r="KS181" s="12" t="e">
        <f>VLOOKUP($A181,'Données projet'!$A$408:$I$428,2,0)</f>
        <v>#N/A</v>
      </c>
      <c r="KT181" s="12" t="e">
        <f>VLOOKUP($A181,'Données projet'!$A$408:$I$428,9,0)</f>
        <v>#N/A</v>
      </c>
      <c r="KU181" s="12">
        <f t="array" ref="KU181">INDEX(KT:KT,MIN(IF(ISNUMBER(KT181:KT377),ROW(KT181:KT377),"")))</f>
        <v>0</v>
      </c>
      <c r="KV181" s="12">
        <f>IF('Données projet'!$A$408&gt;35,KV180+KU181-LD180,IF($A181&lt;'Données projet'!$A$408,$CQ$205^$A181,IF($A181='Données projet'!$A$408,'Données projet'!$B$408,KV180+KU181-LD180)))</f>
        <v>-1.1368683772161603E-13</v>
      </c>
      <c r="KW181" s="17">
        <f>KV181*VLOOKUP('Données projet'!$B$23,Paramètres!$A$1:$I$89,3,0)*VLOOKUP('Données projet'!$B$23,Paramètres!$A$1:$I$89,5,0)</f>
        <v>-9.9316821433603781E-14</v>
      </c>
      <c r="KX181" s="13" t="e">
        <f t="shared" si="314"/>
        <v>#NUM!</v>
      </c>
      <c r="KY181" s="14" t="e">
        <f t="shared" si="266"/>
        <v>#NUM!</v>
      </c>
      <c r="KZ181" s="59" t="e">
        <f t="shared" si="267"/>
        <v>#NUM!</v>
      </c>
      <c r="LA181" s="59">
        <f ca="1">AVERAGE(OFFSET($KZ$3,0,0,'Données projet'!$E$23+1,1))-AVERAGE(OFFSET($H$3,0,0,'Données projet'!$E$23+1,1))</f>
        <v>248.33596943633819</v>
      </c>
      <c r="LB181" s="59">
        <f t="shared" si="315"/>
        <v>242.34010522344573</v>
      </c>
      <c r="LC181" s="15">
        <f>IF(ISNA(VLOOKUP($A181,'Données projet'!$A$408:$I$428,3,0)),0,VLOOKUP($A181,'Données projet'!$A$408:$I$428,3,0))</f>
        <v>0</v>
      </c>
      <c r="LD181" s="15">
        <f>IF(ISNA(VLOOKUP($A181,'Données projet'!$A$408:$I$428,4,0)),0,VLOOKUP($A181,'Données projet'!$A$408:$I$428,4,0))</f>
        <v>0</v>
      </c>
      <c r="LE181" s="16">
        <f>IF(ISNA(VLOOKUP($A181,'Données projet'!$A$408:$I$428,5,0)),0%,VLOOKUP($A181,'Données projet'!$A$408:$I$428,5,0)*VLOOKUP('Données projet'!$B$23,Paramètres!$A$1:$I$89,7,0))</f>
        <v>0</v>
      </c>
      <c r="LF181" s="16">
        <f>IF(ISNA(VLOOKUP($A181,'Données projet'!$A$408:$I$428,6,0)),0%,VLOOKUP($A181,'Données projet'!$A$408:$I$428,6,0)*VLOOKUP('Données projet'!$B$23,Paramètres!$A$1:$I$89,7,0))</f>
        <v>0</v>
      </c>
      <c r="LG181" s="16">
        <f>IF(ISNA(VLOOKUP($A181,'Données projet'!$A$408:$I$428,7,0)),0%,VLOOKUP($A181,'Données projet'!$A$408:$I$428,7,0))</f>
        <v>0</v>
      </c>
      <c r="LH181" s="21">
        <f>EXP(-LN(2)/35)*LH180+(1-EXP(-LN(2)/35))/(LN(2)/35)*LD181*LE181*VLOOKUP('Données projet'!$B$23,Paramètres!$A$1:$I$89,3,0)*0.475*44/12</f>
        <v>17.692884198683281</v>
      </c>
      <c r="LI181" s="21">
        <f>EXP(-LN(2)/25)*LI180+(1-EXP(-LN(2)/25))/(LN(2)/25)*Calculateur!LD181*Calculateur!LF181*VLOOKUP('Données projet'!$B$23,Paramètres!$A$1:$I$89,3,0)*0.475*44/12</f>
        <v>1.4386747869183141</v>
      </c>
      <c r="LJ181" s="21">
        <f>EXP(-LN(2)/2)*LJ180+(1-EXP(-LN(2)/2))/(LN(2)/2)*LD181*LG181*VLOOKUP('Données projet'!$B$23,Paramètres!$A$1:$I$89,3,0)*0.475*44/12</f>
        <v>0</v>
      </c>
      <c r="LK181" s="22">
        <f t="shared" si="268"/>
        <v>19.131558985601593</v>
      </c>
      <c r="LL181" s="74">
        <f>('Scénario référence'!$F$8+'Scénario référence'!$F$9+'Scénario référence'!$B$17+'Scénario référence'!$B$9+'Scénario référence'!$B$10)*70+IF((45+25*(1-EXP(-0.0175*$A181)))&lt;70,'Scénario référence'!$B$16*(45+25*(1-EXP(-0.0175*$A181))),70*'Scénario référence'!$B$16)+IF((32+38*(1-EXP(-0.0175*$A181)))&lt;70,'Scénario référence'!$B$18*(32+38*(1-EXP(-0.0175*$A181))),70*'Scénario référence'!$B$18)</f>
        <v>70</v>
      </c>
      <c r="LM181" s="12">
        <f>IF($A181&gt;30,10,('Scénario référence'!$B$16+'Scénario référence'!$B$17+'Scénario référence'!$B$18+'Scénario référence'!$B$9+'Scénario référence'!$B$10)*$A181*10/30+('Scénario référence'!$F$8+'Scénario référence'!$F$9)*10)</f>
        <v>10</v>
      </c>
      <c r="LN181" s="12" t="e">
        <f>VLOOKUP($A181,'Données projet'!$A$434:$I$454,2,0)</f>
        <v>#N/A</v>
      </c>
      <c r="LO181" s="12" t="e">
        <f>VLOOKUP($A181,'Données projet'!$A$434:$I$454,9,0)</f>
        <v>#N/A</v>
      </c>
      <c r="LP181" s="12">
        <f t="array" ref="LP181">INDEX(LO:LO,MIN(IF(ISNUMBER(LO181:LO377),ROW(LO181:LO377),"")))</f>
        <v>0</v>
      </c>
      <c r="LQ181" s="12">
        <f>IF('Données projet'!$A$434&gt;35,LQ180+LP181-LY180,IF($A181&lt;'Données projet'!$A$434,$CQ$205^$A181,IF($A181='Données projet'!$A$434,'Données projet'!$B$434,LQ180+LP181-LY180)))</f>
        <v>-4.5474735088646412E-13</v>
      </c>
      <c r="LR181" s="17">
        <f>LQ181*VLOOKUP('Données projet'!$B$24,Paramètres!$A$1:$I$89,3,0)*VLOOKUP('Données projet'!$B$24,Paramètres!$A$1:$I$89,5,0)</f>
        <v>-4.6111381379887462E-13</v>
      </c>
      <c r="LS181" s="13" t="e">
        <f t="shared" si="316"/>
        <v>#NUM!</v>
      </c>
      <c r="LT181" s="14" t="e">
        <f t="shared" si="269"/>
        <v>#NUM!</v>
      </c>
      <c r="LU181" s="59" t="e">
        <f t="shared" si="270"/>
        <v>#NUM!</v>
      </c>
      <c r="LV181" s="59">
        <f ca="1">AVERAGE(OFFSET($LU$3,0,0,'Données projet'!$E$24+1,1))-AVERAGE(OFFSET($H$3,0,0,'Données projet'!$E$24+1,1))</f>
        <v>260.52627655062872</v>
      </c>
      <c r="LW181" s="59">
        <f t="shared" si="317"/>
        <v>159.20429420478047</v>
      </c>
      <c r="LX181" s="15">
        <f>IF(ISNA(VLOOKUP($A181,'Données projet'!$A$434:$I$454,3,0)),0,VLOOKUP($A181,'Données projet'!$A$434:$I$454,3,0))</f>
        <v>0</v>
      </c>
      <c r="LY181" s="15">
        <f>IF(ISNA(VLOOKUP($A181,'Données projet'!$A$434:$I$454,4,0)),0,VLOOKUP($A181,'Données projet'!$A$434:$I$454,4,0))</f>
        <v>0</v>
      </c>
      <c r="LZ181" s="16">
        <f>IF(ISNA(VLOOKUP($A181,'Données projet'!$A$434:$I$454,5,0)),0%,VLOOKUP($A181,'Données projet'!$A$434:$I$454,5,0)*VLOOKUP('Données projet'!$B$24,Paramètres!$A$1:$I$89,7,0))</f>
        <v>0</v>
      </c>
      <c r="MA181" s="16">
        <f>IF(ISNA(VLOOKUP($A181,'Données projet'!$A$434:$I$454,6,0)),0%,VLOOKUP($A181,'Données projet'!$A$434:$I$454,6,0)*VLOOKUP('Données projet'!$B$24,Paramètres!$A$1:$I$89,7,0))</f>
        <v>0</v>
      </c>
      <c r="MB181" s="16">
        <f>IF(ISNA(VLOOKUP($A181,'Données projet'!$A$434:$I$454,7,0)),0%,VLOOKUP($A181,'Données projet'!$A$434:$I$454,7,0))</f>
        <v>0</v>
      </c>
      <c r="MC181" s="21">
        <f>EXP(-LN(2)/35)*MC180+(1-EXP(-LN(2)/35))/(LN(2)/35)*LY181*LZ181*VLOOKUP('Données projet'!$B$24,Paramètres!$A$1:$I$89,3,0)*0.475*44/12</f>
        <v>113.75923586467071</v>
      </c>
      <c r="MD181" s="21">
        <f>EXP(-LN(2)/25)*MD180+(1-EXP(-LN(2)/25))/(LN(2)/25)*Calculateur!LY181*Calculateur!MA181*VLOOKUP('Données projet'!$B$24,Paramètres!$A$1:$I$89,3,0)*0.475*44/12</f>
        <v>0</v>
      </c>
      <c r="ME181" s="21">
        <f>EXP(-LN(2)/2)*ME180+(1-EXP(-LN(2)/2))/(LN(2)/2)*LY181*MB181*VLOOKUP('Données projet'!$B$24,Paramètres!$A$1:$I$89,3,0)*0.475*44/12</f>
        <v>0</v>
      </c>
      <c r="MF181" s="22">
        <f t="shared" si="271"/>
        <v>113.75923586467071</v>
      </c>
      <c r="MG181" s="74">
        <f>('Scénario référence'!$F$8+'Scénario référence'!$F$9+'Scénario référence'!$B$17+'Scénario référence'!$B$9+'Scénario référence'!$B$10)*70+IF((45+25*(1-EXP(-0.0175*$A181)))&lt;70,'Scénario référence'!$B$16*(45+25*(1-EXP(-0.0175*$A181))),70*'Scénario référence'!$B$16)+IF((32+38*(1-EXP(-0.0175*$A181)))&lt;70,'Scénario référence'!$B$18*(32+38*(1-EXP(-0.0175*$A181))),70*'Scénario référence'!$B$18)</f>
        <v>70</v>
      </c>
      <c r="MH181" s="12">
        <f>IF($A181&gt;30,10,('Scénario référence'!$B$16+'Scénario référence'!$B$17+'Scénario référence'!$B$18+'Scénario référence'!$B$9+'Scénario référence'!$B$10)*$A181*10/30+('Scénario référence'!$F$8+'Scénario référence'!$F$9)*10)</f>
        <v>10</v>
      </c>
      <c r="MI181" s="12" t="e">
        <f>VLOOKUP($A181,'Données projet'!$A$460:$I$480,2,0)</f>
        <v>#N/A</v>
      </c>
      <c r="MJ181" s="12" t="e">
        <f>VLOOKUP($A181,'Données projet'!$A$460:$I$480,9,0)</f>
        <v>#N/A</v>
      </c>
      <c r="MK181" s="12">
        <f t="array" ref="MK181">INDEX(MJ:MJ,MIN(IF(ISNUMBER(MJ181:MJ377),ROW(MJ181:MJ377),"")))</f>
        <v>0</v>
      </c>
      <c r="ML181" s="12">
        <f>IF('Données projet'!$A$460&gt;35,ML180+MK181-MT180,IF($A181&lt;'Données projet'!$A$460,$CQ$205^$A181,IF($A181='Données projet'!$A$460,'Données projet'!$B$460,ML180+MK181-MT180)))</f>
        <v>0</v>
      </c>
      <c r="MM181" s="17" t="e">
        <f>ML181*VLOOKUP('Données projet'!$B$25,Paramètres!$A$1:$I$89,3,0)*VLOOKUP('Données projet'!$B$25,Paramètres!$A$1:$I$89,5,0)</f>
        <v>#N/A</v>
      </c>
      <c r="MN181" s="13" t="e">
        <f t="shared" si="318"/>
        <v>#N/A</v>
      </c>
      <c r="MO181" s="14" t="e">
        <f t="shared" si="272"/>
        <v>#N/A</v>
      </c>
      <c r="MP181" s="59" t="e">
        <f t="shared" si="273"/>
        <v>#N/A</v>
      </c>
      <c r="MQ181" s="20" t="e">
        <f ca="1">AVERAGE(OFFSET($MP$3,0,0,'Données projet'!$E$25+1,1))-AVERAGE(OFFSET($H$3,0,0,'Données projet'!$E$25+1,1))</f>
        <v>#N/A</v>
      </c>
      <c r="MR181" s="59" t="e">
        <f t="shared" si="319"/>
        <v>#N/A</v>
      </c>
      <c r="MS181" s="15">
        <f>IF(ISNA(VLOOKUP($A181,'Données projet'!$A$460:$I$480,3,0)),0,VLOOKUP($A181,'Données projet'!$A$460:$I$480,3,0))</f>
        <v>0</v>
      </c>
      <c r="MT181" s="15">
        <f>IF(ISNA(VLOOKUP($A181,'Données projet'!$A$460:$I$480,4,0)),0,VLOOKUP($A181,'Données projet'!$A$460:$I$480,4,0))</f>
        <v>0</v>
      </c>
      <c r="MU181" s="16">
        <f>IF(ISNA(VLOOKUP($A181,'Données projet'!$A$460:$I$480,5,0)),0%,VLOOKUP($A181,'Données projet'!$A$460:$I$480,5,0)*VLOOKUP('Données projet'!$B$25,Paramètres!$A$1:$I$89,7,0))</f>
        <v>0</v>
      </c>
      <c r="MV181" s="16">
        <f>IF(ISNA(VLOOKUP($A181,'Données projet'!$A$460:$I$480,6,0)),0%,VLOOKUP($A181,'Données projet'!$A$460:$I$480,6,0)*VLOOKUP('Données projet'!$B$25,Paramètres!$A$1:$I$89,7,0))</f>
        <v>0</v>
      </c>
      <c r="MW181" s="16">
        <f>IF(ISNA(VLOOKUP($A181,'Données projet'!$A$460:$I$480,7,0)),0%,VLOOKUP($A181,'Données projet'!$A$460:$I$480,7,0))</f>
        <v>0</v>
      </c>
      <c r="MX181" s="21" t="e">
        <f>EXP(-LN(2)/35)*MX180+(1-EXP(-LN(2)/35))/(LN(2)/35)*MT181*MU181*VLOOKUP('Données projet'!$B$25,Paramètres!$A$1:$I$89,3,0)*0.475*44/12</f>
        <v>#N/A</v>
      </c>
      <c r="MY181" s="21" t="e">
        <f>EXP(-LN(2)/25)*MY180+(1-EXP(-LN(2)/25))/(LN(2)/25)*Calculateur!MT181*Calculateur!MV181*VLOOKUP('Données projet'!$B$25,Paramètres!$A$1:$I$89,3,0)*0.475*44/12</f>
        <v>#N/A</v>
      </c>
      <c r="MZ181" s="21" t="e">
        <f>EXP(-LN(2)/2)*MZ180+(1-EXP(-LN(2)/2))/(LN(2)/2)*MT181*MW181*VLOOKUP('Données projet'!$B$25,Paramètres!$A$1:$I$89,3,0)*0.475*44/12</f>
        <v>#N/A</v>
      </c>
      <c r="NA181" s="22" t="e">
        <f t="shared" si="274"/>
        <v>#N/A</v>
      </c>
      <c r="NB181" s="74">
        <f>('Scénario référence'!$F$8+'Scénario référence'!$F$9+'Scénario référence'!$B$17+'Scénario référence'!$B$9+'Scénario référence'!$B$10)*70+IF((45+25*(1-EXP(-0.0175*$A181)))&lt;70,'Scénario référence'!$B$16*(45+25*(1-EXP(-0.0175*$A181))),70*'Scénario référence'!$B$16)+IF((32+38*(1-EXP(-0.0175*$A181)))&lt;70,'Scénario référence'!$B$18*(32+38*(1-EXP(-0.0175*$A181))),70*'Scénario référence'!$B$18)</f>
        <v>70</v>
      </c>
      <c r="NC181" s="12">
        <f>IF($A181&gt;30,10,('Scénario référence'!$B$16+'Scénario référence'!$B$17+'Scénario référence'!$B$18+'Scénario référence'!$B$9+'Scénario référence'!$B$10)*$A181*10/30+('Scénario référence'!$F$8+'Scénario référence'!$F$9)*10)</f>
        <v>10</v>
      </c>
      <c r="ND181" s="12" t="e">
        <f>VLOOKUP($A181,'Données projet'!$A$486:$I$506,2,0)</f>
        <v>#N/A</v>
      </c>
      <c r="NE181" s="12" t="e">
        <f>VLOOKUP($A181,'Données projet'!$A$486:$I$506,9,0)</f>
        <v>#N/A</v>
      </c>
      <c r="NF181" s="12">
        <f t="array" ref="NF181">INDEX(NE:NE,MIN(IF(ISNUMBER(NE181:NE377),ROW(NE181:NE377),"")))</f>
        <v>0</v>
      </c>
      <c r="NG181" s="12">
        <f>IF('Données projet'!$A$486&gt;35,NG180+NF181-NO180,IF($A181&lt;'Données projet'!$A$486,$CQ$205^$A181,IF($A181='Données projet'!$A$486,'Données projet'!$B$486,NG180+NF181-NO180)))</f>
        <v>0</v>
      </c>
      <c r="NH181" s="17" t="e">
        <f>NG181*VLOOKUP('Données projet'!$B$26,Paramètres!$A$1:$I$89,3,0)*VLOOKUP('Données projet'!$B$26,Paramètres!$A$1:$I$89,5,0)</f>
        <v>#N/A</v>
      </c>
      <c r="NI181" s="13" t="e">
        <f t="shared" si="320"/>
        <v>#N/A</v>
      </c>
      <c r="NJ181" s="14" t="e">
        <f t="shared" si="275"/>
        <v>#N/A</v>
      </c>
      <c r="NK181" s="59" t="e">
        <f t="shared" si="276"/>
        <v>#N/A</v>
      </c>
      <c r="NL181" s="20" t="e">
        <f ca="1">AVERAGE(OFFSET($NK$3,0,0,'Données projet'!$E$26+1,1))-AVERAGE(OFFSET($H$3,0,0,'Données projet'!$E$26+1,1))</f>
        <v>#N/A</v>
      </c>
      <c r="NM181" s="59" t="e">
        <f t="shared" si="321"/>
        <v>#N/A</v>
      </c>
      <c r="NN181" s="15">
        <f>IF(ISNA(VLOOKUP($A181,'Données projet'!$A$486:$I$506,3,0)),0,VLOOKUP($A181,'Données projet'!$A$486:$I$506,3,0))</f>
        <v>0</v>
      </c>
      <c r="NO181" s="15">
        <f>IF(ISNA(VLOOKUP($A181,'Données projet'!$A$486:$I$506,4,0)),0,VLOOKUP($A181,'Données projet'!$A$486:$I$506,4,0))</f>
        <v>0</v>
      </c>
      <c r="NP181" s="16">
        <f>IF(ISNA(VLOOKUP($A181,'Données projet'!$A$486:$I$506,5,0)),0%,VLOOKUP($A181,'Données projet'!$A$486:$I$506,5,0)*VLOOKUP('Données projet'!$B$26,Paramètres!$A$1:$I$89,7,0))</f>
        <v>0</v>
      </c>
      <c r="NQ181" s="16">
        <f>IF(ISNA(VLOOKUP($A181,'Données projet'!$A$486:$I$506,6,0)),0%,VLOOKUP($A181,'Données projet'!$A$486:$I$506,6,0)*VLOOKUP('Données projet'!$B$26,Paramètres!$A$1:$I$89,7,0))</f>
        <v>0</v>
      </c>
      <c r="NR181" s="16">
        <f>IF(ISNA(VLOOKUP($A181,'Données projet'!$A$486:$I$506,7,0)),0%,VLOOKUP($A181,'Données projet'!$A$486:$I$506,7,0))</f>
        <v>0</v>
      </c>
      <c r="NS181" s="21" t="e">
        <f>EXP(-LN(2)/35)*NS180+(1-EXP(-LN(2)/35))/(LN(2)/35)*NO181*NP181*VLOOKUP('Données projet'!$B$26,Paramètres!$A$1:$I$89,3,0)*0.475*44/12</f>
        <v>#N/A</v>
      </c>
      <c r="NT181" s="21" t="e">
        <f>EXP(-LN(2)/25)*NT180+(1-EXP(-LN(2)/25))/(LN(2)/25)*Calculateur!NO181*Calculateur!NQ181*VLOOKUP('Données projet'!$B$26,Paramètres!$A$1:$I$89,3,0)*0.475*44/12</f>
        <v>#N/A</v>
      </c>
      <c r="NU181" s="21" t="e">
        <f>EXP(-LN(2)/2)*NU180+(1-EXP(-LN(2)/2))/(LN(2)/2)*NO181*NR181*VLOOKUP('Données projet'!$B$26,Paramètres!$A$1:$I$89,3,0)*0.475*44/12</f>
        <v>#N/A</v>
      </c>
      <c r="NV181" s="22" t="e">
        <f t="shared" si="277"/>
        <v>#N/A</v>
      </c>
      <c r="NW181" s="74">
        <f>('Scénario référence'!$F$8+'Scénario référence'!$F$9+'Scénario référence'!$B$17+'Scénario référence'!$B$9+'Scénario référence'!$B$10)*70+IF((45+25*(1-EXP(-0.0175*$A181)))&lt;70,'Scénario référence'!$B$16*(45+25*(1-EXP(-0.0175*$A181))),70*'Scénario référence'!$B$16)+IF((32+38*(1-EXP(-0.0175*$A181)))&lt;70,'Scénario référence'!$B$18*(32+38*(1-EXP(-0.0175*$A181))),70*'Scénario référence'!$B$18)</f>
        <v>70</v>
      </c>
      <c r="NX181" s="12">
        <f>IF($A181&gt;30,10,('Scénario référence'!$B$16+'Scénario référence'!$B$17+'Scénario référence'!$B$18+'Scénario référence'!$B$9+'Scénario référence'!$B$10)*$A181*10/30+('Scénario référence'!$F$8+'Scénario référence'!$F$9)*10)</f>
        <v>10</v>
      </c>
      <c r="NY181" s="12" t="e">
        <f>VLOOKUP($A181,'Données projet'!$A$512:$I$532,2,0)</f>
        <v>#N/A</v>
      </c>
      <c r="NZ181" s="12" t="e">
        <f>VLOOKUP($A181,'Données projet'!$A$512:$I$532,9,0)</f>
        <v>#N/A</v>
      </c>
      <c r="OA181" s="12">
        <f t="array" ref="OA181">INDEX(NZ:NZ,MIN(IF(ISNUMBER(NZ181:NZ377),ROW(NZ181:NZ377),"")))</f>
        <v>0</v>
      </c>
      <c r="OB181" s="12">
        <f>IF('Données projet'!$A$512&gt;35,OB180+OA181-OJ180,IF($A181&lt;'Données projet'!$A$512,$CQ$205^$A181,IF($A181='Données projet'!$A$512,'Données projet'!$B$512,OB180+OA181-OJ180)))</f>
        <v>0</v>
      </c>
      <c r="OC181" s="17" t="e">
        <f>OB181*VLOOKUP('Données projet'!$B$27,Paramètres!$A$1:$I$89,3,0)*VLOOKUP('Données projet'!$B$27,Paramètres!$A$1:$I$89,5,0)</f>
        <v>#N/A</v>
      </c>
      <c r="OD181" s="13" t="e">
        <f t="shared" si="322"/>
        <v>#N/A</v>
      </c>
      <c r="OE181" s="14" t="e">
        <f t="shared" si="278"/>
        <v>#N/A</v>
      </c>
      <c r="OF181" s="59" t="e">
        <f t="shared" si="279"/>
        <v>#N/A</v>
      </c>
      <c r="OG181" s="20" t="e">
        <f ca="1">AVERAGE(OFFSET($OF$3,0,0,'Données projet'!$E$27+1,1))-AVERAGE(OFFSET($H$3,0,0,'Données projet'!$E$27+1,1))</f>
        <v>#N/A</v>
      </c>
      <c r="OH181" s="59" t="e">
        <f t="shared" si="323"/>
        <v>#N/A</v>
      </c>
      <c r="OI181" s="15">
        <f>IF(ISNA(VLOOKUP($A181,'Données projet'!$A$512:$I$532,3,0)),0,VLOOKUP($A181,'Données projet'!$A$512:$I$532,3,0))</f>
        <v>0</v>
      </c>
      <c r="OJ181" s="15">
        <f>IF(ISNA(VLOOKUP($A181,'Données projet'!$A$512:$I$532,4,0)),0,VLOOKUP($A181,'Données projet'!$A$512:$I$532,4,0))</f>
        <v>0</v>
      </c>
      <c r="OK181" s="16">
        <f>IF(ISNA(VLOOKUP($A181,'Données projet'!$A$512:$I$532,5,0)),0%,VLOOKUP($A181,'Données projet'!$A$512:$I$532,5,0)*VLOOKUP('Données projet'!$B$27,Paramètres!$A$1:$I$89,7,0))</f>
        <v>0</v>
      </c>
      <c r="OL181" s="16">
        <f>IF(ISNA(VLOOKUP($A181,'Données projet'!$A$512:$I$532,6,0)),0%,VLOOKUP($A181,'Données projet'!$A$512:$I$532,6,0)*VLOOKUP('Données projet'!$B$27,Paramètres!$A$1:$I$89,7,0))</f>
        <v>0</v>
      </c>
      <c r="OM181" s="16">
        <f>IF(ISNA(VLOOKUP($A181,'Données projet'!$A$512:$I$532,7,0)),0%,VLOOKUP($A181,'Données projet'!$A$512:$I$532,7,0))</f>
        <v>0</v>
      </c>
      <c r="ON181" s="21" t="e">
        <f>EXP(-LN(2)/35)*ON180+(1-EXP(-LN(2)/35))/(LN(2)/35)*OJ181*OK181*VLOOKUP('Données projet'!$B$27,Paramètres!$A$1:$I$89,3,0)*0.475*44/12</f>
        <v>#N/A</v>
      </c>
      <c r="OO181" s="21" t="e">
        <f>EXP(-LN(2)/25)*OO180+(1-EXP(-LN(2)/25))/(LN(2)/25)*Calculateur!OJ181*Calculateur!OL181*VLOOKUP('Données projet'!$B$27,Paramètres!$A$1:$I$89,3,0)*0.475*44/12</f>
        <v>#N/A</v>
      </c>
      <c r="OP181" s="21" t="e">
        <f>EXP(-LN(2)/2)*OP180+(1-EXP(-LN(2)/2))/(LN(2)/2)*OJ181*OM181*VLOOKUP('Données projet'!$B$27,Paramètres!$A$1:$I$89,3,0)*0.475*44/12</f>
        <v>#N/A</v>
      </c>
      <c r="OQ181" s="22" t="e">
        <f t="shared" si="280"/>
        <v>#N/A</v>
      </c>
      <c r="OR181" s="74">
        <f>('Scénario référence'!$F$8+'Scénario référence'!$F$9+'Scénario référence'!$B$17+'Scénario référence'!$B$9+'Scénario référence'!$B$10)*70+IF((45+25*(1-EXP(-0.0175*$A181)))&lt;70,'Scénario référence'!$B$16*(45+25*(1-EXP(-0.0175*$A181))),70*'Scénario référence'!$B$16)+IF((32+38*(1-EXP(-0.0175*$A181)))&lt;70,'Scénario référence'!$B$18*(32+38*(1-EXP(-0.0175*$A181))),70*'Scénario référence'!$B$18)</f>
        <v>70</v>
      </c>
      <c r="OS181" s="12">
        <f>IF($A181&gt;30,10,('Scénario référence'!$B$16+'Scénario référence'!$B$17+'Scénario référence'!$B$18+'Scénario référence'!$B$9+'Scénario référence'!$B$10)*$A181*10/30+('Scénario référence'!$F$8+'Scénario référence'!$F$9)*10)</f>
        <v>10</v>
      </c>
      <c r="OT181" s="12" t="e">
        <f>VLOOKUP($A181,'Données projet'!$A$538:$I$558,2,0)</f>
        <v>#N/A</v>
      </c>
      <c r="OU181" s="12" t="e">
        <f>VLOOKUP($A181,'Données projet'!$A$538:$I$558,9,0)</f>
        <v>#N/A</v>
      </c>
      <c r="OV181" s="12">
        <f t="array" ref="OV181">INDEX(OU:OU,MIN(IF(ISNUMBER(OU181:OU377),ROW(OU181:OU377),"")))</f>
        <v>0</v>
      </c>
      <c r="OW181" s="12">
        <f>IF('Données projet'!$A$538&gt;35,OW180+OV181-PE180,IF($A181&lt;'Données projet'!$A$538,$CQ$205^$A181,IF($A181='Données projet'!$A$538,'Données projet'!$B$538,OW180+OV181-PE180)))</f>
        <v>0</v>
      </c>
      <c r="OX181" s="17" t="e">
        <f>OW181*VLOOKUP('Données projet'!$B$28,Paramètres!$A$1:$I$89,3,0)*VLOOKUP('Données projet'!$B$28,Paramètres!$A$1:$I$89,5,0)</f>
        <v>#N/A</v>
      </c>
      <c r="OY181" s="13" t="e">
        <f t="shared" si="324"/>
        <v>#N/A</v>
      </c>
      <c r="OZ181" s="14" t="e">
        <f t="shared" si="281"/>
        <v>#N/A</v>
      </c>
      <c r="PA181" s="59" t="e">
        <f t="shared" si="282"/>
        <v>#N/A</v>
      </c>
      <c r="PB181" s="20" t="e">
        <f ca="1">AVERAGE(OFFSET($PA$3,0,0,'Données projet'!$E$28+1,1))-AVERAGE(OFFSET($H$3,0,0,'Données projet'!$E$28+1,1))</f>
        <v>#N/A</v>
      </c>
      <c r="PC181" s="59" t="e">
        <f t="shared" si="325"/>
        <v>#N/A</v>
      </c>
      <c r="PD181" s="15">
        <f>IF(ISNA(VLOOKUP($A181,'Données projet'!$A$538:$I$558,3,0)),0,VLOOKUP($A181,'Données projet'!$A$538:$I$558,3,0))</f>
        <v>0</v>
      </c>
      <c r="PE181" s="15">
        <f>IF(ISNA(VLOOKUP($A181,'Données projet'!$A$538:$I$558,4,0)),0,VLOOKUP($A181,'Données projet'!$A$538:$I$558,4,0))</f>
        <v>0</v>
      </c>
      <c r="PF181" s="16">
        <f>IF(ISNA(VLOOKUP($A181,'Données projet'!$A$538:$I$558,5,0)),0%,VLOOKUP($A181,'Données projet'!$A$538:$I$558,5,0)*VLOOKUP('Données projet'!$B$28,Paramètres!$A$1:$I$89,7,0))</f>
        <v>0</v>
      </c>
      <c r="PG181" s="16">
        <f>IF(ISNA(VLOOKUP($A181,'Données projet'!$A$538:$I$558,6,0)),0%,VLOOKUP($A181,'Données projet'!$A$538:$I$558,6,0)*VLOOKUP('Données projet'!$B$28,Paramètres!$A$1:$I$89,7,0))</f>
        <v>0</v>
      </c>
      <c r="PH181" s="16">
        <f>IF(ISNA(VLOOKUP($A181,'Données projet'!$A$538:$I$558,7,0)),0%,VLOOKUP($A181,'Données projet'!$A$538:$I$558,7,0))</f>
        <v>0</v>
      </c>
      <c r="PI181" s="21" t="e">
        <f>EXP(-LN(2)/35)*PI180+(1-EXP(-LN(2)/35))/(LN(2)/35)*PE181*PF181*VLOOKUP('Données projet'!$B$28,Paramètres!$A$1:$I$89,3,0)*0.475*44/12</f>
        <v>#N/A</v>
      </c>
      <c r="PJ181" s="21" t="e">
        <f>EXP(-LN(2)/25)*PJ180+(1-EXP(-LN(2)/25))/(LN(2)/25)*Calculateur!PE181*Calculateur!PG181*VLOOKUP('Données projet'!$B$28,Paramètres!$A$1:$I$89,3,0)*0.475*44/12</f>
        <v>#N/A</v>
      </c>
      <c r="PK181" s="21" t="e">
        <f>EXP(-LN(2)/2)*PK180+(1-EXP(-LN(2)/2))/(LN(2)/2)*PE181*PH181*VLOOKUP('Données projet'!$B$28,Paramètres!$A$1:$I$89,3,0)*0.475*44/12</f>
        <v>#N/A</v>
      </c>
      <c r="PL181" s="22" t="e">
        <f t="shared" si="283"/>
        <v>#N/A</v>
      </c>
    </row>
    <row r="182" spans="1:428" x14ac:dyDescent="0.35">
      <c r="A182" s="10">
        <f t="shared" si="326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285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225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projet'!$A$45:$I$65,2,0)</f>
        <v>#N/A</v>
      </c>
      <c r="L182" s="12" t="e">
        <f>VLOOKUP(A182,'Données projet'!$A$45:$I$65,9,0)</f>
        <v>#N/A</v>
      </c>
      <c r="M182" s="12">
        <f t="array" ref="M182">INDEX(L:L,MIN(IF(ISNUMBER(L182:L378),ROW(L182:L378),"")))</f>
        <v>0</v>
      </c>
      <c r="N182" s="13">
        <f>IF('Données projet'!$A$46&gt;35,N181+M182-V181,IF(A182&lt;'Données projet'!$A$46,$K$205^A182,IF(A182='Données projet'!$A$46,'Données projet'!$B$46,N181+M182-V181)))</f>
        <v>-1.1368683772161603E-13</v>
      </c>
      <c r="O182" s="13">
        <f>N182*VLOOKUP('Données projet'!$B$9,Paramètres!$A$1:$I$89,3,0)*VLOOKUP('Données projet'!$B$9,Paramètres!$A$1:$I$89,5,0)</f>
        <v>-6.3550942286383367E-14</v>
      </c>
      <c r="P182" s="13" t="e">
        <f t="shared" si="286"/>
        <v>#NUM!</v>
      </c>
      <c r="Q182" s="20" t="e">
        <f t="shared" si="327"/>
        <v>#NUM!</v>
      </c>
      <c r="R182" s="59" t="e">
        <f t="shared" si="224"/>
        <v>#NUM!</v>
      </c>
      <c r="S182" s="59">
        <f ca="1">AVERAGE(OFFSET($R$3,0,0,'Données projet'!$E$9+1,1))-AVERAGE(OFFSET($H$3,0,0,'Données projet'!$E$9+1,1))</f>
        <v>274.57619581652199</v>
      </c>
      <c r="T182" s="59">
        <f t="shared" si="287"/>
        <v>366.15117322598775</v>
      </c>
      <c r="U182" s="15">
        <f>IF(ISNA(VLOOKUP(A182,'Données projet'!$A$45:$I$65,3,0)),0,VLOOKUP(A182,'Données projet'!$A$45:$I$65,3,0))</f>
        <v>0</v>
      </c>
      <c r="V182" s="15">
        <f>IF(ISNA(VLOOKUP(A182,'Données projet'!$A$45:$I$65,4,0)),0,VLOOKUP(A182,'Données projet'!$A$45:$I$65,4,0))</f>
        <v>0</v>
      </c>
      <c r="W182" s="16">
        <f>IF(ISNA(VLOOKUP(A182,'Données projet'!$A$45:$I$65,5,0)),0%,VLOOKUP(A182,'Données projet'!$A$45:$I$65,5,0)*VLOOKUP('Données projet'!$B$9,Paramètres!$A$1:$I$89,7,0))</f>
        <v>0</v>
      </c>
      <c r="X182" s="16">
        <f>IF(ISNA(VLOOKUP(A182,'Données projet'!$A$45:$I$65,6,0)),0%,VLOOKUP(A182,'Données projet'!$A$45:$I$65,6,0)*VLOOKUP('Données projet'!$B$9,Paramètres!$A$1:$I$89,7,0))</f>
        <v>0</v>
      </c>
      <c r="Y182" s="16">
        <f>IF(ISNA(VLOOKUP(A182,'Données projet'!$A$45:$I$65,7,0)),0%,VLOOKUP(A182,'Données projet'!$A$45:$I$65,7,0))</f>
        <v>0</v>
      </c>
      <c r="Z182" s="21">
        <f>EXP(-LN(2)/35)*Z181+(1-EXP(-LN(2)/35))/(LN(2)/35)*V182*W182*VLOOKUP('Données projet'!$B$9,Paramètres!$A$1:$I$89,3,0)*0.475*44/12</f>
        <v>19.44746609043175</v>
      </c>
      <c r="AA182" s="21">
        <f>EXP(-LN(2)/25)*AA181+(1-EXP(-LN(2)/25))/(LN(2)/25)*Calculateur!V182*Calculateur!X182*VLOOKUP('Données projet'!$B$9,Paramètres!$A$1:$I$89,3,0)*0.475*44/12</f>
        <v>1.8508516477729082</v>
      </c>
      <c r="AB182" s="21">
        <f>EXP(-LN(2)/2)*AB181+(1-EXP(-LN(2)/2))/(LN(2)/2)*V182*Y182*VLOOKUP('Données projet'!$B$9,Paramètres!$A$1:$I$89,3,0)*0.475*44/12</f>
        <v>7.407552003239301E-18</v>
      </c>
      <c r="AC182" s="22">
        <f t="shared" si="328"/>
        <v>21.298317738204659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projet'!$A$71:$I$91,2,0)</f>
        <v>#N/A</v>
      </c>
      <c r="AG182" s="12" t="e">
        <f>VLOOKUP(A182,'Données projet'!$A$71:$I$91,9,0)</f>
        <v>#N/A</v>
      </c>
      <c r="AH182" s="12">
        <f t="array" ref="AH182">INDEX(AG:AG,MIN(IF(ISNUMBER(AG182:AG378),ROW(AG182:AG378),"")))</f>
        <v>0</v>
      </c>
      <c r="AI182" s="13">
        <f>IF('Données projet'!$A$72&gt;35,AI181+AH182-AQ181,IF(A182&lt;'Données projet'!$A$72,$AF$205^A182,IF(A182='Données projet'!$A$72,'Données projet'!$B$72,AI181+AH182-AQ181)))</f>
        <v>5.6843418860808015E-13</v>
      </c>
      <c r="AJ182" s="13">
        <f>AI182*VLOOKUP('Données projet'!$B$10,Paramètres!$A$1:$I$89,3,0)*VLOOKUP('Données projet'!$B$10,Paramètres!$A$1:$I$89,5,0)</f>
        <v>5.1431925385259092E-13</v>
      </c>
      <c r="AK182" s="13">
        <f t="shared" si="329"/>
        <v>6.3855359115685756E-12</v>
      </c>
      <c r="AL182" s="20">
        <f t="shared" si="330"/>
        <v>1.2017247746441865E-11</v>
      </c>
      <c r="AM182" s="59">
        <f t="shared" si="228"/>
        <v>293.33333333334531</v>
      </c>
      <c r="AN182" s="59">
        <f ca="1">AVERAGE(OFFSET($AM$3,0,0,'Données projet'!$E$10+1,1))-AVERAGE(OFFSET($H$3,0,0,'Données projet'!$E$10+1,1))</f>
        <v>270.87836509222456</v>
      </c>
      <c r="AO182" s="59">
        <f t="shared" si="289"/>
        <v>205.24998237949734</v>
      </c>
      <c r="AP182" s="15">
        <f>IF(ISNA(VLOOKUP(A182,'Données projet'!$A$71:$I$91,3,0)),0,VLOOKUP(A182,'Données projet'!$A$71:$I$91,3,0))</f>
        <v>0</v>
      </c>
      <c r="AQ182" s="15">
        <f>IF(ISNA(VLOOKUP(A182,'Données projet'!$A$71:$I$91,4,0)),0,VLOOKUP(A182,'Données projet'!$A$71:$I$91,4,0))</f>
        <v>0</v>
      </c>
      <c r="AR182" s="16">
        <f>IF(ISNA(VLOOKUP(A182,'Données projet'!$A$71:$I$91,5,0)),0%,VLOOKUP(A182,'Données projet'!$A$71:$I$91,5,0)*VLOOKUP('Données projet'!$B$10,Paramètres!$A$1:$I$89,7,0))</f>
        <v>0</v>
      </c>
      <c r="AS182" s="16">
        <f>IF(ISNA(VLOOKUP(A182,'Données projet'!$A$71:$I$91,6,0)),0%,VLOOKUP(A182,'Données projet'!$A$71:$I$91,6,0)*VLOOKUP('Données projet'!$B$10,Paramètres!$A$1:$I$89,7,0))</f>
        <v>0</v>
      </c>
      <c r="AT182" s="16">
        <f>IF(ISNA(VLOOKUP(A182,'Données projet'!$A$71:$I$91,7,0)),0%,VLOOKUP(A182,'Données projet'!$A$71:$I$91,7,0))</f>
        <v>0</v>
      </c>
      <c r="AU182" s="21">
        <f>EXP(-LN(2)/35)*AU181+(1-EXP(-LN(2)/35))/(LN(2)/35)*AQ182*AR182*VLOOKUP('Données projet'!$B$10,Paramètres!$A$1:$I$89,3,0)*0.475*44/12</f>
        <v>66.087444544692602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331"/>
        <v>66.087444544692602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projet'!$A$97:$I$117,2,0)</f>
        <v>#N/A</v>
      </c>
      <c r="BB182" s="12" t="e">
        <f>VLOOKUP(A182,'Données projet'!$A$97:$I$117,9,0)</f>
        <v>#N/A</v>
      </c>
      <c r="BC182" s="12">
        <f t="array" ref="BC182">INDEX(BB:BB,MIN(IF(ISNUMBER(BB182:BB378),ROW(BB182:BB378),"")))</f>
        <v>0</v>
      </c>
      <c r="BD182" s="12">
        <f>IF('Données projet'!$A$98&gt;35,BD181+BC182-BL181,IF(A182&lt;'Données projet'!$A$98,$BA$205^A182,IF(A182='Données projet'!$A$98,'Données projet'!$B$98,BD181+BC182-BL181)))</f>
        <v>-1.1368683772161603E-13</v>
      </c>
      <c r="BE182" s="13">
        <f>BD182*VLOOKUP('Données projet'!$B$11,Paramètres!$A$1:$I$89,3,0)*VLOOKUP('Données projet'!$B$11,Paramètres!$A$1:$I$89,5,0)</f>
        <v>-5.0249582272954292E-14</v>
      </c>
      <c r="BF182" s="13" t="e">
        <f t="shared" si="332"/>
        <v>#NUM!</v>
      </c>
      <c r="BG182" s="20" t="e">
        <f t="shared" si="333"/>
        <v>#NUM!</v>
      </c>
      <c r="BH182" s="59" t="e">
        <f t="shared" si="231"/>
        <v>#NUM!</v>
      </c>
      <c r="BI182" s="59">
        <f ca="1">AVERAGE(OFFSET($BH$3,0,0,'Données projet'!$E$11+1,1))-AVERAGE(OFFSET($H$3,0,0,'Données projet'!$E$11+1,1))</f>
        <v>211.31057120485542</v>
      </c>
      <c r="BJ182" s="59">
        <f t="shared" si="291"/>
        <v>283.33292006714777</v>
      </c>
      <c r="BK182" s="15">
        <f>IF(ISNA(VLOOKUP(A182,'Données projet'!$A$97:$I$117,3,0)),0,VLOOKUP(A182,'Données projet'!$A$97:$I$117,3,0))</f>
        <v>0</v>
      </c>
      <c r="BL182" s="15">
        <f>IF(ISNA(VLOOKUP(A182,'Données projet'!$A$97:$I$117,4,0)),0,VLOOKUP(A182,'Données projet'!$A$97:$I$117,4,0))</f>
        <v>0</v>
      </c>
      <c r="BM182" s="16">
        <f>IF(ISNA(VLOOKUP(A182,'Données projet'!$A$97:$I$117,5,0)),0%,VLOOKUP(A182,'Données projet'!$A$97:$I$117,5,0)*VLOOKUP('Données projet'!$B$11,Paramètres!$A$1:$I$89,7,0))</f>
        <v>0</v>
      </c>
      <c r="BN182" s="16">
        <f>IF(ISNA(VLOOKUP(A182,'Données projet'!$A$97:$I$117,6,0)),0%,VLOOKUP(A182,'Données projet'!$A$97:$I$117,6,0)*VLOOKUP('Données projet'!$B$11,Paramètres!$A$1:$I$89,7,0))</f>
        <v>0</v>
      </c>
      <c r="BO182" s="16">
        <f>IF(ISNA(VLOOKUP(A182,'Données projet'!$A$97:$I$117,7,0)),0%,VLOOKUP(A182,'Données projet'!$A$97:$I$117,7,0))</f>
        <v>0</v>
      </c>
      <c r="BP182" s="21">
        <f>EXP(-LN(2)/35)*BP181+(1-EXP(-LN(2)/35))/(LN(2)/35)*BL182*BM182*VLOOKUP('Données projet'!$B$11,Paramètres!$A$1:$I$89,3,0)*0.475*44/12</f>
        <v>15.37706621103907</v>
      </c>
      <c r="BQ182" s="21">
        <f>EXP(-LN(2)/25)*BQ181+(1-EXP(-LN(2)/25))/(LN(2)/25)*Calculateur!BL182*Calculateur!BN182*VLOOKUP('Données projet'!$B$11,Paramètres!$A$1:$I$89,3,0)*0.475*44/12</f>
        <v>1.46346409358788</v>
      </c>
      <c r="BR182" s="21">
        <f>EXP(-LN(2)/2)*BR181+(1-EXP(-LN(2)/2))/(LN(2)/2)*BL182*BO182*VLOOKUP('Données projet'!$B$11,Paramètres!$A$1:$I$89,3,0)*0.475*44/12</f>
        <v>5.8571341420961904E-18</v>
      </c>
      <c r="BS182" s="22">
        <f t="shared" si="334"/>
        <v>16.840530304626949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projet'!$A$123:$I$143,2,0)</f>
        <v>#N/A</v>
      </c>
      <c r="BW182" s="12" t="e">
        <f>VLOOKUP(A182,'Données projet'!$A$123:$I$143,9,0)</f>
        <v>#N/A</v>
      </c>
      <c r="BX182" s="12">
        <f t="array" ref="BX182">INDEX(BW:BW,MIN(IF(ISNUMBER(BW182:BW378),ROW(BW182:BW378),"")))</f>
        <v>0</v>
      </c>
      <c r="BY182" s="12">
        <f>IF('Données projet'!$A$124&gt;35,BY181+BX182-CG181,IF(A182&lt;'Données projet'!$A$124,$BV$205^A182,IF(A182='Données projet'!$A$124,'Données projet'!$B$124,BY181+BX182-CG181)))</f>
        <v>0</v>
      </c>
      <c r="BZ182" s="13">
        <f>BY182*VLOOKUP('Données projet'!$B$12,Paramètres!$A$1:$I$89,3,0)*VLOOKUP('Données projet'!$B$12,Paramètres!$A$1:$I$89,5,0)</f>
        <v>0</v>
      </c>
      <c r="CA182" s="13" t="e">
        <f t="shared" si="335"/>
        <v>#NUM!</v>
      </c>
      <c r="CB182" s="20" t="e">
        <f t="shared" si="336"/>
        <v>#NUM!</v>
      </c>
      <c r="CC182" s="59" t="e">
        <f t="shared" si="234"/>
        <v>#NUM!</v>
      </c>
      <c r="CD182" s="59">
        <f ca="1">AVERAGE(OFFSET($CC$3,0,0,'Données projet'!$E$12+1,1))-AVERAGE(OFFSET($H$3,0,0,'Données projet'!$E$12+1,1))</f>
        <v>322.93502595881938</v>
      </c>
      <c r="CE182" s="59">
        <f t="shared" si="293"/>
        <v>302.67072119588164</v>
      </c>
      <c r="CF182" s="15">
        <f>IF(ISNA(VLOOKUP(A182,'Données projet'!$A$123:$I$143,3,0)),0,VLOOKUP(A182,'Données projet'!$A$123:$I$143,3,0))</f>
        <v>0</v>
      </c>
      <c r="CG182" s="15">
        <f>IF(ISNA(VLOOKUP(A182,'Données projet'!$A$123:$I$143,4,0)),0,VLOOKUP(A182,'Données projet'!$A$123:$I$143,4,0))</f>
        <v>0</v>
      </c>
      <c r="CH182" s="16">
        <f>IF(ISNA(VLOOKUP(A182,'Données projet'!$A$123:$I$143,5,0)),0%,VLOOKUP(A182,'Données projet'!$A$123:$I$143,5,0)*VLOOKUP('Données projet'!$B$12,Paramètres!$A$1:$I$89,7,0))</f>
        <v>0</v>
      </c>
      <c r="CI182" s="16">
        <f>IF(ISNA(VLOOKUP(A182,'Données projet'!$A$123:$I$143,6,0)),0%,VLOOKUP(A182,'Données projet'!$A$123:$I$143,6,0)*VLOOKUP('Données projet'!$B$12,Paramètres!$A$1:$I$89,7,0))</f>
        <v>0</v>
      </c>
      <c r="CJ182" s="16">
        <f>IF(ISNA(VLOOKUP(A182,'Données projet'!$A$123:$I$143,7,0)),0%,VLOOKUP(A182,'Données projet'!$A$123:$I$143,7,0))</f>
        <v>0</v>
      </c>
      <c r="CK182" s="21">
        <f>EXP(-LN(2)/35)*CK181+(1-EXP(-LN(2)/35))/(LN(2)/35)*CG182*CH182*VLOOKUP('Données projet'!$B$12,Paramètres!$A$1:$I$89,3,0)*0.475*44/12</f>
        <v>24.499382099464249</v>
      </c>
      <c r="CL182" s="21">
        <f>EXP(-LN(2)/25)*CL181+(1-EXP(-LN(2)/25))/(LN(2)/25)*Calculateur!CG182*Calculateur!CI182*VLOOKUP('Données projet'!$B$12,Paramètres!$A$1:$I$89,3,0)*0.475*44/12</f>
        <v>4.6839705522874171</v>
      </c>
      <c r="CM182" s="21">
        <f>EXP(-LN(2)/2)*CM181+(1-EXP(-LN(2)/2))/(LN(2)/2)*CG182*CJ182*VLOOKUP('Données projet'!$B$12,Paramètres!$A$1:$I$89,3,0)*0.475*44/12</f>
        <v>0</v>
      </c>
      <c r="CN182" s="22">
        <f t="shared" si="337"/>
        <v>29.183352651751665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projet'!$A$149:$I$169,2,0)</f>
        <v>#N/A</v>
      </c>
      <c r="CR182" s="12" t="e">
        <f>VLOOKUP(A182,'Données projet'!$A$149:$I$169,9,0)</f>
        <v>#N/A</v>
      </c>
      <c r="CS182" s="12">
        <f t="array" ref="CS182">INDEX(CR:CR,MIN(IF(ISNUMBER(CR182:CR378),ROW(CR182:CR378),"")))</f>
        <v>0</v>
      </c>
      <c r="CT182" s="12">
        <f>IF('Données projet'!$A$150&gt;35,CT181+CS182-DB181,IF(A182&lt;'Données projet'!$A$150,$CQ$205^A182,IF(A182='Données projet'!$A$150,'Données projet'!$B$150,CT181+CS182-DB181)))</f>
        <v>-4.5474735088646412E-13</v>
      </c>
      <c r="CU182" s="17">
        <f>CT182*VLOOKUP('Données projet'!$B$13,Paramètres!$A$1:$I$89,3,0)*VLOOKUP('Données projet'!$B$13,Paramètres!$A$1:$I$89,5,0)</f>
        <v>-4.6111381379887462E-13</v>
      </c>
      <c r="CV182" s="13" t="e">
        <f t="shared" si="338"/>
        <v>#NUM!</v>
      </c>
      <c r="CW182" s="20" t="e">
        <f t="shared" si="339"/>
        <v>#NUM!</v>
      </c>
      <c r="CX182" s="59" t="e">
        <f t="shared" si="237"/>
        <v>#NUM!</v>
      </c>
      <c r="CY182" s="59">
        <f ca="1">AVERAGE(OFFSET($CX$3,0,0,'Données projet'!$E$13+1,1))-AVERAGE(OFFSET($H$3,0,0,'Données projet'!$E$13+1,1))</f>
        <v>250.31277422753283</v>
      </c>
      <c r="CZ182" s="59">
        <f t="shared" si="295"/>
        <v>159.20429420478047</v>
      </c>
      <c r="DA182" s="15">
        <f>IF(ISNA(VLOOKUP(A182,'Données projet'!$A$149:$I$169,3,0)),0,VLOOKUP(A182,'Données projet'!$A$149:$I$169,3,0))</f>
        <v>0</v>
      </c>
      <c r="DB182" s="15">
        <f>IF(ISNA(VLOOKUP(A182,'Données projet'!$A$149:$I$169,4,0)),0,VLOOKUP(A182,'Données projet'!$A$149:$I$169,4,0))</f>
        <v>0</v>
      </c>
      <c r="DC182" s="16">
        <f>IF(ISNA(VLOOKUP(A182,'Données projet'!$A$149:$I$169,5,0)),0%,VLOOKUP(A182,'Données projet'!$A$149:$I$169,5,0)*VLOOKUP('Données projet'!$B$13,Paramètres!$A$1:$I$89,7,0))</f>
        <v>0</v>
      </c>
      <c r="DD182" s="16">
        <f>IF(ISNA(VLOOKUP(A182,'Données projet'!$A$149:$I$169,6,0)),0%,VLOOKUP(A182,'Données projet'!$A$149:$I$169,6,0)*VLOOKUP('Données projet'!$B$13,Paramètres!$A$1:$I$89,7,0))</f>
        <v>0</v>
      </c>
      <c r="DE182" s="16">
        <f>IF(ISNA(VLOOKUP(A182,'Données projet'!$A$149:$I$169,7,0)),0%,VLOOKUP(A182,'Données projet'!$A$149:$I$169,7,0))</f>
        <v>0</v>
      </c>
      <c r="DF182" s="21">
        <f>EXP(-LN(2)/35)*DF181+(1-EXP(-LN(2)/35))/(LN(2)/35)*DB182*DC182*VLOOKUP('Données projet'!$B$13,Paramètres!$A$1:$I$89,3,0)*0.475*44/12</f>
        <v>111.52848663564707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340"/>
        <v>111.52848663564707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projet'!$A$175:$I$195,2,0)</f>
        <v>#N/A</v>
      </c>
      <c r="DM182" s="12" t="e">
        <f>VLOOKUP(A182,'Données projet'!$A$175:$I$195,9,0)</f>
        <v>#N/A</v>
      </c>
      <c r="DN182" s="12">
        <f t="array" ref="DN182">INDEX(DM:DM,MIN(IF(ISNUMBER(DM182:DM378),ROW(DM182:DM378),"")))</f>
        <v>0</v>
      </c>
      <c r="DO182" s="12">
        <f>IF('Données projet'!$A$176&gt;35,DO181+DN182-DW181,IF(A182&lt;'Données projet'!$A$176,$DL$205^A182,IF(A182='Données projet'!$A$176,'Données projet'!$B$176,DO181+DN182-DW181)))</f>
        <v>-2.8421709430404007E-13</v>
      </c>
      <c r="DP182" s="17">
        <f>DO182*VLOOKUP('Données projet'!$B$14,Paramètres!$A$1:$I$89,3,0)*VLOOKUP('Données projet'!$B$14,Paramètres!$A$1:$I$89,5,0)</f>
        <v>-2.0838797354372215E-13</v>
      </c>
      <c r="DQ182" s="13" t="e">
        <f t="shared" si="341"/>
        <v>#NUM!</v>
      </c>
      <c r="DR182" s="20" t="e">
        <f t="shared" si="342"/>
        <v>#NUM!</v>
      </c>
      <c r="DS182" s="59" t="e">
        <f t="shared" si="240"/>
        <v>#NUM!</v>
      </c>
      <c r="DT182" s="59">
        <f ca="1">AVERAGE(OFFSET($DS$3,0,0,'Données projet'!$E$14+1,1))-AVERAGE(OFFSET($H$3,0,0,'Données projet'!$E$14+1,1))</f>
        <v>296.91321813251051</v>
      </c>
      <c r="DU182" s="59">
        <f t="shared" si="297"/>
        <v>291.0718079639509</v>
      </c>
      <c r="DV182" s="15">
        <f>IF(ISNA(VLOOKUP(A182,'Données projet'!$A$175:$I$195,3,0)),0,VLOOKUP(A182,'Données projet'!$A$175:$I$195,3,0))</f>
        <v>0</v>
      </c>
      <c r="DW182" s="15">
        <f>IF(ISNA(VLOOKUP(A182,'Données projet'!$A$175:$I$195,4,0)),0,VLOOKUP(A182,'Données projet'!$A$175:$I$195,4,0))</f>
        <v>0</v>
      </c>
      <c r="DX182" s="16">
        <f>IF(ISNA(VLOOKUP(A182,'Données projet'!$A$175:$I$195,5,0)),0%,VLOOKUP(A182,'Données projet'!$A$175:$I$195,5,0)*VLOOKUP('Données projet'!$B$14,Paramètres!$A$1:$I$89,7,0))</f>
        <v>0</v>
      </c>
      <c r="DY182" s="16">
        <f>IF(ISNA(VLOOKUP(A182,'Données projet'!$A$175:$I$195,6,0)),0%,VLOOKUP(A182,'Données projet'!$A$175:$I$195,6,0)*VLOOKUP('Données projet'!$B$14,Paramètres!$A$1:$I$89,7,0))</f>
        <v>0</v>
      </c>
      <c r="DZ182" s="16">
        <f>IF(ISNA(VLOOKUP(A182,'Données projet'!$A$175:$I$195,7,0)),0%,VLOOKUP(A182,'Données projet'!$A$175:$I$195,7,0))</f>
        <v>0</v>
      </c>
      <c r="EA182" s="21">
        <f>EXP(-LN(2)/35)*EA181+(1-EXP(-LN(2)/35))/(LN(2)/35)*DW182*DX182*VLOOKUP('Données projet'!$B$14,Paramètres!$A$1:$I$89,3,0)*0.475*44/12</f>
        <v>24.418018599345675</v>
      </c>
      <c r="EB182" s="21">
        <f>EXP(-LN(2)/25)*EB181+(1-EXP(-LN(2)/25))/(LN(2)/25)*Calculateur!DW182*Calculateur!DY182*VLOOKUP('Données projet'!$B$14,Paramètres!$A$1:$I$89,3,0)*0.475*44/12</f>
        <v>0.34408872487750641</v>
      </c>
      <c r="EC182" s="21">
        <f>EXP(-LN(2)/2)*EC181+(1-EXP(-LN(2)/2))/(LN(2)/2)*DW182*DZ182*VLOOKUP('Données projet'!$B$14,Paramètres!$A$1:$I$89,3,0)*0.475*44/12</f>
        <v>0</v>
      </c>
      <c r="ED182" s="22">
        <f t="shared" si="343"/>
        <v>24.76210732422318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projet'!$A$201:$I$221,2,0)</f>
        <v>#N/A</v>
      </c>
      <c r="EH182" s="12" t="e">
        <f>VLOOKUP(A182,'Données projet'!$A$201:$I$221,9,0)</f>
        <v>#N/A</v>
      </c>
      <c r="EI182" s="12">
        <f t="array" ref="EI182">INDEX(EH:EH,MIN(IF(ISNUMBER(EH182:EH378),ROW(EH182:EH378),"")))</f>
        <v>0</v>
      </c>
      <c r="EJ182" s="12">
        <f>IF('Données projet'!$A$202&gt;35,EJ181+EI182-ER181,IF(A182&lt;'Données projet'!$A$202,$EG$205^A182,IF(A182='Données projet'!$A$202,'Données projet'!$B$202,EJ181+EI182-ER181)))</f>
        <v>5.1159076974727213E-13</v>
      </c>
      <c r="EK182" s="17">
        <f>EJ182*VLOOKUP('Données projet'!$B$15,Paramètres!$A$1:$I$89,3,0)*VLOOKUP('Données projet'!$B$15,Paramètres!$A$1:$I$89,5,0)</f>
        <v>2.3942448024172334E-13</v>
      </c>
      <c r="EL182" s="13">
        <f t="shared" si="344"/>
        <v>3.2492669905861755E-12</v>
      </c>
      <c r="EM182" s="20">
        <f t="shared" si="345"/>
        <v>6.0761376450252565E-12</v>
      </c>
      <c r="EN182" s="59">
        <f t="shared" si="243"/>
        <v>293.3333333333394</v>
      </c>
      <c r="EO182" s="59">
        <f ca="1">AVERAGE(OFFSET($EN$3,0,0,'Données projet'!$E$15+1,1))-AVERAGE(OFFSET($H$3,0,0,'Données projet'!$E$15+1,1))</f>
        <v>147.64256291235483</v>
      </c>
      <c r="EP182" s="59">
        <f t="shared" si="299"/>
        <v>70.859031694091868</v>
      </c>
      <c r="EQ182" s="15">
        <f>IF(ISNA(VLOOKUP(A182,'Données projet'!$A$201:$I$221,3,0)),0,VLOOKUP(A182,'Données projet'!$A$201:$I$221,3,0))</f>
        <v>0</v>
      </c>
      <c r="ER182" s="15">
        <f>IF(ISNA(VLOOKUP(A182,'Données projet'!$A$201:$I$221,4,0)),0,VLOOKUP(A182,'Données projet'!$A$201:$I$221,4,0))</f>
        <v>0</v>
      </c>
      <c r="ES182" s="16">
        <f>IF(ISNA(VLOOKUP(A182,'Données projet'!$A$201:$I$221,5,0)),0%,VLOOKUP(A182,'Données projet'!$A$201:$I$221,5,0)*VLOOKUP('Données projet'!$B$15,Paramètres!$A$1:$I$89,7,0))</f>
        <v>0</v>
      </c>
      <c r="ET182" s="16">
        <f>IF(ISNA(VLOOKUP(A182,'Données projet'!$A$201:$I$221,6,0)),0%,VLOOKUP(A182,'Données projet'!$A$201:$I$221,6,0)*VLOOKUP('Données projet'!$B$15,Paramètres!$A$1:$I$89,7,0))</f>
        <v>0</v>
      </c>
      <c r="EU182" s="16">
        <f>IF(ISNA(VLOOKUP(A182,'Données projet'!$A$201:$I$221,7,0)),0%,VLOOKUP(A182,'Données projet'!$A$201:$I$221,7,0))</f>
        <v>0</v>
      </c>
      <c r="EV182" s="21">
        <f>EXP(-LN(2)/35)*EV181+(1-EXP(-LN(2)/35))/(LN(2)/35)*ER182*ES182*VLOOKUP('Données projet'!$B$15,Paramètres!$A$1:$I$89,3,0)*0.475*44/12</f>
        <v>33.428652359810727</v>
      </c>
      <c r="EW182" s="21">
        <f>EXP(-LN(2)/25)*EW181+(1-EXP(-LN(2)/25))/(LN(2)/25)*Calculateur!ER182*Calculateur!ET182*VLOOKUP('Données projet'!$B$15,Paramètres!$A$1:$I$89,3,0)*0.475*44/12</f>
        <v>4.7738843941441935</v>
      </c>
      <c r="EX182" s="21">
        <f>EXP(-LN(2)/2)*EX181+(1-EXP(-LN(2)/2))/(LN(2)/2)*ER182*EU182*VLOOKUP('Données projet'!$B$15,Paramètres!$A$1:$I$89,3,0)*0.475*44/12</f>
        <v>5.3401714320973722E-10</v>
      </c>
      <c r="EY182" s="22">
        <f t="shared" si="346"/>
        <v>38.202536754488932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projet'!$A$227:$I$247,2,0)</f>
        <v>#N/A</v>
      </c>
      <c r="FC182" s="12" t="e">
        <f>VLOOKUP(A182,'Données projet'!$A$227:$I$247,9,0)</f>
        <v>#N/A</v>
      </c>
      <c r="FD182" s="12">
        <f t="array" ref="FD182">INDEX(FC:FC,MIN(IF(ISNUMBER(FC182:FC378),ROW(FC182:FC378),"")))</f>
        <v>0</v>
      </c>
      <c r="FE182" s="12">
        <f>IF('Données projet'!$A$228&gt;35,FE181+FD182-FM181,IF(A182&lt;'Données projet'!$A$228,$FB$205^A182,IF(A182='Données projet'!$A$228,'Données projet'!$B$228,FE181+FD182-FM181)))</f>
        <v>8.5265128291212022E-14</v>
      </c>
      <c r="FF182" s="17">
        <f>FE182*VLOOKUP('Données projet'!$B$16,Paramètres!$A$1:$I$89,3,0)*VLOOKUP('Données projet'!$B$16,Paramètres!$A$1:$I$89,5,0)</f>
        <v>8.9119112089974823E-14</v>
      </c>
      <c r="FG182" s="13">
        <f t="shared" si="347"/>
        <v>1.3568952080113142E-12</v>
      </c>
      <c r="FH182" s="20">
        <f t="shared" si="348"/>
        <v>2.5184749408430782E-12</v>
      </c>
      <c r="FI182" s="59">
        <f t="shared" si="246"/>
        <v>293.33333333333582</v>
      </c>
      <c r="FJ182" s="59">
        <f ca="1">AVERAGE(OFFSET($FI$3,0,0,'Données projet'!$E$16+1,1))-AVERAGE(OFFSET($H$3,0,0,'Données projet'!$E$16+1,1))</f>
        <v>259.03906550253788</v>
      </c>
      <c r="FK182" s="59">
        <f t="shared" si="301"/>
        <v>235.54542903570831</v>
      </c>
      <c r="FL182" s="15">
        <f>IF(ISNA(VLOOKUP(A182,'Données projet'!$A$227:$I$247,3,0)),0,VLOOKUP(A182,'Données projet'!$A$227:$I$247,3,0))</f>
        <v>0</v>
      </c>
      <c r="FM182" s="15">
        <f>IF(ISNA(VLOOKUP(A182,'Données projet'!$A$227:$I$247,4,0)),0,VLOOKUP(A182,'Données projet'!$A$227:$I$247,4,0))</f>
        <v>0</v>
      </c>
      <c r="FN182" s="16">
        <f>IF(ISNA(VLOOKUP(A182,'Données projet'!$A$227:$I$247,5,0)),0%,VLOOKUP(A182,'Données projet'!$A$227:$I$247,5,0)*VLOOKUP('Données projet'!$B$16,Paramètres!$A$1:$I$89,7,0))</f>
        <v>0</v>
      </c>
      <c r="FO182" s="16">
        <f>IF(ISNA(VLOOKUP(A182,'Données projet'!$A$227:$I$247,6,0)),0%,VLOOKUP(A182,'Données projet'!$A$227:$I$247,6,0)*VLOOKUP('Données projet'!$B$16,Paramètres!$A$1:$I$89,7,0))</f>
        <v>0</v>
      </c>
      <c r="FP182" s="16">
        <f>IF(ISNA(VLOOKUP(A182,'Données projet'!$A$227:$I$247,7,0)),0%,VLOOKUP(A182,'Données projet'!$A$227:$I$247,7,0))</f>
        <v>0</v>
      </c>
      <c r="FQ182" s="21">
        <f>EXP(-LN(2)/35)*FQ181+(1-EXP(-LN(2)/35))/(LN(2)/35)*FM182*FN182*VLOOKUP('Données projet'!$B$16,Paramètres!$A$1:$I$89,3,0)*0.475*44/12</f>
        <v>14.754498664428402</v>
      </c>
      <c r="FR182" s="21">
        <f>EXP(-LN(2)/25)*FR181+(1-EXP(-LN(2)/25))/(LN(2)/25)*Calculateur!FM182*Calculateur!FO182*VLOOKUP('Données projet'!$B$16,Paramètres!$A$1:$I$89,3,0)*0.475*44/12</f>
        <v>6.5673117769046963</v>
      </c>
      <c r="FS182" s="21">
        <f>EXP(-LN(2)/2)*FS181+(1-EXP(-LN(2)/2))/(LN(2)/2)*FM182*FP182*VLOOKUP('Données projet'!$B$16,Paramètres!$A$1:$I$89,3,0)*0.475*44/12</f>
        <v>0</v>
      </c>
      <c r="FT182" s="22">
        <f t="shared" si="349"/>
        <v>21.321810441333099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projet'!$A$253:$I$273,2,0)</f>
        <v>#N/A</v>
      </c>
      <c r="FX182" s="12" t="e">
        <f>VLOOKUP(A182,'Données projet'!$A$253:$I$273,9,0)</f>
        <v>#N/A</v>
      </c>
      <c r="FY182" s="12">
        <f t="array" ref="FY182">INDEX(FX:FX,MIN(IF(ISNUMBER(FX182:FX378),ROW(FX182:FX378),"")))</f>
        <v>0</v>
      </c>
      <c r="FZ182" s="12">
        <f>IF('Données projet'!$A$254&gt;35,FZ181+FY182-GH181,IF(A182&lt;'Données projet'!$A$254,$FW$205^A182,IF(A182='Données projet'!$A$254,'Données projet'!$B$254,FZ181+FY182-GH181)))</f>
        <v>-1.7053025658242404E-13</v>
      </c>
      <c r="GA182" s="17">
        <f>FZ182*VLOOKUP('Données projet'!$B$17,Paramètres!$A$1:$I$89,3,0)*VLOOKUP('Données projet'!$B$17,Paramètres!$A$1:$I$89,5,0)</f>
        <v>-1.4897523215040567E-13</v>
      </c>
      <c r="GB182" s="13" t="e">
        <f t="shared" si="350"/>
        <v>#NUM!</v>
      </c>
      <c r="GC182" s="20" t="e">
        <f t="shared" si="351"/>
        <v>#NUM!</v>
      </c>
      <c r="GD182" s="59" t="e">
        <f t="shared" si="249"/>
        <v>#NUM!</v>
      </c>
      <c r="GE182" s="59">
        <f ca="1">AVERAGE(OFFSET($GD$3,0,0,'Données projet'!$E$17+1,1))-AVERAGE(OFFSET($H$3,0,0,'Données projet'!$E$17+1,1))</f>
        <v>245.1983232777614</v>
      </c>
      <c r="GF182" s="59">
        <f t="shared" si="303"/>
        <v>242.34010522344573</v>
      </c>
      <c r="GG182" s="15">
        <f>IF(ISNA(VLOOKUP(A182,'Données projet'!$A$253:$I$273,3,0)),0,VLOOKUP(A182,'Données projet'!$A$253:$I$273,3,0))</f>
        <v>0</v>
      </c>
      <c r="GH182" s="15">
        <f>IF(ISNA(VLOOKUP(A182,'Données projet'!$A$253:$I$273,4,0)),0,VLOOKUP(A182,'Données projet'!$A$253:$I$273,4,0))</f>
        <v>0</v>
      </c>
      <c r="GI182" s="16">
        <f>IF(ISNA(VLOOKUP(A182,'Données projet'!$A$253:$I$273,5,0)),0%,VLOOKUP(A182,'Données projet'!$A$253:$I$273,5,0)*VLOOKUP('Données projet'!$B$17,Paramètres!$A$1:$I$89,7,0))</f>
        <v>0</v>
      </c>
      <c r="GJ182" s="16">
        <f>IF(ISNA(VLOOKUP(A182,'Données projet'!$A$253:$I$273,6,0)),0%,VLOOKUP(A182,'Données projet'!$A$253:$I$273,6,0)*VLOOKUP('Données projet'!$B$17,Paramètres!$A$1:$I$89,7,0))</f>
        <v>0</v>
      </c>
      <c r="GK182" s="16">
        <f>IF(ISNA(VLOOKUP(A182,'Données projet'!$A$253:$I$273,7,0)),0%,VLOOKUP(A182,'Données projet'!$A$253:$I$273,7,0))</f>
        <v>0</v>
      </c>
      <c r="GL182" s="21">
        <f>EXP(-LN(2)/35)*GL181+(1-EXP(-LN(2)/35))/(LN(2)/35)*GH182*GI182*VLOOKUP('Données projet'!$B$17,Paramètres!$A$1:$I$89,3,0)*0.475*44/12</f>
        <v>17.34593753114088</v>
      </c>
      <c r="GM182" s="21">
        <f>EXP(-LN(2)/25)*GM181+(1-EXP(-LN(2)/25))/(LN(2)/25)*Calculateur!GH182*Calculateur!GJ182*VLOOKUP('Données projet'!$B$17,Paramètres!$A$1:$I$89,3,0)*0.475*44/12</f>
        <v>1.3993341492134139</v>
      </c>
      <c r="GN182" s="21">
        <f>EXP(-LN(2)/2)*GN181+(1-EXP(-LN(2)/2))/(LN(2)/2)*GH182*GK182*VLOOKUP('Données projet'!$B$17,Paramètres!$A$1:$I$89,3,0)*0.475*44/12</f>
        <v>0</v>
      </c>
      <c r="GO182" s="21">
        <f t="shared" si="352"/>
        <v>18.745271680354293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projet'!$A$279:$I$299,2,0)</f>
        <v>#N/A</v>
      </c>
      <c r="GS182" s="12" t="e">
        <f>VLOOKUP(A182,'Données projet'!$A$279:$I$299,9,0)</f>
        <v>#N/A</v>
      </c>
      <c r="GT182" s="12">
        <f t="array" ref="GT182">INDEX(GS:GS,MIN(IF(ISNUMBER(GS182:GS378),ROW(GS182:GS378),"")))</f>
        <v>0</v>
      </c>
      <c r="GU182" s="12">
        <f>IF('Données projet'!$A$280&gt;35,GU181+GT182-HC181,IF(A182&lt;'Données projet'!$A$280,$GR$205^A182,IF(A182='Données projet'!$A$280,'Données projet'!$B$280,GU181+GT182-HC181)))</f>
        <v>-1.1368683772161603E-13</v>
      </c>
      <c r="GV182" s="17">
        <f>GU182*VLOOKUP('Données projet'!$B$18,Paramètres!$A$1:$I$89,3,0)*VLOOKUP('Données projet'!$B$18,Paramètres!$A$1:$I$89,5,0)</f>
        <v>-4.5815795601811263E-14</v>
      </c>
      <c r="GW182" s="13" t="e">
        <f t="shared" si="353"/>
        <v>#NUM!</v>
      </c>
      <c r="GX182" s="20" t="e">
        <f t="shared" si="354"/>
        <v>#NUM!</v>
      </c>
      <c r="GY182" s="59" t="e">
        <f t="shared" si="252"/>
        <v>#NUM!</v>
      </c>
      <c r="GZ182" s="59">
        <f ca="1">AVERAGE(OFFSET($GY$3,0,0,'Données projet'!$E$18+1,1))-AVERAGE(OFFSET($H$3,0,0,'Données projet'!$E$18+1,1))</f>
        <v>324.36162935850876</v>
      </c>
      <c r="HA182" s="59">
        <f t="shared" si="305"/>
        <v>265.23571072429735</v>
      </c>
      <c r="HB182" s="15">
        <f>IF(ISNA(VLOOKUP(A182,'Données projet'!$A$279:$I$299,3,0)),0,VLOOKUP(A182,'Données projet'!$A$279:$I$299,3,0))</f>
        <v>0</v>
      </c>
      <c r="HC182" s="15">
        <f>IF(ISNA(VLOOKUP(A182,'Données projet'!$A$279:$I$299,4,0)),0,VLOOKUP(A182,'Données projet'!$A$279:$I$299,4,0))</f>
        <v>0</v>
      </c>
      <c r="HD182" s="16">
        <f>IF(ISNA(VLOOKUP(A182,'Données projet'!$A$279:$I$299,5,0)),0%,VLOOKUP(A182,'Données projet'!$A$279:$I$299,5,0)*VLOOKUP('Données projet'!$B$18,Paramètres!$A$1:$I$89,7,0))</f>
        <v>0</v>
      </c>
      <c r="HE182" s="16">
        <f>IF(ISNA(VLOOKUP(A182,'Données projet'!$A$279:$I$299,6,0)),0%,VLOOKUP(A182,'Données projet'!$A$279:$I$299,6,0)*VLOOKUP('Données projet'!$B$18,Paramètres!$A$1:$I$89,7,0))</f>
        <v>0</v>
      </c>
      <c r="HF182" s="16">
        <f>IF(ISNA(VLOOKUP($A182,'Données projet'!$A$279:$I$299,7,0)),0%,VLOOKUP($A182,'Données projet'!$A$279:$I$299,7,0))</f>
        <v>0</v>
      </c>
      <c r="HG182" s="21">
        <f>EXP(-LN(2)/35)*HG181+(1-EXP(-LN(2)/35))/(LN(2)/35)*HC182*HD182*VLOOKUP('Données projet'!$B$18,Paramètres!$A$1:$I$89,3,0)*0.475*44/12</f>
        <v>33.239350864016409</v>
      </c>
      <c r="HH182" s="21">
        <f>EXP(-LN(2)/25)*HH181+(1-EXP(-LN(2)/25))/(LN(2)/25)*Calculateur!HC182*Calculateur!HE182*VLOOKUP('Données projet'!$B$18,Paramètres!$A$1:$I$89,3,0)*0.475*44/12</f>
        <v>1.5563098673035942</v>
      </c>
      <c r="HI182" s="21">
        <f>EXP(-LN(2)/2)*HI181+(1-EXP(-LN(2)/2))/(LN(2)/2)*HC182*HF182*VLOOKUP('Données projet'!$B$18,Paramètres!$A$1:$I$89,3,0)*0.475*44/12</f>
        <v>1.0735927605988932E-14</v>
      </c>
      <c r="HJ182" s="22">
        <f t="shared" si="355"/>
        <v>34.795660731320019</v>
      </c>
      <c r="HK182" s="74">
        <f>('Scénario référence'!$F$8+'Scénario référence'!$F$9+'Scénario référence'!$B$17+'Scénario référence'!$B$9+'Scénario référence'!$B$10)*70+IF((45+25*(1-EXP(-0.0175*$A182)))&lt;70,'Scénario référence'!$B$16*(45+25*(1-EXP(-0.0175*$A182))),70*'Scénario référence'!$B$16)+IF((32+38*(1-EXP(-0.0175*$A182)))&lt;70,'Scénario référence'!$B$18*(32+38*(1-EXP(-0.0175*$A182))),70*'Scénario référence'!$B$18)</f>
        <v>70</v>
      </c>
      <c r="HL182" s="12">
        <f>IF($A182&gt;30,10,('Scénario référence'!$B$16+'Scénario référence'!$B$17+'Scénario référence'!$B$18+'Scénario référence'!$B$9+'Scénario référence'!$B$10)*$A182*10/30+('Scénario référence'!$F$8+'Scénario référence'!$F$9)*10)</f>
        <v>10</v>
      </c>
      <c r="HM182" s="12" t="e">
        <f>VLOOKUP($A182,'Données projet'!$A$304:$I$324,2,0)</f>
        <v>#N/A</v>
      </c>
      <c r="HN182" s="12" t="e">
        <f>VLOOKUP($A182,'Données projet'!$A$304:$I$324,9,0)</f>
        <v>#N/A</v>
      </c>
      <c r="HO182" s="12">
        <f t="array" ref="HO182">INDEX(HN:HN,MIN(IF(ISNUMBER(HN182:HN378),ROW(HN182:HN378),"")))</f>
        <v>0</v>
      </c>
      <c r="HP182" s="12">
        <f>IF('Données projet'!$A$304&gt;35,HP181+HO182-HX181,IF($A182&lt;'Données projet'!$A$304,$CQ$205^$A182,IF($A182='Données projet'!$A$304,'Données projet'!$B$304,HP181+HO182-HX181)))</f>
        <v>0</v>
      </c>
      <c r="HQ182" s="17">
        <f>HP182*VLOOKUP('Données projet'!$B$19,Paramètres!$A$1:$I$89,3,0)*VLOOKUP('Données projet'!$B$19,Paramètres!$A$1:$I$89,5,0)</f>
        <v>0</v>
      </c>
      <c r="HR182" s="13" t="e">
        <f t="shared" si="306"/>
        <v>#NUM!</v>
      </c>
      <c r="HS182" s="14" t="e">
        <f t="shared" si="254"/>
        <v>#NUM!</v>
      </c>
      <c r="HT182" s="59" t="e">
        <f t="shared" si="255"/>
        <v>#NUM!</v>
      </c>
      <c r="HU182" s="59">
        <f ca="1">AVERAGE(OFFSET(HT$3,0,0,'Données projet'!$E$19+1,1))-AVERAGE(OFFSET($H$3,0,0,'Données projet'!$E$19+1,1))</f>
        <v>91.60721429656013</v>
      </c>
      <c r="HV182" s="59">
        <f t="shared" si="307"/>
        <v>258.94957804210856</v>
      </c>
      <c r="HW182" s="15">
        <f>IF(ISNA(VLOOKUP($A182,'Données projet'!$A$304:$I$324,3,0)),0,VLOOKUP($A182,'Données projet'!$A$304:$I$324,3,0))</f>
        <v>0</v>
      </c>
      <c r="HX182" s="15">
        <f>IF(ISNA(VLOOKUP($A182,'Données projet'!$A$304:$I$324,4,0)),0,VLOOKUP($A182,'Données projet'!$A$304:$I$324,4,0))</f>
        <v>0</v>
      </c>
      <c r="HY182" s="16">
        <f>IF(ISNA(VLOOKUP($A182,'Données projet'!$A$304:$I$324,5,0)),0%,VLOOKUP($A182,'Données projet'!$A$304:$I$324,5,0)*VLOOKUP('Données projet'!$B$19,Paramètres!$A$1:$I$89,7,0))</f>
        <v>0</v>
      </c>
      <c r="HZ182" s="16">
        <f>IF(ISNA(VLOOKUP($A182,'Données projet'!$A$304:$I$324,6,0)),0%,VLOOKUP($A182,'Données projet'!$A$304:$I$324,6,0)*VLOOKUP('Données projet'!$B$19,Paramètres!$A$1:$I$89,7,0))</f>
        <v>0</v>
      </c>
      <c r="IA182" s="16">
        <f>IF(ISNA(VLOOKUP($A182,'Données projet'!$A$304:$I$324,7,0)),0%,VLOOKUP($A182,'Données projet'!$A$304:$I$324,7,0))</f>
        <v>0</v>
      </c>
      <c r="IB182" s="21">
        <f>EXP(-LN(2)/35)*IB181+(1-EXP(-LN(2)/35))/(LN(2)/35)*HX182*HY182*VLOOKUP('Données projet'!$B$19,Paramètres!$A$1:$I$89,3,0)*0.475*44/12</f>
        <v>2.5799258908652463</v>
      </c>
      <c r="IC182" s="21">
        <f>EXP(-LN(2)/25)*IC181+(1-EXP(-LN(2)/25))/(LN(2)/25)*Calculateur!HX182*Calculateur!HZ182*VLOOKUP('Données projet'!$B$19,Paramètres!$A$1:$I$89,3,0)*0.475*44/12</f>
        <v>0.15626891090110159</v>
      </c>
      <c r="ID182" s="21">
        <f>EXP(-LN(2)/2)*ID181+(1-EXP(-LN(2)/2))/(LN(2)/2)*HX182*IA182*VLOOKUP('Données projet'!$B$19,Paramètres!$A$1:$I$89,3,0)*0.475*44/12</f>
        <v>2.1444108357638982E-23</v>
      </c>
      <c r="IE182" s="22">
        <f t="shared" si="256"/>
        <v>2.7361948017663478</v>
      </c>
      <c r="IF182" s="74">
        <f>('Scénario référence'!$F$8+'Scénario référence'!$F$9+'Scénario référence'!$B$17+'Scénario référence'!$B$9+'Scénario référence'!$B$10)*70+IF((45+25*(1-EXP(-0.0175*$A182)))&lt;70,'Scénario référence'!$B$16*(45+25*(1-EXP(-0.0175*$A182))),70*'Scénario référence'!$B$16)+IF((32+38*(1-EXP(-0.0175*$A182)))&lt;70,'Scénario référence'!$B$18*(32+38*(1-EXP(-0.0175*$A182))),70*'Scénario référence'!$B$18)</f>
        <v>70</v>
      </c>
      <c r="IG182" s="12">
        <f>IF($A182&gt;30,10,('Scénario référence'!$B$16+'Scénario référence'!$B$17+'Scénario référence'!$B$18+'Scénario référence'!$B$9+'Scénario référence'!$B$10)*$A182*10/30+('Scénario référence'!$F$8+'Scénario référence'!$F$9)*10)</f>
        <v>10</v>
      </c>
      <c r="IH182" s="12" t="e">
        <f>VLOOKUP($A182,'Données projet'!$A$330:$I$350,2,0)</f>
        <v>#N/A</v>
      </c>
      <c r="II182" s="12" t="e">
        <f>VLOOKUP($A182,'Données projet'!$A$330:$I$350,9,0)</f>
        <v>#N/A</v>
      </c>
      <c r="IJ182" s="12">
        <f t="array" ref="IJ182">INDEX(II:II,MIN(IF(ISNUMBER(II182:II378),ROW(II182:II378),"")))</f>
        <v>0</v>
      </c>
      <c r="IK182" s="12">
        <f>IF('Données projet'!$A$330&gt;35,IK181+IJ182-IS181,IF($A182&lt;'Données projet'!$A$330,$CQ$205^$A182,IF($A182='Données projet'!$A$330,'Données projet'!$B$330,IK181+IJ182-IS181)))</f>
        <v>0</v>
      </c>
      <c r="IL182" s="17">
        <f>IK182*VLOOKUP('Données projet'!$B$20,Paramètres!$A$1:$I$89,3,0)*VLOOKUP('Données projet'!$B$20,Paramètres!$A$1:$I$89,5,0)</f>
        <v>0</v>
      </c>
      <c r="IM182" s="13" t="e">
        <f t="shared" si="308"/>
        <v>#NUM!</v>
      </c>
      <c r="IN182" s="20" t="e">
        <f t="shared" si="257"/>
        <v>#NUM!</v>
      </c>
      <c r="IO182" s="59" t="e">
        <f t="shared" si="258"/>
        <v>#NUM!</v>
      </c>
      <c r="IP182" s="59">
        <f ca="1">AVERAGE(OFFSET(IO$3,0,0,'Données projet'!$E$20+1,1))-AVERAGE(OFFSET($H$3,0,0,'Données projet'!$E$20+1,1))</f>
        <v>91.60721429656013</v>
      </c>
      <c r="IQ182" s="59">
        <f t="shared" si="309"/>
        <v>258.94957804210856</v>
      </c>
      <c r="IR182" s="15">
        <f>IF(ISNA(VLOOKUP($A182,'Données projet'!$A$330:$I$350,3,0)),0,VLOOKUP($A182,'Données projet'!$A$330:$I$350,3,0))</f>
        <v>0</v>
      </c>
      <c r="IS182" s="15">
        <f>IF(ISNA(VLOOKUP($A182,'Données projet'!$A$330:$I$350,4,0)),0,VLOOKUP($A182,'Données projet'!$A$330:$I$350,4,0))</f>
        <v>0</v>
      </c>
      <c r="IT182" s="16">
        <f>IF(ISNA(VLOOKUP($A182,'Données projet'!$A$330:$I$350,5,0)),0%,VLOOKUP($A182,'Données projet'!$A$330:$I$350,5,0)*VLOOKUP('Données projet'!$B$20,Paramètres!$A$1:$I$89,7,0))</f>
        <v>0</v>
      </c>
      <c r="IU182" s="16">
        <f>IF(ISNA(VLOOKUP($A182,'Données projet'!$A$330:$I$350,6,0)),0%,VLOOKUP($A182,'Données projet'!$A$330:$I$350,6,0)*VLOOKUP('Données projet'!$B$20,Paramètres!$A$1:$I$89,7,0))</f>
        <v>0</v>
      </c>
      <c r="IV182" s="16">
        <f>IF(ISNA(VLOOKUP($A182,'Données projet'!$A$330:$I$350,7,0)),0%,VLOOKUP($A182,'Données projet'!$A$330:$I$350,7,0))</f>
        <v>0</v>
      </c>
      <c r="IW182" s="21">
        <f>EXP(-LN(2)/35)*IW181+(1-EXP(-LN(2)/35))/(LN(2)/35)*IS182*IT182*VLOOKUP('Données projet'!$B$20,Paramètres!$A$1:$I$89,3,0)*0.475*44/12</f>
        <v>2.5799258908652463</v>
      </c>
      <c r="IX182" s="21">
        <f>EXP(-LN(2)/25)*IX181+(1-EXP(-LN(2)/25))/(LN(2)/25)*Calculateur!IS182*Calculateur!IU182*VLOOKUP('Données projet'!$B$20,Paramètres!$A$1:$I$89,3,0)*0.475*44/12</f>
        <v>0.15626891090110159</v>
      </c>
      <c r="IY182" s="21">
        <f>EXP(-LN(2)/2)*IY181+(1-EXP(-LN(2)/2))/(LN(2)/2)*IS182*IV182*VLOOKUP('Données projet'!$B$20,Paramètres!$A$1:$I$89,3,0)*0.475*44/12</f>
        <v>2.1444108357638982E-23</v>
      </c>
      <c r="IZ182" s="22">
        <f t="shared" si="259"/>
        <v>2.7361948017663478</v>
      </c>
      <c r="JA182" s="74">
        <f>('Scénario référence'!$F$8+'Scénario référence'!$F$9+'Scénario référence'!$B$17+'Scénario référence'!$B$9+'Scénario référence'!$B$10)*70+IF((45+25*(1-EXP(-0.0175*$A182)))&lt;70,'Scénario référence'!$B$16*(45+25*(1-EXP(-0.0175*$A182))),70*'Scénario référence'!$B$16)+IF((32+38*(1-EXP(-0.0175*$A182)))&lt;70,'Scénario référence'!$B$18*(32+38*(1-EXP(-0.0175*$A182))),70*'Scénario référence'!$B$18)</f>
        <v>70</v>
      </c>
      <c r="JB182" s="12">
        <f>IF($A182&gt;30,10,('Scénario référence'!$B$16+'Scénario référence'!$B$17+'Scénario référence'!$B$18+'Scénario référence'!$B$9+'Scénario référence'!$B$10)*$A182*10/30+('Scénario référence'!$F$8+'Scénario référence'!$F$9)*10)</f>
        <v>10</v>
      </c>
      <c r="JC182" s="12" t="e">
        <f>VLOOKUP($A182,'Données projet'!$A$356:$I$376,2,0)</f>
        <v>#N/A</v>
      </c>
      <c r="JD182" s="12" t="e">
        <f>VLOOKUP($A182,'Données projet'!$A$356:$I$376,9,0)</f>
        <v>#N/A</v>
      </c>
      <c r="JE182" s="12">
        <f t="array" ref="JE182">INDEX(JD:JD,MIN(IF(ISNUMBER(JD182:JD378),ROW(JD182:JD378),"")))</f>
        <v>0</v>
      </c>
      <c r="JF182" s="12">
        <f>IF('Données projet'!$A$356&gt;35,JF181+JE182-JN181,IF($A182&lt;'Données projet'!$A$356,$CQ$205^$A182,IF($A182='Données projet'!$A$356,'Données projet'!$B$356,JF181+JE182-JN181)))</f>
        <v>-1.3073986337985843E-12</v>
      </c>
      <c r="JG182" s="17">
        <f>JF182*VLOOKUP('Données projet'!$B$21,Paramètres!$A$1:$I$89,3,0)*VLOOKUP('Données projet'!$B$21,Paramètres!$A$1:$I$89,5,0)</f>
        <v>-1.0605617717374117E-12</v>
      </c>
      <c r="JH182" s="13" t="e">
        <f t="shared" si="310"/>
        <v>#NUM!</v>
      </c>
      <c r="JI182" s="20" t="e">
        <f t="shared" si="260"/>
        <v>#NUM!</v>
      </c>
      <c r="JJ182" s="59" t="e">
        <f t="shared" si="261"/>
        <v>#NUM!</v>
      </c>
      <c r="JK182" s="59">
        <f ca="1">AVERAGE(OFFSET($JJ$3,0,0,'Données projet'!$E$22+1,1))-AVERAGE(OFFSET($H$3,0,0,'Données projet'!$E$22+1,1))</f>
        <v>353.35574633294613</v>
      </c>
      <c r="JL182" s="59">
        <f t="shared" si="311"/>
        <v>170.36796666474726</v>
      </c>
      <c r="JM182" s="15">
        <f>IF(ISNA(VLOOKUP($A182,'Données projet'!$A$356:$I$376,3,0)),0,VLOOKUP($A182,'Données projet'!$A$356:$I$376,3,0))</f>
        <v>0</v>
      </c>
      <c r="JN182" s="15">
        <f>IF(ISNA(VLOOKUP($A182,'Données projet'!$A$356:$I$376,4,0)),0,VLOOKUP($A182,'Données projet'!$A$356:$I$376,4,0))</f>
        <v>0</v>
      </c>
      <c r="JO182" s="16">
        <f>IF(ISNA(VLOOKUP($A182,'Données projet'!$A$356:$I$376,5,0)),0%,VLOOKUP($A182,'Données projet'!$A$356:$I$376,5,0)*VLOOKUP('Données projet'!$B$21,Paramètres!$A$1:$I$89,7,0))</f>
        <v>0</v>
      </c>
      <c r="JP182" s="16">
        <f>IF(ISNA(VLOOKUP($A182,'Données projet'!$A$356:$I$376,6,0)),0%,VLOOKUP($A182,'Données projet'!$A$356:$I$376,6,0)*VLOOKUP('Données projet'!$B$21,Paramètres!$A$1:$I$89,7,0))</f>
        <v>0</v>
      </c>
      <c r="JQ182" s="16">
        <f>IF(ISNA(VLOOKUP($A182,'Données projet'!$A$356:$I$376,7,0)),0%,VLOOKUP($A182,'Données projet'!$A$356:$I$376,7,0))</f>
        <v>0</v>
      </c>
      <c r="JR182" s="21">
        <f>EXP(-LN(2)/35)*JR181+(1-EXP(-LN(2)/35))/(LN(2)/35)*JN182*JO182*VLOOKUP('Données projet'!$B$21,Paramètres!$A$1:$I$89,3,0)*0.475*44/12</f>
        <v>41.36005902283469</v>
      </c>
      <c r="JS182" s="21">
        <f>EXP(-LN(2)/25)*JS181+(1-EXP(-LN(2)/25))/(LN(2)/25)*Calculateur!JN182*Calculateur!JP182*VLOOKUP('Données projet'!$B$21,Paramètres!$A$1:$I$89,3,0)*0.475*44/12</f>
        <v>34.202006183734582</v>
      </c>
      <c r="JT182" s="21">
        <f>EXP(-LN(2)/2)*JT181+(1-EXP(-LN(2)/2))/(LN(2)/2)*JN182*JQ182*VLOOKUP('Données projet'!$B$21,Paramètres!$A$1:$I$89,3,0)*0.475*44/12</f>
        <v>1.4799406098839037E-3</v>
      </c>
      <c r="JU182" s="18">
        <f t="shared" si="262"/>
        <v>75.563545147179155</v>
      </c>
      <c r="JV182" s="74">
        <f>('Scénario référence'!$F$8+'Scénario référence'!$F$9+'Scénario référence'!$B$17+'Scénario référence'!$B$9+'Scénario référence'!$B$10)*70+IF((45+25*(1-EXP(-0.0175*$A182)))&lt;70,'Scénario référence'!$B$16*(45+25*(1-EXP(-0.0175*$A182))),70*'Scénario référence'!$B$16)+IF((32+38*(1-EXP(-0.0175*$A182)))&lt;70,'Scénario référence'!$B$18*(32+38*(1-EXP(-0.0175*$A182))),70*'Scénario référence'!$B$18)</f>
        <v>70</v>
      </c>
      <c r="JW182" s="12">
        <f>IF($A182&gt;30,10,('Scénario référence'!$B$16+'Scénario référence'!$B$17+'Scénario référence'!$B$18+'Scénario référence'!$B$9+'Scénario référence'!$B$10)*$A182*10/30+('Scénario référence'!$F$8+'Scénario référence'!$F$9)*10)</f>
        <v>10</v>
      </c>
      <c r="JX182" s="12" t="e">
        <f>VLOOKUP($A182,'Données projet'!$A$382:$I$402,2,0)</f>
        <v>#N/A</v>
      </c>
      <c r="JY182" s="12" t="e">
        <f>VLOOKUP($A182,'Données projet'!$A$382:$I$402,9,0)</f>
        <v>#N/A</v>
      </c>
      <c r="JZ182" s="12">
        <f t="array" ref="JZ182">INDEX(JY:JY,MIN(IF(ISNUMBER(JY182:JY378),ROW(JY182:JY378),"")))</f>
        <v>0</v>
      </c>
      <c r="KA182" s="12">
        <f>IF('Données projet'!$A$382&gt;35,KA181+JZ182-KI181,IF($A182&lt;'Données projet'!$A$382,$CQ$205^$A182,IF($A182='Données projet'!$A$382,'Données projet'!$B$382,KA181+JZ182-KI181)))</f>
        <v>5.6843418860808015E-13</v>
      </c>
      <c r="KB182" s="17">
        <f>KA182*VLOOKUP('Données projet'!$B$22,Paramètres!$A$1:$I$89,3,0)*VLOOKUP('Données projet'!$B$22,Paramètres!$A$1:$I$89,5,0)</f>
        <v>3.8130565371830017E-13</v>
      </c>
      <c r="KC182" s="13">
        <f t="shared" si="312"/>
        <v>4.9019074112354236E-12</v>
      </c>
      <c r="KD182" s="20">
        <f t="shared" si="263"/>
        <v>9.2015960881277352E-12</v>
      </c>
      <c r="KE182" s="59">
        <f t="shared" si="264"/>
        <v>293.33333333334252</v>
      </c>
      <c r="KF182" s="59">
        <f ca="1">AVERAGE(OFFSET($KE$3,0,0,'Données projet'!$E$22+1,1))-AVERAGE(OFFSET($H$3,0,0,'Données projet'!$E$22+1,1))</f>
        <v>193.91714772848269</v>
      </c>
      <c r="KG182" s="59">
        <f t="shared" si="313"/>
        <v>159.20429420478047</v>
      </c>
      <c r="KH182" s="15">
        <f>IF(ISNA(VLOOKUP($A182,'Données projet'!$A$382:$I$402,3,0)),0,VLOOKUP($A182,'Données projet'!$A$382:$I$402,3,0))</f>
        <v>0</v>
      </c>
      <c r="KI182" s="15">
        <f>IF(ISNA(VLOOKUP($A182,'Données projet'!$A$382:$I$402,4,0)),0,VLOOKUP($A182,'Données projet'!$A$382:$I$402,4,0))</f>
        <v>0</v>
      </c>
      <c r="KJ182" s="16">
        <f>IF(ISNA(VLOOKUP($A182,'Données projet'!$A$382:$I$402,5,0)),0%,VLOOKUP($A182,'Données projet'!$A$382:$I$402,5,0)*VLOOKUP('Données projet'!$B$22,Paramètres!$A$1:$I$89,7,0))</f>
        <v>0</v>
      </c>
      <c r="KK182" s="16">
        <f>IF(ISNA(VLOOKUP($A182,'Données projet'!$A$382:$I$402,6,0)),0%,VLOOKUP($A182,'Données projet'!$A$382:$I$402,6,0)*VLOOKUP('Données projet'!$B$22,Paramètres!$A$1:$I$89,7,0))</f>
        <v>0</v>
      </c>
      <c r="KL182" s="16">
        <f>IF(ISNA(VLOOKUP($A182,'Données projet'!$A$382:$I$402,7,0)),0%,VLOOKUP($A182,'Données projet'!$A$382:$I$402,7,0))</f>
        <v>0</v>
      </c>
      <c r="KM182" s="21">
        <f>EXP(-LN(2)/35)*KM181+(1-EXP(-LN(2)/35))/(LN(2)/35)*KI182*KJ182*VLOOKUP('Données projet'!$B$22,Paramètres!$A$1:$I$89,3,0)*0.475*44/12</f>
        <v>60.390251049460481</v>
      </c>
      <c r="KN182" s="21">
        <f>EXP(-LN(2)/25)*KN181+(1-EXP(-LN(2)/25))/(LN(2)/25)*Calculateur!KI182*Calculateur!KK182*VLOOKUP('Données projet'!$B$22,Paramètres!$A$1:$I$89,3,0)*0.475*44/12</f>
        <v>0</v>
      </c>
      <c r="KO182" s="21">
        <f>EXP(-LN(2)/2)*KO181+(1-EXP(-LN(2)/2))/(LN(2)/2)*KI182*KL182*VLOOKUP('Données projet'!$B$22,Paramètres!$A$1:$I$89,3,0)*0.475*44/12</f>
        <v>0</v>
      </c>
      <c r="KP182" s="22">
        <f t="shared" si="265"/>
        <v>60.390251049460481</v>
      </c>
      <c r="KQ182" s="74">
        <f>('Scénario référence'!$F$8+'Scénario référence'!$F$9+'Scénario référence'!$B$17+'Scénario référence'!$B$9+'Scénario référence'!$B$10)*70+IF((45+25*(1-EXP(-0.0175*$A182)))&lt;70,'Scénario référence'!$B$16*(45+25*(1-EXP(-0.0175*$A182))),70*'Scénario référence'!$B$16)+IF((32+38*(1-EXP(-0.0175*$A182)))&lt;70,'Scénario référence'!$B$18*(32+38*(1-EXP(-0.0175*$A182))),70*'Scénario référence'!$B$18)</f>
        <v>70</v>
      </c>
      <c r="KR182" s="12">
        <f>IF($A182&gt;30,10,('Scénario référence'!$B$16+'Scénario référence'!$B$17+'Scénario référence'!$B$18+'Scénario référence'!$B$9+'Scénario référence'!$B$10)*$A182*10/30+('Scénario référence'!$F$8+'Scénario référence'!$F$9)*10)</f>
        <v>10</v>
      </c>
      <c r="KS182" s="12" t="e">
        <f>VLOOKUP($A182,'Données projet'!$A$408:$I$428,2,0)</f>
        <v>#N/A</v>
      </c>
      <c r="KT182" s="12" t="e">
        <f>VLOOKUP($A182,'Données projet'!$A$408:$I$428,9,0)</f>
        <v>#N/A</v>
      </c>
      <c r="KU182" s="12">
        <f t="array" ref="KU182">INDEX(KT:KT,MIN(IF(ISNUMBER(KT182:KT378),ROW(KT182:KT378),"")))</f>
        <v>0</v>
      </c>
      <c r="KV182" s="12">
        <f>IF('Données projet'!$A$408&gt;35,KV181+KU182-LD181,IF($A182&lt;'Données projet'!$A$408,$CQ$205^$A182,IF($A182='Données projet'!$A$408,'Données projet'!$B$408,KV181+KU182-LD181)))</f>
        <v>-1.1368683772161603E-13</v>
      </c>
      <c r="KW182" s="17">
        <f>KV182*VLOOKUP('Données projet'!$B$23,Paramètres!$A$1:$I$89,3,0)*VLOOKUP('Données projet'!$B$23,Paramètres!$A$1:$I$89,5,0)</f>
        <v>-9.9316821433603781E-14</v>
      </c>
      <c r="KX182" s="13" t="e">
        <f t="shared" si="314"/>
        <v>#NUM!</v>
      </c>
      <c r="KY182" s="14" t="e">
        <f t="shared" si="266"/>
        <v>#NUM!</v>
      </c>
      <c r="KZ182" s="59" t="e">
        <f t="shared" si="267"/>
        <v>#NUM!</v>
      </c>
      <c r="LA182" s="59">
        <f ca="1">AVERAGE(OFFSET($KZ$3,0,0,'Données projet'!$E$23+1,1))-AVERAGE(OFFSET($H$3,0,0,'Données projet'!$E$23+1,1))</f>
        <v>248.33596943633819</v>
      </c>
      <c r="LB182" s="59">
        <f t="shared" si="315"/>
        <v>242.34010522344573</v>
      </c>
      <c r="LC182" s="15">
        <f>IF(ISNA(VLOOKUP($A182,'Données projet'!$A$408:$I$428,3,0)),0,VLOOKUP($A182,'Données projet'!$A$408:$I$428,3,0))</f>
        <v>0</v>
      </c>
      <c r="LD182" s="15">
        <f>IF(ISNA(VLOOKUP($A182,'Données projet'!$A$408:$I$428,4,0)),0,VLOOKUP($A182,'Données projet'!$A$408:$I$428,4,0))</f>
        <v>0</v>
      </c>
      <c r="LE182" s="16">
        <f>IF(ISNA(VLOOKUP($A182,'Données projet'!$A$408:$I$428,5,0)),0%,VLOOKUP($A182,'Données projet'!$A$408:$I$428,5,0)*VLOOKUP('Données projet'!$B$23,Paramètres!$A$1:$I$89,7,0))</f>
        <v>0</v>
      </c>
      <c r="LF182" s="16">
        <f>IF(ISNA(VLOOKUP($A182,'Données projet'!$A$408:$I$428,6,0)),0%,VLOOKUP($A182,'Données projet'!$A$408:$I$428,6,0)*VLOOKUP('Données projet'!$B$23,Paramètres!$A$1:$I$89,7,0))</f>
        <v>0</v>
      </c>
      <c r="LG182" s="16">
        <f>IF(ISNA(VLOOKUP($A182,'Données projet'!$A$408:$I$428,7,0)),0%,VLOOKUP($A182,'Données projet'!$A$408:$I$428,7,0))</f>
        <v>0</v>
      </c>
      <c r="LH182" s="21">
        <f>EXP(-LN(2)/35)*LH181+(1-EXP(-LN(2)/35))/(LN(2)/35)*LD182*LE182*VLOOKUP('Données projet'!$B$23,Paramètres!$A$1:$I$89,3,0)*0.475*44/12</f>
        <v>17.34593753114088</v>
      </c>
      <c r="LI182" s="21">
        <f>EXP(-LN(2)/25)*LI181+(1-EXP(-LN(2)/25))/(LN(2)/25)*Calculateur!LD182*Calculateur!LF182*VLOOKUP('Données projet'!$B$23,Paramètres!$A$1:$I$89,3,0)*0.475*44/12</f>
        <v>1.3993341492134139</v>
      </c>
      <c r="LJ182" s="21">
        <f>EXP(-LN(2)/2)*LJ181+(1-EXP(-LN(2)/2))/(LN(2)/2)*LD182*LG182*VLOOKUP('Données projet'!$B$23,Paramètres!$A$1:$I$89,3,0)*0.475*44/12</f>
        <v>0</v>
      </c>
      <c r="LK182" s="22">
        <f t="shared" si="268"/>
        <v>18.745271680354293</v>
      </c>
      <c r="LL182" s="74">
        <f>('Scénario référence'!$F$8+'Scénario référence'!$F$9+'Scénario référence'!$B$17+'Scénario référence'!$B$9+'Scénario référence'!$B$10)*70+IF((45+25*(1-EXP(-0.0175*$A182)))&lt;70,'Scénario référence'!$B$16*(45+25*(1-EXP(-0.0175*$A182))),70*'Scénario référence'!$B$16)+IF((32+38*(1-EXP(-0.0175*$A182)))&lt;70,'Scénario référence'!$B$18*(32+38*(1-EXP(-0.0175*$A182))),70*'Scénario référence'!$B$18)</f>
        <v>70</v>
      </c>
      <c r="LM182" s="12">
        <f>IF($A182&gt;30,10,('Scénario référence'!$B$16+'Scénario référence'!$B$17+'Scénario référence'!$B$18+'Scénario référence'!$B$9+'Scénario référence'!$B$10)*$A182*10/30+('Scénario référence'!$F$8+'Scénario référence'!$F$9)*10)</f>
        <v>10</v>
      </c>
      <c r="LN182" s="12" t="e">
        <f>VLOOKUP($A182,'Données projet'!$A$434:$I$454,2,0)</f>
        <v>#N/A</v>
      </c>
      <c r="LO182" s="12" t="e">
        <f>VLOOKUP($A182,'Données projet'!$A$434:$I$454,9,0)</f>
        <v>#N/A</v>
      </c>
      <c r="LP182" s="12">
        <f t="array" ref="LP182">INDEX(LO:LO,MIN(IF(ISNUMBER(LO182:LO378),ROW(LO182:LO378),"")))</f>
        <v>0</v>
      </c>
      <c r="LQ182" s="12">
        <f>IF('Données projet'!$A$434&gt;35,LQ181+LP182-LY181,IF($A182&lt;'Données projet'!$A$434,$CQ$205^$A182,IF($A182='Données projet'!$A$434,'Données projet'!$B$434,LQ181+LP182-LY181)))</f>
        <v>-4.5474735088646412E-13</v>
      </c>
      <c r="LR182" s="17">
        <f>LQ182*VLOOKUP('Données projet'!$B$24,Paramètres!$A$1:$I$89,3,0)*VLOOKUP('Données projet'!$B$24,Paramètres!$A$1:$I$89,5,0)</f>
        <v>-4.6111381379887462E-13</v>
      </c>
      <c r="LS182" s="13" t="e">
        <f t="shared" si="316"/>
        <v>#NUM!</v>
      </c>
      <c r="LT182" s="14" t="e">
        <f t="shared" si="269"/>
        <v>#NUM!</v>
      </c>
      <c r="LU182" s="59" t="e">
        <f t="shared" si="270"/>
        <v>#NUM!</v>
      </c>
      <c r="LV182" s="59">
        <f ca="1">AVERAGE(OFFSET($LU$3,0,0,'Données projet'!$E$24+1,1))-AVERAGE(OFFSET($H$3,0,0,'Données projet'!$E$24+1,1))</f>
        <v>260.52627655062872</v>
      </c>
      <c r="LW182" s="59">
        <f t="shared" si="317"/>
        <v>159.20429420478047</v>
      </c>
      <c r="LX182" s="15">
        <f>IF(ISNA(VLOOKUP($A182,'Données projet'!$A$434:$I$454,3,0)),0,VLOOKUP($A182,'Données projet'!$A$434:$I$454,3,0))</f>
        <v>0</v>
      </c>
      <c r="LY182" s="15">
        <f>IF(ISNA(VLOOKUP($A182,'Données projet'!$A$434:$I$454,4,0)),0,VLOOKUP($A182,'Données projet'!$A$434:$I$454,4,0))</f>
        <v>0</v>
      </c>
      <c r="LZ182" s="16">
        <f>IF(ISNA(VLOOKUP($A182,'Données projet'!$A$434:$I$454,5,0)),0%,VLOOKUP($A182,'Données projet'!$A$434:$I$454,5,0)*VLOOKUP('Données projet'!$B$24,Paramètres!$A$1:$I$89,7,0))</f>
        <v>0</v>
      </c>
      <c r="MA182" s="16">
        <f>IF(ISNA(VLOOKUP($A182,'Données projet'!$A$434:$I$454,6,0)),0%,VLOOKUP($A182,'Données projet'!$A$434:$I$454,6,0)*VLOOKUP('Données projet'!$B$24,Paramètres!$A$1:$I$89,7,0))</f>
        <v>0</v>
      </c>
      <c r="MB182" s="16">
        <f>IF(ISNA(VLOOKUP($A182,'Données projet'!$A$434:$I$454,7,0)),0%,VLOOKUP($A182,'Données projet'!$A$434:$I$454,7,0))</f>
        <v>0</v>
      </c>
      <c r="MC182" s="21">
        <f>EXP(-LN(2)/35)*MC181+(1-EXP(-LN(2)/35))/(LN(2)/35)*LY182*LZ182*VLOOKUP('Données projet'!$B$24,Paramètres!$A$1:$I$89,3,0)*0.475*44/12</f>
        <v>111.52848663564707</v>
      </c>
      <c r="MD182" s="21">
        <f>EXP(-LN(2)/25)*MD181+(1-EXP(-LN(2)/25))/(LN(2)/25)*Calculateur!LY182*Calculateur!MA182*VLOOKUP('Données projet'!$B$24,Paramètres!$A$1:$I$89,3,0)*0.475*44/12</f>
        <v>0</v>
      </c>
      <c r="ME182" s="21">
        <f>EXP(-LN(2)/2)*ME181+(1-EXP(-LN(2)/2))/(LN(2)/2)*LY182*MB182*VLOOKUP('Données projet'!$B$24,Paramètres!$A$1:$I$89,3,0)*0.475*44/12</f>
        <v>0</v>
      </c>
      <c r="MF182" s="22">
        <f t="shared" si="271"/>
        <v>111.52848663564707</v>
      </c>
      <c r="MG182" s="74">
        <f>('Scénario référence'!$F$8+'Scénario référence'!$F$9+'Scénario référence'!$B$17+'Scénario référence'!$B$9+'Scénario référence'!$B$10)*70+IF((45+25*(1-EXP(-0.0175*$A182)))&lt;70,'Scénario référence'!$B$16*(45+25*(1-EXP(-0.0175*$A182))),70*'Scénario référence'!$B$16)+IF((32+38*(1-EXP(-0.0175*$A182)))&lt;70,'Scénario référence'!$B$18*(32+38*(1-EXP(-0.0175*$A182))),70*'Scénario référence'!$B$18)</f>
        <v>70</v>
      </c>
      <c r="MH182" s="12">
        <f>IF($A182&gt;30,10,('Scénario référence'!$B$16+'Scénario référence'!$B$17+'Scénario référence'!$B$18+'Scénario référence'!$B$9+'Scénario référence'!$B$10)*$A182*10/30+('Scénario référence'!$F$8+'Scénario référence'!$F$9)*10)</f>
        <v>10</v>
      </c>
      <c r="MI182" s="12" t="e">
        <f>VLOOKUP($A182,'Données projet'!$A$460:$I$480,2,0)</f>
        <v>#N/A</v>
      </c>
      <c r="MJ182" s="12" t="e">
        <f>VLOOKUP($A182,'Données projet'!$A$460:$I$480,9,0)</f>
        <v>#N/A</v>
      </c>
      <c r="MK182" s="12">
        <f t="array" ref="MK182">INDEX(MJ:MJ,MIN(IF(ISNUMBER(MJ182:MJ378),ROW(MJ182:MJ378),"")))</f>
        <v>0</v>
      </c>
      <c r="ML182" s="12">
        <f>IF('Données projet'!$A$460&gt;35,ML181+MK182-MT181,IF($A182&lt;'Données projet'!$A$460,$CQ$205^$A182,IF($A182='Données projet'!$A$460,'Données projet'!$B$460,ML181+MK182-MT181)))</f>
        <v>0</v>
      </c>
      <c r="MM182" s="17" t="e">
        <f>ML182*VLOOKUP('Données projet'!$B$25,Paramètres!$A$1:$I$89,3,0)*VLOOKUP('Données projet'!$B$25,Paramètres!$A$1:$I$89,5,0)</f>
        <v>#N/A</v>
      </c>
      <c r="MN182" s="13" t="e">
        <f t="shared" si="318"/>
        <v>#N/A</v>
      </c>
      <c r="MO182" s="14" t="e">
        <f t="shared" si="272"/>
        <v>#N/A</v>
      </c>
      <c r="MP182" s="59" t="e">
        <f t="shared" si="273"/>
        <v>#N/A</v>
      </c>
      <c r="MQ182" s="20" t="e">
        <f ca="1">AVERAGE(OFFSET($MP$3,0,0,'Données projet'!$E$25+1,1))-AVERAGE(OFFSET($H$3,0,0,'Données projet'!$E$25+1,1))</f>
        <v>#N/A</v>
      </c>
      <c r="MR182" s="59" t="e">
        <f t="shared" si="319"/>
        <v>#N/A</v>
      </c>
      <c r="MS182" s="15">
        <f>IF(ISNA(VLOOKUP($A182,'Données projet'!$A$460:$I$480,3,0)),0,VLOOKUP($A182,'Données projet'!$A$460:$I$480,3,0))</f>
        <v>0</v>
      </c>
      <c r="MT182" s="15">
        <f>IF(ISNA(VLOOKUP($A182,'Données projet'!$A$460:$I$480,4,0)),0,VLOOKUP($A182,'Données projet'!$A$460:$I$480,4,0))</f>
        <v>0</v>
      </c>
      <c r="MU182" s="16">
        <f>IF(ISNA(VLOOKUP($A182,'Données projet'!$A$460:$I$480,5,0)),0%,VLOOKUP($A182,'Données projet'!$A$460:$I$480,5,0)*VLOOKUP('Données projet'!$B$25,Paramètres!$A$1:$I$89,7,0))</f>
        <v>0</v>
      </c>
      <c r="MV182" s="16">
        <f>IF(ISNA(VLOOKUP($A182,'Données projet'!$A$460:$I$480,6,0)),0%,VLOOKUP($A182,'Données projet'!$A$460:$I$480,6,0)*VLOOKUP('Données projet'!$B$25,Paramètres!$A$1:$I$89,7,0))</f>
        <v>0</v>
      </c>
      <c r="MW182" s="16">
        <f>IF(ISNA(VLOOKUP($A182,'Données projet'!$A$460:$I$480,7,0)),0%,VLOOKUP($A182,'Données projet'!$A$460:$I$480,7,0))</f>
        <v>0</v>
      </c>
      <c r="MX182" s="21" t="e">
        <f>EXP(-LN(2)/35)*MX181+(1-EXP(-LN(2)/35))/(LN(2)/35)*MT182*MU182*VLOOKUP('Données projet'!$B$25,Paramètres!$A$1:$I$89,3,0)*0.475*44/12</f>
        <v>#N/A</v>
      </c>
      <c r="MY182" s="21" t="e">
        <f>EXP(-LN(2)/25)*MY181+(1-EXP(-LN(2)/25))/(LN(2)/25)*Calculateur!MT182*Calculateur!MV182*VLOOKUP('Données projet'!$B$25,Paramètres!$A$1:$I$89,3,0)*0.475*44/12</f>
        <v>#N/A</v>
      </c>
      <c r="MZ182" s="21" t="e">
        <f>EXP(-LN(2)/2)*MZ181+(1-EXP(-LN(2)/2))/(LN(2)/2)*MT182*MW182*VLOOKUP('Données projet'!$B$25,Paramètres!$A$1:$I$89,3,0)*0.475*44/12</f>
        <v>#N/A</v>
      </c>
      <c r="NA182" s="22" t="e">
        <f t="shared" si="274"/>
        <v>#N/A</v>
      </c>
      <c r="NB182" s="74">
        <f>('Scénario référence'!$F$8+'Scénario référence'!$F$9+'Scénario référence'!$B$17+'Scénario référence'!$B$9+'Scénario référence'!$B$10)*70+IF((45+25*(1-EXP(-0.0175*$A182)))&lt;70,'Scénario référence'!$B$16*(45+25*(1-EXP(-0.0175*$A182))),70*'Scénario référence'!$B$16)+IF((32+38*(1-EXP(-0.0175*$A182)))&lt;70,'Scénario référence'!$B$18*(32+38*(1-EXP(-0.0175*$A182))),70*'Scénario référence'!$B$18)</f>
        <v>70</v>
      </c>
      <c r="NC182" s="12">
        <f>IF($A182&gt;30,10,('Scénario référence'!$B$16+'Scénario référence'!$B$17+'Scénario référence'!$B$18+'Scénario référence'!$B$9+'Scénario référence'!$B$10)*$A182*10/30+('Scénario référence'!$F$8+'Scénario référence'!$F$9)*10)</f>
        <v>10</v>
      </c>
      <c r="ND182" s="12" t="e">
        <f>VLOOKUP($A182,'Données projet'!$A$486:$I$506,2,0)</f>
        <v>#N/A</v>
      </c>
      <c r="NE182" s="12" t="e">
        <f>VLOOKUP($A182,'Données projet'!$A$486:$I$506,9,0)</f>
        <v>#N/A</v>
      </c>
      <c r="NF182" s="12">
        <f t="array" ref="NF182">INDEX(NE:NE,MIN(IF(ISNUMBER(NE182:NE378),ROW(NE182:NE378),"")))</f>
        <v>0</v>
      </c>
      <c r="NG182" s="12">
        <f>IF('Données projet'!$A$486&gt;35,NG181+NF182-NO181,IF($A182&lt;'Données projet'!$A$486,$CQ$205^$A182,IF($A182='Données projet'!$A$486,'Données projet'!$B$486,NG181+NF182-NO181)))</f>
        <v>0</v>
      </c>
      <c r="NH182" s="17" t="e">
        <f>NG182*VLOOKUP('Données projet'!$B$26,Paramètres!$A$1:$I$89,3,0)*VLOOKUP('Données projet'!$B$26,Paramètres!$A$1:$I$89,5,0)</f>
        <v>#N/A</v>
      </c>
      <c r="NI182" s="13" t="e">
        <f t="shared" si="320"/>
        <v>#N/A</v>
      </c>
      <c r="NJ182" s="14" t="e">
        <f t="shared" si="275"/>
        <v>#N/A</v>
      </c>
      <c r="NK182" s="59" t="e">
        <f t="shared" si="276"/>
        <v>#N/A</v>
      </c>
      <c r="NL182" s="20" t="e">
        <f ca="1">AVERAGE(OFFSET($NK$3,0,0,'Données projet'!$E$26+1,1))-AVERAGE(OFFSET($H$3,0,0,'Données projet'!$E$26+1,1))</f>
        <v>#N/A</v>
      </c>
      <c r="NM182" s="59" t="e">
        <f t="shared" si="321"/>
        <v>#N/A</v>
      </c>
      <c r="NN182" s="15">
        <f>IF(ISNA(VLOOKUP($A182,'Données projet'!$A$486:$I$506,3,0)),0,VLOOKUP($A182,'Données projet'!$A$486:$I$506,3,0))</f>
        <v>0</v>
      </c>
      <c r="NO182" s="15">
        <f>IF(ISNA(VLOOKUP($A182,'Données projet'!$A$486:$I$506,4,0)),0,VLOOKUP($A182,'Données projet'!$A$486:$I$506,4,0))</f>
        <v>0</v>
      </c>
      <c r="NP182" s="16">
        <f>IF(ISNA(VLOOKUP($A182,'Données projet'!$A$486:$I$506,5,0)),0%,VLOOKUP($A182,'Données projet'!$A$486:$I$506,5,0)*VLOOKUP('Données projet'!$B$26,Paramètres!$A$1:$I$89,7,0))</f>
        <v>0</v>
      </c>
      <c r="NQ182" s="16">
        <f>IF(ISNA(VLOOKUP($A182,'Données projet'!$A$486:$I$506,6,0)),0%,VLOOKUP($A182,'Données projet'!$A$486:$I$506,6,0)*VLOOKUP('Données projet'!$B$26,Paramètres!$A$1:$I$89,7,0))</f>
        <v>0</v>
      </c>
      <c r="NR182" s="16">
        <f>IF(ISNA(VLOOKUP($A182,'Données projet'!$A$486:$I$506,7,0)),0%,VLOOKUP($A182,'Données projet'!$A$486:$I$506,7,0))</f>
        <v>0</v>
      </c>
      <c r="NS182" s="21" t="e">
        <f>EXP(-LN(2)/35)*NS181+(1-EXP(-LN(2)/35))/(LN(2)/35)*NO182*NP182*VLOOKUP('Données projet'!$B$26,Paramètres!$A$1:$I$89,3,0)*0.475*44/12</f>
        <v>#N/A</v>
      </c>
      <c r="NT182" s="21" t="e">
        <f>EXP(-LN(2)/25)*NT181+(1-EXP(-LN(2)/25))/(LN(2)/25)*Calculateur!NO182*Calculateur!NQ182*VLOOKUP('Données projet'!$B$26,Paramètres!$A$1:$I$89,3,0)*0.475*44/12</f>
        <v>#N/A</v>
      </c>
      <c r="NU182" s="21" t="e">
        <f>EXP(-LN(2)/2)*NU181+(1-EXP(-LN(2)/2))/(LN(2)/2)*NO182*NR182*VLOOKUP('Données projet'!$B$26,Paramètres!$A$1:$I$89,3,0)*0.475*44/12</f>
        <v>#N/A</v>
      </c>
      <c r="NV182" s="22" t="e">
        <f t="shared" si="277"/>
        <v>#N/A</v>
      </c>
      <c r="NW182" s="74">
        <f>('Scénario référence'!$F$8+'Scénario référence'!$F$9+'Scénario référence'!$B$17+'Scénario référence'!$B$9+'Scénario référence'!$B$10)*70+IF((45+25*(1-EXP(-0.0175*$A182)))&lt;70,'Scénario référence'!$B$16*(45+25*(1-EXP(-0.0175*$A182))),70*'Scénario référence'!$B$16)+IF((32+38*(1-EXP(-0.0175*$A182)))&lt;70,'Scénario référence'!$B$18*(32+38*(1-EXP(-0.0175*$A182))),70*'Scénario référence'!$B$18)</f>
        <v>70</v>
      </c>
      <c r="NX182" s="12">
        <f>IF($A182&gt;30,10,('Scénario référence'!$B$16+'Scénario référence'!$B$17+'Scénario référence'!$B$18+'Scénario référence'!$B$9+'Scénario référence'!$B$10)*$A182*10/30+('Scénario référence'!$F$8+'Scénario référence'!$F$9)*10)</f>
        <v>10</v>
      </c>
      <c r="NY182" s="12" t="e">
        <f>VLOOKUP($A182,'Données projet'!$A$512:$I$532,2,0)</f>
        <v>#N/A</v>
      </c>
      <c r="NZ182" s="12" t="e">
        <f>VLOOKUP($A182,'Données projet'!$A$512:$I$532,9,0)</f>
        <v>#N/A</v>
      </c>
      <c r="OA182" s="12">
        <f t="array" ref="OA182">INDEX(NZ:NZ,MIN(IF(ISNUMBER(NZ182:NZ378),ROW(NZ182:NZ378),"")))</f>
        <v>0</v>
      </c>
      <c r="OB182" s="12">
        <f>IF('Données projet'!$A$512&gt;35,OB181+OA182-OJ181,IF($A182&lt;'Données projet'!$A$512,$CQ$205^$A182,IF($A182='Données projet'!$A$512,'Données projet'!$B$512,OB181+OA182-OJ181)))</f>
        <v>0</v>
      </c>
      <c r="OC182" s="17" t="e">
        <f>OB182*VLOOKUP('Données projet'!$B$27,Paramètres!$A$1:$I$89,3,0)*VLOOKUP('Données projet'!$B$27,Paramètres!$A$1:$I$89,5,0)</f>
        <v>#N/A</v>
      </c>
      <c r="OD182" s="13" t="e">
        <f t="shared" si="322"/>
        <v>#N/A</v>
      </c>
      <c r="OE182" s="14" t="e">
        <f t="shared" si="278"/>
        <v>#N/A</v>
      </c>
      <c r="OF182" s="59" t="e">
        <f t="shared" si="279"/>
        <v>#N/A</v>
      </c>
      <c r="OG182" s="20" t="e">
        <f ca="1">AVERAGE(OFFSET($OF$3,0,0,'Données projet'!$E$27+1,1))-AVERAGE(OFFSET($H$3,0,0,'Données projet'!$E$27+1,1))</f>
        <v>#N/A</v>
      </c>
      <c r="OH182" s="59" t="e">
        <f t="shared" si="323"/>
        <v>#N/A</v>
      </c>
      <c r="OI182" s="15">
        <f>IF(ISNA(VLOOKUP($A182,'Données projet'!$A$512:$I$532,3,0)),0,VLOOKUP($A182,'Données projet'!$A$512:$I$532,3,0))</f>
        <v>0</v>
      </c>
      <c r="OJ182" s="15">
        <f>IF(ISNA(VLOOKUP($A182,'Données projet'!$A$512:$I$532,4,0)),0,VLOOKUP($A182,'Données projet'!$A$512:$I$532,4,0))</f>
        <v>0</v>
      </c>
      <c r="OK182" s="16">
        <f>IF(ISNA(VLOOKUP($A182,'Données projet'!$A$512:$I$532,5,0)),0%,VLOOKUP($A182,'Données projet'!$A$512:$I$532,5,0)*VLOOKUP('Données projet'!$B$27,Paramètres!$A$1:$I$89,7,0))</f>
        <v>0</v>
      </c>
      <c r="OL182" s="16">
        <f>IF(ISNA(VLOOKUP($A182,'Données projet'!$A$512:$I$532,6,0)),0%,VLOOKUP($A182,'Données projet'!$A$512:$I$532,6,0)*VLOOKUP('Données projet'!$B$27,Paramètres!$A$1:$I$89,7,0))</f>
        <v>0</v>
      </c>
      <c r="OM182" s="16">
        <f>IF(ISNA(VLOOKUP($A182,'Données projet'!$A$512:$I$532,7,0)),0%,VLOOKUP($A182,'Données projet'!$A$512:$I$532,7,0))</f>
        <v>0</v>
      </c>
      <c r="ON182" s="21" t="e">
        <f>EXP(-LN(2)/35)*ON181+(1-EXP(-LN(2)/35))/(LN(2)/35)*OJ182*OK182*VLOOKUP('Données projet'!$B$27,Paramètres!$A$1:$I$89,3,0)*0.475*44/12</f>
        <v>#N/A</v>
      </c>
      <c r="OO182" s="21" t="e">
        <f>EXP(-LN(2)/25)*OO181+(1-EXP(-LN(2)/25))/(LN(2)/25)*Calculateur!OJ182*Calculateur!OL182*VLOOKUP('Données projet'!$B$27,Paramètres!$A$1:$I$89,3,0)*0.475*44/12</f>
        <v>#N/A</v>
      </c>
      <c r="OP182" s="21" t="e">
        <f>EXP(-LN(2)/2)*OP181+(1-EXP(-LN(2)/2))/(LN(2)/2)*OJ182*OM182*VLOOKUP('Données projet'!$B$27,Paramètres!$A$1:$I$89,3,0)*0.475*44/12</f>
        <v>#N/A</v>
      </c>
      <c r="OQ182" s="22" t="e">
        <f t="shared" si="280"/>
        <v>#N/A</v>
      </c>
      <c r="OR182" s="74">
        <f>('Scénario référence'!$F$8+'Scénario référence'!$F$9+'Scénario référence'!$B$17+'Scénario référence'!$B$9+'Scénario référence'!$B$10)*70+IF((45+25*(1-EXP(-0.0175*$A182)))&lt;70,'Scénario référence'!$B$16*(45+25*(1-EXP(-0.0175*$A182))),70*'Scénario référence'!$B$16)+IF((32+38*(1-EXP(-0.0175*$A182)))&lt;70,'Scénario référence'!$B$18*(32+38*(1-EXP(-0.0175*$A182))),70*'Scénario référence'!$B$18)</f>
        <v>70</v>
      </c>
      <c r="OS182" s="12">
        <f>IF($A182&gt;30,10,('Scénario référence'!$B$16+'Scénario référence'!$B$17+'Scénario référence'!$B$18+'Scénario référence'!$B$9+'Scénario référence'!$B$10)*$A182*10/30+('Scénario référence'!$F$8+'Scénario référence'!$F$9)*10)</f>
        <v>10</v>
      </c>
      <c r="OT182" s="12" t="e">
        <f>VLOOKUP($A182,'Données projet'!$A$538:$I$558,2,0)</f>
        <v>#N/A</v>
      </c>
      <c r="OU182" s="12" t="e">
        <f>VLOOKUP($A182,'Données projet'!$A$538:$I$558,9,0)</f>
        <v>#N/A</v>
      </c>
      <c r="OV182" s="12">
        <f t="array" ref="OV182">INDEX(OU:OU,MIN(IF(ISNUMBER(OU182:OU378),ROW(OU182:OU378),"")))</f>
        <v>0</v>
      </c>
      <c r="OW182" s="12">
        <f>IF('Données projet'!$A$538&gt;35,OW181+OV182-PE181,IF($A182&lt;'Données projet'!$A$538,$CQ$205^$A182,IF($A182='Données projet'!$A$538,'Données projet'!$B$538,OW181+OV182-PE181)))</f>
        <v>0</v>
      </c>
      <c r="OX182" s="17" t="e">
        <f>OW182*VLOOKUP('Données projet'!$B$28,Paramètres!$A$1:$I$89,3,0)*VLOOKUP('Données projet'!$B$28,Paramètres!$A$1:$I$89,5,0)</f>
        <v>#N/A</v>
      </c>
      <c r="OY182" s="13" t="e">
        <f t="shared" si="324"/>
        <v>#N/A</v>
      </c>
      <c r="OZ182" s="14" t="e">
        <f t="shared" si="281"/>
        <v>#N/A</v>
      </c>
      <c r="PA182" s="59" t="e">
        <f t="shared" si="282"/>
        <v>#N/A</v>
      </c>
      <c r="PB182" s="20" t="e">
        <f ca="1">AVERAGE(OFFSET($PA$3,0,0,'Données projet'!$E$28+1,1))-AVERAGE(OFFSET($H$3,0,0,'Données projet'!$E$28+1,1))</f>
        <v>#N/A</v>
      </c>
      <c r="PC182" s="59" t="e">
        <f t="shared" si="325"/>
        <v>#N/A</v>
      </c>
      <c r="PD182" s="15">
        <f>IF(ISNA(VLOOKUP($A182,'Données projet'!$A$538:$I$558,3,0)),0,VLOOKUP($A182,'Données projet'!$A$538:$I$558,3,0))</f>
        <v>0</v>
      </c>
      <c r="PE182" s="15">
        <f>IF(ISNA(VLOOKUP($A182,'Données projet'!$A$538:$I$558,4,0)),0,VLOOKUP($A182,'Données projet'!$A$538:$I$558,4,0))</f>
        <v>0</v>
      </c>
      <c r="PF182" s="16">
        <f>IF(ISNA(VLOOKUP($A182,'Données projet'!$A$538:$I$558,5,0)),0%,VLOOKUP($A182,'Données projet'!$A$538:$I$558,5,0)*VLOOKUP('Données projet'!$B$28,Paramètres!$A$1:$I$89,7,0))</f>
        <v>0</v>
      </c>
      <c r="PG182" s="16">
        <f>IF(ISNA(VLOOKUP($A182,'Données projet'!$A$538:$I$558,6,0)),0%,VLOOKUP($A182,'Données projet'!$A$538:$I$558,6,0)*VLOOKUP('Données projet'!$B$28,Paramètres!$A$1:$I$89,7,0))</f>
        <v>0</v>
      </c>
      <c r="PH182" s="16">
        <f>IF(ISNA(VLOOKUP($A182,'Données projet'!$A$538:$I$558,7,0)),0%,VLOOKUP($A182,'Données projet'!$A$538:$I$558,7,0))</f>
        <v>0</v>
      </c>
      <c r="PI182" s="21" t="e">
        <f>EXP(-LN(2)/35)*PI181+(1-EXP(-LN(2)/35))/(LN(2)/35)*PE182*PF182*VLOOKUP('Données projet'!$B$28,Paramètres!$A$1:$I$89,3,0)*0.475*44/12</f>
        <v>#N/A</v>
      </c>
      <c r="PJ182" s="21" t="e">
        <f>EXP(-LN(2)/25)*PJ181+(1-EXP(-LN(2)/25))/(LN(2)/25)*Calculateur!PE182*Calculateur!PG182*VLOOKUP('Données projet'!$B$28,Paramètres!$A$1:$I$89,3,0)*0.475*44/12</f>
        <v>#N/A</v>
      </c>
      <c r="PK182" s="21" t="e">
        <f>EXP(-LN(2)/2)*PK181+(1-EXP(-LN(2)/2))/(LN(2)/2)*PE182*PH182*VLOOKUP('Données projet'!$B$28,Paramètres!$A$1:$I$89,3,0)*0.475*44/12</f>
        <v>#N/A</v>
      </c>
      <c r="PL182" s="22" t="e">
        <f t="shared" si="283"/>
        <v>#N/A</v>
      </c>
    </row>
    <row r="183" spans="1:428" x14ac:dyDescent="0.35">
      <c r="A183" s="10">
        <f t="shared" si="326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285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225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projet'!$A$45:$I$65,2,0)</f>
        <v>#N/A</v>
      </c>
      <c r="L183" s="12" t="e">
        <f>VLOOKUP(A183,'Données projet'!$A$45:$I$65,9,0)</f>
        <v>#N/A</v>
      </c>
      <c r="M183" s="12">
        <f t="array" ref="M183">INDEX(L:L,MIN(IF(ISNUMBER(L183:L379),ROW(L183:L379),"")))</f>
        <v>0</v>
      </c>
      <c r="N183" s="13">
        <f>IF('Données projet'!$A$46&gt;35,N182+M183-V182,IF(A183&lt;'Données projet'!$A$46,$K$205^A183,IF(A183='Données projet'!$A$46,'Données projet'!$B$46,N182+M183-V182)))</f>
        <v>-1.1368683772161603E-13</v>
      </c>
      <c r="O183" s="13">
        <f>N183*VLOOKUP('Données projet'!$B$9,Paramètres!$A$1:$I$89,3,0)*VLOOKUP('Données projet'!$B$9,Paramètres!$A$1:$I$89,5,0)</f>
        <v>-6.3550942286383367E-14</v>
      </c>
      <c r="P183" s="13" t="e">
        <f t="shared" si="286"/>
        <v>#NUM!</v>
      </c>
      <c r="Q183" s="20" t="e">
        <f t="shared" si="327"/>
        <v>#NUM!</v>
      </c>
      <c r="R183" s="59" t="e">
        <f t="shared" si="224"/>
        <v>#NUM!</v>
      </c>
      <c r="S183" s="59">
        <f ca="1">AVERAGE(OFFSET($R$3,0,0,'Données projet'!$E$9+1,1))-AVERAGE(OFFSET($H$3,0,0,'Données projet'!$E$9+1,1))</f>
        <v>274.57619581652199</v>
      </c>
      <c r="T183" s="59">
        <f t="shared" si="287"/>
        <v>366.15117322598775</v>
      </c>
      <c r="U183" s="15">
        <f>IF(ISNA(VLOOKUP(A183,'Données projet'!$A$45:$I$65,3,0)),0,VLOOKUP(A183,'Données projet'!$A$45:$I$65,3,0))</f>
        <v>0</v>
      </c>
      <c r="V183" s="15">
        <f>IF(ISNA(VLOOKUP(A183,'Données projet'!$A$45:$I$65,4,0)),0,VLOOKUP(A183,'Données projet'!$A$45:$I$65,4,0))</f>
        <v>0</v>
      </c>
      <c r="W183" s="16">
        <f>IF(ISNA(VLOOKUP(A183,'Données projet'!$A$45:$I$65,5,0)),0%,VLOOKUP(A183,'Données projet'!$A$45:$I$65,5,0)*VLOOKUP('Données projet'!$B$9,Paramètres!$A$1:$I$89,7,0))</f>
        <v>0</v>
      </c>
      <c r="X183" s="16">
        <f>IF(ISNA(VLOOKUP(A183,'Données projet'!$A$45:$I$65,6,0)),0%,VLOOKUP(A183,'Données projet'!$A$45:$I$65,6,0)*VLOOKUP('Données projet'!$B$9,Paramètres!$A$1:$I$89,7,0))</f>
        <v>0</v>
      </c>
      <c r="Y183" s="16">
        <f>IF(ISNA(VLOOKUP(A183,'Données projet'!$A$45:$I$65,7,0)),0%,VLOOKUP(A183,'Données projet'!$A$45:$I$65,7,0))</f>
        <v>0</v>
      </c>
      <c r="Z183" s="21">
        <f>EXP(-LN(2)/35)*Z182+(1-EXP(-LN(2)/35))/(LN(2)/35)*V183*W183*VLOOKUP('Données projet'!$B$9,Paramètres!$A$1:$I$89,3,0)*0.475*44/12</f>
        <v>19.066113142181443</v>
      </c>
      <c r="AA183" s="21">
        <f>EXP(-LN(2)/25)*AA182+(1-EXP(-LN(2)/25))/(LN(2)/25)*Calculateur!V183*Calculateur!X183*VLOOKUP('Données projet'!$B$9,Paramètres!$A$1:$I$89,3,0)*0.475*44/12</f>
        <v>1.8002400121325002</v>
      </c>
      <c r="AB183" s="21">
        <f>EXP(-LN(2)/2)*AB182+(1-EXP(-LN(2)/2))/(LN(2)/2)*V183*Y183*VLOOKUP('Données projet'!$B$9,Paramètres!$A$1:$I$89,3,0)*0.475*44/12</f>
        <v>5.2379302534825042E-18</v>
      </c>
      <c r="AC183" s="22">
        <f t="shared" si="328"/>
        <v>20.866353154313945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projet'!$A$71:$I$91,2,0)</f>
        <v>#N/A</v>
      </c>
      <c r="AG183" s="12" t="e">
        <f>VLOOKUP(A183,'Données projet'!$A$71:$I$91,9,0)</f>
        <v>#N/A</v>
      </c>
      <c r="AH183" s="12">
        <f t="array" ref="AH183">INDEX(AG:AG,MIN(IF(ISNUMBER(AG183:AG379),ROW(AG183:AG379),"")))</f>
        <v>0</v>
      </c>
      <c r="AI183" s="13">
        <f>IF('Données projet'!$A$72&gt;35,AI182+AH183-AQ182,IF(A183&lt;'Données projet'!$A$72,$AF$205^A183,IF(A183='Données projet'!$A$72,'Données projet'!$B$72,AI182+AH183-AQ182)))</f>
        <v>5.6843418860808015E-13</v>
      </c>
      <c r="AJ183" s="13">
        <f>AI183*VLOOKUP('Données projet'!$B$10,Paramètres!$A$1:$I$89,3,0)*VLOOKUP('Données projet'!$B$10,Paramètres!$A$1:$I$89,5,0)</f>
        <v>5.1431925385259092E-13</v>
      </c>
      <c r="AK183" s="13">
        <f t="shared" si="329"/>
        <v>6.3855359115685756E-12</v>
      </c>
      <c r="AL183" s="20">
        <f t="shared" si="330"/>
        <v>1.2017247746441865E-11</v>
      </c>
      <c r="AM183" s="59">
        <f t="shared" si="228"/>
        <v>293.33333333334531</v>
      </c>
      <c r="AN183" s="59">
        <f ca="1">AVERAGE(OFFSET($AM$3,0,0,'Données projet'!$E$10+1,1))-AVERAGE(OFFSET($H$3,0,0,'Données projet'!$E$10+1,1))</f>
        <v>270.87836509222456</v>
      </c>
      <c r="AO183" s="59">
        <f t="shared" si="289"/>
        <v>205.24998237949734</v>
      </c>
      <c r="AP183" s="15">
        <f>IF(ISNA(VLOOKUP(A183,'Données projet'!$A$71:$I$91,3,0)),0,VLOOKUP(A183,'Données projet'!$A$71:$I$91,3,0))</f>
        <v>0</v>
      </c>
      <c r="AQ183" s="15">
        <f>IF(ISNA(VLOOKUP(A183,'Données projet'!$A$71:$I$91,4,0)),0,VLOOKUP(A183,'Données projet'!$A$71:$I$91,4,0))</f>
        <v>0</v>
      </c>
      <c r="AR183" s="16">
        <f>IF(ISNA(VLOOKUP(A183,'Données projet'!$A$71:$I$91,5,0)),0%,VLOOKUP(A183,'Données projet'!$A$71:$I$91,5,0)*VLOOKUP('Données projet'!$B$10,Paramètres!$A$1:$I$89,7,0))</f>
        <v>0</v>
      </c>
      <c r="AS183" s="16">
        <f>IF(ISNA(VLOOKUP(A183,'Données projet'!$A$71:$I$91,6,0)),0%,VLOOKUP(A183,'Données projet'!$A$71:$I$91,6,0)*VLOOKUP('Données projet'!$B$10,Paramètres!$A$1:$I$89,7,0))</f>
        <v>0</v>
      </c>
      <c r="AT183" s="16">
        <f>IF(ISNA(VLOOKUP(A183,'Données projet'!$A$71:$I$91,7,0)),0%,VLOOKUP(A183,'Données projet'!$A$71:$I$91,7,0))</f>
        <v>0</v>
      </c>
      <c r="AU183" s="21">
        <f>EXP(-LN(2)/35)*AU182+(1-EXP(-LN(2)/35))/(LN(2)/35)*AQ183*AR183*VLOOKUP('Données projet'!$B$10,Paramètres!$A$1:$I$89,3,0)*0.475*44/12</f>
        <v>64.79151006653214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331"/>
        <v>64.79151006653214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projet'!$A$97:$I$117,2,0)</f>
        <v>#N/A</v>
      </c>
      <c r="BB183" s="12" t="e">
        <f>VLOOKUP(A183,'Données projet'!$A$97:$I$117,9,0)</f>
        <v>#N/A</v>
      </c>
      <c r="BC183" s="12">
        <f t="array" ref="BC183">INDEX(BB:BB,MIN(IF(ISNUMBER(BB183:BB379),ROW(BB183:BB379),"")))</f>
        <v>0</v>
      </c>
      <c r="BD183" s="12">
        <f>IF('Données projet'!$A$98&gt;35,BD182+BC183-BL182,IF(A183&lt;'Données projet'!$A$98,$BA$205^A183,IF(A183='Données projet'!$A$98,'Données projet'!$B$98,BD182+BC183-BL182)))</f>
        <v>-1.1368683772161603E-13</v>
      </c>
      <c r="BE183" s="13">
        <f>BD183*VLOOKUP('Données projet'!$B$11,Paramètres!$A$1:$I$89,3,0)*VLOOKUP('Données projet'!$B$11,Paramètres!$A$1:$I$89,5,0)</f>
        <v>-5.0249582272954292E-14</v>
      </c>
      <c r="BF183" s="13" t="e">
        <f t="shared" si="332"/>
        <v>#NUM!</v>
      </c>
      <c r="BG183" s="20" t="e">
        <f t="shared" si="333"/>
        <v>#NUM!</v>
      </c>
      <c r="BH183" s="59" t="e">
        <f t="shared" si="231"/>
        <v>#NUM!</v>
      </c>
      <c r="BI183" s="59">
        <f ca="1">AVERAGE(OFFSET($BH$3,0,0,'Données projet'!$E$11+1,1))-AVERAGE(OFFSET($H$3,0,0,'Données projet'!$E$11+1,1))</f>
        <v>211.31057120485542</v>
      </c>
      <c r="BJ183" s="59">
        <f t="shared" si="291"/>
        <v>283.33292006714777</v>
      </c>
      <c r="BK183" s="15">
        <f>IF(ISNA(VLOOKUP(A183,'Données projet'!$A$97:$I$117,3,0)),0,VLOOKUP(A183,'Données projet'!$A$97:$I$117,3,0))</f>
        <v>0</v>
      </c>
      <c r="BL183" s="15">
        <f>IF(ISNA(VLOOKUP(A183,'Données projet'!$A$97:$I$117,4,0)),0,VLOOKUP(A183,'Données projet'!$A$97:$I$117,4,0))</f>
        <v>0</v>
      </c>
      <c r="BM183" s="16">
        <f>IF(ISNA(VLOOKUP(A183,'Données projet'!$A$97:$I$117,5,0)),0%,VLOOKUP(A183,'Données projet'!$A$97:$I$117,5,0)*VLOOKUP('Données projet'!$B$11,Paramètres!$A$1:$I$89,7,0))</f>
        <v>0</v>
      </c>
      <c r="BN183" s="16">
        <f>IF(ISNA(VLOOKUP(A183,'Données projet'!$A$97:$I$117,6,0)),0%,VLOOKUP(A183,'Données projet'!$A$97:$I$117,6,0)*VLOOKUP('Données projet'!$B$11,Paramètres!$A$1:$I$89,7,0))</f>
        <v>0</v>
      </c>
      <c r="BO183" s="16">
        <f>IF(ISNA(VLOOKUP(A183,'Données projet'!$A$97:$I$117,7,0)),0%,VLOOKUP(A183,'Données projet'!$A$97:$I$117,7,0))</f>
        <v>0</v>
      </c>
      <c r="BP183" s="21">
        <f>EXP(-LN(2)/35)*BP182+(1-EXP(-LN(2)/35))/(LN(2)/35)*BL183*BM183*VLOOKUP('Données projet'!$B$11,Paramètres!$A$1:$I$89,3,0)*0.475*44/12</f>
        <v>15.075531321724874</v>
      </c>
      <c r="BQ183" s="21">
        <f>EXP(-LN(2)/25)*BQ182+(1-EXP(-LN(2)/25))/(LN(2)/25)*Calculateur!BL183*Calculateur!BN183*VLOOKUP('Données projet'!$B$11,Paramètres!$A$1:$I$89,3,0)*0.475*44/12</f>
        <v>1.4234455909884876</v>
      </c>
      <c r="BR183" s="21">
        <f>EXP(-LN(2)/2)*BR182+(1-EXP(-LN(2)/2))/(LN(2)/2)*BL183*BO183*VLOOKUP('Données projet'!$B$11,Paramètres!$A$1:$I$89,3,0)*0.475*44/12</f>
        <v>4.1416192701954676E-18</v>
      </c>
      <c r="BS183" s="22">
        <f t="shared" si="334"/>
        <v>16.49897691271336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projet'!$A$123:$I$143,2,0)</f>
        <v>#N/A</v>
      </c>
      <c r="BW183" s="12" t="e">
        <f>VLOOKUP(A183,'Données projet'!$A$123:$I$143,9,0)</f>
        <v>#N/A</v>
      </c>
      <c r="BX183" s="12">
        <f t="array" ref="BX183">INDEX(BW:BW,MIN(IF(ISNUMBER(BW183:BW379),ROW(BW183:BW379),"")))</f>
        <v>0</v>
      </c>
      <c r="BY183" s="12">
        <f>IF('Données projet'!$A$124&gt;35,BY182+BX183-CG182,IF(A183&lt;'Données projet'!$A$124,$BV$205^A183,IF(A183='Données projet'!$A$124,'Données projet'!$B$124,BY182+BX183-CG182)))</f>
        <v>0</v>
      </c>
      <c r="BZ183" s="13">
        <f>BY183*VLOOKUP('Données projet'!$B$12,Paramètres!$A$1:$I$89,3,0)*VLOOKUP('Données projet'!$B$12,Paramètres!$A$1:$I$89,5,0)</f>
        <v>0</v>
      </c>
      <c r="CA183" s="13" t="e">
        <f t="shared" si="335"/>
        <v>#NUM!</v>
      </c>
      <c r="CB183" s="20" t="e">
        <f t="shared" si="336"/>
        <v>#NUM!</v>
      </c>
      <c r="CC183" s="59" t="e">
        <f t="shared" si="234"/>
        <v>#NUM!</v>
      </c>
      <c r="CD183" s="59">
        <f ca="1">AVERAGE(OFFSET($CC$3,0,0,'Données projet'!$E$12+1,1))-AVERAGE(OFFSET($H$3,0,0,'Données projet'!$E$12+1,1))</f>
        <v>322.93502595881938</v>
      </c>
      <c r="CE183" s="59">
        <f t="shared" si="293"/>
        <v>302.67072119588164</v>
      </c>
      <c r="CF183" s="15">
        <f>IF(ISNA(VLOOKUP(A183,'Données projet'!$A$123:$I$143,3,0)),0,VLOOKUP(A183,'Données projet'!$A$123:$I$143,3,0))</f>
        <v>0</v>
      </c>
      <c r="CG183" s="15">
        <f>IF(ISNA(VLOOKUP(A183,'Données projet'!$A$123:$I$143,4,0)),0,VLOOKUP(A183,'Données projet'!$A$123:$I$143,4,0))</f>
        <v>0</v>
      </c>
      <c r="CH183" s="16">
        <f>IF(ISNA(VLOOKUP(A183,'Données projet'!$A$123:$I$143,5,0)),0%,VLOOKUP(A183,'Données projet'!$A$123:$I$143,5,0)*VLOOKUP('Données projet'!$B$12,Paramètres!$A$1:$I$89,7,0))</f>
        <v>0</v>
      </c>
      <c r="CI183" s="16">
        <f>IF(ISNA(VLOOKUP(A183,'Données projet'!$A$123:$I$143,6,0)),0%,VLOOKUP(A183,'Données projet'!$A$123:$I$143,6,0)*VLOOKUP('Données projet'!$B$12,Paramètres!$A$1:$I$89,7,0))</f>
        <v>0</v>
      </c>
      <c r="CJ183" s="16">
        <f>IF(ISNA(VLOOKUP(A183,'Données projet'!$A$123:$I$143,7,0)),0%,VLOOKUP(A183,'Données projet'!$A$123:$I$143,7,0))</f>
        <v>0</v>
      </c>
      <c r="CK183" s="21">
        <f>EXP(-LN(2)/35)*CK182+(1-EXP(-LN(2)/35))/(LN(2)/35)*CG183*CH183*VLOOKUP('Données projet'!$B$12,Paramètres!$A$1:$I$89,3,0)*0.475*44/12</f>
        <v>24.018964159641321</v>
      </c>
      <c r="CL183" s="21">
        <f>EXP(-LN(2)/25)*CL182+(1-EXP(-LN(2)/25))/(LN(2)/25)*Calculateur!CG183*Calculateur!CI183*VLOOKUP('Données projet'!$B$12,Paramètres!$A$1:$I$89,3,0)*0.475*44/12</f>
        <v>4.5558871312158118</v>
      </c>
      <c r="CM183" s="21">
        <f>EXP(-LN(2)/2)*CM182+(1-EXP(-LN(2)/2))/(LN(2)/2)*CG183*CJ183*VLOOKUP('Données projet'!$B$12,Paramètres!$A$1:$I$89,3,0)*0.475*44/12</f>
        <v>0</v>
      </c>
      <c r="CN183" s="22">
        <f t="shared" si="337"/>
        <v>28.574851290857133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projet'!$A$149:$I$169,2,0)</f>
        <v>#N/A</v>
      </c>
      <c r="CR183" s="12" t="e">
        <f>VLOOKUP(A183,'Données projet'!$A$149:$I$169,9,0)</f>
        <v>#N/A</v>
      </c>
      <c r="CS183" s="12">
        <f t="array" ref="CS183">INDEX(CR:CR,MIN(IF(ISNUMBER(CR183:CR379),ROW(CR183:CR379),"")))</f>
        <v>0</v>
      </c>
      <c r="CT183" s="12">
        <f>IF('Données projet'!$A$150&gt;35,CT182+CS183-DB182,IF(A183&lt;'Données projet'!$A$150,$CQ$205^A183,IF(A183='Données projet'!$A$150,'Données projet'!$B$150,CT182+CS183-DB182)))</f>
        <v>-4.5474735088646412E-13</v>
      </c>
      <c r="CU183" s="17">
        <f>CT183*VLOOKUP('Données projet'!$B$13,Paramètres!$A$1:$I$89,3,0)*VLOOKUP('Données projet'!$B$13,Paramètres!$A$1:$I$89,5,0)</f>
        <v>-4.6111381379887462E-13</v>
      </c>
      <c r="CV183" s="13" t="e">
        <f t="shared" si="338"/>
        <v>#NUM!</v>
      </c>
      <c r="CW183" s="20" t="e">
        <f t="shared" si="339"/>
        <v>#NUM!</v>
      </c>
      <c r="CX183" s="59" t="e">
        <f t="shared" si="237"/>
        <v>#NUM!</v>
      </c>
      <c r="CY183" s="59">
        <f ca="1">AVERAGE(OFFSET($CX$3,0,0,'Données projet'!$E$13+1,1))-AVERAGE(OFFSET($H$3,0,0,'Données projet'!$E$13+1,1))</f>
        <v>250.31277422753283</v>
      </c>
      <c r="CZ183" s="59">
        <f t="shared" si="295"/>
        <v>159.20429420478047</v>
      </c>
      <c r="DA183" s="15">
        <f>IF(ISNA(VLOOKUP(A183,'Données projet'!$A$149:$I$169,3,0)),0,VLOOKUP(A183,'Données projet'!$A$149:$I$169,3,0))</f>
        <v>0</v>
      </c>
      <c r="DB183" s="15">
        <f>IF(ISNA(VLOOKUP(A183,'Données projet'!$A$149:$I$169,4,0)),0,VLOOKUP(A183,'Données projet'!$A$149:$I$169,4,0))</f>
        <v>0</v>
      </c>
      <c r="DC183" s="16">
        <f>IF(ISNA(VLOOKUP(A183,'Données projet'!$A$149:$I$169,5,0)),0%,VLOOKUP(A183,'Données projet'!$A$149:$I$169,5,0)*VLOOKUP('Données projet'!$B$13,Paramètres!$A$1:$I$89,7,0))</f>
        <v>0</v>
      </c>
      <c r="DD183" s="16">
        <f>IF(ISNA(VLOOKUP(A183,'Données projet'!$A$149:$I$169,6,0)),0%,VLOOKUP(A183,'Données projet'!$A$149:$I$169,6,0)*VLOOKUP('Données projet'!$B$13,Paramètres!$A$1:$I$89,7,0))</f>
        <v>0</v>
      </c>
      <c r="DE183" s="16">
        <f>IF(ISNA(VLOOKUP(A183,'Données projet'!$A$149:$I$169,7,0)),0%,VLOOKUP(A183,'Données projet'!$A$149:$I$169,7,0))</f>
        <v>0</v>
      </c>
      <c r="DF183" s="21">
        <f>EXP(-LN(2)/35)*DF182+(1-EXP(-LN(2)/35))/(LN(2)/35)*DB183*DC183*VLOOKUP('Données projet'!$B$13,Paramètres!$A$1:$I$89,3,0)*0.475*44/12</f>
        <v>109.3414810383819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340"/>
        <v>109.3414810383819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projet'!$A$175:$I$195,2,0)</f>
        <v>#N/A</v>
      </c>
      <c r="DM183" s="12" t="e">
        <f>VLOOKUP(A183,'Données projet'!$A$175:$I$195,9,0)</f>
        <v>#N/A</v>
      </c>
      <c r="DN183" s="12">
        <f t="array" ref="DN183">INDEX(DM:DM,MIN(IF(ISNUMBER(DM183:DM379),ROW(DM183:DM379),"")))</f>
        <v>0</v>
      </c>
      <c r="DO183" s="12">
        <f>IF('Données projet'!$A$176&gt;35,DO182+DN183-DW182,IF(A183&lt;'Données projet'!$A$176,$DL$205^A183,IF(A183='Données projet'!$A$176,'Données projet'!$B$176,DO182+DN183-DW182)))</f>
        <v>-2.8421709430404007E-13</v>
      </c>
      <c r="DP183" s="17">
        <f>DO183*VLOOKUP('Données projet'!$B$14,Paramètres!$A$1:$I$89,3,0)*VLOOKUP('Données projet'!$B$14,Paramètres!$A$1:$I$89,5,0)</f>
        <v>-2.0838797354372215E-13</v>
      </c>
      <c r="DQ183" s="13" t="e">
        <f t="shared" si="341"/>
        <v>#NUM!</v>
      </c>
      <c r="DR183" s="20" t="e">
        <f t="shared" si="342"/>
        <v>#NUM!</v>
      </c>
      <c r="DS183" s="59" t="e">
        <f t="shared" si="240"/>
        <v>#NUM!</v>
      </c>
      <c r="DT183" s="59">
        <f ca="1">AVERAGE(OFFSET($DS$3,0,0,'Données projet'!$E$14+1,1))-AVERAGE(OFFSET($H$3,0,0,'Données projet'!$E$14+1,1))</f>
        <v>296.91321813251051</v>
      </c>
      <c r="DU183" s="59">
        <f t="shared" si="297"/>
        <v>291.0718079639509</v>
      </c>
      <c r="DV183" s="15">
        <f>IF(ISNA(VLOOKUP(A183,'Données projet'!$A$175:$I$195,3,0)),0,VLOOKUP(A183,'Données projet'!$A$175:$I$195,3,0))</f>
        <v>0</v>
      </c>
      <c r="DW183" s="15">
        <f>IF(ISNA(VLOOKUP(A183,'Données projet'!$A$175:$I$195,4,0)),0,VLOOKUP(A183,'Données projet'!$A$175:$I$195,4,0))</f>
        <v>0</v>
      </c>
      <c r="DX183" s="16">
        <f>IF(ISNA(VLOOKUP(A183,'Données projet'!$A$175:$I$195,5,0)),0%,VLOOKUP(A183,'Données projet'!$A$175:$I$195,5,0)*VLOOKUP('Données projet'!$B$14,Paramètres!$A$1:$I$89,7,0))</f>
        <v>0</v>
      </c>
      <c r="DY183" s="16">
        <f>IF(ISNA(VLOOKUP(A183,'Données projet'!$A$175:$I$195,6,0)),0%,VLOOKUP(A183,'Données projet'!$A$175:$I$195,6,0)*VLOOKUP('Données projet'!$B$14,Paramètres!$A$1:$I$89,7,0))</f>
        <v>0</v>
      </c>
      <c r="DZ183" s="16">
        <f>IF(ISNA(VLOOKUP(A183,'Données projet'!$A$175:$I$195,7,0)),0%,VLOOKUP(A183,'Données projet'!$A$175:$I$195,7,0))</f>
        <v>0</v>
      </c>
      <c r="EA183" s="21">
        <f>EXP(-LN(2)/35)*EA182+(1-EXP(-LN(2)/35))/(LN(2)/35)*DW183*DX183*VLOOKUP('Données projet'!$B$14,Paramètres!$A$1:$I$89,3,0)*0.475*44/12</f>
        <v>23.939196148133238</v>
      </c>
      <c r="EB183" s="21">
        <f>EXP(-LN(2)/25)*EB182+(1-EXP(-LN(2)/25))/(LN(2)/25)*Calculateur!DW183*Calculateur!DY183*VLOOKUP('Données projet'!$B$14,Paramètres!$A$1:$I$89,3,0)*0.475*44/12</f>
        <v>0.33467960060089136</v>
      </c>
      <c r="EC183" s="21">
        <f>EXP(-LN(2)/2)*EC182+(1-EXP(-LN(2)/2))/(LN(2)/2)*DW183*DZ183*VLOOKUP('Données projet'!$B$14,Paramètres!$A$1:$I$89,3,0)*0.475*44/12</f>
        <v>0</v>
      </c>
      <c r="ED183" s="22">
        <f t="shared" si="343"/>
        <v>24.273875748734131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projet'!$A$201:$I$221,2,0)</f>
        <v>#N/A</v>
      </c>
      <c r="EH183" s="12" t="e">
        <f>VLOOKUP(A183,'Données projet'!$A$201:$I$221,9,0)</f>
        <v>#N/A</v>
      </c>
      <c r="EI183" s="12">
        <f t="array" ref="EI183">INDEX(EH:EH,MIN(IF(ISNUMBER(EH183:EH379),ROW(EH183:EH379),"")))</f>
        <v>0</v>
      </c>
      <c r="EJ183" s="12">
        <f>IF('Données projet'!$A$202&gt;35,EJ182+EI183-ER182,IF(A183&lt;'Données projet'!$A$202,$EG$205^A183,IF(A183='Données projet'!$A$202,'Données projet'!$B$202,EJ182+EI183-ER182)))</f>
        <v>5.1159076974727213E-13</v>
      </c>
      <c r="EK183" s="17">
        <f>EJ183*VLOOKUP('Données projet'!$B$15,Paramètres!$A$1:$I$89,3,0)*VLOOKUP('Données projet'!$B$15,Paramètres!$A$1:$I$89,5,0)</f>
        <v>2.3942448024172334E-13</v>
      </c>
      <c r="EL183" s="13">
        <f t="shared" si="344"/>
        <v>3.2492669905861755E-12</v>
      </c>
      <c r="EM183" s="20">
        <f t="shared" si="345"/>
        <v>6.0761376450252565E-12</v>
      </c>
      <c r="EN183" s="59">
        <f t="shared" si="243"/>
        <v>293.3333333333394</v>
      </c>
      <c r="EO183" s="59">
        <f ca="1">AVERAGE(OFFSET($EN$3,0,0,'Données projet'!$E$15+1,1))-AVERAGE(OFFSET($H$3,0,0,'Données projet'!$E$15+1,1))</f>
        <v>147.64256291235483</v>
      </c>
      <c r="EP183" s="59">
        <f t="shared" si="299"/>
        <v>70.859031694091868</v>
      </c>
      <c r="EQ183" s="15">
        <f>IF(ISNA(VLOOKUP(A183,'Données projet'!$A$201:$I$221,3,0)),0,VLOOKUP(A183,'Données projet'!$A$201:$I$221,3,0))</f>
        <v>0</v>
      </c>
      <c r="ER183" s="15">
        <f>IF(ISNA(VLOOKUP(A183,'Données projet'!$A$201:$I$221,4,0)),0,VLOOKUP(A183,'Données projet'!$A$201:$I$221,4,0))</f>
        <v>0</v>
      </c>
      <c r="ES183" s="16">
        <f>IF(ISNA(VLOOKUP(A183,'Données projet'!$A$201:$I$221,5,0)),0%,VLOOKUP(A183,'Données projet'!$A$201:$I$221,5,0)*VLOOKUP('Données projet'!$B$15,Paramètres!$A$1:$I$89,7,0))</f>
        <v>0</v>
      </c>
      <c r="ET183" s="16">
        <f>IF(ISNA(VLOOKUP(A183,'Données projet'!$A$201:$I$221,6,0)),0%,VLOOKUP(A183,'Données projet'!$A$201:$I$221,6,0)*VLOOKUP('Données projet'!$B$15,Paramètres!$A$1:$I$89,7,0))</f>
        <v>0</v>
      </c>
      <c r="EU183" s="16">
        <f>IF(ISNA(VLOOKUP(A183,'Données projet'!$A$201:$I$221,7,0)),0%,VLOOKUP(A183,'Données projet'!$A$201:$I$221,7,0))</f>
        <v>0</v>
      </c>
      <c r="EV183" s="21">
        <f>EXP(-LN(2)/35)*EV182+(1-EXP(-LN(2)/35))/(LN(2)/35)*ER183*ES183*VLOOKUP('Données projet'!$B$15,Paramètres!$A$1:$I$89,3,0)*0.475*44/12</f>
        <v>32.773136876499485</v>
      </c>
      <c r="EW183" s="21">
        <f>EXP(-LN(2)/25)*EW182+(1-EXP(-LN(2)/25))/(LN(2)/25)*Calculateur!ER183*Calculateur!ET183*VLOOKUP('Données projet'!$B$15,Paramètres!$A$1:$I$89,3,0)*0.475*44/12</f>
        <v>4.643342274338651</v>
      </c>
      <c r="EX183" s="21">
        <f>EXP(-LN(2)/2)*EX182+(1-EXP(-LN(2)/2))/(LN(2)/2)*ER183*EU183*VLOOKUP('Données projet'!$B$15,Paramètres!$A$1:$I$89,3,0)*0.475*44/12</f>
        <v>3.7760714323347288E-10</v>
      </c>
      <c r="EY183" s="22">
        <f t="shared" si="346"/>
        <v>37.416479151215739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projet'!$A$227:$I$247,2,0)</f>
        <v>#N/A</v>
      </c>
      <c r="FC183" s="12" t="e">
        <f>VLOOKUP(A183,'Données projet'!$A$227:$I$247,9,0)</f>
        <v>#N/A</v>
      </c>
      <c r="FD183" s="12">
        <f t="array" ref="FD183">INDEX(FC:FC,MIN(IF(ISNUMBER(FC183:FC379),ROW(FC183:FC379),"")))</f>
        <v>0</v>
      </c>
      <c r="FE183" s="12">
        <f>IF('Données projet'!$A$228&gt;35,FE182+FD183-FM182,IF(A183&lt;'Données projet'!$A$228,$FB$205^A183,IF(A183='Données projet'!$A$228,'Données projet'!$B$228,FE182+FD183-FM182)))</f>
        <v>8.5265128291212022E-14</v>
      </c>
      <c r="FF183" s="17">
        <f>FE183*VLOOKUP('Données projet'!$B$16,Paramètres!$A$1:$I$89,3,0)*VLOOKUP('Données projet'!$B$16,Paramètres!$A$1:$I$89,5,0)</f>
        <v>8.9119112089974823E-14</v>
      </c>
      <c r="FG183" s="13">
        <f t="shared" si="347"/>
        <v>1.3568952080113142E-12</v>
      </c>
      <c r="FH183" s="20">
        <f t="shared" si="348"/>
        <v>2.5184749408430782E-12</v>
      </c>
      <c r="FI183" s="59">
        <f t="shared" si="246"/>
        <v>293.33333333333582</v>
      </c>
      <c r="FJ183" s="59">
        <f ca="1">AVERAGE(OFFSET($FI$3,0,0,'Données projet'!$E$16+1,1))-AVERAGE(OFFSET($H$3,0,0,'Données projet'!$E$16+1,1))</f>
        <v>259.03906550253788</v>
      </c>
      <c r="FK183" s="59">
        <f t="shared" si="301"/>
        <v>235.54542903570831</v>
      </c>
      <c r="FL183" s="15">
        <f>IF(ISNA(VLOOKUP(A183,'Données projet'!$A$227:$I$247,3,0)),0,VLOOKUP(A183,'Données projet'!$A$227:$I$247,3,0))</f>
        <v>0</v>
      </c>
      <c r="FM183" s="15">
        <f>IF(ISNA(VLOOKUP(A183,'Données projet'!$A$227:$I$247,4,0)),0,VLOOKUP(A183,'Données projet'!$A$227:$I$247,4,0))</f>
        <v>0</v>
      </c>
      <c r="FN183" s="16">
        <f>IF(ISNA(VLOOKUP(A183,'Données projet'!$A$227:$I$247,5,0)),0%,VLOOKUP(A183,'Données projet'!$A$227:$I$247,5,0)*VLOOKUP('Données projet'!$B$16,Paramètres!$A$1:$I$89,7,0))</f>
        <v>0</v>
      </c>
      <c r="FO183" s="16">
        <f>IF(ISNA(VLOOKUP(A183,'Données projet'!$A$227:$I$247,6,0)),0%,VLOOKUP(A183,'Données projet'!$A$227:$I$247,6,0)*VLOOKUP('Données projet'!$B$16,Paramètres!$A$1:$I$89,7,0))</f>
        <v>0</v>
      </c>
      <c r="FP183" s="16">
        <f>IF(ISNA(VLOOKUP(A183,'Données projet'!$A$227:$I$247,7,0)),0%,VLOOKUP(A183,'Données projet'!$A$227:$I$247,7,0))</f>
        <v>0</v>
      </c>
      <c r="FQ183" s="21">
        <f>EXP(-LN(2)/35)*FQ182+(1-EXP(-LN(2)/35))/(LN(2)/35)*FM183*FN183*VLOOKUP('Données projet'!$B$16,Paramètres!$A$1:$I$89,3,0)*0.475*44/12</f>
        <v>14.465171944974534</v>
      </c>
      <c r="FR183" s="21">
        <f>EXP(-LN(2)/25)*FR182+(1-EXP(-LN(2)/25))/(LN(2)/25)*Calculateur!FM183*Calculateur!FO183*VLOOKUP('Données projet'!$B$16,Paramètres!$A$1:$I$89,3,0)*0.475*44/12</f>
        <v>6.3877282910053204</v>
      </c>
      <c r="FS183" s="21">
        <f>EXP(-LN(2)/2)*FS182+(1-EXP(-LN(2)/2))/(LN(2)/2)*FM183*FP183*VLOOKUP('Données projet'!$B$16,Paramètres!$A$1:$I$89,3,0)*0.475*44/12</f>
        <v>0</v>
      </c>
      <c r="FT183" s="22">
        <f t="shared" si="349"/>
        <v>20.852900235979853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projet'!$A$253:$I$273,2,0)</f>
        <v>#N/A</v>
      </c>
      <c r="FX183" s="12" t="e">
        <f>VLOOKUP(A183,'Données projet'!$A$253:$I$273,9,0)</f>
        <v>#N/A</v>
      </c>
      <c r="FY183" s="12">
        <f t="array" ref="FY183">INDEX(FX:FX,MIN(IF(ISNUMBER(FX183:FX379),ROW(FX183:FX379),"")))</f>
        <v>0</v>
      </c>
      <c r="FZ183" s="12">
        <f>IF('Données projet'!$A$254&gt;35,FZ182+FY183-GH182,IF(A183&lt;'Données projet'!$A$254,$FW$205^A183,IF(A183='Données projet'!$A$254,'Données projet'!$B$254,FZ182+FY183-GH182)))</f>
        <v>-1.7053025658242404E-13</v>
      </c>
      <c r="GA183" s="17">
        <f>FZ183*VLOOKUP('Données projet'!$B$17,Paramètres!$A$1:$I$89,3,0)*VLOOKUP('Données projet'!$B$17,Paramètres!$A$1:$I$89,5,0)</f>
        <v>-1.4897523215040567E-13</v>
      </c>
      <c r="GB183" s="13" t="e">
        <f t="shared" si="350"/>
        <v>#NUM!</v>
      </c>
      <c r="GC183" s="20" t="e">
        <f t="shared" si="351"/>
        <v>#NUM!</v>
      </c>
      <c r="GD183" s="59" t="e">
        <f t="shared" si="249"/>
        <v>#NUM!</v>
      </c>
      <c r="GE183" s="59">
        <f ca="1">AVERAGE(OFFSET($GD$3,0,0,'Données projet'!$E$17+1,1))-AVERAGE(OFFSET($H$3,0,0,'Données projet'!$E$17+1,1))</f>
        <v>245.1983232777614</v>
      </c>
      <c r="GF183" s="59">
        <f t="shared" si="303"/>
        <v>242.34010522344573</v>
      </c>
      <c r="GG183" s="15">
        <f>IF(ISNA(VLOOKUP(A183,'Données projet'!$A$253:$I$273,3,0)),0,VLOOKUP(A183,'Données projet'!$A$253:$I$273,3,0))</f>
        <v>0</v>
      </c>
      <c r="GH183" s="15">
        <f>IF(ISNA(VLOOKUP(A183,'Données projet'!$A$253:$I$273,4,0)),0,VLOOKUP(A183,'Données projet'!$A$253:$I$273,4,0))</f>
        <v>0</v>
      </c>
      <c r="GI183" s="16">
        <f>IF(ISNA(VLOOKUP(A183,'Données projet'!$A$253:$I$273,5,0)),0%,VLOOKUP(A183,'Données projet'!$A$253:$I$273,5,0)*VLOOKUP('Données projet'!$B$17,Paramètres!$A$1:$I$89,7,0))</f>
        <v>0</v>
      </c>
      <c r="GJ183" s="16">
        <f>IF(ISNA(VLOOKUP(A183,'Données projet'!$A$253:$I$273,6,0)),0%,VLOOKUP(A183,'Données projet'!$A$253:$I$273,6,0)*VLOOKUP('Données projet'!$B$17,Paramètres!$A$1:$I$89,7,0))</f>
        <v>0</v>
      </c>
      <c r="GK183" s="16">
        <f>IF(ISNA(VLOOKUP(A183,'Données projet'!$A$253:$I$273,7,0)),0%,VLOOKUP(A183,'Données projet'!$A$253:$I$273,7,0))</f>
        <v>0</v>
      </c>
      <c r="GL183" s="21">
        <f>EXP(-LN(2)/35)*GL182+(1-EXP(-LN(2)/35))/(LN(2)/35)*GH183*GI183*VLOOKUP('Données projet'!$B$17,Paramètres!$A$1:$I$89,3,0)*0.475*44/12</f>
        <v>17.005794276132416</v>
      </c>
      <c r="GM183" s="21">
        <f>EXP(-LN(2)/25)*GM182+(1-EXP(-LN(2)/25))/(LN(2)/25)*Calculateur!GH183*Calculateur!GJ183*VLOOKUP('Données projet'!$B$17,Paramètres!$A$1:$I$89,3,0)*0.475*44/12</f>
        <v>1.3610692833153883</v>
      </c>
      <c r="GN183" s="21">
        <f>EXP(-LN(2)/2)*GN182+(1-EXP(-LN(2)/2))/(LN(2)/2)*GH183*GK183*VLOOKUP('Données projet'!$B$17,Paramètres!$A$1:$I$89,3,0)*0.475*44/12</f>
        <v>0</v>
      </c>
      <c r="GO183" s="21">
        <f t="shared" si="352"/>
        <v>18.366863559447804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projet'!$A$279:$I$299,2,0)</f>
        <v>#N/A</v>
      </c>
      <c r="GS183" s="12" t="e">
        <f>VLOOKUP(A183,'Données projet'!$A$279:$I$299,9,0)</f>
        <v>#N/A</v>
      </c>
      <c r="GT183" s="12">
        <f t="array" ref="GT183">INDEX(GS:GS,MIN(IF(ISNUMBER(GS183:GS379),ROW(GS183:GS379),"")))</f>
        <v>0</v>
      </c>
      <c r="GU183" s="12">
        <f>IF('Données projet'!$A$280&gt;35,GU182+GT183-HC182,IF(A183&lt;'Données projet'!$A$280,$GR$205^A183,IF(A183='Données projet'!$A$280,'Données projet'!$B$280,GU182+GT183-HC182)))</f>
        <v>-1.1368683772161603E-13</v>
      </c>
      <c r="GV183" s="17">
        <f>GU183*VLOOKUP('Données projet'!$B$18,Paramètres!$A$1:$I$89,3,0)*VLOOKUP('Données projet'!$B$18,Paramètres!$A$1:$I$89,5,0)</f>
        <v>-4.5815795601811263E-14</v>
      </c>
      <c r="GW183" s="13" t="e">
        <f t="shared" si="353"/>
        <v>#NUM!</v>
      </c>
      <c r="GX183" s="20" t="e">
        <f t="shared" si="354"/>
        <v>#NUM!</v>
      </c>
      <c r="GY183" s="59" t="e">
        <f t="shared" si="252"/>
        <v>#NUM!</v>
      </c>
      <c r="GZ183" s="59">
        <f ca="1">AVERAGE(OFFSET($GY$3,0,0,'Données projet'!$E$18+1,1))-AVERAGE(OFFSET($H$3,0,0,'Données projet'!$E$18+1,1))</f>
        <v>324.36162935850876</v>
      </c>
      <c r="HA183" s="59">
        <f t="shared" si="305"/>
        <v>265.23571072429735</v>
      </c>
      <c r="HB183" s="15">
        <f>IF(ISNA(VLOOKUP(A183,'Données projet'!$A$279:$I$299,3,0)),0,VLOOKUP(A183,'Données projet'!$A$279:$I$299,3,0))</f>
        <v>0</v>
      </c>
      <c r="HC183" s="15">
        <f>IF(ISNA(VLOOKUP(A183,'Données projet'!$A$279:$I$299,4,0)),0,VLOOKUP(A183,'Données projet'!$A$279:$I$299,4,0))</f>
        <v>0</v>
      </c>
      <c r="HD183" s="16">
        <f>IF(ISNA(VLOOKUP(A183,'Données projet'!$A$279:$I$299,5,0)),0%,VLOOKUP(A183,'Données projet'!$A$279:$I$299,5,0)*VLOOKUP('Données projet'!$B$18,Paramètres!$A$1:$I$89,7,0))</f>
        <v>0</v>
      </c>
      <c r="HE183" s="16">
        <f>IF(ISNA(VLOOKUP(A183,'Données projet'!$A$279:$I$299,6,0)),0%,VLOOKUP(A183,'Données projet'!$A$279:$I$299,6,0)*VLOOKUP('Données projet'!$B$18,Paramètres!$A$1:$I$89,7,0))</f>
        <v>0</v>
      </c>
      <c r="HF183" s="16">
        <f>IF(ISNA(VLOOKUP($A183,'Données projet'!$A$279:$I$299,7,0)),0%,VLOOKUP($A183,'Données projet'!$A$279:$I$299,7,0))</f>
        <v>0</v>
      </c>
      <c r="HG183" s="21">
        <f>EXP(-LN(2)/35)*HG182+(1-EXP(-LN(2)/35))/(LN(2)/35)*HC183*HD183*VLOOKUP('Données projet'!$B$18,Paramètres!$A$1:$I$89,3,0)*0.475*44/12</f>
        <v>32.587547467575185</v>
      </c>
      <c r="HH183" s="21">
        <f>EXP(-LN(2)/25)*HH182+(1-EXP(-LN(2)/25))/(LN(2)/25)*Calculateur!HC183*Calculateur!HE183*VLOOKUP('Données projet'!$B$18,Paramètres!$A$1:$I$89,3,0)*0.475*44/12</f>
        <v>1.5137524921393986</v>
      </c>
      <c r="HI183" s="21">
        <f>EXP(-LN(2)/2)*HI182+(1-EXP(-LN(2)/2))/(LN(2)/2)*HC183*HF183*VLOOKUP('Données projet'!$B$18,Paramètres!$A$1:$I$89,3,0)*0.475*44/12</f>
        <v>7.5914472125226309E-15</v>
      </c>
      <c r="HJ183" s="22">
        <f t="shared" si="355"/>
        <v>34.101299959714588</v>
      </c>
      <c r="HK183" s="74">
        <f>('Scénario référence'!$F$8+'Scénario référence'!$F$9+'Scénario référence'!$B$17+'Scénario référence'!$B$9+'Scénario référence'!$B$10)*70+IF((45+25*(1-EXP(-0.0175*$A183)))&lt;70,'Scénario référence'!$B$16*(45+25*(1-EXP(-0.0175*$A183))),70*'Scénario référence'!$B$16)+IF((32+38*(1-EXP(-0.0175*$A183)))&lt;70,'Scénario référence'!$B$18*(32+38*(1-EXP(-0.0175*$A183))),70*'Scénario référence'!$B$18)</f>
        <v>70</v>
      </c>
      <c r="HL183" s="12">
        <f>IF($A183&gt;30,10,('Scénario référence'!$B$16+'Scénario référence'!$B$17+'Scénario référence'!$B$18+'Scénario référence'!$B$9+'Scénario référence'!$B$10)*$A183*10/30+('Scénario référence'!$F$8+'Scénario référence'!$F$9)*10)</f>
        <v>10</v>
      </c>
      <c r="HM183" s="12" t="e">
        <f>VLOOKUP($A183,'Données projet'!$A$304:$I$324,2,0)</f>
        <v>#N/A</v>
      </c>
      <c r="HN183" s="12" t="e">
        <f>VLOOKUP($A183,'Données projet'!$A$304:$I$324,9,0)</f>
        <v>#N/A</v>
      </c>
      <c r="HO183" s="12">
        <f t="array" ref="HO183">INDEX(HN:HN,MIN(IF(ISNUMBER(HN183:HN379),ROW(HN183:HN379),"")))</f>
        <v>0</v>
      </c>
      <c r="HP183" s="12">
        <f>IF('Données projet'!$A$304&gt;35,HP182+HO183-HX182,IF($A183&lt;'Données projet'!$A$304,$CQ$205^$A183,IF($A183='Données projet'!$A$304,'Données projet'!$B$304,HP182+HO183-HX182)))</f>
        <v>0</v>
      </c>
      <c r="HQ183" s="17">
        <f>HP183*VLOOKUP('Données projet'!$B$19,Paramètres!$A$1:$I$89,3,0)*VLOOKUP('Données projet'!$B$19,Paramètres!$A$1:$I$89,5,0)</f>
        <v>0</v>
      </c>
      <c r="HR183" s="13" t="e">
        <f t="shared" si="306"/>
        <v>#NUM!</v>
      </c>
      <c r="HS183" s="14" t="e">
        <f t="shared" si="254"/>
        <v>#NUM!</v>
      </c>
      <c r="HT183" s="59" t="e">
        <f t="shared" si="255"/>
        <v>#NUM!</v>
      </c>
      <c r="HU183" s="59">
        <f ca="1">AVERAGE(OFFSET(HT$3,0,0,'Données projet'!$E$19+1,1))-AVERAGE(OFFSET($H$3,0,0,'Données projet'!$E$19+1,1))</f>
        <v>91.60721429656013</v>
      </c>
      <c r="HV183" s="59">
        <f t="shared" si="307"/>
        <v>258.94957804210856</v>
      </c>
      <c r="HW183" s="15">
        <f>IF(ISNA(VLOOKUP($A183,'Données projet'!$A$304:$I$324,3,0)),0,VLOOKUP($A183,'Données projet'!$A$304:$I$324,3,0))</f>
        <v>0</v>
      </c>
      <c r="HX183" s="15">
        <f>IF(ISNA(VLOOKUP($A183,'Données projet'!$A$304:$I$324,4,0)),0,VLOOKUP($A183,'Données projet'!$A$304:$I$324,4,0))</f>
        <v>0</v>
      </c>
      <c r="HY183" s="16">
        <f>IF(ISNA(VLOOKUP($A183,'Données projet'!$A$304:$I$324,5,0)),0%,VLOOKUP($A183,'Données projet'!$A$304:$I$324,5,0)*VLOOKUP('Données projet'!$B$19,Paramètres!$A$1:$I$89,7,0))</f>
        <v>0</v>
      </c>
      <c r="HZ183" s="16">
        <f>IF(ISNA(VLOOKUP($A183,'Données projet'!$A$304:$I$324,6,0)),0%,VLOOKUP($A183,'Données projet'!$A$304:$I$324,6,0)*VLOOKUP('Données projet'!$B$19,Paramètres!$A$1:$I$89,7,0))</f>
        <v>0</v>
      </c>
      <c r="IA183" s="16">
        <f>IF(ISNA(VLOOKUP($A183,'Données projet'!$A$304:$I$324,7,0)),0%,VLOOKUP($A183,'Données projet'!$A$304:$I$324,7,0))</f>
        <v>0</v>
      </c>
      <c r="IB183" s="21">
        <f>EXP(-LN(2)/35)*IB182+(1-EXP(-LN(2)/35))/(LN(2)/35)*HX183*HY183*VLOOKUP('Données projet'!$B$19,Paramètres!$A$1:$I$89,3,0)*0.475*44/12</f>
        <v>2.5293351177447922</v>
      </c>
      <c r="IC183" s="21">
        <f>EXP(-LN(2)/25)*IC182+(1-EXP(-LN(2)/25))/(LN(2)/25)*Calculateur!HX183*Calculateur!HZ183*VLOOKUP('Données projet'!$B$19,Paramètres!$A$1:$I$89,3,0)*0.475*44/12</f>
        <v>0.15199572931468611</v>
      </c>
      <c r="ID183" s="21">
        <f>EXP(-LN(2)/2)*ID182+(1-EXP(-LN(2)/2))/(LN(2)/2)*HX183*IA183*VLOOKUP('Données projet'!$B$19,Paramètres!$A$1:$I$89,3,0)*0.475*44/12</f>
        <v>1.5163274436185642E-23</v>
      </c>
      <c r="IE183" s="22">
        <f t="shared" si="256"/>
        <v>2.6813308470594786</v>
      </c>
      <c r="IF183" s="74">
        <f>('Scénario référence'!$F$8+'Scénario référence'!$F$9+'Scénario référence'!$B$17+'Scénario référence'!$B$9+'Scénario référence'!$B$10)*70+IF((45+25*(1-EXP(-0.0175*$A183)))&lt;70,'Scénario référence'!$B$16*(45+25*(1-EXP(-0.0175*$A183))),70*'Scénario référence'!$B$16)+IF((32+38*(1-EXP(-0.0175*$A183)))&lt;70,'Scénario référence'!$B$18*(32+38*(1-EXP(-0.0175*$A183))),70*'Scénario référence'!$B$18)</f>
        <v>70</v>
      </c>
      <c r="IG183" s="12">
        <f>IF($A183&gt;30,10,('Scénario référence'!$B$16+'Scénario référence'!$B$17+'Scénario référence'!$B$18+'Scénario référence'!$B$9+'Scénario référence'!$B$10)*$A183*10/30+('Scénario référence'!$F$8+'Scénario référence'!$F$9)*10)</f>
        <v>10</v>
      </c>
      <c r="IH183" s="12" t="e">
        <f>VLOOKUP($A183,'Données projet'!$A$330:$I$350,2,0)</f>
        <v>#N/A</v>
      </c>
      <c r="II183" s="12" t="e">
        <f>VLOOKUP($A183,'Données projet'!$A$330:$I$350,9,0)</f>
        <v>#N/A</v>
      </c>
      <c r="IJ183" s="12">
        <f t="array" ref="IJ183">INDEX(II:II,MIN(IF(ISNUMBER(II183:II379),ROW(II183:II379),"")))</f>
        <v>0</v>
      </c>
      <c r="IK183" s="12">
        <f>IF('Données projet'!$A$330&gt;35,IK182+IJ183-IS182,IF($A183&lt;'Données projet'!$A$330,$CQ$205^$A183,IF($A183='Données projet'!$A$330,'Données projet'!$B$330,IK182+IJ183-IS182)))</f>
        <v>0</v>
      </c>
      <c r="IL183" s="17">
        <f>IK183*VLOOKUP('Données projet'!$B$20,Paramètres!$A$1:$I$89,3,0)*VLOOKUP('Données projet'!$B$20,Paramètres!$A$1:$I$89,5,0)</f>
        <v>0</v>
      </c>
      <c r="IM183" s="13" t="e">
        <f t="shared" si="308"/>
        <v>#NUM!</v>
      </c>
      <c r="IN183" s="20" t="e">
        <f t="shared" si="257"/>
        <v>#NUM!</v>
      </c>
      <c r="IO183" s="59" t="e">
        <f t="shared" si="258"/>
        <v>#NUM!</v>
      </c>
      <c r="IP183" s="59">
        <f ca="1">AVERAGE(OFFSET(IO$3,0,0,'Données projet'!$E$20+1,1))-AVERAGE(OFFSET($H$3,0,0,'Données projet'!$E$20+1,1))</f>
        <v>91.60721429656013</v>
      </c>
      <c r="IQ183" s="59">
        <f t="shared" si="309"/>
        <v>258.94957804210856</v>
      </c>
      <c r="IR183" s="15">
        <f>IF(ISNA(VLOOKUP($A183,'Données projet'!$A$330:$I$350,3,0)),0,VLOOKUP($A183,'Données projet'!$A$330:$I$350,3,0))</f>
        <v>0</v>
      </c>
      <c r="IS183" s="15">
        <f>IF(ISNA(VLOOKUP($A183,'Données projet'!$A$330:$I$350,4,0)),0,VLOOKUP($A183,'Données projet'!$A$330:$I$350,4,0))</f>
        <v>0</v>
      </c>
      <c r="IT183" s="16">
        <f>IF(ISNA(VLOOKUP($A183,'Données projet'!$A$330:$I$350,5,0)),0%,VLOOKUP($A183,'Données projet'!$A$330:$I$350,5,0)*VLOOKUP('Données projet'!$B$20,Paramètres!$A$1:$I$89,7,0))</f>
        <v>0</v>
      </c>
      <c r="IU183" s="16">
        <f>IF(ISNA(VLOOKUP($A183,'Données projet'!$A$330:$I$350,6,0)),0%,VLOOKUP($A183,'Données projet'!$A$330:$I$350,6,0)*VLOOKUP('Données projet'!$B$20,Paramètres!$A$1:$I$89,7,0))</f>
        <v>0</v>
      </c>
      <c r="IV183" s="16">
        <f>IF(ISNA(VLOOKUP($A183,'Données projet'!$A$330:$I$350,7,0)),0%,VLOOKUP($A183,'Données projet'!$A$330:$I$350,7,0))</f>
        <v>0</v>
      </c>
      <c r="IW183" s="21">
        <f>EXP(-LN(2)/35)*IW182+(1-EXP(-LN(2)/35))/(LN(2)/35)*IS183*IT183*VLOOKUP('Données projet'!$B$20,Paramètres!$A$1:$I$89,3,0)*0.475*44/12</f>
        <v>2.5293351177447922</v>
      </c>
      <c r="IX183" s="21">
        <f>EXP(-LN(2)/25)*IX182+(1-EXP(-LN(2)/25))/(LN(2)/25)*Calculateur!IS183*Calculateur!IU183*VLOOKUP('Données projet'!$B$20,Paramètres!$A$1:$I$89,3,0)*0.475*44/12</f>
        <v>0.15199572931468611</v>
      </c>
      <c r="IY183" s="21">
        <f>EXP(-LN(2)/2)*IY182+(1-EXP(-LN(2)/2))/(LN(2)/2)*IS183*IV183*VLOOKUP('Données projet'!$B$20,Paramètres!$A$1:$I$89,3,0)*0.475*44/12</f>
        <v>1.5163274436185642E-23</v>
      </c>
      <c r="IZ183" s="22">
        <f t="shared" si="259"/>
        <v>2.6813308470594786</v>
      </c>
      <c r="JA183" s="74">
        <f>('Scénario référence'!$F$8+'Scénario référence'!$F$9+'Scénario référence'!$B$17+'Scénario référence'!$B$9+'Scénario référence'!$B$10)*70+IF((45+25*(1-EXP(-0.0175*$A183)))&lt;70,'Scénario référence'!$B$16*(45+25*(1-EXP(-0.0175*$A183))),70*'Scénario référence'!$B$16)+IF((32+38*(1-EXP(-0.0175*$A183)))&lt;70,'Scénario référence'!$B$18*(32+38*(1-EXP(-0.0175*$A183))),70*'Scénario référence'!$B$18)</f>
        <v>70</v>
      </c>
      <c r="JB183" s="12">
        <f>IF($A183&gt;30,10,('Scénario référence'!$B$16+'Scénario référence'!$B$17+'Scénario référence'!$B$18+'Scénario référence'!$B$9+'Scénario référence'!$B$10)*$A183*10/30+('Scénario référence'!$F$8+'Scénario référence'!$F$9)*10)</f>
        <v>10</v>
      </c>
      <c r="JC183" s="12" t="e">
        <f>VLOOKUP($A183,'Données projet'!$A$356:$I$376,2,0)</f>
        <v>#N/A</v>
      </c>
      <c r="JD183" s="12" t="e">
        <f>VLOOKUP($A183,'Données projet'!$A$356:$I$376,9,0)</f>
        <v>#N/A</v>
      </c>
      <c r="JE183" s="12">
        <f t="array" ref="JE183">INDEX(JD:JD,MIN(IF(ISNUMBER(JD183:JD379),ROW(JD183:JD379),"")))</f>
        <v>0</v>
      </c>
      <c r="JF183" s="12">
        <f>IF('Données projet'!$A$356&gt;35,JF182+JE183-JN182,IF($A183&lt;'Données projet'!$A$356,$CQ$205^$A183,IF($A183='Données projet'!$A$356,'Données projet'!$B$356,JF182+JE183-JN182)))</f>
        <v>-1.3073986337985843E-12</v>
      </c>
      <c r="JG183" s="17">
        <f>JF183*VLOOKUP('Données projet'!$B$21,Paramètres!$A$1:$I$89,3,0)*VLOOKUP('Données projet'!$B$21,Paramètres!$A$1:$I$89,5,0)</f>
        <v>-1.0605617717374117E-12</v>
      </c>
      <c r="JH183" s="13" t="e">
        <f t="shared" si="310"/>
        <v>#NUM!</v>
      </c>
      <c r="JI183" s="20" t="e">
        <f t="shared" si="260"/>
        <v>#NUM!</v>
      </c>
      <c r="JJ183" s="59" t="e">
        <f t="shared" si="261"/>
        <v>#NUM!</v>
      </c>
      <c r="JK183" s="59">
        <f ca="1">AVERAGE(OFFSET($JJ$3,0,0,'Données projet'!$E$22+1,1))-AVERAGE(OFFSET($H$3,0,0,'Données projet'!$E$22+1,1))</f>
        <v>353.35574633294613</v>
      </c>
      <c r="JL183" s="59">
        <f t="shared" si="311"/>
        <v>170.36796666474726</v>
      </c>
      <c r="JM183" s="15">
        <f>IF(ISNA(VLOOKUP($A183,'Données projet'!$A$356:$I$376,3,0)),0,VLOOKUP($A183,'Données projet'!$A$356:$I$376,3,0))</f>
        <v>0</v>
      </c>
      <c r="JN183" s="15">
        <f>IF(ISNA(VLOOKUP($A183,'Données projet'!$A$356:$I$376,4,0)),0,VLOOKUP($A183,'Données projet'!$A$356:$I$376,4,0))</f>
        <v>0</v>
      </c>
      <c r="JO183" s="16">
        <f>IF(ISNA(VLOOKUP($A183,'Données projet'!$A$356:$I$376,5,0)),0%,VLOOKUP($A183,'Données projet'!$A$356:$I$376,5,0)*VLOOKUP('Données projet'!$B$21,Paramètres!$A$1:$I$89,7,0))</f>
        <v>0</v>
      </c>
      <c r="JP183" s="16">
        <f>IF(ISNA(VLOOKUP($A183,'Données projet'!$A$356:$I$376,6,0)),0%,VLOOKUP($A183,'Données projet'!$A$356:$I$376,6,0)*VLOOKUP('Données projet'!$B$21,Paramètres!$A$1:$I$89,7,0))</f>
        <v>0</v>
      </c>
      <c r="JQ183" s="16">
        <f>IF(ISNA(VLOOKUP($A183,'Données projet'!$A$356:$I$376,7,0)),0%,VLOOKUP($A183,'Données projet'!$A$356:$I$376,7,0))</f>
        <v>0</v>
      </c>
      <c r="JR183" s="21">
        <f>EXP(-LN(2)/35)*JR182+(1-EXP(-LN(2)/35))/(LN(2)/35)*JN183*JO183*VLOOKUP('Données projet'!$B$21,Paramètres!$A$1:$I$89,3,0)*0.475*44/12</f>
        <v>40.549013492541931</v>
      </c>
      <c r="JS183" s="21">
        <f>EXP(-LN(2)/25)*JS182+(1-EXP(-LN(2)/25))/(LN(2)/25)*Calculateur!JN183*Calculateur!JP183*VLOOKUP('Données projet'!$B$21,Paramètres!$A$1:$I$89,3,0)*0.475*44/12</f>
        <v>33.266750526035025</v>
      </c>
      <c r="JT183" s="21">
        <f>EXP(-LN(2)/2)*JT182+(1-EXP(-LN(2)/2))/(LN(2)/2)*JN183*JQ183*VLOOKUP('Données projet'!$B$21,Paramètres!$A$1:$I$89,3,0)*0.475*44/12</f>
        <v>1.0464760410022632E-3</v>
      </c>
      <c r="JU183" s="18">
        <f t="shared" si="262"/>
        <v>73.816810494617954</v>
      </c>
      <c r="JV183" s="74">
        <f>('Scénario référence'!$F$8+'Scénario référence'!$F$9+'Scénario référence'!$B$17+'Scénario référence'!$B$9+'Scénario référence'!$B$10)*70+IF((45+25*(1-EXP(-0.0175*$A183)))&lt;70,'Scénario référence'!$B$16*(45+25*(1-EXP(-0.0175*$A183))),70*'Scénario référence'!$B$16)+IF((32+38*(1-EXP(-0.0175*$A183)))&lt;70,'Scénario référence'!$B$18*(32+38*(1-EXP(-0.0175*$A183))),70*'Scénario référence'!$B$18)</f>
        <v>70</v>
      </c>
      <c r="JW183" s="12">
        <f>IF($A183&gt;30,10,('Scénario référence'!$B$16+'Scénario référence'!$B$17+'Scénario référence'!$B$18+'Scénario référence'!$B$9+'Scénario référence'!$B$10)*$A183*10/30+('Scénario référence'!$F$8+'Scénario référence'!$F$9)*10)</f>
        <v>10</v>
      </c>
      <c r="JX183" s="12" t="e">
        <f>VLOOKUP($A183,'Données projet'!$A$382:$I$402,2,0)</f>
        <v>#N/A</v>
      </c>
      <c r="JY183" s="12" t="e">
        <f>VLOOKUP($A183,'Données projet'!$A$382:$I$402,9,0)</f>
        <v>#N/A</v>
      </c>
      <c r="JZ183" s="12">
        <f t="array" ref="JZ183">INDEX(JY:JY,MIN(IF(ISNUMBER(JY183:JY379),ROW(JY183:JY379),"")))</f>
        <v>0</v>
      </c>
      <c r="KA183" s="12">
        <f>IF('Données projet'!$A$382&gt;35,KA182+JZ183-KI182,IF($A183&lt;'Données projet'!$A$382,$CQ$205^$A183,IF($A183='Données projet'!$A$382,'Données projet'!$B$382,KA182+JZ183-KI182)))</f>
        <v>5.6843418860808015E-13</v>
      </c>
      <c r="KB183" s="17">
        <f>KA183*VLOOKUP('Données projet'!$B$22,Paramètres!$A$1:$I$89,3,0)*VLOOKUP('Données projet'!$B$22,Paramètres!$A$1:$I$89,5,0)</f>
        <v>3.8130565371830017E-13</v>
      </c>
      <c r="KC183" s="13">
        <f t="shared" si="312"/>
        <v>4.9019074112354236E-12</v>
      </c>
      <c r="KD183" s="20">
        <f t="shared" si="263"/>
        <v>9.2015960881277352E-12</v>
      </c>
      <c r="KE183" s="59">
        <f t="shared" si="264"/>
        <v>293.33333333334252</v>
      </c>
      <c r="KF183" s="59">
        <f ca="1">AVERAGE(OFFSET($KE$3,0,0,'Données projet'!$E$22+1,1))-AVERAGE(OFFSET($H$3,0,0,'Données projet'!$E$22+1,1))</f>
        <v>193.91714772848269</v>
      </c>
      <c r="KG183" s="59">
        <f t="shared" si="313"/>
        <v>159.20429420478047</v>
      </c>
      <c r="KH183" s="15">
        <f>IF(ISNA(VLOOKUP($A183,'Données projet'!$A$382:$I$402,3,0)),0,VLOOKUP($A183,'Données projet'!$A$382:$I$402,3,0))</f>
        <v>0</v>
      </c>
      <c r="KI183" s="15">
        <f>IF(ISNA(VLOOKUP($A183,'Données projet'!$A$382:$I$402,4,0)),0,VLOOKUP($A183,'Données projet'!$A$382:$I$402,4,0))</f>
        <v>0</v>
      </c>
      <c r="KJ183" s="16">
        <f>IF(ISNA(VLOOKUP($A183,'Données projet'!$A$382:$I$402,5,0)),0%,VLOOKUP($A183,'Données projet'!$A$382:$I$402,5,0)*VLOOKUP('Données projet'!$B$22,Paramètres!$A$1:$I$89,7,0))</f>
        <v>0</v>
      </c>
      <c r="KK183" s="16">
        <f>IF(ISNA(VLOOKUP($A183,'Données projet'!$A$382:$I$402,6,0)),0%,VLOOKUP($A183,'Données projet'!$A$382:$I$402,6,0)*VLOOKUP('Données projet'!$B$22,Paramètres!$A$1:$I$89,7,0))</f>
        <v>0</v>
      </c>
      <c r="KL183" s="16">
        <f>IF(ISNA(VLOOKUP($A183,'Données projet'!$A$382:$I$402,7,0)),0%,VLOOKUP($A183,'Données projet'!$A$382:$I$402,7,0))</f>
        <v>0</v>
      </c>
      <c r="KM183" s="21">
        <f>EXP(-LN(2)/35)*KM182+(1-EXP(-LN(2)/35))/(LN(2)/35)*KI183*KJ183*VLOOKUP('Données projet'!$B$22,Paramètres!$A$1:$I$89,3,0)*0.475*44/12</f>
        <v>59.206035060796601</v>
      </c>
      <c r="KN183" s="21">
        <f>EXP(-LN(2)/25)*KN182+(1-EXP(-LN(2)/25))/(LN(2)/25)*Calculateur!KI183*Calculateur!KK183*VLOOKUP('Données projet'!$B$22,Paramètres!$A$1:$I$89,3,0)*0.475*44/12</f>
        <v>0</v>
      </c>
      <c r="KO183" s="21">
        <f>EXP(-LN(2)/2)*KO182+(1-EXP(-LN(2)/2))/(LN(2)/2)*KI183*KL183*VLOOKUP('Données projet'!$B$22,Paramètres!$A$1:$I$89,3,0)*0.475*44/12</f>
        <v>0</v>
      </c>
      <c r="KP183" s="22">
        <f t="shared" si="265"/>
        <v>59.206035060796601</v>
      </c>
      <c r="KQ183" s="74">
        <f>('Scénario référence'!$F$8+'Scénario référence'!$F$9+'Scénario référence'!$B$17+'Scénario référence'!$B$9+'Scénario référence'!$B$10)*70+IF((45+25*(1-EXP(-0.0175*$A183)))&lt;70,'Scénario référence'!$B$16*(45+25*(1-EXP(-0.0175*$A183))),70*'Scénario référence'!$B$16)+IF((32+38*(1-EXP(-0.0175*$A183)))&lt;70,'Scénario référence'!$B$18*(32+38*(1-EXP(-0.0175*$A183))),70*'Scénario référence'!$B$18)</f>
        <v>70</v>
      </c>
      <c r="KR183" s="12">
        <f>IF($A183&gt;30,10,('Scénario référence'!$B$16+'Scénario référence'!$B$17+'Scénario référence'!$B$18+'Scénario référence'!$B$9+'Scénario référence'!$B$10)*$A183*10/30+('Scénario référence'!$F$8+'Scénario référence'!$F$9)*10)</f>
        <v>10</v>
      </c>
      <c r="KS183" s="12" t="e">
        <f>VLOOKUP($A183,'Données projet'!$A$408:$I$428,2,0)</f>
        <v>#N/A</v>
      </c>
      <c r="KT183" s="12" t="e">
        <f>VLOOKUP($A183,'Données projet'!$A$408:$I$428,9,0)</f>
        <v>#N/A</v>
      </c>
      <c r="KU183" s="12">
        <f t="array" ref="KU183">INDEX(KT:KT,MIN(IF(ISNUMBER(KT183:KT379),ROW(KT183:KT379),"")))</f>
        <v>0</v>
      </c>
      <c r="KV183" s="12">
        <f>IF('Données projet'!$A$408&gt;35,KV182+KU183-LD182,IF($A183&lt;'Données projet'!$A$408,$CQ$205^$A183,IF($A183='Données projet'!$A$408,'Données projet'!$B$408,KV182+KU183-LD182)))</f>
        <v>-1.1368683772161603E-13</v>
      </c>
      <c r="KW183" s="17">
        <f>KV183*VLOOKUP('Données projet'!$B$23,Paramètres!$A$1:$I$89,3,0)*VLOOKUP('Données projet'!$B$23,Paramètres!$A$1:$I$89,5,0)</f>
        <v>-9.9316821433603781E-14</v>
      </c>
      <c r="KX183" s="13" t="e">
        <f t="shared" si="314"/>
        <v>#NUM!</v>
      </c>
      <c r="KY183" s="14" t="e">
        <f t="shared" si="266"/>
        <v>#NUM!</v>
      </c>
      <c r="KZ183" s="59" t="e">
        <f t="shared" si="267"/>
        <v>#NUM!</v>
      </c>
      <c r="LA183" s="59">
        <f ca="1">AVERAGE(OFFSET($KZ$3,0,0,'Données projet'!$E$23+1,1))-AVERAGE(OFFSET($H$3,0,0,'Données projet'!$E$23+1,1))</f>
        <v>248.33596943633819</v>
      </c>
      <c r="LB183" s="59">
        <f t="shared" si="315"/>
        <v>242.34010522344573</v>
      </c>
      <c r="LC183" s="15">
        <f>IF(ISNA(VLOOKUP($A183,'Données projet'!$A$408:$I$428,3,0)),0,VLOOKUP($A183,'Données projet'!$A$408:$I$428,3,0))</f>
        <v>0</v>
      </c>
      <c r="LD183" s="15">
        <f>IF(ISNA(VLOOKUP($A183,'Données projet'!$A$408:$I$428,4,0)),0,VLOOKUP($A183,'Données projet'!$A$408:$I$428,4,0))</f>
        <v>0</v>
      </c>
      <c r="LE183" s="16">
        <f>IF(ISNA(VLOOKUP($A183,'Données projet'!$A$408:$I$428,5,0)),0%,VLOOKUP($A183,'Données projet'!$A$408:$I$428,5,0)*VLOOKUP('Données projet'!$B$23,Paramètres!$A$1:$I$89,7,0))</f>
        <v>0</v>
      </c>
      <c r="LF183" s="16">
        <f>IF(ISNA(VLOOKUP($A183,'Données projet'!$A$408:$I$428,6,0)),0%,VLOOKUP($A183,'Données projet'!$A$408:$I$428,6,0)*VLOOKUP('Données projet'!$B$23,Paramètres!$A$1:$I$89,7,0))</f>
        <v>0</v>
      </c>
      <c r="LG183" s="16">
        <f>IF(ISNA(VLOOKUP($A183,'Données projet'!$A$408:$I$428,7,0)),0%,VLOOKUP($A183,'Données projet'!$A$408:$I$428,7,0))</f>
        <v>0</v>
      </c>
      <c r="LH183" s="21">
        <f>EXP(-LN(2)/35)*LH182+(1-EXP(-LN(2)/35))/(LN(2)/35)*LD183*LE183*VLOOKUP('Données projet'!$B$23,Paramètres!$A$1:$I$89,3,0)*0.475*44/12</f>
        <v>17.005794276132416</v>
      </c>
      <c r="LI183" s="21">
        <f>EXP(-LN(2)/25)*LI182+(1-EXP(-LN(2)/25))/(LN(2)/25)*Calculateur!LD183*Calculateur!LF183*VLOOKUP('Données projet'!$B$23,Paramètres!$A$1:$I$89,3,0)*0.475*44/12</f>
        <v>1.3610692833153883</v>
      </c>
      <c r="LJ183" s="21">
        <f>EXP(-LN(2)/2)*LJ182+(1-EXP(-LN(2)/2))/(LN(2)/2)*LD183*LG183*VLOOKUP('Données projet'!$B$23,Paramètres!$A$1:$I$89,3,0)*0.475*44/12</f>
        <v>0</v>
      </c>
      <c r="LK183" s="22">
        <f t="shared" si="268"/>
        <v>18.366863559447804</v>
      </c>
      <c r="LL183" s="74">
        <f>('Scénario référence'!$F$8+'Scénario référence'!$F$9+'Scénario référence'!$B$17+'Scénario référence'!$B$9+'Scénario référence'!$B$10)*70+IF((45+25*(1-EXP(-0.0175*$A183)))&lt;70,'Scénario référence'!$B$16*(45+25*(1-EXP(-0.0175*$A183))),70*'Scénario référence'!$B$16)+IF((32+38*(1-EXP(-0.0175*$A183)))&lt;70,'Scénario référence'!$B$18*(32+38*(1-EXP(-0.0175*$A183))),70*'Scénario référence'!$B$18)</f>
        <v>70</v>
      </c>
      <c r="LM183" s="12">
        <f>IF($A183&gt;30,10,('Scénario référence'!$B$16+'Scénario référence'!$B$17+'Scénario référence'!$B$18+'Scénario référence'!$B$9+'Scénario référence'!$B$10)*$A183*10/30+('Scénario référence'!$F$8+'Scénario référence'!$F$9)*10)</f>
        <v>10</v>
      </c>
      <c r="LN183" s="12" t="e">
        <f>VLOOKUP($A183,'Données projet'!$A$434:$I$454,2,0)</f>
        <v>#N/A</v>
      </c>
      <c r="LO183" s="12" t="e">
        <f>VLOOKUP($A183,'Données projet'!$A$434:$I$454,9,0)</f>
        <v>#N/A</v>
      </c>
      <c r="LP183" s="12">
        <f t="array" ref="LP183">INDEX(LO:LO,MIN(IF(ISNUMBER(LO183:LO379),ROW(LO183:LO379),"")))</f>
        <v>0</v>
      </c>
      <c r="LQ183" s="12">
        <f>IF('Données projet'!$A$434&gt;35,LQ182+LP183-LY182,IF($A183&lt;'Données projet'!$A$434,$CQ$205^$A183,IF($A183='Données projet'!$A$434,'Données projet'!$B$434,LQ182+LP183-LY182)))</f>
        <v>-4.5474735088646412E-13</v>
      </c>
      <c r="LR183" s="17">
        <f>LQ183*VLOOKUP('Données projet'!$B$24,Paramètres!$A$1:$I$89,3,0)*VLOOKUP('Données projet'!$B$24,Paramètres!$A$1:$I$89,5,0)</f>
        <v>-4.6111381379887462E-13</v>
      </c>
      <c r="LS183" s="13" t="e">
        <f t="shared" si="316"/>
        <v>#NUM!</v>
      </c>
      <c r="LT183" s="14" t="e">
        <f t="shared" si="269"/>
        <v>#NUM!</v>
      </c>
      <c r="LU183" s="59" t="e">
        <f t="shared" si="270"/>
        <v>#NUM!</v>
      </c>
      <c r="LV183" s="59">
        <f ca="1">AVERAGE(OFFSET($LU$3,0,0,'Données projet'!$E$24+1,1))-AVERAGE(OFFSET($H$3,0,0,'Données projet'!$E$24+1,1))</f>
        <v>260.52627655062872</v>
      </c>
      <c r="LW183" s="59">
        <f t="shared" si="317"/>
        <v>159.20429420478047</v>
      </c>
      <c r="LX183" s="15">
        <f>IF(ISNA(VLOOKUP($A183,'Données projet'!$A$434:$I$454,3,0)),0,VLOOKUP($A183,'Données projet'!$A$434:$I$454,3,0))</f>
        <v>0</v>
      </c>
      <c r="LY183" s="15">
        <f>IF(ISNA(VLOOKUP($A183,'Données projet'!$A$434:$I$454,4,0)),0,VLOOKUP($A183,'Données projet'!$A$434:$I$454,4,0))</f>
        <v>0</v>
      </c>
      <c r="LZ183" s="16">
        <f>IF(ISNA(VLOOKUP($A183,'Données projet'!$A$434:$I$454,5,0)),0%,VLOOKUP($A183,'Données projet'!$A$434:$I$454,5,0)*VLOOKUP('Données projet'!$B$24,Paramètres!$A$1:$I$89,7,0))</f>
        <v>0</v>
      </c>
      <c r="MA183" s="16">
        <f>IF(ISNA(VLOOKUP($A183,'Données projet'!$A$434:$I$454,6,0)),0%,VLOOKUP($A183,'Données projet'!$A$434:$I$454,6,0)*VLOOKUP('Données projet'!$B$24,Paramètres!$A$1:$I$89,7,0))</f>
        <v>0</v>
      </c>
      <c r="MB183" s="16">
        <f>IF(ISNA(VLOOKUP($A183,'Données projet'!$A$434:$I$454,7,0)),0%,VLOOKUP($A183,'Données projet'!$A$434:$I$454,7,0))</f>
        <v>0</v>
      </c>
      <c r="MC183" s="21">
        <f>EXP(-LN(2)/35)*MC182+(1-EXP(-LN(2)/35))/(LN(2)/35)*LY183*LZ183*VLOOKUP('Données projet'!$B$24,Paramètres!$A$1:$I$89,3,0)*0.475*44/12</f>
        <v>109.3414810383819</v>
      </c>
      <c r="MD183" s="21">
        <f>EXP(-LN(2)/25)*MD182+(1-EXP(-LN(2)/25))/(LN(2)/25)*Calculateur!LY183*Calculateur!MA183*VLOOKUP('Données projet'!$B$24,Paramètres!$A$1:$I$89,3,0)*0.475*44/12</f>
        <v>0</v>
      </c>
      <c r="ME183" s="21">
        <f>EXP(-LN(2)/2)*ME182+(1-EXP(-LN(2)/2))/(LN(2)/2)*LY183*MB183*VLOOKUP('Données projet'!$B$24,Paramètres!$A$1:$I$89,3,0)*0.475*44/12</f>
        <v>0</v>
      </c>
      <c r="MF183" s="22">
        <f t="shared" si="271"/>
        <v>109.3414810383819</v>
      </c>
      <c r="MG183" s="74">
        <f>('Scénario référence'!$F$8+'Scénario référence'!$F$9+'Scénario référence'!$B$17+'Scénario référence'!$B$9+'Scénario référence'!$B$10)*70+IF((45+25*(1-EXP(-0.0175*$A183)))&lt;70,'Scénario référence'!$B$16*(45+25*(1-EXP(-0.0175*$A183))),70*'Scénario référence'!$B$16)+IF((32+38*(1-EXP(-0.0175*$A183)))&lt;70,'Scénario référence'!$B$18*(32+38*(1-EXP(-0.0175*$A183))),70*'Scénario référence'!$B$18)</f>
        <v>70</v>
      </c>
      <c r="MH183" s="12">
        <f>IF($A183&gt;30,10,('Scénario référence'!$B$16+'Scénario référence'!$B$17+'Scénario référence'!$B$18+'Scénario référence'!$B$9+'Scénario référence'!$B$10)*$A183*10/30+('Scénario référence'!$F$8+'Scénario référence'!$F$9)*10)</f>
        <v>10</v>
      </c>
      <c r="MI183" s="12" t="e">
        <f>VLOOKUP($A183,'Données projet'!$A$460:$I$480,2,0)</f>
        <v>#N/A</v>
      </c>
      <c r="MJ183" s="12" t="e">
        <f>VLOOKUP($A183,'Données projet'!$A$460:$I$480,9,0)</f>
        <v>#N/A</v>
      </c>
      <c r="MK183" s="12">
        <f t="array" ref="MK183">INDEX(MJ:MJ,MIN(IF(ISNUMBER(MJ183:MJ379),ROW(MJ183:MJ379),"")))</f>
        <v>0</v>
      </c>
      <c r="ML183" s="12">
        <f>IF('Données projet'!$A$460&gt;35,ML182+MK183-MT182,IF($A183&lt;'Données projet'!$A$460,$CQ$205^$A183,IF($A183='Données projet'!$A$460,'Données projet'!$B$460,ML182+MK183-MT182)))</f>
        <v>0</v>
      </c>
      <c r="MM183" s="17" t="e">
        <f>ML183*VLOOKUP('Données projet'!$B$25,Paramètres!$A$1:$I$89,3,0)*VLOOKUP('Données projet'!$B$25,Paramètres!$A$1:$I$89,5,0)</f>
        <v>#N/A</v>
      </c>
      <c r="MN183" s="13" t="e">
        <f t="shared" si="318"/>
        <v>#N/A</v>
      </c>
      <c r="MO183" s="14" t="e">
        <f t="shared" si="272"/>
        <v>#N/A</v>
      </c>
      <c r="MP183" s="59" t="e">
        <f t="shared" si="273"/>
        <v>#N/A</v>
      </c>
      <c r="MQ183" s="20" t="e">
        <f ca="1">AVERAGE(OFFSET($MP$3,0,0,'Données projet'!$E$25+1,1))-AVERAGE(OFFSET($H$3,0,0,'Données projet'!$E$25+1,1))</f>
        <v>#N/A</v>
      </c>
      <c r="MR183" s="59" t="e">
        <f t="shared" si="319"/>
        <v>#N/A</v>
      </c>
      <c r="MS183" s="15">
        <f>IF(ISNA(VLOOKUP($A183,'Données projet'!$A$460:$I$480,3,0)),0,VLOOKUP($A183,'Données projet'!$A$460:$I$480,3,0))</f>
        <v>0</v>
      </c>
      <c r="MT183" s="15">
        <f>IF(ISNA(VLOOKUP($A183,'Données projet'!$A$460:$I$480,4,0)),0,VLOOKUP($A183,'Données projet'!$A$460:$I$480,4,0))</f>
        <v>0</v>
      </c>
      <c r="MU183" s="16">
        <f>IF(ISNA(VLOOKUP($A183,'Données projet'!$A$460:$I$480,5,0)),0%,VLOOKUP($A183,'Données projet'!$A$460:$I$480,5,0)*VLOOKUP('Données projet'!$B$25,Paramètres!$A$1:$I$89,7,0))</f>
        <v>0</v>
      </c>
      <c r="MV183" s="16">
        <f>IF(ISNA(VLOOKUP($A183,'Données projet'!$A$460:$I$480,6,0)),0%,VLOOKUP($A183,'Données projet'!$A$460:$I$480,6,0)*VLOOKUP('Données projet'!$B$25,Paramètres!$A$1:$I$89,7,0))</f>
        <v>0</v>
      </c>
      <c r="MW183" s="16">
        <f>IF(ISNA(VLOOKUP($A183,'Données projet'!$A$460:$I$480,7,0)),0%,VLOOKUP($A183,'Données projet'!$A$460:$I$480,7,0))</f>
        <v>0</v>
      </c>
      <c r="MX183" s="21" t="e">
        <f>EXP(-LN(2)/35)*MX182+(1-EXP(-LN(2)/35))/(LN(2)/35)*MT183*MU183*VLOOKUP('Données projet'!$B$25,Paramètres!$A$1:$I$89,3,0)*0.475*44/12</f>
        <v>#N/A</v>
      </c>
      <c r="MY183" s="21" t="e">
        <f>EXP(-LN(2)/25)*MY182+(1-EXP(-LN(2)/25))/(LN(2)/25)*Calculateur!MT183*Calculateur!MV183*VLOOKUP('Données projet'!$B$25,Paramètres!$A$1:$I$89,3,0)*0.475*44/12</f>
        <v>#N/A</v>
      </c>
      <c r="MZ183" s="21" t="e">
        <f>EXP(-LN(2)/2)*MZ182+(1-EXP(-LN(2)/2))/(LN(2)/2)*MT183*MW183*VLOOKUP('Données projet'!$B$25,Paramètres!$A$1:$I$89,3,0)*0.475*44/12</f>
        <v>#N/A</v>
      </c>
      <c r="NA183" s="22" t="e">
        <f t="shared" si="274"/>
        <v>#N/A</v>
      </c>
      <c r="NB183" s="74">
        <f>('Scénario référence'!$F$8+'Scénario référence'!$F$9+'Scénario référence'!$B$17+'Scénario référence'!$B$9+'Scénario référence'!$B$10)*70+IF((45+25*(1-EXP(-0.0175*$A183)))&lt;70,'Scénario référence'!$B$16*(45+25*(1-EXP(-0.0175*$A183))),70*'Scénario référence'!$B$16)+IF((32+38*(1-EXP(-0.0175*$A183)))&lt;70,'Scénario référence'!$B$18*(32+38*(1-EXP(-0.0175*$A183))),70*'Scénario référence'!$B$18)</f>
        <v>70</v>
      </c>
      <c r="NC183" s="12">
        <f>IF($A183&gt;30,10,('Scénario référence'!$B$16+'Scénario référence'!$B$17+'Scénario référence'!$B$18+'Scénario référence'!$B$9+'Scénario référence'!$B$10)*$A183*10/30+('Scénario référence'!$F$8+'Scénario référence'!$F$9)*10)</f>
        <v>10</v>
      </c>
      <c r="ND183" s="12" t="e">
        <f>VLOOKUP($A183,'Données projet'!$A$486:$I$506,2,0)</f>
        <v>#N/A</v>
      </c>
      <c r="NE183" s="12" t="e">
        <f>VLOOKUP($A183,'Données projet'!$A$486:$I$506,9,0)</f>
        <v>#N/A</v>
      </c>
      <c r="NF183" s="12">
        <f t="array" ref="NF183">INDEX(NE:NE,MIN(IF(ISNUMBER(NE183:NE379),ROW(NE183:NE379),"")))</f>
        <v>0</v>
      </c>
      <c r="NG183" s="12">
        <f>IF('Données projet'!$A$486&gt;35,NG182+NF183-NO182,IF($A183&lt;'Données projet'!$A$486,$CQ$205^$A183,IF($A183='Données projet'!$A$486,'Données projet'!$B$486,NG182+NF183-NO182)))</f>
        <v>0</v>
      </c>
      <c r="NH183" s="17" t="e">
        <f>NG183*VLOOKUP('Données projet'!$B$26,Paramètres!$A$1:$I$89,3,0)*VLOOKUP('Données projet'!$B$26,Paramètres!$A$1:$I$89,5,0)</f>
        <v>#N/A</v>
      </c>
      <c r="NI183" s="13" t="e">
        <f t="shared" si="320"/>
        <v>#N/A</v>
      </c>
      <c r="NJ183" s="14" t="e">
        <f t="shared" si="275"/>
        <v>#N/A</v>
      </c>
      <c r="NK183" s="59" t="e">
        <f t="shared" si="276"/>
        <v>#N/A</v>
      </c>
      <c r="NL183" s="20" t="e">
        <f ca="1">AVERAGE(OFFSET($NK$3,0,0,'Données projet'!$E$26+1,1))-AVERAGE(OFFSET($H$3,0,0,'Données projet'!$E$26+1,1))</f>
        <v>#N/A</v>
      </c>
      <c r="NM183" s="59" t="e">
        <f t="shared" si="321"/>
        <v>#N/A</v>
      </c>
      <c r="NN183" s="15">
        <f>IF(ISNA(VLOOKUP($A183,'Données projet'!$A$486:$I$506,3,0)),0,VLOOKUP($A183,'Données projet'!$A$486:$I$506,3,0))</f>
        <v>0</v>
      </c>
      <c r="NO183" s="15">
        <f>IF(ISNA(VLOOKUP($A183,'Données projet'!$A$486:$I$506,4,0)),0,VLOOKUP($A183,'Données projet'!$A$486:$I$506,4,0))</f>
        <v>0</v>
      </c>
      <c r="NP183" s="16">
        <f>IF(ISNA(VLOOKUP($A183,'Données projet'!$A$486:$I$506,5,0)),0%,VLOOKUP($A183,'Données projet'!$A$486:$I$506,5,0)*VLOOKUP('Données projet'!$B$26,Paramètres!$A$1:$I$89,7,0))</f>
        <v>0</v>
      </c>
      <c r="NQ183" s="16">
        <f>IF(ISNA(VLOOKUP($A183,'Données projet'!$A$486:$I$506,6,0)),0%,VLOOKUP($A183,'Données projet'!$A$486:$I$506,6,0)*VLOOKUP('Données projet'!$B$26,Paramètres!$A$1:$I$89,7,0))</f>
        <v>0</v>
      </c>
      <c r="NR183" s="16">
        <f>IF(ISNA(VLOOKUP($A183,'Données projet'!$A$486:$I$506,7,0)),0%,VLOOKUP($A183,'Données projet'!$A$486:$I$506,7,0))</f>
        <v>0</v>
      </c>
      <c r="NS183" s="21" t="e">
        <f>EXP(-LN(2)/35)*NS182+(1-EXP(-LN(2)/35))/(LN(2)/35)*NO183*NP183*VLOOKUP('Données projet'!$B$26,Paramètres!$A$1:$I$89,3,0)*0.475*44/12</f>
        <v>#N/A</v>
      </c>
      <c r="NT183" s="21" t="e">
        <f>EXP(-LN(2)/25)*NT182+(1-EXP(-LN(2)/25))/(LN(2)/25)*Calculateur!NO183*Calculateur!NQ183*VLOOKUP('Données projet'!$B$26,Paramètres!$A$1:$I$89,3,0)*0.475*44/12</f>
        <v>#N/A</v>
      </c>
      <c r="NU183" s="21" t="e">
        <f>EXP(-LN(2)/2)*NU182+(1-EXP(-LN(2)/2))/(LN(2)/2)*NO183*NR183*VLOOKUP('Données projet'!$B$26,Paramètres!$A$1:$I$89,3,0)*0.475*44/12</f>
        <v>#N/A</v>
      </c>
      <c r="NV183" s="22" t="e">
        <f t="shared" si="277"/>
        <v>#N/A</v>
      </c>
      <c r="NW183" s="74">
        <f>('Scénario référence'!$F$8+'Scénario référence'!$F$9+'Scénario référence'!$B$17+'Scénario référence'!$B$9+'Scénario référence'!$B$10)*70+IF((45+25*(1-EXP(-0.0175*$A183)))&lt;70,'Scénario référence'!$B$16*(45+25*(1-EXP(-0.0175*$A183))),70*'Scénario référence'!$B$16)+IF((32+38*(1-EXP(-0.0175*$A183)))&lt;70,'Scénario référence'!$B$18*(32+38*(1-EXP(-0.0175*$A183))),70*'Scénario référence'!$B$18)</f>
        <v>70</v>
      </c>
      <c r="NX183" s="12">
        <f>IF($A183&gt;30,10,('Scénario référence'!$B$16+'Scénario référence'!$B$17+'Scénario référence'!$B$18+'Scénario référence'!$B$9+'Scénario référence'!$B$10)*$A183*10/30+('Scénario référence'!$F$8+'Scénario référence'!$F$9)*10)</f>
        <v>10</v>
      </c>
      <c r="NY183" s="12" t="e">
        <f>VLOOKUP($A183,'Données projet'!$A$512:$I$532,2,0)</f>
        <v>#N/A</v>
      </c>
      <c r="NZ183" s="12" t="e">
        <f>VLOOKUP($A183,'Données projet'!$A$512:$I$532,9,0)</f>
        <v>#N/A</v>
      </c>
      <c r="OA183" s="12">
        <f t="array" ref="OA183">INDEX(NZ:NZ,MIN(IF(ISNUMBER(NZ183:NZ379),ROW(NZ183:NZ379),"")))</f>
        <v>0</v>
      </c>
      <c r="OB183" s="12">
        <f>IF('Données projet'!$A$512&gt;35,OB182+OA183-OJ182,IF($A183&lt;'Données projet'!$A$512,$CQ$205^$A183,IF($A183='Données projet'!$A$512,'Données projet'!$B$512,OB182+OA183-OJ182)))</f>
        <v>0</v>
      </c>
      <c r="OC183" s="17" t="e">
        <f>OB183*VLOOKUP('Données projet'!$B$27,Paramètres!$A$1:$I$89,3,0)*VLOOKUP('Données projet'!$B$27,Paramètres!$A$1:$I$89,5,0)</f>
        <v>#N/A</v>
      </c>
      <c r="OD183" s="13" t="e">
        <f t="shared" si="322"/>
        <v>#N/A</v>
      </c>
      <c r="OE183" s="14" t="e">
        <f t="shared" si="278"/>
        <v>#N/A</v>
      </c>
      <c r="OF183" s="59" t="e">
        <f t="shared" si="279"/>
        <v>#N/A</v>
      </c>
      <c r="OG183" s="20" t="e">
        <f ca="1">AVERAGE(OFFSET($OF$3,0,0,'Données projet'!$E$27+1,1))-AVERAGE(OFFSET($H$3,0,0,'Données projet'!$E$27+1,1))</f>
        <v>#N/A</v>
      </c>
      <c r="OH183" s="59" t="e">
        <f t="shared" si="323"/>
        <v>#N/A</v>
      </c>
      <c r="OI183" s="15">
        <f>IF(ISNA(VLOOKUP($A183,'Données projet'!$A$512:$I$532,3,0)),0,VLOOKUP($A183,'Données projet'!$A$512:$I$532,3,0))</f>
        <v>0</v>
      </c>
      <c r="OJ183" s="15">
        <f>IF(ISNA(VLOOKUP($A183,'Données projet'!$A$512:$I$532,4,0)),0,VLOOKUP($A183,'Données projet'!$A$512:$I$532,4,0))</f>
        <v>0</v>
      </c>
      <c r="OK183" s="16">
        <f>IF(ISNA(VLOOKUP($A183,'Données projet'!$A$512:$I$532,5,0)),0%,VLOOKUP($A183,'Données projet'!$A$512:$I$532,5,0)*VLOOKUP('Données projet'!$B$27,Paramètres!$A$1:$I$89,7,0))</f>
        <v>0</v>
      </c>
      <c r="OL183" s="16">
        <f>IF(ISNA(VLOOKUP($A183,'Données projet'!$A$512:$I$532,6,0)),0%,VLOOKUP($A183,'Données projet'!$A$512:$I$532,6,0)*VLOOKUP('Données projet'!$B$27,Paramètres!$A$1:$I$89,7,0))</f>
        <v>0</v>
      </c>
      <c r="OM183" s="16">
        <f>IF(ISNA(VLOOKUP($A183,'Données projet'!$A$512:$I$532,7,0)),0%,VLOOKUP($A183,'Données projet'!$A$512:$I$532,7,0))</f>
        <v>0</v>
      </c>
      <c r="ON183" s="21" t="e">
        <f>EXP(-LN(2)/35)*ON182+(1-EXP(-LN(2)/35))/(LN(2)/35)*OJ183*OK183*VLOOKUP('Données projet'!$B$27,Paramètres!$A$1:$I$89,3,0)*0.475*44/12</f>
        <v>#N/A</v>
      </c>
      <c r="OO183" s="21" t="e">
        <f>EXP(-LN(2)/25)*OO182+(1-EXP(-LN(2)/25))/(LN(2)/25)*Calculateur!OJ183*Calculateur!OL183*VLOOKUP('Données projet'!$B$27,Paramètres!$A$1:$I$89,3,0)*0.475*44/12</f>
        <v>#N/A</v>
      </c>
      <c r="OP183" s="21" t="e">
        <f>EXP(-LN(2)/2)*OP182+(1-EXP(-LN(2)/2))/(LN(2)/2)*OJ183*OM183*VLOOKUP('Données projet'!$B$27,Paramètres!$A$1:$I$89,3,0)*0.475*44/12</f>
        <v>#N/A</v>
      </c>
      <c r="OQ183" s="22" t="e">
        <f t="shared" si="280"/>
        <v>#N/A</v>
      </c>
      <c r="OR183" s="74">
        <f>('Scénario référence'!$F$8+'Scénario référence'!$F$9+'Scénario référence'!$B$17+'Scénario référence'!$B$9+'Scénario référence'!$B$10)*70+IF((45+25*(1-EXP(-0.0175*$A183)))&lt;70,'Scénario référence'!$B$16*(45+25*(1-EXP(-0.0175*$A183))),70*'Scénario référence'!$B$16)+IF((32+38*(1-EXP(-0.0175*$A183)))&lt;70,'Scénario référence'!$B$18*(32+38*(1-EXP(-0.0175*$A183))),70*'Scénario référence'!$B$18)</f>
        <v>70</v>
      </c>
      <c r="OS183" s="12">
        <f>IF($A183&gt;30,10,('Scénario référence'!$B$16+'Scénario référence'!$B$17+'Scénario référence'!$B$18+'Scénario référence'!$B$9+'Scénario référence'!$B$10)*$A183*10/30+('Scénario référence'!$F$8+'Scénario référence'!$F$9)*10)</f>
        <v>10</v>
      </c>
      <c r="OT183" s="12" t="e">
        <f>VLOOKUP($A183,'Données projet'!$A$538:$I$558,2,0)</f>
        <v>#N/A</v>
      </c>
      <c r="OU183" s="12" t="e">
        <f>VLOOKUP($A183,'Données projet'!$A$538:$I$558,9,0)</f>
        <v>#N/A</v>
      </c>
      <c r="OV183" s="12">
        <f t="array" ref="OV183">INDEX(OU:OU,MIN(IF(ISNUMBER(OU183:OU379),ROW(OU183:OU379),"")))</f>
        <v>0</v>
      </c>
      <c r="OW183" s="12">
        <f>IF('Données projet'!$A$538&gt;35,OW182+OV183-PE182,IF($A183&lt;'Données projet'!$A$538,$CQ$205^$A183,IF($A183='Données projet'!$A$538,'Données projet'!$B$538,OW182+OV183-PE182)))</f>
        <v>0</v>
      </c>
      <c r="OX183" s="17" t="e">
        <f>OW183*VLOOKUP('Données projet'!$B$28,Paramètres!$A$1:$I$89,3,0)*VLOOKUP('Données projet'!$B$28,Paramètres!$A$1:$I$89,5,0)</f>
        <v>#N/A</v>
      </c>
      <c r="OY183" s="13" t="e">
        <f t="shared" si="324"/>
        <v>#N/A</v>
      </c>
      <c r="OZ183" s="14" t="e">
        <f t="shared" si="281"/>
        <v>#N/A</v>
      </c>
      <c r="PA183" s="59" t="e">
        <f t="shared" si="282"/>
        <v>#N/A</v>
      </c>
      <c r="PB183" s="20" t="e">
        <f ca="1">AVERAGE(OFFSET($PA$3,0,0,'Données projet'!$E$28+1,1))-AVERAGE(OFFSET($H$3,0,0,'Données projet'!$E$28+1,1))</f>
        <v>#N/A</v>
      </c>
      <c r="PC183" s="59" t="e">
        <f t="shared" si="325"/>
        <v>#N/A</v>
      </c>
      <c r="PD183" s="15">
        <f>IF(ISNA(VLOOKUP($A183,'Données projet'!$A$538:$I$558,3,0)),0,VLOOKUP($A183,'Données projet'!$A$538:$I$558,3,0))</f>
        <v>0</v>
      </c>
      <c r="PE183" s="15">
        <f>IF(ISNA(VLOOKUP($A183,'Données projet'!$A$538:$I$558,4,0)),0,VLOOKUP($A183,'Données projet'!$A$538:$I$558,4,0))</f>
        <v>0</v>
      </c>
      <c r="PF183" s="16">
        <f>IF(ISNA(VLOOKUP($A183,'Données projet'!$A$538:$I$558,5,0)),0%,VLOOKUP($A183,'Données projet'!$A$538:$I$558,5,0)*VLOOKUP('Données projet'!$B$28,Paramètres!$A$1:$I$89,7,0))</f>
        <v>0</v>
      </c>
      <c r="PG183" s="16">
        <f>IF(ISNA(VLOOKUP($A183,'Données projet'!$A$538:$I$558,6,0)),0%,VLOOKUP($A183,'Données projet'!$A$538:$I$558,6,0)*VLOOKUP('Données projet'!$B$28,Paramètres!$A$1:$I$89,7,0))</f>
        <v>0</v>
      </c>
      <c r="PH183" s="16">
        <f>IF(ISNA(VLOOKUP($A183,'Données projet'!$A$538:$I$558,7,0)),0%,VLOOKUP($A183,'Données projet'!$A$538:$I$558,7,0))</f>
        <v>0</v>
      </c>
      <c r="PI183" s="21" t="e">
        <f>EXP(-LN(2)/35)*PI182+(1-EXP(-LN(2)/35))/(LN(2)/35)*PE183*PF183*VLOOKUP('Données projet'!$B$28,Paramètres!$A$1:$I$89,3,0)*0.475*44/12</f>
        <v>#N/A</v>
      </c>
      <c r="PJ183" s="21" t="e">
        <f>EXP(-LN(2)/25)*PJ182+(1-EXP(-LN(2)/25))/(LN(2)/25)*Calculateur!PE183*Calculateur!PG183*VLOOKUP('Données projet'!$B$28,Paramètres!$A$1:$I$89,3,0)*0.475*44/12</f>
        <v>#N/A</v>
      </c>
      <c r="PK183" s="21" t="e">
        <f>EXP(-LN(2)/2)*PK182+(1-EXP(-LN(2)/2))/(LN(2)/2)*PE183*PH183*VLOOKUP('Données projet'!$B$28,Paramètres!$A$1:$I$89,3,0)*0.475*44/12</f>
        <v>#N/A</v>
      </c>
      <c r="PL183" s="22" t="e">
        <f t="shared" si="283"/>
        <v>#N/A</v>
      </c>
    </row>
    <row r="184" spans="1:428" x14ac:dyDescent="0.35">
      <c r="A184" s="10">
        <f t="shared" si="326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285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225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projet'!$A$45:$I$65,2,0)</f>
        <v>#N/A</v>
      </c>
      <c r="L184" s="12" t="e">
        <f>VLOOKUP(A184,'Données projet'!$A$45:$I$65,9,0)</f>
        <v>#N/A</v>
      </c>
      <c r="M184" s="12">
        <f t="array" ref="M184">INDEX(L:L,MIN(IF(ISNUMBER(L184:L380),ROW(L184:L380),"")))</f>
        <v>0</v>
      </c>
      <c r="N184" s="13">
        <f>IF('Données projet'!$A$46&gt;35,N183+M184-V183,IF(A184&lt;'Données projet'!$A$46,$K$205^A184,IF(A184='Données projet'!$A$46,'Données projet'!$B$46,N183+M184-V183)))</f>
        <v>-1.1368683772161603E-13</v>
      </c>
      <c r="O184" s="13">
        <f>N184*VLOOKUP('Données projet'!$B$9,Paramètres!$A$1:$I$89,3,0)*VLOOKUP('Données projet'!$B$9,Paramètres!$A$1:$I$89,5,0)</f>
        <v>-6.3550942286383367E-14</v>
      </c>
      <c r="P184" s="13" t="e">
        <f t="shared" si="286"/>
        <v>#NUM!</v>
      </c>
      <c r="Q184" s="20" t="e">
        <f t="shared" si="327"/>
        <v>#NUM!</v>
      </c>
      <c r="R184" s="59" t="e">
        <f t="shared" si="224"/>
        <v>#NUM!</v>
      </c>
      <c r="S184" s="59">
        <f ca="1">AVERAGE(OFFSET($R$3,0,0,'Données projet'!$E$9+1,1))-AVERAGE(OFFSET($H$3,0,0,'Données projet'!$E$9+1,1))</f>
        <v>274.57619581652199</v>
      </c>
      <c r="T184" s="59">
        <f t="shared" si="287"/>
        <v>366.15117322598775</v>
      </c>
      <c r="U184" s="15">
        <f>IF(ISNA(VLOOKUP(A184,'Données projet'!$A$45:$I$65,3,0)),0,VLOOKUP(A184,'Données projet'!$A$45:$I$65,3,0))</f>
        <v>0</v>
      </c>
      <c r="V184" s="15">
        <f>IF(ISNA(VLOOKUP(A184,'Données projet'!$A$45:$I$65,4,0)),0,VLOOKUP(A184,'Données projet'!$A$45:$I$65,4,0))</f>
        <v>0</v>
      </c>
      <c r="W184" s="16">
        <f>IF(ISNA(VLOOKUP(A184,'Données projet'!$A$45:$I$65,5,0)),0%,VLOOKUP(A184,'Données projet'!$A$45:$I$65,5,0)*VLOOKUP('Données projet'!$B$9,Paramètres!$A$1:$I$89,7,0))</f>
        <v>0</v>
      </c>
      <c r="X184" s="16">
        <f>IF(ISNA(VLOOKUP(A184,'Données projet'!$A$45:$I$65,6,0)),0%,VLOOKUP(A184,'Données projet'!$A$45:$I$65,6,0)*VLOOKUP('Données projet'!$B$9,Paramètres!$A$1:$I$89,7,0))</f>
        <v>0</v>
      </c>
      <c r="Y184" s="16">
        <f>IF(ISNA(VLOOKUP(A184,'Données projet'!$A$45:$I$65,7,0)),0%,VLOOKUP(A184,'Données projet'!$A$45:$I$65,7,0))</f>
        <v>0</v>
      </c>
      <c r="Z184" s="21">
        <f>EXP(-LN(2)/35)*Z183+(1-EXP(-LN(2)/35))/(LN(2)/35)*V184*W184*VLOOKUP('Données projet'!$B$9,Paramètres!$A$1:$I$89,3,0)*0.475*44/12</f>
        <v>18.692238292643996</v>
      </c>
      <c r="AA184" s="21">
        <f>EXP(-LN(2)/25)*AA183+(1-EXP(-LN(2)/25))/(LN(2)/25)*Calculateur!V184*Calculateur!X184*VLOOKUP('Données projet'!$B$9,Paramètres!$A$1:$I$89,3,0)*0.475*44/12</f>
        <v>1.7510123543302292</v>
      </c>
      <c r="AB184" s="21">
        <f>EXP(-LN(2)/2)*AB183+(1-EXP(-LN(2)/2))/(LN(2)/2)*V184*Y184*VLOOKUP('Données projet'!$B$9,Paramètres!$A$1:$I$89,3,0)*0.475*44/12</f>
        <v>3.7037760016196505E-18</v>
      </c>
      <c r="AC184" s="22">
        <f t="shared" si="328"/>
        <v>20.443250646974224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projet'!$A$71:$I$91,2,0)</f>
        <v>#N/A</v>
      </c>
      <c r="AG184" s="12" t="e">
        <f>VLOOKUP(A184,'Données projet'!$A$71:$I$91,9,0)</f>
        <v>#N/A</v>
      </c>
      <c r="AH184" s="12">
        <f t="array" ref="AH184">INDEX(AG:AG,MIN(IF(ISNUMBER(AG184:AG380),ROW(AG184:AG380),"")))</f>
        <v>0</v>
      </c>
      <c r="AI184" s="13">
        <f>IF('Données projet'!$A$72&gt;35,AI183+AH184-AQ183,IF(A184&lt;'Données projet'!$A$72,$AF$205^A184,IF(A184='Données projet'!$A$72,'Données projet'!$B$72,AI183+AH184-AQ183)))</f>
        <v>5.6843418860808015E-13</v>
      </c>
      <c r="AJ184" s="13">
        <f>AI184*VLOOKUP('Données projet'!$B$10,Paramètres!$A$1:$I$89,3,0)*VLOOKUP('Données projet'!$B$10,Paramètres!$A$1:$I$89,5,0)</f>
        <v>5.1431925385259092E-13</v>
      </c>
      <c r="AK184" s="13">
        <f t="shared" si="329"/>
        <v>6.3855359115685756E-12</v>
      </c>
      <c r="AL184" s="20">
        <f t="shared" si="330"/>
        <v>1.2017247746441865E-11</v>
      </c>
      <c r="AM184" s="59">
        <f t="shared" si="228"/>
        <v>293.33333333334531</v>
      </c>
      <c r="AN184" s="59">
        <f ca="1">AVERAGE(OFFSET($AM$3,0,0,'Données projet'!$E$10+1,1))-AVERAGE(OFFSET($H$3,0,0,'Données projet'!$E$10+1,1))</f>
        <v>270.87836509222456</v>
      </c>
      <c r="AO184" s="59">
        <f t="shared" si="289"/>
        <v>205.24998237949734</v>
      </c>
      <c r="AP184" s="15">
        <f>IF(ISNA(VLOOKUP(A184,'Données projet'!$A$71:$I$91,3,0)),0,VLOOKUP(A184,'Données projet'!$A$71:$I$91,3,0))</f>
        <v>0</v>
      </c>
      <c r="AQ184" s="15">
        <f>IF(ISNA(VLOOKUP(A184,'Données projet'!$A$71:$I$91,4,0)),0,VLOOKUP(A184,'Données projet'!$A$71:$I$91,4,0))</f>
        <v>0</v>
      </c>
      <c r="AR184" s="16">
        <f>IF(ISNA(VLOOKUP(A184,'Données projet'!$A$71:$I$91,5,0)),0%,VLOOKUP(A184,'Données projet'!$A$71:$I$91,5,0)*VLOOKUP('Données projet'!$B$10,Paramètres!$A$1:$I$89,7,0))</f>
        <v>0</v>
      </c>
      <c r="AS184" s="16">
        <f>IF(ISNA(VLOOKUP(A184,'Données projet'!$A$71:$I$91,6,0)),0%,VLOOKUP(A184,'Données projet'!$A$71:$I$91,6,0)*VLOOKUP('Données projet'!$B$10,Paramètres!$A$1:$I$89,7,0))</f>
        <v>0</v>
      </c>
      <c r="AT184" s="16">
        <f>IF(ISNA(VLOOKUP(A184,'Données projet'!$A$71:$I$91,7,0)),0%,VLOOKUP(A184,'Données projet'!$A$71:$I$91,7,0))</f>
        <v>0</v>
      </c>
      <c r="AU184" s="21">
        <f>EXP(-LN(2)/35)*AU183+(1-EXP(-LN(2)/35))/(LN(2)/35)*AQ184*AR184*VLOOKUP('Données projet'!$B$10,Paramètres!$A$1:$I$89,3,0)*0.475*44/12</f>
        <v>63.520988073046418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331"/>
        <v>63.520988073046418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projet'!$A$97:$I$117,2,0)</f>
        <v>#N/A</v>
      </c>
      <c r="BB184" s="12" t="e">
        <f>VLOOKUP(A184,'Données projet'!$A$97:$I$117,9,0)</f>
        <v>#N/A</v>
      </c>
      <c r="BC184" s="12">
        <f t="array" ref="BC184">INDEX(BB:BB,MIN(IF(ISNUMBER(BB184:BB380),ROW(BB184:BB380),"")))</f>
        <v>0</v>
      </c>
      <c r="BD184" s="12">
        <f>IF('Données projet'!$A$98&gt;35,BD183+BC184-BL183,IF(A184&lt;'Données projet'!$A$98,$BA$205^A184,IF(A184='Données projet'!$A$98,'Données projet'!$B$98,BD183+BC184-BL183)))</f>
        <v>-1.1368683772161603E-13</v>
      </c>
      <c r="BE184" s="13">
        <f>BD184*VLOOKUP('Données projet'!$B$11,Paramètres!$A$1:$I$89,3,0)*VLOOKUP('Données projet'!$B$11,Paramètres!$A$1:$I$89,5,0)</f>
        <v>-5.0249582272954292E-14</v>
      </c>
      <c r="BF184" s="13" t="e">
        <f t="shared" si="332"/>
        <v>#NUM!</v>
      </c>
      <c r="BG184" s="20" t="e">
        <f t="shared" si="333"/>
        <v>#NUM!</v>
      </c>
      <c r="BH184" s="59" t="e">
        <f t="shared" si="231"/>
        <v>#NUM!</v>
      </c>
      <c r="BI184" s="59">
        <f ca="1">AVERAGE(OFFSET($BH$3,0,0,'Données projet'!$E$11+1,1))-AVERAGE(OFFSET($H$3,0,0,'Données projet'!$E$11+1,1))</f>
        <v>211.31057120485542</v>
      </c>
      <c r="BJ184" s="59">
        <f t="shared" si="291"/>
        <v>283.33292006714777</v>
      </c>
      <c r="BK184" s="15">
        <f>IF(ISNA(VLOOKUP(A184,'Données projet'!$A$97:$I$117,3,0)),0,VLOOKUP(A184,'Données projet'!$A$97:$I$117,3,0))</f>
        <v>0</v>
      </c>
      <c r="BL184" s="15">
        <f>IF(ISNA(VLOOKUP(A184,'Données projet'!$A$97:$I$117,4,0)),0,VLOOKUP(A184,'Données projet'!$A$97:$I$117,4,0))</f>
        <v>0</v>
      </c>
      <c r="BM184" s="16">
        <f>IF(ISNA(VLOOKUP(A184,'Données projet'!$A$97:$I$117,5,0)),0%,VLOOKUP(A184,'Données projet'!$A$97:$I$117,5,0)*VLOOKUP('Données projet'!$B$11,Paramètres!$A$1:$I$89,7,0))</f>
        <v>0</v>
      </c>
      <c r="BN184" s="16">
        <f>IF(ISNA(VLOOKUP(A184,'Données projet'!$A$97:$I$117,6,0)),0%,VLOOKUP(A184,'Données projet'!$A$97:$I$117,6,0)*VLOOKUP('Données projet'!$B$11,Paramètres!$A$1:$I$89,7,0))</f>
        <v>0</v>
      </c>
      <c r="BO184" s="16">
        <f>IF(ISNA(VLOOKUP(A184,'Données projet'!$A$97:$I$117,7,0)),0%,VLOOKUP(A184,'Données projet'!$A$97:$I$117,7,0))</f>
        <v>0</v>
      </c>
      <c r="BP184" s="21">
        <f>EXP(-LN(2)/35)*BP183+(1-EXP(-LN(2)/35))/(LN(2)/35)*BL184*BM184*VLOOKUP('Données projet'!$B$11,Paramètres!$A$1:$I$89,3,0)*0.475*44/12</f>
        <v>14.779909347672008</v>
      </c>
      <c r="BQ184" s="21">
        <f>EXP(-LN(2)/25)*BQ183+(1-EXP(-LN(2)/25))/(LN(2)/25)*Calculateur!BL184*Calculateur!BN184*VLOOKUP('Données projet'!$B$11,Paramètres!$A$1:$I$89,3,0)*0.475*44/12</f>
        <v>1.384521396447157</v>
      </c>
      <c r="BR184" s="21">
        <f>EXP(-LN(2)/2)*BR183+(1-EXP(-LN(2)/2))/(LN(2)/2)*BL184*BO184*VLOOKUP('Données projet'!$B$11,Paramètres!$A$1:$I$89,3,0)*0.475*44/12</f>
        <v>2.9285670710480952E-18</v>
      </c>
      <c r="BS184" s="22">
        <f t="shared" si="334"/>
        <v>16.164430744119166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projet'!$A$123:$I$143,2,0)</f>
        <v>#N/A</v>
      </c>
      <c r="BW184" s="12" t="e">
        <f>VLOOKUP(A184,'Données projet'!$A$123:$I$143,9,0)</f>
        <v>#N/A</v>
      </c>
      <c r="BX184" s="12">
        <f t="array" ref="BX184">INDEX(BW:BW,MIN(IF(ISNUMBER(BW184:BW380),ROW(BW184:BW380),"")))</f>
        <v>0</v>
      </c>
      <c r="BY184" s="12">
        <f>IF('Données projet'!$A$124&gt;35,BY183+BX184-CG183,IF(A184&lt;'Données projet'!$A$124,$BV$205^A184,IF(A184='Données projet'!$A$124,'Données projet'!$B$124,BY183+BX184-CG183)))</f>
        <v>0</v>
      </c>
      <c r="BZ184" s="13">
        <f>BY184*VLOOKUP('Données projet'!$B$12,Paramètres!$A$1:$I$89,3,0)*VLOOKUP('Données projet'!$B$12,Paramètres!$A$1:$I$89,5,0)</f>
        <v>0</v>
      </c>
      <c r="CA184" s="13" t="e">
        <f t="shared" si="335"/>
        <v>#NUM!</v>
      </c>
      <c r="CB184" s="20" t="e">
        <f t="shared" si="336"/>
        <v>#NUM!</v>
      </c>
      <c r="CC184" s="59" t="e">
        <f t="shared" si="234"/>
        <v>#NUM!</v>
      </c>
      <c r="CD184" s="59">
        <f ca="1">AVERAGE(OFFSET($CC$3,0,0,'Données projet'!$E$12+1,1))-AVERAGE(OFFSET($H$3,0,0,'Données projet'!$E$12+1,1))</f>
        <v>322.93502595881938</v>
      </c>
      <c r="CE184" s="59">
        <f t="shared" si="293"/>
        <v>302.67072119588164</v>
      </c>
      <c r="CF184" s="15">
        <f>IF(ISNA(VLOOKUP(A184,'Données projet'!$A$123:$I$143,3,0)),0,VLOOKUP(A184,'Données projet'!$A$123:$I$143,3,0))</f>
        <v>0</v>
      </c>
      <c r="CG184" s="15">
        <f>IF(ISNA(VLOOKUP(A184,'Données projet'!$A$123:$I$143,4,0)),0,VLOOKUP(A184,'Données projet'!$A$123:$I$143,4,0))</f>
        <v>0</v>
      </c>
      <c r="CH184" s="16">
        <f>IF(ISNA(VLOOKUP(A184,'Données projet'!$A$123:$I$143,5,0)),0%,VLOOKUP(A184,'Données projet'!$A$123:$I$143,5,0)*VLOOKUP('Données projet'!$B$12,Paramètres!$A$1:$I$89,7,0))</f>
        <v>0</v>
      </c>
      <c r="CI184" s="16">
        <f>IF(ISNA(VLOOKUP(A184,'Données projet'!$A$123:$I$143,6,0)),0%,VLOOKUP(A184,'Données projet'!$A$123:$I$143,6,0)*VLOOKUP('Données projet'!$B$12,Paramètres!$A$1:$I$89,7,0))</f>
        <v>0</v>
      </c>
      <c r="CJ184" s="16">
        <f>IF(ISNA(VLOOKUP(A184,'Données projet'!$A$123:$I$143,7,0)),0%,VLOOKUP(A184,'Données projet'!$A$123:$I$143,7,0))</f>
        <v>0</v>
      </c>
      <c r="CK184" s="21">
        <f>EXP(-LN(2)/35)*CK183+(1-EXP(-LN(2)/35))/(LN(2)/35)*CG184*CH184*VLOOKUP('Données projet'!$B$12,Paramètres!$A$1:$I$89,3,0)*0.475*44/12</f>
        <v>23.547966922592312</v>
      </c>
      <c r="CL184" s="21">
        <f>EXP(-LN(2)/25)*CL183+(1-EXP(-LN(2)/25))/(LN(2)/25)*Calculateur!CG184*Calculateur!CI184*VLOOKUP('Données projet'!$B$12,Paramètres!$A$1:$I$89,3,0)*0.475*44/12</f>
        <v>4.4313061580290238</v>
      </c>
      <c r="CM184" s="21">
        <f>EXP(-LN(2)/2)*CM183+(1-EXP(-LN(2)/2))/(LN(2)/2)*CG184*CJ184*VLOOKUP('Données projet'!$B$12,Paramètres!$A$1:$I$89,3,0)*0.475*44/12</f>
        <v>0</v>
      </c>
      <c r="CN184" s="22">
        <f t="shared" si="337"/>
        <v>27.979273080621336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projet'!$A$149:$I$169,2,0)</f>
        <v>#N/A</v>
      </c>
      <c r="CR184" s="12" t="e">
        <f>VLOOKUP(A184,'Données projet'!$A$149:$I$169,9,0)</f>
        <v>#N/A</v>
      </c>
      <c r="CS184" s="12">
        <f t="array" ref="CS184">INDEX(CR:CR,MIN(IF(ISNUMBER(CR184:CR380),ROW(CR184:CR380),"")))</f>
        <v>0</v>
      </c>
      <c r="CT184" s="12">
        <f>IF('Données projet'!$A$150&gt;35,CT183+CS184-DB183,IF(A184&lt;'Données projet'!$A$150,$CQ$205^A184,IF(A184='Données projet'!$A$150,'Données projet'!$B$150,CT183+CS184-DB183)))</f>
        <v>-4.5474735088646412E-13</v>
      </c>
      <c r="CU184" s="17">
        <f>CT184*VLOOKUP('Données projet'!$B$13,Paramètres!$A$1:$I$89,3,0)*VLOOKUP('Données projet'!$B$13,Paramètres!$A$1:$I$89,5,0)</f>
        <v>-4.6111381379887462E-13</v>
      </c>
      <c r="CV184" s="13" t="e">
        <f t="shared" si="338"/>
        <v>#NUM!</v>
      </c>
      <c r="CW184" s="20" t="e">
        <f t="shared" si="339"/>
        <v>#NUM!</v>
      </c>
      <c r="CX184" s="59" t="e">
        <f t="shared" si="237"/>
        <v>#NUM!</v>
      </c>
      <c r="CY184" s="59">
        <f ca="1">AVERAGE(OFFSET($CX$3,0,0,'Données projet'!$E$13+1,1))-AVERAGE(OFFSET($H$3,0,0,'Données projet'!$E$13+1,1))</f>
        <v>250.31277422753283</v>
      </c>
      <c r="CZ184" s="59">
        <f t="shared" si="295"/>
        <v>159.20429420478047</v>
      </c>
      <c r="DA184" s="15">
        <f>IF(ISNA(VLOOKUP(A184,'Données projet'!$A$149:$I$169,3,0)),0,VLOOKUP(A184,'Données projet'!$A$149:$I$169,3,0))</f>
        <v>0</v>
      </c>
      <c r="DB184" s="15">
        <f>IF(ISNA(VLOOKUP(A184,'Données projet'!$A$149:$I$169,4,0)),0,VLOOKUP(A184,'Données projet'!$A$149:$I$169,4,0))</f>
        <v>0</v>
      </c>
      <c r="DC184" s="16">
        <f>IF(ISNA(VLOOKUP(A184,'Données projet'!$A$149:$I$169,5,0)),0%,VLOOKUP(A184,'Données projet'!$A$149:$I$169,5,0)*VLOOKUP('Données projet'!$B$13,Paramètres!$A$1:$I$89,7,0))</f>
        <v>0</v>
      </c>
      <c r="DD184" s="16">
        <f>IF(ISNA(VLOOKUP(A184,'Données projet'!$A$149:$I$169,6,0)),0%,VLOOKUP(A184,'Données projet'!$A$149:$I$169,6,0)*VLOOKUP('Données projet'!$B$13,Paramètres!$A$1:$I$89,7,0))</f>
        <v>0</v>
      </c>
      <c r="DE184" s="16">
        <f>IF(ISNA(VLOOKUP(A184,'Données projet'!$A$149:$I$169,7,0)),0%,VLOOKUP(A184,'Données projet'!$A$149:$I$169,7,0))</f>
        <v>0</v>
      </c>
      <c r="DF184" s="21">
        <f>EXP(-LN(2)/35)*DF183+(1-EXP(-LN(2)/35))/(LN(2)/35)*DB184*DC184*VLOOKUP('Données projet'!$B$13,Paramètres!$A$1:$I$89,3,0)*0.475*44/12</f>
        <v>107.19736128693741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340"/>
        <v>107.19736128693741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projet'!$A$175:$I$195,2,0)</f>
        <v>#N/A</v>
      </c>
      <c r="DM184" s="12" t="e">
        <f>VLOOKUP(A184,'Données projet'!$A$175:$I$195,9,0)</f>
        <v>#N/A</v>
      </c>
      <c r="DN184" s="12">
        <f t="array" ref="DN184">INDEX(DM:DM,MIN(IF(ISNUMBER(DM184:DM380),ROW(DM184:DM380),"")))</f>
        <v>0</v>
      </c>
      <c r="DO184" s="12">
        <f>IF('Données projet'!$A$176&gt;35,DO183+DN184-DW183,IF(A184&lt;'Données projet'!$A$176,$DL$205^A184,IF(A184='Données projet'!$A$176,'Données projet'!$B$176,DO183+DN184-DW183)))</f>
        <v>-2.8421709430404007E-13</v>
      </c>
      <c r="DP184" s="17">
        <f>DO184*VLOOKUP('Données projet'!$B$14,Paramètres!$A$1:$I$89,3,0)*VLOOKUP('Données projet'!$B$14,Paramètres!$A$1:$I$89,5,0)</f>
        <v>-2.0838797354372215E-13</v>
      </c>
      <c r="DQ184" s="13" t="e">
        <f t="shared" si="341"/>
        <v>#NUM!</v>
      </c>
      <c r="DR184" s="20" t="e">
        <f t="shared" si="342"/>
        <v>#NUM!</v>
      </c>
      <c r="DS184" s="59" t="e">
        <f t="shared" si="240"/>
        <v>#NUM!</v>
      </c>
      <c r="DT184" s="59">
        <f ca="1">AVERAGE(OFFSET($DS$3,0,0,'Données projet'!$E$14+1,1))-AVERAGE(OFFSET($H$3,0,0,'Données projet'!$E$14+1,1))</f>
        <v>296.91321813251051</v>
      </c>
      <c r="DU184" s="59">
        <f t="shared" si="297"/>
        <v>291.0718079639509</v>
      </c>
      <c r="DV184" s="15">
        <f>IF(ISNA(VLOOKUP(A184,'Données projet'!$A$175:$I$195,3,0)),0,VLOOKUP(A184,'Données projet'!$A$175:$I$195,3,0))</f>
        <v>0</v>
      </c>
      <c r="DW184" s="15">
        <f>IF(ISNA(VLOOKUP(A184,'Données projet'!$A$175:$I$195,4,0)),0,VLOOKUP(A184,'Données projet'!$A$175:$I$195,4,0))</f>
        <v>0</v>
      </c>
      <c r="DX184" s="16">
        <f>IF(ISNA(VLOOKUP(A184,'Données projet'!$A$175:$I$195,5,0)),0%,VLOOKUP(A184,'Données projet'!$A$175:$I$195,5,0)*VLOOKUP('Données projet'!$B$14,Paramètres!$A$1:$I$89,7,0))</f>
        <v>0</v>
      </c>
      <c r="DY184" s="16">
        <f>IF(ISNA(VLOOKUP(A184,'Données projet'!$A$175:$I$195,6,0)),0%,VLOOKUP(A184,'Données projet'!$A$175:$I$195,6,0)*VLOOKUP('Données projet'!$B$14,Paramètres!$A$1:$I$89,7,0))</f>
        <v>0</v>
      </c>
      <c r="DZ184" s="16">
        <f>IF(ISNA(VLOOKUP(A184,'Données projet'!$A$175:$I$195,7,0)),0%,VLOOKUP(A184,'Données projet'!$A$175:$I$195,7,0))</f>
        <v>0</v>
      </c>
      <c r="EA184" s="21">
        <f>EXP(-LN(2)/35)*EA183+(1-EXP(-LN(2)/35))/(LN(2)/35)*DW184*DX184*VLOOKUP('Données projet'!$B$14,Paramètres!$A$1:$I$89,3,0)*0.475*44/12</f>
        <v>23.469763113136221</v>
      </c>
      <c r="EB184" s="21">
        <f>EXP(-LN(2)/25)*EB183+(1-EXP(-LN(2)/25))/(LN(2)/25)*Calculateur!DW184*Calculateur!DY184*VLOOKUP('Données projet'!$B$14,Paramètres!$A$1:$I$89,3,0)*0.475*44/12</f>
        <v>0.32552776932242472</v>
      </c>
      <c r="EC184" s="21">
        <f>EXP(-LN(2)/2)*EC183+(1-EXP(-LN(2)/2))/(LN(2)/2)*DW184*DZ184*VLOOKUP('Données projet'!$B$14,Paramètres!$A$1:$I$89,3,0)*0.475*44/12</f>
        <v>0</v>
      </c>
      <c r="ED184" s="22">
        <f t="shared" si="343"/>
        <v>23.795290882458644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projet'!$A$201:$I$221,2,0)</f>
        <v>#N/A</v>
      </c>
      <c r="EH184" s="12" t="e">
        <f>VLOOKUP(A184,'Données projet'!$A$201:$I$221,9,0)</f>
        <v>#N/A</v>
      </c>
      <c r="EI184" s="12">
        <f t="array" ref="EI184">INDEX(EH:EH,MIN(IF(ISNUMBER(EH184:EH380),ROW(EH184:EH380),"")))</f>
        <v>0</v>
      </c>
      <c r="EJ184" s="12">
        <f>IF('Données projet'!$A$202&gt;35,EJ183+EI184-ER183,IF(A184&lt;'Données projet'!$A$202,$EG$205^A184,IF(A184='Données projet'!$A$202,'Données projet'!$B$202,EJ183+EI184-ER183)))</f>
        <v>5.1159076974727213E-13</v>
      </c>
      <c r="EK184" s="17">
        <f>EJ184*VLOOKUP('Données projet'!$B$15,Paramètres!$A$1:$I$89,3,0)*VLOOKUP('Données projet'!$B$15,Paramètres!$A$1:$I$89,5,0)</f>
        <v>2.3942448024172334E-13</v>
      </c>
      <c r="EL184" s="13">
        <f t="shared" si="344"/>
        <v>3.2492669905861755E-12</v>
      </c>
      <c r="EM184" s="20">
        <f t="shared" si="345"/>
        <v>6.0761376450252565E-12</v>
      </c>
      <c r="EN184" s="59">
        <f t="shared" si="243"/>
        <v>293.3333333333394</v>
      </c>
      <c r="EO184" s="59">
        <f ca="1">AVERAGE(OFFSET($EN$3,0,0,'Données projet'!$E$15+1,1))-AVERAGE(OFFSET($H$3,0,0,'Données projet'!$E$15+1,1))</f>
        <v>147.64256291235483</v>
      </c>
      <c r="EP184" s="59">
        <f t="shared" si="299"/>
        <v>70.859031694091868</v>
      </c>
      <c r="EQ184" s="15">
        <f>IF(ISNA(VLOOKUP(A184,'Données projet'!$A$201:$I$221,3,0)),0,VLOOKUP(A184,'Données projet'!$A$201:$I$221,3,0))</f>
        <v>0</v>
      </c>
      <c r="ER184" s="15">
        <f>IF(ISNA(VLOOKUP(A184,'Données projet'!$A$201:$I$221,4,0)),0,VLOOKUP(A184,'Données projet'!$A$201:$I$221,4,0))</f>
        <v>0</v>
      </c>
      <c r="ES184" s="16">
        <f>IF(ISNA(VLOOKUP(A184,'Données projet'!$A$201:$I$221,5,0)),0%,VLOOKUP(A184,'Données projet'!$A$201:$I$221,5,0)*VLOOKUP('Données projet'!$B$15,Paramètres!$A$1:$I$89,7,0))</f>
        <v>0</v>
      </c>
      <c r="ET184" s="16">
        <f>IF(ISNA(VLOOKUP(A184,'Données projet'!$A$201:$I$221,6,0)),0%,VLOOKUP(A184,'Données projet'!$A$201:$I$221,6,0)*VLOOKUP('Données projet'!$B$15,Paramètres!$A$1:$I$89,7,0))</f>
        <v>0</v>
      </c>
      <c r="EU184" s="16">
        <f>IF(ISNA(VLOOKUP(A184,'Données projet'!$A$201:$I$221,7,0)),0%,VLOOKUP(A184,'Données projet'!$A$201:$I$221,7,0))</f>
        <v>0</v>
      </c>
      <c r="EV184" s="21">
        <f>EXP(-LN(2)/35)*EV183+(1-EXP(-LN(2)/35))/(LN(2)/35)*ER184*ES184*VLOOKUP('Données projet'!$B$15,Paramètres!$A$1:$I$89,3,0)*0.475*44/12</f>
        <v>32.130475651991013</v>
      </c>
      <c r="EW184" s="21">
        <f>EXP(-LN(2)/25)*EW183+(1-EXP(-LN(2)/25))/(LN(2)/25)*Calculateur!ER184*Calculateur!ET184*VLOOKUP('Données projet'!$B$15,Paramètres!$A$1:$I$89,3,0)*0.475*44/12</f>
        <v>4.5163698356641024</v>
      </c>
      <c r="EX184" s="21">
        <f>EXP(-LN(2)/2)*EX183+(1-EXP(-LN(2)/2))/(LN(2)/2)*ER184*EU184*VLOOKUP('Données projet'!$B$15,Paramètres!$A$1:$I$89,3,0)*0.475*44/12</f>
        <v>2.6700857160486861E-10</v>
      </c>
      <c r="EY184" s="22">
        <f t="shared" si="346"/>
        <v>36.646845487922121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projet'!$A$227:$I$247,2,0)</f>
        <v>#N/A</v>
      </c>
      <c r="FC184" s="12" t="e">
        <f>VLOOKUP(A184,'Données projet'!$A$227:$I$247,9,0)</f>
        <v>#N/A</v>
      </c>
      <c r="FD184" s="12">
        <f t="array" ref="FD184">INDEX(FC:FC,MIN(IF(ISNUMBER(FC184:FC380),ROW(FC184:FC380),"")))</f>
        <v>0</v>
      </c>
      <c r="FE184" s="12">
        <f>IF('Données projet'!$A$228&gt;35,FE183+FD184-FM183,IF(A184&lt;'Données projet'!$A$228,$FB$205^A184,IF(A184='Données projet'!$A$228,'Données projet'!$B$228,FE183+FD184-FM183)))</f>
        <v>8.5265128291212022E-14</v>
      </c>
      <c r="FF184" s="17">
        <f>FE184*VLOOKUP('Données projet'!$B$16,Paramètres!$A$1:$I$89,3,0)*VLOOKUP('Données projet'!$B$16,Paramètres!$A$1:$I$89,5,0)</f>
        <v>8.9119112089974823E-14</v>
      </c>
      <c r="FG184" s="13">
        <f t="shared" si="347"/>
        <v>1.3568952080113142E-12</v>
      </c>
      <c r="FH184" s="20">
        <f t="shared" si="348"/>
        <v>2.5184749408430782E-12</v>
      </c>
      <c r="FI184" s="59">
        <f t="shared" si="246"/>
        <v>293.33333333333582</v>
      </c>
      <c r="FJ184" s="59">
        <f ca="1">AVERAGE(OFFSET($FI$3,0,0,'Données projet'!$E$16+1,1))-AVERAGE(OFFSET($H$3,0,0,'Données projet'!$E$16+1,1))</f>
        <v>259.03906550253788</v>
      </c>
      <c r="FK184" s="59">
        <f t="shared" si="301"/>
        <v>235.54542903570831</v>
      </c>
      <c r="FL184" s="15">
        <f>IF(ISNA(VLOOKUP(A184,'Données projet'!$A$227:$I$247,3,0)),0,VLOOKUP(A184,'Données projet'!$A$227:$I$247,3,0))</f>
        <v>0</v>
      </c>
      <c r="FM184" s="15">
        <f>IF(ISNA(VLOOKUP(A184,'Données projet'!$A$227:$I$247,4,0)),0,VLOOKUP(A184,'Données projet'!$A$227:$I$247,4,0))</f>
        <v>0</v>
      </c>
      <c r="FN184" s="16">
        <f>IF(ISNA(VLOOKUP(A184,'Données projet'!$A$227:$I$247,5,0)),0%,VLOOKUP(A184,'Données projet'!$A$227:$I$247,5,0)*VLOOKUP('Données projet'!$B$16,Paramètres!$A$1:$I$89,7,0))</f>
        <v>0</v>
      </c>
      <c r="FO184" s="16">
        <f>IF(ISNA(VLOOKUP(A184,'Données projet'!$A$227:$I$247,6,0)),0%,VLOOKUP(A184,'Données projet'!$A$227:$I$247,6,0)*VLOOKUP('Données projet'!$B$16,Paramètres!$A$1:$I$89,7,0))</f>
        <v>0</v>
      </c>
      <c r="FP184" s="16">
        <f>IF(ISNA(VLOOKUP(A184,'Données projet'!$A$227:$I$247,7,0)),0%,VLOOKUP(A184,'Données projet'!$A$227:$I$247,7,0))</f>
        <v>0</v>
      </c>
      <c r="FQ184" s="21">
        <f>EXP(-LN(2)/35)*FQ183+(1-EXP(-LN(2)/35))/(LN(2)/35)*FM184*FN184*VLOOKUP('Données projet'!$B$16,Paramètres!$A$1:$I$89,3,0)*0.475*44/12</f>
        <v>14.181518746017282</v>
      </c>
      <c r="FR184" s="21">
        <f>EXP(-LN(2)/25)*FR183+(1-EXP(-LN(2)/25))/(LN(2)/25)*Calculateur!FM184*Calculateur!FO184*VLOOKUP('Données projet'!$B$16,Paramètres!$A$1:$I$89,3,0)*0.475*44/12</f>
        <v>6.2130555249717485</v>
      </c>
      <c r="FS184" s="21">
        <f>EXP(-LN(2)/2)*FS183+(1-EXP(-LN(2)/2))/(LN(2)/2)*FM184*FP184*VLOOKUP('Données projet'!$B$16,Paramètres!$A$1:$I$89,3,0)*0.475*44/12</f>
        <v>0</v>
      </c>
      <c r="FT184" s="22">
        <f t="shared" si="349"/>
        <v>20.394574270989033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projet'!$A$253:$I$273,2,0)</f>
        <v>#N/A</v>
      </c>
      <c r="FX184" s="12" t="e">
        <f>VLOOKUP(A184,'Données projet'!$A$253:$I$273,9,0)</f>
        <v>#N/A</v>
      </c>
      <c r="FY184" s="12">
        <f t="array" ref="FY184">INDEX(FX:FX,MIN(IF(ISNUMBER(FX184:FX380),ROW(FX184:FX380),"")))</f>
        <v>0</v>
      </c>
      <c r="FZ184" s="12">
        <f>IF('Données projet'!$A$254&gt;35,FZ183+FY184-GH183,IF(A184&lt;'Données projet'!$A$254,$FW$205^A184,IF(A184='Données projet'!$A$254,'Données projet'!$B$254,FZ183+FY184-GH183)))</f>
        <v>-1.7053025658242404E-13</v>
      </c>
      <c r="GA184" s="17">
        <f>FZ184*VLOOKUP('Données projet'!$B$17,Paramètres!$A$1:$I$89,3,0)*VLOOKUP('Données projet'!$B$17,Paramètres!$A$1:$I$89,5,0)</f>
        <v>-1.4897523215040567E-13</v>
      </c>
      <c r="GB184" s="13" t="e">
        <f t="shared" si="350"/>
        <v>#NUM!</v>
      </c>
      <c r="GC184" s="20" t="e">
        <f t="shared" si="351"/>
        <v>#NUM!</v>
      </c>
      <c r="GD184" s="59" t="e">
        <f t="shared" si="249"/>
        <v>#NUM!</v>
      </c>
      <c r="GE184" s="59">
        <f ca="1">AVERAGE(OFFSET($GD$3,0,0,'Données projet'!$E$17+1,1))-AVERAGE(OFFSET($H$3,0,0,'Données projet'!$E$17+1,1))</f>
        <v>245.1983232777614</v>
      </c>
      <c r="GF184" s="59">
        <f t="shared" si="303"/>
        <v>242.34010522344573</v>
      </c>
      <c r="GG184" s="15">
        <f>IF(ISNA(VLOOKUP(A184,'Données projet'!$A$253:$I$273,3,0)),0,VLOOKUP(A184,'Données projet'!$A$253:$I$273,3,0))</f>
        <v>0</v>
      </c>
      <c r="GH184" s="15">
        <f>IF(ISNA(VLOOKUP(A184,'Données projet'!$A$253:$I$273,4,0)),0,VLOOKUP(A184,'Données projet'!$A$253:$I$273,4,0))</f>
        <v>0</v>
      </c>
      <c r="GI184" s="16">
        <f>IF(ISNA(VLOOKUP(A184,'Données projet'!$A$253:$I$273,5,0)),0%,VLOOKUP(A184,'Données projet'!$A$253:$I$273,5,0)*VLOOKUP('Données projet'!$B$17,Paramètres!$A$1:$I$89,7,0))</f>
        <v>0</v>
      </c>
      <c r="GJ184" s="16">
        <f>IF(ISNA(VLOOKUP(A184,'Données projet'!$A$253:$I$273,6,0)),0%,VLOOKUP(A184,'Données projet'!$A$253:$I$273,6,0)*VLOOKUP('Données projet'!$B$17,Paramètres!$A$1:$I$89,7,0))</f>
        <v>0</v>
      </c>
      <c r="GK184" s="16">
        <f>IF(ISNA(VLOOKUP(A184,'Données projet'!$A$253:$I$273,7,0)),0%,VLOOKUP(A184,'Données projet'!$A$253:$I$273,7,0))</f>
        <v>0</v>
      </c>
      <c r="GL184" s="21">
        <f>EXP(-LN(2)/35)*GL183+(1-EXP(-LN(2)/35))/(LN(2)/35)*GH184*GI184*VLOOKUP('Données projet'!$B$17,Paramètres!$A$1:$I$89,3,0)*0.475*44/12</f>
        <v>16.672321022887768</v>
      </c>
      <c r="GM184" s="21">
        <f>EXP(-LN(2)/25)*GM183+(1-EXP(-LN(2)/25))/(LN(2)/25)*Calculateur!GH184*Calculateur!GJ184*VLOOKUP('Données projet'!$B$17,Paramètres!$A$1:$I$89,3,0)*0.475*44/12</f>
        <v>1.3238507721876063</v>
      </c>
      <c r="GN184" s="21">
        <f>EXP(-LN(2)/2)*GN183+(1-EXP(-LN(2)/2))/(LN(2)/2)*GH184*GK184*VLOOKUP('Données projet'!$B$17,Paramètres!$A$1:$I$89,3,0)*0.475*44/12</f>
        <v>0</v>
      </c>
      <c r="GO184" s="21">
        <f t="shared" si="352"/>
        <v>17.996171795075373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projet'!$A$279:$I$299,2,0)</f>
        <v>#N/A</v>
      </c>
      <c r="GS184" s="12" t="e">
        <f>VLOOKUP(A184,'Données projet'!$A$279:$I$299,9,0)</f>
        <v>#N/A</v>
      </c>
      <c r="GT184" s="12">
        <f t="array" ref="GT184">INDEX(GS:GS,MIN(IF(ISNUMBER(GS184:GS380),ROW(GS184:GS380),"")))</f>
        <v>0</v>
      </c>
      <c r="GU184" s="12">
        <f>IF('Données projet'!$A$280&gt;35,GU183+GT184-HC183,IF(A184&lt;'Données projet'!$A$280,$GR$205^A184,IF(A184='Données projet'!$A$280,'Données projet'!$B$280,GU183+GT184-HC183)))</f>
        <v>-1.1368683772161603E-13</v>
      </c>
      <c r="GV184" s="17">
        <f>GU184*VLOOKUP('Données projet'!$B$18,Paramètres!$A$1:$I$89,3,0)*VLOOKUP('Données projet'!$B$18,Paramètres!$A$1:$I$89,5,0)</f>
        <v>-4.5815795601811263E-14</v>
      </c>
      <c r="GW184" s="13" t="e">
        <f t="shared" si="353"/>
        <v>#NUM!</v>
      </c>
      <c r="GX184" s="20" t="e">
        <f t="shared" si="354"/>
        <v>#NUM!</v>
      </c>
      <c r="GY184" s="59" t="e">
        <f t="shared" si="252"/>
        <v>#NUM!</v>
      </c>
      <c r="GZ184" s="59">
        <f ca="1">AVERAGE(OFFSET($GY$3,0,0,'Données projet'!$E$18+1,1))-AVERAGE(OFFSET($H$3,0,0,'Données projet'!$E$18+1,1))</f>
        <v>324.36162935850876</v>
      </c>
      <c r="HA184" s="59">
        <f t="shared" si="305"/>
        <v>265.23571072429735</v>
      </c>
      <c r="HB184" s="15">
        <f>IF(ISNA(VLOOKUP(A184,'Données projet'!$A$279:$I$299,3,0)),0,VLOOKUP(A184,'Données projet'!$A$279:$I$299,3,0))</f>
        <v>0</v>
      </c>
      <c r="HC184" s="15">
        <f>IF(ISNA(VLOOKUP(A184,'Données projet'!$A$279:$I$299,4,0)),0,VLOOKUP(A184,'Données projet'!$A$279:$I$299,4,0))</f>
        <v>0</v>
      </c>
      <c r="HD184" s="16">
        <f>IF(ISNA(VLOOKUP(A184,'Données projet'!$A$279:$I$299,5,0)),0%,VLOOKUP(A184,'Données projet'!$A$279:$I$299,5,0)*VLOOKUP('Données projet'!$B$18,Paramètres!$A$1:$I$89,7,0))</f>
        <v>0</v>
      </c>
      <c r="HE184" s="16">
        <f>IF(ISNA(VLOOKUP(A184,'Données projet'!$A$279:$I$299,6,0)),0%,VLOOKUP(A184,'Données projet'!$A$279:$I$299,6,0)*VLOOKUP('Données projet'!$B$18,Paramètres!$A$1:$I$89,7,0))</f>
        <v>0</v>
      </c>
      <c r="HF184" s="16">
        <f>IF(ISNA(VLOOKUP($A184,'Données projet'!$A$279:$I$299,7,0)),0%,VLOOKUP($A184,'Données projet'!$A$279:$I$299,7,0))</f>
        <v>0</v>
      </c>
      <c r="HG184" s="21">
        <f>EXP(-LN(2)/35)*HG183+(1-EXP(-LN(2)/35))/(LN(2)/35)*HC184*HD184*VLOOKUP('Données projet'!$B$18,Paramètres!$A$1:$I$89,3,0)*0.475*44/12</f>
        <v>31.948525538177353</v>
      </c>
      <c r="HH184" s="21">
        <f>EXP(-LN(2)/25)*HH183+(1-EXP(-LN(2)/25))/(LN(2)/25)*Calculateur!HC184*Calculateur!HE184*VLOOKUP('Données projet'!$B$18,Paramètres!$A$1:$I$89,3,0)*0.475*44/12</f>
        <v>1.4723588506370628</v>
      </c>
      <c r="HI184" s="21">
        <f>EXP(-LN(2)/2)*HI183+(1-EXP(-LN(2)/2))/(LN(2)/2)*HC184*HF184*VLOOKUP('Données projet'!$B$18,Paramètres!$A$1:$I$89,3,0)*0.475*44/12</f>
        <v>5.3679638029944662E-15</v>
      </c>
      <c r="HJ184" s="22">
        <f t="shared" si="355"/>
        <v>33.420884388814422</v>
      </c>
      <c r="HK184" s="74">
        <f>('Scénario référence'!$F$8+'Scénario référence'!$F$9+'Scénario référence'!$B$17+'Scénario référence'!$B$9+'Scénario référence'!$B$10)*70+IF((45+25*(1-EXP(-0.0175*$A184)))&lt;70,'Scénario référence'!$B$16*(45+25*(1-EXP(-0.0175*$A184))),70*'Scénario référence'!$B$16)+IF((32+38*(1-EXP(-0.0175*$A184)))&lt;70,'Scénario référence'!$B$18*(32+38*(1-EXP(-0.0175*$A184))),70*'Scénario référence'!$B$18)</f>
        <v>70</v>
      </c>
      <c r="HL184" s="12">
        <f>IF($A184&gt;30,10,('Scénario référence'!$B$16+'Scénario référence'!$B$17+'Scénario référence'!$B$18+'Scénario référence'!$B$9+'Scénario référence'!$B$10)*$A184*10/30+('Scénario référence'!$F$8+'Scénario référence'!$F$9)*10)</f>
        <v>10</v>
      </c>
      <c r="HM184" s="12" t="e">
        <f>VLOOKUP($A184,'Données projet'!$A$304:$I$324,2,0)</f>
        <v>#N/A</v>
      </c>
      <c r="HN184" s="12" t="e">
        <f>VLOOKUP($A184,'Données projet'!$A$304:$I$324,9,0)</f>
        <v>#N/A</v>
      </c>
      <c r="HO184" s="12">
        <f t="array" ref="HO184">INDEX(HN:HN,MIN(IF(ISNUMBER(HN184:HN380),ROW(HN184:HN380),"")))</f>
        <v>0</v>
      </c>
      <c r="HP184" s="12">
        <f>IF('Données projet'!$A$304&gt;35,HP183+HO184-HX183,IF($A184&lt;'Données projet'!$A$304,$CQ$205^$A184,IF($A184='Données projet'!$A$304,'Données projet'!$B$304,HP183+HO184-HX183)))</f>
        <v>0</v>
      </c>
      <c r="HQ184" s="17">
        <f>HP184*VLOOKUP('Données projet'!$B$19,Paramètres!$A$1:$I$89,3,0)*VLOOKUP('Données projet'!$B$19,Paramètres!$A$1:$I$89,5,0)</f>
        <v>0</v>
      </c>
      <c r="HR184" s="13" t="e">
        <f t="shared" si="306"/>
        <v>#NUM!</v>
      </c>
      <c r="HS184" s="14" t="e">
        <f t="shared" si="254"/>
        <v>#NUM!</v>
      </c>
      <c r="HT184" s="59" t="e">
        <f t="shared" si="255"/>
        <v>#NUM!</v>
      </c>
      <c r="HU184" s="59">
        <f ca="1">AVERAGE(OFFSET(HT$3,0,0,'Données projet'!$E$19+1,1))-AVERAGE(OFFSET($H$3,0,0,'Données projet'!$E$19+1,1))</f>
        <v>91.60721429656013</v>
      </c>
      <c r="HV184" s="59">
        <f t="shared" si="307"/>
        <v>258.94957804210856</v>
      </c>
      <c r="HW184" s="15">
        <f>IF(ISNA(VLOOKUP($A184,'Données projet'!$A$304:$I$324,3,0)),0,VLOOKUP($A184,'Données projet'!$A$304:$I$324,3,0))</f>
        <v>0</v>
      </c>
      <c r="HX184" s="15">
        <f>IF(ISNA(VLOOKUP($A184,'Données projet'!$A$304:$I$324,4,0)),0,VLOOKUP($A184,'Données projet'!$A$304:$I$324,4,0))</f>
        <v>0</v>
      </c>
      <c r="HY184" s="16">
        <f>IF(ISNA(VLOOKUP($A184,'Données projet'!$A$304:$I$324,5,0)),0%,VLOOKUP($A184,'Données projet'!$A$304:$I$324,5,0)*VLOOKUP('Données projet'!$B$19,Paramètres!$A$1:$I$89,7,0))</f>
        <v>0</v>
      </c>
      <c r="HZ184" s="16">
        <f>IF(ISNA(VLOOKUP($A184,'Données projet'!$A$304:$I$324,6,0)),0%,VLOOKUP($A184,'Données projet'!$A$304:$I$324,6,0)*VLOOKUP('Données projet'!$B$19,Paramètres!$A$1:$I$89,7,0))</f>
        <v>0</v>
      </c>
      <c r="IA184" s="16">
        <f>IF(ISNA(VLOOKUP($A184,'Données projet'!$A$304:$I$324,7,0)),0%,VLOOKUP($A184,'Données projet'!$A$304:$I$324,7,0))</f>
        <v>0</v>
      </c>
      <c r="IB184" s="21">
        <f>EXP(-LN(2)/35)*IB183+(1-EXP(-LN(2)/35))/(LN(2)/35)*HX184*HY184*VLOOKUP('Données projet'!$B$19,Paramètres!$A$1:$I$89,3,0)*0.475*44/12</f>
        <v>2.4797363988279058</v>
      </c>
      <c r="IC184" s="21">
        <f>EXP(-LN(2)/25)*IC183+(1-EXP(-LN(2)/25))/(LN(2)/25)*Calculateur!HX184*Calculateur!HZ184*VLOOKUP('Données projet'!$B$19,Paramètres!$A$1:$I$89,3,0)*0.475*44/12</f>
        <v>0.14783939810346799</v>
      </c>
      <c r="ID184" s="21">
        <f>EXP(-LN(2)/2)*ID183+(1-EXP(-LN(2)/2))/(LN(2)/2)*HX184*IA184*VLOOKUP('Données projet'!$B$19,Paramètres!$A$1:$I$89,3,0)*0.475*44/12</f>
        <v>1.0722054178819491E-23</v>
      </c>
      <c r="IE184" s="22">
        <f t="shared" si="256"/>
        <v>2.6275757969313736</v>
      </c>
      <c r="IF184" s="74">
        <f>('Scénario référence'!$F$8+'Scénario référence'!$F$9+'Scénario référence'!$B$17+'Scénario référence'!$B$9+'Scénario référence'!$B$10)*70+IF((45+25*(1-EXP(-0.0175*$A184)))&lt;70,'Scénario référence'!$B$16*(45+25*(1-EXP(-0.0175*$A184))),70*'Scénario référence'!$B$16)+IF((32+38*(1-EXP(-0.0175*$A184)))&lt;70,'Scénario référence'!$B$18*(32+38*(1-EXP(-0.0175*$A184))),70*'Scénario référence'!$B$18)</f>
        <v>70</v>
      </c>
      <c r="IG184" s="12">
        <f>IF($A184&gt;30,10,('Scénario référence'!$B$16+'Scénario référence'!$B$17+'Scénario référence'!$B$18+'Scénario référence'!$B$9+'Scénario référence'!$B$10)*$A184*10/30+('Scénario référence'!$F$8+'Scénario référence'!$F$9)*10)</f>
        <v>10</v>
      </c>
      <c r="IH184" s="12" t="e">
        <f>VLOOKUP($A184,'Données projet'!$A$330:$I$350,2,0)</f>
        <v>#N/A</v>
      </c>
      <c r="II184" s="12" t="e">
        <f>VLOOKUP($A184,'Données projet'!$A$330:$I$350,9,0)</f>
        <v>#N/A</v>
      </c>
      <c r="IJ184" s="12">
        <f t="array" ref="IJ184">INDEX(II:II,MIN(IF(ISNUMBER(II184:II380),ROW(II184:II380),"")))</f>
        <v>0</v>
      </c>
      <c r="IK184" s="12">
        <f>IF('Données projet'!$A$330&gt;35,IK183+IJ184-IS183,IF($A184&lt;'Données projet'!$A$330,$CQ$205^$A184,IF($A184='Données projet'!$A$330,'Données projet'!$B$330,IK183+IJ184-IS183)))</f>
        <v>0</v>
      </c>
      <c r="IL184" s="17">
        <f>IK184*VLOOKUP('Données projet'!$B$20,Paramètres!$A$1:$I$89,3,0)*VLOOKUP('Données projet'!$B$20,Paramètres!$A$1:$I$89,5,0)</f>
        <v>0</v>
      </c>
      <c r="IM184" s="13" t="e">
        <f t="shared" si="308"/>
        <v>#NUM!</v>
      </c>
      <c r="IN184" s="20" t="e">
        <f t="shared" si="257"/>
        <v>#NUM!</v>
      </c>
      <c r="IO184" s="59" t="e">
        <f t="shared" si="258"/>
        <v>#NUM!</v>
      </c>
      <c r="IP184" s="59">
        <f ca="1">AVERAGE(OFFSET(IO$3,0,0,'Données projet'!$E$20+1,1))-AVERAGE(OFFSET($H$3,0,0,'Données projet'!$E$20+1,1))</f>
        <v>91.60721429656013</v>
      </c>
      <c r="IQ184" s="59">
        <f t="shared" si="309"/>
        <v>258.94957804210856</v>
      </c>
      <c r="IR184" s="15">
        <f>IF(ISNA(VLOOKUP($A184,'Données projet'!$A$330:$I$350,3,0)),0,VLOOKUP($A184,'Données projet'!$A$330:$I$350,3,0))</f>
        <v>0</v>
      </c>
      <c r="IS184" s="15">
        <f>IF(ISNA(VLOOKUP($A184,'Données projet'!$A$330:$I$350,4,0)),0,VLOOKUP($A184,'Données projet'!$A$330:$I$350,4,0))</f>
        <v>0</v>
      </c>
      <c r="IT184" s="16">
        <f>IF(ISNA(VLOOKUP($A184,'Données projet'!$A$330:$I$350,5,0)),0%,VLOOKUP($A184,'Données projet'!$A$330:$I$350,5,0)*VLOOKUP('Données projet'!$B$20,Paramètres!$A$1:$I$89,7,0))</f>
        <v>0</v>
      </c>
      <c r="IU184" s="16">
        <f>IF(ISNA(VLOOKUP($A184,'Données projet'!$A$330:$I$350,6,0)),0%,VLOOKUP($A184,'Données projet'!$A$330:$I$350,6,0)*VLOOKUP('Données projet'!$B$20,Paramètres!$A$1:$I$89,7,0))</f>
        <v>0</v>
      </c>
      <c r="IV184" s="16">
        <f>IF(ISNA(VLOOKUP($A184,'Données projet'!$A$330:$I$350,7,0)),0%,VLOOKUP($A184,'Données projet'!$A$330:$I$350,7,0))</f>
        <v>0</v>
      </c>
      <c r="IW184" s="21">
        <f>EXP(-LN(2)/35)*IW183+(1-EXP(-LN(2)/35))/(LN(2)/35)*IS184*IT184*VLOOKUP('Données projet'!$B$20,Paramètres!$A$1:$I$89,3,0)*0.475*44/12</f>
        <v>2.4797363988279058</v>
      </c>
      <c r="IX184" s="21">
        <f>EXP(-LN(2)/25)*IX183+(1-EXP(-LN(2)/25))/(LN(2)/25)*Calculateur!IS184*Calculateur!IU184*VLOOKUP('Données projet'!$B$20,Paramètres!$A$1:$I$89,3,0)*0.475*44/12</f>
        <v>0.14783939810346799</v>
      </c>
      <c r="IY184" s="21">
        <f>EXP(-LN(2)/2)*IY183+(1-EXP(-LN(2)/2))/(LN(2)/2)*IS184*IV184*VLOOKUP('Données projet'!$B$20,Paramètres!$A$1:$I$89,3,0)*0.475*44/12</f>
        <v>1.0722054178819491E-23</v>
      </c>
      <c r="IZ184" s="22">
        <f t="shared" si="259"/>
        <v>2.6275757969313736</v>
      </c>
      <c r="JA184" s="74">
        <f>('Scénario référence'!$F$8+'Scénario référence'!$F$9+'Scénario référence'!$B$17+'Scénario référence'!$B$9+'Scénario référence'!$B$10)*70+IF((45+25*(1-EXP(-0.0175*$A184)))&lt;70,'Scénario référence'!$B$16*(45+25*(1-EXP(-0.0175*$A184))),70*'Scénario référence'!$B$16)+IF((32+38*(1-EXP(-0.0175*$A184)))&lt;70,'Scénario référence'!$B$18*(32+38*(1-EXP(-0.0175*$A184))),70*'Scénario référence'!$B$18)</f>
        <v>70</v>
      </c>
      <c r="JB184" s="12">
        <f>IF($A184&gt;30,10,('Scénario référence'!$B$16+'Scénario référence'!$B$17+'Scénario référence'!$B$18+'Scénario référence'!$B$9+'Scénario référence'!$B$10)*$A184*10/30+('Scénario référence'!$F$8+'Scénario référence'!$F$9)*10)</f>
        <v>10</v>
      </c>
      <c r="JC184" s="12" t="e">
        <f>VLOOKUP($A184,'Données projet'!$A$356:$I$376,2,0)</f>
        <v>#N/A</v>
      </c>
      <c r="JD184" s="12" t="e">
        <f>VLOOKUP($A184,'Données projet'!$A$356:$I$376,9,0)</f>
        <v>#N/A</v>
      </c>
      <c r="JE184" s="12">
        <f t="array" ref="JE184">INDEX(JD:JD,MIN(IF(ISNUMBER(JD184:JD380),ROW(JD184:JD380),"")))</f>
        <v>0</v>
      </c>
      <c r="JF184" s="12">
        <f>IF('Données projet'!$A$356&gt;35,JF183+JE184-JN183,IF($A184&lt;'Données projet'!$A$356,$CQ$205^$A184,IF($A184='Données projet'!$A$356,'Données projet'!$B$356,JF183+JE184-JN183)))</f>
        <v>-1.3073986337985843E-12</v>
      </c>
      <c r="JG184" s="17">
        <f>JF184*VLOOKUP('Données projet'!$B$21,Paramètres!$A$1:$I$89,3,0)*VLOOKUP('Données projet'!$B$21,Paramètres!$A$1:$I$89,5,0)</f>
        <v>-1.0605617717374117E-12</v>
      </c>
      <c r="JH184" s="13" t="e">
        <f t="shared" si="310"/>
        <v>#NUM!</v>
      </c>
      <c r="JI184" s="20" t="e">
        <f t="shared" si="260"/>
        <v>#NUM!</v>
      </c>
      <c r="JJ184" s="59" t="e">
        <f t="shared" si="261"/>
        <v>#NUM!</v>
      </c>
      <c r="JK184" s="59">
        <f ca="1">AVERAGE(OFFSET($JJ$3,0,0,'Données projet'!$E$22+1,1))-AVERAGE(OFFSET($H$3,0,0,'Données projet'!$E$22+1,1))</f>
        <v>353.35574633294613</v>
      </c>
      <c r="JL184" s="59">
        <f t="shared" si="311"/>
        <v>170.36796666474726</v>
      </c>
      <c r="JM184" s="15">
        <f>IF(ISNA(VLOOKUP($A184,'Données projet'!$A$356:$I$376,3,0)),0,VLOOKUP($A184,'Données projet'!$A$356:$I$376,3,0))</f>
        <v>0</v>
      </c>
      <c r="JN184" s="15">
        <f>IF(ISNA(VLOOKUP($A184,'Données projet'!$A$356:$I$376,4,0)),0,VLOOKUP($A184,'Données projet'!$A$356:$I$376,4,0))</f>
        <v>0</v>
      </c>
      <c r="JO184" s="16">
        <f>IF(ISNA(VLOOKUP($A184,'Données projet'!$A$356:$I$376,5,0)),0%,VLOOKUP($A184,'Données projet'!$A$356:$I$376,5,0)*VLOOKUP('Données projet'!$B$21,Paramètres!$A$1:$I$89,7,0))</f>
        <v>0</v>
      </c>
      <c r="JP184" s="16">
        <f>IF(ISNA(VLOOKUP($A184,'Données projet'!$A$356:$I$376,6,0)),0%,VLOOKUP($A184,'Données projet'!$A$356:$I$376,6,0)*VLOOKUP('Données projet'!$B$21,Paramètres!$A$1:$I$89,7,0))</f>
        <v>0</v>
      </c>
      <c r="JQ184" s="16">
        <f>IF(ISNA(VLOOKUP($A184,'Données projet'!$A$356:$I$376,7,0)),0%,VLOOKUP($A184,'Données projet'!$A$356:$I$376,7,0))</f>
        <v>0</v>
      </c>
      <c r="JR184" s="21">
        <f>EXP(-LN(2)/35)*JR183+(1-EXP(-LN(2)/35))/(LN(2)/35)*JN184*JO184*VLOOKUP('Données projet'!$B$21,Paramètres!$A$1:$I$89,3,0)*0.475*44/12</f>
        <v>39.753872070409287</v>
      </c>
      <c r="JS184" s="21">
        <f>EXP(-LN(2)/25)*JS183+(1-EXP(-LN(2)/25))/(LN(2)/25)*Calculateur!JN184*Calculateur!JP184*VLOOKUP('Données projet'!$B$21,Paramètres!$A$1:$I$89,3,0)*0.475*44/12</f>
        <v>32.35706948347822</v>
      </c>
      <c r="JT184" s="21">
        <f>EXP(-LN(2)/2)*JT183+(1-EXP(-LN(2)/2))/(LN(2)/2)*JN184*JQ184*VLOOKUP('Données projet'!$B$21,Paramètres!$A$1:$I$89,3,0)*0.475*44/12</f>
        <v>7.3997030494195185E-4</v>
      </c>
      <c r="JU184" s="18">
        <f t="shared" si="262"/>
        <v>72.111681524192448</v>
      </c>
      <c r="JV184" s="74">
        <f>('Scénario référence'!$F$8+'Scénario référence'!$F$9+'Scénario référence'!$B$17+'Scénario référence'!$B$9+'Scénario référence'!$B$10)*70+IF((45+25*(1-EXP(-0.0175*$A184)))&lt;70,'Scénario référence'!$B$16*(45+25*(1-EXP(-0.0175*$A184))),70*'Scénario référence'!$B$16)+IF((32+38*(1-EXP(-0.0175*$A184)))&lt;70,'Scénario référence'!$B$18*(32+38*(1-EXP(-0.0175*$A184))),70*'Scénario référence'!$B$18)</f>
        <v>70</v>
      </c>
      <c r="JW184" s="12">
        <f>IF($A184&gt;30,10,('Scénario référence'!$B$16+'Scénario référence'!$B$17+'Scénario référence'!$B$18+'Scénario référence'!$B$9+'Scénario référence'!$B$10)*$A184*10/30+('Scénario référence'!$F$8+'Scénario référence'!$F$9)*10)</f>
        <v>10</v>
      </c>
      <c r="JX184" s="12" t="e">
        <f>VLOOKUP($A184,'Données projet'!$A$382:$I$402,2,0)</f>
        <v>#N/A</v>
      </c>
      <c r="JY184" s="12" t="e">
        <f>VLOOKUP($A184,'Données projet'!$A$382:$I$402,9,0)</f>
        <v>#N/A</v>
      </c>
      <c r="JZ184" s="12">
        <f t="array" ref="JZ184">INDEX(JY:JY,MIN(IF(ISNUMBER(JY184:JY380),ROW(JY184:JY380),"")))</f>
        <v>0</v>
      </c>
      <c r="KA184" s="12">
        <f>IF('Données projet'!$A$382&gt;35,KA183+JZ184-KI183,IF($A184&lt;'Données projet'!$A$382,$CQ$205^$A184,IF($A184='Données projet'!$A$382,'Données projet'!$B$382,KA183+JZ184-KI183)))</f>
        <v>5.6843418860808015E-13</v>
      </c>
      <c r="KB184" s="17">
        <f>KA184*VLOOKUP('Données projet'!$B$22,Paramètres!$A$1:$I$89,3,0)*VLOOKUP('Données projet'!$B$22,Paramètres!$A$1:$I$89,5,0)</f>
        <v>3.8130565371830017E-13</v>
      </c>
      <c r="KC184" s="13">
        <f t="shared" si="312"/>
        <v>4.9019074112354236E-12</v>
      </c>
      <c r="KD184" s="20">
        <f t="shared" si="263"/>
        <v>9.2015960881277352E-12</v>
      </c>
      <c r="KE184" s="59">
        <f t="shared" si="264"/>
        <v>293.33333333334252</v>
      </c>
      <c r="KF184" s="59">
        <f ca="1">AVERAGE(OFFSET($KE$3,0,0,'Données projet'!$E$22+1,1))-AVERAGE(OFFSET($H$3,0,0,'Données projet'!$E$22+1,1))</f>
        <v>193.91714772848269</v>
      </c>
      <c r="KG184" s="59">
        <f t="shared" si="313"/>
        <v>159.20429420478047</v>
      </c>
      <c r="KH184" s="15">
        <f>IF(ISNA(VLOOKUP($A184,'Données projet'!$A$382:$I$402,3,0)),0,VLOOKUP($A184,'Données projet'!$A$382:$I$402,3,0))</f>
        <v>0</v>
      </c>
      <c r="KI184" s="15">
        <f>IF(ISNA(VLOOKUP($A184,'Données projet'!$A$382:$I$402,4,0)),0,VLOOKUP($A184,'Données projet'!$A$382:$I$402,4,0))</f>
        <v>0</v>
      </c>
      <c r="KJ184" s="16">
        <f>IF(ISNA(VLOOKUP($A184,'Données projet'!$A$382:$I$402,5,0)),0%,VLOOKUP($A184,'Données projet'!$A$382:$I$402,5,0)*VLOOKUP('Données projet'!$B$22,Paramètres!$A$1:$I$89,7,0))</f>
        <v>0</v>
      </c>
      <c r="KK184" s="16">
        <f>IF(ISNA(VLOOKUP($A184,'Données projet'!$A$382:$I$402,6,0)),0%,VLOOKUP($A184,'Données projet'!$A$382:$I$402,6,0)*VLOOKUP('Données projet'!$B$22,Paramètres!$A$1:$I$89,7,0))</f>
        <v>0</v>
      </c>
      <c r="KL184" s="16">
        <f>IF(ISNA(VLOOKUP($A184,'Données projet'!$A$382:$I$402,7,0)),0%,VLOOKUP($A184,'Données projet'!$A$382:$I$402,7,0))</f>
        <v>0</v>
      </c>
      <c r="KM184" s="21">
        <f>EXP(-LN(2)/35)*KM183+(1-EXP(-LN(2)/35))/(LN(2)/35)*KI184*KJ184*VLOOKUP('Données projet'!$B$22,Paramètres!$A$1:$I$89,3,0)*0.475*44/12</f>
        <v>58.045040825369995</v>
      </c>
      <c r="KN184" s="21">
        <f>EXP(-LN(2)/25)*KN183+(1-EXP(-LN(2)/25))/(LN(2)/25)*Calculateur!KI184*Calculateur!KK184*VLOOKUP('Données projet'!$B$22,Paramètres!$A$1:$I$89,3,0)*0.475*44/12</f>
        <v>0</v>
      </c>
      <c r="KO184" s="21">
        <f>EXP(-LN(2)/2)*KO183+(1-EXP(-LN(2)/2))/(LN(2)/2)*KI184*KL184*VLOOKUP('Données projet'!$B$22,Paramètres!$A$1:$I$89,3,0)*0.475*44/12</f>
        <v>0</v>
      </c>
      <c r="KP184" s="22">
        <f t="shared" si="265"/>
        <v>58.045040825369995</v>
      </c>
      <c r="KQ184" s="74">
        <f>('Scénario référence'!$F$8+'Scénario référence'!$F$9+'Scénario référence'!$B$17+'Scénario référence'!$B$9+'Scénario référence'!$B$10)*70+IF((45+25*(1-EXP(-0.0175*$A184)))&lt;70,'Scénario référence'!$B$16*(45+25*(1-EXP(-0.0175*$A184))),70*'Scénario référence'!$B$16)+IF((32+38*(1-EXP(-0.0175*$A184)))&lt;70,'Scénario référence'!$B$18*(32+38*(1-EXP(-0.0175*$A184))),70*'Scénario référence'!$B$18)</f>
        <v>70</v>
      </c>
      <c r="KR184" s="12">
        <f>IF($A184&gt;30,10,('Scénario référence'!$B$16+'Scénario référence'!$B$17+'Scénario référence'!$B$18+'Scénario référence'!$B$9+'Scénario référence'!$B$10)*$A184*10/30+('Scénario référence'!$F$8+'Scénario référence'!$F$9)*10)</f>
        <v>10</v>
      </c>
      <c r="KS184" s="12" t="e">
        <f>VLOOKUP($A184,'Données projet'!$A$408:$I$428,2,0)</f>
        <v>#N/A</v>
      </c>
      <c r="KT184" s="12" t="e">
        <f>VLOOKUP($A184,'Données projet'!$A$408:$I$428,9,0)</f>
        <v>#N/A</v>
      </c>
      <c r="KU184" s="12">
        <f t="array" ref="KU184">INDEX(KT:KT,MIN(IF(ISNUMBER(KT184:KT380),ROW(KT184:KT380),"")))</f>
        <v>0</v>
      </c>
      <c r="KV184" s="12">
        <f>IF('Données projet'!$A$408&gt;35,KV183+KU184-LD183,IF($A184&lt;'Données projet'!$A$408,$CQ$205^$A184,IF($A184='Données projet'!$A$408,'Données projet'!$B$408,KV183+KU184-LD183)))</f>
        <v>-1.1368683772161603E-13</v>
      </c>
      <c r="KW184" s="17">
        <f>KV184*VLOOKUP('Données projet'!$B$23,Paramètres!$A$1:$I$89,3,0)*VLOOKUP('Données projet'!$B$23,Paramètres!$A$1:$I$89,5,0)</f>
        <v>-9.9316821433603781E-14</v>
      </c>
      <c r="KX184" s="13" t="e">
        <f t="shared" si="314"/>
        <v>#NUM!</v>
      </c>
      <c r="KY184" s="14" t="e">
        <f t="shared" si="266"/>
        <v>#NUM!</v>
      </c>
      <c r="KZ184" s="59" t="e">
        <f t="shared" si="267"/>
        <v>#NUM!</v>
      </c>
      <c r="LA184" s="59">
        <f ca="1">AVERAGE(OFFSET($KZ$3,0,0,'Données projet'!$E$23+1,1))-AVERAGE(OFFSET($H$3,0,0,'Données projet'!$E$23+1,1))</f>
        <v>248.33596943633819</v>
      </c>
      <c r="LB184" s="59">
        <f t="shared" si="315"/>
        <v>242.34010522344573</v>
      </c>
      <c r="LC184" s="15">
        <f>IF(ISNA(VLOOKUP($A184,'Données projet'!$A$408:$I$428,3,0)),0,VLOOKUP($A184,'Données projet'!$A$408:$I$428,3,0))</f>
        <v>0</v>
      </c>
      <c r="LD184" s="15">
        <f>IF(ISNA(VLOOKUP($A184,'Données projet'!$A$408:$I$428,4,0)),0,VLOOKUP($A184,'Données projet'!$A$408:$I$428,4,0))</f>
        <v>0</v>
      </c>
      <c r="LE184" s="16">
        <f>IF(ISNA(VLOOKUP($A184,'Données projet'!$A$408:$I$428,5,0)),0%,VLOOKUP($A184,'Données projet'!$A$408:$I$428,5,0)*VLOOKUP('Données projet'!$B$23,Paramètres!$A$1:$I$89,7,0))</f>
        <v>0</v>
      </c>
      <c r="LF184" s="16">
        <f>IF(ISNA(VLOOKUP($A184,'Données projet'!$A$408:$I$428,6,0)),0%,VLOOKUP($A184,'Données projet'!$A$408:$I$428,6,0)*VLOOKUP('Données projet'!$B$23,Paramètres!$A$1:$I$89,7,0))</f>
        <v>0</v>
      </c>
      <c r="LG184" s="16">
        <f>IF(ISNA(VLOOKUP($A184,'Données projet'!$A$408:$I$428,7,0)),0%,VLOOKUP($A184,'Données projet'!$A$408:$I$428,7,0))</f>
        <v>0</v>
      </c>
      <c r="LH184" s="21">
        <f>EXP(-LN(2)/35)*LH183+(1-EXP(-LN(2)/35))/(LN(2)/35)*LD184*LE184*VLOOKUP('Données projet'!$B$23,Paramètres!$A$1:$I$89,3,0)*0.475*44/12</f>
        <v>16.672321022887768</v>
      </c>
      <c r="LI184" s="21">
        <f>EXP(-LN(2)/25)*LI183+(1-EXP(-LN(2)/25))/(LN(2)/25)*Calculateur!LD184*Calculateur!LF184*VLOOKUP('Données projet'!$B$23,Paramètres!$A$1:$I$89,3,0)*0.475*44/12</f>
        <v>1.3238507721876063</v>
      </c>
      <c r="LJ184" s="21">
        <f>EXP(-LN(2)/2)*LJ183+(1-EXP(-LN(2)/2))/(LN(2)/2)*LD184*LG184*VLOOKUP('Données projet'!$B$23,Paramètres!$A$1:$I$89,3,0)*0.475*44/12</f>
        <v>0</v>
      </c>
      <c r="LK184" s="22">
        <f t="shared" si="268"/>
        <v>17.996171795075373</v>
      </c>
      <c r="LL184" s="74">
        <f>('Scénario référence'!$F$8+'Scénario référence'!$F$9+'Scénario référence'!$B$17+'Scénario référence'!$B$9+'Scénario référence'!$B$10)*70+IF((45+25*(1-EXP(-0.0175*$A184)))&lt;70,'Scénario référence'!$B$16*(45+25*(1-EXP(-0.0175*$A184))),70*'Scénario référence'!$B$16)+IF((32+38*(1-EXP(-0.0175*$A184)))&lt;70,'Scénario référence'!$B$18*(32+38*(1-EXP(-0.0175*$A184))),70*'Scénario référence'!$B$18)</f>
        <v>70</v>
      </c>
      <c r="LM184" s="12">
        <f>IF($A184&gt;30,10,('Scénario référence'!$B$16+'Scénario référence'!$B$17+'Scénario référence'!$B$18+'Scénario référence'!$B$9+'Scénario référence'!$B$10)*$A184*10/30+('Scénario référence'!$F$8+'Scénario référence'!$F$9)*10)</f>
        <v>10</v>
      </c>
      <c r="LN184" s="12" t="e">
        <f>VLOOKUP($A184,'Données projet'!$A$434:$I$454,2,0)</f>
        <v>#N/A</v>
      </c>
      <c r="LO184" s="12" t="e">
        <f>VLOOKUP($A184,'Données projet'!$A$434:$I$454,9,0)</f>
        <v>#N/A</v>
      </c>
      <c r="LP184" s="12">
        <f t="array" ref="LP184">INDEX(LO:LO,MIN(IF(ISNUMBER(LO184:LO380),ROW(LO184:LO380),"")))</f>
        <v>0</v>
      </c>
      <c r="LQ184" s="12">
        <f>IF('Données projet'!$A$434&gt;35,LQ183+LP184-LY183,IF($A184&lt;'Données projet'!$A$434,$CQ$205^$A184,IF($A184='Données projet'!$A$434,'Données projet'!$B$434,LQ183+LP184-LY183)))</f>
        <v>-4.5474735088646412E-13</v>
      </c>
      <c r="LR184" s="17">
        <f>LQ184*VLOOKUP('Données projet'!$B$24,Paramètres!$A$1:$I$89,3,0)*VLOOKUP('Données projet'!$B$24,Paramètres!$A$1:$I$89,5,0)</f>
        <v>-4.6111381379887462E-13</v>
      </c>
      <c r="LS184" s="13" t="e">
        <f t="shared" si="316"/>
        <v>#NUM!</v>
      </c>
      <c r="LT184" s="14" t="e">
        <f t="shared" si="269"/>
        <v>#NUM!</v>
      </c>
      <c r="LU184" s="59" t="e">
        <f t="shared" si="270"/>
        <v>#NUM!</v>
      </c>
      <c r="LV184" s="59">
        <f ca="1">AVERAGE(OFFSET($LU$3,0,0,'Données projet'!$E$24+1,1))-AVERAGE(OFFSET($H$3,0,0,'Données projet'!$E$24+1,1))</f>
        <v>260.52627655062872</v>
      </c>
      <c r="LW184" s="59">
        <f t="shared" si="317"/>
        <v>159.20429420478047</v>
      </c>
      <c r="LX184" s="15">
        <f>IF(ISNA(VLOOKUP($A184,'Données projet'!$A$434:$I$454,3,0)),0,VLOOKUP($A184,'Données projet'!$A$434:$I$454,3,0))</f>
        <v>0</v>
      </c>
      <c r="LY184" s="15">
        <f>IF(ISNA(VLOOKUP($A184,'Données projet'!$A$434:$I$454,4,0)),0,VLOOKUP($A184,'Données projet'!$A$434:$I$454,4,0))</f>
        <v>0</v>
      </c>
      <c r="LZ184" s="16">
        <f>IF(ISNA(VLOOKUP($A184,'Données projet'!$A$434:$I$454,5,0)),0%,VLOOKUP($A184,'Données projet'!$A$434:$I$454,5,0)*VLOOKUP('Données projet'!$B$24,Paramètres!$A$1:$I$89,7,0))</f>
        <v>0</v>
      </c>
      <c r="MA184" s="16">
        <f>IF(ISNA(VLOOKUP($A184,'Données projet'!$A$434:$I$454,6,0)),0%,VLOOKUP($A184,'Données projet'!$A$434:$I$454,6,0)*VLOOKUP('Données projet'!$B$24,Paramètres!$A$1:$I$89,7,0))</f>
        <v>0</v>
      </c>
      <c r="MB184" s="16">
        <f>IF(ISNA(VLOOKUP($A184,'Données projet'!$A$434:$I$454,7,0)),0%,VLOOKUP($A184,'Données projet'!$A$434:$I$454,7,0))</f>
        <v>0</v>
      </c>
      <c r="MC184" s="21">
        <f>EXP(-LN(2)/35)*MC183+(1-EXP(-LN(2)/35))/(LN(2)/35)*LY184*LZ184*VLOOKUP('Données projet'!$B$24,Paramètres!$A$1:$I$89,3,0)*0.475*44/12</f>
        <v>107.19736128693741</v>
      </c>
      <c r="MD184" s="21">
        <f>EXP(-LN(2)/25)*MD183+(1-EXP(-LN(2)/25))/(LN(2)/25)*Calculateur!LY184*Calculateur!MA184*VLOOKUP('Données projet'!$B$24,Paramètres!$A$1:$I$89,3,0)*0.475*44/12</f>
        <v>0</v>
      </c>
      <c r="ME184" s="21">
        <f>EXP(-LN(2)/2)*ME183+(1-EXP(-LN(2)/2))/(LN(2)/2)*LY184*MB184*VLOOKUP('Données projet'!$B$24,Paramètres!$A$1:$I$89,3,0)*0.475*44/12</f>
        <v>0</v>
      </c>
      <c r="MF184" s="22">
        <f t="shared" si="271"/>
        <v>107.19736128693741</v>
      </c>
      <c r="MG184" s="74">
        <f>('Scénario référence'!$F$8+'Scénario référence'!$F$9+'Scénario référence'!$B$17+'Scénario référence'!$B$9+'Scénario référence'!$B$10)*70+IF((45+25*(1-EXP(-0.0175*$A184)))&lt;70,'Scénario référence'!$B$16*(45+25*(1-EXP(-0.0175*$A184))),70*'Scénario référence'!$B$16)+IF((32+38*(1-EXP(-0.0175*$A184)))&lt;70,'Scénario référence'!$B$18*(32+38*(1-EXP(-0.0175*$A184))),70*'Scénario référence'!$B$18)</f>
        <v>70</v>
      </c>
      <c r="MH184" s="12">
        <f>IF($A184&gt;30,10,('Scénario référence'!$B$16+'Scénario référence'!$B$17+'Scénario référence'!$B$18+'Scénario référence'!$B$9+'Scénario référence'!$B$10)*$A184*10/30+('Scénario référence'!$F$8+'Scénario référence'!$F$9)*10)</f>
        <v>10</v>
      </c>
      <c r="MI184" s="12" t="e">
        <f>VLOOKUP($A184,'Données projet'!$A$460:$I$480,2,0)</f>
        <v>#N/A</v>
      </c>
      <c r="MJ184" s="12" t="e">
        <f>VLOOKUP($A184,'Données projet'!$A$460:$I$480,9,0)</f>
        <v>#N/A</v>
      </c>
      <c r="MK184" s="12">
        <f t="array" ref="MK184">INDEX(MJ:MJ,MIN(IF(ISNUMBER(MJ184:MJ380),ROW(MJ184:MJ380),"")))</f>
        <v>0</v>
      </c>
      <c r="ML184" s="12">
        <f>IF('Données projet'!$A$460&gt;35,ML183+MK184-MT183,IF($A184&lt;'Données projet'!$A$460,$CQ$205^$A184,IF($A184='Données projet'!$A$460,'Données projet'!$B$460,ML183+MK184-MT183)))</f>
        <v>0</v>
      </c>
      <c r="MM184" s="17" t="e">
        <f>ML184*VLOOKUP('Données projet'!$B$25,Paramètres!$A$1:$I$89,3,0)*VLOOKUP('Données projet'!$B$25,Paramètres!$A$1:$I$89,5,0)</f>
        <v>#N/A</v>
      </c>
      <c r="MN184" s="13" t="e">
        <f t="shared" si="318"/>
        <v>#N/A</v>
      </c>
      <c r="MO184" s="14" t="e">
        <f t="shared" si="272"/>
        <v>#N/A</v>
      </c>
      <c r="MP184" s="59" t="e">
        <f t="shared" si="273"/>
        <v>#N/A</v>
      </c>
      <c r="MQ184" s="20" t="e">
        <f ca="1">AVERAGE(OFFSET($MP$3,0,0,'Données projet'!$E$25+1,1))-AVERAGE(OFFSET($H$3,0,0,'Données projet'!$E$25+1,1))</f>
        <v>#N/A</v>
      </c>
      <c r="MR184" s="59" t="e">
        <f t="shared" si="319"/>
        <v>#N/A</v>
      </c>
      <c r="MS184" s="15">
        <f>IF(ISNA(VLOOKUP($A184,'Données projet'!$A$460:$I$480,3,0)),0,VLOOKUP($A184,'Données projet'!$A$460:$I$480,3,0))</f>
        <v>0</v>
      </c>
      <c r="MT184" s="15">
        <f>IF(ISNA(VLOOKUP($A184,'Données projet'!$A$460:$I$480,4,0)),0,VLOOKUP($A184,'Données projet'!$A$460:$I$480,4,0))</f>
        <v>0</v>
      </c>
      <c r="MU184" s="16">
        <f>IF(ISNA(VLOOKUP($A184,'Données projet'!$A$460:$I$480,5,0)),0%,VLOOKUP($A184,'Données projet'!$A$460:$I$480,5,0)*VLOOKUP('Données projet'!$B$25,Paramètres!$A$1:$I$89,7,0))</f>
        <v>0</v>
      </c>
      <c r="MV184" s="16">
        <f>IF(ISNA(VLOOKUP($A184,'Données projet'!$A$460:$I$480,6,0)),0%,VLOOKUP($A184,'Données projet'!$A$460:$I$480,6,0)*VLOOKUP('Données projet'!$B$25,Paramètres!$A$1:$I$89,7,0))</f>
        <v>0</v>
      </c>
      <c r="MW184" s="16">
        <f>IF(ISNA(VLOOKUP($A184,'Données projet'!$A$460:$I$480,7,0)),0%,VLOOKUP($A184,'Données projet'!$A$460:$I$480,7,0))</f>
        <v>0</v>
      </c>
      <c r="MX184" s="21" t="e">
        <f>EXP(-LN(2)/35)*MX183+(1-EXP(-LN(2)/35))/(LN(2)/35)*MT184*MU184*VLOOKUP('Données projet'!$B$25,Paramètres!$A$1:$I$89,3,0)*0.475*44/12</f>
        <v>#N/A</v>
      </c>
      <c r="MY184" s="21" t="e">
        <f>EXP(-LN(2)/25)*MY183+(1-EXP(-LN(2)/25))/(LN(2)/25)*Calculateur!MT184*Calculateur!MV184*VLOOKUP('Données projet'!$B$25,Paramètres!$A$1:$I$89,3,0)*0.475*44/12</f>
        <v>#N/A</v>
      </c>
      <c r="MZ184" s="21" t="e">
        <f>EXP(-LN(2)/2)*MZ183+(1-EXP(-LN(2)/2))/(LN(2)/2)*MT184*MW184*VLOOKUP('Données projet'!$B$25,Paramètres!$A$1:$I$89,3,0)*0.475*44/12</f>
        <v>#N/A</v>
      </c>
      <c r="NA184" s="22" t="e">
        <f t="shared" si="274"/>
        <v>#N/A</v>
      </c>
      <c r="NB184" s="74">
        <f>('Scénario référence'!$F$8+'Scénario référence'!$F$9+'Scénario référence'!$B$17+'Scénario référence'!$B$9+'Scénario référence'!$B$10)*70+IF((45+25*(1-EXP(-0.0175*$A184)))&lt;70,'Scénario référence'!$B$16*(45+25*(1-EXP(-0.0175*$A184))),70*'Scénario référence'!$B$16)+IF((32+38*(1-EXP(-0.0175*$A184)))&lt;70,'Scénario référence'!$B$18*(32+38*(1-EXP(-0.0175*$A184))),70*'Scénario référence'!$B$18)</f>
        <v>70</v>
      </c>
      <c r="NC184" s="12">
        <f>IF($A184&gt;30,10,('Scénario référence'!$B$16+'Scénario référence'!$B$17+'Scénario référence'!$B$18+'Scénario référence'!$B$9+'Scénario référence'!$B$10)*$A184*10/30+('Scénario référence'!$F$8+'Scénario référence'!$F$9)*10)</f>
        <v>10</v>
      </c>
      <c r="ND184" s="12" t="e">
        <f>VLOOKUP($A184,'Données projet'!$A$486:$I$506,2,0)</f>
        <v>#N/A</v>
      </c>
      <c r="NE184" s="12" t="e">
        <f>VLOOKUP($A184,'Données projet'!$A$486:$I$506,9,0)</f>
        <v>#N/A</v>
      </c>
      <c r="NF184" s="12">
        <f t="array" ref="NF184">INDEX(NE:NE,MIN(IF(ISNUMBER(NE184:NE380),ROW(NE184:NE380),"")))</f>
        <v>0</v>
      </c>
      <c r="NG184" s="12">
        <f>IF('Données projet'!$A$486&gt;35,NG183+NF184-NO183,IF($A184&lt;'Données projet'!$A$486,$CQ$205^$A184,IF($A184='Données projet'!$A$486,'Données projet'!$B$486,NG183+NF184-NO183)))</f>
        <v>0</v>
      </c>
      <c r="NH184" s="17" t="e">
        <f>NG184*VLOOKUP('Données projet'!$B$26,Paramètres!$A$1:$I$89,3,0)*VLOOKUP('Données projet'!$B$26,Paramètres!$A$1:$I$89,5,0)</f>
        <v>#N/A</v>
      </c>
      <c r="NI184" s="13" t="e">
        <f t="shared" si="320"/>
        <v>#N/A</v>
      </c>
      <c r="NJ184" s="14" t="e">
        <f t="shared" si="275"/>
        <v>#N/A</v>
      </c>
      <c r="NK184" s="59" t="e">
        <f t="shared" si="276"/>
        <v>#N/A</v>
      </c>
      <c r="NL184" s="20" t="e">
        <f ca="1">AVERAGE(OFFSET($NK$3,0,0,'Données projet'!$E$26+1,1))-AVERAGE(OFFSET($H$3,0,0,'Données projet'!$E$26+1,1))</f>
        <v>#N/A</v>
      </c>
      <c r="NM184" s="59" t="e">
        <f t="shared" si="321"/>
        <v>#N/A</v>
      </c>
      <c r="NN184" s="15">
        <f>IF(ISNA(VLOOKUP($A184,'Données projet'!$A$486:$I$506,3,0)),0,VLOOKUP($A184,'Données projet'!$A$486:$I$506,3,0))</f>
        <v>0</v>
      </c>
      <c r="NO184" s="15">
        <f>IF(ISNA(VLOOKUP($A184,'Données projet'!$A$486:$I$506,4,0)),0,VLOOKUP($A184,'Données projet'!$A$486:$I$506,4,0))</f>
        <v>0</v>
      </c>
      <c r="NP184" s="16">
        <f>IF(ISNA(VLOOKUP($A184,'Données projet'!$A$486:$I$506,5,0)),0%,VLOOKUP($A184,'Données projet'!$A$486:$I$506,5,0)*VLOOKUP('Données projet'!$B$26,Paramètres!$A$1:$I$89,7,0))</f>
        <v>0</v>
      </c>
      <c r="NQ184" s="16">
        <f>IF(ISNA(VLOOKUP($A184,'Données projet'!$A$486:$I$506,6,0)),0%,VLOOKUP($A184,'Données projet'!$A$486:$I$506,6,0)*VLOOKUP('Données projet'!$B$26,Paramètres!$A$1:$I$89,7,0))</f>
        <v>0</v>
      </c>
      <c r="NR184" s="16">
        <f>IF(ISNA(VLOOKUP($A184,'Données projet'!$A$486:$I$506,7,0)),0%,VLOOKUP($A184,'Données projet'!$A$486:$I$506,7,0))</f>
        <v>0</v>
      </c>
      <c r="NS184" s="21" t="e">
        <f>EXP(-LN(2)/35)*NS183+(1-EXP(-LN(2)/35))/(LN(2)/35)*NO184*NP184*VLOOKUP('Données projet'!$B$26,Paramètres!$A$1:$I$89,3,0)*0.475*44/12</f>
        <v>#N/A</v>
      </c>
      <c r="NT184" s="21" t="e">
        <f>EXP(-LN(2)/25)*NT183+(1-EXP(-LN(2)/25))/(LN(2)/25)*Calculateur!NO184*Calculateur!NQ184*VLOOKUP('Données projet'!$B$26,Paramètres!$A$1:$I$89,3,0)*0.475*44/12</f>
        <v>#N/A</v>
      </c>
      <c r="NU184" s="21" t="e">
        <f>EXP(-LN(2)/2)*NU183+(1-EXP(-LN(2)/2))/(LN(2)/2)*NO184*NR184*VLOOKUP('Données projet'!$B$26,Paramètres!$A$1:$I$89,3,0)*0.475*44/12</f>
        <v>#N/A</v>
      </c>
      <c r="NV184" s="22" t="e">
        <f t="shared" si="277"/>
        <v>#N/A</v>
      </c>
      <c r="NW184" s="74">
        <f>('Scénario référence'!$F$8+'Scénario référence'!$F$9+'Scénario référence'!$B$17+'Scénario référence'!$B$9+'Scénario référence'!$B$10)*70+IF((45+25*(1-EXP(-0.0175*$A184)))&lt;70,'Scénario référence'!$B$16*(45+25*(1-EXP(-0.0175*$A184))),70*'Scénario référence'!$B$16)+IF((32+38*(1-EXP(-0.0175*$A184)))&lt;70,'Scénario référence'!$B$18*(32+38*(1-EXP(-0.0175*$A184))),70*'Scénario référence'!$B$18)</f>
        <v>70</v>
      </c>
      <c r="NX184" s="12">
        <f>IF($A184&gt;30,10,('Scénario référence'!$B$16+'Scénario référence'!$B$17+'Scénario référence'!$B$18+'Scénario référence'!$B$9+'Scénario référence'!$B$10)*$A184*10/30+('Scénario référence'!$F$8+'Scénario référence'!$F$9)*10)</f>
        <v>10</v>
      </c>
      <c r="NY184" s="12" t="e">
        <f>VLOOKUP($A184,'Données projet'!$A$512:$I$532,2,0)</f>
        <v>#N/A</v>
      </c>
      <c r="NZ184" s="12" t="e">
        <f>VLOOKUP($A184,'Données projet'!$A$512:$I$532,9,0)</f>
        <v>#N/A</v>
      </c>
      <c r="OA184" s="12">
        <f t="array" ref="OA184">INDEX(NZ:NZ,MIN(IF(ISNUMBER(NZ184:NZ380),ROW(NZ184:NZ380),"")))</f>
        <v>0</v>
      </c>
      <c r="OB184" s="12">
        <f>IF('Données projet'!$A$512&gt;35,OB183+OA184-OJ183,IF($A184&lt;'Données projet'!$A$512,$CQ$205^$A184,IF($A184='Données projet'!$A$512,'Données projet'!$B$512,OB183+OA184-OJ183)))</f>
        <v>0</v>
      </c>
      <c r="OC184" s="17" t="e">
        <f>OB184*VLOOKUP('Données projet'!$B$27,Paramètres!$A$1:$I$89,3,0)*VLOOKUP('Données projet'!$B$27,Paramètres!$A$1:$I$89,5,0)</f>
        <v>#N/A</v>
      </c>
      <c r="OD184" s="13" t="e">
        <f t="shared" si="322"/>
        <v>#N/A</v>
      </c>
      <c r="OE184" s="14" t="e">
        <f t="shared" si="278"/>
        <v>#N/A</v>
      </c>
      <c r="OF184" s="59" t="e">
        <f t="shared" si="279"/>
        <v>#N/A</v>
      </c>
      <c r="OG184" s="20" t="e">
        <f ca="1">AVERAGE(OFFSET($OF$3,0,0,'Données projet'!$E$27+1,1))-AVERAGE(OFFSET($H$3,0,0,'Données projet'!$E$27+1,1))</f>
        <v>#N/A</v>
      </c>
      <c r="OH184" s="59" t="e">
        <f t="shared" si="323"/>
        <v>#N/A</v>
      </c>
      <c r="OI184" s="15">
        <f>IF(ISNA(VLOOKUP($A184,'Données projet'!$A$512:$I$532,3,0)),0,VLOOKUP($A184,'Données projet'!$A$512:$I$532,3,0))</f>
        <v>0</v>
      </c>
      <c r="OJ184" s="15">
        <f>IF(ISNA(VLOOKUP($A184,'Données projet'!$A$512:$I$532,4,0)),0,VLOOKUP($A184,'Données projet'!$A$512:$I$532,4,0))</f>
        <v>0</v>
      </c>
      <c r="OK184" s="16">
        <f>IF(ISNA(VLOOKUP($A184,'Données projet'!$A$512:$I$532,5,0)),0%,VLOOKUP($A184,'Données projet'!$A$512:$I$532,5,0)*VLOOKUP('Données projet'!$B$27,Paramètres!$A$1:$I$89,7,0))</f>
        <v>0</v>
      </c>
      <c r="OL184" s="16">
        <f>IF(ISNA(VLOOKUP($A184,'Données projet'!$A$512:$I$532,6,0)),0%,VLOOKUP($A184,'Données projet'!$A$512:$I$532,6,0)*VLOOKUP('Données projet'!$B$27,Paramètres!$A$1:$I$89,7,0))</f>
        <v>0</v>
      </c>
      <c r="OM184" s="16">
        <f>IF(ISNA(VLOOKUP($A184,'Données projet'!$A$512:$I$532,7,0)),0%,VLOOKUP($A184,'Données projet'!$A$512:$I$532,7,0))</f>
        <v>0</v>
      </c>
      <c r="ON184" s="21" t="e">
        <f>EXP(-LN(2)/35)*ON183+(1-EXP(-LN(2)/35))/(LN(2)/35)*OJ184*OK184*VLOOKUP('Données projet'!$B$27,Paramètres!$A$1:$I$89,3,0)*0.475*44/12</f>
        <v>#N/A</v>
      </c>
      <c r="OO184" s="21" t="e">
        <f>EXP(-LN(2)/25)*OO183+(1-EXP(-LN(2)/25))/(LN(2)/25)*Calculateur!OJ184*Calculateur!OL184*VLOOKUP('Données projet'!$B$27,Paramètres!$A$1:$I$89,3,0)*0.475*44/12</f>
        <v>#N/A</v>
      </c>
      <c r="OP184" s="21" t="e">
        <f>EXP(-LN(2)/2)*OP183+(1-EXP(-LN(2)/2))/(LN(2)/2)*OJ184*OM184*VLOOKUP('Données projet'!$B$27,Paramètres!$A$1:$I$89,3,0)*0.475*44/12</f>
        <v>#N/A</v>
      </c>
      <c r="OQ184" s="22" t="e">
        <f t="shared" si="280"/>
        <v>#N/A</v>
      </c>
      <c r="OR184" s="74">
        <f>('Scénario référence'!$F$8+'Scénario référence'!$F$9+'Scénario référence'!$B$17+'Scénario référence'!$B$9+'Scénario référence'!$B$10)*70+IF((45+25*(1-EXP(-0.0175*$A184)))&lt;70,'Scénario référence'!$B$16*(45+25*(1-EXP(-0.0175*$A184))),70*'Scénario référence'!$B$16)+IF((32+38*(1-EXP(-0.0175*$A184)))&lt;70,'Scénario référence'!$B$18*(32+38*(1-EXP(-0.0175*$A184))),70*'Scénario référence'!$B$18)</f>
        <v>70</v>
      </c>
      <c r="OS184" s="12">
        <f>IF($A184&gt;30,10,('Scénario référence'!$B$16+'Scénario référence'!$B$17+'Scénario référence'!$B$18+'Scénario référence'!$B$9+'Scénario référence'!$B$10)*$A184*10/30+('Scénario référence'!$F$8+'Scénario référence'!$F$9)*10)</f>
        <v>10</v>
      </c>
      <c r="OT184" s="12" t="e">
        <f>VLOOKUP($A184,'Données projet'!$A$538:$I$558,2,0)</f>
        <v>#N/A</v>
      </c>
      <c r="OU184" s="12" t="e">
        <f>VLOOKUP($A184,'Données projet'!$A$538:$I$558,9,0)</f>
        <v>#N/A</v>
      </c>
      <c r="OV184" s="12">
        <f t="array" ref="OV184">INDEX(OU:OU,MIN(IF(ISNUMBER(OU184:OU380),ROW(OU184:OU380),"")))</f>
        <v>0</v>
      </c>
      <c r="OW184" s="12">
        <f>IF('Données projet'!$A$538&gt;35,OW183+OV184-PE183,IF($A184&lt;'Données projet'!$A$538,$CQ$205^$A184,IF($A184='Données projet'!$A$538,'Données projet'!$B$538,OW183+OV184-PE183)))</f>
        <v>0</v>
      </c>
      <c r="OX184" s="17" t="e">
        <f>OW184*VLOOKUP('Données projet'!$B$28,Paramètres!$A$1:$I$89,3,0)*VLOOKUP('Données projet'!$B$28,Paramètres!$A$1:$I$89,5,0)</f>
        <v>#N/A</v>
      </c>
      <c r="OY184" s="13" t="e">
        <f t="shared" si="324"/>
        <v>#N/A</v>
      </c>
      <c r="OZ184" s="14" t="e">
        <f t="shared" si="281"/>
        <v>#N/A</v>
      </c>
      <c r="PA184" s="59" t="e">
        <f t="shared" si="282"/>
        <v>#N/A</v>
      </c>
      <c r="PB184" s="20" t="e">
        <f ca="1">AVERAGE(OFFSET($PA$3,0,0,'Données projet'!$E$28+1,1))-AVERAGE(OFFSET($H$3,0,0,'Données projet'!$E$28+1,1))</f>
        <v>#N/A</v>
      </c>
      <c r="PC184" s="59" t="e">
        <f t="shared" si="325"/>
        <v>#N/A</v>
      </c>
      <c r="PD184" s="15">
        <f>IF(ISNA(VLOOKUP($A184,'Données projet'!$A$538:$I$558,3,0)),0,VLOOKUP($A184,'Données projet'!$A$538:$I$558,3,0))</f>
        <v>0</v>
      </c>
      <c r="PE184" s="15">
        <f>IF(ISNA(VLOOKUP($A184,'Données projet'!$A$538:$I$558,4,0)),0,VLOOKUP($A184,'Données projet'!$A$538:$I$558,4,0))</f>
        <v>0</v>
      </c>
      <c r="PF184" s="16">
        <f>IF(ISNA(VLOOKUP($A184,'Données projet'!$A$538:$I$558,5,0)),0%,VLOOKUP($A184,'Données projet'!$A$538:$I$558,5,0)*VLOOKUP('Données projet'!$B$28,Paramètres!$A$1:$I$89,7,0))</f>
        <v>0</v>
      </c>
      <c r="PG184" s="16">
        <f>IF(ISNA(VLOOKUP($A184,'Données projet'!$A$538:$I$558,6,0)),0%,VLOOKUP($A184,'Données projet'!$A$538:$I$558,6,0)*VLOOKUP('Données projet'!$B$28,Paramètres!$A$1:$I$89,7,0))</f>
        <v>0</v>
      </c>
      <c r="PH184" s="16">
        <f>IF(ISNA(VLOOKUP($A184,'Données projet'!$A$538:$I$558,7,0)),0%,VLOOKUP($A184,'Données projet'!$A$538:$I$558,7,0))</f>
        <v>0</v>
      </c>
      <c r="PI184" s="21" t="e">
        <f>EXP(-LN(2)/35)*PI183+(1-EXP(-LN(2)/35))/(LN(2)/35)*PE184*PF184*VLOOKUP('Données projet'!$B$28,Paramètres!$A$1:$I$89,3,0)*0.475*44/12</f>
        <v>#N/A</v>
      </c>
      <c r="PJ184" s="21" t="e">
        <f>EXP(-LN(2)/25)*PJ183+(1-EXP(-LN(2)/25))/(LN(2)/25)*Calculateur!PE184*Calculateur!PG184*VLOOKUP('Données projet'!$B$28,Paramètres!$A$1:$I$89,3,0)*0.475*44/12</f>
        <v>#N/A</v>
      </c>
      <c r="PK184" s="21" t="e">
        <f>EXP(-LN(2)/2)*PK183+(1-EXP(-LN(2)/2))/(LN(2)/2)*PE184*PH184*VLOOKUP('Données projet'!$B$28,Paramètres!$A$1:$I$89,3,0)*0.475*44/12</f>
        <v>#N/A</v>
      </c>
      <c r="PL184" s="22" t="e">
        <f t="shared" si="283"/>
        <v>#N/A</v>
      </c>
    </row>
    <row r="185" spans="1:428" x14ac:dyDescent="0.35">
      <c r="A185" s="10">
        <f t="shared" si="326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285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225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projet'!$A$45:$I$65,2,0)</f>
        <v>#N/A</v>
      </c>
      <c r="L185" s="12" t="e">
        <f>VLOOKUP(A185,'Données projet'!$A$45:$I$65,9,0)</f>
        <v>#N/A</v>
      </c>
      <c r="M185" s="12">
        <f t="array" ref="M185">INDEX(L:L,MIN(IF(ISNUMBER(L185:L381),ROW(L185:L381),"")))</f>
        <v>0</v>
      </c>
      <c r="N185" s="13">
        <f>IF('Données projet'!$A$46&gt;35,N184+M185-V184,IF(A185&lt;'Données projet'!$A$46,$K$205^A185,IF(A185='Données projet'!$A$46,'Données projet'!$B$46,N184+M185-V184)))</f>
        <v>-1.1368683772161603E-13</v>
      </c>
      <c r="O185" s="13">
        <f>N185*VLOOKUP('Données projet'!$B$9,Paramètres!$A$1:$I$89,3,0)*VLOOKUP('Données projet'!$B$9,Paramètres!$A$1:$I$89,5,0)</f>
        <v>-6.3550942286383367E-14</v>
      </c>
      <c r="P185" s="13" t="e">
        <f t="shared" si="286"/>
        <v>#NUM!</v>
      </c>
      <c r="Q185" s="20" t="e">
        <f t="shared" si="327"/>
        <v>#NUM!</v>
      </c>
      <c r="R185" s="59" t="e">
        <f t="shared" si="224"/>
        <v>#NUM!</v>
      </c>
      <c r="S185" s="59">
        <f ca="1">AVERAGE(OFFSET($R$3,0,0,'Données projet'!$E$9+1,1))-AVERAGE(OFFSET($H$3,0,0,'Données projet'!$E$9+1,1))</f>
        <v>274.57619581652199</v>
      </c>
      <c r="T185" s="59">
        <f t="shared" si="287"/>
        <v>366.15117322598775</v>
      </c>
      <c r="U185" s="15">
        <f>IF(ISNA(VLOOKUP(A185,'Données projet'!$A$45:$I$65,3,0)),0,VLOOKUP(A185,'Données projet'!$A$45:$I$65,3,0))</f>
        <v>0</v>
      </c>
      <c r="V185" s="15">
        <f>IF(ISNA(VLOOKUP(A185,'Données projet'!$A$45:$I$65,4,0)),0,VLOOKUP(A185,'Données projet'!$A$45:$I$65,4,0))</f>
        <v>0</v>
      </c>
      <c r="W185" s="16">
        <f>IF(ISNA(VLOOKUP(A185,'Données projet'!$A$45:$I$65,5,0)),0%,VLOOKUP(A185,'Données projet'!$A$45:$I$65,5,0)*VLOOKUP('Données projet'!$B$9,Paramètres!$A$1:$I$89,7,0))</f>
        <v>0</v>
      </c>
      <c r="X185" s="16">
        <f>IF(ISNA(VLOOKUP(A185,'Données projet'!$A$45:$I$65,6,0)),0%,VLOOKUP(A185,'Données projet'!$A$45:$I$65,6,0)*VLOOKUP('Données projet'!$B$9,Paramètres!$A$1:$I$89,7,0))</f>
        <v>0</v>
      </c>
      <c r="Y185" s="16">
        <f>IF(ISNA(VLOOKUP(A185,'Données projet'!$A$45:$I$65,7,0)),0%,VLOOKUP(A185,'Données projet'!$A$45:$I$65,7,0))</f>
        <v>0</v>
      </c>
      <c r="Z185" s="21">
        <f>EXP(-LN(2)/35)*Z184+(1-EXP(-LN(2)/35))/(LN(2)/35)*V185*W185*VLOOKUP('Données projet'!$B$9,Paramètres!$A$1:$I$89,3,0)*0.475*44/12</f>
        <v>18.325694900864836</v>
      </c>
      <c r="AA185" s="21">
        <f>EXP(-LN(2)/25)*AA184+(1-EXP(-LN(2)/25))/(LN(2)/25)*Calculateur!V185*Calculateur!X185*VLOOKUP('Données projet'!$B$9,Paramètres!$A$1:$I$89,3,0)*0.475*44/12</f>
        <v>1.7031308294193312</v>
      </c>
      <c r="AB185" s="21">
        <f>EXP(-LN(2)/2)*AB184+(1-EXP(-LN(2)/2))/(LN(2)/2)*V185*Y185*VLOOKUP('Données projet'!$B$9,Paramètres!$A$1:$I$89,3,0)*0.475*44/12</f>
        <v>2.6189651267412521E-18</v>
      </c>
      <c r="AC185" s="22">
        <f t="shared" si="328"/>
        <v>20.028825730284169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projet'!$A$71:$I$91,2,0)</f>
        <v>#N/A</v>
      </c>
      <c r="AG185" s="12" t="e">
        <f>VLOOKUP(A185,'Données projet'!$A$71:$I$91,9,0)</f>
        <v>#N/A</v>
      </c>
      <c r="AH185" s="12">
        <f t="array" ref="AH185">INDEX(AG:AG,MIN(IF(ISNUMBER(AG185:AG381),ROW(AG185:AG381),"")))</f>
        <v>0</v>
      </c>
      <c r="AI185" s="13">
        <f>IF('Données projet'!$A$72&gt;35,AI184+AH185-AQ184,IF(A185&lt;'Données projet'!$A$72,$AF$205^A185,IF(A185='Données projet'!$A$72,'Données projet'!$B$72,AI184+AH185-AQ184)))</f>
        <v>5.6843418860808015E-13</v>
      </c>
      <c r="AJ185" s="13">
        <f>AI185*VLOOKUP('Données projet'!$B$10,Paramètres!$A$1:$I$89,3,0)*VLOOKUP('Données projet'!$B$10,Paramètres!$A$1:$I$89,5,0)</f>
        <v>5.1431925385259092E-13</v>
      </c>
      <c r="AK185" s="13">
        <f t="shared" si="329"/>
        <v>6.3855359115685756E-12</v>
      </c>
      <c r="AL185" s="20">
        <f t="shared" si="330"/>
        <v>1.2017247746441865E-11</v>
      </c>
      <c r="AM185" s="59">
        <f t="shared" si="228"/>
        <v>293.33333333334531</v>
      </c>
      <c r="AN185" s="59">
        <f ca="1">AVERAGE(OFFSET($AM$3,0,0,'Données projet'!$E$10+1,1))-AVERAGE(OFFSET($H$3,0,0,'Données projet'!$E$10+1,1))</f>
        <v>270.87836509222456</v>
      </c>
      <c r="AO185" s="59">
        <f t="shared" si="289"/>
        <v>205.24998237949734</v>
      </c>
      <c r="AP185" s="15">
        <f>IF(ISNA(VLOOKUP(A185,'Données projet'!$A$71:$I$91,3,0)),0,VLOOKUP(A185,'Données projet'!$A$71:$I$91,3,0))</f>
        <v>0</v>
      </c>
      <c r="AQ185" s="15">
        <f>IF(ISNA(VLOOKUP(A185,'Données projet'!$A$71:$I$91,4,0)),0,VLOOKUP(A185,'Données projet'!$A$71:$I$91,4,0))</f>
        <v>0</v>
      </c>
      <c r="AR185" s="16">
        <f>IF(ISNA(VLOOKUP(A185,'Données projet'!$A$71:$I$91,5,0)),0%,VLOOKUP(A185,'Données projet'!$A$71:$I$91,5,0)*VLOOKUP('Données projet'!$B$10,Paramètres!$A$1:$I$89,7,0))</f>
        <v>0</v>
      </c>
      <c r="AS185" s="16">
        <f>IF(ISNA(VLOOKUP(A185,'Données projet'!$A$71:$I$91,6,0)),0%,VLOOKUP(A185,'Données projet'!$A$71:$I$91,6,0)*VLOOKUP('Données projet'!$B$10,Paramètres!$A$1:$I$89,7,0))</f>
        <v>0</v>
      </c>
      <c r="AT185" s="16">
        <f>IF(ISNA(VLOOKUP(A185,'Données projet'!$A$71:$I$91,7,0)),0%,VLOOKUP(A185,'Données projet'!$A$71:$I$91,7,0))</f>
        <v>0</v>
      </c>
      <c r="AU185" s="21">
        <f>EXP(-LN(2)/35)*AU184+(1-EXP(-LN(2)/35))/(LN(2)/35)*AQ185*AR185*VLOOKUP('Données projet'!$B$10,Paramètres!$A$1:$I$89,3,0)*0.475*44/12</f>
        <v>62.275380240911055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331"/>
        <v>62.275380240911055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projet'!$A$97:$I$117,2,0)</f>
        <v>#N/A</v>
      </c>
      <c r="BB185" s="12" t="e">
        <f>VLOOKUP(A185,'Données projet'!$A$97:$I$117,9,0)</f>
        <v>#N/A</v>
      </c>
      <c r="BC185" s="12">
        <f t="array" ref="BC185">INDEX(BB:BB,MIN(IF(ISNUMBER(BB185:BB381),ROW(BB185:BB381),"")))</f>
        <v>0</v>
      </c>
      <c r="BD185" s="12">
        <f>IF('Données projet'!$A$98&gt;35,BD184+BC185-BL184,IF(A185&lt;'Données projet'!$A$98,$BA$205^A185,IF(A185='Données projet'!$A$98,'Données projet'!$B$98,BD184+BC185-BL184)))</f>
        <v>-1.1368683772161603E-13</v>
      </c>
      <c r="BE185" s="13">
        <f>BD185*VLOOKUP('Données projet'!$B$11,Paramètres!$A$1:$I$89,3,0)*VLOOKUP('Données projet'!$B$11,Paramètres!$A$1:$I$89,5,0)</f>
        <v>-5.0249582272954292E-14</v>
      </c>
      <c r="BF185" s="13" t="e">
        <f t="shared" si="332"/>
        <v>#NUM!</v>
      </c>
      <c r="BG185" s="20" t="e">
        <f t="shared" si="333"/>
        <v>#NUM!</v>
      </c>
      <c r="BH185" s="59" t="e">
        <f t="shared" si="231"/>
        <v>#NUM!</v>
      </c>
      <c r="BI185" s="59">
        <f ca="1">AVERAGE(OFFSET($BH$3,0,0,'Données projet'!$E$11+1,1))-AVERAGE(OFFSET($H$3,0,0,'Données projet'!$E$11+1,1))</f>
        <v>211.31057120485542</v>
      </c>
      <c r="BJ185" s="59">
        <f t="shared" si="291"/>
        <v>283.33292006714777</v>
      </c>
      <c r="BK185" s="15">
        <f>IF(ISNA(VLOOKUP(A185,'Données projet'!$A$97:$I$117,3,0)),0,VLOOKUP(A185,'Données projet'!$A$97:$I$117,3,0))</f>
        <v>0</v>
      </c>
      <c r="BL185" s="15">
        <f>IF(ISNA(VLOOKUP(A185,'Données projet'!$A$97:$I$117,4,0)),0,VLOOKUP(A185,'Données projet'!$A$97:$I$117,4,0))</f>
        <v>0</v>
      </c>
      <c r="BM185" s="16">
        <f>IF(ISNA(VLOOKUP(A185,'Données projet'!$A$97:$I$117,5,0)),0%,VLOOKUP(A185,'Données projet'!$A$97:$I$117,5,0)*VLOOKUP('Données projet'!$B$11,Paramètres!$A$1:$I$89,7,0))</f>
        <v>0</v>
      </c>
      <c r="BN185" s="16">
        <f>IF(ISNA(VLOOKUP(A185,'Données projet'!$A$97:$I$117,6,0)),0%,VLOOKUP(A185,'Données projet'!$A$97:$I$117,6,0)*VLOOKUP('Données projet'!$B$11,Paramètres!$A$1:$I$89,7,0))</f>
        <v>0</v>
      </c>
      <c r="BO185" s="16">
        <f>IF(ISNA(VLOOKUP(A185,'Données projet'!$A$97:$I$117,7,0)),0%,VLOOKUP(A185,'Données projet'!$A$97:$I$117,7,0))</f>
        <v>0</v>
      </c>
      <c r="BP185" s="21">
        <f>EXP(-LN(2)/35)*BP184+(1-EXP(-LN(2)/35))/(LN(2)/35)*BL185*BM185*VLOOKUP('Données projet'!$B$11,Paramètres!$A$1:$I$89,3,0)*0.475*44/12</f>
        <v>14.49008434021872</v>
      </c>
      <c r="BQ185" s="21">
        <f>EXP(-LN(2)/25)*BQ184+(1-EXP(-LN(2)/25))/(LN(2)/25)*Calculateur!BL185*Calculateur!BN185*VLOOKUP('Données projet'!$B$11,Paramètres!$A$1:$I$89,3,0)*0.475*44/12</f>
        <v>1.3466615860524935</v>
      </c>
      <c r="BR185" s="21">
        <f>EXP(-LN(2)/2)*BR184+(1-EXP(-LN(2)/2))/(LN(2)/2)*BL185*BO185*VLOOKUP('Données projet'!$B$11,Paramètres!$A$1:$I$89,3,0)*0.475*44/12</f>
        <v>2.0708096350977338E-18</v>
      </c>
      <c r="BS185" s="22">
        <f t="shared" si="334"/>
        <v>15.836745926271213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projet'!$A$123:$I$143,2,0)</f>
        <v>#N/A</v>
      </c>
      <c r="BW185" s="12" t="e">
        <f>VLOOKUP(A185,'Données projet'!$A$123:$I$143,9,0)</f>
        <v>#N/A</v>
      </c>
      <c r="BX185" s="12">
        <f t="array" ref="BX185">INDEX(BW:BW,MIN(IF(ISNUMBER(BW185:BW381),ROW(BW185:BW381),"")))</f>
        <v>0</v>
      </c>
      <c r="BY185" s="12">
        <f>IF('Données projet'!$A$124&gt;35,BY184+BX185-CG184,IF(A185&lt;'Données projet'!$A$124,$BV$205^A185,IF(A185='Données projet'!$A$124,'Données projet'!$B$124,BY184+BX185-CG184)))</f>
        <v>0</v>
      </c>
      <c r="BZ185" s="13">
        <f>BY185*VLOOKUP('Données projet'!$B$12,Paramètres!$A$1:$I$89,3,0)*VLOOKUP('Données projet'!$B$12,Paramètres!$A$1:$I$89,5,0)</f>
        <v>0</v>
      </c>
      <c r="CA185" s="13" t="e">
        <f t="shared" si="335"/>
        <v>#NUM!</v>
      </c>
      <c r="CB185" s="20" t="e">
        <f t="shared" si="336"/>
        <v>#NUM!</v>
      </c>
      <c r="CC185" s="59" t="e">
        <f t="shared" si="234"/>
        <v>#NUM!</v>
      </c>
      <c r="CD185" s="59">
        <f ca="1">AVERAGE(OFFSET($CC$3,0,0,'Données projet'!$E$12+1,1))-AVERAGE(OFFSET($H$3,0,0,'Données projet'!$E$12+1,1))</f>
        <v>322.93502595881938</v>
      </c>
      <c r="CE185" s="59">
        <f t="shared" si="293"/>
        <v>302.67072119588164</v>
      </c>
      <c r="CF185" s="15">
        <f>IF(ISNA(VLOOKUP(A185,'Données projet'!$A$123:$I$143,3,0)),0,VLOOKUP(A185,'Données projet'!$A$123:$I$143,3,0))</f>
        <v>0</v>
      </c>
      <c r="CG185" s="15">
        <f>IF(ISNA(VLOOKUP(A185,'Données projet'!$A$123:$I$143,4,0)),0,VLOOKUP(A185,'Données projet'!$A$123:$I$143,4,0))</f>
        <v>0</v>
      </c>
      <c r="CH185" s="16">
        <f>IF(ISNA(VLOOKUP(A185,'Données projet'!$A$123:$I$143,5,0)),0%,VLOOKUP(A185,'Données projet'!$A$123:$I$143,5,0)*VLOOKUP('Données projet'!$B$12,Paramètres!$A$1:$I$89,7,0))</f>
        <v>0</v>
      </c>
      <c r="CI185" s="16">
        <f>IF(ISNA(VLOOKUP(A185,'Données projet'!$A$123:$I$143,6,0)),0%,VLOOKUP(A185,'Données projet'!$A$123:$I$143,6,0)*VLOOKUP('Données projet'!$B$12,Paramètres!$A$1:$I$89,7,0))</f>
        <v>0</v>
      </c>
      <c r="CJ185" s="16">
        <f>IF(ISNA(VLOOKUP(A185,'Données projet'!$A$123:$I$143,7,0)),0%,VLOOKUP(A185,'Données projet'!$A$123:$I$143,7,0))</f>
        <v>0</v>
      </c>
      <c r="CK185" s="21">
        <f>EXP(-LN(2)/35)*CK184+(1-EXP(-LN(2)/35))/(LN(2)/35)*CG185*CH185*VLOOKUP('Données projet'!$B$12,Paramètres!$A$1:$I$89,3,0)*0.475*44/12</f>
        <v>23.086205654081887</v>
      </c>
      <c r="CL185" s="21">
        <f>EXP(-LN(2)/25)*CL184+(1-EXP(-LN(2)/25))/(LN(2)/25)*Calculateur!CG185*Calculateur!CI185*VLOOKUP('Données projet'!$B$12,Paramètres!$A$1:$I$89,3,0)*0.475*44/12</f>
        <v>4.3101318581054571</v>
      </c>
      <c r="CM185" s="21">
        <f>EXP(-LN(2)/2)*CM184+(1-EXP(-LN(2)/2))/(LN(2)/2)*CG185*CJ185*VLOOKUP('Données projet'!$B$12,Paramètres!$A$1:$I$89,3,0)*0.475*44/12</f>
        <v>0</v>
      </c>
      <c r="CN185" s="22">
        <f t="shared" si="337"/>
        <v>27.396337512187344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projet'!$A$149:$I$169,2,0)</f>
        <v>#N/A</v>
      </c>
      <c r="CR185" s="12" t="e">
        <f>VLOOKUP(A185,'Données projet'!$A$149:$I$169,9,0)</f>
        <v>#N/A</v>
      </c>
      <c r="CS185" s="12">
        <f t="array" ref="CS185">INDEX(CR:CR,MIN(IF(ISNUMBER(CR185:CR381),ROW(CR185:CR381),"")))</f>
        <v>0</v>
      </c>
      <c r="CT185" s="12">
        <f>IF('Données projet'!$A$150&gt;35,CT184+CS185-DB184,IF(A185&lt;'Données projet'!$A$150,$CQ$205^A185,IF(A185='Données projet'!$A$150,'Données projet'!$B$150,CT184+CS185-DB184)))</f>
        <v>-4.5474735088646412E-13</v>
      </c>
      <c r="CU185" s="17">
        <f>CT185*VLOOKUP('Données projet'!$B$13,Paramètres!$A$1:$I$89,3,0)*VLOOKUP('Données projet'!$B$13,Paramètres!$A$1:$I$89,5,0)</f>
        <v>-4.6111381379887462E-13</v>
      </c>
      <c r="CV185" s="13" t="e">
        <f t="shared" si="338"/>
        <v>#NUM!</v>
      </c>
      <c r="CW185" s="20" t="e">
        <f t="shared" si="339"/>
        <v>#NUM!</v>
      </c>
      <c r="CX185" s="59" t="e">
        <f t="shared" si="237"/>
        <v>#NUM!</v>
      </c>
      <c r="CY185" s="59">
        <f ca="1">AVERAGE(OFFSET($CX$3,0,0,'Données projet'!$E$13+1,1))-AVERAGE(OFFSET($H$3,0,0,'Données projet'!$E$13+1,1))</f>
        <v>250.31277422753283</v>
      </c>
      <c r="CZ185" s="59">
        <f t="shared" si="295"/>
        <v>159.20429420478047</v>
      </c>
      <c r="DA185" s="15">
        <f>IF(ISNA(VLOOKUP(A185,'Données projet'!$A$149:$I$169,3,0)),0,VLOOKUP(A185,'Données projet'!$A$149:$I$169,3,0))</f>
        <v>0</v>
      </c>
      <c r="DB185" s="15">
        <f>IF(ISNA(VLOOKUP(A185,'Données projet'!$A$149:$I$169,4,0)),0,VLOOKUP(A185,'Données projet'!$A$149:$I$169,4,0))</f>
        <v>0</v>
      </c>
      <c r="DC185" s="16">
        <f>IF(ISNA(VLOOKUP(A185,'Données projet'!$A$149:$I$169,5,0)),0%,VLOOKUP(A185,'Données projet'!$A$149:$I$169,5,0)*VLOOKUP('Données projet'!$B$13,Paramètres!$A$1:$I$89,7,0))</f>
        <v>0</v>
      </c>
      <c r="DD185" s="16">
        <f>IF(ISNA(VLOOKUP(A185,'Données projet'!$A$149:$I$169,6,0)),0%,VLOOKUP(A185,'Données projet'!$A$149:$I$169,6,0)*VLOOKUP('Données projet'!$B$13,Paramètres!$A$1:$I$89,7,0))</f>
        <v>0</v>
      </c>
      <c r="DE185" s="16">
        <f>IF(ISNA(VLOOKUP(A185,'Données projet'!$A$149:$I$169,7,0)),0%,VLOOKUP(A185,'Données projet'!$A$149:$I$169,7,0))</f>
        <v>0</v>
      </c>
      <c r="DF185" s="21">
        <f>EXP(-LN(2)/35)*DF184+(1-EXP(-LN(2)/35))/(LN(2)/35)*DB185*DC185*VLOOKUP('Données projet'!$B$13,Paramètres!$A$1:$I$89,3,0)*0.475*44/12</f>
        <v>105.09528641603482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340"/>
        <v>105.09528641603482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projet'!$A$175:$I$195,2,0)</f>
        <v>#N/A</v>
      </c>
      <c r="DM185" s="12" t="e">
        <f>VLOOKUP(A185,'Données projet'!$A$175:$I$195,9,0)</f>
        <v>#N/A</v>
      </c>
      <c r="DN185" s="12">
        <f t="array" ref="DN185">INDEX(DM:DM,MIN(IF(ISNUMBER(DM185:DM381),ROW(DM185:DM381),"")))</f>
        <v>0</v>
      </c>
      <c r="DO185" s="12">
        <f>IF('Données projet'!$A$176&gt;35,DO184+DN185-DW184,IF(A185&lt;'Données projet'!$A$176,$DL$205^A185,IF(A185='Données projet'!$A$176,'Données projet'!$B$176,DO184+DN185-DW184)))</f>
        <v>-2.8421709430404007E-13</v>
      </c>
      <c r="DP185" s="17">
        <f>DO185*VLOOKUP('Données projet'!$B$14,Paramètres!$A$1:$I$89,3,0)*VLOOKUP('Données projet'!$B$14,Paramètres!$A$1:$I$89,5,0)</f>
        <v>-2.0838797354372215E-13</v>
      </c>
      <c r="DQ185" s="13" t="e">
        <f t="shared" si="341"/>
        <v>#NUM!</v>
      </c>
      <c r="DR185" s="20" t="e">
        <f t="shared" si="342"/>
        <v>#NUM!</v>
      </c>
      <c r="DS185" s="59" t="e">
        <f t="shared" si="240"/>
        <v>#NUM!</v>
      </c>
      <c r="DT185" s="59">
        <f ca="1">AVERAGE(OFFSET($DS$3,0,0,'Données projet'!$E$14+1,1))-AVERAGE(OFFSET($H$3,0,0,'Données projet'!$E$14+1,1))</f>
        <v>296.91321813251051</v>
      </c>
      <c r="DU185" s="59">
        <f t="shared" si="297"/>
        <v>291.0718079639509</v>
      </c>
      <c r="DV185" s="15">
        <f>IF(ISNA(VLOOKUP(A185,'Données projet'!$A$175:$I$195,3,0)),0,VLOOKUP(A185,'Données projet'!$A$175:$I$195,3,0))</f>
        <v>0</v>
      </c>
      <c r="DW185" s="15">
        <f>IF(ISNA(VLOOKUP(A185,'Données projet'!$A$175:$I$195,4,0)),0,VLOOKUP(A185,'Données projet'!$A$175:$I$195,4,0))</f>
        <v>0</v>
      </c>
      <c r="DX185" s="16">
        <f>IF(ISNA(VLOOKUP(A185,'Données projet'!$A$175:$I$195,5,0)),0%,VLOOKUP(A185,'Données projet'!$A$175:$I$195,5,0)*VLOOKUP('Données projet'!$B$14,Paramètres!$A$1:$I$89,7,0))</f>
        <v>0</v>
      </c>
      <c r="DY185" s="16">
        <f>IF(ISNA(VLOOKUP(A185,'Données projet'!$A$175:$I$195,6,0)),0%,VLOOKUP(A185,'Données projet'!$A$175:$I$195,6,0)*VLOOKUP('Données projet'!$B$14,Paramètres!$A$1:$I$89,7,0))</f>
        <v>0</v>
      </c>
      <c r="DZ185" s="16">
        <f>IF(ISNA(VLOOKUP(A185,'Données projet'!$A$175:$I$195,7,0)),0%,VLOOKUP(A185,'Données projet'!$A$175:$I$195,7,0))</f>
        <v>0</v>
      </c>
      <c r="EA185" s="21">
        <f>EXP(-LN(2)/35)*EA184+(1-EXP(-LN(2)/35))/(LN(2)/35)*DW185*DX185*VLOOKUP('Données projet'!$B$14,Paramètres!$A$1:$I$89,3,0)*0.475*44/12</f>
        <v>23.009535373629614</v>
      </c>
      <c r="EB185" s="21">
        <f>EXP(-LN(2)/25)*EB184+(1-EXP(-LN(2)/25))/(LN(2)/25)*Calculateur!DW185*Calculateur!DY185*VLOOKUP('Données projet'!$B$14,Paramètres!$A$1:$I$89,3,0)*0.475*44/12</f>
        <v>0.31662619535154163</v>
      </c>
      <c r="EC185" s="21">
        <f>EXP(-LN(2)/2)*EC184+(1-EXP(-LN(2)/2))/(LN(2)/2)*DW185*DZ185*VLOOKUP('Données projet'!$B$14,Paramètres!$A$1:$I$89,3,0)*0.475*44/12</f>
        <v>0</v>
      </c>
      <c r="ED185" s="22">
        <f t="shared" si="343"/>
        <v>23.326161568981156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projet'!$A$201:$I$221,2,0)</f>
        <v>#N/A</v>
      </c>
      <c r="EH185" s="12" t="e">
        <f>VLOOKUP(A185,'Données projet'!$A$201:$I$221,9,0)</f>
        <v>#N/A</v>
      </c>
      <c r="EI185" s="12">
        <f t="array" ref="EI185">INDEX(EH:EH,MIN(IF(ISNUMBER(EH185:EH381),ROW(EH185:EH381),"")))</f>
        <v>0</v>
      </c>
      <c r="EJ185" s="12">
        <f>IF('Données projet'!$A$202&gt;35,EJ184+EI185-ER184,IF(A185&lt;'Données projet'!$A$202,$EG$205^A185,IF(A185='Données projet'!$A$202,'Données projet'!$B$202,EJ184+EI185-ER184)))</f>
        <v>5.1159076974727213E-13</v>
      </c>
      <c r="EK185" s="17">
        <f>EJ185*VLOOKUP('Données projet'!$B$15,Paramètres!$A$1:$I$89,3,0)*VLOOKUP('Données projet'!$B$15,Paramètres!$A$1:$I$89,5,0)</f>
        <v>2.3942448024172334E-13</v>
      </c>
      <c r="EL185" s="13">
        <f t="shared" si="344"/>
        <v>3.2492669905861755E-12</v>
      </c>
      <c r="EM185" s="20">
        <f t="shared" si="345"/>
        <v>6.0761376450252565E-12</v>
      </c>
      <c r="EN185" s="59">
        <f t="shared" si="243"/>
        <v>293.3333333333394</v>
      </c>
      <c r="EO185" s="59">
        <f ca="1">AVERAGE(OFFSET($EN$3,0,0,'Données projet'!$E$15+1,1))-AVERAGE(OFFSET($H$3,0,0,'Données projet'!$E$15+1,1))</f>
        <v>147.64256291235483</v>
      </c>
      <c r="EP185" s="59">
        <f t="shared" si="299"/>
        <v>70.859031694091868</v>
      </c>
      <c r="EQ185" s="15">
        <f>IF(ISNA(VLOOKUP(A185,'Données projet'!$A$201:$I$221,3,0)),0,VLOOKUP(A185,'Données projet'!$A$201:$I$221,3,0))</f>
        <v>0</v>
      </c>
      <c r="ER185" s="15">
        <f>IF(ISNA(VLOOKUP(A185,'Données projet'!$A$201:$I$221,4,0)),0,VLOOKUP(A185,'Données projet'!$A$201:$I$221,4,0))</f>
        <v>0</v>
      </c>
      <c r="ES185" s="16">
        <f>IF(ISNA(VLOOKUP(A185,'Données projet'!$A$201:$I$221,5,0)),0%,VLOOKUP(A185,'Données projet'!$A$201:$I$221,5,0)*VLOOKUP('Données projet'!$B$15,Paramètres!$A$1:$I$89,7,0))</f>
        <v>0</v>
      </c>
      <c r="ET185" s="16">
        <f>IF(ISNA(VLOOKUP(A185,'Données projet'!$A$201:$I$221,6,0)),0%,VLOOKUP(A185,'Données projet'!$A$201:$I$221,6,0)*VLOOKUP('Données projet'!$B$15,Paramètres!$A$1:$I$89,7,0))</f>
        <v>0</v>
      </c>
      <c r="EU185" s="16">
        <f>IF(ISNA(VLOOKUP(A185,'Données projet'!$A$201:$I$221,7,0)),0%,VLOOKUP(A185,'Données projet'!$A$201:$I$221,7,0))</f>
        <v>0</v>
      </c>
      <c r="EV185" s="21">
        <f>EXP(-LN(2)/35)*EV184+(1-EXP(-LN(2)/35))/(LN(2)/35)*ER185*ES185*VLOOKUP('Données projet'!$B$15,Paramètres!$A$1:$I$89,3,0)*0.475*44/12</f>
        <v>31.50041662211051</v>
      </c>
      <c r="EW185" s="21">
        <f>EXP(-LN(2)/25)*EW184+(1-EXP(-LN(2)/25))/(LN(2)/25)*Calculateur!ER185*Calculateur!ET185*VLOOKUP('Données projet'!$B$15,Paramètres!$A$1:$I$89,3,0)*0.475*44/12</f>
        <v>4.3928694650022999</v>
      </c>
      <c r="EX185" s="21">
        <f>EXP(-LN(2)/2)*EX184+(1-EXP(-LN(2)/2))/(LN(2)/2)*ER185*EU185*VLOOKUP('Données projet'!$B$15,Paramètres!$A$1:$I$89,3,0)*0.475*44/12</f>
        <v>1.8880357161673644E-10</v>
      </c>
      <c r="EY185" s="22">
        <f t="shared" si="346"/>
        <v>35.893286087301618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projet'!$A$227:$I$247,2,0)</f>
        <v>#N/A</v>
      </c>
      <c r="FC185" s="12" t="e">
        <f>VLOOKUP(A185,'Données projet'!$A$227:$I$247,9,0)</f>
        <v>#N/A</v>
      </c>
      <c r="FD185" s="12">
        <f t="array" ref="FD185">INDEX(FC:FC,MIN(IF(ISNUMBER(FC185:FC381),ROW(FC185:FC381),"")))</f>
        <v>0</v>
      </c>
      <c r="FE185" s="12">
        <f>IF('Données projet'!$A$228&gt;35,FE184+FD185-FM184,IF(A185&lt;'Données projet'!$A$228,$FB$205^A185,IF(A185='Données projet'!$A$228,'Données projet'!$B$228,FE184+FD185-FM184)))</f>
        <v>8.5265128291212022E-14</v>
      </c>
      <c r="FF185" s="17">
        <f>FE185*VLOOKUP('Données projet'!$B$16,Paramètres!$A$1:$I$89,3,0)*VLOOKUP('Données projet'!$B$16,Paramètres!$A$1:$I$89,5,0)</f>
        <v>8.9119112089974823E-14</v>
      </c>
      <c r="FG185" s="13">
        <f t="shared" si="347"/>
        <v>1.3568952080113142E-12</v>
      </c>
      <c r="FH185" s="20">
        <f t="shared" si="348"/>
        <v>2.5184749408430782E-12</v>
      </c>
      <c r="FI185" s="59">
        <f t="shared" si="246"/>
        <v>293.33333333333582</v>
      </c>
      <c r="FJ185" s="59">
        <f ca="1">AVERAGE(OFFSET($FI$3,0,0,'Données projet'!$E$16+1,1))-AVERAGE(OFFSET($H$3,0,0,'Données projet'!$E$16+1,1))</f>
        <v>259.03906550253788</v>
      </c>
      <c r="FK185" s="59">
        <f t="shared" si="301"/>
        <v>235.54542903570831</v>
      </c>
      <c r="FL185" s="15">
        <f>IF(ISNA(VLOOKUP(A185,'Données projet'!$A$227:$I$247,3,0)),0,VLOOKUP(A185,'Données projet'!$A$227:$I$247,3,0))</f>
        <v>0</v>
      </c>
      <c r="FM185" s="15">
        <f>IF(ISNA(VLOOKUP(A185,'Données projet'!$A$227:$I$247,4,0)),0,VLOOKUP(A185,'Données projet'!$A$227:$I$247,4,0))</f>
        <v>0</v>
      </c>
      <c r="FN185" s="16">
        <f>IF(ISNA(VLOOKUP(A185,'Données projet'!$A$227:$I$247,5,0)),0%,VLOOKUP(A185,'Données projet'!$A$227:$I$247,5,0)*VLOOKUP('Données projet'!$B$16,Paramètres!$A$1:$I$89,7,0))</f>
        <v>0</v>
      </c>
      <c r="FO185" s="16">
        <f>IF(ISNA(VLOOKUP(A185,'Données projet'!$A$227:$I$247,6,0)),0%,VLOOKUP(A185,'Données projet'!$A$227:$I$247,6,0)*VLOOKUP('Données projet'!$B$16,Paramètres!$A$1:$I$89,7,0))</f>
        <v>0</v>
      </c>
      <c r="FP185" s="16">
        <f>IF(ISNA(VLOOKUP(A185,'Données projet'!$A$227:$I$247,7,0)),0%,VLOOKUP(A185,'Données projet'!$A$227:$I$247,7,0))</f>
        <v>0</v>
      </c>
      <c r="FQ185" s="21">
        <f>EXP(-LN(2)/35)*FQ184+(1-EXP(-LN(2)/35))/(LN(2)/35)*FM185*FN185*VLOOKUP('Données projet'!$B$16,Paramètres!$A$1:$I$89,3,0)*0.475*44/12</f>
        <v>13.903427813280214</v>
      </c>
      <c r="FR185" s="21">
        <f>EXP(-LN(2)/25)*FR184+(1-EXP(-LN(2)/25))/(LN(2)/25)*Calculateur!FM185*Calculateur!FO185*VLOOKUP('Données projet'!$B$16,Paramètres!$A$1:$I$89,3,0)*0.475*44/12</f>
        <v>6.0431591949110057</v>
      </c>
      <c r="FS185" s="21">
        <f>EXP(-LN(2)/2)*FS184+(1-EXP(-LN(2)/2))/(LN(2)/2)*FM185*FP185*VLOOKUP('Données projet'!$B$16,Paramètres!$A$1:$I$89,3,0)*0.475*44/12</f>
        <v>0</v>
      </c>
      <c r="FT185" s="22">
        <f t="shared" si="349"/>
        <v>19.946587008191219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projet'!$A$253:$I$273,2,0)</f>
        <v>#N/A</v>
      </c>
      <c r="FX185" s="12" t="e">
        <f>VLOOKUP(A185,'Données projet'!$A$253:$I$273,9,0)</f>
        <v>#N/A</v>
      </c>
      <c r="FY185" s="12">
        <f t="array" ref="FY185">INDEX(FX:FX,MIN(IF(ISNUMBER(FX185:FX381),ROW(FX185:FX381),"")))</f>
        <v>0</v>
      </c>
      <c r="FZ185" s="12">
        <f>IF('Données projet'!$A$254&gt;35,FZ184+FY185-GH184,IF(A185&lt;'Données projet'!$A$254,$FW$205^A185,IF(A185='Données projet'!$A$254,'Données projet'!$B$254,FZ184+FY185-GH184)))</f>
        <v>-1.7053025658242404E-13</v>
      </c>
      <c r="GA185" s="17">
        <f>FZ185*VLOOKUP('Données projet'!$B$17,Paramètres!$A$1:$I$89,3,0)*VLOOKUP('Données projet'!$B$17,Paramètres!$A$1:$I$89,5,0)</f>
        <v>-1.4897523215040567E-13</v>
      </c>
      <c r="GB185" s="13" t="e">
        <f t="shared" si="350"/>
        <v>#NUM!</v>
      </c>
      <c r="GC185" s="20" t="e">
        <f t="shared" si="351"/>
        <v>#NUM!</v>
      </c>
      <c r="GD185" s="59" t="e">
        <f t="shared" si="249"/>
        <v>#NUM!</v>
      </c>
      <c r="GE185" s="59">
        <f ca="1">AVERAGE(OFFSET($GD$3,0,0,'Données projet'!$E$17+1,1))-AVERAGE(OFFSET($H$3,0,0,'Données projet'!$E$17+1,1))</f>
        <v>245.1983232777614</v>
      </c>
      <c r="GF185" s="59">
        <f t="shared" si="303"/>
        <v>242.34010522344573</v>
      </c>
      <c r="GG185" s="15">
        <f>IF(ISNA(VLOOKUP(A185,'Données projet'!$A$253:$I$273,3,0)),0,VLOOKUP(A185,'Données projet'!$A$253:$I$273,3,0))</f>
        <v>0</v>
      </c>
      <c r="GH185" s="15">
        <f>IF(ISNA(VLOOKUP(A185,'Données projet'!$A$253:$I$273,4,0)),0,VLOOKUP(A185,'Données projet'!$A$253:$I$273,4,0))</f>
        <v>0</v>
      </c>
      <c r="GI185" s="16">
        <f>IF(ISNA(VLOOKUP(A185,'Données projet'!$A$253:$I$273,5,0)),0%,VLOOKUP(A185,'Données projet'!$A$253:$I$273,5,0)*VLOOKUP('Données projet'!$B$17,Paramètres!$A$1:$I$89,7,0))</f>
        <v>0</v>
      </c>
      <c r="GJ185" s="16">
        <f>IF(ISNA(VLOOKUP(A185,'Données projet'!$A$253:$I$273,6,0)),0%,VLOOKUP(A185,'Données projet'!$A$253:$I$273,6,0)*VLOOKUP('Données projet'!$B$17,Paramètres!$A$1:$I$89,7,0))</f>
        <v>0</v>
      </c>
      <c r="GK185" s="16">
        <f>IF(ISNA(VLOOKUP(A185,'Données projet'!$A$253:$I$273,7,0)),0%,VLOOKUP(A185,'Données projet'!$A$253:$I$273,7,0))</f>
        <v>0</v>
      </c>
      <c r="GL185" s="21">
        <f>EXP(-LN(2)/35)*GL184+(1-EXP(-LN(2)/35))/(LN(2)/35)*GH185*GI185*VLOOKUP('Données projet'!$B$17,Paramètres!$A$1:$I$89,3,0)*0.475*44/12</f>
        <v>16.345386976740645</v>
      </c>
      <c r="GM185" s="21">
        <f>EXP(-LN(2)/25)*GM184+(1-EXP(-LN(2)/25))/(LN(2)/25)*Calculateur!GH185*Calculateur!GJ185*VLOOKUP('Données projet'!$B$17,Paramètres!$A$1:$I$89,3,0)*0.475*44/12</f>
        <v>1.2876500032038498</v>
      </c>
      <c r="GN185" s="21">
        <f>EXP(-LN(2)/2)*GN184+(1-EXP(-LN(2)/2))/(LN(2)/2)*GH185*GK185*VLOOKUP('Données projet'!$B$17,Paramètres!$A$1:$I$89,3,0)*0.475*44/12</f>
        <v>0</v>
      </c>
      <c r="GO185" s="21">
        <f t="shared" si="352"/>
        <v>17.633036979944496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projet'!$A$279:$I$299,2,0)</f>
        <v>#N/A</v>
      </c>
      <c r="GS185" s="12" t="e">
        <f>VLOOKUP(A185,'Données projet'!$A$279:$I$299,9,0)</f>
        <v>#N/A</v>
      </c>
      <c r="GT185" s="12">
        <f t="array" ref="GT185">INDEX(GS:GS,MIN(IF(ISNUMBER(GS185:GS381),ROW(GS185:GS381),"")))</f>
        <v>0</v>
      </c>
      <c r="GU185" s="12">
        <f>IF('Données projet'!$A$280&gt;35,GU184+GT185-HC184,IF(A185&lt;'Données projet'!$A$280,$GR$205^A185,IF(A185='Données projet'!$A$280,'Données projet'!$B$280,GU184+GT185-HC184)))</f>
        <v>-1.1368683772161603E-13</v>
      </c>
      <c r="GV185" s="17">
        <f>GU185*VLOOKUP('Données projet'!$B$18,Paramètres!$A$1:$I$89,3,0)*VLOOKUP('Données projet'!$B$18,Paramètres!$A$1:$I$89,5,0)</f>
        <v>-4.5815795601811263E-14</v>
      </c>
      <c r="GW185" s="13" t="e">
        <f t="shared" si="353"/>
        <v>#NUM!</v>
      </c>
      <c r="GX185" s="20" t="e">
        <f t="shared" si="354"/>
        <v>#NUM!</v>
      </c>
      <c r="GY185" s="59" t="e">
        <f t="shared" si="252"/>
        <v>#NUM!</v>
      </c>
      <c r="GZ185" s="59">
        <f ca="1">AVERAGE(OFFSET($GY$3,0,0,'Données projet'!$E$18+1,1))-AVERAGE(OFFSET($H$3,0,0,'Données projet'!$E$18+1,1))</f>
        <v>324.36162935850876</v>
      </c>
      <c r="HA185" s="59">
        <f t="shared" si="305"/>
        <v>265.23571072429735</v>
      </c>
      <c r="HB185" s="15">
        <f>IF(ISNA(VLOOKUP(A185,'Données projet'!$A$279:$I$299,3,0)),0,VLOOKUP(A185,'Données projet'!$A$279:$I$299,3,0))</f>
        <v>0</v>
      </c>
      <c r="HC185" s="15">
        <f>IF(ISNA(VLOOKUP(A185,'Données projet'!$A$279:$I$299,4,0)),0,VLOOKUP(A185,'Données projet'!$A$279:$I$299,4,0))</f>
        <v>0</v>
      </c>
      <c r="HD185" s="16">
        <f>IF(ISNA(VLOOKUP(A185,'Données projet'!$A$279:$I$299,5,0)),0%,VLOOKUP(A185,'Données projet'!$A$279:$I$299,5,0)*VLOOKUP('Données projet'!$B$18,Paramètres!$A$1:$I$89,7,0))</f>
        <v>0</v>
      </c>
      <c r="HE185" s="16">
        <f>IF(ISNA(VLOOKUP(A185,'Données projet'!$A$279:$I$299,6,0)),0%,VLOOKUP(A185,'Données projet'!$A$279:$I$299,6,0)*VLOOKUP('Données projet'!$B$18,Paramètres!$A$1:$I$89,7,0))</f>
        <v>0</v>
      </c>
      <c r="HF185" s="16">
        <f>IF(ISNA(VLOOKUP($A185,'Données projet'!$A$279:$I$299,7,0)),0%,VLOOKUP($A185,'Données projet'!$A$279:$I$299,7,0))</f>
        <v>0</v>
      </c>
      <c r="HG185" s="21">
        <f>EXP(-LN(2)/35)*HG184+(1-EXP(-LN(2)/35))/(LN(2)/35)*HC185*HD185*VLOOKUP('Données projet'!$B$18,Paramètres!$A$1:$I$89,3,0)*0.475*44/12</f>
        <v>31.322034439050125</v>
      </c>
      <c r="HH185" s="21">
        <f>EXP(-LN(2)/25)*HH184+(1-EXP(-LN(2)/25))/(LN(2)/25)*Calculateur!HC185*Calculateur!HE185*VLOOKUP('Données projet'!$B$18,Paramètres!$A$1:$I$89,3,0)*0.475*44/12</f>
        <v>1.4320971204384054</v>
      </c>
      <c r="HI185" s="21">
        <f>EXP(-LN(2)/2)*HI184+(1-EXP(-LN(2)/2))/(LN(2)/2)*HC185*HF185*VLOOKUP('Données projet'!$B$18,Paramètres!$A$1:$I$89,3,0)*0.475*44/12</f>
        <v>3.7957236062613154E-15</v>
      </c>
      <c r="HJ185" s="22">
        <f t="shared" si="355"/>
        <v>32.754131559488535</v>
      </c>
      <c r="HK185" s="74">
        <f>('Scénario référence'!$F$8+'Scénario référence'!$F$9+'Scénario référence'!$B$17+'Scénario référence'!$B$9+'Scénario référence'!$B$10)*70+IF((45+25*(1-EXP(-0.0175*$A185)))&lt;70,'Scénario référence'!$B$16*(45+25*(1-EXP(-0.0175*$A185))),70*'Scénario référence'!$B$16)+IF((32+38*(1-EXP(-0.0175*$A185)))&lt;70,'Scénario référence'!$B$18*(32+38*(1-EXP(-0.0175*$A185))),70*'Scénario référence'!$B$18)</f>
        <v>70</v>
      </c>
      <c r="HL185" s="12">
        <f>IF($A185&gt;30,10,('Scénario référence'!$B$16+'Scénario référence'!$B$17+'Scénario référence'!$B$18+'Scénario référence'!$B$9+'Scénario référence'!$B$10)*$A185*10/30+('Scénario référence'!$F$8+'Scénario référence'!$F$9)*10)</f>
        <v>10</v>
      </c>
      <c r="HM185" s="12" t="e">
        <f>VLOOKUP($A185,'Données projet'!$A$304:$I$324,2,0)</f>
        <v>#N/A</v>
      </c>
      <c r="HN185" s="12" t="e">
        <f>VLOOKUP($A185,'Données projet'!$A$304:$I$324,9,0)</f>
        <v>#N/A</v>
      </c>
      <c r="HO185" s="12">
        <f t="array" ref="HO185">INDEX(HN:HN,MIN(IF(ISNUMBER(HN185:HN381),ROW(HN185:HN381),"")))</f>
        <v>0</v>
      </c>
      <c r="HP185" s="12">
        <f>IF('Données projet'!$A$304&gt;35,HP184+HO185-HX184,IF($A185&lt;'Données projet'!$A$304,$CQ$205^$A185,IF($A185='Données projet'!$A$304,'Données projet'!$B$304,HP184+HO185-HX184)))</f>
        <v>0</v>
      </c>
      <c r="HQ185" s="17">
        <f>HP185*VLOOKUP('Données projet'!$B$19,Paramètres!$A$1:$I$89,3,0)*VLOOKUP('Données projet'!$B$19,Paramètres!$A$1:$I$89,5,0)</f>
        <v>0</v>
      </c>
      <c r="HR185" s="13" t="e">
        <f t="shared" si="306"/>
        <v>#NUM!</v>
      </c>
      <c r="HS185" s="14" t="e">
        <f t="shared" si="254"/>
        <v>#NUM!</v>
      </c>
      <c r="HT185" s="59" t="e">
        <f t="shared" si="255"/>
        <v>#NUM!</v>
      </c>
      <c r="HU185" s="59">
        <f ca="1">AVERAGE(OFFSET(HT$3,0,0,'Données projet'!$E$19+1,1))-AVERAGE(OFFSET($H$3,0,0,'Données projet'!$E$19+1,1))</f>
        <v>91.60721429656013</v>
      </c>
      <c r="HV185" s="59">
        <f t="shared" si="307"/>
        <v>258.94957804210856</v>
      </c>
      <c r="HW185" s="15">
        <f>IF(ISNA(VLOOKUP($A185,'Données projet'!$A$304:$I$324,3,0)),0,VLOOKUP($A185,'Données projet'!$A$304:$I$324,3,0))</f>
        <v>0</v>
      </c>
      <c r="HX185" s="15">
        <f>IF(ISNA(VLOOKUP($A185,'Données projet'!$A$304:$I$324,4,0)),0,VLOOKUP($A185,'Données projet'!$A$304:$I$324,4,0))</f>
        <v>0</v>
      </c>
      <c r="HY185" s="16">
        <f>IF(ISNA(VLOOKUP($A185,'Données projet'!$A$304:$I$324,5,0)),0%,VLOOKUP($A185,'Données projet'!$A$304:$I$324,5,0)*VLOOKUP('Données projet'!$B$19,Paramètres!$A$1:$I$89,7,0))</f>
        <v>0</v>
      </c>
      <c r="HZ185" s="16">
        <f>IF(ISNA(VLOOKUP($A185,'Données projet'!$A$304:$I$324,6,0)),0%,VLOOKUP($A185,'Données projet'!$A$304:$I$324,6,0)*VLOOKUP('Données projet'!$B$19,Paramètres!$A$1:$I$89,7,0))</f>
        <v>0</v>
      </c>
      <c r="IA185" s="16">
        <f>IF(ISNA(VLOOKUP($A185,'Données projet'!$A$304:$I$324,7,0)),0%,VLOOKUP($A185,'Données projet'!$A$304:$I$324,7,0))</f>
        <v>0</v>
      </c>
      <c r="IB185" s="21">
        <f>EXP(-LN(2)/35)*IB184+(1-EXP(-LN(2)/35))/(LN(2)/35)*HX185*HY185*VLOOKUP('Données projet'!$B$19,Paramètres!$A$1:$I$89,3,0)*0.475*44/12</f>
        <v>2.4311102805367479</v>
      </c>
      <c r="IC185" s="21">
        <f>EXP(-LN(2)/25)*IC184+(1-EXP(-LN(2)/25))/(LN(2)/25)*Calculateur!HX185*Calculateur!HZ185*VLOOKUP('Données projet'!$B$19,Paramètres!$A$1:$I$89,3,0)*0.475*44/12</f>
        <v>0.14379672198779261</v>
      </c>
      <c r="ID185" s="21">
        <f>EXP(-LN(2)/2)*ID184+(1-EXP(-LN(2)/2))/(LN(2)/2)*HX185*IA185*VLOOKUP('Données projet'!$B$19,Paramètres!$A$1:$I$89,3,0)*0.475*44/12</f>
        <v>7.5816372180928211E-24</v>
      </c>
      <c r="IE185" s="22">
        <f t="shared" si="256"/>
        <v>2.5749070025245406</v>
      </c>
      <c r="IF185" s="74">
        <f>('Scénario référence'!$F$8+'Scénario référence'!$F$9+'Scénario référence'!$B$17+'Scénario référence'!$B$9+'Scénario référence'!$B$10)*70+IF((45+25*(1-EXP(-0.0175*$A185)))&lt;70,'Scénario référence'!$B$16*(45+25*(1-EXP(-0.0175*$A185))),70*'Scénario référence'!$B$16)+IF((32+38*(1-EXP(-0.0175*$A185)))&lt;70,'Scénario référence'!$B$18*(32+38*(1-EXP(-0.0175*$A185))),70*'Scénario référence'!$B$18)</f>
        <v>70</v>
      </c>
      <c r="IG185" s="12">
        <f>IF($A185&gt;30,10,('Scénario référence'!$B$16+'Scénario référence'!$B$17+'Scénario référence'!$B$18+'Scénario référence'!$B$9+'Scénario référence'!$B$10)*$A185*10/30+('Scénario référence'!$F$8+'Scénario référence'!$F$9)*10)</f>
        <v>10</v>
      </c>
      <c r="IH185" s="12" t="e">
        <f>VLOOKUP($A185,'Données projet'!$A$330:$I$350,2,0)</f>
        <v>#N/A</v>
      </c>
      <c r="II185" s="12" t="e">
        <f>VLOOKUP($A185,'Données projet'!$A$330:$I$350,9,0)</f>
        <v>#N/A</v>
      </c>
      <c r="IJ185" s="12">
        <f t="array" ref="IJ185">INDEX(II:II,MIN(IF(ISNUMBER(II185:II381),ROW(II185:II381),"")))</f>
        <v>0</v>
      </c>
      <c r="IK185" s="12">
        <f>IF('Données projet'!$A$330&gt;35,IK184+IJ185-IS184,IF($A185&lt;'Données projet'!$A$330,$CQ$205^$A185,IF($A185='Données projet'!$A$330,'Données projet'!$B$330,IK184+IJ185-IS184)))</f>
        <v>0</v>
      </c>
      <c r="IL185" s="17">
        <f>IK185*VLOOKUP('Données projet'!$B$20,Paramètres!$A$1:$I$89,3,0)*VLOOKUP('Données projet'!$B$20,Paramètres!$A$1:$I$89,5,0)</f>
        <v>0</v>
      </c>
      <c r="IM185" s="13" t="e">
        <f t="shared" si="308"/>
        <v>#NUM!</v>
      </c>
      <c r="IN185" s="20" t="e">
        <f t="shared" si="257"/>
        <v>#NUM!</v>
      </c>
      <c r="IO185" s="59" t="e">
        <f t="shared" si="258"/>
        <v>#NUM!</v>
      </c>
      <c r="IP185" s="59">
        <f ca="1">AVERAGE(OFFSET(IO$3,0,0,'Données projet'!$E$20+1,1))-AVERAGE(OFFSET($H$3,0,0,'Données projet'!$E$20+1,1))</f>
        <v>91.60721429656013</v>
      </c>
      <c r="IQ185" s="59">
        <f t="shared" si="309"/>
        <v>258.94957804210856</v>
      </c>
      <c r="IR185" s="15">
        <f>IF(ISNA(VLOOKUP($A185,'Données projet'!$A$330:$I$350,3,0)),0,VLOOKUP($A185,'Données projet'!$A$330:$I$350,3,0))</f>
        <v>0</v>
      </c>
      <c r="IS185" s="15">
        <f>IF(ISNA(VLOOKUP($A185,'Données projet'!$A$330:$I$350,4,0)),0,VLOOKUP($A185,'Données projet'!$A$330:$I$350,4,0))</f>
        <v>0</v>
      </c>
      <c r="IT185" s="16">
        <f>IF(ISNA(VLOOKUP($A185,'Données projet'!$A$330:$I$350,5,0)),0%,VLOOKUP($A185,'Données projet'!$A$330:$I$350,5,0)*VLOOKUP('Données projet'!$B$20,Paramètres!$A$1:$I$89,7,0))</f>
        <v>0</v>
      </c>
      <c r="IU185" s="16">
        <f>IF(ISNA(VLOOKUP($A185,'Données projet'!$A$330:$I$350,6,0)),0%,VLOOKUP($A185,'Données projet'!$A$330:$I$350,6,0)*VLOOKUP('Données projet'!$B$20,Paramètres!$A$1:$I$89,7,0))</f>
        <v>0</v>
      </c>
      <c r="IV185" s="16">
        <f>IF(ISNA(VLOOKUP($A185,'Données projet'!$A$330:$I$350,7,0)),0%,VLOOKUP($A185,'Données projet'!$A$330:$I$350,7,0))</f>
        <v>0</v>
      </c>
      <c r="IW185" s="21">
        <f>EXP(-LN(2)/35)*IW184+(1-EXP(-LN(2)/35))/(LN(2)/35)*IS185*IT185*VLOOKUP('Données projet'!$B$20,Paramètres!$A$1:$I$89,3,0)*0.475*44/12</f>
        <v>2.4311102805367479</v>
      </c>
      <c r="IX185" s="21">
        <f>EXP(-LN(2)/25)*IX184+(1-EXP(-LN(2)/25))/(LN(2)/25)*Calculateur!IS185*Calculateur!IU185*VLOOKUP('Données projet'!$B$20,Paramètres!$A$1:$I$89,3,0)*0.475*44/12</f>
        <v>0.14379672198779261</v>
      </c>
      <c r="IY185" s="21">
        <f>EXP(-LN(2)/2)*IY184+(1-EXP(-LN(2)/2))/(LN(2)/2)*IS185*IV185*VLOOKUP('Données projet'!$B$20,Paramètres!$A$1:$I$89,3,0)*0.475*44/12</f>
        <v>7.5816372180928211E-24</v>
      </c>
      <c r="IZ185" s="22">
        <f t="shared" si="259"/>
        <v>2.5749070025245406</v>
      </c>
      <c r="JA185" s="74">
        <f>('Scénario référence'!$F$8+'Scénario référence'!$F$9+'Scénario référence'!$B$17+'Scénario référence'!$B$9+'Scénario référence'!$B$10)*70+IF((45+25*(1-EXP(-0.0175*$A185)))&lt;70,'Scénario référence'!$B$16*(45+25*(1-EXP(-0.0175*$A185))),70*'Scénario référence'!$B$16)+IF((32+38*(1-EXP(-0.0175*$A185)))&lt;70,'Scénario référence'!$B$18*(32+38*(1-EXP(-0.0175*$A185))),70*'Scénario référence'!$B$18)</f>
        <v>70</v>
      </c>
      <c r="JB185" s="12">
        <f>IF($A185&gt;30,10,('Scénario référence'!$B$16+'Scénario référence'!$B$17+'Scénario référence'!$B$18+'Scénario référence'!$B$9+'Scénario référence'!$B$10)*$A185*10/30+('Scénario référence'!$F$8+'Scénario référence'!$F$9)*10)</f>
        <v>10</v>
      </c>
      <c r="JC185" s="12" t="e">
        <f>VLOOKUP($A185,'Données projet'!$A$356:$I$376,2,0)</f>
        <v>#N/A</v>
      </c>
      <c r="JD185" s="12" t="e">
        <f>VLOOKUP($A185,'Données projet'!$A$356:$I$376,9,0)</f>
        <v>#N/A</v>
      </c>
      <c r="JE185" s="12">
        <f t="array" ref="JE185">INDEX(JD:JD,MIN(IF(ISNUMBER(JD185:JD381),ROW(JD185:JD381),"")))</f>
        <v>0</v>
      </c>
      <c r="JF185" s="12">
        <f>IF('Données projet'!$A$356&gt;35,JF184+JE185-JN184,IF($A185&lt;'Données projet'!$A$356,$CQ$205^$A185,IF($A185='Données projet'!$A$356,'Données projet'!$B$356,JF184+JE185-JN184)))</f>
        <v>-1.3073986337985843E-12</v>
      </c>
      <c r="JG185" s="17">
        <f>JF185*VLOOKUP('Données projet'!$B$21,Paramètres!$A$1:$I$89,3,0)*VLOOKUP('Données projet'!$B$21,Paramètres!$A$1:$I$89,5,0)</f>
        <v>-1.0605617717374117E-12</v>
      </c>
      <c r="JH185" s="13" t="e">
        <f t="shared" si="310"/>
        <v>#NUM!</v>
      </c>
      <c r="JI185" s="20" t="e">
        <f t="shared" si="260"/>
        <v>#NUM!</v>
      </c>
      <c r="JJ185" s="59" t="e">
        <f t="shared" si="261"/>
        <v>#NUM!</v>
      </c>
      <c r="JK185" s="59">
        <f ca="1">AVERAGE(OFFSET($JJ$3,0,0,'Données projet'!$E$22+1,1))-AVERAGE(OFFSET($H$3,0,0,'Données projet'!$E$22+1,1))</f>
        <v>353.35574633294613</v>
      </c>
      <c r="JL185" s="59">
        <f t="shared" si="311"/>
        <v>170.36796666474726</v>
      </c>
      <c r="JM185" s="15">
        <f>IF(ISNA(VLOOKUP($A185,'Données projet'!$A$356:$I$376,3,0)),0,VLOOKUP($A185,'Données projet'!$A$356:$I$376,3,0))</f>
        <v>0</v>
      </c>
      <c r="JN185" s="15">
        <f>IF(ISNA(VLOOKUP($A185,'Données projet'!$A$356:$I$376,4,0)),0,VLOOKUP($A185,'Données projet'!$A$356:$I$376,4,0))</f>
        <v>0</v>
      </c>
      <c r="JO185" s="16">
        <f>IF(ISNA(VLOOKUP($A185,'Données projet'!$A$356:$I$376,5,0)),0%,VLOOKUP($A185,'Données projet'!$A$356:$I$376,5,0)*VLOOKUP('Données projet'!$B$21,Paramètres!$A$1:$I$89,7,0))</f>
        <v>0</v>
      </c>
      <c r="JP185" s="16">
        <f>IF(ISNA(VLOOKUP($A185,'Données projet'!$A$356:$I$376,6,0)),0%,VLOOKUP($A185,'Données projet'!$A$356:$I$376,6,0)*VLOOKUP('Données projet'!$B$21,Paramètres!$A$1:$I$89,7,0))</f>
        <v>0</v>
      </c>
      <c r="JQ185" s="16">
        <f>IF(ISNA(VLOOKUP($A185,'Données projet'!$A$356:$I$376,7,0)),0%,VLOOKUP($A185,'Données projet'!$A$356:$I$376,7,0))</f>
        <v>0</v>
      </c>
      <c r="JR185" s="21">
        <f>EXP(-LN(2)/35)*JR184+(1-EXP(-LN(2)/35))/(LN(2)/35)*JN185*JO185*VLOOKUP('Données projet'!$B$21,Paramètres!$A$1:$I$89,3,0)*0.475*44/12</f>
        <v>38.974322886576282</v>
      </c>
      <c r="JS185" s="21">
        <f>EXP(-LN(2)/25)*JS184+(1-EXP(-LN(2)/25))/(LN(2)/25)*Calculateur!JN185*Calculateur!JP185*VLOOKUP('Données projet'!$B$21,Paramètres!$A$1:$I$89,3,0)*0.475*44/12</f>
        <v>31.472263716868177</v>
      </c>
      <c r="JT185" s="21">
        <f>EXP(-LN(2)/2)*JT184+(1-EXP(-LN(2)/2))/(LN(2)/2)*JN185*JQ185*VLOOKUP('Données projet'!$B$21,Paramètres!$A$1:$I$89,3,0)*0.475*44/12</f>
        <v>5.2323802050113159E-4</v>
      </c>
      <c r="JU185" s="18">
        <f t="shared" si="262"/>
        <v>70.447109841464965</v>
      </c>
      <c r="JV185" s="74">
        <f>('Scénario référence'!$F$8+'Scénario référence'!$F$9+'Scénario référence'!$B$17+'Scénario référence'!$B$9+'Scénario référence'!$B$10)*70+IF((45+25*(1-EXP(-0.0175*$A185)))&lt;70,'Scénario référence'!$B$16*(45+25*(1-EXP(-0.0175*$A185))),70*'Scénario référence'!$B$16)+IF((32+38*(1-EXP(-0.0175*$A185)))&lt;70,'Scénario référence'!$B$18*(32+38*(1-EXP(-0.0175*$A185))),70*'Scénario référence'!$B$18)</f>
        <v>70</v>
      </c>
      <c r="JW185" s="12">
        <f>IF($A185&gt;30,10,('Scénario référence'!$B$16+'Scénario référence'!$B$17+'Scénario référence'!$B$18+'Scénario référence'!$B$9+'Scénario référence'!$B$10)*$A185*10/30+('Scénario référence'!$F$8+'Scénario référence'!$F$9)*10)</f>
        <v>10</v>
      </c>
      <c r="JX185" s="12" t="e">
        <f>VLOOKUP($A185,'Données projet'!$A$382:$I$402,2,0)</f>
        <v>#N/A</v>
      </c>
      <c r="JY185" s="12" t="e">
        <f>VLOOKUP($A185,'Données projet'!$A$382:$I$402,9,0)</f>
        <v>#N/A</v>
      </c>
      <c r="JZ185" s="12">
        <f t="array" ref="JZ185">INDEX(JY:JY,MIN(IF(ISNUMBER(JY185:JY381),ROW(JY185:JY381),"")))</f>
        <v>0</v>
      </c>
      <c r="KA185" s="12">
        <f>IF('Données projet'!$A$382&gt;35,KA184+JZ185-KI184,IF($A185&lt;'Données projet'!$A$382,$CQ$205^$A185,IF($A185='Données projet'!$A$382,'Données projet'!$B$382,KA184+JZ185-KI184)))</f>
        <v>5.6843418860808015E-13</v>
      </c>
      <c r="KB185" s="17">
        <f>KA185*VLOOKUP('Données projet'!$B$22,Paramètres!$A$1:$I$89,3,0)*VLOOKUP('Données projet'!$B$22,Paramètres!$A$1:$I$89,5,0)</f>
        <v>3.8130565371830017E-13</v>
      </c>
      <c r="KC185" s="13">
        <f t="shared" si="312"/>
        <v>4.9019074112354236E-12</v>
      </c>
      <c r="KD185" s="20">
        <f t="shared" si="263"/>
        <v>9.2015960881277352E-12</v>
      </c>
      <c r="KE185" s="59">
        <f t="shared" si="264"/>
        <v>293.33333333334252</v>
      </c>
      <c r="KF185" s="59">
        <f ca="1">AVERAGE(OFFSET($KE$3,0,0,'Données projet'!$E$22+1,1))-AVERAGE(OFFSET($H$3,0,0,'Données projet'!$E$22+1,1))</f>
        <v>193.91714772848269</v>
      </c>
      <c r="KG185" s="59">
        <f t="shared" si="313"/>
        <v>159.20429420478047</v>
      </c>
      <c r="KH185" s="15">
        <f>IF(ISNA(VLOOKUP($A185,'Données projet'!$A$382:$I$402,3,0)),0,VLOOKUP($A185,'Données projet'!$A$382:$I$402,3,0))</f>
        <v>0</v>
      </c>
      <c r="KI185" s="15">
        <f>IF(ISNA(VLOOKUP($A185,'Données projet'!$A$382:$I$402,4,0)),0,VLOOKUP($A185,'Données projet'!$A$382:$I$402,4,0))</f>
        <v>0</v>
      </c>
      <c r="KJ185" s="16">
        <f>IF(ISNA(VLOOKUP($A185,'Données projet'!$A$382:$I$402,5,0)),0%,VLOOKUP($A185,'Données projet'!$A$382:$I$402,5,0)*VLOOKUP('Données projet'!$B$22,Paramètres!$A$1:$I$89,7,0))</f>
        <v>0</v>
      </c>
      <c r="KK185" s="16">
        <f>IF(ISNA(VLOOKUP($A185,'Données projet'!$A$382:$I$402,6,0)),0%,VLOOKUP($A185,'Données projet'!$A$382:$I$402,6,0)*VLOOKUP('Données projet'!$B$22,Paramètres!$A$1:$I$89,7,0))</f>
        <v>0</v>
      </c>
      <c r="KL185" s="16">
        <f>IF(ISNA(VLOOKUP($A185,'Données projet'!$A$382:$I$402,7,0)),0%,VLOOKUP($A185,'Données projet'!$A$382:$I$402,7,0))</f>
        <v>0</v>
      </c>
      <c r="KM185" s="21">
        <f>EXP(-LN(2)/35)*KM184+(1-EXP(-LN(2)/35))/(LN(2)/35)*KI185*KJ185*VLOOKUP('Données projet'!$B$22,Paramètres!$A$1:$I$89,3,0)*0.475*44/12</f>
        <v>56.90681297876354</v>
      </c>
      <c r="KN185" s="21">
        <f>EXP(-LN(2)/25)*KN184+(1-EXP(-LN(2)/25))/(LN(2)/25)*Calculateur!KI185*Calculateur!KK185*VLOOKUP('Données projet'!$B$22,Paramètres!$A$1:$I$89,3,0)*0.475*44/12</f>
        <v>0</v>
      </c>
      <c r="KO185" s="21">
        <f>EXP(-LN(2)/2)*KO184+(1-EXP(-LN(2)/2))/(LN(2)/2)*KI185*KL185*VLOOKUP('Données projet'!$B$22,Paramètres!$A$1:$I$89,3,0)*0.475*44/12</f>
        <v>0</v>
      </c>
      <c r="KP185" s="22">
        <f t="shared" si="265"/>
        <v>56.90681297876354</v>
      </c>
      <c r="KQ185" s="74">
        <f>('Scénario référence'!$F$8+'Scénario référence'!$F$9+'Scénario référence'!$B$17+'Scénario référence'!$B$9+'Scénario référence'!$B$10)*70+IF((45+25*(1-EXP(-0.0175*$A185)))&lt;70,'Scénario référence'!$B$16*(45+25*(1-EXP(-0.0175*$A185))),70*'Scénario référence'!$B$16)+IF((32+38*(1-EXP(-0.0175*$A185)))&lt;70,'Scénario référence'!$B$18*(32+38*(1-EXP(-0.0175*$A185))),70*'Scénario référence'!$B$18)</f>
        <v>70</v>
      </c>
      <c r="KR185" s="12">
        <f>IF($A185&gt;30,10,('Scénario référence'!$B$16+'Scénario référence'!$B$17+'Scénario référence'!$B$18+'Scénario référence'!$B$9+'Scénario référence'!$B$10)*$A185*10/30+('Scénario référence'!$F$8+'Scénario référence'!$F$9)*10)</f>
        <v>10</v>
      </c>
      <c r="KS185" s="12" t="e">
        <f>VLOOKUP($A185,'Données projet'!$A$408:$I$428,2,0)</f>
        <v>#N/A</v>
      </c>
      <c r="KT185" s="12" t="e">
        <f>VLOOKUP($A185,'Données projet'!$A$408:$I$428,9,0)</f>
        <v>#N/A</v>
      </c>
      <c r="KU185" s="12">
        <f t="array" ref="KU185">INDEX(KT:KT,MIN(IF(ISNUMBER(KT185:KT381),ROW(KT185:KT381),"")))</f>
        <v>0</v>
      </c>
      <c r="KV185" s="12">
        <f>IF('Données projet'!$A$408&gt;35,KV184+KU185-LD184,IF($A185&lt;'Données projet'!$A$408,$CQ$205^$A185,IF($A185='Données projet'!$A$408,'Données projet'!$B$408,KV184+KU185-LD184)))</f>
        <v>-1.1368683772161603E-13</v>
      </c>
      <c r="KW185" s="17">
        <f>KV185*VLOOKUP('Données projet'!$B$23,Paramètres!$A$1:$I$89,3,0)*VLOOKUP('Données projet'!$B$23,Paramètres!$A$1:$I$89,5,0)</f>
        <v>-9.9316821433603781E-14</v>
      </c>
      <c r="KX185" s="13" t="e">
        <f t="shared" si="314"/>
        <v>#NUM!</v>
      </c>
      <c r="KY185" s="14" t="e">
        <f t="shared" si="266"/>
        <v>#NUM!</v>
      </c>
      <c r="KZ185" s="59" t="e">
        <f t="shared" si="267"/>
        <v>#NUM!</v>
      </c>
      <c r="LA185" s="59">
        <f ca="1">AVERAGE(OFFSET($KZ$3,0,0,'Données projet'!$E$23+1,1))-AVERAGE(OFFSET($H$3,0,0,'Données projet'!$E$23+1,1))</f>
        <v>248.33596943633819</v>
      </c>
      <c r="LB185" s="59">
        <f t="shared" si="315"/>
        <v>242.34010522344573</v>
      </c>
      <c r="LC185" s="15">
        <f>IF(ISNA(VLOOKUP($A185,'Données projet'!$A$408:$I$428,3,0)),0,VLOOKUP($A185,'Données projet'!$A$408:$I$428,3,0))</f>
        <v>0</v>
      </c>
      <c r="LD185" s="15">
        <f>IF(ISNA(VLOOKUP($A185,'Données projet'!$A$408:$I$428,4,0)),0,VLOOKUP($A185,'Données projet'!$A$408:$I$428,4,0))</f>
        <v>0</v>
      </c>
      <c r="LE185" s="16">
        <f>IF(ISNA(VLOOKUP($A185,'Données projet'!$A$408:$I$428,5,0)),0%,VLOOKUP($A185,'Données projet'!$A$408:$I$428,5,0)*VLOOKUP('Données projet'!$B$23,Paramètres!$A$1:$I$89,7,0))</f>
        <v>0</v>
      </c>
      <c r="LF185" s="16">
        <f>IF(ISNA(VLOOKUP($A185,'Données projet'!$A$408:$I$428,6,0)),0%,VLOOKUP($A185,'Données projet'!$A$408:$I$428,6,0)*VLOOKUP('Données projet'!$B$23,Paramètres!$A$1:$I$89,7,0))</f>
        <v>0</v>
      </c>
      <c r="LG185" s="16">
        <f>IF(ISNA(VLOOKUP($A185,'Données projet'!$A$408:$I$428,7,0)),0%,VLOOKUP($A185,'Données projet'!$A$408:$I$428,7,0))</f>
        <v>0</v>
      </c>
      <c r="LH185" s="21">
        <f>EXP(-LN(2)/35)*LH184+(1-EXP(-LN(2)/35))/(LN(2)/35)*LD185*LE185*VLOOKUP('Données projet'!$B$23,Paramètres!$A$1:$I$89,3,0)*0.475*44/12</f>
        <v>16.345386976740645</v>
      </c>
      <c r="LI185" s="21">
        <f>EXP(-LN(2)/25)*LI184+(1-EXP(-LN(2)/25))/(LN(2)/25)*Calculateur!LD185*Calculateur!LF185*VLOOKUP('Données projet'!$B$23,Paramètres!$A$1:$I$89,3,0)*0.475*44/12</f>
        <v>1.2876500032038498</v>
      </c>
      <c r="LJ185" s="21">
        <f>EXP(-LN(2)/2)*LJ184+(1-EXP(-LN(2)/2))/(LN(2)/2)*LD185*LG185*VLOOKUP('Données projet'!$B$23,Paramètres!$A$1:$I$89,3,0)*0.475*44/12</f>
        <v>0</v>
      </c>
      <c r="LK185" s="22">
        <f t="shared" si="268"/>
        <v>17.633036979944496</v>
      </c>
      <c r="LL185" s="74">
        <f>('Scénario référence'!$F$8+'Scénario référence'!$F$9+'Scénario référence'!$B$17+'Scénario référence'!$B$9+'Scénario référence'!$B$10)*70+IF((45+25*(1-EXP(-0.0175*$A185)))&lt;70,'Scénario référence'!$B$16*(45+25*(1-EXP(-0.0175*$A185))),70*'Scénario référence'!$B$16)+IF((32+38*(1-EXP(-0.0175*$A185)))&lt;70,'Scénario référence'!$B$18*(32+38*(1-EXP(-0.0175*$A185))),70*'Scénario référence'!$B$18)</f>
        <v>70</v>
      </c>
      <c r="LM185" s="12">
        <f>IF($A185&gt;30,10,('Scénario référence'!$B$16+'Scénario référence'!$B$17+'Scénario référence'!$B$18+'Scénario référence'!$B$9+'Scénario référence'!$B$10)*$A185*10/30+('Scénario référence'!$F$8+'Scénario référence'!$F$9)*10)</f>
        <v>10</v>
      </c>
      <c r="LN185" s="12" t="e">
        <f>VLOOKUP($A185,'Données projet'!$A$434:$I$454,2,0)</f>
        <v>#N/A</v>
      </c>
      <c r="LO185" s="12" t="e">
        <f>VLOOKUP($A185,'Données projet'!$A$434:$I$454,9,0)</f>
        <v>#N/A</v>
      </c>
      <c r="LP185" s="12">
        <f t="array" ref="LP185">INDEX(LO:LO,MIN(IF(ISNUMBER(LO185:LO381),ROW(LO185:LO381),"")))</f>
        <v>0</v>
      </c>
      <c r="LQ185" s="12">
        <f>IF('Données projet'!$A$434&gt;35,LQ184+LP185-LY184,IF($A185&lt;'Données projet'!$A$434,$CQ$205^$A185,IF($A185='Données projet'!$A$434,'Données projet'!$B$434,LQ184+LP185-LY184)))</f>
        <v>-4.5474735088646412E-13</v>
      </c>
      <c r="LR185" s="17">
        <f>LQ185*VLOOKUP('Données projet'!$B$24,Paramètres!$A$1:$I$89,3,0)*VLOOKUP('Données projet'!$B$24,Paramètres!$A$1:$I$89,5,0)</f>
        <v>-4.6111381379887462E-13</v>
      </c>
      <c r="LS185" s="13" t="e">
        <f t="shared" si="316"/>
        <v>#NUM!</v>
      </c>
      <c r="LT185" s="14" t="e">
        <f t="shared" si="269"/>
        <v>#NUM!</v>
      </c>
      <c r="LU185" s="59" t="e">
        <f t="shared" si="270"/>
        <v>#NUM!</v>
      </c>
      <c r="LV185" s="59">
        <f ca="1">AVERAGE(OFFSET($LU$3,0,0,'Données projet'!$E$24+1,1))-AVERAGE(OFFSET($H$3,0,0,'Données projet'!$E$24+1,1))</f>
        <v>260.52627655062872</v>
      </c>
      <c r="LW185" s="59">
        <f t="shared" si="317"/>
        <v>159.20429420478047</v>
      </c>
      <c r="LX185" s="15">
        <f>IF(ISNA(VLOOKUP($A185,'Données projet'!$A$434:$I$454,3,0)),0,VLOOKUP($A185,'Données projet'!$A$434:$I$454,3,0))</f>
        <v>0</v>
      </c>
      <c r="LY185" s="15">
        <f>IF(ISNA(VLOOKUP($A185,'Données projet'!$A$434:$I$454,4,0)),0,VLOOKUP($A185,'Données projet'!$A$434:$I$454,4,0))</f>
        <v>0</v>
      </c>
      <c r="LZ185" s="16">
        <f>IF(ISNA(VLOOKUP($A185,'Données projet'!$A$434:$I$454,5,0)),0%,VLOOKUP($A185,'Données projet'!$A$434:$I$454,5,0)*VLOOKUP('Données projet'!$B$24,Paramètres!$A$1:$I$89,7,0))</f>
        <v>0</v>
      </c>
      <c r="MA185" s="16">
        <f>IF(ISNA(VLOOKUP($A185,'Données projet'!$A$434:$I$454,6,0)),0%,VLOOKUP($A185,'Données projet'!$A$434:$I$454,6,0)*VLOOKUP('Données projet'!$B$24,Paramètres!$A$1:$I$89,7,0))</f>
        <v>0</v>
      </c>
      <c r="MB185" s="16">
        <f>IF(ISNA(VLOOKUP($A185,'Données projet'!$A$434:$I$454,7,0)),0%,VLOOKUP($A185,'Données projet'!$A$434:$I$454,7,0))</f>
        <v>0</v>
      </c>
      <c r="MC185" s="21">
        <f>EXP(-LN(2)/35)*MC184+(1-EXP(-LN(2)/35))/(LN(2)/35)*LY185*LZ185*VLOOKUP('Données projet'!$B$24,Paramètres!$A$1:$I$89,3,0)*0.475*44/12</f>
        <v>105.09528641603482</v>
      </c>
      <c r="MD185" s="21">
        <f>EXP(-LN(2)/25)*MD184+(1-EXP(-LN(2)/25))/(LN(2)/25)*Calculateur!LY185*Calculateur!MA185*VLOOKUP('Données projet'!$B$24,Paramètres!$A$1:$I$89,3,0)*0.475*44/12</f>
        <v>0</v>
      </c>
      <c r="ME185" s="21">
        <f>EXP(-LN(2)/2)*ME184+(1-EXP(-LN(2)/2))/(LN(2)/2)*LY185*MB185*VLOOKUP('Données projet'!$B$24,Paramètres!$A$1:$I$89,3,0)*0.475*44/12</f>
        <v>0</v>
      </c>
      <c r="MF185" s="22">
        <f t="shared" si="271"/>
        <v>105.09528641603482</v>
      </c>
      <c r="MG185" s="74">
        <f>('Scénario référence'!$F$8+'Scénario référence'!$F$9+'Scénario référence'!$B$17+'Scénario référence'!$B$9+'Scénario référence'!$B$10)*70+IF((45+25*(1-EXP(-0.0175*$A185)))&lt;70,'Scénario référence'!$B$16*(45+25*(1-EXP(-0.0175*$A185))),70*'Scénario référence'!$B$16)+IF((32+38*(1-EXP(-0.0175*$A185)))&lt;70,'Scénario référence'!$B$18*(32+38*(1-EXP(-0.0175*$A185))),70*'Scénario référence'!$B$18)</f>
        <v>70</v>
      </c>
      <c r="MH185" s="12">
        <f>IF($A185&gt;30,10,('Scénario référence'!$B$16+'Scénario référence'!$B$17+'Scénario référence'!$B$18+'Scénario référence'!$B$9+'Scénario référence'!$B$10)*$A185*10/30+('Scénario référence'!$F$8+'Scénario référence'!$F$9)*10)</f>
        <v>10</v>
      </c>
      <c r="MI185" s="12" t="e">
        <f>VLOOKUP($A185,'Données projet'!$A$460:$I$480,2,0)</f>
        <v>#N/A</v>
      </c>
      <c r="MJ185" s="12" t="e">
        <f>VLOOKUP($A185,'Données projet'!$A$460:$I$480,9,0)</f>
        <v>#N/A</v>
      </c>
      <c r="MK185" s="12">
        <f t="array" ref="MK185">INDEX(MJ:MJ,MIN(IF(ISNUMBER(MJ185:MJ381),ROW(MJ185:MJ381),"")))</f>
        <v>0</v>
      </c>
      <c r="ML185" s="12">
        <f>IF('Données projet'!$A$460&gt;35,ML184+MK185-MT184,IF($A185&lt;'Données projet'!$A$460,$CQ$205^$A185,IF($A185='Données projet'!$A$460,'Données projet'!$B$460,ML184+MK185-MT184)))</f>
        <v>0</v>
      </c>
      <c r="MM185" s="17" t="e">
        <f>ML185*VLOOKUP('Données projet'!$B$25,Paramètres!$A$1:$I$89,3,0)*VLOOKUP('Données projet'!$B$25,Paramètres!$A$1:$I$89,5,0)</f>
        <v>#N/A</v>
      </c>
      <c r="MN185" s="13" t="e">
        <f t="shared" si="318"/>
        <v>#N/A</v>
      </c>
      <c r="MO185" s="14" t="e">
        <f t="shared" si="272"/>
        <v>#N/A</v>
      </c>
      <c r="MP185" s="59" t="e">
        <f t="shared" si="273"/>
        <v>#N/A</v>
      </c>
      <c r="MQ185" s="20" t="e">
        <f ca="1">AVERAGE(OFFSET($MP$3,0,0,'Données projet'!$E$25+1,1))-AVERAGE(OFFSET($H$3,0,0,'Données projet'!$E$25+1,1))</f>
        <v>#N/A</v>
      </c>
      <c r="MR185" s="59" t="e">
        <f t="shared" si="319"/>
        <v>#N/A</v>
      </c>
      <c r="MS185" s="15">
        <f>IF(ISNA(VLOOKUP($A185,'Données projet'!$A$460:$I$480,3,0)),0,VLOOKUP($A185,'Données projet'!$A$460:$I$480,3,0))</f>
        <v>0</v>
      </c>
      <c r="MT185" s="15">
        <f>IF(ISNA(VLOOKUP($A185,'Données projet'!$A$460:$I$480,4,0)),0,VLOOKUP($A185,'Données projet'!$A$460:$I$480,4,0))</f>
        <v>0</v>
      </c>
      <c r="MU185" s="16">
        <f>IF(ISNA(VLOOKUP($A185,'Données projet'!$A$460:$I$480,5,0)),0%,VLOOKUP($A185,'Données projet'!$A$460:$I$480,5,0)*VLOOKUP('Données projet'!$B$25,Paramètres!$A$1:$I$89,7,0))</f>
        <v>0</v>
      </c>
      <c r="MV185" s="16">
        <f>IF(ISNA(VLOOKUP($A185,'Données projet'!$A$460:$I$480,6,0)),0%,VLOOKUP($A185,'Données projet'!$A$460:$I$480,6,0)*VLOOKUP('Données projet'!$B$25,Paramètres!$A$1:$I$89,7,0))</f>
        <v>0</v>
      </c>
      <c r="MW185" s="16">
        <f>IF(ISNA(VLOOKUP($A185,'Données projet'!$A$460:$I$480,7,0)),0%,VLOOKUP($A185,'Données projet'!$A$460:$I$480,7,0))</f>
        <v>0</v>
      </c>
      <c r="MX185" s="21" t="e">
        <f>EXP(-LN(2)/35)*MX184+(1-EXP(-LN(2)/35))/(LN(2)/35)*MT185*MU185*VLOOKUP('Données projet'!$B$25,Paramètres!$A$1:$I$89,3,0)*0.475*44/12</f>
        <v>#N/A</v>
      </c>
      <c r="MY185" s="21" t="e">
        <f>EXP(-LN(2)/25)*MY184+(1-EXP(-LN(2)/25))/(LN(2)/25)*Calculateur!MT185*Calculateur!MV185*VLOOKUP('Données projet'!$B$25,Paramètres!$A$1:$I$89,3,0)*0.475*44/12</f>
        <v>#N/A</v>
      </c>
      <c r="MZ185" s="21" t="e">
        <f>EXP(-LN(2)/2)*MZ184+(1-EXP(-LN(2)/2))/(LN(2)/2)*MT185*MW185*VLOOKUP('Données projet'!$B$25,Paramètres!$A$1:$I$89,3,0)*0.475*44/12</f>
        <v>#N/A</v>
      </c>
      <c r="NA185" s="22" t="e">
        <f t="shared" si="274"/>
        <v>#N/A</v>
      </c>
      <c r="NB185" s="74">
        <f>('Scénario référence'!$F$8+'Scénario référence'!$F$9+'Scénario référence'!$B$17+'Scénario référence'!$B$9+'Scénario référence'!$B$10)*70+IF((45+25*(1-EXP(-0.0175*$A185)))&lt;70,'Scénario référence'!$B$16*(45+25*(1-EXP(-0.0175*$A185))),70*'Scénario référence'!$B$16)+IF((32+38*(1-EXP(-0.0175*$A185)))&lt;70,'Scénario référence'!$B$18*(32+38*(1-EXP(-0.0175*$A185))),70*'Scénario référence'!$B$18)</f>
        <v>70</v>
      </c>
      <c r="NC185" s="12">
        <f>IF($A185&gt;30,10,('Scénario référence'!$B$16+'Scénario référence'!$B$17+'Scénario référence'!$B$18+'Scénario référence'!$B$9+'Scénario référence'!$B$10)*$A185*10/30+('Scénario référence'!$F$8+'Scénario référence'!$F$9)*10)</f>
        <v>10</v>
      </c>
      <c r="ND185" s="12" t="e">
        <f>VLOOKUP($A185,'Données projet'!$A$486:$I$506,2,0)</f>
        <v>#N/A</v>
      </c>
      <c r="NE185" s="12" t="e">
        <f>VLOOKUP($A185,'Données projet'!$A$486:$I$506,9,0)</f>
        <v>#N/A</v>
      </c>
      <c r="NF185" s="12">
        <f t="array" ref="NF185">INDEX(NE:NE,MIN(IF(ISNUMBER(NE185:NE381),ROW(NE185:NE381),"")))</f>
        <v>0</v>
      </c>
      <c r="NG185" s="12">
        <f>IF('Données projet'!$A$486&gt;35,NG184+NF185-NO184,IF($A185&lt;'Données projet'!$A$486,$CQ$205^$A185,IF($A185='Données projet'!$A$486,'Données projet'!$B$486,NG184+NF185-NO184)))</f>
        <v>0</v>
      </c>
      <c r="NH185" s="17" t="e">
        <f>NG185*VLOOKUP('Données projet'!$B$26,Paramètres!$A$1:$I$89,3,0)*VLOOKUP('Données projet'!$B$26,Paramètres!$A$1:$I$89,5,0)</f>
        <v>#N/A</v>
      </c>
      <c r="NI185" s="13" t="e">
        <f t="shared" si="320"/>
        <v>#N/A</v>
      </c>
      <c r="NJ185" s="14" t="e">
        <f t="shared" si="275"/>
        <v>#N/A</v>
      </c>
      <c r="NK185" s="59" t="e">
        <f t="shared" si="276"/>
        <v>#N/A</v>
      </c>
      <c r="NL185" s="20" t="e">
        <f ca="1">AVERAGE(OFFSET($NK$3,0,0,'Données projet'!$E$26+1,1))-AVERAGE(OFFSET($H$3,0,0,'Données projet'!$E$26+1,1))</f>
        <v>#N/A</v>
      </c>
      <c r="NM185" s="59" t="e">
        <f t="shared" si="321"/>
        <v>#N/A</v>
      </c>
      <c r="NN185" s="15">
        <f>IF(ISNA(VLOOKUP($A185,'Données projet'!$A$486:$I$506,3,0)),0,VLOOKUP($A185,'Données projet'!$A$486:$I$506,3,0))</f>
        <v>0</v>
      </c>
      <c r="NO185" s="15">
        <f>IF(ISNA(VLOOKUP($A185,'Données projet'!$A$486:$I$506,4,0)),0,VLOOKUP($A185,'Données projet'!$A$486:$I$506,4,0))</f>
        <v>0</v>
      </c>
      <c r="NP185" s="16">
        <f>IF(ISNA(VLOOKUP($A185,'Données projet'!$A$486:$I$506,5,0)),0%,VLOOKUP($A185,'Données projet'!$A$486:$I$506,5,0)*VLOOKUP('Données projet'!$B$26,Paramètres!$A$1:$I$89,7,0))</f>
        <v>0</v>
      </c>
      <c r="NQ185" s="16">
        <f>IF(ISNA(VLOOKUP($A185,'Données projet'!$A$486:$I$506,6,0)),0%,VLOOKUP($A185,'Données projet'!$A$486:$I$506,6,0)*VLOOKUP('Données projet'!$B$26,Paramètres!$A$1:$I$89,7,0))</f>
        <v>0</v>
      </c>
      <c r="NR185" s="16">
        <f>IF(ISNA(VLOOKUP($A185,'Données projet'!$A$486:$I$506,7,0)),0%,VLOOKUP($A185,'Données projet'!$A$486:$I$506,7,0))</f>
        <v>0</v>
      </c>
      <c r="NS185" s="21" t="e">
        <f>EXP(-LN(2)/35)*NS184+(1-EXP(-LN(2)/35))/(LN(2)/35)*NO185*NP185*VLOOKUP('Données projet'!$B$26,Paramètres!$A$1:$I$89,3,0)*0.475*44/12</f>
        <v>#N/A</v>
      </c>
      <c r="NT185" s="21" t="e">
        <f>EXP(-LN(2)/25)*NT184+(1-EXP(-LN(2)/25))/(LN(2)/25)*Calculateur!NO185*Calculateur!NQ185*VLOOKUP('Données projet'!$B$26,Paramètres!$A$1:$I$89,3,0)*0.475*44/12</f>
        <v>#N/A</v>
      </c>
      <c r="NU185" s="21" t="e">
        <f>EXP(-LN(2)/2)*NU184+(1-EXP(-LN(2)/2))/(LN(2)/2)*NO185*NR185*VLOOKUP('Données projet'!$B$26,Paramètres!$A$1:$I$89,3,0)*0.475*44/12</f>
        <v>#N/A</v>
      </c>
      <c r="NV185" s="22" t="e">
        <f t="shared" si="277"/>
        <v>#N/A</v>
      </c>
      <c r="NW185" s="74">
        <f>('Scénario référence'!$F$8+'Scénario référence'!$F$9+'Scénario référence'!$B$17+'Scénario référence'!$B$9+'Scénario référence'!$B$10)*70+IF((45+25*(1-EXP(-0.0175*$A185)))&lt;70,'Scénario référence'!$B$16*(45+25*(1-EXP(-0.0175*$A185))),70*'Scénario référence'!$B$16)+IF((32+38*(1-EXP(-0.0175*$A185)))&lt;70,'Scénario référence'!$B$18*(32+38*(1-EXP(-0.0175*$A185))),70*'Scénario référence'!$B$18)</f>
        <v>70</v>
      </c>
      <c r="NX185" s="12">
        <f>IF($A185&gt;30,10,('Scénario référence'!$B$16+'Scénario référence'!$B$17+'Scénario référence'!$B$18+'Scénario référence'!$B$9+'Scénario référence'!$B$10)*$A185*10/30+('Scénario référence'!$F$8+'Scénario référence'!$F$9)*10)</f>
        <v>10</v>
      </c>
      <c r="NY185" s="12" t="e">
        <f>VLOOKUP($A185,'Données projet'!$A$512:$I$532,2,0)</f>
        <v>#N/A</v>
      </c>
      <c r="NZ185" s="12" t="e">
        <f>VLOOKUP($A185,'Données projet'!$A$512:$I$532,9,0)</f>
        <v>#N/A</v>
      </c>
      <c r="OA185" s="12">
        <f t="array" ref="OA185">INDEX(NZ:NZ,MIN(IF(ISNUMBER(NZ185:NZ381),ROW(NZ185:NZ381),"")))</f>
        <v>0</v>
      </c>
      <c r="OB185" s="12">
        <f>IF('Données projet'!$A$512&gt;35,OB184+OA185-OJ184,IF($A185&lt;'Données projet'!$A$512,$CQ$205^$A185,IF($A185='Données projet'!$A$512,'Données projet'!$B$512,OB184+OA185-OJ184)))</f>
        <v>0</v>
      </c>
      <c r="OC185" s="17" t="e">
        <f>OB185*VLOOKUP('Données projet'!$B$27,Paramètres!$A$1:$I$89,3,0)*VLOOKUP('Données projet'!$B$27,Paramètres!$A$1:$I$89,5,0)</f>
        <v>#N/A</v>
      </c>
      <c r="OD185" s="13" t="e">
        <f t="shared" si="322"/>
        <v>#N/A</v>
      </c>
      <c r="OE185" s="14" t="e">
        <f t="shared" si="278"/>
        <v>#N/A</v>
      </c>
      <c r="OF185" s="59" t="e">
        <f t="shared" si="279"/>
        <v>#N/A</v>
      </c>
      <c r="OG185" s="20" t="e">
        <f ca="1">AVERAGE(OFFSET($OF$3,0,0,'Données projet'!$E$27+1,1))-AVERAGE(OFFSET($H$3,0,0,'Données projet'!$E$27+1,1))</f>
        <v>#N/A</v>
      </c>
      <c r="OH185" s="59" t="e">
        <f t="shared" si="323"/>
        <v>#N/A</v>
      </c>
      <c r="OI185" s="15">
        <f>IF(ISNA(VLOOKUP($A185,'Données projet'!$A$512:$I$532,3,0)),0,VLOOKUP($A185,'Données projet'!$A$512:$I$532,3,0))</f>
        <v>0</v>
      </c>
      <c r="OJ185" s="15">
        <f>IF(ISNA(VLOOKUP($A185,'Données projet'!$A$512:$I$532,4,0)),0,VLOOKUP($A185,'Données projet'!$A$512:$I$532,4,0))</f>
        <v>0</v>
      </c>
      <c r="OK185" s="16">
        <f>IF(ISNA(VLOOKUP($A185,'Données projet'!$A$512:$I$532,5,0)),0%,VLOOKUP($A185,'Données projet'!$A$512:$I$532,5,0)*VLOOKUP('Données projet'!$B$27,Paramètres!$A$1:$I$89,7,0))</f>
        <v>0</v>
      </c>
      <c r="OL185" s="16">
        <f>IF(ISNA(VLOOKUP($A185,'Données projet'!$A$512:$I$532,6,0)),0%,VLOOKUP($A185,'Données projet'!$A$512:$I$532,6,0)*VLOOKUP('Données projet'!$B$27,Paramètres!$A$1:$I$89,7,0))</f>
        <v>0</v>
      </c>
      <c r="OM185" s="16">
        <f>IF(ISNA(VLOOKUP($A185,'Données projet'!$A$512:$I$532,7,0)),0%,VLOOKUP($A185,'Données projet'!$A$512:$I$532,7,0))</f>
        <v>0</v>
      </c>
      <c r="ON185" s="21" t="e">
        <f>EXP(-LN(2)/35)*ON184+(1-EXP(-LN(2)/35))/(LN(2)/35)*OJ185*OK185*VLOOKUP('Données projet'!$B$27,Paramètres!$A$1:$I$89,3,0)*0.475*44/12</f>
        <v>#N/A</v>
      </c>
      <c r="OO185" s="21" t="e">
        <f>EXP(-LN(2)/25)*OO184+(1-EXP(-LN(2)/25))/(LN(2)/25)*Calculateur!OJ185*Calculateur!OL185*VLOOKUP('Données projet'!$B$27,Paramètres!$A$1:$I$89,3,0)*0.475*44/12</f>
        <v>#N/A</v>
      </c>
      <c r="OP185" s="21" t="e">
        <f>EXP(-LN(2)/2)*OP184+(1-EXP(-LN(2)/2))/(LN(2)/2)*OJ185*OM185*VLOOKUP('Données projet'!$B$27,Paramètres!$A$1:$I$89,3,0)*0.475*44/12</f>
        <v>#N/A</v>
      </c>
      <c r="OQ185" s="22" t="e">
        <f t="shared" si="280"/>
        <v>#N/A</v>
      </c>
      <c r="OR185" s="74">
        <f>('Scénario référence'!$F$8+'Scénario référence'!$F$9+'Scénario référence'!$B$17+'Scénario référence'!$B$9+'Scénario référence'!$B$10)*70+IF((45+25*(1-EXP(-0.0175*$A185)))&lt;70,'Scénario référence'!$B$16*(45+25*(1-EXP(-0.0175*$A185))),70*'Scénario référence'!$B$16)+IF((32+38*(1-EXP(-0.0175*$A185)))&lt;70,'Scénario référence'!$B$18*(32+38*(1-EXP(-0.0175*$A185))),70*'Scénario référence'!$B$18)</f>
        <v>70</v>
      </c>
      <c r="OS185" s="12">
        <f>IF($A185&gt;30,10,('Scénario référence'!$B$16+'Scénario référence'!$B$17+'Scénario référence'!$B$18+'Scénario référence'!$B$9+'Scénario référence'!$B$10)*$A185*10/30+('Scénario référence'!$F$8+'Scénario référence'!$F$9)*10)</f>
        <v>10</v>
      </c>
      <c r="OT185" s="12" t="e">
        <f>VLOOKUP($A185,'Données projet'!$A$538:$I$558,2,0)</f>
        <v>#N/A</v>
      </c>
      <c r="OU185" s="12" t="e">
        <f>VLOOKUP($A185,'Données projet'!$A$538:$I$558,9,0)</f>
        <v>#N/A</v>
      </c>
      <c r="OV185" s="12">
        <f t="array" ref="OV185">INDEX(OU:OU,MIN(IF(ISNUMBER(OU185:OU381),ROW(OU185:OU381),"")))</f>
        <v>0</v>
      </c>
      <c r="OW185" s="12">
        <f>IF('Données projet'!$A$538&gt;35,OW184+OV185-PE184,IF($A185&lt;'Données projet'!$A$538,$CQ$205^$A185,IF($A185='Données projet'!$A$538,'Données projet'!$B$538,OW184+OV185-PE184)))</f>
        <v>0</v>
      </c>
      <c r="OX185" s="17" t="e">
        <f>OW185*VLOOKUP('Données projet'!$B$28,Paramètres!$A$1:$I$89,3,0)*VLOOKUP('Données projet'!$B$28,Paramètres!$A$1:$I$89,5,0)</f>
        <v>#N/A</v>
      </c>
      <c r="OY185" s="13" t="e">
        <f t="shared" si="324"/>
        <v>#N/A</v>
      </c>
      <c r="OZ185" s="14" t="e">
        <f t="shared" si="281"/>
        <v>#N/A</v>
      </c>
      <c r="PA185" s="59" t="e">
        <f t="shared" si="282"/>
        <v>#N/A</v>
      </c>
      <c r="PB185" s="20" t="e">
        <f ca="1">AVERAGE(OFFSET($PA$3,0,0,'Données projet'!$E$28+1,1))-AVERAGE(OFFSET($H$3,0,0,'Données projet'!$E$28+1,1))</f>
        <v>#N/A</v>
      </c>
      <c r="PC185" s="59" t="e">
        <f t="shared" si="325"/>
        <v>#N/A</v>
      </c>
      <c r="PD185" s="15">
        <f>IF(ISNA(VLOOKUP($A185,'Données projet'!$A$538:$I$558,3,0)),0,VLOOKUP($A185,'Données projet'!$A$538:$I$558,3,0))</f>
        <v>0</v>
      </c>
      <c r="PE185" s="15">
        <f>IF(ISNA(VLOOKUP($A185,'Données projet'!$A$538:$I$558,4,0)),0,VLOOKUP($A185,'Données projet'!$A$538:$I$558,4,0))</f>
        <v>0</v>
      </c>
      <c r="PF185" s="16">
        <f>IF(ISNA(VLOOKUP($A185,'Données projet'!$A$538:$I$558,5,0)),0%,VLOOKUP($A185,'Données projet'!$A$538:$I$558,5,0)*VLOOKUP('Données projet'!$B$28,Paramètres!$A$1:$I$89,7,0))</f>
        <v>0</v>
      </c>
      <c r="PG185" s="16">
        <f>IF(ISNA(VLOOKUP($A185,'Données projet'!$A$538:$I$558,6,0)),0%,VLOOKUP($A185,'Données projet'!$A$538:$I$558,6,0)*VLOOKUP('Données projet'!$B$28,Paramètres!$A$1:$I$89,7,0))</f>
        <v>0</v>
      </c>
      <c r="PH185" s="16">
        <f>IF(ISNA(VLOOKUP($A185,'Données projet'!$A$538:$I$558,7,0)),0%,VLOOKUP($A185,'Données projet'!$A$538:$I$558,7,0))</f>
        <v>0</v>
      </c>
      <c r="PI185" s="21" t="e">
        <f>EXP(-LN(2)/35)*PI184+(1-EXP(-LN(2)/35))/(LN(2)/35)*PE185*PF185*VLOOKUP('Données projet'!$B$28,Paramètres!$A$1:$I$89,3,0)*0.475*44/12</f>
        <v>#N/A</v>
      </c>
      <c r="PJ185" s="21" t="e">
        <f>EXP(-LN(2)/25)*PJ184+(1-EXP(-LN(2)/25))/(LN(2)/25)*Calculateur!PE185*Calculateur!PG185*VLOOKUP('Données projet'!$B$28,Paramètres!$A$1:$I$89,3,0)*0.475*44/12</f>
        <v>#N/A</v>
      </c>
      <c r="PK185" s="21" t="e">
        <f>EXP(-LN(2)/2)*PK184+(1-EXP(-LN(2)/2))/(LN(2)/2)*PE185*PH185*VLOOKUP('Données projet'!$B$28,Paramètres!$A$1:$I$89,3,0)*0.475*44/12</f>
        <v>#N/A</v>
      </c>
      <c r="PL185" s="22" t="e">
        <f t="shared" si="283"/>
        <v>#N/A</v>
      </c>
    </row>
    <row r="186" spans="1:428" x14ac:dyDescent="0.35">
      <c r="A186" s="10">
        <f t="shared" si="326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285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225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projet'!$A$45:$I$65,2,0)</f>
        <v>#N/A</v>
      </c>
      <c r="L186" s="12" t="e">
        <f>VLOOKUP(A186,'Données projet'!$A$45:$I$65,9,0)</f>
        <v>#N/A</v>
      </c>
      <c r="M186" s="12">
        <f t="array" ref="M186">INDEX(L:L,MIN(IF(ISNUMBER(L186:L382),ROW(L186:L382),"")))</f>
        <v>0</v>
      </c>
      <c r="N186" s="13">
        <f>IF('Données projet'!$A$46&gt;35,N185+M186-V185,IF(A186&lt;'Données projet'!$A$46,$K$205^A186,IF(A186='Données projet'!$A$46,'Données projet'!$B$46,N185+M186-V185)))</f>
        <v>-1.1368683772161603E-13</v>
      </c>
      <c r="O186" s="13">
        <f>N186*VLOOKUP('Données projet'!$B$9,Paramètres!$A$1:$I$89,3,0)*VLOOKUP('Données projet'!$B$9,Paramètres!$A$1:$I$89,5,0)</f>
        <v>-6.3550942286383367E-14</v>
      </c>
      <c r="P186" s="13" t="e">
        <f t="shared" si="286"/>
        <v>#NUM!</v>
      </c>
      <c r="Q186" s="20" t="e">
        <f t="shared" si="327"/>
        <v>#NUM!</v>
      </c>
      <c r="R186" s="59" t="e">
        <f t="shared" si="224"/>
        <v>#NUM!</v>
      </c>
      <c r="S186" s="59">
        <f ca="1">AVERAGE(OFFSET($R$3,0,0,'Données projet'!$E$9+1,1))-AVERAGE(OFFSET($H$3,0,0,'Données projet'!$E$9+1,1))</f>
        <v>274.57619581652199</v>
      </c>
      <c r="T186" s="59">
        <f t="shared" si="287"/>
        <v>366.15117322598775</v>
      </c>
      <c r="U186" s="15">
        <f>IF(ISNA(VLOOKUP(A186,'Données projet'!$A$45:$I$65,3,0)),0,VLOOKUP(A186,'Données projet'!$A$45:$I$65,3,0))</f>
        <v>0</v>
      </c>
      <c r="V186" s="15">
        <f>IF(ISNA(VLOOKUP(A186,'Données projet'!$A$45:$I$65,4,0)),0,VLOOKUP(A186,'Données projet'!$A$45:$I$65,4,0))</f>
        <v>0</v>
      </c>
      <c r="W186" s="16">
        <f>IF(ISNA(VLOOKUP(A186,'Données projet'!$A$45:$I$65,5,0)),0%,VLOOKUP(A186,'Données projet'!$A$45:$I$65,5,0)*VLOOKUP('Données projet'!$B$9,Paramètres!$A$1:$I$89,7,0))</f>
        <v>0</v>
      </c>
      <c r="X186" s="16">
        <f>IF(ISNA(VLOOKUP(A186,'Données projet'!$A$45:$I$65,6,0)),0%,VLOOKUP(A186,'Données projet'!$A$45:$I$65,6,0)*VLOOKUP('Données projet'!$B$9,Paramètres!$A$1:$I$89,7,0))</f>
        <v>0</v>
      </c>
      <c r="Y186" s="16">
        <f>IF(ISNA(VLOOKUP(A186,'Données projet'!$A$45:$I$65,7,0)),0%,VLOOKUP(A186,'Données projet'!$A$45:$I$65,7,0))</f>
        <v>0</v>
      </c>
      <c r="Z186" s="21">
        <f>EXP(-LN(2)/35)*Z185+(1-EXP(-LN(2)/35))/(LN(2)/35)*V186*W186*VLOOKUP('Données projet'!$B$9,Paramètres!$A$1:$I$89,3,0)*0.475*44/12</f>
        <v>17.966339201429072</v>
      </c>
      <c r="AA186" s="21">
        <f>EXP(-LN(2)/25)*AA185+(1-EXP(-LN(2)/25))/(LN(2)/25)*Calculateur!V186*Calculateur!X186*VLOOKUP('Données projet'!$B$9,Paramètres!$A$1:$I$89,3,0)*0.475*44/12</f>
        <v>1.6565586273251018</v>
      </c>
      <c r="AB186" s="21">
        <f>EXP(-LN(2)/2)*AB185+(1-EXP(-LN(2)/2))/(LN(2)/2)*V186*Y186*VLOOKUP('Données projet'!$B$9,Paramètres!$A$1:$I$89,3,0)*0.475*44/12</f>
        <v>1.8518880008098253E-18</v>
      </c>
      <c r="AC186" s="22">
        <f t="shared" si="328"/>
        <v>19.622897828754173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projet'!$A$71:$I$91,2,0)</f>
        <v>#N/A</v>
      </c>
      <c r="AG186" s="12" t="e">
        <f>VLOOKUP(A186,'Données projet'!$A$71:$I$91,9,0)</f>
        <v>#N/A</v>
      </c>
      <c r="AH186" s="12">
        <f t="array" ref="AH186">INDEX(AG:AG,MIN(IF(ISNUMBER(AG186:AG382),ROW(AG186:AG382),"")))</f>
        <v>0</v>
      </c>
      <c r="AI186" s="13">
        <f>IF('Données projet'!$A$72&gt;35,AI185+AH186-AQ185,IF(A186&lt;'Données projet'!$A$72,$AF$205^A186,IF(A186='Données projet'!$A$72,'Données projet'!$B$72,AI185+AH186-AQ185)))</f>
        <v>5.6843418860808015E-13</v>
      </c>
      <c r="AJ186" s="13">
        <f>AI186*VLOOKUP('Données projet'!$B$10,Paramètres!$A$1:$I$89,3,0)*VLOOKUP('Données projet'!$B$10,Paramètres!$A$1:$I$89,5,0)</f>
        <v>5.1431925385259092E-13</v>
      </c>
      <c r="AK186" s="13">
        <f t="shared" si="329"/>
        <v>6.3855359115685756E-12</v>
      </c>
      <c r="AL186" s="20">
        <f t="shared" si="330"/>
        <v>1.2017247746441865E-11</v>
      </c>
      <c r="AM186" s="59">
        <f t="shared" si="228"/>
        <v>293.33333333334531</v>
      </c>
      <c r="AN186" s="59">
        <f ca="1">AVERAGE(OFFSET($AM$3,0,0,'Données projet'!$E$10+1,1))-AVERAGE(OFFSET($H$3,0,0,'Données projet'!$E$10+1,1))</f>
        <v>270.87836509222456</v>
      </c>
      <c r="AO186" s="59">
        <f t="shared" si="289"/>
        <v>205.24998237949734</v>
      </c>
      <c r="AP186" s="15">
        <f>IF(ISNA(VLOOKUP(A186,'Données projet'!$A$71:$I$91,3,0)),0,VLOOKUP(A186,'Données projet'!$A$71:$I$91,3,0))</f>
        <v>0</v>
      </c>
      <c r="AQ186" s="15">
        <f>IF(ISNA(VLOOKUP(A186,'Données projet'!$A$71:$I$91,4,0)),0,VLOOKUP(A186,'Données projet'!$A$71:$I$91,4,0))</f>
        <v>0</v>
      </c>
      <c r="AR186" s="16">
        <f>IF(ISNA(VLOOKUP(A186,'Données projet'!$A$71:$I$91,5,0)),0%,VLOOKUP(A186,'Données projet'!$A$71:$I$91,5,0)*VLOOKUP('Données projet'!$B$10,Paramètres!$A$1:$I$89,7,0))</f>
        <v>0</v>
      </c>
      <c r="AS186" s="16">
        <f>IF(ISNA(VLOOKUP(A186,'Données projet'!$A$71:$I$91,6,0)),0%,VLOOKUP(A186,'Données projet'!$A$71:$I$91,6,0)*VLOOKUP('Données projet'!$B$10,Paramètres!$A$1:$I$89,7,0))</f>
        <v>0</v>
      </c>
      <c r="AT186" s="16">
        <f>IF(ISNA(VLOOKUP(A186,'Données projet'!$A$71:$I$91,7,0)),0%,VLOOKUP(A186,'Données projet'!$A$71:$I$91,7,0))</f>
        <v>0</v>
      </c>
      <c r="AU186" s="21">
        <f>EXP(-LN(2)/35)*AU185+(1-EXP(-LN(2)/35))/(LN(2)/35)*AQ186*AR186*VLOOKUP('Données projet'!$B$10,Paramètres!$A$1:$I$89,3,0)*0.475*44/12</f>
        <v>61.054198018618102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331"/>
        <v>61.054198018618102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projet'!$A$97:$I$117,2,0)</f>
        <v>#N/A</v>
      </c>
      <c r="BB186" s="12" t="e">
        <f>VLOOKUP(A186,'Données projet'!$A$97:$I$117,9,0)</f>
        <v>#N/A</v>
      </c>
      <c r="BC186" s="12">
        <f t="array" ref="BC186">INDEX(BB:BB,MIN(IF(ISNUMBER(BB186:BB382),ROW(BB186:BB382),"")))</f>
        <v>0</v>
      </c>
      <c r="BD186" s="12">
        <f>IF('Données projet'!$A$98&gt;35,BD185+BC186-BL185,IF(A186&lt;'Données projet'!$A$98,$BA$205^A186,IF(A186='Données projet'!$A$98,'Données projet'!$B$98,BD185+BC186-BL185)))</f>
        <v>-1.1368683772161603E-13</v>
      </c>
      <c r="BE186" s="13">
        <f>BD186*VLOOKUP('Données projet'!$B$11,Paramètres!$A$1:$I$89,3,0)*VLOOKUP('Données projet'!$B$11,Paramètres!$A$1:$I$89,5,0)</f>
        <v>-5.0249582272954292E-14</v>
      </c>
      <c r="BF186" s="13" t="e">
        <f t="shared" si="332"/>
        <v>#NUM!</v>
      </c>
      <c r="BG186" s="20" t="e">
        <f t="shared" si="333"/>
        <v>#NUM!</v>
      </c>
      <c r="BH186" s="59" t="e">
        <f t="shared" si="231"/>
        <v>#NUM!</v>
      </c>
      <c r="BI186" s="59">
        <f ca="1">AVERAGE(OFFSET($BH$3,0,0,'Données projet'!$E$11+1,1))-AVERAGE(OFFSET($H$3,0,0,'Données projet'!$E$11+1,1))</f>
        <v>211.31057120485542</v>
      </c>
      <c r="BJ186" s="59">
        <f t="shared" si="291"/>
        <v>283.33292006714777</v>
      </c>
      <c r="BK186" s="15">
        <f>IF(ISNA(VLOOKUP(A186,'Données projet'!$A$97:$I$117,3,0)),0,VLOOKUP(A186,'Données projet'!$A$97:$I$117,3,0))</f>
        <v>0</v>
      </c>
      <c r="BL186" s="15">
        <f>IF(ISNA(VLOOKUP(A186,'Données projet'!$A$97:$I$117,4,0)),0,VLOOKUP(A186,'Données projet'!$A$97:$I$117,4,0))</f>
        <v>0</v>
      </c>
      <c r="BM186" s="16">
        <f>IF(ISNA(VLOOKUP(A186,'Données projet'!$A$97:$I$117,5,0)),0%,VLOOKUP(A186,'Données projet'!$A$97:$I$117,5,0)*VLOOKUP('Données projet'!$B$11,Paramètres!$A$1:$I$89,7,0))</f>
        <v>0</v>
      </c>
      <c r="BN186" s="16">
        <f>IF(ISNA(VLOOKUP(A186,'Données projet'!$A$97:$I$117,6,0)),0%,VLOOKUP(A186,'Données projet'!$A$97:$I$117,6,0)*VLOOKUP('Données projet'!$B$11,Paramètres!$A$1:$I$89,7,0))</f>
        <v>0</v>
      </c>
      <c r="BO186" s="16">
        <f>IF(ISNA(VLOOKUP(A186,'Données projet'!$A$97:$I$117,7,0)),0%,VLOOKUP(A186,'Données projet'!$A$97:$I$117,7,0))</f>
        <v>0</v>
      </c>
      <c r="BP186" s="21">
        <f>EXP(-LN(2)/35)*BP185+(1-EXP(-LN(2)/35))/(LN(2)/35)*BL186*BM186*VLOOKUP('Données projet'!$B$11,Paramètres!$A$1:$I$89,3,0)*0.475*44/12</f>
        <v>14.205942624385791</v>
      </c>
      <c r="BQ186" s="21">
        <f>EXP(-LN(2)/25)*BQ185+(1-EXP(-LN(2)/25))/(LN(2)/25)*Calculateur!BL186*Calculateur!BN186*VLOOKUP('Données projet'!$B$11,Paramètres!$A$1:$I$89,3,0)*0.475*44/12</f>
        <v>1.3098370541640332</v>
      </c>
      <c r="BR186" s="21">
        <f>EXP(-LN(2)/2)*BR185+(1-EXP(-LN(2)/2))/(LN(2)/2)*BL186*BO186*VLOOKUP('Données projet'!$B$11,Paramètres!$A$1:$I$89,3,0)*0.475*44/12</f>
        <v>1.4642835355240476E-18</v>
      </c>
      <c r="BS186" s="22">
        <f t="shared" si="334"/>
        <v>15.515779678549825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projet'!$A$123:$I$143,2,0)</f>
        <v>#N/A</v>
      </c>
      <c r="BW186" s="12" t="e">
        <f>VLOOKUP(A186,'Données projet'!$A$123:$I$143,9,0)</f>
        <v>#N/A</v>
      </c>
      <c r="BX186" s="12">
        <f t="array" ref="BX186">INDEX(BW:BW,MIN(IF(ISNUMBER(BW186:BW382),ROW(BW186:BW382),"")))</f>
        <v>0</v>
      </c>
      <c r="BY186" s="12">
        <f>IF('Données projet'!$A$124&gt;35,BY185+BX186-CG185,IF(A186&lt;'Données projet'!$A$124,$BV$205^A186,IF(A186='Données projet'!$A$124,'Données projet'!$B$124,BY185+BX186-CG185)))</f>
        <v>0</v>
      </c>
      <c r="BZ186" s="13">
        <f>BY186*VLOOKUP('Données projet'!$B$12,Paramètres!$A$1:$I$89,3,0)*VLOOKUP('Données projet'!$B$12,Paramètres!$A$1:$I$89,5,0)</f>
        <v>0</v>
      </c>
      <c r="CA186" s="13" t="e">
        <f t="shared" si="335"/>
        <v>#NUM!</v>
      </c>
      <c r="CB186" s="20" t="e">
        <f t="shared" si="336"/>
        <v>#NUM!</v>
      </c>
      <c r="CC186" s="59" t="e">
        <f t="shared" si="234"/>
        <v>#NUM!</v>
      </c>
      <c r="CD186" s="59">
        <f ca="1">AVERAGE(OFFSET($CC$3,0,0,'Données projet'!$E$12+1,1))-AVERAGE(OFFSET($H$3,0,0,'Données projet'!$E$12+1,1))</f>
        <v>322.93502595881938</v>
      </c>
      <c r="CE186" s="59">
        <f t="shared" si="293"/>
        <v>302.67072119588164</v>
      </c>
      <c r="CF186" s="15">
        <f>IF(ISNA(VLOOKUP(A186,'Données projet'!$A$123:$I$143,3,0)),0,VLOOKUP(A186,'Données projet'!$A$123:$I$143,3,0))</f>
        <v>0</v>
      </c>
      <c r="CG186" s="15">
        <f>IF(ISNA(VLOOKUP(A186,'Données projet'!$A$123:$I$143,4,0)),0,VLOOKUP(A186,'Données projet'!$A$123:$I$143,4,0))</f>
        <v>0</v>
      </c>
      <c r="CH186" s="16">
        <f>IF(ISNA(VLOOKUP(A186,'Données projet'!$A$123:$I$143,5,0)),0%,VLOOKUP(A186,'Données projet'!$A$123:$I$143,5,0)*VLOOKUP('Données projet'!$B$12,Paramètres!$A$1:$I$89,7,0))</f>
        <v>0</v>
      </c>
      <c r="CI186" s="16">
        <f>IF(ISNA(VLOOKUP(A186,'Données projet'!$A$123:$I$143,6,0)),0%,VLOOKUP(A186,'Données projet'!$A$123:$I$143,6,0)*VLOOKUP('Données projet'!$B$12,Paramètres!$A$1:$I$89,7,0))</f>
        <v>0</v>
      </c>
      <c r="CJ186" s="16">
        <f>IF(ISNA(VLOOKUP(A186,'Données projet'!$A$123:$I$143,7,0)),0%,VLOOKUP(A186,'Données projet'!$A$123:$I$143,7,0))</f>
        <v>0</v>
      </c>
      <c r="CK186" s="21">
        <f>EXP(-LN(2)/35)*CK185+(1-EXP(-LN(2)/35))/(LN(2)/35)*CG186*CH186*VLOOKUP('Données projet'!$B$12,Paramètres!$A$1:$I$89,3,0)*0.475*44/12</f>
        <v>22.633499242400386</v>
      </c>
      <c r="CL186" s="21">
        <f>EXP(-LN(2)/25)*CL185+(1-EXP(-LN(2)/25))/(LN(2)/25)*Calculateur!CG186*Calculateur!CI186*VLOOKUP('Données projet'!$B$12,Paramètres!$A$1:$I$89,3,0)*0.475*44/12</f>
        <v>4.1922710757855794</v>
      </c>
      <c r="CM186" s="21">
        <f>EXP(-LN(2)/2)*CM185+(1-EXP(-LN(2)/2))/(LN(2)/2)*CG186*CJ186*VLOOKUP('Données projet'!$B$12,Paramètres!$A$1:$I$89,3,0)*0.475*44/12</f>
        <v>0</v>
      </c>
      <c r="CN186" s="22">
        <f t="shared" si="337"/>
        <v>26.825770318185967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projet'!$A$149:$I$169,2,0)</f>
        <v>#N/A</v>
      </c>
      <c r="CR186" s="12" t="e">
        <f>VLOOKUP(A186,'Données projet'!$A$149:$I$169,9,0)</f>
        <v>#N/A</v>
      </c>
      <c r="CS186" s="12">
        <f t="array" ref="CS186">INDEX(CR:CR,MIN(IF(ISNUMBER(CR186:CR382),ROW(CR186:CR382),"")))</f>
        <v>0</v>
      </c>
      <c r="CT186" s="12">
        <f>IF('Données projet'!$A$150&gt;35,CT185+CS186-DB185,IF(A186&lt;'Données projet'!$A$150,$CQ$205^A186,IF(A186='Données projet'!$A$150,'Données projet'!$B$150,CT185+CS186-DB185)))</f>
        <v>-4.5474735088646412E-13</v>
      </c>
      <c r="CU186" s="17">
        <f>CT186*VLOOKUP('Données projet'!$B$13,Paramètres!$A$1:$I$89,3,0)*VLOOKUP('Données projet'!$B$13,Paramètres!$A$1:$I$89,5,0)</f>
        <v>-4.6111381379887462E-13</v>
      </c>
      <c r="CV186" s="13" t="e">
        <f t="shared" si="338"/>
        <v>#NUM!</v>
      </c>
      <c r="CW186" s="20" t="e">
        <f t="shared" si="339"/>
        <v>#NUM!</v>
      </c>
      <c r="CX186" s="59" t="e">
        <f t="shared" si="237"/>
        <v>#NUM!</v>
      </c>
      <c r="CY186" s="59">
        <f ca="1">AVERAGE(OFFSET($CX$3,0,0,'Données projet'!$E$13+1,1))-AVERAGE(OFFSET($H$3,0,0,'Données projet'!$E$13+1,1))</f>
        <v>250.31277422753283</v>
      </c>
      <c r="CZ186" s="59">
        <f t="shared" si="295"/>
        <v>159.20429420478047</v>
      </c>
      <c r="DA186" s="15">
        <f>IF(ISNA(VLOOKUP(A186,'Données projet'!$A$149:$I$169,3,0)),0,VLOOKUP(A186,'Données projet'!$A$149:$I$169,3,0))</f>
        <v>0</v>
      </c>
      <c r="DB186" s="15">
        <f>IF(ISNA(VLOOKUP(A186,'Données projet'!$A$149:$I$169,4,0)),0,VLOOKUP(A186,'Données projet'!$A$149:$I$169,4,0))</f>
        <v>0</v>
      </c>
      <c r="DC186" s="16">
        <f>IF(ISNA(VLOOKUP(A186,'Données projet'!$A$149:$I$169,5,0)),0%,VLOOKUP(A186,'Données projet'!$A$149:$I$169,5,0)*VLOOKUP('Données projet'!$B$13,Paramètres!$A$1:$I$89,7,0))</f>
        <v>0</v>
      </c>
      <c r="DD186" s="16">
        <f>IF(ISNA(VLOOKUP(A186,'Données projet'!$A$149:$I$169,6,0)),0%,VLOOKUP(A186,'Données projet'!$A$149:$I$169,6,0)*VLOOKUP('Données projet'!$B$13,Paramètres!$A$1:$I$89,7,0))</f>
        <v>0</v>
      </c>
      <c r="DE186" s="16">
        <f>IF(ISNA(VLOOKUP(A186,'Données projet'!$A$149:$I$169,7,0)),0%,VLOOKUP(A186,'Données projet'!$A$149:$I$169,7,0))</f>
        <v>0</v>
      </c>
      <c r="DF186" s="21">
        <f>EXP(-LN(2)/35)*DF185+(1-EXP(-LN(2)/35))/(LN(2)/35)*DB186*DC186*VLOOKUP('Données projet'!$B$13,Paramètres!$A$1:$I$89,3,0)*0.475*44/12</f>
        <v>103.03443195121157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340"/>
        <v>103.03443195121157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projet'!$A$175:$I$195,2,0)</f>
        <v>#N/A</v>
      </c>
      <c r="DM186" s="12" t="e">
        <f>VLOOKUP(A186,'Données projet'!$A$175:$I$195,9,0)</f>
        <v>#N/A</v>
      </c>
      <c r="DN186" s="12">
        <f t="array" ref="DN186">INDEX(DM:DM,MIN(IF(ISNUMBER(DM186:DM382),ROW(DM186:DM382),"")))</f>
        <v>0</v>
      </c>
      <c r="DO186" s="12">
        <f>IF('Données projet'!$A$176&gt;35,DO185+DN186-DW185,IF(A186&lt;'Données projet'!$A$176,$DL$205^A186,IF(A186='Données projet'!$A$176,'Données projet'!$B$176,DO185+DN186-DW185)))</f>
        <v>-2.8421709430404007E-13</v>
      </c>
      <c r="DP186" s="17">
        <f>DO186*VLOOKUP('Données projet'!$B$14,Paramètres!$A$1:$I$89,3,0)*VLOOKUP('Données projet'!$B$14,Paramètres!$A$1:$I$89,5,0)</f>
        <v>-2.0838797354372215E-13</v>
      </c>
      <c r="DQ186" s="13" t="e">
        <f t="shared" si="341"/>
        <v>#NUM!</v>
      </c>
      <c r="DR186" s="20" t="e">
        <f t="shared" si="342"/>
        <v>#NUM!</v>
      </c>
      <c r="DS186" s="59" t="e">
        <f t="shared" si="240"/>
        <v>#NUM!</v>
      </c>
      <c r="DT186" s="59">
        <f ca="1">AVERAGE(OFFSET($DS$3,0,0,'Données projet'!$E$14+1,1))-AVERAGE(OFFSET($H$3,0,0,'Données projet'!$E$14+1,1))</f>
        <v>296.91321813251051</v>
      </c>
      <c r="DU186" s="59">
        <f t="shared" si="297"/>
        <v>291.0718079639509</v>
      </c>
      <c r="DV186" s="15">
        <f>IF(ISNA(VLOOKUP(A186,'Données projet'!$A$175:$I$195,3,0)),0,VLOOKUP(A186,'Données projet'!$A$175:$I$195,3,0))</f>
        <v>0</v>
      </c>
      <c r="DW186" s="15">
        <f>IF(ISNA(VLOOKUP(A186,'Données projet'!$A$175:$I$195,4,0)),0,VLOOKUP(A186,'Données projet'!$A$175:$I$195,4,0))</f>
        <v>0</v>
      </c>
      <c r="DX186" s="16">
        <f>IF(ISNA(VLOOKUP(A186,'Données projet'!$A$175:$I$195,5,0)),0%,VLOOKUP(A186,'Données projet'!$A$175:$I$195,5,0)*VLOOKUP('Données projet'!$B$14,Paramètres!$A$1:$I$89,7,0))</f>
        <v>0</v>
      </c>
      <c r="DY186" s="16">
        <f>IF(ISNA(VLOOKUP(A186,'Données projet'!$A$175:$I$195,6,0)),0%,VLOOKUP(A186,'Données projet'!$A$175:$I$195,6,0)*VLOOKUP('Données projet'!$B$14,Paramètres!$A$1:$I$89,7,0))</f>
        <v>0</v>
      </c>
      <c r="DZ186" s="16">
        <f>IF(ISNA(VLOOKUP(A186,'Données projet'!$A$175:$I$195,7,0)),0%,VLOOKUP(A186,'Données projet'!$A$175:$I$195,7,0))</f>
        <v>0</v>
      </c>
      <c r="EA186" s="21">
        <f>EXP(-LN(2)/35)*EA185+(1-EXP(-LN(2)/35))/(LN(2)/35)*DW186*DX186*VLOOKUP('Données projet'!$B$14,Paramètres!$A$1:$I$89,3,0)*0.475*44/12</f>
        <v>22.558332419383529</v>
      </c>
      <c r="EB186" s="21">
        <f>EXP(-LN(2)/25)*EB185+(1-EXP(-LN(2)/25))/(LN(2)/25)*Calculateur!DW186*Calculateur!DY186*VLOOKUP('Données projet'!$B$14,Paramètres!$A$1:$I$89,3,0)*0.475*44/12</f>
        <v>0.30796803538900575</v>
      </c>
      <c r="EC186" s="21">
        <f>EXP(-LN(2)/2)*EC185+(1-EXP(-LN(2)/2))/(LN(2)/2)*DW186*DZ186*VLOOKUP('Données projet'!$B$14,Paramètres!$A$1:$I$89,3,0)*0.475*44/12</f>
        <v>0</v>
      </c>
      <c r="ED186" s="22">
        <f t="shared" si="343"/>
        <v>22.866300454772535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projet'!$A$201:$I$221,2,0)</f>
        <v>#N/A</v>
      </c>
      <c r="EH186" s="12" t="e">
        <f>VLOOKUP(A186,'Données projet'!$A$201:$I$221,9,0)</f>
        <v>#N/A</v>
      </c>
      <c r="EI186" s="12">
        <f t="array" ref="EI186">INDEX(EH:EH,MIN(IF(ISNUMBER(EH186:EH382),ROW(EH186:EH382),"")))</f>
        <v>0</v>
      </c>
      <c r="EJ186" s="12">
        <f>IF('Données projet'!$A$202&gt;35,EJ185+EI186-ER185,IF(A186&lt;'Données projet'!$A$202,$EG$205^A186,IF(A186='Données projet'!$A$202,'Données projet'!$B$202,EJ185+EI186-ER185)))</f>
        <v>5.1159076974727213E-13</v>
      </c>
      <c r="EK186" s="17">
        <f>EJ186*VLOOKUP('Données projet'!$B$15,Paramètres!$A$1:$I$89,3,0)*VLOOKUP('Données projet'!$B$15,Paramètres!$A$1:$I$89,5,0)</f>
        <v>2.3942448024172334E-13</v>
      </c>
      <c r="EL186" s="13">
        <f t="shared" si="344"/>
        <v>3.2492669905861755E-12</v>
      </c>
      <c r="EM186" s="20">
        <f t="shared" si="345"/>
        <v>6.0761376450252565E-12</v>
      </c>
      <c r="EN186" s="59">
        <f t="shared" si="243"/>
        <v>293.3333333333394</v>
      </c>
      <c r="EO186" s="59">
        <f ca="1">AVERAGE(OFFSET($EN$3,0,0,'Données projet'!$E$15+1,1))-AVERAGE(OFFSET($H$3,0,0,'Données projet'!$E$15+1,1))</f>
        <v>147.64256291235483</v>
      </c>
      <c r="EP186" s="59">
        <f t="shared" si="299"/>
        <v>70.859031694091868</v>
      </c>
      <c r="EQ186" s="15">
        <f>IF(ISNA(VLOOKUP(A186,'Données projet'!$A$201:$I$221,3,0)),0,VLOOKUP(A186,'Données projet'!$A$201:$I$221,3,0))</f>
        <v>0</v>
      </c>
      <c r="ER186" s="15">
        <f>IF(ISNA(VLOOKUP(A186,'Données projet'!$A$201:$I$221,4,0)),0,VLOOKUP(A186,'Données projet'!$A$201:$I$221,4,0))</f>
        <v>0</v>
      </c>
      <c r="ES186" s="16">
        <f>IF(ISNA(VLOOKUP(A186,'Données projet'!$A$201:$I$221,5,0)),0%,VLOOKUP(A186,'Données projet'!$A$201:$I$221,5,0)*VLOOKUP('Données projet'!$B$15,Paramètres!$A$1:$I$89,7,0))</f>
        <v>0</v>
      </c>
      <c r="ET186" s="16">
        <f>IF(ISNA(VLOOKUP(A186,'Données projet'!$A$201:$I$221,6,0)),0%,VLOOKUP(A186,'Données projet'!$A$201:$I$221,6,0)*VLOOKUP('Données projet'!$B$15,Paramètres!$A$1:$I$89,7,0))</f>
        <v>0</v>
      </c>
      <c r="EU186" s="16">
        <f>IF(ISNA(VLOOKUP(A186,'Données projet'!$A$201:$I$221,7,0)),0%,VLOOKUP(A186,'Données projet'!$A$201:$I$221,7,0))</f>
        <v>0</v>
      </c>
      <c r="EV186" s="21">
        <f>EXP(-LN(2)/35)*EV185+(1-EXP(-LN(2)/35))/(LN(2)/35)*ER186*ES186*VLOOKUP('Données projet'!$B$15,Paramètres!$A$1:$I$89,3,0)*0.475*44/12</f>
        <v>30.882712665507903</v>
      </c>
      <c r="EW186" s="21">
        <f>EXP(-LN(2)/25)*EW185+(1-EXP(-LN(2)/25))/(LN(2)/25)*Calculateur!ER186*Calculateur!ET186*VLOOKUP('Données projet'!$B$15,Paramètres!$A$1:$I$89,3,0)*0.475*44/12</f>
        <v>4.2727462184708465</v>
      </c>
      <c r="EX186" s="21">
        <f>EXP(-LN(2)/2)*EX185+(1-EXP(-LN(2)/2))/(LN(2)/2)*ER186*EU186*VLOOKUP('Données projet'!$B$15,Paramètres!$A$1:$I$89,3,0)*0.475*44/12</f>
        <v>1.3350428580243431E-10</v>
      </c>
      <c r="EY186" s="22">
        <f t="shared" si="346"/>
        <v>35.155458884112257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projet'!$A$227:$I$247,2,0)</f>
        <v>#N/A</v>
      </c>
      <c r="FC186" s="12" t="e">
        <f>VLOOKUP(A186,'Données projet'!$A$227:$I$247,9,0)</f>
        <v>#N/A</v>
      </c>
      <c r="FD186" s="12">
        <f t="array" ref="FD186">INDEX(FC:FC,MIN(IF(ISNUMBER(FC186:FC382),ROW(FC186:FC382),"")))</f>
        <v>0</v>
      </c>
      <c r="FE186" s="12">
        <f>IF('Données projet'!$A$228&gt;35,FE185+FD186-FM185,IF(A186&lt;'Données projet'!$A$228,$FB$205^A186,IF(A186='Données projet'!$A$228,'Données projet'!$B$228,FE185+FD186-FM185)))</f>
        <v>8.5265128291212022E-14</v>
      </c>
      <c r="FF186" s="17">
        <f>FE186*VLOOKUP('Données projet'!$B$16,Paramètres!$A$1:$I$89,3,0)*VLOOKUP('Données projet'!$B$16,Paramètres!$A$1:$I$89,5,0)</f>
        <v>8.9119112089974823E-14</v>
      </c>
      <c r="FG186" s="13">
        <f t="shared" si="347"/>
        <v>1.3568952080113142E-12</v>
      </c>
      <c r="FH186" s="20">
        <f t="shared" si="348"/>
        <v>2.5184749408430782E-12</v>
      </c>
      <c r="FI186" s="59">
        <f t="shared" si="246"/>
        <v>293.33333333333582</v>
      </c>
      <c r="FJ186" s="59">
        <f ca="1">AVERAGE(OFFSET($FI$3,0,0,'Données projet'!$E$16+1,1))-AVERAGE(OFFSET($H$3,0,0,'Données projet'!$E$16+1,1))</f>
        <v>259.03906550253788</v>
      </c>
      <c r="FK186" s="59">
        <f t="shared" si="301"/>
        <v>235.54542903570831</v>
      </c>
      <c r="FL186" s="15">
        <f>IF(ISNA(VLOOKUP(A186,'Données projet'!$A$227:$I$247,3,0)),0,VLOOKUP(A186,'Données projet'!$A$227:$I$247,3,0))</f>
        <v>0</v>
      </c>
      <c r="FM186" s="15">
        <f>IF(ISNA(VLOOKUP(A186,'Données projet'!$A$227:$I$247,4,0)),0,VLOOKUP(A186,'Données projet'!$A$227:$I$247,4,0))</f>
        <v>0</v>
      </c>
      <c r="FN186" s="16">
        <f>IF(ISNA(VLOOKUP(A186,'Données projet'!$A$227:$I$247,5,0)),0%,VLOOKUP(A186,'Données projet'!$A$227:$I$247,5,0)*VLOOKUP('Données projet'!$B$16,Paramètres!$A$1:$I$89,7,0))</f>
        <v>0</v>
      </c>
      <c r="FO186" s="16">
        <f>IF(ISNA(VLOOKUP(A186,'Données projet'!$A$227:$I$247,6,0)),0%,VLOOKUP(A186,'Données projet'!$A$227:$I$247,6,0)*VLOOKUP('Données projet'!$B$16,Paramètres!$A$1:$I$89,7,0))</f>
        <v>0</v>
      </c>
      <c r="FP186" s="16">
        <f>IF(ISNA(VLOOKUP(A186,'Données projet'!$A$227:$I$247,7,0)),0%,VLOOKUP(A186,'Données projet'!$A$227:$I$247,7,0))</f>
        <v>0</v>
      </c>
      <c r="FQ186" s="21">
        <f>EXP(-LN(2)/35)*FQ185+(1-EXP(-LN(2)/35))/(LN(2)/35)*FM186*FN186*VLOOKUP('Données projet'!$B$16,Paramètres!$A$1:$I$89,3,0)*0.475*44/12</f>
        <v>13.630790074115399</v>
      </c>
      <c r="FR186" s="21">
        <f>EXP(-LN(2)/25)*FR185+(1-EXP(-LN(2)/25))/(LN(2)/25)*Calculateur!FM186*Calculateur!FO186*VLOOKUP('Données projet'!$B$16,Paramètres!$A$1:$I$89,3,0)*0.475*44/12</f>
        <v>5.8779086889302343</v>
      </c>
      <c r="FS186" s="21">
        <f>EXP(-LN(2)/2)*FS185+(1-EXP(-LN(2)/2))/(LN(2)/2)*FM186*FP186*VLOOKUP('Données projet'!$B$16,Paramètres!$A$1:$I$89,3,0)*0.475*44/12</f>
        <v>0</v>
      </c>
      <c r="FT186" s="22">
        <f t="shared" si="349"/>
        <v>19.508698763045633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projet'!$A$253:$I$273,2,0)</f>
        <v>#N/A</v>
      </c>
      <c r="FX186" s="12" t="e">
        <f>VLOOKUP(A186,'Données projet'!$A$253:$I$273,9,0)</f>
        <v>#N/A</v>
      </c>
      <c r="FY186" s="12">
        <f t="array" ref="FY186">INDEX(FX:FX,MIN(IF(ISNUMBER(FX186:FX382),ROW(FX186:FX382),"")))</f>
        <v>0</v>
      </c>
      <c r="FZ186" s="12">
        <f>IF('Données projet'!$A$254&gt;35,FZ185+FY186-GH185,IF(A186&lt;'Données projet'!$A$254,$FW$205^A186,IF(A186='Données projet'!$A$254,'Données projet'!$B$254,FZ185+FY186-GH185)))</f>
        <v>-1.7053025658242404E-13</v>
      </c>
      <c r="GA186" s="17">
        <f>FZ186*VLOOKUP('Données projet'!$B$17,Paramètres!$A$1:$I$89,3,0)*VLOOKUP('Données projet'!$B$17,Paramètres!$A$1:$I$89,5,0)</f>
        <v>-1.4897523215040567E-13</v>
      </c>
      <c r="GB186" s="13" t="e">
        <f t="shared" si="350"/>
        <v>#NUM!</v>
      </c>
      <c r="GC186" s="20" t="e">
        <f t="shared" si="351"/>
        <v>#NUM!</v>
      </c>
      <c r="GD186" s="59" t="e">
        <f t="shared" si="249"/>
        <v>#NUM!</v>
      </c>
      <c r="GE186" s="59">
        <f ca="1">AVERAGE(OFFSET($GD$3,0,0,'Données projet'!$E$17+1,1))-AVERAGE(OFFSET($H$3,0,0,'Données projet'!$E$17+1,1))</f>
        <v>245.1983232777614</v>
      </c>
      <c r="GF186" s="59">
        <f t="shared" si="303"/>
        <v>242.34010522344573</v>
      </c>
      <c r="GG186" s="15">
        <f>IF(ISNA(VLOOKUP(A186,'Données projet'!$A$253:$I$273,3,0)),0,VLOOKUP(A186,'Données projet'!$A$253:$I$273,3,0))</f>
        <v>0</v>
      </c>
      <c r="GH186" s="15">
        <f>IF(ISNA(VLOOKUP(A186,'Données projet'!$A$253:$I$273,4,0)),0,VLOOKUP(A186,'Données projet'!$A$253:$I$273,4,0))</f>
        <v>0</v>
      </c>
      <c r="GI186" s="16">
        <f>IF(ISNA(VLOOKUP(A186,'Données projet'!$A$253:$I$273,5,0)),0%,VLOOKUP(A186,'Données projet'!$A$253:$I$273,5,0)*VLOOKUP('Données projet'!$B$17,Paramètres!$A$1:$I$89,7,0))</f>
        <v>0</v>
      </c>
      <c r="GJ186" s="16">
        <f>IF(ISNA(VLOOKUP(A186,'Données projet'!$A$253:$I$273,6,0)),0%,VLOOKUP(A186,'Données projet'!$A$253:$I$273,6,0)*VLOOKUP('Données projet'!$B$17,Paramètres!$A$1:$I$89,7,0))</f>
        <v>0</v>
      </c>
      <c r="GK186" s="16">
        <f>IF(ISNA(VLOOKUP(A186,'Données projet'!$A$253:$I$273,7,0)),0%,VLOOKUP(A186,'Données projet'!$A$253:$I$273,7,0))</f>
        <v>0</v>
      </c>
      <c r="GL186" s="21">
        <f>EXP(-LN(2)/35)*GL185+(1-EXP(-LN(2)/35))/(LN(2)/35)*GH186*GI186*VLOOKUP('Données projet'!$B$17,Paramètres!$A$1:$I$89,3,0)*0.475*44/12</f>
        <v>16.02486390782839</v>
      </c>
      <c r="GM186" s="21">
        <f>EXP(-LN(2)/25)*GM185+(1-EXP(-LN(2)/25))/(LN(2)/25)*Calculateur!GH186*Calculateur!GJ186*VLOOKUP('Données projet'!$B$17,Paramètres!$A$1:$I$89,3,0)*0.475*44/12</f>
        <v>1.2524391461516697</v>
      </c>
      <c r="GN186" s="21">
        <f>EXP(-LN(2)/2)*GN185+(1-EXP(-LN(2)/2))/(LN(2)/2)*GH186*GK186*VLOOKUP('Données projet'!$B$17,Paramètres!$A$1:$I$89,3,0)*0.475*44/12</f>
        <v>0</v>
      </c>
      <c r="GO186" s="21">
        <f t="shared" si="352"/>
        <v>17.277303053980059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projet'!$A$279:$I$299,2,0)</f>
        <v>#N/A</v>
      </c>
      <c r="GS186" s="12" t="e">
        <f>VLOOKUP(A186,'Données projet'!$A$279:$I$299,9,0)</f>
        <v>#N/A</v>
      </c>
      <c r="GT186" s="12">
        <f t="array" ref="GT186">INDEX(GS:GS,MIN(IF(ISNUMBER(GS186:GS382),ROW(GS186:GS382),"")))</f>
        <v>0</v>
      </c>
      <c r="GU186" s="12">
        <f>IF('Données projet'!$A$280&gt;35,GU185+GT186-HC185,IF(A186&lt;'Données projet'!$A$280,$GR$205^A186,IF(A186='Données projet'!$A$280,'Données projet'!$B$280,GU185+GT186-HC185)))</f>
        <v>-1.1368683772161603E-13</v>
      </c>
      <c r="GV186" s="17">
        <f>GU186*VLOOKUP('Données projet'!$B$18,Paramètres!$A$1:$I$89,3,0)*VLOOKUP('Données projet'!$B$18,Paramètres!$A$1:$I$89,5,0)</f>
        <v>-4.5815795601811263E-14</v>
      </c>
      <c r="GW186" s="13" t="e">
        <f t="shared" si="353"/>
        <v>#NUM!</v>
      </c>
      <c r="GX186" s="20" t="e">
        <f t="shared" si="354"/>
        <v>#NUM!</v>
      </c>
      <c r="GY186" s="59" t="e">
        <f t="shared" si="252"/>
        <v>#NUM!</v>
      </c>
      <c r="GZ186" s="59">
        <f ca="1">AVERAGE(OFFSET($GY$3,0,0,'Données projet'!$E$18+1,1))-AVERAGE(OFFSET($H$3,0,0,'Données projet'!$E$18+1,1))</f>
        <v>324.36162935850876</v>
      </c>
      <c r="HA186" s="59">
        <f t="shared" si="305"/>
        <v>265.23571072429735</v>
      </c>
      <c r="HB186" s="15">
        <f>IF(ISNA(VLOOKUP(A186,'Données projet'!$A$279:$I$299,3,0)),0,VLOOKUP(A186,'Données projet'!$A$279:$I$299,3,0))</f>
        <v>0</v>
      </c>
      <c r="HC186" s="15">
        <f>IF(ISNA(VLOOKUP(A186,'Données projet'!$A$279:$I$299,4,0)),0,VLOOKUP(A186,'Données projet'!$A$279:$I$299,4,0))</f>
        <v>0</v>
      </c>
      <c r="HD186" s="16">
        <f>IF(ISNA(VLOOKUP(A186,'Données projet'!$A$279:$I$299,5,0)),0%,VLOOKUP(A186,'Données projet'!$A$279:$I$299,5,0)*VLOOKUP('Données projet'!$B$18,Paramètres!$A$1:$I$89,7,0))</f>
        <v>0</v>
      </c>
      <c r="HE186" s="16">
        <f>IF(ISNA(VLOOKUP(A186,'Données projet'!$A$279:$I$299,6,0)),0%,VLOOKUP(A186,'Données projet'!$A$279:$I$299,6,0)*VLOOKUP('Données projet'!$B$18,Paramètres!$A$1:$I$89,7,0))</f>
        <v>0</v>
      </c>
      <c r="HF186" s="16">
        <f>IF(ISNA(VLOOKUP($A186,'Données projet'!$A$279:$I$299,7,0)),0%,VLOOKUP($A186,'Données projet'!$A$279:$I$299,7,0))</f>
        <v>0</v>
      </c>
      <c r="HG186" s="21">
        <f>EXP(-LN(2)/35)*HG185+(1-EXP(-LN(2)/35))/(LN(2)/35)*HC186*HD186*VLOOKUP('Données projet'!$B$18,Paramètres!$A$1:$I$89,3,0)*0.475*44/12</f>
        <v>30.70782844825494</v>
      </c>
      <c r="HH186" s="21">
        <f>EXP(-LN(2)/25)*HH185+(1-EXP(-LN(2)/25))/(LN(2)/25)*Calculateur!HC186*Calculateur!HE186*VLOOKUP('Données projet'!$B$18,Paramètres!$A$1:$I$89,3,0)*0.475*44/12</f>
        <v>1.3929363493693028</v>
      </c>
      <c r="HI186" s="21">
        <f>EXP(-LN(2)/2)*HI185+(1-EXP(-LN(2)/2))/(LN(2)/2)*HC186*HF186*VLOOKUP('Données projet'!$B$18,Paramètres!$A$1:$I$89,3,0)*0.475*44/12</f>
        <v>2.6839819014972331E-15</v>
      </c>
      <c r="HJ186" s="22">
        <f t="shared" si="355"/>
        <v>32.100764797624244</v>
      </c>
      <c r="HK186" s="74">
        <f>('Scénario référence'!$F$8+'Scénario référence'!$F$9+'Scénario référence'!$B$17+'Scénario référence'!$B$9+'Scénario référence'!$B$10)*70+IF((45+25*(1-EXP(-0.0175*$A186)))&lt;70,'Scénario référence'!$B$16*(45+25*(1-EXP(-0.0175*$A186))),70*'Scénario référence'!$B$16)+IF((32+38*(1-EXP(-0.0175*$A186)))&lt;70,'Scénario référence'!$B$18*(32+38*(1-EXP(-0.0175*$A186))),70*'Scénario référence'!$B$18)</f>
        <v>70</v>
      </c>
      <c r="HL186" s="12">
        <f>IF($A186&gt;30,10,('Scénario référence'!$B$16+'Scénario référence'!$B$17+'Scénario référence'!$B$18+'Scénario référence'!$B$9+'Scénario référence'!$B$10)*$A186*10/30+('Scénario référence'!$F$8+'Scénario référence'!$F$9)*10)</f>
        <v>10</v>
      </c>
      <c r="HM186" s="12" t="e">
        <f>VLOOKUP($A186,'Données projet'!$A$304:$I$324,2,0)</f>
        <v>#N/A</v>
      </c>
      <c r="HN186" s="12" t="e">
        <f>VLOOKUP($A186,'Données projet'!$A$304:$I$324,9,0)</f>
        <v>#N/A</v>
      </c>
      <c r="HO186" s="12">
        <f t="array" ref="HO186">INDEX(HN:HN,MIN(IF(ISNUMBER(HN186:HN382),ROW(HN186:HN382),"")))</f>
        <v>0</v>
      </c>
      <c r="HP186" s="12">
        <f>IF('Données projet'!$A$304&gt;35,HP185+HO186-HX185,IF($A186&lt;'Données projet'!$A$304,$CQ$205^$A186,IF($A186='Données projet'!$A$304,'Données projet'!$B$304,HP185+HO186-HX185)))</f>
        <v>0</v>
      </c>
      <c r="HQ186" s="17">
        <f>HP186*VLOOKUP('Données projet'!$B$19,Paramètres!$A$1:$I$89,3,0)*VLOOKUP('Données projet'!$B$19,Paramètres!$A$1:$I$89,5,0)</f>
        <v>0</v>
      </c>
      <c r="HR186" s="13" t="e">
        <f t="shared" si="306"/>
        <v>#NUM!</v>
      </c>
      <c r="HS186" s="14" t="e">
        <f t="shared" si="254"/>
        <v>#NUM!</v>
      </c>
      <c r="HT186" s="59" t="e">
        <f t="shared" si="255"/>
        <v>#NUM!</v>
      </c>
      <c r="HU186" s="59">
        <f ca="1">AVERAGE(OFFSET(HT$3,0,0,'Données projet'!$E$19+1,1))-AVERAGE(OFFSET($H$3,0,0,'Données projet'!$E$19+1,1))</f>
        <v>91.60721429656013</v>
      </c>
      <c r="HV186" s="59">
        <f t="shared" si="307"/>
        <v>258.94957804210856</v>
      </c>
      <c r="HW186" s="15">
        <f>IF(ISNA(VLOOKUP($A186,'Données projet'!$A$304:$I$324,3,0)),0,VLOOKUP($A186,'Données projet'!$A$304:$I$324,3,0))</f>
        <v>0</v>
      </c>
      <c r="HX186" s="15">
        <f>IF(ISNA(VLOOKUP($A186,'Données projet'!$A$304:$I$324,4,0)),0,VLOOKUP($A186,'Données projet'!$A$304:$I$324,4,0))</f>
        <v>0</v>
      </c>
      <c r="HY186" s="16">
        <f>IF(ISNA(VLOOKUP($A186,'Données projet'!$A$304:$I$324,5,0)),0%,VLOOKUP($A186,'Données projet'!$A$304:$I$324,5,0)*VLOOKUP('Données projet'!$B$19,Paramètres!$A$1:$I$89,7,0))</f>
        <v>0</v>
      </c>
      <c r="HZ186" s="16">
        <f>IF(ISNA(VLOOKUP($A186,'Données projet'!$A$304:$I$324,6,0)),0%,VLOOKUP($A186,'Données projet'!$A$304:$I$324,6,0)*VLOOKUP('Données projet'!$B$19,Paramètres!$A$1:$I$89,7,0))</f>
        <v>0</v>
      </c>
      <c r="IA186" s="16">
        <f>IF(ISNA(VLOOKUP($A186,'Données projet'!$A$304:$I$324,7,0)),0%,VLOOKUP($A186,'Données projet'!$A$304:$I$324,7,0))</f>
        <v>0</v>
      </c>
      <c r="IB186" s="21">
        <f>EXP(-LN(2)/35)*IB185+(1-EXP(-LN(2)/35))/(LN(2)/35)*HX186*HY186*VLOOKUP('Données projet'!$B$19,Paramètres!$A$1:$I$89,3,0)*0.475*44/12</f>
        <v>2.383437690766276</v>
      </c>
      <c r="IC186" s="21">
        <f>EXP(-LN(2)/25)*IC185+(1-EXP(-LN(2)/25))/(LN(2)/25)*Calculateur!HX186*Calculateur!HZ186*VLOOKUP('Données projet'!$B$19,Paramètres!$A$1:$I$89,3,0)*0.475*44/12</f>
        <v>0.13986459306309545</v>
      </c>
      <c r="ID186" s="21">
        <f>EXP(-LN(2)/2)*ID185+(1-EXP(-LN(2)/2))/(LN(2)/2)*HX186*IA186*VLOOKUP('Données projet'!$B$19,Paramètres!$A$1:$I$89,3,0)*0.475*44/12</f>
        <v>5.3610270894097454E-24</v>
      </c>
      <c r="IE186" s="22">
        <f t="shared" si="256"/>
        <v>2.5233022838293713</v>
      </c>
      <c r="IF186" s="74">
        <f>('Scénario référence'!$F$8+'Scénario référence'!$F$9+'Scénario référence'!$B$17+'Scénario référence'!$B$9+'Scénario référence'!$B$10)*70+IF((45+25*(1-EXP(-0.0175*$A186)))&lt;70,'Scénario référence'!$B$16*(45+25*(1-EXP(-0.0175*$A186))),70*'Scénario référence'!$B$16)+IF((32+38*(1-EXP(-0.0175*$A186)))&lt;70,'Scénario référence'!$B$18*(32+38*(1-EXP(-0.0175*$A186))),70*'Scénario référence'!$B$18)</f>
        <v>70</v>
      </c>
      <c r="IG186" s="12">
        <f>IF($A186&gt;30,10,('Scénario référence'!$B$16+'Scénario référence'!$B$17+'Scénario référence'!$B$18+'Scénario référence'!$B$9+'Scénario référence'!$B$10)*$A186*10/30+('Scénario référence'!$F$8+'Scénario référence'!$F$9)*10)</f>
        <v>10</v>
      </c>
      <c r="IH186" s="12" t="e">
        <f>VLOOKUP($A186,'Données projet'!$A$330:$I$350,2,0)</f>
        <v>#N/A</v>
      </c>
      <c r="II186" s="12" t="e">
        <f>VLOOKUP($A186,'Données projet'!$A$330:$I$350,9,0)</f>
        <v>#N/A</v>
      </c>
      <c r="IJ186" s="12">
        <f t="array" ref="IJ186">INDEX(II:II,MIN(IF(ISNUMBER(II186:II382),ROW(II186:II382),"")))</f>
        <v>0</v>
      </c>
      <c r="IK186" s="12">
        <f>IF('Données projet'!$A$330&gt;35,IK185+IJ186-IS185,IF($A186&lt;'Données projet'!$A$330,$CQ$205^$A186,IF($A186='Données projet'!$A$330,'Données projet'!$B$330,IK185+IJ186-IS185)))</f>
        <v>0</v>
      </c>
      <c r="IL186" s="17">
        <f>IK186*VLOOKUP('Données projet'!$B$20,Paramètres!$A$1:$I$89,3,0)*VLOOKUP('Données projet'!$B$20,Paramètres!$A$1:$I$89,5,0)</f>
        <v>0</v>
      </c>
      <c r="IM186" s="13" t="e">
        <f t="shared" si="308"/>
        <v>#NUM!</v>
      </c>
      <c r="IN186" s="20" t="e">
        <f t="shared" si="257"/>
        <v>#NUM!</v>
      </c>
      <c r="IO186" s="59" t="e">
        <f t="shared" si="258"/>
        <v>#NUM!</v>
      </c>
      <c r="IP186" s="59">
        <f ca="1">AVERAGE(OFFSET(IO$3,0,0,'Données projet'!$E$20+1,1))-AVERAGE(OFFSET($H$3,0,0,'Données projet'!$E$20+1,1))</f>
        <v>91.60721429656013</v>
      </c>
      <c r="IQ186" s="59">
        <f t="shared" si="309"/>
        <v>258.94957804210856</v>
      </c>
      <c r="IR186" s="15">
        <f>IF(ISNA(VLOOKUP($A186,'Données projet'!$A$330:$I$350,3,0)),0,VLOOKUP($A186,'Données projet'!$A$330:$I$350,3,0))</f>
        <v>0</v>
      </c>
      <c r="IS186" s="15">
        <f>IF(ISNA(VLOOKUP($A186,'Données projet'!$A$330:$I$350,4,0)),0,VLOOKUP($A186,'Données projet'!$A$330:$I$350,4,0))</f>
        <v>0</v>
      </c>
      <c r="IT186" s="16">
        <f>IF(ISNA(VLOOKUP($A186,'Données projet'!$A$330:$I$350,5,0)),0%,VLOOKUP($A186,'Données projet'!$A$330:$I$350,5,0)*VLOOKUP('Données projet'!$B$20,Paramètres!$A$1:$I$89,7,0))</f>
        <v>0</v>
      </c>
      <c r="IU186" s="16">
        <f>IF(ISNA(VLOOKUP($A186,'Données projet'!$A$330:$I$350,6,0)),0%,VLOOKUP($A186,'Données projet'!$A$330:$I$350,6,0)*VLOOKUP('Données projet'!$B$20,Paramètres!$A$1:$I$89,7,0))</f>
        <v>0</v>
      </c>
      <c r="IV186" s="16">
        <f>IF(ISNA(VLOOKUP($A186,'Données projet'!$A$330:$I$350,7,0)),0%,VLOOKUP($A186,'Données projet'!$A$330:$I$350,7,0))</f>
        <v>0</v>
      </c>
      <c r="IW186" s="21">
        <f>EXP(-LN(2)/35)*IW185+(1-EXP(-LN(2)/35))/(LN(2)/35)*IS186*IT186*VLOOKUP('Données projet'!$B$20,Paramètres!$A$1:$I$89,3,0)*0.475*44/12</f>
        <v>2.383437690766276</v>
      </c>
      <c r="IX186" s="21">
        <f>EXP(-LN(2)/25)*IX185+(1-EXP(-LN(2)/25))/(LN(2)/25)*Calculateur!IS186*Calculateur!IU186*VLOOKUP('Données projet'!$B$20,Paramètres!$A$1:$I$89,3,0)*0.475*44/12</f>
        <v>0.13986459306309545</v>
      </c>
      <c r="IY186" s="21">
        <f>EXP(-LN(2)/2)*IY185+(1-EXP(-LN(2)/2))/(LN(2)/2)*IS186*IV186*VLOOKUP('Données projet'!$B$20,Paramètres!$A$1:$I$89,3,0)*0.475*44/12</f>
        <v>5.3610270894097454E-24</v>
      </c>
      <c r="IZ186" s="22">
        <f t="shared" si="259"/>
        <v>2.5233022838293713</v>
      </c>
      <c r="JA186" s="74">
        <f>('Scénario référence'!$F$8+'Scénario référence'!$F$9+'Scénario référence'!$B$17+'Scénario référence'!$B$9+'Scénario référence'!$B$10)*70+IF((45+25*(1-EXP(-0.0175*$A186)))&lt;70,'Scénario référence'!$B$16*(45+25*(1-EXP(-0.0175*$A186))),70*'Scénario référence'!$B$16)+IF((32+38*(1-EXP(-0.0175*$A186)))&lt;70,'Scénario référence'!$B$18*(32+38*(1-EXP(-0.0175*$A186))),70*'Scénario référence'!$B$18)</f>
        <v>70</v>
      </c>
      <c r="JB186" s="12">
        <f>IF($A186&gt;30,10,('Scénario référence'!$B$16+'Scénario référence'!$B$17+'Scénario référence'!$B$18+'Scénario référence'!$B$9+'Scénario référence'!$B$10)*$A186*10/30+('Scénario référence'!$F$8+'Scénario référence'!$F$9)*10)</f>
        <v>10</v>
      </c>
      <c r="JC186" s="12" t="e">
        <f>VLOOKUP($A186,'Données projet'!$A$356:$I$376,2,0)</f>
        <v>#N/A</v>
      </c>
      <c r="JD186" s="12" t="e">
        <f>VLOOKUP($A186,'Données projet'!$A$356:$I$376,9,0)</f>
        <v>#N/A</v>
      </c>
      <c r="JE186" s="12">
        <f t="array" ref="JE186">INDEX(JD:JD,MIN(IF(ISNUMBER(JD186:JD382),ROW(JD186:JD382),"")))</f>
        <v>0</v>
      </c>
      <c r="JF186" s="12">
        <f>IF('Données projet'!$A$356&gt;35,JF185+JE186-JN185,IF($A186&lt;'Données projet'!$A$356,$CQ$205^$A186,IF($A186='Données projet'!$A$356,'Données projet'!$B$356,JF185+JE186-JN185)))</f>
        <v>-1.3073986337985843E-12</v>
      </c>
      <c r="JG186" s="17">
        <f>JF186*VLOOKUP('Données projet'!$B$21,Paramètres!$A$1:$I$89,3,0)*VLOOKUP('Données projet'!$B$21,Paramètres!$A$1:$I$89,5,0)</f>
        <v>-1.0605617717374117E-12</v>
      </c>
      <c r="JH186" s="13" t="e">
        <f t="shared" si="310"/>
        <v>#NUM!</v>
      </c>
      <c r="JI186" s="20" t="e">
        <f t="shared" si="260"/>
        <v>#NUM!</v>
      </c>
      <c r="JJ186" s="59" t="e">
        <f t="shared" si="261"/>
        <v>#NUM!</v>
      </c>
      <c r="JK186" s="59">
        <f ca="1">AVERAGE(OFFSET($JJ$3,0,0,'Données projet'!$E$22+1,1))-AVERAGE(OFFSET($H$3,0,0,'Données projet'!$E$22+1,1))</f>
        <v>353.35574633294613</v>
      </c>
      <c r="JL186" s="59">
        <f t="shared" si="311"/>
        <v>170.36796666474726</v>
      </c>
      <c r="JM186" s="15">
        <f>IF(ISNA(VLOOKUP($A186,'Données projet'!$A$356:$I$376,3,0)),0,VLOOKUP($A186,'Données projet'!$A$356:$I$376,3,0))</f>
        <v>0</v>
      </c>
      <c r="JN186" s="15">
        <f>IF(ISNA(VLOOKUP($A186,'Données projet'!$A$356:$I$376,4,0)),0,VLOOKUP($A186,'Données projet'!$A$356:$I$376,4,0))</f>
        <v>0</v>
      </c>
      <c r="JO186" s="16">
        <f>IF(ISNA(VLOOKUP($A186,'Données projet'!$A$356:$I$376,5,0)),0%,VLOOKUP($A186,'Données projet'!$A$356:$I$376,5,0)*VLOOKUP('Données projet'!$B$21,Paramètres!$A$1:$I$89,7,0))</f>
        <v>0</v>
      </c>
      <c r="JP186" s="16">
        <f>IF(ISNA(VLOOKUP($A186,'Données projet'!$A$356:$I$376,6,0)),0%,VLOOKUP($A186,'Données projet'!$A$356:$I$376,6,0)*VLOOKUP('Données projet'!$B$21,Paramètres!$A$1:$I$89,7,0))</f>
        <v>0</v>
      </c>
      <c r="JQ186" s="16">
        <f>IF(ISNA(VLOOKUP($A186,'Données projet'!$A$356:$I$376,7,0)),0%,VLOOKUP($A186,'Données projet'!$A$356:$I$376,7,0))</f>
        <v>0</v>
      </c>
      <c r="JR186" s="21">
        <f>EXP(-LN(2)/35)*JR185+(1-EXP(-LN(2)/35))/(LN(2)/35)*JN186*JO186*VLOOKUP('Données projet'!$B$21,Paramètres!$A$1:$I$89,3,0)*0.475*44/12</f>
        <v>38.210060186760195</v>
      </c>
      <c r="JS186" s="21">
        <f>EXP(-LN(2)/25)*JS185+(1-EXP(-LN(2)/25))/(LN(2)/25)*Calculateur!JN186*Calculateur!JP186*VLOOKUP('Données projet'!$B$21,Paramètres!$A$1:$I$89,3,0)*0.475*44/12</f>
        <v>30.611653010475997</v>
      </c>
      <c r="JT186" s="21">
        <f>EXP(-LN(2)/2)*JT185+(1-EXP(-LN(2)/2))/(LN(2)/2)*JN186*JQ186*VLOOKUP('Données projet'!$B$21,Paramètres!$A$1:$I$89,3,0)*0.475*44/12</f>
        <v>3.6998515247097592E-4</v>
      </c>
      <c r="JU186" s="18">
        <f t="shared" si="262"/>
        <v>68.822083182388667</v>
      </c>
      <c r="JV186" s="74">
        <f>('Scénario référence'!$F$8+'Scénario référence'!$F$9+'Scénario référence'!$B$17+'Scénario référence'!$B$9+'Scénario référence'!$B$10)*70+IF((45+25*(1-EXP(-0.0175*$A186)))&lt;70,'Scénario référence'!$B$16*(45+25*(1-EXP(-0.0175*$A186))),70*'Scénario référence'!$B$16)+IF((32+38*(1-EXP(-0.0175*$A186)))&lt;70,'Scénario référence'!$B$18*(32+38*(1-EXP(-0.0175*$A186))),70*'Scénario référence'!$B$18)</f>
        <v>70</v>
      </c>
      <c r="JW186" s="12">
        <f>IF($A186&gt;30,10,('Scénario référence'!$B$16+'Scénario référence'!$B$17+'Scénario référence'!$B$18+'Scénario référence'!$B$9+'Scénario référence'!$B$10)*$A186*10/30+('Scénario référence'!$F$8+'Scénario référence'!$F$9)*10)</f>
        <v>10</v>
      </c>
      <c r="JX186" s="12" t="e">
        <f>VLOOKUP($A186,'Données projet'!$A$382:$I$402,2,0)</f>
        <v>#N/A</v>
      </c>
      <c r="JY186" s="12" t="e">
        <f>VLOOKUP($A186,'Données projet'!$A$382:$I$402,9,0)</f>
        <v>#N/A</v>
      </c>
      <c r="JZ186" s="12">
        <f t="array" ref="JZ186">INDEX(JY:JY,MIN(IF(ISNUMBER(JY186:JY382),ROW(JY186:JY382),"")))</f>
        <v>0</v>
      </c>
      <c r="KA186" s="12">
        <f>IF('Données projet'!$A$382&gt;35,KA185+JZ186-KI185,IF($A186&lt;'Données projet'!$A$382,$CQ$205^$A186,IF($A186='Données projet'!$A$382,'Données projet'!$B$382,KA185+JZ186-KI185)))</f>
        <v>5.6843418860808015E-13</v>
      </c>
      <c r="KB186" s="17">
        <f>KA186*VLOOKUP('Données projet'!$B$22,Paramètres!$A$1:$I$89,3,0)*VLOOKUP('Données projet'!$B$22,Paramètres!$A$1:$I$89,5,0)</f>
        <v>3.8130565371830017E-13</v>
      </c>
      <c r="KC186" s="13">
        <f t="shared" si="312"/>
        <v>4.9019074112354236E-12</v>
      </c>
      <c r="KD186" s="20">
        <f t="shared" si="263"/>
        <v>9.2015960881277352E-12</v>
      </c>
      <c r="KE186" s="59">
        <f t="shared" si="264"/>
        <v>293.33333333334252</v>
      </c>
      <c r="KF186" s="59">
        <f ca="1">AVERAGE(OFFSET($KE$3,0,0,'Données projet'!$E$22+1,1))-AVERAGE(OFFSET($H$3,0,0,'Données projet'!$E$22+1,1))</f>
        <v>193.91714772848269</v>
      </c>
      <c r="KG186" s="59">
        <f t="shared" si="313"/>
        <v>159.20429420478047</v>
      </c>
      <c r="KH186" s="15">
        <f>IF(ISNA(VLOOKUP($A186,'Données projet'!$A$382:$I$402,3,0)),0,VLOOKUP($A186,'Données projet'!$A$382:$I$402,3,0))</f>
        <v>0</v>
      </c>
      <c r="KI186" s="15">
        <f>IF(ISNA(VLOOKUP($A186,'Données projet'!$A$382:$I$402,4,0)),0,VLOOKUP($A186,'Données projet'!$A$382:$I$402,4,0))</f>
        <v>0</v>
      </c>
      <c r="KJ186" s="16">
        <f>IF(ISNA(VLOOKUP($A186,'Données projet'!$A$382:$I$402,5,0)),0%,VLOOKUP($A186,'Données projet'!$A$382:$I$402,5,0)*VLOOKUP('Données projet'!$B$22,Paramètres!$A$1:$I$89,7,0))</f>
        <v>0</v>
      </c>
      <c r="KK186" s="16">
        <f>IF(ISNA(VLOOKUP($A186,'Données projet'!$A$382:$I$402,6,0)),0%,VLOOKUP($A186,'Données projet'!$A$382:$I$402,6,0)*VLOOKUP('Données projet'!$B$22,Paramètres!$A$1:$I$89,7,0))</f>
        <v>0</v>
      </c>
      <c r="KL186" s="16">
        <f>IF(ISNA(VLOOKUP($A186,'Données projet'!$A$382:$I$402,7,0)),0%,VLOOKUP($A186,'Données projet'!$A$382:$I$402,7,0))</f>
        <v>0</v>
      </c>
      <c r="KM186" s="21">
        <f>EXP(-LN(2)/35)*KM185+(1-EXP(-LN(2)/35))/(LN(2)/35)*KI186*KJ186*VLOOKUP('Données projet'!$B$22,Paramètres!$A$1:$I$89,3,0)*0.475*44/12</f>
        <v>55.790905085978601</v>
      </c>
      <c r="KN186" s="21">
        <f>EXP(-LN(2)/25)*KN185+(1-EXP(-LN(2)/25))/(LN(2)/25)*Calculateur!KI186*Calculateur!KK186*VLOOKUP('Données projet'!$B$22,Paramètres!$A$1:$I$89,3,0)*0.475*44/12</f>
        <v>0</v>
      </c>
      <c r="KO186" s="21">
        <f>EXP(-LN(2)/2)*KO185+(1-EXP(-LN(2)/2))/(LN(2)/2)*KI186*KL186*VLOOKUP('Données projet'!$B$22,Paramètres!$A$1:$I$89,3,0)*0.475*44/12</f>
        <v>0</v>
      </c>
      <c r="KP186" s="22">
        <f t="shared" si="265"/>
        <v>55.790905085978601</v>
      </c>
      <c r="KQ186" s="74">
        <f>('Scénario référence'!$F$8+'Scénario référence'!$F$9+'Scénario référence'!$B$17+'Scénario référence'!$B$9+'Scénario référence'!$B$10)*70+IF((45+25*(1-EXP(-0.0175*$A186)))&lt;70,'Scénario référence'!$B$16*(45+25*(1-EXP(-0.0175*$A186))),70*'Scénario référence'!$B$16)+IF((32+38*(1-EXP(-0.0175*$A186)))&lt;70,'Scénario référence'!$B$18*(32+38*(1-EXP(-0.0175*$A186))),70*'Scénario référence'!$B$18)</f>
        <v>70</v>
      </c>
      <c r="KR186" s="12">
        <f>IF($A186&gt;30,10,('Scénario référence'!$B$16+'Scénario référence'!$B$17+'Scénario référence'!$B$18+'Scénario référence'!$B$9+'Scénario référence'!$B$10)*$A186*10/30+('Scénario référence'!$F$8+'Scénario référence'!$F$9)*10)</f>
        <v>10</v>
      </c>
      <c r="KS186" s="12" t="e">
        <f>VLOOKUP($A186,'Données projet'!$A$408:$I$428,2,0)</f>
        <v>#N/A</v>
      </c>
      <c r="KT186" s="12" t="e">
        <f>VLOOKUP($A186,'Données projet'!$A$408:$I$428,9,0)</f>
        <v>#N/A</v>
      </c>
      <c r="KU186" s="12">
        <f t="array" ref="KU186">INDEX(KT:KT,MIN(IF(ISNUMBER(KT186:KT382),ROW(KT186:KT382),"")))</f>
        <v>0</v>
      </c>
      <c r="KV186" s="12">
        <f>IF('Données projet'!$A$408&gt;35,KV185+KU186-LD185,IF($A186&lt;'Données projet'!$A$408,$CQ$205^$A186,IF($A186='Données projet'!$A$408,'Données projet'!$B$408,KV185+KU186-LD185)))</f>
        <v>-1.1368683772161603E-13</v>
      </c>
      <c r="KW186" s="17">
        <f>KV186*VLOOKUP('Données projet'!$B$23,Paramètres!$A$1:$I$89,3,0)*VLOOKUP('Données projet'!$B$23,Paramètres!$A$1:$I$89,5,0)</f>
        <v>-9.9316821433603781E-14</v>
      </c>
      <c r="KX186" s="13" t="e">
        <f t="shared" si="314"/>
        <v>#NUM!</v>
      </c>
      <c r="KY186" s="14" t="e">
        <f t="shared" si="266"/>
        <v>#NUM!</v>
      </c>
      <c r="KZ186" s="59" t="e">
        <f t="shared" si="267"/>
        <v>#NUM!</v>
      </c>
      <c r="LA186" s="59">
        <f ca="1">AVERAGE(OFFSET($KZ$3,0,0,'Données projet'!$E$23+1,1))-AVERAGE(OFFSET($H$3,0,0,'Données projet'!$E$23+1,1))</f>
        <v>248.33596943633819</v>
      </c>
      <c r="LB186" s="59">
        <f t="shared" si="315"/>
        <v>242.34010522344573</v>
      </c>
      <c r="LC186" s="15">
        <f>IF(ISNA(VLOOKUP($A186,'Données projet'!$A$408:$I$428,3,0)),0,VLOOKUP($A186,'Données projet'!$A$408:$I$428,3,0))</f>
        <v>0</v>
      </c>
      <c r="LD186" s="15">
        <f>IF(ISNA(VLOOKUP($A186,'Données projet'!$A$408:$I$428,4,0)),0,VLOOKUP($A186,'Données projet'!$A$408:$I$428,4,0))</f>
        <v>0</v>
      </c>
      <c r="LE186" s="16">
        <f>IF(ISNA(VLOOKUP($A186,'Données projet'!$A$408:$I$428,5,0)),0%,VLOOKUP($A186,'Données projet'!$A$408:$I$428,5,0)*VLOOKUP('Données projet'!$B$23,Paramètres!$A$1:$I$89,7,0))</f>
        <v>0</v>
      </c>
      <c r="LF186" s="16">
        <f>IF(ISNA(VLOOKUP($A186,'Données projet'!$A$408:$I$428,6,0)),0%,VLOOKUP($A186,'Données projet'!$A$408:$I$428,6,0)*VLOOKUP('Données projet'!$B$23,Paramètres!$A$1:$I$89,7,0))</f>
        <v>0</v>
      </c>
      <c r="LG186" s="16">
        <f>IF(ISNA(VLOOKUP($A186,'Données projet'!$A$408:$I$428,7,0)),0%,VLOOKUP($A186,'Données projet'!$A$408:$I$428,7,0))</f>
        <v>0</v>
      </c>
      <c r="LH186" s="21">
        <f>EXP(-LN(2)/35)*LH185+(1-EXP(-LN(2)/35))/(LN(2)/35)*LD186*LE186*VLOOKUP('Données projet'!$B$23,Paramètres!$A$1:$I$89,3,0)*0.475*44/12</f>
        <v>16.02486390782839</v>
      </c>
      <c r="LI186" s="21">
        <f>EXP(-LN(2)/25)*LI185+(1-EXP(-LN(2)/25))/(LN(2)/25)*Calculateur!LD186*Calculateur!LF186*VLOOKUP('Données projet'!$B$23,Paramètres!$A$1:$I$89,3,0)*0.475*44/12</f>
        <v>1.2524391461516697</v>
      </c>
      <c r="LJ186" s="21">
        <f>EXP(-LN(2)/2)*LJ185+(1-EXP(-LN(2)/2))/(LN(2)/2)*LD186*LG186*VLOOKUP('Données projet'!$B$23,Paramètres!$A$1:$I$89,3,0)*0.475*44/12</f>
        <v>0</v>
      </c>
      <c r="LK186" s="22">
        <f t="shared" si="268"/>
        <v>17.277303053980059</v>
      </c>
      <c r="LL186" s="74">
        <f>('Scénario référence'!$F$8+'Scénario référence'!$F$9+'Scénario référence'!$B$17+'Scénario référence'!$B$9+'Scénario référence'!$B$10)*70+IF((45+25*(1-EXP(-0.0175*$A186)))&lt;70,'Scénario référence'!$B$16*(45+25*(1-EXP(-0.0175*$A186))),70*'Scénario référence'!$B$16)+IF((32+38*(1-EXP(-0.0175*$A186)))&lt;70,'Scénario référence'!$B$18*(32+38*(1-EXP(-0.0175*$A186))),70*'Scénario référence'!$B$18)</f>
        <v>70</v>
      </c>
      <c r="LM186" s="12">
        <f>IF($A186&gt;30,10,('Scénario référence'!$B$16+'Scénario référence'!$B$17+'Scénario référence'!$B$18+'Scénario référence'!$B$9+'Scénario référence'!$B$10)*$A186*10/30+('Scénario référence'!$F$8+'Scénario référence'!$F$9)*10)</f>
        <v>10</v>
      </c>
      <c r="LN186" s="12" t="e">
        <f>VLOOKUP($A186,'Données projet'!$A$434:$I$454,2,0)</f>
        <v>#N/A</v>
      </c>
      <c r="LO186" s="12" t="e">
        <f>VLOOKUP($A186,'Données projet'!$A$434:$I$454,9,0)</f>
        <v>#N/A</v>
      </c>
      <c r="LP186" s="12">
        <f t="array" ref="LP186">INDEX(LO:LO,MIN(IF(ISNUMBER(LO186:LO382),ROW(LO186:LO382),"")))</f>
        <v>0</v>
      </c>
      <c r="LQ186" s="12">
        <f>IF('Données projet'!$A$434&gt;35,LQ185+LP186-LY185,IF($A186&lt;'Données projet'!$A$434,$CQ$205^$A186,IF($A186='Données projet'!$A$434,'Données projet'!$B$434,LQ185+LP186-LY185)))</f>
        <v>-4.5474735088646412E-13</v>
      </c>
      <c r="LR186" s="17">
        <f>LQ186*VLOOKUP('Données projet'!$B$24,Paramètres!$A$1:$I$89,3,0)*VLOOKUP('Données projet'!$B$24,Paramètres!$A$1:$I$89,5,0)</f>
        <v>-4.6111381379887462E-13</v>
      </c>
      <c r="LS186" s="13" t="e">
        <f t="shared" si="316"/>
        <v>#NUM!</v>
      </c>
      <c r="LT186" s="14" t="e">
        <f t="shared" si="269"/>
        <v>#NUM!</v>
      </c>
      <c r="LU186" s="59" t="e">
        <f t="shared" si="270"/>
        <v>#NUM!</v>
      </c>
      <c r="LV186" s="59">
        <f ca="1">AVERAGE(OFFSET($LU$3,0,0,'Données projet'!$E$24+1,1))-AVERAGE(OFFSET($H$3,0,0,'Données projet'!$E$24+1,1))</f>
        <v>260.52627655062872</v>
      </c>
      <c r="LW186" s="59">
        <f t="shared" si="317"/>
        <v>159.20429420478047</v>
      </c>
      <c r="LX186" s="15">
        <f>IF(ISNA(VLOOKUP($A186,'Données projet'!$A$434:$I$454,3,0)),0,VLOOKUP($A186,'Données projet'!$A$434:$I$454,3,0))</f>
        <v>0</v>
      </c>
      <c r="LY186" s="15">
        <f>IF(ISNA(VLOOKUP($A186,'Données projet'!$A$434:$I$454,4,0)),0,VLOOKUP($A186,'Données projet'!$A$434:$I$454,4,0))</f>
        <v>0</v>
      </c>
      <c r="LZ186" s="16">
        <f>IF(ISNA(VLOOKUP($A186,'Données projet'!$A$434:$I$454,5,0)),0%,VLOOKUP($A186,'Données projet'!$A$434:$I$454,5,0)*VLOOKUP('Données projet'!$B$24,Paramètres!$A$1:$I$89,7,0))</f>
        <v>0</v>
      </c>
      <c r="MA186" s="16">
        <f>IF(ISNA(VLOOKUP($A186,'Données projet'!$A$434:$I$454,6,0)),0%,VLOOKUP($A186,'Données projet'!$A$434:$I$454,6,0)*VLOOKUP('Données projet'!$B$24,Paramètres!$A$1:$I$89,7,0))</f>
        <v>0</v>
      </c>
      <c r="MB186" s="16">
        <f>IF(ISNA(VLOOKUP($A186,'Données projet'!$A$434:$I$454,7,0)),0%,VLOOKUP($A186,'Données projet'!$A$434:$I$454,7,0))</f>
        <v>0</v>
      </c>
      <c r="MC186" s="21">
        <f>EXP(-LN(2)/35)*MC185+(1-EXP(-LN(2)/35))/(LN(2)/35)*LY186*LZ186*VLOOKUP('Données projet'!$B$24,Paramètres!$A$1:$I$89,3,0)*0.475*44/12</f>
        <v>103.03443195121157</v>
      </c>
      <c r="MD186" s="21">
        <f>EXP(-LN(2)/25)*MD185+(1-EXP(-LN(2)/25))/(LN(2)/25)*Calculateur!LY186*Calculateur!MA186*VLOOKUP('Données projet'!$B$24,Paramètres!$A$1:$I$89,3,0)*0.475*44/12</f>
        <v>0</v>
      </c>
      <c r="ME186" s="21">
        <f>EXP(-LN(2)/2)*ME185+(1-EXP(-LN(2)/2))/(LN(2)/2)*LY186*MB186*VLOOKUP('Données projet'!$B$24,Paramètres!$A$1:$I$89,3,0)*0.475*44/12</f>
        <v>0</v>
      </c>
      <c r="MF186" s="22">
        <f t="shared" si="271"/>
        <v>103.03443195121157</v>
      </c>
      <c r="MG186" s="74">
        <f>('Scénario référence'!$F$8+'Scénario référence'!$F$9+'Scénario référence'!$B$17+'Scénario référence'!$B$9+'Scénario référence'!$B$10)*70+IF((45+25*(1-EXP(-0.0175*$A186)))&lt;70,'Scénario référence'!$B$16*(45+25*(1-EXP(-0.0175*$A186))),70*'Scénario référence'!$B$16)+IF((32+38*(1-EXP(-0.0175*$A186)))&lt;70,'Scénario référence'!$B$18*(32+38*(1-EXP(-0.0175*$A186))),70*'Scénario référence'!$B$18)</f>
        <v>70</v>
      </c>
      <c r="MH186" s="12">
        <f>IF($A186&gt;30,10,('Scénario référence'!$B$16+'Scénario référence'!$B$17+'Scénario référence'!$B$18+'Scénario référence'!$B$9+'Scénario référence'!$B$10)*$A186*10/30+('Scénario référence'!$F$8+'Scénario référence'!$F$9)*10)</f>
        <v>10</v>
      </c>
      <c r="MI186" s="12" t="e">
        <f>VLOOKUP($A186,'Données projet'!$A$460:$I$480,2,0)</f>
        <v>#N/A</v>
      </c>
      <c r="MJ186" s="12" t="e">
        <f>VLOOKUP($A186,'Données projet'!$A$460:$I$480,9,0)</f>
        <v>#N/A</v>
      </c>
      <c r="MK186" s="12">
        <f t="array" ref="MK186">INDEX(MJ:MJ,MIN(IF(ISNUMBER(MJ186:MJ382),ROW(MJ186:MJ382),"")))</f>
        <v>0</v>
      </c>
      <c r="ML186" s="12">
        <f>IF('Données projet'!$A$460&gt;35,ML185+MK186-MT185,IF($A186&lt;'Données projet'!$A$460,$CQ$205^$A186,IF($A186='Données projet'!$A$460,'Données projet'!$B$460,ML185+MK186-MT185)))</f>
        <v>0</v>
      </c>
      <c r="MM186" s="17" t="e">
        <f>ML186*VLOOKUP('Données projet'!$B$25,Paramètres!$A$1:$I$89,3,0)*VLOOKUP('Données projet'!$B$25,Paramètres!$A$1:$I$89,5,0)</f>
        <v>#N/A</v>
      </c>
      <c r="MN186" s="13" t="e">
        <f t="shared" si="318"/>
        <v>#N/A</v>
      </c>
      <c r="MO186" s="14" t="e">
        <f t="shared" si="272"/>
        <v>#N/A</v>
      </c>
      <c r="MP186" s="59" t="e">
        <f t="shared" si="273"/>
        <v>#N/A</v>
      </c>
      <c r="MQ186" s="20" t="e">
        <f ca="1">AVERAGE(OFFSET($MP$3,0,0,'Données projet'!$E$25+1,1))-AVERAGE(OFFSET($H$3,0,0,'Données projet'!$E$25+1,1))</f>
        <v>#N/A</v>
      </c>
      <c r="MR186" s="59" t="e">
        <f t="shared" si="319"/>
        <v>#N/A</v>
      </c>
      <c r="MS186" s="15">
        <f>IF(ISNA(VLOOKUP($A186,'Données projet'!$A$460:$I$480,3,0)),0,VLOOKUP($A186,'Données projet'!$A$460:$I$480,3,0))</f>
        <v>0</v>
      </c>
      <c r="MT186" s="15">
        <f>IF(ISNA(VLOOKUP($A186,'Données projet'!$A$460:$I$480,4,0)),0,VLOOKUP($A186,'Données projet'!$A$460:$I$480,4,0))</f>
        <v>0</v>
      </c>
      <c r="MU186" s="16">
        <f>IF(ISNA(VLOOKUP($A186,'Données projet'!$A$460:$I$480,5,0)),0%,VLOOKUP($A186,'Données projet'!$A$460:$I$480,5,0)*VLOOKUP('Données projet'!$B$25,Paramètres!$A$1:$I$89,7,0))</f>
        <v>0</v>
      </c>
      <c r="MV186" s="16">
        <f>IF(ISNA(VLOOKUP($A186,'Données projet'!$A$460:$I$480,6,0)),0%,VLOOKUP($A186,'Données projet'!$A$460:$I$480,6,0)*VLOOKUP('Données projet'!$B$25,Paramètres!$A$1:$I$89,7,0))</f>
        <v>0</v>
      </c>
      <c r="MW186" s="16">
        <f>IF(ISNA(VLOOKUP($A186,'Données projet'!$A$460:$I$480,7,0)),0%,VLOOKUP($A186,'Données projet'!$A$460:$I$480,7,0))</f>
        <v>0</v>
      </c>
      <c r="MX186" s="21" t="e">
        <f>EXP(-LN(2)/35)*MX185+(1-EXP(-LN(2)/35))/(LN(2)/35)*MT186*MU186*VLOOKUP('Données projet'!$B$25,Paramètres!$A$1:$I$89,3,0)*0.475*44/12</f>
        <v>#N/A</v>
      </c>
      <c r="MY186" s="21" t="e">
        <f>EXP(-LN(2)/25)*MY185+(1-EXP(-LN(2)/25))/(LN(2)/25)*Calculateur!MT186*Calculateur!MV186*VLOOKUP('Données projet'!$B$25,Paramètres!$A$1:$I$89,3,0)*0.475*44/12</f>
        <v>#N/A</v>
      </c>
      <c r="MZ186" s="21" t="e">
        <f>EXP(-LN(2)/2)*MZ185+(1-EXP(-LN(2)/2))/(LN(2)/2)*MT186*MW186*VLOOKUP('Données projet'!$B$25,Paramètres!$A$1:$I$89,3,0)*0.475*44/12</f>
        <v>#N/A</v>
      </c>
      <c r="NA186" s="22" t="e">
        <f t="shared" si="274"/>
        <v>#N/A</v>
      </c>
      <c r="NB186" s="74">
        <f>('Scénario référence'!$F$8+'Scénario référence'!$F$9+'Scénario référence'!$B$17+'Scénario référence'!$B$9+'Scénario référence'!$B$10)*70+IF((45+25*(1-EXP(-0.0175*$A186)))&lt;70,'Scénario référence'!$B$16*(45+25*(1-EXP(-0.0175*$A186))),70*'Scénario référence'!$B$16)+IF((32+38*(1-EXP(-0.0175*$A186)))&lt;70,'Scénario référence'!$B$18*(32+38*(1-EXP(-0.0175*$A186))),70*'Scénario référence'!$B$18)</f>
        <v>70</v>
      </c>
      <c r="NC186" s="12">
        <f>IF($A186&gt;30,10,('Scénario référence'!$B$16+'Scénario référence'!$B$17+'Scénario référence'!$B$18+'Scénario référence'!$B$9+'Scénario référence'!$B$10)*$A186*10/30+('Scénario référence'!$F$8+'Scénario référence'!$F$9)*10)</f>
        <v>10</v>
      </c>
      <c r="ND186" s="12" t="e">
        <f>VLOOKUP($A186,'Données projet'!$A$486:$I$506,2,0)</f>
        <v>#N/A</v>
      </c>
      <c r="NE186" s="12" t="e">
        <f>VLOOKUP($A186,'Données projet'!$A$486:$I$506,9,0)</f>
        <v>#N/A</v>
      </c>
      <c r="NF186" s="12">
        <f t="array" ref="NF186">INDEX(NE:NE,MIN(IF(ISNUMBER(NE186:NE382),ROW(NE186:NE382),"")))</f>
        <v>0</v>
      </c>
      <c r="NG186" s="12">
        <f>IF('Données projet'!$A$486&gt;35,NG185+NF186-NO185,IF($A186&lt;'Données projet'!$A$486,$CQ$205^$A186,IF($A186='Données projet'!$A$486,'Données projet'!$B$486,NG185+NF186-NO185)))</f>
        <v>0</v>
      </c>
      <c r="NH186" s="17" t="e">
        <f>NG186*VLOOKUP('Données projet'!$B$26,Paramètres!$A$1:$I$89,3,0)*VLOOKUP('Données projet'!$B$26,Paramètres!$A$1:$I$89,5,0)</f>
        <v>#N/A</v>
      </c>
      <c r="NI186" s="13" t="e">
        <f t="shared" si="320"/>
        <v>#N/A</v>
      </c>
      <c r="NJ186" s="14" t="e">
        <f t="shared" si="275"/>
        <v>#N/A</v>
      </c>
      <c r="NK186" s="59" t="e">
        <f t="shared" si="276"/>
        <v>#N/A</v>
      </c>
      <c r="NL186" s="20" t="e">
        <f ca="1">AVERAGE(OFFSET($NK$3,0,0,'Données projet'!$E$26+1,1))-AVERAGE(OFFSET($H$3,0,0,'Données projet'!$E$26+1,1))</f>
        <v>#N/A</v>
      </c>
      <c r="NM186" s="59" t="e">
        <f t="shared" si="321"/>
        <v>#N/A</v>
      </c>
      <c r="NN186" s="15">
        <f>IF(ISNA(VLOOKUP($A186,'Données projet'!$A$486:$I$506,3,0)),0,VLOOKUP($A186,'Données projet'!$A$486:$I$506,3,0))</f>
        <v>0</v>
      </c>
      <c r="NO186" s="15">
        <f>IF(ISNA(VLOOKUP($A186,'Données projet'!$A$486:$I$506,4,0)),0,VLOOKUP($A186,'Données projet'!$A$486:$I$506,4,0))</f>
        <v>0</v>
      </c>
      <c r="NP186" s="16">
        <f>IF(ISNA(VLOOKUP($A186,'Données projet'!$A$486:$I$506,5,0)),0%,VLOOKUP($A186,'Données projet'!$A$486:$I$506,5,0)*VLOOKUP('Données projet'!$B$26,Paramètres!$A$1:$I$89,7,0))</f>
        <v>0</v>
      </c>
      <c r="NQ186" s="16">
        <f>IF(ISNA(VLOOKUP($A186,'Données projet'!$A$486:$I$506,6,0)),0%,VLOOKUP($A186,'Données projet'!$A$486:$I$506,6,0)*VLOOKUP('Données projet'!$B$26,Paramètres!$A$1:$I$89,7,0))</f>
        <v>0</v>
      </c>
      <c r="NR186" s="16">
        <f>IF(ISNA(VLOOKUP($A186,'Données projet'!$A$486:$I$506,7,0)),0%,VLOOKUP($A186,'Données projet'!$A$486:$I$506,7,0))</f>
        <v>0</v>
      </c>
      <c r="NS186" s="21" t="e">
        <f>EXP(-LN(2)/35)*NS185+(1-EXP(-LN(2)/35))/(LN(2)/35)*NO186*NP186*VLOOKUP('Données projet'!$B$26,Paramètres!$A$1:$I$89,3,0)*0.475*44/12</f>
        <v>#N/A</v>
      </c>
      <c r="NT186" s="21" t="e">
        <f>EXP(-LN(2)/25)*NT185+(1-EXP(-LN(2)/25))/(LN(2)/25)*Calculateur!NO186*Calculateur!NQ186*VLOOKUP('Données projet'!$B$26,Paramètres!$A$1:$I$89,3,0)*0.475*44/12</f>
        <v>#N/A</v>
      </c>
      <c r="NU186" s="21" t="e">
        <f>EXP(-LN(2)/2)*NU185+(1-EXP(-LN(2)/2))/(LN(2)/2)*NO186*NR186*VLOOKUP('Données projet'!$B$26,Paramètres!$A$1:$I$89,3,0)*0.475*44/12</f>
        <v>#N/A</v>
      </c>
      <c r="NV186" s="22" t="e">
        <f t="shared" si="277"/>
        <v>#N/A</v>
      </c>
      <c r="NW186" s="74">
        <f>('Scénario référence'!$F$8+'Scénario référence'!$F$9+'Scénario référence'!$B$17+'Scénario référence'!$B$9+'Scénario référence'!$B$10)*70+IF((45+25*(1-EXP(-0.0175*$A186)))&lt;70,'Scénario référence'!$B$16*(45+25*(1-EXP(-0.0175*$A186))),70*'Scénario référence'!$B$16)+IF((32+38*(1-EXP(-0.0175*$A186)))&lt;70,'Scénario référence'!$B$18*(32+38*(1-EXP(-0.0175*$A186))),70*'Scénario référence'!$B$18)</f>
        <v>70</v>
      </c>
      <c r="NX186" s="12">
        <f>IF($A186&gt;30,10,('Scénario référence'!$B$16+'Scénario référence'!$B$17+'Scénario référence'!$B$18+'Scénario référence'!$B$9+'Scénario référence'!$B$10)*$A186*10/30+('Scénario référence'!$F$8+'Scénario référence'!$F$9)*10)</f>
        <v>10</v>
      </c>
      <c r="NY186" s="12" t="e">
        <f>VLOOKUP($A186,'Données projet'!$A$512:$I$532,2,0)</f>
        <v>#N/A</v>
      </c>
      <c r="NZ186" s="12" t="e">
        <f>VLOOKUP($A186,'Données projet'!$A$512:$I$532,9,0)</f>
        <v>#N/A</v>
      </c>
      <c r="OA186" s="12">
        <f t="array" ref="OA186">INDEX(NZ:NZ,MIN(IF(ISNUMBER(NZ186:NZ382),ROW(NZ186:NZ382),"")))</f>
        <v>0</v>
      </c>
      <c r="OB186" s="12">
        <f>IF('Données projet'!$A$512&gt;35,OB185+OA186-OJ185,IF($A186&lt;'Données projet'!$A$512,$CQ$205^$A186,IF($A186='Données projet'!$A$512,'Données projet'!$B$512,OB185+OA186-OJ185)))</f>
        <v>0</v>
      </c>
      <c r="OC186" s="17" t="e">
        <f>OB186*VLOOKUP('Données projet'!$B$27,Paramètres!$A$1:$I$89,3,0)*VLOOKUP('Données projet'!$B$27,Paramètres!$A$1:$I$89,5,0)</f>
        <v>#N/A</v>
      </c>
      <c r="OD186" s="13" t="e">
        <f t="shared" si="322"/>
        <v>#N/A</v>
      </c>
      <c r="OE186" s="14" t="e">
        <f t="shared" si="278"/>
        <v>#N/A</v>
      </c>
      <c r="OF186" s="59" t="e">
        <f t="shared" si="279"/>
        <v>#N/A</v>
      </c>
      <c r="OG186" s="20" t="e">
        <f ca="1">AVERAGE(OFFSET($OF$3,0,0,'Données projet'!$E$27+1,1))-AVERAGE(OFFSET($H$3,0,0,'Données projet'!$E$27+1,1))</f>
        <v>#N/A</v>
      </c>
      <c r="OH186" s="59" t="e">
        <f t="shared" si="323"/>
        <v>#N/A</v>
      </c>
      <c r="OI186" s="15">
        <f>IF(ISNA(VLOOKUP($A186,'Données projet'!$A$512:$I$532,3,0)),0,VLOOKUP($A186,'Données projet'!$A$512:$I$532,3,0))</f>
        <v>0</v>
      </c>
      <c r="OJ186" s="15">
        <f>IF(ISNA(VLOOKUP($A186,'Données projet'!$A$512:$I$532,4,0)),0,VLOOKUP($A186,'Données projet'!$A$512:$I$532,4,0))</f>
        <v>0</v>
      </c>
      <c r="OK186" s="16">
        <f>IF(ISNA(VLOOKUP($A186,'Données projet'!$A$512:$I$532,5,0)),0%,VLOOKUP($A186,'Données projet'!$A$512:$I$532,5,0)*VLOOKUP('Données projet'!$B$27,Paramètres!$A$1:$I$89,7,0))</f>
        <v>0</v>
      </c>
      <c r="OL186" s="16">
        <f>IF(ISNA(VLOOKUP($A186,'Données projet'!$A$512:$I$532,6,0)),0%,VLOOKUP($A186,'Données projet'!$A$512:$I$532,6,0)*VLOOKUP('Données projet'!$B$27,Paramètres!$A$1:$I$89,7,0))</f>
        <v>0</v>
      </c>
      <c r="OM186" s="16">
        <f>IF(ISNA(VLOOKUP($A186,'Données projet'!$A$512:$I$532,7,0)),0%,VLOOKUP($A186,'Données projet'!$A$512:$I$532,7,0))</f>
        <v>0</v>
      </c>
      <c r="ON186" s="21" t="e">
        <f>EXP(-LN(2)/35)*ON185+(1-EXP(-LN(2)/35))/(LN(2)/35)*OJ186*OK186*VLOOKUP('Données projet'!$B$27,Paramètres!$A$1:$I$89,3,0)*0.475*44/12</f>
        <v>#N/A</v>
      </c>
      <c r="OO186" s="21" t="e">
        <f>EXP(-LN(2)/25)*OO185+(1-EXP(-LN(2)/25))/(LN(2)/25)*Calculateur!OJ186*Calculateur!OL186*VLOOKUP('Données projet'!$B$27,Paramètres!$A$1:$I$89,3,0)*0.475*44/12</f>
        <v>#N/A</v>
      </c>
      <c r="OP186" s="21" t="e">
        <f>EXP(-LN(2)/2)*OP185+(1-EXP(-LN(2)/2))/(LN(2)/2)*OJ186*OM186*VLOOKUP('Données projet'!$B$27,Paramètres!$A$1:$I$89,3,0)*0.475*44/12</f>
        <v>#N/A</v>
      </c>
      <c r="OQ186" s="22" t="e">
        <f t="shared" si="280"/>
        <v>#N/A</v>
      </c>
      <c r="OR186" s="74">
        <f>('Scénario référence'!$F$8+'Scénario référence'!$F$9+'Scénario référence'!$B$17+'Scénario référence'!$B$9+'Scénario référence'!$B$10)*70+IF((45+25*(1-EXP(-0.0175*$A186)))&lt;70,'Scénario référence'!$B$16*(45+25*(1-EXP(-0.0175*$A186))),70*'Scénario référence'!$B$16)+IF((32+38*(1-EXP(-0.0175*$A186)))&lt;70,'Scénario référence'!$B$18*(32+38*(1-EXP(-0.0175*$A186))),70*'Scénario référence'!$B$18)</f>
        <v>70</v>
      </c>
      <c r="OS186" s="12">
        <f>IF($A186&gt;30,10,('Scénario référence'!$B$16+'Scénario référence'!$B$17+'Scénario référence'!$B$18+'Scénario référence'!$B$9+'Scénario référence'!$B$10)*$A186*10/30+('Scénario référence'!$F$8+'Scénario référence'!$F$9)*10)</f>
        <v>10</v>
      </c>
      <c r="OT186" s="12" t="e">
        <f>VLOOKUP($A186,'Données projet'!$A$538:$I$558,2,0)</f>
        <v>#N/A</v>
      </c>
      <c r="OU186" s="12" t="e">
        <f>VLOOKUP($A186,'Données projet'!$A$538:$I$558,9,0)</f>
        <v>#N/A</v>
      </c>
      <c r="OV186" s="12">
        <f t="array" ref="OV186">INDEX(OU:OU,MIN(IF(ISNUMBER(OU186:OU382),ROW(OU186:OU382),"")))</f>
        <v>0</v>
      </c>
      <c r="OW186" s="12">
        <f>IF('Données projet'!$A$538&gt;35,OW185+OV186-PE185,IF($A186&lt;'Données projet'!$A$538,$CQ$205^$A186,IF($A186='Données projet'!$A$538,'Données projet'!$B$538,OW185+OV186-PE185)))</f>
        <v>0</v>
      </c>
      <c r="OX186" s="17" t="e">
        <f>OW186*VLOOKUP('Données projet'!$B$28,Paramètres!$A$1:$I$89,3,0)*VLOOKUP('Données projet'!$B$28,Paramètres!$A$1:$I$89,5,0)</f>
        <v>#N/A</v>
      </c>
      <c r="OY186" s="13" t="e">
        <f t="shared" si="324"/>
        <v>#N/A</v>
      </c>
      <c r="OZ186" s="14" t="e">
        <f t="shared" si="281"/>
        <v>#N/A</v>
      </c>
      <c r="PA186" s="59" t="e">
        <f t="shared" si="282"/>
        <v>#N/A</v>
      </c>
      <c r="PB186" s="20" t="e">
        <f ca="1">AVERAGE(OFFSET($PA$3,0,0,'Données projet'!$E$28+1,1))-AVERAGE(OFFSET($H$3,0,0,'Données projet'!$E$28+1,1))</f>
        <v>#N/A</v>
      </c>
      <c r="PC186" s="59" t="e">
        <f t="shared" si="325"/>
        <v>#N/A</v>
      </c>
      <c r="PD186" s="15">
        <f>IF(ISNA(VLOOKUP($A186,'Données projet'!$A$538:$I$558,3,0)),0,VLOOKUP($A186,'Données projet'!$A$538:$I$558,3,0))</f>
        <v>0</v>
      </c>
      <c r="PE186" s="15">
        <f>IF(ISNA(VLOOKUP($A186,'Données projet'!$A$538:$I$558,4,0)),0,VLOOKUP($A186,'Données projet'!$A$538:$I$558,4,0))</f>
        <v>0</v>
      </c>
      <c r="PF186" s="16">
        <f>IF(ISNA(VLOOKUP($A186,'Données projet'!$A$538:$I$558,5,0)),0%,VLOOKUP($A186,'Données projet'!$A$538:$I$558,5,0)*VLOOKUP('Données projet'!$B$28,Paramètres!$A$1:$I$89,7,0))</f>
        <v>0</v>
      </c>
      <c r="PG186" s="16">
        <f>IF(ISNA(VLOOKUP($A186,'Données projet'!$A$538:$I$558,6,0)),0%,VLOOKUP($A186,'Données projet'!$A$538:$I$558,6,0)*VLOOKUP('Données projet'!$B$28,Paramètres!$A$1:$I$89,7,0))</f>
        <v>0</v>
      </c>
      <c r="PH186" s="16">
        <f>IF(ISNA(VLOOKUP($A186,'Données projet'!$A$538:$I$558,7,0)),0%,VLOOKUP($A186,'Données projet'!$A$538:$I$558,7,0))</f>
        <v>0</v>
      </c>
      <c r="PI186" s="21" t="e">
        <f>EXP(-LN(2)/35)*PI185+(1-EXP(-LN(2)/35))/(LN(2)/35)*PE186*PF186*VLOOKUP('Données projet'!$B$28,Paramètres!$A$1:$I$89,3,0)*0.475*44/12</f>
        <v>#N/A</v>
      </c>
      <c r="PJ186" s="21" t="e">
        <f>EXP(-LN(2)/25)*PJ185+(1-EXP(-LN(2)/25))/(LN(2)/25)*Calculateur!PE186*Calculateur!PG186*VLOOKUP('Données projet'!$B$28,Paramètres!$A$1:$I$89,3,0)*0.475*44/12</f>
        <v>#N/A</v>
      </c>
      <c r="PK186" s="21" t="e">
        <f>EXP(-LN(2)/2)*PK185+(1-EXP(-LN(2)/2))/(LN(2)/2)*PE186*PH186*VLOOKUP('Données projet'!$B$28,Paramètres!$A$1:$I$89,3,0)*0.475*44/12</f>
        <v>#N/A</v>
      </c>
      <c r="PL186" s="22" t="e">
        <f t="shared" si="283"/>
        <v>#N/A</v>
      </c>
    </row>
    <row r="187" spans="1:428" x14ac:dyDescent="0.35">
      <c r="A187" s="10">
        <f t="shared" si="326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285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225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projet'!$A$45:$I$65,2,0)</f>
        <v>#N/A</v>
      </c>
      <c r="L187" s="12" t="e">
        <f>VLOOKUP(A187,'Données projet'!$A$45:$I$65,9,0)</f>
        <v>#N/A</v>
      </c>
      <c r="M187" s="12">
        <f t="array" ref="M187">INDEX(L:L,MIN(IF(ISNUMBER(L187:L383),ROW(L187:L383),"")))</f>
        <v>0</v>
      </c>
      <c r="N187" s="13">
        <f>IF('Données projet'!$A$46&gt;35,N186+M187-V186,IF(A187&lt;'Données projet'!$A$46,$K$205^A187,IF(A187='Données projet'!$A$46,'Données projet'!$B$46,N186+M187-V186)))</f>
        <v>-1.1368683772161603E-13</v>
      </c>
      <c r="O187" s="13">
        <f>N187*VLOOKUP('Données projet'!$B$9,Paramètres!$A$1:$I$89,3,0)*VLOOKUP('Données projet'!$B$9,Paramètres!$A$1:$I$89,5,0)</f>
        <v>-6.3550942286383367E-14</v>
      </c>
      <c r="P187" s="13" t="e">
        <f t="shared" si="286"/>
        <v>#NUM!</v>
      </c>
      <c r="Q187" s="20" t="e">
        <f t="shared" si="327"/>
        <v>#NUM!</v>
      </c>
      <c r="R187" s="59" t="e">
        <f t="shared" si="224"/>
        <v>#NUM!</v>
      </c>
      <c r="S187" s="59">
        <f ca="1">AVERAGE(OFFSET($R$3,0,0,'Données projet'!$E$9+1,1))-AVERAGE(OFFSET($H$3,0,0,'Données projet'!$E$9+1,1))</f>
        <v>274.57619581652199</v>
      </c>
      <c r="T187" s="59">
        <f t="shared" si="287"/>
        <v>366.15117322598775</v>
      </c>
      <c r="U187" s="15">
        <f>IF(ISNA(VLOOKUP(A187,'Données projet'!$A$45:$I$65,3,0)),0,VLOOKUP(A187,'Données projet'!$A$45:$I$65,3,0))</f>
        <v>0</v>
      </c>
      <c r="V187" s="15">
        <f>IF(ISNA(VLOOKUP(A187,'Données projet'!$A$45:$I$65,4,0)),0,VLOOKUP(A187,'Données projet'!$A$45:$I$65,4,0))</f>
        <v>0</v>
      </c>
      <c r="W187" s="16">
        <f>IF(ISNA(VLOOKUP(A187,'Données projet'!$A$45:$I$65,5,0)),0%,VLOOKUP(A187,'Données projet'!$A$45:$I$65,5,0)*VLOOKUP('Données projet'!$B$9,Paramètres!$A$1:$I$89,7,0))</f>
        <v>0</v>
      </c>
      <c r="X187" s="16">
        <f>IF(ISNA(VLOOKUP(A187,'Données projet'!$A$45:$I$65,6,0)),0%,VLOOKUP(A187,'Données projet'!$A$45:$I$65,6,0)*VLOOKUP('Données projet'!$B$9,Paramètres!$A$1:$I$89,7,0))</f>
        <v>0</v>
      </c>
      <c r="Y187" s="16">
        <f>IF(ISNA(VLOOKUP(A187,'Données projet'!$A$45:$I$65,7,0)),0%,VLOOKUP(A187,'Données projet'!$A$45:$I$65,7,0))</f>
        <v>0</v>
      </c>
      <c r="Z187" s="21">
        <f>EXP(-LN(2)/35)*Z186+(1-EXP(-LN(2)/35))/(LN(2)/35)*V187*W187*VLOOKUP('Données projet'!$B$9,Paramètres!$A$1:$I$89,3,0)*0.475*44/12</f>
        <v>17.614030248073909</v>
      </c>
      <c r="AA187" s="21">
        <f>EXP(-LN(2)/25)*AA186+(1-EXP(-LN(2)/25))/(LN(2)/25)*Calculateur!V187*Calculateur!X187*VLOOKUP('Données projet'!$B$9,Paramètres!$A$1:$I$89,3,0)*0.475*44/12</f>
        <v>1.6112599445462648</v>
      </c>
      <c r="AB187" s="21">
        <f>EXP(-LN(2)/2)*AB186+(1-EXP(-LN(2)/2))/(LN(2)/2)*V187*Y187*VLOOKUP('Données projet'!$B$9,Paramètres!$A$1:$I$89,3,0)*0.475*44/12</f>
        <v>1.3094825633706261E-18</v>
      </c>
      <c r="AC187" s="22">
        <f t="shared" si="328"/>
        <v>19.225290192620175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projet'!$A$71:$I$91,2,0)</f>
        <v>#N/A</v>
      </c>
      <c r="AG187" s="12" t="e">
        <f>VLOOKUP(A187,'Données projet'!$A$71:$I$91,9,0)</f>
        <v>#N/A</v>
      </c>
      <c r="AH187" s="12">
        <f t="array" ref="AH187">INDEX(AG:AG,MIN(IF(ISNUMBER(AG187:AG383),ROW(AG187:AG383),"")))</f>
        <v>0</v>
      </c>
      <c r="AI187" s="13">
        <f>IF('Données projet'!$A$72&gt;35,AI186+AH187-AQ186,IF(A187&lt;'Données projet'!$A$72,$AF$205^A187,IF(A187='Données projet'!$A$72,'Données projet'!$B$72,AI186+AH187-AQ186)))</f>
        <v>5.6843418860808015E-13</v>
      </c>
      <c r="AJ187" s="13">
        <f>AI187*VLOOKUP('Données projet'!$B$10,Paramètres!$A$1:$I$89,3,0)*VLOOKUP('Données projet'!$B$10,Paramètres!$A$1:$I$89,5,0)</f>
        <v>5.1431925385259092E-13</v>
      </c>
      <c r="AK187" s="13">
        <f t="shared" si="329"/>
        <v>6.3855359115685756E-12</v>
      </c>
      <c r="AL187" s="20">
        <f t="shared" si="330"/>
        <v>1.2017247746441865E-11</v>
      </c>
      <c r="AM187" s="59">
        <f t="shared" si="228"/>
        <v>293.33333333334531</v>
      </c>
      <c r="AN187" s="59">
        <f ca="1">AVERAGE(OFFSET($AM$3,0,0,'Données projet'!$E$10+1,1))-AVERAGE(OFFSET($H$3,0,0,'Données projet'!$E$10+1,1))</f>
        <v>270.87836509222456</v>
      </c>
      <c r="AO187" s="59">
        <f t="shared" si="289"/>
        <v>205.24998237949734</v>
      </c>
      <c r="AP187" s="15">
        <f>IF(ISNA(VLOOKUP(A187,'Données projet'!$A$71:$I$91,3,0)),0,VLOOKUP(A187,'Données projet'!$A$71:$I$91,3,0))</f>
        <v>0</v>
      </c>
      <c r="AQ187" s="15">
        <f>IF(ISNA(VLOOKUP(A187,'Données projet'!$A$71:$I$91,4,0)),0,VLOOKUP(A187,'Données projet'!$A$71:$I$91,4,0))</f>
        <v>0</v>
      </c>
      <c r="AR187" s="16">
        <f>IF(ISNA(VLOOKUP(A187,'Données projet'!$A$71:$I$91,5,0)),0%,VLOOKUP(A187,'Données projet'!$A$71:$I$91,5,0)*VLOOKUP('Données projet'!$B$10,Paramètres!$A$1:$I$89,7,0))</f>
        <v>0</v>
      </c>
      <c r="AS187" s="16">
        <f>IF(ISNA(VLOOKUP(A187,'Données projet'!$A$71:$I$91,6,0)),0%,VLOOKUP(A187,'Données projet'!$A$71:$I$91,6,0)*VLOOKUP('Données projet'!$B$10,Paramètres!$A$1:$I$89,7,0))</f>
        <v>0</v>
      </c>
      <c r="AT187" s="16">
        <f>IF(ISNA(VLOOKUP(A187,'Données projet'!$A$71:$I$91,7,0)),0%,VLOOKUP(A187,'Données projet'!$A$71:$I$91,7,0))</f>
        <v>0</v>
      </c>
      <c r="AU187" s="21">
        <f>EXP(-LN(2)/35)*AU186+(1-EXP(-LN(2)/35))/(LN(2)/35)*AQ187*AR187*VLOOKUP('Données projet'!$B$10,Paramètres!$A$1:$I$89,3,0)*0.475*44/12</f>
        <v>59.856962434856712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331"/>
        <v>59.856962434856712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projet'!$A$97:$I$117,2,0)</f>
        <v>#N/A</v>
      </c>
      <c r="BB187" s="12" t="e">
        <f>VLOOKUP(A187,'Données projet'!$A$97:$I$117,9,0)</f>
        <v>#N/A</v>
      </c>
      <c r="BC187" s="12">
        <f t="array" ref="BC187">INDEX(BB:BB,MIN(IF(ISNUMBER(BB187:BB383),ROW(BB187:BB383),"")))</f>
        <v>0</v>
      </c>
      <c r="BD187" s="12">
        <f>IF('Données projet'!$A$98&gt;35,BD186+BC187-BL186,IF(A187&lt;'Données projet'!$A$98,$BA$205^A187,IF(A187='Données projet'!$A$98,'Données projet'!$B$98,BD186+BC187-BL186)))</f>
        <v>-1.1368683772161603E-13</v>
      </c>
      <c r="BE187" s="13">
        <f>BD187*VLOOKUP('Données projet'!$B$11,Paramètres!$A$1:$I$89,3,0)*VLOOKUP('Données projet'!$B$11,Paramètres!$A$1:$I$89,5,0)</f>
        <v>-5.0249582272954292E-14</v>
      </c>
      <c r="BF187" s="13" t="e">
        <f t="shared" si="332"/>
        <v>#NUM!</v>
      </c>
      <c r="BG187" s="20" t="e">
        <f t="shared" si="333"/>
        <v>#NUM!</v>
      </c>
      <c r="BH187" s="59" t="e">
        <f t="shared" si="231"/>
        <v>#NUM!</v>
      </c>
      <c r="BI187" s="59">
        <f ca="1">AVERAGE(OFFSET($BH$3,0,0,'Données projet'!$E$11+1,1))-AVERAGE(OFFSET($H$3,0,0,'Données projet'!$E$11+1,1))</f>
        <v>211.31057120485542</v>
      </c>
      <c r="BJ187" s="59">
        <f t="shared" si="291"/>
        <v>283.33292006714777</v>
      </c>
      <c r="BK187" s="15">
        <f>IF(ISNA(VLOOKUP(A187,'Données projet'!$A$97:$I$117,3,0)),0,VLOOKUP(A187,'Données projet'!$A$97:$I$117,3,0))</f>
        <v>0</v>
      </c>
      <c r="BL187" s="15">
        <f>IF(ISNA(VLOOKUP(A187,'Données projet'!$A$97:$I$117,4,0)),0,VLOOKUP(A187,'Données projet'!$A$97:$I$117,4,0))</f>
        <v>0</v>
      </c>
      <c r="BM187" s="16">
        <f>IF(ISNA(VLOOKUP(A187,'Données projet'!$A$97:$I$117,5,0)),0%,VLOOKUP(A187,'Données projet'!$A$97:$I$117,5,0)*VLOOKUP('Données projet'!$B$11,Paramètres!$A$1:$I$89,7,0))</f>
        <v>0</v>
      </c>
      <c r="BN187" s="16">
        <f>IF(ISNA(VLOOKUP(A187,'Données projet'!$A$97:$I$117,6,0)),0%,VLOOKUP(A187,'Données projet'!$A$97:$I$117,6,0)*VLOOKUP('Données projet'!$B$11,Paramètres!$A$1:$I$89,7,0))</f>
        <v>0</v>
      </c>
      <c r="BO187" s="16">
        <f>IF(ISNA(VLOOKUP(A187,'Données projet'!$A$97:$I$117,7,0)),0%,VLOOKUP(A187,'Données projet'!$A$97:$I$117,7,0))</f>
        <v>0</v>
      </c>
      <c r="BP187" s="21">
        <f>EXP(-LN(2)/35)*BP186+(1-EXP(-LN(2)/35))/(LN(2)/35)*BL187*BM187*VLOOKUP('Données projet'!$B$11,Paramètres!$A$1:$I$89,3,0)*0.475*44/12</f>
        <v>13.927372754291012</v>
      </c>
      <c r="BQ187" s="21">
        <f>EXP(-LN(2)/25)*BQ186+(1-EXP(-LN(2)/25))/(LN(2)/25)*Calculateur!BL187*Calculateur!BN187*VLOOKUP('Données projet'!$B$11,Paramètres!$A$1:$I$89,3,0)*0.475*44/12</f>
        <v>1.2740194910365807</v>
      </c>
      <c r="BR187" s="21">
        <f>EXP(-LN(2)/2)*BR186+(1-EXP(-LN(2)/2))/(LN(2)/2)*BL187*BO187*VLOOKUP('Données projet'!$B$11,Paramètres!$A$1:$I$89,3,0)*0.475*44/12</f>
        <v>1.0354048175488669E-18</v>
      </c>
      <c r="BS187" s="22">
        <f t="shared" si="334"/>
        <v>15.201392245327593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projet'!$A$123:$I$143,2,0)</f>
        <v>#N/A</v>
      </c>
      <c r="BW187" s="12" t="e">
        <f>VLOOKUP(A187,'Données projet'!$A$123:$I$143,9,0)</f>
        <v>#N/A</v>
      </c>
      <c r="BX187" s="12">
        <f t="array" ref="BX187">INDEX(BW:BW,MIN(IF(ISNUMBER(BW187:BW383),ROW(BW187:BW383),"")))</f>
        <v>0</v>
      </c>
      <c r="BY187" s="12">
        <f>IF('Données projet'!$A$124&gt;35,BY186+BX187-CG186,IF(A187&lt;'Données projet'!$A$124,$BV$205^A187,IF(A187='Données projet'!$A$124,'Données projet'!$B$124,BY186+BX187-CG186)))</f>
        <v>0</v>
      </c>
      <c r="BZ187" s="13">
        <f>BY187*VLOOKUP('Données projet'!$B$12,Paramètres!$A$1:$I$89,3,0)*VLOOKUP('Données projet'!$B$12,Paramètres!$A$1:$I$89,5,0)</f>
        <v>0</v>
      </c>
      <c r="CA187" s="13" t="e">
        <f t="shared" si="335"/>
        <v>#NUM!</v>
      </c>
      <c r="CB187" s="20" t="e">
        <f t="shared" si="336"/>
        <v>#NUM!</v>
      </c>
      <c r="CC187" s="59" t="e">
        <f t="shared" si="234"/>
        <v>#NUM!</v>
      </c>
      <c r="CD187" s="59">
        <f ca="1">AVERAGE(OFFSET($CC$3,0,0,'Données projet'!$E$12+1,1))-AVERAGE(OFFSET($H$3,0,0,'Données projet'!$E$12+1,1))</f>
        <v>322.93502595881938</v>
      </c>
      <c r="CE187" s="59">
        <f t="shared" si="293"/>
        <v>302.67072119588164</v>
      </c>
      <c r="CF187" s="15">
        <f>IF(ISNA(VLOOKUP(A187,'Données projet'!$A$123:$I$143,3,0)),0,VLOOKUP(A187,'Données projet'!$A$123:$I$143,3,0))</f>
        <v>0</v>
      </c>
      <c r="CG187" s="15">
        <f>IF(ISNA(VLOOKUP(A187,'Données projet'!$A$123:$I$143,4,0)),0,VLOOKUP(A187,'Données projet'!$A$123:$I$143,4,0))</f>
        <v>0</v>
      </c>
      <c r="CH187" s="16">
        <f>IF(ISNA(VLOOKUP(A187,'Données projet'!$A$123:$I$143,5,0)),0%,VLOOKUP(A187,'Données projet'!$A$123:$I$143,5,0)*VLOOKUP('Données projet'!$B$12,Paramètres!$A$1:$I$89,7,0))</f>
        <v>0</v>
      </c>
      <c r="CI187" s="16">
        <f>IF(ISNA(VLOOKUP(A187,'Données projet'!$A$123:$I$143,6,0)),0%,VLOOKUP(A187,'Données projet'!$A$123:$I$143,6,0)*VLOOKUP('Données projet'!$B$12,Paramètres!$A$1:$I$89,7,0))</f>
        <v>0</v>
      </c>
      <c r="CJ187" s="16">
        <f>IF(ISNA(VLOOKUP(A187,'Données projet'!$A$123:$I$143,7,0)),0%,VLOOKUP(A187,'Données projet'!$A$123:$I$143,7,0))</f>
        <v>0</v>
      </c>
      <c r="CK187" s="21">
        <f>EXP(-LN(2)/35)*CK186+(1-EXP(-LN(2)/35))/(LN(2)/35)*CG187*CH187*VLOOKUP('Données projet'!$B$12,Paramètres!$A$1:$I$89,3,0)*0.475*44/12</f>
        <v>22.189670127328316</v>
      </c>
      <c r="CL187" s="21">
        <f>EXP(-LN(2)/25)*CL186+(1-EXP(-LN(2)/25))/(LN(2)/25)*Calculateur!CG187*Calculateur!CI187*VLOOKUP('Données projet'!$B$12,Paramètres!$A$1:$I$89,3,0)*0.475*44/12</f>
        <v>4.0776332027562683</v>
      </c>
      <c r="CM187" s="21">
        <f>EXP(-LN(2)/2)*CM186+(1-EXP(-LN(2)/2))/(LN(2)/2)*CG187*CJ187*VLOOKUP('Données projet'!$B$12,Paramètres!$A$1:$I$89,3,0)*0.475*44/12</f>
        <v>0</v>
      </c>
      <c r="CN187" s="22">
        <f t="shared" si="337"/>
        <v>26.267303330084584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projet'!$A$149:$I$169,2,0)</f>
        <v>#N/A</v>
      </c>
      <c r="CR187" s="12" t="e">
        <f>VLOOKUP(A187,'Données projet'!$A$149:$I$169,9,0)</f>
        <v>#N/A</v>
      </c>
      <c r="CS187" s="12">
        <f t="array" ref="CS187">INDEX(CR:CR,MIN(IF(ISNUMBER(CR187:CR383),ROW(CR187:CR383),"")))</f>
        <v>0</v>
      </c>
      <c r="CT187" s="12">
        <f>IF('Données projet'!$A$150&gt;35,CT186+CS187-DB186,IF(A187&lt;'Données projet'!$A$150,$CQ$205^A187,IF(A187='Données projet'!$A$150,'Données projet'!$B$150,CT186+CS187-DB186)))</f>
        <v>-4.5474735088646412E-13</v>
      </c>
      <c r="CU187" s="17">
        <f>CT187*VLOOKUP('Données projet'!$B$13,Paramètres!$A$1:$I$89,3,0)*VLOOKUP('Données projet'!$B$13,Paramètres!$A$1:$I$89,5,0)</f>
        <v>-4.6111381379887462E-13</v>
      </c>
      <c r="CV187" s="13" t="e">
        <f t="shared" si="338"/>
        <v>#NUM!</v>
      </c>
      <c r="CW187" s="20" t="e">
        <f t="shared" si="339"/>
        <v>#NUM!</v>
      </c>
      <c r="CX187" s="59" t="e">
        <f t="shared" si="237"/>
        <v>#NUM!</v>
      </c>
      <c r="CY187" s="59">
        <f ca="1">AVERAGE(OFFSET($CX$3,0,0,'Données projet'!$E$13+1,1))-AVERAGE(OFFSET($H$3,0,0,'Données projet'!$E$13+1,1))</f>
        <v>250.31277422753283</v>
      </c>
      <c r="CZ187" s="59">
        <f t="shared" si="295"/>
        <v>159.20429420478047</v>
      </c>
      <c r="DA187" s="15">
        <f>IF(ISNA(VLOOKUP(A187,'Données projet'!$A$149:$I$169,3,0)),0,VLOOKUP(A187,'Données projet'!$A$149:$I$169,3,0))</f>
        <v>0</v>
      </c>
      <c r="DB187" s="15">
        <f>IF(ISNA(VLOOKUP(A187,'Données projet'!$A$149:$I$169,4,0)),0,VLOOKUP(A187,'Données projet'!$A$149:$I$169,4,0))</f>
        <v>0</v>
      </c>
      <c r="DC187" s="16">
        <f>IF(ISNA(VLOOKUP(A187,'Données projet'!$A$149:$I$169,5,0)),0%,VLOOKUP(A187,'Données projet'!$A$149:$I$169,5,0)*VLOOKUP('Données projet'!$B$13,Paramètres!$A$1:$I$89,7,0))</f>
        <v>0</v>
      </c>
      <c r="DD187" s="16">
        <f>IF(ISNA(VLOOKUP(A187,'Données projet'!$A$149:$I$169,6,0)),0%,VLOOKUP(A187,'Données projet'!$A$149:$I$169,6,0)*VLOOKUP('Données projet'!$B$13,Paramètres!$A$1:$I$89,7,0))</f>
        <v>0</v>
      </c>
      <c r="DE187" s="16">
        <f>IF(ISNA(VLOOKUP(A187,'Données projet'!$A$149:$I$169,7,0)),0%,VLOOKUP(A187,'Données projet'!$A$149:$I$169,7,0))</f>
        <v>0</v>
      </c>
      <c r="DF187" s="21">
        <f>EXP(-LN(2)/35)*DF186+(1-EXP(-LN(2)/35))/(LN(2)/35)*DB187*DC187*VLOOKUP('Données projet'!$B$13,Paramètres!$A$1:$I$89,3,0)*0.475*44/12</f>
        <v>101.0139895854464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340"/>
        <v>101.0139895854464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projet'!$A$175:$I$195,2,0)</f>
        <v>#N/A</v>
      </c>
      <c r="DM187" s="12" t="e">
        <f>VLOOKUP(A187,'Données projet'!$A$175:$I$195,9,0)</f>
        <v>#N/A</v>
      </c>
      <c r="DN187" s="12">
        <f t="array" ref="DN187">INDEX(DM:DM,MIN(IF(ISNUMBER(DM187:DM383),ROW(DM187:DM383),"")))</f>
        <v>0</v>
      </c>
      <c r="DO187" s="12">
        <f>IF('Données projet'!$A$176&gt;35,DO186+DN187-DW186,IF(A187&lt;'Données projet'!$A$176,$DL$205^A187,IF(A187='Données projet'!$A$176,'Données projet'!$B$176,DO186+DN187-DW186)))</f>
        <v>-2.8421709430404007E-13</v>
      </c>
      <c r="DP187" s="17">
        <f>DO187*VLOOKUP('Données projet'!$B$14,Paramètres!$A$1:$I$89,3,0)*VLOOKUP('Données projet'!$B$14,Paramètres!$A$1:$I$89,5,0)</f>
        <v>-2.0838797354372215E-13</v>
      </c>
      <c r="DQ187" s="13" t="e">
        <f t="shared" si="341"/>
        <v>#NUM!</v>
      </c>
      <c r="DR187" s="20" t="e">
        <f t="shared" si="342"/>
        <v>#NUM!</v>
      </c>
      <c r="DS187" s="59" t="e">
        <f t="shared" si="240"/>
        <v>#NUM!</v>
      </c>
      <c r="DT187" s="59">
        <f ca="1">AVERAGE(OFFSET($DS$3,0,0,'Données projet'!$E$14+1,1))-AVERAGE(OFFSET($H$3,0,0,'Données projet'!$E$14+1,1))</f>
        <v>296.91321813251051</v>
      </c>
      <c r="DU187" s="59">
        <f t="shared" si="297"/>
        <v>291.0718079639509</v>
      </c>
      <c r="DV187" s="15">
        <f>IF(ISNA(VLOOKUP(A187,'Données projet'!$A$175:$I$195,3,0)),0,VLOOKUP(A187,'Données projet'!$A$175:$I$195,3,0))</f>
        <v>0</v>
      </c>
      <c r="DW187" s="15">
        <f>IF(ISNA(VLOOKUP(A187,'Données projet'!$A$175:$I$195,4,0)),0,VLOOKUP(A187,'Données projet'!$A$175:$I$195,4,0))</f>
        <v>0</v>
      </c>
      <c r="DX187" s="16">
        <f>IF(ISNA(VLOOKUP(A187,'Données projet'!$A$175:$I$195,5,0)),0%,VLOOKUP(A187,'Données projet'!$A$175:$I$195,5,0)*VLOOKUP('Données projet'!$B$14,Paramètres!$A$1:$I$89,7,0))</f>
        <v>0</v>
      </c>
      <c r="DY187" s="16">
        <f>IF(ISNA(VLOOKUP(A187,'Données projet'!$A$175:$I$195,6,0)),0%,VLOOKUP(A187,'Données projet'!$A$175:$I$195,6,0)*VLOOKUP('Données projet'!$B$14,Paramètres!$A$1:$I$89,7,0))</f>
        <v>0</v>
      </c>
      <c r="DZ187" s="16">
        <f>IF(ISNA(VLOOKUP(A187,'Données projet'!$A$175:$I$195,7,0)),0%,VLOOKUP(A187,'Données projet'!$A$175:$I$195,7,0))</f>
        <v>0</v>
      </c>
      <c r="EA187" s="21">
        <f>EXP(-LN(2)/35)*EA186+(1-EXP(-LN(2)/35))/(LN(2)/35)*DW187*DX187*VLOOKUP('Données projet'!$B$14,Paramètres!$A$1:$I$89,3,0)*0.475*44/12</f>
        <v>22.115977279863582</v>
      </c>
      <c r="EB187" s="21">
        <f>EXP(-LN(2)/25)*EB186+(1-EXP(-LN(2)/25))/(LN(2)/25)*Calculateur!DW187*Calculateur!DY187*VLOOKUP('Données projet'!$B$14,Paramètres!$A$1:$I$89,3,0)*0.475*44/12</f>
        <v>0.29954663326595826</v>
      </c>
      <c r="EC187" s="21">
        <f>EXP(-LN(2)/2)*EC186+(1-EXP(-LN(2)/2))/(LN(2)/2)*DW187*DZ187*VLOOKUP('Données projet'!$B$14,Paramètres!$A$1:$I$89,3,0)*0.475*44/12</f>
        <v>0</v>
      </c>
      <c r="ED187" s="22">
        <f t="shared" si="343"/>
        <v>22.41552391312954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projet'!$A$201:$I$221,2,0)</f>
        <v>#N/A</v>
      </c>
      <c r="EH187" s="12" t="e">
        <f>VLOOKUP(A187,'Données projet'!$A$201:$I$221,9,0)</f>
        <v>#N/A</v>
      </c>
      <c r="EI187" s="12">
        <f t="array" ref="EI187">INDEX(EH:EH,MIN(IF(ISNUMBER(EH187:EH383),ROW(EH187:EH383),"")))</f>
        <v>0</v>
      </c>
      <c r="EJ187" s="12">
        <f>IF('Données projet'!$A$202&gt;35,EJ186+EI187-ER186,IF(A187&lt;'Données projet'!$A$202,$EG$205^A187,IF(A187='Données projet'!$A$202,'Données projet'!$B$202,EJ186+EI187-ER186)))</f>
        <v>5.1159076974727213E-13</v>
      </c>
      <c r="EK187" s="17">
        <f>EJ187*VLOOKUP('Données projet'!$B$15,Paramètres!$A$1:$I$89,3,0)*VLOOKUP('Données projet'!$B$15,Paramètres!$A$1:$I$89,5,0)</f>
        <v>2.3942448024172334E-13</v>
      </c>
      <c r="EL187" s="13">
        <f t="shared" si="344"/>
        <v>3.2492669905861755E-12</v>
      </c>
      <c r="EM187" s="20">
        <f t="shared" si="345"/>
        <v>6.0761376450252565E-12</v>
      </c>
      <c r="EN187" s="59">
        <f t="shared" si="243"/>
        <v>293.3333333333394</v>
      </c>
      <c r="EO187" s="59">
        <f ca="1">AVERAGE(OFFSET($EN$3,0,0,'Données projet'!$E$15+1,1))-AVERAGE(OFFSET($H$3,0,0,'Données projet'!$E$15+1,1))</f>
        <v>147.64256291235483</v>
      </c>
      <c r="EP187" s="59">
        <f t="shared" si="299"/>
        <v>70.859031694091868</v>
      </c>
      <c r="EQ187" s="15">
        <f>IF(ISNA(VLOOKUP(A187,'Données projet'!$A$201:$I$221,3,0)),0,VLOOKUP(A187,'Données projet'!$A$201:$I$221,3,0))</f>
        <v>0</v>
      </c>
      <c r="ER187" s="15">
        <f>IF(ISNA(VLOOKUP(A187,'Données projet'!$A$201:$I$221,4,0)),0,VLOOKUP(A187,'Données projet'!$A$201:$I$221,4,0))</f>
        <v>0</v>
      </c>
      <c r="ES187" s="16">
        <f>IF(ISNA(VLOOKUP(A187,'Données projet'!$A$201:$I$221,5,0)),0%,VLOOKUP(A187,'Données projet'!$A$201:$I$221,5,0)*VLOOKUP('Données projet'!$B$15,Paramètres!$A$1:$I$89,7,0))</f>
        <v>0</v>
      </c>
      <c r="ET187" s="16">
        <f>IF(ISNA(VLOOKUP(A187,'Données projet'!$A$201:$I$221,6,0)),0%,VLOOKUP(A187,'Données projet'!$A$201:$I$221,6,0)*VLOOKUP('Données projet'!$B$15,Paramètres!$A$1:$I$89,7,0))</f>
        <v>0</v>
      </c>
      <c r="EU187" s="16">
        <f>IF(ISNA(VLOOKUP(A187,'Données projet'!$A$201:$I$221,7,0)),0%,VLOOKUP(A187,'Données projet'!$A$201:$I$221,7,0))</f>
        <v>0</v>
      </c>
      <c r="EV187" s="21">
        <f>EXP(-LN(2)/35)*EV186+(1-EXP(-LN(2)/35))/(LN(2)/35)*ER187*ES187*VLOOKUP('Données projet'!$B$15,Paramètres!$A$1:$I$89,3,0)*0.475*44/12</f>
        <v>30.277121506732058</v>
      </c>
      <c r="EW187" s="21">
        <f>EXP(-LN(2)/25)*EW186+(1-EXP(-LN(2)/25))/(LN(2)/25)*Calculateur!ER187*Calculateur!ET187*VLOOKUP('Données projet'!$B$15,Paramètres!$A$1:$I$89,3,0)*0.475*44/12</f>
        <v>4.1559077484328029</v>
      </c>
      <c r="EX187" s="21">
        <f>EXP(-LN(2)/2)*EX186+(1-EXP(-LN(2)/2))/(LN(2)/2)*ER187*EU187*VLOOKUP('Données projet'!$B$15,Paramètres!$A$1:$I$89,3,0)*0.475*44/12</f>
        <v>9.440178580836822E-11</v>
      </c>
      <c r="EY187" s="22">
        <f t="shared" si="346"/>
        <v>34.433029255259264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projet'!$A$227:$I$247,2,0)</f>
        <v>#N/A</v>
      </c>
      <c r="FC187" s="12" t="e">
        <f>VLOOKUP(A187,'Données projet'!$A$227:$I$247,9,0)</f>
        <v>#N/A</v>
      </c>
      <c r="FD187" s="12">
        <f t="array" ref="FD187">INDEX(FC:FC,MIN(IF(ISNUMBER(FC187:FC383),ROW(FC187:FC383),"")))</f>
        <v>0</v>
      </c>
      <c r="FE187" s="12">
        <f>IF('Données projet'!$A$228&gt;35,FE186+FD187-FM186,IF(A187&lt;'Données projet'!$A$228,$FB$205^A187,IF(A187='Données projet'!$A$228,'Données projet'!$B$228,FE186+FD187-FM186)))</f>
        <v>8.5265128291212022E-14</v>
      </c>
      <c r="FF187" s="17">
        <f>FE187*VLOOKUP('Données projet'!$B$16,Paramètres!$A$1:$I$89,3,0)*VLOOKUP('Données projet'!$B$16,Paramètres!$A$1:$I$89,5,0)</f>
        <v>8.9119112089974823E-14</v>
      </c>
      <c r="FG187" s="13">
        <f t="shared" si="347"/>
        <v>1.3568952080113142E-12</v>
      </c>
      <c r="FH187" s="20">
        <f t="shared" si="348"/>
        <v>2.5184749408430782E-12</v>
      </c>
      <c r="FI187" s="59">
        <f t="shared" si="246"/>
        <v>293.33333333333582</v>
      </c>
      <c r="FJ187" s="59">
        <f ca="1">AVERAGE(OFFSET($FI$3,0,0,'Données projet'!$E$16+1,1))-AVERAGE(OFFSET($H$3,0,0,'Données projet'!$E$16+1,1))</f>
        <v>259.03906550253788</v>
      </c>
      <c r="FK187" s="59">
        <f t="shared" si="301"/>
        <v>235.54542903570831</v>
      </c>
      <c r="FL187" s="15">
        <f>IF(ISNA(VLOOKUP(A187,'Données projet'!$A$227:$I$247,3,0)),0,VLOOKUP(A187,'Données projet'!$A$227:$I$247,3,0))</f>
        <v>0</v>
      </c>
      <c r="FM187" s="15">
        <f>IF(ISNA(VLOOKUP(A187,'Données projet'!$A$227:$I$247,4,0)),0,VLOOKUP(A187,'Données projet'!$A$227:$I$247,4,0))</f>
        <v>0</v>
      </c>
      <c r="FN187" s="16">
        <f>IF(ISNA(VLOOKUP(A187,'Données projet'!$A$227:$I$247,5,0)),0%,VLOOKUP(A187,'Données projet'!$A$227:$I$247,5,0)*VLOOKUP('Données projet'!$B$16,Paramètres!$A$1:$I$89,7,0))</f>
        <v>0</v>
      </c>
      <c r="FO187" s="16">
        <f>IF(ISNA(VLOOKUP(A187,'Données projet'!$A$227:$I$247,6,0)),0%,VLOOKUP(A187,'Données projet'!$A$227:$I$247,6,0)*VLOOKUP('Données projet'!$B$16,Paramètres!$A$1:$I$89,7,0))</f>
        <v>0</v>
      </c>
      <c r="FP187" s="16">
        <f>IF(ISNA(VLOOKUP(A187,'Données projet'!$A$227:$I$247,7,0)),0%,VLOOKUP(A187,'Données projet'!$A$227:$I$247,7,0))</f>
        <v>0</v>
      </c>
      <c r="FQ187" s="21">
        <f>EXP(-LN(2)/35)*FQ186+(1-EXP(-LN(2)/35))/(LN(2)/35)*FM187*FN187*VLOOKUP('Données projet'!$B$16,Paramètres!$A$1:$I$89,3,0)*0.475*44/12</f>
        <v>13.363498594723007</v>
      </c>
      <c r="FR187" s="21">
        <f>EXP(-LN(2)/25)*FR186+(1-EXP(-LN(2)/25))/(LN(2)/25)*Calculateur!FM187*Calculateur!FO187*VLOOKUP('Données projet'!$B$16,Paramètres!$A$1:$I$89,3,0)*0.475*44/12</f>
        <v>5.7171769667256536</v>
      </c>
      <c r="FS187" s="21">
        <f>EXP(-LN(2)/2)*FS186+(1-EXP(-LN(2)/2))/(LN(2)/2)*FM187*FP187*VLOOKUP('Données projet'!$B$16,Paramètres!$A$1:$I$89,3,0)*0.475*44/12</f>
        <v>0</v>
      </c>
      <c r="FT187" s="22">
        <f t="shared" si="349"/>
        <v>19.080675561448661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projet'!$A$253:$I$273,2,0)</f>
        <v>#N/A</v>
      </c>
      <c r="FX187" s="12" t="e">
        <f>VLOOKUP(A187,'Données projet'!$A$253:$I$273,9,0)</f>
        <v>#N/A</v>
      </c>
      <c r="FY187" s="12">
        <f t="array" ref="FY187">INDEX(FX:FX,MIN(IF(ISNUMBER(FX187:FX383),ROW(FX187:FX383),"")))</f>
        <v>0</v>
      </c>
      <c r="FZ187" s="12">
        <f>IF('Données projet'!$A$254&gt;35,FZ186+FY187-GH186,IF(A187&lt;'Données projet'!$A$254,$FW$205^A187,IF(A187='Données projet'!$A$254,'Données projet'!$B$254,FZ186+FY187-GH186)))</f>
        <v>-1.7053025658242404E-13</v>
      </c>
      <c r="GA187" s="17">
        <f>FZ187*VLOOKUP('Données projet'!$B$17,Paramètres!$A$1:$I$89,3,0)*VLOOKUP('Données projet'!$B$17,Paramètres!$A$1:$I$89,5,0)</f>
        <v>-1.4897523215040567E-13</v>
      </c>
      <c r="GB187" s="13" t="e">
        <f t="shared" si="350"/>
        <v>#NUM!</v>
      </c>
      <c r="GC187" s="20" t="e">
        <f t="shared" si="351"/>
        <v>#NUM!</v>
      </c>
      <c r="GD187" s="59" t="e">
        <f t="shared" si="249"/>
        <v>#NUM!</v>
      </c>
      <c r="GE187" s="59">
        <f ca="1">AVERAGE(OFFSET($GD$3,0,0,'Données projet'!$E$17+1,1))-AVERAGE(OFFSET($H$3,0,0,'Données projet'!$E$17+1,1))</f>
        <v>245.1983232777614</v>
      </c>
      <c r="GF187" s="59">
        <f t="shared" si="303"/>
        <v>242.34010522344573</v>
      </c>
      <c r="GG187" s="15">
        <f>IF(ISNA(VLOOKUP(A187,'Données projet'!$A$253:$I$273,3,0)),0,VLOOKUP(A187,'Données projet'!$A$253:$I$273,3,0))</f>
        <v>0</v>
      </c>
      <c r="GH187" s="15">
        <f>IF(ISNA(VLOOKUP(A187,'Données projet'!$A$253:$I$273,4,0)),0,VLOOKUP(A187,'Données projet'!$A$253:$I$273,4,0))</f>
        <v>0</v>
      </c>
      <c r="GI187" s="16">
        <f>IF(ISNA(VLOOKUP(A187,'Données projet'!$A$253:$I$273,5,0)),0%,VLOOKUP(A187,'Données projet'!$A$253:$I$273,5,0)*VLOOKUP('Données projet'!$B$17,Paramètres!$A$1:$I$89,7,0))</f>
        <v>0</v>
      </c>
      <c r="GJ187" s="16">
        <f>IF(ISNA(VLOOKUP(A187,'Données projet'!$A$253:$I$273,6,0)),0%,VLOOKUP(A187,'Données projet'!$A$253:$I$273,6,0)*VLOOKUP('Données projet'!$B$17,Paramètres!$A$1:$I$89,7,0))</f>
        <v>0</v>
      </c>
      <c r="GK187" s="16">
        <f>IF(ISNA(VLOOKUP(A187,'Données projet'!$A$253:$I$273,7,0)),0%,VLOOKUP(A187,'Données projet'!$A$253:$I$273,7,0))</f>
        <v>0</v>
      </c>
      <c r="GL187" s="21">
        <f>EXP(-LN(2)/35)*GL186+(1-EXP(-LN(2)/35))/(LN(2)/35)*GH187*GI187*VLOOKUP('Données projet'!$B$17,Paramètres!$A$1:$I$89,3,0)*0.475*44/12</f>
        <v>15.710626100797738</v>
      </c>
      <c r="GM187" s="21">
        <f>EXP(-LN(2)/25)*GM186+(1-EXP(-LN(2)/25))/(LN(2)/25)*Calculateur!GH187*Calculateur!GJ187*VLOOKUP('Données projet'!$B$17,Paramètres!$A$1:$I$89,3,0)*0.475*44/12</f>
        <v>1.21819113183724</v>
      </c>
      <c r="GN187" s="21">
        <f>EXP(-LN(2)/2)*GN186+(1-EXP(-LN(2)/2))/(LN(2)/2)*GH187*GK187*VLOOKUP('Données projet'!$B$17,Paramètres!$A$1:$I$89,3,0)*0.475*44/12</f>
        <v>0</v>
      </c>
      <c r="GO187" s="21">
        <f t="shared" si="352"/>
        <v>16.928817232634977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projet'!$A$279:$I$299,2,0)</f>
        <v>#N/A</v>
      </c>
      <c r="GS187" s="12" t="e">
        <f>VLOOKUP(A187,'Données projet'!$A$279:$I$299,9,0)</f>
        <v>#N/A</v>
      </c>
      <c r="GT187" s="12">
        <f t="array" ref="GT187">INDEX(GS:GS,MIN(IF(ISNUMBER(GS187:GS383),ROW(GS187:GS383),"")))</f>
        <v>0</v>
      </c>
      <c r="GU187" s="12">
        <f>IF('Données projet'!$A$280&gt;35,GU186+GT187-HC186,IF(A187&lt;'Données projet'!$A$280,$GR$205^A187,IF(A187='Données projet'!$A$280,'Données projet'!$B$280,GU186+GT187-HC186)))</f>
        <v>-1.1368683772161603E-13</v>
      </c>
      <c r="GV187" s="17">
        <f>GU187*VLOOKUP('Données projet'!$B$18,Paramètres!$A$1:$I$89,3,0)*VLOOKUP('Données projet'!$B$18,Paramètres!$A$1:$I$89,5,0)</f>
        <v>-4.5815795601811263E-14</v>
      </c>
      <c r="GW187" s="13" t="e">
        <f t="shared" si="353"/>
        <v>#NUM!</v>
      </c>
      <c r="GX187" s="20" t="e">
        <f t="shared" si="354"/>
        <v>#NUM!</v>
      </c>
      <c r="GY187" s="59" t="e">
        <f t="shared" si="252"/>
        <v>#NUM!</v>
      </c>
      <c r="GZ187" s="59">
        <f ca="1">AVERAGE(OFFSET($GY$3,0,0,'Données projet'!$E$18+1,1))-AVERAGE(OFFSET($H$3,0,0,'Données projet'!$E$18+1,1))</f>
        <v>324.36162935850876</v>
      </c>
      <c r="HA187" s="59">
        <f t="shared" si="305"/>
        <v>265.23571072429735</v>
      </c>
      <c r="HB187" s="15">
        <f>IF(ISNA(VLOOKUP(A187,'Données projet'!$A$279:$I$299,3,0)),0,VLOOKUP(A187,'Données projet'!$A$279:$I$299,3,0))</f>
        <v>0</v>
      </c>
      <c r="HC187" s="15">
        <f>IF(ISNA(VLOOKUP(A187,'Données projet'!$A$279:$I$299,4,0)),0,VLOOKUP(A187,'Données projet'!$A$279:$I$299,4,0))</f>
        <v>0</v>
      </c>
      <c r="HD187" s="16">
        <f>IF(ISNA(VLOOKUP(A187,'Données projet'!$A$279:$I$299,5,0)),0%,VLOOKUP(A187,'Données projet'!$A$279:$I$299,5,0)*VLOOKUP('Données projet'!$B$18,Paramètres!$A$1:$I$89,7,0))</f>
        <v>0</v>
      </c>
      <c r="HE187" s="16">
        <f>IF(ISNA(VLOOKUP(A187,'Données projet'!$A$279:$I$299,6,0)),0%,VLOOKUP(A187,'Données projet'!$A$279:$I$299,6,0)*VLOOKUP('Données projet'!$B$18,Paramètres!$A$1:$I$89,7,0))</f>
        <v>0</v>
      </c>
      <c r="HF187" s="16">
        <f>IF(ISNA(VLOOKUP($A187,'Données projet'!$A$279:$I$299,7,0)),0%,VLOOKUP($A187,'Données projet'!$A$279:$I$299,7,0))</f>
        <v>0</v>
      </c>
      <c r="HG187" s="21">
        <f>EXP(-LN(2)/35)*HG186+(1-EXP(-LN(2)/35))/(LN(2)/35)*HC187*HD187*VLOOKUP('Données projet'!$B$18,Paramètres!$A$1:$I$89,3,0)*0.475*44/12</f>
        <v>30.105666662310586</v>
      </c>
      <c r="HH187" s="21">
        <f>EXP(-LN(2)/25)*HH186+(1-EXP(-LN(2)/25))/(LN(2)/25)*Calculateur!HC187*Calculateur!HE187*VLOOKUP('Données projet'!$B$18,Paramètres!$A$1:$I$89,3,0)*0.475*44/12</f>
        <v>1.3548464316444602</v>
      </c>
      <c r="HI187" s="21">
        <f>EXP(-LN(2)/2)*HI186+(1-EXP(-LN(2)/2))/(LN(2)/2)*HC187*HF187*VLOOKUP('Données projet'!$B$18,Paramètres!$A$1:$I$89,3,0)*0.475*44/12</f>
        <v>1.8978618031306577E-15</v>
      </c>
      <c r="HJ187" s="22">
        <f t="shared" si="355"/>
        <v>31.460513093955051</v>
      </c>
      <c r="HK187" s="74">
        <f>('Scénario référence'!$F$8+'Scénario référence'!$F$9+'Scénario référence'!$B$17+'Scénario référence'!$B$9+'Scénario référence'!$B$10)*70+IF((45+25*(1-EXP(-0.0175*$A187)))&lt;70,'Scénario référence'!$B$16*(45+25*(1-EXP(-0.0175*$A187))),70*'Scénario référence'!$B$16)+IF((32+38*(1-EXP(-0.0175*$A187)))&lt;70,'Scénario référence'!$B$18*(32+38*(1-EXP(-0.0175*$A187))),70*'Scénario référence'!$B$18)</f>
        <v>70</v>
      </c>
      <c r="HL187" s="12">
        <f>IF($A187&gt;30,10,('Scénario référence'!$B$16+'Scénario référence'!$B$17+'Scénario référence'!$B$18+'Scénario référence'!$B$9+'Scénario référence'!$B$10)*$A187*10/30+('Scénario référence'!$F$8+'Scénario référence'!$F$9)*10)</f>
        <v>10</v>
      </c>
      <c r="HM187" s="12" t="e">
        <f>VLOOKUP($A187,'Données projet'!$A$304:$I$324,2,0)</f>
        <v>#N/A</v>
      </c>
      <c r="HN187" s="12" t="e">
        <f>VLOOKUP($A187,'Données projet'!$A$304:$I$324,9,0)</f>
        <v>#N/A</v>
      </c>
      <c r="HO187" s="12">
        <f t="array" ref="HO187">INDEX(HN:HN,MIN(IF(ISNUMBER(HN187:HN383),ROW(HN187:HN383),"")))</f>
        <v>0</v>
      </c>
      <c r="HP187" s="12">
        <f>IF('Données projet'!$A$304&gt;35,HP186+HO187-HX186,IF($A187&lt;'Données projet'!$A$304,$CQ$205^$A187,IF($A187='Données projet'!$A$304,'Données projet'!$B$304,HP186+HO187-HX186)))</f>
        <v>0</v>
      </c>
      <c r="HQ187" s="17">
        <f>HP187*VLOOKUP('Données projet'!$B$19,Paramètres!$A$1:$I$89,3,0)*VLOOKUP('Données projet'!$B$19,Paramètres!$A$1:$I$89,5,0)</f>
        <v>0</v>
      </c>
      <c r="HR187" s="13" t="e">
        <f t="shared" si="306"/>
        <v>#NUM!</v>
      </c>
      <c r="HS187" s="14" t="e">
        <f t="shared" si="254"/>
        <v>#NUM!</v>
      </c>
      <c r="HT187" s="59" t="e">
        <f t="shared" si="255"/>
        <v>#NUM!</v>
      </c>
      <c r="HU187" s="59">
        <f ca="1">AVERAGE(OFFSET(HT$3,0,0,'Données projet'!$E$19+1,1))-AVERAGE(OFFSET($H$3,0,0,'Données projet'!$E$19+1,1))</f>
        <v>91.60721429656013</v>
      </c>
      <c r="HV187" s="59">
        <f t="shared" si="307"/>
        <v>258.94957804210856</v>
      </c>
      <c r="HW187" s="15">
        <f>IF(ISNA(VLOOKUP($A187,'Données projet'!$A$304:$I$324,3,0)),0,VLOOKUP($A187,'Données projet'!$A$304:$I$324,3,0))</f>
        <v>0</v>
      </c>
      <c r="HX187" s="15">
        <f>IF(ISNA(VLOOKUP($A187,'Données projet'!$A$304:$I$324,4,0)),0,VLOOKUP($A187,'Données projet'!$A$304:$I$324,4,0))</f>
        <v>0</v>
      </c>
      <c r="HY187" s="16">
        <f>IF(ISNA(VLOOKUP($A187,'Données projet'!$A$304:$I$324,5,0)),0%,VLOOKUP($A187,'Données projet'!$A$304:$I$324,5,0)*VLOOKUP('Données projet'!$B$19,Paramètres!$A$1:$I$89,7,0))</f>
        <v>0</v>
      </c>
      <c r="HZ187" s="16">
        <f>IF(ISNA(VLOOKUP($A187,'Données projet'!$A$304:$I$324,6,0)),0%,VLOOKUP($A187,'Données projet'!$A$304:$I$324,6,0)*VLOOKUP('Données projet'!$B$19,Paramètres!$A$1:$I$89,7,0))</f>
        <v>0</v>
      </c>
      <c r="IA187" s="16">
        <f>IF(ISNA(VLOOKUP($A187,'Données projet'!$A$304:$I$324,7,0)),0%,VLOOKUP($A187,'Données projet'!$A$304:$I$324,7,0))</f>
        <v>0</v>
      </c>
      <c r="IB187" s="21">
        <f>EXP(-LN(2)/35)*IB186+(1-EXP(-LN(2)/35))/(LN(2)/35)*HX187*HY187*VLOOKUP('Données projet'!$B$19,Paramètres!$A$1:$I$89,3,0)*0.475*44/12</f>
        <v>2.3366999314037944</v>
      </c>
      <c r="IC187" s="21">
        <f>EXP(-LN(2)/25)*IC186+(1-EXP(-LN(2)/25))/(LN(2)/25)*Calculateur!HX187*Calculateur!HZ187*VLOOKUP('Données projet'!$B$19,Paramètres!$A$1:$I$89,3,0)*0.475*44/12</f>
        <v>0.13603998841062581</v>
      </c>
      <c r="ID187" s="21">
        <f>EXP(-LN(2)/2)*ID186+(1-EXP(-LN(2)/2))/(LN(2)/2)*HX187*IA187*VLOOKUP('Données projet'!$B$19,Paramètres!$A$1:$I$89,3,0)*0.475*44/12</f>
        <v>3.7908186090464105E-24</v>
      </c>
      <c r="IE187" s="22">
        <f t="shared" si="256"/>
        <v>2.47273991981442</v>
      </c>
      <c r="IF187" s="74">
        <f>('Scénario référence'!$F$8+'Scénario référence'!$F$9+'Scénario référence'!$B$17+'Scénario référence'!$B$9+'Scénario référence'!$B$10)*70+IF((45+25*(1-EXP(-0.0175*$A187)))&lt;70,'Scénario référence'!$B$16*(45+25*(1-EXP(-0.0175*$A187))),70*'Scénario référence'!$B$16)+IF((32+38*(1-EXP(-0.0175*$A187)))&lt;70,'Scénario référence'!$B$18*(32+38*(1-EXP(-0.0175*$A187))),70*'Scénario référence'!$B$18)</f>
        <v>70</v>
      </c>
      <c r="IG187" s="12">
        <f>IF($A187&gt;30,10,('Scénario référence'!$B$16+'Scénario référence'!$B$17+'Scénario référence'!$B$18+'Scénario référence'!$B$9+'Scénario référence'!$B$10)*$A187*10/30+('Scénario référence'!$F$8+'Scénario référence'!$F$9)*10)</f>
        <v>10</v>
      </c>
      <c r="IH187" s="12" t="e">
        <f>VLOOKUP($A187,'Données projet'!$A$330:$I$350,2,0)</f>
        <v>#N/A</v>
      </c>
      <c r="II187" s="12" t="e">
        <f>VLOOKUP($A187,'Données projet'!$A$330:$I$350,9,0)</f>
        <v>#N/A</v>
      </c>
      <c r="IJ187" s="12">
        <f t="array" ref="IJ187">INDEX(II:II,MIN(IF(ISNUMBER(II187:II383),ROW(II187:II383),"")))</f>
        <v>0</v>
      </c>
      <c r="IK187" s="12">
        <f>IF('Données projet'!$A$330&gt;35,IK186+IJ187-IS186,IF($A187&lt;'Données projet'!$A$330,$CQ$205^$A187,IF($A187='Données projet'!$A$330,'Données projet'!$B$330,IK186+IJ187-IS186)))</f>
        <v>0</v>
      </c>
      <c r="IL187" s="17">
        <f>IK187*VLOOKUP('Données projet'!$B$20,Paramètres!$A$1:$I$89,3,0)*VLOOKUP('Données projet'!$B$20,Paramètres!$A$1:$I$89,5,0)</f>
        <v>0</v>
      </c>
      <c r="IM187" s="13" t="e">
        <f t="shared" si="308"/>
        <v>#NUM!</v>
      </c>
      <c r="IN187" s="20" t="e">
        <f t="shared" si="257"/>
        <v>#NUM!</v>
      </c>
      <c r="IO187" s="59" t="e">
        <f t="shared" si="258"/>
        <v>#NUM!</v>
      </c>
      <c r="IP187" s="59">
        <f ca="1">AVERAGE(OFFSET(IO$3,0,0,'Données projet'!$E$20+1,1))-AVERAGE(OFFSET($H$3,0,0,'Données projet'!$E$20+1,1))</f>
        <v>91.60721429656013</v>
      </c>
      <c r="IQ187" s="59">
        <f t="shared" si="309"/>
        <v>258.94957804210856</v>
      </c>
      <c r="IR187" s="15">
        <f>IF(ISNA(VLOOKUP($A187,'Données projet'!$A$330:$I$350,3,0)),0,VLOOKUP($A187,'Données projet'!$A$330:$I$350,3,0))</f>
        <v>0</v>
      </c>
      <c r="IS187" s="15">
        <f>IF(ISNA(VLOOKUP($A187,'Données projet'!$A$330:$I$350,4,0)),0,VLOOKUP($A187,'Données projet'!$A$330:$I$350,4,0))</f>
        <v>0</v>
      </c>
      <c r="IT187" s="16">
        <f>IF(ISNA(VLOOKUP($A187,'Données projet'!$A$330:$I$350,5,0)),0%,VLOOKUP($A187,'Données projet'!$A$330:$I$350,5,0)*VLOOKUP('Données projet'!$B$20,Paramètres!$A$1:$I$89,7,0))</f>
        <v>0</v>
      </c>
      <c r="IU187" s="16">
        <f>IF(ISNA(VLOOKUP($A187,'Données projet'!$A$330:$I$350,6,0)),0%,VLOOKUP($A187,'Données projet'!$A$330:$I$350,6,0)*VLOOKUP('Données projet'!$B$20,Paramètres!$A$1:$I$89,7,0))</f>
        <v>0</v>
      </c>
      <c r="IV187" s="16">
        <f>IF(ISNA(VLOOKUP($A187,'Données projet'!$A$330:$I$350,7,0)),0%,VLOOKUP($A187,'Données projet'!$A$330:$I$350,7,0))</f>
        <v>0</v>
      </c>
      <c r="IW187" s="21">
        <f>EXP(-LN(2)/35)*IW186+(1-EXP(-LN(2)/35))/(LN(2)/35)*IS187*IT187*VLOOKUP('Données projet'!$B$20,Paramètres!$A$1:$I$89,3,0)*0.475*44/12</f>
        <v>2.3366999314037944</v>
      </c>
      <c r="IX187" s="21">
        <f>EXP(-LN(2)/25)*IX186+(1-EXP(-LN(2)/25))/(LN(2)/25)*Calculateur!IS187*Calculateur!IU187*VLOOKUP('Données projet'!$B$20,Paramètres!$A$1:$I$89,3,0)*0.475*44/12</f>
        <v>0.13603998841062581</v>
      </c>
      <c r="IY187" s="21">
        <f>EXP(-LN(2)/2)*IY186+(1-EXP(-LN(2)/2))/(LN(2)/2)*IS187*IV187*VLOOKUP('Données projet'!$B$20,Paramètres!$A$1:$I$89,3,0)*0.475*44/12</f>
        <v>3.7908186090464105E-24</v>
      </c>
      <c r="IZ187" s="22">
        <f t="shared" si="259"/>
        <v>2.47273991981442</v>
      </c>
      <c r="JA187" s="74">
        <f>('Scénario référence'!$F$8+'Scénario référence'!$F$9+'Scénario référence'!$B$17+'Scénario référence'!$B$9+'Scénario référence'!$B$10)*70+IF((45+25*(1-EXP(-0.0175*$A187)))&lt;70,'Scénario référence'!$B$16*(45+25*(1-EXP(-0.0175*$A187))),70*'Scénario référence'!$B$16)+IF((32+38*(1-EXP(-0.0175*$A187)))&lt;70,'Scénario référence'!$B$18*(32+38*(1-EXP(-0.0175*$A187))),70*'Scénario référence'!$B$18)</f>
        <v>70</v>
      </c>
      <c r="JB187" s="12">
        <f>IF($A187&gt;30,10,('Scénario référence'!$B$16+'Scénario référence'!$B$17+'Scénario référence'!$B$18+'Scénario référence'!$B$9+'Scénario référence'!$B$10)*$A187*10/30+('Scénario référence'!$F$8+'Scénario référence'!$F$9)*10)</f>
        <v>10</v>
      </c>
      <c r="JC187" s="12" t="e">
        <f>VLOOKUP($A187,'Données projet'!$A$356:$I$376,2,0)</f>
        <v>#N/A</v>
      </c>
      <c r="JD187" s="12" t="e">
        <f>VLOOKUP($A187,'Données projet'!$A$356:$I$376,9,0)</f>
        <v>#N/A</v>
      </c>
      <c r="JE187" s="12">
        <f t="array" ref="JE187">INDEX(JD:JD,MIN(IF(ISNUMBER(JD187:JD383),ROW(JD187:JD383),"")))</f>
        <v>0</v>
      </c>
      <c r="JF187" s="12">
        <f>IF('Données projet'!$A$356&gt;35,JF186+JE187-JN186,IF($A187&lt;'Données projet'!$A$356,$CQ$205^$A187,IF($A187='Données projet'!$A$356,'Données projet'!$B$356,JF186+JE187-JN186)))</f>
        <v>-1.3073986337985843E-12</v>
      </c>
      <c r="JG187" s="17">
        <f>JF187*VLOOKUP('Données projet'!$B$21,Paramètres!$A$1:$I$89,3,0)*VLOOKUP('Données projet'!$B$21,Paramètres!$A$1:$I$89,5,0)</f>
        <v>-1.0605617717374117E-12</v>
      </c>
      <c r="JH187" s="13" t="e">
        <f t="shared" si="310"/>
        <v>#NUM!</v>
      </c>
      <c r="JI187" s="20" t="e">
        <f t="shared" si="260"/>
        <v>#NUM!</v>
      </c>
      <c r="JJ187" s="59" t="e">
        <f t="shared" si="261"/>
        <v>#NUM!</v>
      </c>
      <c r="JK187" s="59">
        <f ca="1">AVERAGE(OFFSET($JJ$3,0,0,'Données projet'!$E$22+1,1))-AVERAGE(OFFSET($H$3,0,0,'Données projet'!$E$22+1,1))</f>
        <v>353.35574633294613</v>
      </c>
      <c r="JL187" s="59">
        <f t="shared" si="311"/>
        <v>170.36796666474726</v>
      </c>
      <c r="JM187" s="15">
        <f>IF(ISNA(VLOOKUP($A187,'Données projet'!$A$356:$I$376,3,0)),0,VLOOKUP($A187,'Données projet'!$A$356:$I$376,3,0))</f>
        <v>0</v>
      </c>
      <c r="JN187" s="15">
        <f>IF(ISNA(VLOOKUP($A187,'Données projet'!$A$356:$I$376,4,0)),0,VLOOKUP($A187,'Données projet'!$A$356:$I$376,4,0))</f>
        <v>0</v>
      </c>
      <c r="JO187" s="16">
        <f>IF(ISNA(VLOOKUP($A187,'Données projet'!$A$356:$I$376,5,0)),0%,VLOOKUP($A187,'Données projet'!$A$356:$I$376,5,0)*VLOOKUP('Données projet'!$B$21,Paramètres!$A$1:$I$89,7,0))</f>
        <v>0</v>
      </c>
      <c r="JP187" s="16">
        <f>IF(ISNA(VLOOKUP($A187,'Données projet'!$A$356:$I$376,6,0)),0%,VLOOKUP($A187,'Données projet'!$A$356:$I$376,6,0)*VLOOKUP('Données projet'!$B$21,Paramètres!$A$1:$I$89,7,0))</f>
        <v>0</v>
      </c>
      <c r="JQ187" s="16">
        <f>IF(ISNA(VLOOKUP($A187,'Données projet'!$A$356:$I$376,7,0)),0%,VLOOKUP($A187,'Données projet'!$A$356:$I$376,7,0))</f>
        <v>0</v>
      </c>
      <c r="JR187" s="21">
        <f>EXP(-LN(2)/35)*JR186+(1-EXP(-LN(2)/35))/(LN(2)/35)*JN187*JO187*VLOOKUP('Données projet'!$B$21,Paramètres!$A$1:$I$89,3,0)*0.475*44/12</f>
        <v>37.46078421233328</v>
      </c>
      <c r="JS187" s="21">
        <f>EXP(-LN(2)/25)*JS186+(1-EXP(-LN(2)/25))/(LN(2)/25)*Calculateur!JN187*Calculateur!JP187*VLOOKUP('Données projet'!$B$21,Paramètres!$A$1:$I$89,3,0)*0.475*44/12</f>
        <v>29.774575749107662</v>
      </c>
      <c r="JT187" s="21">
        <f>EXP(-LN(2)/2)*JT186+(1-EXP(-LN(2)/2))/(LN(2)/2)*JN187*JQ187*VLOOKUP('Données projet'!$B$21,Paramètres!$A$1:$I$89,3,0)*0.475*44/12</f>
        <v>2.6161901025056579E-4</v>
      </c>
      <c r="JU187" s="18">
        <f t="shared" si="262"/>
        <v>67.235621580451181</v>
      </c>
      <c r="JV187" s="74">
        <f>('Scénario référence'!$F$8+'Scénario référence'!$F$9+'Scénario référence'!$B$17+'Scénario référence'!$B$9+'Scénario référence'!$B$10)*70+IF((45+25*(1-EXP(-0.0175*$A187)))&lt;70,'Scénario référence'!$B$16*(45+25*(1-EXP(-0.0175*$A187))),70*'Scénario référence'!$B$16)+IF((32+38*(1-EXP(-0.0175*$A187)))&lt;70,'Scénario référence'!$B$18*(32+38*(1-EXP(-0.0175*$A187))),70*'Scénario référence'!$B$18)</f>
        <v>70</v>
      </c>
      <c r="JW187" s="12">
        <f>IF($A187&gt;30,10,('Scénario référence'!$B$16+'Scénario référence'!$B$17+'Scénario référence'!$B$18+'Scénario référence'!$B$9+'Scénario référence'!$B$10)*$A187*10/30+('Scénario référence'!$F$8+'Scénario référence'!$F$9)*10)</f>
        <v>10</v>
      </c>
      <c r="JX187" s="12" t="e">
        <f>VLOOKUP($A187,'Données projet'!$A$382:$I$402,2,0)</f>
        <v>#N/A</v>
      </c>
      <c r="JY187" s="12" t="e">
        <f>VLOOKUP($A187,'Données projet'!$A$382:$I$402,9,0)</f>
        <v>#N/A</v>
      </c>
      <c r="JZ187" s="12">
        <f t="array" ref="JZ187">INDEX(JY:JY,MIN(IF(ISNUMBER(JY187:JY383),ROW(JY187:JY383),"")))</f>
        <v>0</v>
      </c>
      <c r="KA187" s="12">
        <f>IF('Données projet'!$A$382&gt;35,KA186+JZ187-KI186,IF($A187&lt;'Données projet'!$A$382,$CQ$205^$A187,IF($A187='Données projet'!$A$382,'Données projet'!$B$382,KA186+JZ187-KI186)))</f>
        <v>5.6843418860808015E-13</v>
      </c>
      <c r="KB187" s="17">
        <f>KA187*VLOOKUP('Données projet'!$B$22,Paramètres!$A$1:$I$89,3,0)*VLOOKUP('Données projet'!$B$22,Paramètres!$A$1:$I$89,5,0)</f>
        <v>3.8130565371830017E-13</v>
      </c>
      <c r="KC187" s="13">
        <f t="shared" si="312"/>
        <v>4.9019074112354236E-12</v>
      </c>
      <c r="KD187" s="20">
        <f t="shared" si="263"/>
        <v>9.2015960881277352E-12</v>
      </c>
      <c r="KE187" s="59">
        <f t="shared" si="264"/>
        <v>293.33333333334252</v>
      </c>
      <c r="KF187" s="59">
        <f ca="1">AVERAGE(OFFSET($KE$3,0,0,'Données projet'!$E$22+1,1))-AVERAGE(OFFSET($H$3,0,0,'Données projet'!$E$22+1,1))</f>
        <v>193.91714772848269</v>
      </c>
      <c r="KG187" s="59">
        <f t="shared" si="313"/>
        <v>159.20429420478047</v>
      </c>
      <c r="KH187" s="15">
        <f>IF(ISNA(VLOOKUP($A187,'Données projet'!$A$382:$I$402,3,0)),0,VLOOKUP($A187,'Données projet'!$A$382:$I$402,3,0))</f>
        <v>0</v>
      </c>
      <c r="KI187" s="15">
        <f>IF(ISNA(VLOOKUP($A187,'Données projet'!$A$382:$I$402,4,0)),0,VLOOKUP($A187,'Données projet'!$A$382:$I$402,4,0))</f>
        <v>0</v>
      </c>
      <c r="KJ187" s="16">
        <f>IF(ISNA(VLOOKUP($A187,'Données projet'!$A$382:$I$402,5,0)),0%,VLOOKUP($A187,'Données projet'!$A$382:$I$402,5,0)*VLOOKUP('Données projet'!$B$22,Paramètres!$A$1:$I$89,7,0))</f>
        <v>0</v>
      </c>
      <c r="KK187" s="16">
        <f>IF(ISNA(VLOOKUP($A187,'Données projet'!$A$382:$I$402,6,0)),0%,VLOOKUP($A187,'Données projet'!$A$382:$I$402,6,0)*VLOOKUP('Données projet'!$B$22,Paramètres!$A$1:$I$89,7,0))</f>
        <v>0</v>
      </c>
      <c r="KL187" s="16">
        <f>IF(ISNA(VLOOKUP($A187,'Données projet'!$A$382:$I$402,7,0)),0%,VLOOKUP($A187,'Données projet'!$A$382:$I$402,7,0))</f>
        <v>0</v>
      </c>
      <c r="KM187" s="21">
        <f>EXP(-LN(2)/35)*KM186+(1-EXP(-LN(2)/35))/(LN(2)/35)*KI187*KJ187*VLOOKUP('Données projet'!$B$22,Paramètres!$A$1:$I$89,3,0)*0.475*44/12</f>
        <v>54.696879466334572</v>
      </c>
      <c r="KN187" s="21">
        <f>EXP(-LN(2)/25)*KN186+(1-EXP(-LN(2)/25))/(LN(2)/25)*Calculateur!KI187*Calculateur!KK187*VLOOKUP('Données projet'!$B$22,Paramètres!$A$1:$I$89,3,0)*0.475*44/12</f>
        <v>0</v>
      </c>
      <c r="KO187" s="21">
        <f>EXP(-LN(2)/2)*KO186+(1-EXP(-LN(2)/2))/(LN(2)/2)*KI187*KL187*VLOOKUP('Données projet'!$B$22,Paramètres!$A$1:$I$89,3,0)*0.475*44/12</f>
        <v>0</v>
      </c>
      <c r="KP187" s="22">
        <f t="shared" si="265"/>
        <v>54.696879466334572</v>
      </c>
      <c r="KQ187" s="74">
        <f>('Scénario référence'!$F$8+'Scénario référence'!$F$9+'Scénario référence'!$B$17+'Scénario référence'!$B$9+'Scénario référence'!$B$10)*70+IF((45+25*(1-EXP(-0.0175*$A187)))&lt;70,'Scénario référence'!$B$16*(45+25*(1-EXP(-0.0175*$A187))),70*'Scénario référence'!$B$16)+IF((32+38*(1-EXP(-0.0175*$A187)))&lt;70,'Scénario référence'!$B$18*(32+38*(1-EXP(-0.0175*$A187))),70*'Scénario référence'!$B$18)</f>
        <v>70</v>
      </c>
      <c r="KR187" s="12">
        <f>IF($A187&gt;30,10,('Scénario référence'!$B$16+'Scénario référence'!$B$17+'Scénario référence'!$B$18+'Scénario référence'!$B$9+'Scénario référence'!$B$10)*$A187*10/30+('Scénario référence'!$F$8+'Scénario référence'!$F$9)*10)</f>
        <v>10</v>
      </c>
      <c r="KS187" s="12" t="e">
        <f>VLOOKUP($A187,'Données projet'!$A$408:$I$428,2,0)</f>
        <v>#N/A</v>
      </c>
      <c r="KT187" s="12" t="e">
        <f>VLOOKUP($A187,'Données projet'!$A$408:$I$428,9,0)</f>
        <v>#N/A</v>
      </c>
      <c r="KU187" s="12">
        <f t="array" ref="KU187">INDEX(KT:KT,MIN(IF(ISNUMBER(KT187:KT383),ROW(KT187:KT383),"")))</f>
        <v>0</v>
      </c>
      <c r="KV187" s="12">
        <f>IF('Données projet'!$A$408&gt;35,KV186+KU187-LD186,IF($A187&lt;'Données projet'!$A$408,$CQ$205^$A187,IF($A187='Données projet'!$A$408,'Données projet'!$B$408,KV186+KU187-LD186)))</f>
        <v>-1.1368683772161603E-13</v>
      </c>
      <c r="KW187" s="17">
        <f>KV187*VLOOKUP('Données projet'!$B$23,Paramètres!$A$1:$I$89,3,0)*VLOOKUP('Données projet'!$B$23,Paramètres!$A$1:$I$89,5,0)</f>
        <v>-9.9316821433603781E-14</v>
      </c>
      <c r="KX187" s="13" t="e">
        <f t="shared" si="314"/>
        <v>#NUM!</v>
      </c>
      <c r="KY187" s="14" t="e">
        <f t="shared" si="266"/>
        <v>#NUM!</v>
      </c>
      <c r="KZ187" s="59" t="e">
        <f t="shared" si="267"/>
        <v>#NUM!</v>
      </c>
      <c r="LA187" s="59">
        <f ca="1">AVERAGE(OFFSET($KZ$3,0,0,'Données projet'!$E$23+1,1))-AVERAGE(OFFSET($H$3,0,0,'Données projet'!$E$23+1,1))</f>
        <v>248.33596943633819</v>
      </c>
      <c r="LB187" s="59">
        <f t="shared" si="315"/>
        <v>242.34010522344573</v>
      </c>
      <c r="LC187" s="15">
        <f>IF(ISNA(VLOOKUP($A187,'Données projet'!$A$408:$I$428,3,0)),0,VLOOKUP($A187,'Données projet'!$A$408:$I$428,3,0))</f>
        <v>0</v>
      </c>
      <c r="LD187" s="15">
        <f>IF(ISNA(VLOOKUP($A187,'Données projet'!$A$408:$I$428,4,0)),0,VLOOKUP($A187,'Données projet'!$A$408:$I$428,4,0))</f>
        <v>0</v>
      </c>
      <c r="LE187" s="16">
        <f>IF(ISNA(VLOOKUP($A187,'Données projet'!$A$408:$I$428,5,0)),0%,VLOOKUP($A187,'Données projet'!$A$408:$I$428,5,0)*VLOOKUP('Données projet'!$B$23,Paramètres!$A$1:$I$89,7,0))</f>
        <v>0</v>
      </c>
      <c r="LF187" s="16">
        <f>IF(ISNA(VLOOKUP($A187,'Données projet'!$A$408:$I$428,6,0)),0%,VLOOKUP($A187,'Données projet'!$A$408:$I$428,6,0)*VLOOKUP('Données projet'!$B$23,Paramètres!$A$1:$I$89,7,0))</f>
        <v>0</v>
      </c>
      <c r="LG187" s="16">
        <f>IF(ISNA(VLOOKUP($A187,'Données projet'!$A$408:$I$428,7,0)),0%,VLOOKUP($A187,'Données projet'!$A$408:$I$428,7,0))</f>
        <v>0</v>
      </c>
      <c r="LH187" s="21">
        <f>EXP(-LN(2)/35)*LH186+(1-EXP(-LN(2)/35))/(LN(2)/35)*LD187*LE187*VLOOKUP('Données projet'!$B$23,Paramètres!$A$1:$I$89,3,0)*0.475*44/12</f>
        <v>15.710626100797738</v>
      </c>
      <c r="LI187" s="21">
        <f>EXP(-LN(2)/25)*LI186+(1-EXP(-LN(2)/25))/(LN(2)/25)*Calculateur!LD187*Calculateur!LF187*VLOOKUP('Données projet'!$B$23,Paramètres!$A$1:$I$89,3,0)*0.475*44/12</f>
        <v>1.21819113183724</v>
      </c>
      <c r="LJ187" s="21">
        <f>EXP(-LN(2)/2)*LJ186+(1-EXP(-LN(2)/2))/(LN(2)/2)*LD187*LG187*VLOOKUP('Données projet'!$B$23,Paramètres!$A$1:$I$89,3,0)*0.475*44/12</f>
        <v>0</v>
      </c>
      <c r="LK187" s="22">
        <f t="shared" si="268"/>
        <v>16.928817232634977</v>
      </c>
      <c r="LL187" s="74">
        <f>('Scénario référence'!$F$8+'Scénario référence'!$F$9+'Scénario référence'!$B$17+'Scénario référence'!$B$9+'Scénario référence'!$B$10)*70+IF((45+25*(1-EXP(-0.0175*$A187)))&lt;70,'Scénario référence'!$B$16*(45+25*(1-EXP(-0.0175*$A187))),70*'Scénario référence'!$B$16)+IF((32+38*(1-EXP(-0.0175*$A187)))&lt;70,'Scénario référence'!$B$18*(32+38*(1-EXP(-0.0175*$A187))),70*'Scénario référence'!$B$18)</f>
        <v>70</v>
      </c>
      <c r="LM187" s="12">
        <f>IF($A187&gt;30,10,('Scénario référence'!$B$16+'Scénario référence'!$B$17+'Scénario référence'!$B$18+'Scénario référence'!$B$9+'Scénario référence'!$B$10)*$A187*10/30+('Scénario référence'!$F$8+'Scénario référence'!$F$9)*10)</f>
        <v>10</v>
      </c>
      <c r="LN187" s="12" t="e">
        <f>VLOOKUP($A187,'Données projet'!$A$434:$I$454,2,0)</f>
        <v>#N/A</v>
      </c>
      <c r="LO187" s="12" t="e">
        <f>VLOOKUP($A187,'Données projet'!$A$434:$I$454,9,0)</f>
        <v>#N/A</v>
      </c>
      <c r="LP187" s="12">
        <f t="array" ref="LP187">INDEX(LO:LO,MIN(IF(ISNUMBER(LO187:LO383),ROW(LO187:LO383),"")))</f>
        <v>0</v>
      </c>
      <c r="LQ187" s="12">
        <f>IF('Données projet'!$A$434&gt;35,LQ186+LP187-LY186,IF($A187&lt;'Données projet'!$A$434,$CQ$205^$A187,IF($A187='Données projet'!$A$434,'Données projet'!$B$434,LQ186+LP187-LY186)))</f>
        <v>-4.5474735088646412E-13</v>
      </c>
      <c r="LR187" s="17">
        <f>LQ187*VLOOKUP('Données projet'!$B$24,Paramètres!$A$1:$I$89,3,0)*VLOOKUP('Données projet'!$B$24,Paramètres!$A$1:$I$89,5,0)</f>
        <v>-4.6111381379887462E-13</v>
      </c>
      <c r="LS187" s="13" t="e">
        <f t="shared" si="316"/>
        <v>#NUM!</v>
      </c>
      <c r="LT187" s="14" t="e">
        <f t="shared" si="269"/>
        <v>#NUM!</v>
      </c>
      <c r="LU187" s="59" t="e">
        <f t="shared" si="270"/>
        <v>#NUM!</v>
      </c>
      <c r="LV187" s="59">
        <f ca="1">AVERAGE(OFFSET($LU$3,0,0,'Données projet'!$E$24+1,1))-AVERAGE(OFFSET($H$3,0,0,'Données projet'!$E$24+1,1))</f>
        <v>260.52627655062872</v>
      </c>
      <c r="LW187" s="59">
        <f t="shared" si="317"/>
        <v>159.20429420478047</v>
      </c>
      <c r="LX187" s="15">
        <f>IF(ISNA(VLOOKUP($A187,'Données projet'!$A$434:$I$454,3,0)),0,VLOOKUP($A187,'Données projet'!$A$434:$I$454,3,0))</f>
        <v>0</v>
      </c>
      <c r="LY187" s="15">
        <f>IF(ISNA(VLOOKUP($A187,'Données projet'!$A$434:$I$454,4,0)),0,VLOOKUP($A187,'Données projet'!$A$434:$I$454,4,0))</f>
        <v>0</v>
      </c>
      <c r="LZ187" s="16">
        <f>IF(ISNA(VLOOKUP($A187,'Données projet'!$A$434:$I$454,5,0)),0%,VLOOKUP($A187,'Données projet'!$A$434:$I$454,5,0)*VLOOKUP('Données projet'!$B$24,Paramètres!$A$1:$I$89,7,0))</f>
        <v>0</v>
      </c>
      <c r="MA187" s="16">
        <f>IF(ISNA(VLOOKUP($A187,'Données projet'!$A$434:$I$454,6,0)),0%,VLOOKUP($A187,'Données projet'!$A$434:$I$454,6,0)*VLOOKUP('Données projet'!$B$24,Paramètres!$A$1:$I$89,7,0))</f>
        <v>0</v>
      </c>
      <c r="MB187" s="16">
        <f>IF(ISNA(VLOOKUP($A187,'Données projet'!$A$434:$I$454,7,0)),0%,VLOOKUP($A187,'Données projet'!$A$434:$I$454,7,0))</f>
        <v>0</v>
      </c>
      <c r="MC187" s="21">
        <f>EXP(-LN(2)/35)*MC186+(1-EXP(-LN(2)/35))/(LN(2)/35)*LY187*LZ187*VLOOKUP('Données projet'!$B$24,Paramètres!$A$1:$I$89,3,0)*0.475*44/12</f>
        <v>101.0139895854464</v>
      </c>
      <c r="MD187" s="21">
        <f>EXP(-LN(2)/25)*MD186+(1-EXP(-LN(2)/25))/(LN(2)/25)*Calculateur!LY187*Calculateur!MA187*VLOOKUP('Données projet'!$B$24,Paramètres!$A$1:$I$89,3,0)*0.475*44/12</f>
        <v>0</v>
      </c>
      <c r="ME187" s="21">
        <f>EXP(-LN(2)/2)*ME186+(1-EXP(-LN(2)/2))/(LN(2)/2)*LY187*MB187*VLOOKUP('Données projet'!$B$24,Paramètres!$A$1:$I$89,3,0)*0.475*44/12</f>
        <v>0</v>
      </c>
      <c r="MF187" s="22">
        <f t="shared" si="271"/>
        <v>101.0139895854464</v>
      </c>
      <c r="MG187" s="74">
        <f>('Scénario référence'!$F$8+'Scénario référence'!$F$9+'Scénario référence'!$B$17+'Scénario référence'!$B$9+'Scénario référence'!$B$10)*70+IF((45+25*(1-EXP(-0.0175*$A187)))&lt;70,'Scénario référence'!$B$16*(45+25*(1-EXP(-0.0175*$A187))),70*'Scénario référence'!$B$16)+IF((32+38*(1-EXP(-0.0175*$A187)))&lt;70,'Scénario référence'!$B$18*(32+38*(1-EXP(-0.0175*$A187))),70*'Scénario référence'!$B$18)</f>
        <v>70</v>
      </c>
      <c r="MH187" s="12">
        <f>IF($A187&gt;30,10,('Scénario référence'!$B$16+'Scénario référence'!$B$17+'Scénario référence'!$B$18+'Scénario référence'!$B$9+'Scénario référence'!$B$10)*$A187*10/30+('Scénario référence'!$F$8+'Scénario référence'!$F$9)*10)</f>
        <v>10</v>
      </c>
      <c r="MI187" s="12" t="e">
        <f>VLOOKUP($A187,'Données projet'!$A$460:$I$480,2,0)</f>
        <v>#N/A</v>
      </c>
      <c r="MJ187" s="12" t="e">
        <f>VLOOKUP($A187,'Données projet'!$A$460:$I$480,9,0)</f>
        <v>#N/A</v>
      </c>
      <c r="MK187" s="12">
        <f t="array" ref="MK187">INDEX(MJ:MJ,MIN(IF(ISNUMBER(MJ187:MJ383),ROW(MJ187:MJ383),"")))</f>
        <v>0</v>
      </c>
      <c r="ML187" s="12">
        <f>IF('Données projet'!$A$460&gt;35,ML186+MK187-MT186,IF($A187&lt;'Données projet'!$A$460,$CQ$205^$A187,IF($A187='Données projet'!$A$460,'Données projet'!$B$460,ML186+MK187-MT186)))</f>
        <v>0</v>
      </c>
      <c r="MM187" s="17" t="e">
        <f>ML187*VLOOKUP('Données projet'!$B$25,Paramètres!$A$1:$I$89,3,0)*VLOOKUP('Données projet'!$B$25,Paramètres!$A$1:$I$89,5,0)</f>
        <v>#N/A</v>
      </c>
      <c r="MN187" s="13" t="e">
        <f t="shared" si="318"/>
        <v>#N/A</v>
      </c>
      <c r="MO187" s="14" t="e">
        <f t="shared" si="272"/>
        <v>#N/A</v>
      </c>
      <c r="MP187" s="59" t="e">
        <f t="shared" si="273"/>
        <v>#N/A</v>
      </c>
      <c r="MQ187" s="20" t="e">
        <f ca="1">AVERAGE(OFFSET($MP$3,0,0,'Données projet'!$E$25+1,1))-AVERAGE(OFFSET($H$3,0,0,'Données projet'!$E$25+1,1))</f>
        <v>#N/A</v>
      </c>
      <c r="MR187" s="59" t="e">
        <f t="shared" si="319"/>
        <v>#N/A</v>
      </c>
      <c r="MS187" s="15">
        <f>IF(ISNA(VLOOKUP($A187,'Données projet'!$A$460:$I$480,3,0)),0,VLOOKUP($A187,'Données projet'!$A$460:$I$480,3,0))</f>
        <v>0</v>
      </c>
      <c r="MT187" s="15">
        <f>IF(ISNA(VLOOKUP($A187,'Données projet'!$A$460:$I$480,4,0)),0,VLOOKUP($A187,'Données projet'!$A$460:$I$480,4,0))</f>
        <v>0</v>
      </c>
      <c r="MU187" s="16">
        <f>IF(ISNA(VLOOKUP($A187,'Données projet'!$A$460:$I$480,5,0)),0%,VLOOKUP($A187,'Données projet'!$A$460:$I$480,5,0)*VLOOKUP('Données projet'!$B$25,Paramètres!$A$1:$I$89,7,0))</f>
        <v>0</v>
      </c>
      <c r="MV187" s="16">
        <f>IF(ISNA(VLOOKUP($A187,'Données projet'!$A$460:$I$480,6,0)),0%,VLOOKUP($A187,'Données projet'!$A$460:$I$480,6,0)*VLOOKUP('Données projet'!$B$25,Paramètres!$A$1:$I$89,7,0))</f>
        <v>0</v>
      </c>
      <c r="MW187" s="16">
        <f>IF(ISNA(VLOOKUP($A187,'Données projet'!$A$460:$I$480,7,0)),0%,VLOOKUP($A187,'Données projet'!$A$460:$I$480,7,0))</f>
        <v>0</v>
      </c>
      <c r="MX187" s="21" t="e">
        <f>EXP(-LN(2)/35)*MX186+(1-EXP(-LN(2)/35))/(LN(2)/35)*MT187*MU187*VLOOKUP('Données projet'!$B$25,Paramètres!$A$1:$I$89,3,0)*0.475*44/12</f>
        <v>#N/A</v>
      </c>
      <c r="MY187" s="21" t="e">
        <f>EXP(-LN(2)/25)*MY186+(1-EXP(-LN(2)/25))/(LN(2)/25)*Calculateur!MT187*Calculateur!MV187*VLOOKUP('Données projet'!$B$25,Paramètres!$A$1:$I$89,3,0)*0.475*44/12</f>
        <v>#N/A</v>
      </c>
      <c r="MZ187" s="21" t="e">
        <f>EXP(-LN(2)/2)*MZ186+(1-EXP(-LN(2)/2))/(LN(2)/2)*MT187*MW187*VLOOKUP('Données projet'!$B$25,Paramètres!$A$1:$I$89,3,0)*0.475*44/12</f>
        <v>#N/A</v>
      </c>
      <c r="NA187" s="22" t="e">
        <f t="shared" si="274"/>
        <v>#N/A</v>
      </c>
      <c r="NB187" s="74">
        <f>('Scénario référence'!$F$8+'Scénario référence'!$F$9+'Scénario référence'!$B$17+'Scénario référence'!$B$9+'Scénario référence'!$B$10)*70+IF((45+25*(1-EXP(-0.0175*$A187)))&lt;70,'Scénario référence'!$B$16*(45+25*(1-EXP(-0.0175*$A187))),70*'Scénario référence'!$B$16)+IF((32+38*(1-EXP(-0.0175*$A187)))&lt;70,'Scénario référence'!$B$18*(32+38*(1-EXP(-0.0175*$A187))),70*'Scénario référence'!$B$18)</f>
        <v>70</v>
      </c>
      <c r="NC187" s="12">
        <f>IF($A187&gt;30,10,('Scénario référence'!$B$16+'Scénario référence'!$B$17+'Scénario référence'!$B$18+'Scénario référence'!$B$9+'Scénario référence'!$B$10)*$A187*10/30+('Scénario référence'!$F$8+'Scénario référence'!$F$9)*10)</f>
        <v>10</v>
      </c>
      <c r="ND187" s="12" t="e">
        <f>VLOOKUP($A187,'Données projet'!$A$486:$I$506,2,0)</f>
        <v>#N/A</v>
      </c>
      <c r="NE187" s="12" t="e">
        <f>VLOOKUP($A187,'Données projet'!$A$486:$I$506,9,0)</f>
        <v>#N/A</v>
      </c>
      <c r="NF187" s="12">
        <f t="array" ref="NF187">INDEX(NE:NE,MIN(IF(ISNUMBER(NE187:NE383),ROW(NE187:NE383),"")))</f>
        <v>0</v>
      </c>
      <c r="NG187" s="12">
        <f>IF('Données projet'!$A$486&gt;35,NG186+NF187-NO186,IF($A187&lt;'Données projet'!$A$486,$CQ$205^$A187,IF($A187='Données projet'!$A$486,'Données projet'!$B$486,NG186+NF187-NO186)))</f>
        <v>0</v>
      </c>
      <c r="NH187" s="17" t="e">
        <f>NG187*VLOOKUP('Données projet'!$B$26,Paramètres!$A$1:$I$89,3,0)*VLOOKUP('Données projet'!$B$26,Paramètres!$A$1:$I$89,5,0)</f>
        <v>#N/A</v>
      </c>
      <c r="NI187" s="13" t="e">
        <f t="shared" si="320"/>
        <v>#N/A</v>
      </c>
      <c r="NJ187" s="14" t="e">
        <f t="shared" si="275"/>
        <v>#N/A</v>
      </c>
      <c r="NK187" s="59" t="e">
        <f t="shared" si="276"/>
        <v>#N/A</v>
      </c>
      <c r="NL187" s="20" t="e">
        <f ca="1">AVERAGE(OFFSET($NK$3,0,0,'Données projet'!$E$26+1,1))-AVERAGE(OFFSET($H$3,0,0,'Données projet'!$E$26+1,1))</f>
        <v>#N/A</v>
      </c>
      <c r="NM187" s="59" t="e">
        <f t="shared" si="321"/>
        <v>#N/A</v>
      </c>
      <c r="NN187" s="15">
        <f>IF(ISNA(VLOOKUP($A187,'Données projet'!$A$486:$I$506,3,0)),0,VLOOKUP($A187,'Données projet'!$A$486:$I$506,3,0))</f>
        <v>0</v>
      </c>
      <c r="NO187" s="15">
        <f>IF(ISNA(VLOOKUP($A187,'Données projet'!$A$486:$I$506,4,0)),0,VLOOKUP($A187,'Données projet'!$A$486:$I$506,4,0))</f>
        <v>0</v>
      </c>
      <c r="NP187" s="16">
        <f>IF(ISNA(VLOOKUP($A187,'Données projet'!$A$486:$I$506,5,0)),0%,VLOOKUP($A187,'Données projet'!$A$486:$I$506,5,0)*VLOOKUP('Données projet'!$B$26,Paramètres!$A$1:$I$89,7,0))</f>
        <v>0</v>
      </c>
      <c r="NQ187" s="16">
        <f>IF(ISNA(VLOOKUP($A187,'Données projet'!$A$486:$I$506,6,0)),0%,VLOOKUP($A187,'Données projet'!$A$486:$I$506,6,0)*VLOOKUP('Données projet'!$B$26,Paramètres!$A$1:$I$89,7,0))</f>
        <v>0</v>
      </c>
      <c r="NR187" s="16">
        <f>IF(ISNA(VLOOKUP($A187,'Données projet'!$A$486:$I$506,7,0)),0%,VLOOKUP($A187,'Données projet'!$A$486:$I$506,7,0))</f>
        <v>0</v>
      </c>
      <c r="NS187" s="21" t="e">
        <f>EXP(-LN(2)/35)*NS186+(1-EXP(-LN(2)/35))/(LN(2)/35)*NO187*NP187*VLOOKUP('Données projet'!$B$26,Paramètres!$A$1:$I$89,3,0)*0.475*44/12</f>
        <v>#N/A</v>
      </c>
      <c r="NT187" s="21" t="e">
        <f>EXP(-LN(2)/25)*NT186+(1-EXP(-LN(2)/25))/(LN(2)/25)*Calculateur!NO187*Calculateur!NQ187*VLOOKUP('Données projet'!$B$26,Paramètres!$A$1:$I$89,3,0)*0.475*44/12</f>
        <v>#N/A</v>
      </c>
      <c r="NU187" s="21" t="e">
        <f>EXP(-LN(2)/2)*NU186+(1-EXP(-LN(2)/2))/(LN(2)/2)*NO187*NR187*VLOOKUP('Données projet'!$B$26,Paramètres!$A$1:$I$89,3,0)*0.475*44/12</f>
        <v>#N/A</v>
      </c>
      <c r="NV187" s="22" t="e">
        <f t="shared" si="277"/>
        <v>#N/A</v>
      </c>
      <c r="NW187" s="74">
        <f>('Scénario référence'!$F$8+'Scénario référence'!$F$9+'Scénario référence'!$B$17+'Scénario référence'!$B$9+'Scénario référence'!$B$10)*70+IF((45+25*(1-EXP(-0.0175*$A187)))&lt;70,'Scénario référence'!$B$16*(45+25*(1-EXP(-0.0175*$A187))),70*'Scénario référence'!$B$16)+IF((32+38*(1-EXP(-0.0175*$A187)))&lt;70,'Scénario référence'!$B$18*(32+38*(1-EXP(-0.0175*$A187))),70*'Scénario référence'!$B$18)</f>
        <v>70</v>
      </c>
      <c r="NX187" s="12">
        <f>IF($A187&gt;30,10,('Scénario référence'!$B$16+'Scénario référence'!$B$17+'Scénario référence'!$B$18+'Scénario référence'!$B$9+'Scénario référence'!$B$10)*$A187*10/30+('Scénario référence'!$F$8+'Scénario référence'!$F$9)*10)</f>
        <v>10</v>
      </c>
      <c r="NY187" s="12" t="e">
        <f>VLOOKUP($A187,'Données projet'!$A$512:$I$532,2,0)</f>
        <v>#N/A</v>
      </c>
      <c r="NZ187" s="12" t="e">
        <f>VLOOKUP($A187,'Données projet'!$A$512:$I$532,9,0)</f>
        <v>#N/A</v>
      </c>
      <c r="OA187" s="12">
        <f t="array" ref="OA187">INDEX(NZ:NZ,MIN(IF(ISNUMBER(NZ187:NZ383),ROW(NZ187:NZ383),"")))</f>
        <v>0</v>
      </c>
      <c r="OB187" s="12">
        <f>IF('Données projet'!$A$512&gt;35,OB186+OA187-OJ186,IF($A187&lt;'Données projet'!$A$512,$CQ$205^$A187,IF($A187='Données projet'!$A$512,'Données projet'!$B$512,OB186+OA187-OJ186)))</f>
        <v>0</v>
      </c>
      <c r="OC187" s="17" t="e">
        <f>OB187*VLOOKUP('Données projet'!$B$27,Paramètres!$A$1:$I$89,3,0)*VLOOKUP('Données projet'!$B$27,Paramètres!$A$1:$I$89,5,0)</f>
        <v>#N/A</v>
      </c>
      <c r="OD187" s="13" t="e">
        <f t="shared" si="322"/>
        <v>#N/A</v>
      </c>
      <c r="OE187" s="14" t="e">
        <f t="shared" si="278"/>
        <v>#N/A</v>
      </c>
      <c r="OF187" s="59" t="e">
        <f t="shared" si="279"/>
        <v>#N/A</v>
      </c>
      <c r="OG187" s="20" t="e">
        <f ca="1">AVERAGE(OFFSET($OF$3,0,0,'Données projet'!$E$27+1,1))-AVERAGE(OFFSET($H$3,0,0,'Données projet'!$E$27+1,1))</f>
        <v>#N/A</v>
      </c>
      <c r="OH187" s="59" t="e">
        <f t="shared" si="323"/>
        <v>#N/A</v>
      </c>
      <c r="OI187" s="15">
        <f>IF(ISNA(VLOOKUP($A187,'Données projet'!$A$512:$I$532,3,0)),0,VLOOKUP($A187,'Données projet'!$A$512:$I$532,3,0))</f>
        <v>0</v>
      </c>
      <c r="OJ187" s="15">
        <f>IF(ISNA(VLOOKUP($A187,'Données projet'!$A$512:$I$532,4,0)),0,VLOOKUP($A187,'Données projet'!$A$512:$I$532,4,0))</f>
        <v>0</v>
      </c>
      <c r="OK187" s="16">
        <f>IF(ISNA(VLOOKUP($A187,'Données projet'!$A$512:$I$532,5,0)),0%,VLOOKUP($A187,'Données projet'!$A$512:$I$532,5,0)*VLOOKUP('Données projet'!$B$27,Paramètres!$A$1:$I$89,7,0))</f>
        <v>0</v>
      </c>
      <c r="OL187" s="16">
        <f>IF(ISNA(VLOOKUP($A187,'Données projet'!$A$512:$I$532,6,0)),0%,VLOOKUP($A187,'Données projet'!$A$512:$I$532,6,0)*VLOOKUP('Données projet'!$B$27,Paramètres!$A$1:$I$89,7,0))</f>
        <v>0</v>
      </c>
      <c r="OM187" s="16">
        <f>IF(ISNA(VLOOKUP($A187,'Données projet'!$A$512:$I$532,7,0)),0%,VLOOKUP($A187,'Données projet'!$A$512:$I$532,7,0))</f>
        <v>0</v>
      </c>
      <c r="ON187" s="21" t="e">
        <f>EXP(-LN(2)/35)*ON186+(1-EXP(-LN(2)/35))/(LN(2)/35)*OJ187*OK187*VLOOKUP('Données projet'!$B$27,Paramètres!$A$1:$I$89,3,0)*0.475*44/12</f>
        <v>#N/A</v>
      </c>
      <c r="OO187" s="21" t="e">
        <f>EXP(-LN(2)/25)*OO186+(1-EXP(-LN(2)/25))/(LN(2)/25)*Calculateur!OJ187*Calculateur!OL187*VLOOKUP('Données projet'!$B$27,Paramètres!$A$1:$I$89,3,0)*0.475*44/12</f>
        <v>#N/A</v>
      </c>
      <c r="OP187" s="21" t="e">
        <f>EXP(-LN(2)/2)*OP186+(1-EXP(-LN(2)/2))/(LN(2)/2)*OJ187*OM187*VLOOKUP('Données projet'!$B$27,Paramètres!$A$1:$I$89,3,0)*0.475*44/12</f>
        <v>#N/A</v>
      </c>
      <c r="OQ187" s="22" t="e">
        <f t="shared" si="280"/>
        <v>#N/A</v>
      </c>
      <c r="OR187" s="74">
        <f>('Scénario référence'!$F$8+'Scénario référence'!$F$9+'Scénario référence'!$B$17+'Scénario référence'!$B$9+'Scénario référence'!$B$10)*70+IF((45+25*(1-EXP(-0.0175*$A187)))&lt;70,'Scénario référence'!$B$16*(45+25*(1-EXP(-0.0175*$A187))),70*'Scénario référence'!$B$16)+IF((32+38*(1-EXP(-0.0175*$A187)))&lt;70,'Scénario référence'!$B$18*(32+38*(1-EXP(-0.0175*$A187))),70*'Scénario référence'!$B$18)</f>
        <v>70</v>
      </c>
      <c r="OS187" s="12">
        <f>IF($A187&gt;30,10,('Scénario référence'!$B$16+'Scénario référence'!$B$17+'Scénario référence'!$B$18+'Scénario référence'!$B$9+'Scénario référence'!$B$10)*$A187*10/30+('Scénario référence'!$F$8+'Scénario référence'!$F$9)*10)</f>
        <v>10</v>
      </c>
      <c r="OT187" s="12" t="e">
        <f>VLOOKUP($A187,'Données projet'!$A$538:$I$558,2,0)</f>
        <v>#N/A</v>
      </c>
      <c r="OU187" s="12" t="e">
        <f>VLOOKUP($A187,'Données projet'!$A$538:$I$558,9,0)</f>
        <v>#N/A</v>
      </c>
      <c r="OV187" s="12">
        <f t="array" ref="OV187">INDEX(OU:OU,MIN(IF(ISNUMBER(OU187:OU383),ROW(OU187:OU383),"")))</f>
        <v>0</v>
      </c>
      <c r="OW187" s="12">
        <f>IF('Données projet'!$A$538&gt;35,OW186+OV187-PE186,IF($A187&lt;'Données projet'!$A$538,$CQ$205^$A187,IF($A187='Données projet'!$A$538,'Données projet'!$B$538,OW186+OV187-PE186)))</f>
        <v>0</v>
      </c>
      <c r="OX187" s="17" t="e">
        <f>OW187*VLOOKUP('Données projet'!$B$28,Paramètres!$A$1:$I$89,3,0)*VLOOKUP('Données projet'!$B$28,Paramètres!$A$1:$I$89,5,0)</f>
        <v>#N/A</v>
      </c>
      <c r="OY187" s="13" t="e">
        <f t="shared" si="324"/>
        <v>#N/A</v>
      </c>
      <c r="OZ187" s="14" t="e">
        <f t="shared" si="281"/>
        <v>#N/A</v>
      </c>
      <c r="PA187" s="59" t="e">
        <f t="shared" si="282"/>
        <v>#N/A</v>
      </c>
      <c r="PB187" s="20" t="e">
        <f ca="1">AVERAGE(OFFSET($PA$3,0,0,'Données projet'!$E$28+1,1))-AVERAGE(OFFSET($H$3,0,0,'Données projet'!$E$28+1,1))</f>
        <v>#N/A</v>
      </c>
      <c r="PC187" s="59" t="e">
        <f t="shared" si="325"/>
        <v>#N/A</v>
      </c>
      <c r="PD187" s="15">
        <f>IF(ISNA(VLOOKUP($A187,'Données projet'!$A$538:$I$558,3,0)),0,VLOOKUP($A187,'Données projet'!$A$538:$I$558,3,0))</f>
        <v>0</v>
      </c>
      <c r="PE187" s="15">
        <f>IF(ISNA(VLOOKUP($A187,'Données projet'!$A$538:$I$558,4,0)),0,VLOOKUP($A187,'Données projet'!$A$538:$I$558,4,0))</f>
        <v>0</v>
      </c>
      <c r="PF187" s="16">
        <f>IF(ISNA(VLOOKUP($A187,'Données projet'!$A$538:$I$558,5,0)),0%,VLOOKUP($A187,'Données projet'!$A$538:$I$558,5,0)*VLOOKUP('Données projet'!$B$28,Paramètres!$A$1:$I$89,7,0))</f>
        <v>0</v>
      </c>
      <c r="PG187" s="16">
        <f>IF(ISNA(VLOOKUP($A187,'Données projet'!$A$538:$I$558,6,0)),0%,VLOOKUP($A187,'Données projet'!$A$538:$I$558,6,0)*VLOOKUP('Données projet'!$B$28,Paramètres!$A$1:$I$89,7,0))</f>
        <v>0</v>
      </c>
      <c r="PH187" s="16">
        <f>IF(ISNA(VLOOKUP($A187,'Données projet'!$A$538:$I$558,7,0)),0%,VLOOKUP($A187,'Données projet'!$A$538:$I$558,7,0))</f>
        <v>0</v>
      </c>
      <c r="PI187" s="21" t="e">
        <f>EXP(-LN(2)/35)*PI186+(1-EXP(-LN(2)/35))/(LN(2)/35)*PE187*PF187*VLOOKUP('Données projet'!$B$28,Paramètres!$A$1:$I$89,3,0)*0.475*44/12</f>
        <v>#N/A</v>
      </c>
      <c r="PJ187" s="21" t="e">
        <f>EXP(-LN(2)/25)*PJ186+(1-EXP(-LN(2)/25))/(LN(2)/25)*Calculateur!PE187*Calculateur!PG187*VLOOKUP('Données projet'!$B$28,Paramètres!$A$1:$I$89,3,0)*0.475*44/12</f>
        <v>#N/A</v>
      </c>
      <c r="PK187" s="21" t="e">
        <f>EXP(-LN(2)/2)*PK186+(1-EXP(-LN(2)/2))/(LN(2)/2)*PE187*PH187*VLOOKUP('Données projet'!$B$28,Paramètres!$A$1:$I$89,3,0)*0.475*44/12</f>
        <v>#N/A</v>
      </c>
      <c r="PL187" s="22" t="e">
        <f t="shared" si="283"/>
        <v>#N/A</v>
      </c>
    </row>
    <row r="188" spans="1:428" x14ac:dyDescent="0.35">
      <c r="A188" s="10">
        <f t="shared" si="326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285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225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projet'!$A$45:$I$65,2,0)</f>
        <v>#N/A</v>
      </c>
      <c r="L188" s="12" t="e">
        <f>VLOOKUP(A188,'Données projet'!$A$45:$I$65,9,0)</f>
        <v>#N/A</v>
      </c>
      <c r="M188" s="12">
        <f t="array" ref="M188">INDEX(L:L,MIN(IF(ISNUMBER(L188:L384),ROW(L188:L384),"")))</f>
        <v>0</v>
      </c>
      <c r="N188" s="13">
        <f>IF('Données projet'!$A$46&gt;35,N187+M188-V187,IF(A188&lt;'Données projet'!$A$46,$K$205^A188,IF(A188='Données projet'!$A$46,'Données projet'!$B$46,N187+M188-V187)))</f>
        <v>-1.1368683772161603E-13</v>
      </c>
      <c r="O188" s="13">
        <f>N188*VLOOKUP('Données projet'!$B$9,Paramètres!$A$1:$I$89,3,0)*VLOOKUP('Données projet'!$B$9,Paramètres!$A$1:$I$89,5,0)</f>
        <v>-6.3550942286383367E-14</v>
      </c>
      <c r="P188" s="13" t="e">
        <f t="shared" si="286"/>
        <v>#NUM!</v>
      </c>
      <c r="Q188" s="20" t="e">
        <f t="shared" si="327"/>
        <v>#NUM!</v>
      </c>
      <c r="R188" s="59" t="e">
        <f t="shared" si="224"/>
        <v>#NUM!</v>
      </c>
      <c r="S188" s="59">
        <f ca="1">AVERAGE(OFFSET($R$3,0,0,'Données projet'!$E$9+1,1))-AVERAGE(OFFSET($H$3,0,0,'Données projet'!$E$9+1,1))</f>
        <v>274.57619581652199</v>
      </c>
      <c r="T188" s="59">
        <f t="shared" si="287"/>
        <v>366.15117322598775</v>
      </c>
      <c r="U188" s="15">
        <f>IF(ISNA(VLOOKUP(A188,'Données projet'!$A$45:$I$65,3,0)),0,VLOOKUP(A188,'Données projet'!$A$45:$I$65,3,0))</f>
        <v>0</v>
      </c>
      <c r="V188" s="15">
        <f>IF(ISNA(VLOOKUP(A188,'Données projet'!$A$45:$I$65,4,0)),0,VLOOKUP(A188,'Données projet'!$A$45:$I$65,4,0))</f>
        <v>0</v>
      </c>
      <c r="W188" s="16">
        <f>IF(ISNA(VLOOKUP(A188,'Données projet'!$A$45:$I$65,5,0)),0%,VLOOKUP(A188,'Données projet'!$A$45:$I$65,5,0)*VLOOKUP('Données projet'!$B$9,Paramètres!$A$1:$I$89,7,0))</f>
        <v>0</v>
      </c>
      <c r="X188" s="16">
        <f>IF(ISNA(VLOOKUP(A188,'Données projet'!$A$45:$I$65,6,0)),0%,VLOOKUP(A188,'Données projet'!$A$45:$I$65,6,0)*VLOOKUP('Données projet'!$B$9,Paramètres!$A$1:$I$89,7,0))</f>
        <v>0</v>
      </c>
      <c r="Y188" s="16">
        <f>IF(ISNA(VLOOKUP(A188,'Données projet'!$A$45:$I$65,7,0)),0%,VLOOKUP(A188,'Données projet'!$A$45:$I$65,7,0))</f>
        <v>0</v>
      </c>
      <c r="Z188" s="21">
        <f>EXP(-LN(2)/35)*Z187+(1-EXP(-LN(2)/35))/(LN(2)/35)*V188*W188*VLOOKUP('Données projet'!$B$9,Paramètres!$A$1:$I$89,3,0)*0.475*44/12</f>
        <v>17.268629858406801</v>
      </c>
      <c r="AA188" s="21">
        <f>EXP(-LN(2)/25)*AA187+(1-EXP(-LN(2)/25))/(LN(2)/25)*Calculateur!V188*Calculateur!X188*VLOOKUP('Données projet'!$B$9,Paramètres!$A$1:$I$89,3,0)*0.475*44/12</f>
        <v>1.5671999566301693</v>
      </c>
      <c r="AB188" s="21">
        <f>EXP(-LN(2)/2)*AB187+(1-EXP(-LN(2)/2))/(LN(2)/2)*V188*Y188*VLOOKUP('Données projet'!$B$9,Paramètres!$A$1:$I$89,3,0)*0.475*44/12</f>
        <v>9.2594400040491263E-19</v>
      </c>
      <c r="AC188" s="22">
        <f t="shared" si="328"/>
        <v>18.83582981503697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projet'!$A$71:$I$91,2,0)</f>
        <v>#N/A</v>
      </c>
      <c r="AG188" s="12" t="e">
        <f>VLOOKUP(A188,'Données projet'!$A$71:$I$91,9,0)</f>
        <v>#N/A</v>
      </c>
      <c r="AH188" s="12">
        <f t="array" ref="AH188">INDEX(AG:AG,MIN(IF(ISNUMBER(AG188:AG384),ROW(AG188:AG384),"")))</f>
        <v>0</v>
      </c>
      <c r="AI188" s="13">
        <f>IF('Données projet'!$A$72&gt;35,AI187+AH188-AQ187,IF(A188&lt;'Données projet'!$A$72,$AF$205^A188,IF(A188='Données projet'!$A$72,'Données projet'!$B$72,AI187+AH188-AQ187)))</f>
        <v>5.6843418860808015E-13</v>
      </c>
      <c r="AJ188" s="13">
        <f>AI188*VLOOKUP('Données projet'!$B$10,Paramètres!$A$1:$I$89,3,0)*VLOOKUP('Données projet'!$B$10,Paramètres!$A$1:$I$89,5,0)</f>
        <v>5.1431925385259092E-13</v>
      </c>
      <c r="AK188" s="13">
        <f t="shared" si="329"/>
        <v>6.3855359115685756E-12</v>
      </c>
      <c r="AL188" s="20">
        <f t="shared" si="330"/>
        <v>1.2017247746441865E-11</v>
      </c>
      <c r="AM188" s="59">
        <f t="shared" si="228"/>
        <v>293.33333333334531</v>
      </c>
      <c r="AN188" s="59">
        <f ca="1">AVERAGE(OFFSET($AM$3,0,0,'Données projet'!$E$10+1,1))-AVERAGE(OFFSET($H$3,0,0,'Données projet'!$E$10+1,1))</f>
        <v>270.87836509222456</v>
      </c>
      <c r="AO188" s="59">
        <f t="shared" si="289"/>
        <v>205.24998237949734</v>
      </c>
      <c r="AP188" s="15">
        <f>IF(ISNA(VLOOKUP(A188,'Données projet'!$A$71:$I$91,3,0)),0,VLOOKUP(A188,'Données projet'!$A$71:$I$91,3,0))</f>
        <v>0</v>
      </c>
      <c r="AQ188" s="15">
        <f>IF(ISNA(VLOOKUP(A188,'Données projet'!$A$71:$I$91,4,0)),0,VLOOKUP(A188,'Données projet'!$A$71:$I$91,4,0))</f>
        <v>0</v>
      </c>
      <c r="AR188" s="16">
        <f>IF(ISNA(VLOOKUP(A188,'Données projet'!$A$71:$I$91,5,0)),0%,VLOOKUP(A188,'Données projet'!$A$71:$I$91,5,0)*VLOOKUP('Données projet'!$B$10,Paramètres!$A$1:$I$89,7,0))</f>
        <v>0</v>
      </c>
      <c r="AS188" s="16">
        <f>IF(ISNA(VLOOKUP(A188,'Données projet'!$A$71:$I$91,6,0)),0%,VLOOKUP(A188,'Données projet'!$A$71:$I$91,6,0)*VLOOKUP('Données projet'!$B$10,Paramètres!$A$1:$I$89,7,0))</f>
        <v>0</v>
      </c>
      <c r="AT188" s="16">
        <f>IF(ISNA(VLOOKUP(A188,'Données projet'!$A$71:$I$91,7,0)),0%,VLOOKUP(A188,'Données projet'!$A$71:$I$91,7,0))</f>
        <v>0</v>
      </c>
      <c r="AU188" s="21">
        <f>EXP(-LN(2)/35)*AU187+(1-EXP(-LN(2)/35))/(LN(2)/35)*AQ188*AR188*VLOOKUP('Données projet'!$B$10,Paramètres!$A$1:$I$89,3,0)*0.475*44/12</f>
        <v>58.68320391065128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331"/>
        <v>58.68320391065128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projet'!$A$97:$I$117,2,0)</f>
        <v>#N/A</v>
      </c>
      <c r="BB188" s="12" t="e">
        <f>VLOOKUP(A188,'Données projet'!$A$97:$I$117,9,0)</f>
        <v>#N/A</v>
      </c>
      <c r="BC188" s="12">
        <f t="array" ref="BC188">INDEX(BB:BB,MIN(IF(ISNUMBER(BB188:BB384),ROW(BB188:BB384),"")))</f>
        <v>0</v>
      </c>
      <c r="BD188" s="12">
        <f>IF('Données projet'!$A$98&gt;35,BD187+BC188-BL187,IF(A188&lt;'Données projet'!$A$98,$BA$205^A188,IF(A188='Données projet'!$A$98,'Données projet'!$B$98,BD187+BC188-BL187)))</f>
        <v>-1.1368683772161603E-13</v>
      </c>
      <c r="BE188" s="13">
        <f>BD188*VLOOKUP('Données projet'!$B$11,Paramètres!$A$1:$I$89,3,0)*VLOOKUP('Données projet'!$B$11,Paramètres!$A$1:$I$89,5,0)</f>
        <v>-5.0249582272954292E-14</v>
      </c>
      <c r="BF188" s="13" t="e">
        <f t="shared" si="332"/>
        <v>#NUM!</v>
      </c>
      <c r="BG188" s="20" t="e">
        <f t="shared" si="333"/>
        <v>#NUM!</v>
      </c>
      <c r="BH188" s="59" t="e">
        <f t="shared" si="231"/>
        <v>#NUM!</v>
      </c>
      <c r="BI188" s="59">
        <f ca="1">AVERAGE(OFFSET($BH$3,0,0,'Données projet'!$E$11+1,1))-AVERAGE(OFFSET($H$3,0,0,'Données projet'!$E$11+1,1))</f>
        <v>211.31057120485542</v>
      </c>
      <c r="BJ188" s="59">
        <f t="shared" si="291"/>
        <v>283.33292006714777</v>
      </c>
      <c r="BK188" s="15">
        <f>IF(ISNA(VLOOKUP(A188,'Données projet'!$A$97:$I$117,3,0)),0,VLOOKUP(A188,'Données projet'!$A$97:$I$117,3,0))</f>
        <v>0</v>
      </c>
      <c r="BL188" s="15">
        <f>IF(ISNA(VLOOKUP(A188,'Données projet'!$A$97:$I$117,4,0)),0,VLOOKUP(A188,'Données projet'!$A$97:$I$117,4,0))</f>
        <v>0</v>
      </c>
      <c r="BM188" s="16">
        <f>IF(ISNA(VLOOKUP(A188,'Données projet'!$A$97:$I$117,5,0)),0%,VLOOKUP(A188,'Données projet'!$A$97:$I$117,5,0)*VLOOKUP('Données projet'!$B$11,Paramètres!$A$1:$I$89,7,0))</f>
        <v>0</v>
      </c>
      <c r="BN188" s="16">
        <f>IF(ISNA(VLOOKUP(A188,'Données projet'!$A$97:$I$117,6,0)),0%,VLOOKUP(A188,'Données projet'!$A$97:$I$117,6,0)*VLOOKUP('Données projet'!$B$11,Paramètres!$A$1:$I$89,7,0))</f>
        <v>0</v>
      </c>
      <c r="BO188" s="16">
        <f>IF(ISNA(VLOOKUP(A188,'Données projet'!$A$97:$I$117,7,0)),0%,VLOOKUP(A188,'Données projet'!$A$97:$I$117,7,0))</f>
        <v>0</v>
      </c>
      <c r="BP188" s="21">
        <f>EXP(-LN(2)/35)*BP187+(1-EXP(-LN(2)/35))/(LN(2)/35)*BL188*BM188*VLOOKUP('Données projet'!$B$11,Paramètres!$A$1:$I$89,3,0)*0.475*44/12</f>
        <v>13.654265469437947</v>
      </c>
      <c r="BQ188" s="21">
        <f>EXP(-LN(2)/25)*BQ187+(1-EXP(-LN(2)/25))/(LN(2)/25)*Calculateur!BL188*Calculateur!BN188*VLOOKUP('Données projet'!$B$11,Paramètres!$A$1:$I$89,3,0)*0.475*44/12</f>
        <v>1.2391813610564122</v>
      </c>
      <c r="BR188" s="21">
        <f>EXP(-LN(2)/2)*BR187+(1-EXP(-LN(2)/2))/(LN(2)/2)*BL188*BO188*VLOOKUP('Données projet'!$B$11,Paramètres!$A$1:$I$89,3,0)*0.475*44/12</f>
        <v>7.321417677620238E-19</v>
      </c>
      <c r="BS188" s="22">
        <f t="shared" si="334"/>
        <v>14.893446830494359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projet'!$A$123:$I$143,2,0)</f>
        <v>#N/A</v>
      </c>
      <c r="BW188" s="12" t="e">
        <f>VLOOKUP(A188,'Données projet'!$A$123:$I$143,9,0)</f>
        <v>#N/A</v>
      </c>
      <c r="BX188" s="12">
        <f t="array" ref="BX188">INDEX(BW:BW,MIN(IF(ISNUMBER(BW188:BW384),ROW(BW188:BW384),"")))</f>
        <v>0</v>
      </c>
      <c r="BY188" s="12">
        <f>IF('Données projet'!$A$124&gt;35,BY187+BX188-CG187,IF(A188&lt;'Données projet'!$A$124,$BV$205^A188,IF(A188='Données projet'!$A$124,'Données projet'!$B$124,BY187+BX188-CG187)))</f>
        <v>0</v>
      </c>
      <c r="BZ188" s="13">
        <f>BY188*VLOOKUP('Données projet'!$B$12,Paramètres!$A$1:$I$89,3,0)*VLOOKUP('Données projet'!$B$12,Paramètres!$A$1:$I$89,5,0)</f>
        <v>0</v>
      </c>
      <c r="CA188" s="13" t="e">
        <f t="shared" si="335"/>
        <v>#NUM!</v>
      </c>
      <c r="CB188" s="20" t="e">
        <f t="shared" si="336"/>
        <v>#NUM!</v>
      </c>
      <c r="CC188" s="59" t="e">
        <f t="shared" si="234"/>
        <v>#NUM!</v>
      </c>
      <c r="CD188" s="59">
        <f ca="1">AVERAGE(OFFSET($CC$3,0,0,'Données projet'!$E$12+1,1))-AVERAGE(OFFSET($H$3,0,0,'Données projet'!$E$12+1,1))</f>
        <v>322.93502595881938</v>
      </c>
      <c r="CE188" s="59">
        <f t="shared" si="293"/>
        <v>302.67072119588164</v>
      </c>
      <c r="CF188" s="15">
        <f>IF(ISNA(VLOOKUP(A188,'Données projet'!$A$123:$I$143,3,0)),0,VLOOKUP(A188,'Données projet'!$A$123:$I$143,3,0))</f>
        <v>0</v>
      </c>
      <c r="CG188" s="15">
        <f>IF(ISNA(VLOOKUP(A188,'Données projet'!$A$123:$I$143,4,0)),0,VLOOKUP(A188,'Données projet'!$A$123:$I$143,4,0))</f>
        <v>0</v>
      </c>
      <c r="CH188" s="16">
        <f>IF(ISNA(VLOOKUP(A188,'Données projet'!$A$123:$I$143,5,0)),0%,VLOOKUP(A188,'Données projet'!$A$123:$I$143,5,0)*VLOOKUP('Données projet'!$B$12,Paramètres!$A$1:$I$89,7,0))</f>
        <v>0</v>
      </c>
      <c r="CI188" s="16">
        <f>IF(ISNA(VLOOKUP(A188,'Données projet'!$A$123:$I$143,6,0)),0%,VLOOKUP(A188,'Données projet'!$A$123:$I$143,6,0)*VLOOKUP('Données projet'!$B$12,Paramètres!$A$1:$I$89,7,0))</f>
        <v>0</v>
      </c>
      <c r="CJ188" s="16">
        <f>IF(ISNA(VLOOKUP(A188,'Données projet'!$A$123:$I$143,7,0)),0%,VLOOKUP(A188,'Données projet'!$A$123:$I$143,7,0))</f>
        <v>0</v>
      </c>
      <c r="CK188" s="21">
        <f>EXP(-LN(2)/35)*CK187+(1-EXP(-LN(2)/35))/(LN(2)/35)*CG188*CH188*VLOOKUP('Données projet'!$B$12,Paramètres!$A$1:$I$89,3,0)*0.475*44/12</f>
        <v>21.754544230493778</v>
      </c>
      <c r="CL188" s="21">
        <f>EXP(-LN(2)/25)*CL187+(1-EXP(-LN(2)/25))/(LN(2)/25)*Calculateur!CG188*Calculateur!CI188*VLOOKUP('Données projet'!$B$12,Paramètres!$A$1:$I$89,3,0)*0.475*44/12</f>
        <v>3.9661301083934877</v>
      </c>
      <c r="CM188" s="21">
        <f>EXP(-LN(2)/2)*CM187+(1-EXP(-LN(2)/2))/(LN(2)/2)*CG188*CJ188*VLOOKUP('Données projet'!$B$12,Paramètres!$A$1:$I$89,3,0)*0.475*44/12</f>
        <v>0</v>
      </c>
      <c r="CN188" s="22">
        <f t="shared" si="337"/>
        <v>25.720674338887264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projet'!$A$149:$I$169,2,0)</f>
        <v>#N/A</v>
      </c>
      <c r="CR188" s="12" t="e">
        <f>VLOOKUP(A188,'Données projet'!$A$149:$I$169,9,0)</f>
        <v>#N/A</v>
      </c>
      <c r="CS188" s="12">
        <f t="array" ref="CS188">INDEX(CR:CR,MIN(IF(ISNUMBER(CR188:CR384),ROW(CR188:CR384),"")))</f>
        <v>0</v>
      </c>
      <c r="CT188" s="12">
        <f>IF('Données projet'!$A$150&gt;35,CT187+CS188-DB187,IF(A188&lt;'Données projet'!$A$150,$CQ$205^A188,IF(A188='Données projet'!$A$150,'Données projet'!$B$150,CT187+CS188-DB187)))</f>
        <v>-4.5474735088646412E-13</v>
      </c>
      <c r="CU188" s="17">
        <f>CT188*VLOOKUP('Données projet'!$B$13,Paramètres!$A$1:$I$89,3,0)*VLOOKUP('Données projet'!$B$13,Paramètres!$A$1:$I$89,5,0)</f>
        <v>-4.6111381379887462E-13</v>
      </c>
      <c r="CV188" s="13" t="e">
        <f t="shared" si="338"/>
        <v>#NUM!</v>
      </c>
      <c r="CW188" s="20" t="e">
        <f t="shared" si="339"/>
        <v>#NUM!</v>
      </c>
      <c r="CX188" s="59" t="e">
        <f t="shared" si="237"/>
        <v>#NUM!</v>
      </c>
      <c r="CY188" s="59">
        <f ca="1">AVERAGE(OFFSET($CX$3,0,0,'Données projet'!$E$13+1,1))-AVERAGE(OFFSET($H$3,0,0,'Données projet'!$E$13+1,1))</f>
        <v>250.31277422753283</v>
      </c>
      <c r="CZ188" s="59">
        <f t="shared" si="295"/>
        <v>159.20429420478047</v>
      </c>
      <c r="DA188" s="15">
        <f>IF(ISNA(VLOOKUP(A188,'Données projet'!$A$149:$I$169,3,0)),0,VLOOKUP(A188,'Données projet'!$A$149:$I$169,3,0))</f>
        <v>0</v>
      </c>
      <c r="DB188" s="15">
        <f>IF(ISNA(VLOOKUP(A188,'Données projet'!$A$149:$I$169,4,0)),0,VLOOKUP(A188,'Données projet'!$A$149:$I$169,4,0))</f>
        <v>0</v>
      </c>
      <c r="DC188" s="16">
        <f>IF(ISNA(VLOOKUP(A188,'Données projet'!$A$149:$I$169,5,0)),0%,VLOOKUP(A188,'Données projet'!$A$149:$I$169,5,0)*VLOOKUP('Données projet'!$B$13,Paramètres!$A$1:$I$89,7,0))</f>
        <v>0</v>
      </c>
      <c r="DD188" s="16">
        <f>IF(ISNA(VLOOKUP(A188,'Données projet'!$A$149:$I$169,6,0)),0%,VLOOKUP(A188,'Données projet'!$A$149:$I$169,6,0)*VLOOKUP('Données projet'!$B$13,Paramètres!$A$1:$I$89,7,0))</f>
        <v>0</v>
      </c>
      <c r="DE188" s="16">
        <f>IF(ISNA(VLOOKUP(A188,'Données projet'!$A$149:$I$169,7,0)),0%,VLOOKUP(A188,'Données projet'!$A$149:$I$169,7,0))</f>
        <v>0</v>
      </c>
      <c r="DF188" s="21">
        <f>EXP(-LN(2)/35)*DF187+(1-EXP(-LN(2)/35))/(LN(2)/35)*DB188*DC188*VLOOKUP('Données projet'!$B$13,Paramètres!$A$1:$I$89,3,0)*0.475*44/12</f>
        <v>99.033166862125711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340"/>
        <v>99.033166862125711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projet'!$A$175:$I$195,2,0)</f>
        <v>#N/A</v>
      </c>
      <c r="DM188" s="12" t="e">
        <f>VLOOKUP(A188,'Données projet'!$A$175:$I$195,9,0)</f>
        <v>#N/A</v>
      </c>
      <c r="DN188" s="12">
        <f t="array" ref="DN188">INDEX(DM:DM,MIN(IF(ISNUMBER(DM188:DM384),ROW(DM188:DM384),"")))</f>
        <v>0</v>
      </c>
      <c r="DO188" s="12">
        <f>IF('Données projet'!$A$176&gt;35,DO187+DN188-DW187,IF(A188&lt;'Données projet'!$A$176,$DL$205^A188,IF(A188='Données projet'!$A$176,'Données projet'!$B$176,DO187+DN188-DW187)))</f>
        <v>-2.8421709430404007E-13</v>
      </c>
      <c r="DP188" s="17">
        <f>DO188*VLOOKUP('Données projet'!$B$14,Paramètres!$A$1:$I$89,3,0)*VLOOKUP('Données projet'!$B$14,Paramètres!$A$1:$I$89,5,0)</f>
        <v>-2.0838797354372215E-13</v>
      </c>
      <c r="DQ188" s="13" t="e">
        <f t="shared" si="341"/>
        <v>#NUM!</v>
      </c>
      <c r="DR188" s="20" t="e">
        <f t="shared" si="342"/>
        <v>#NUM!</v>
      </c>
      <c r="DS188" s="59" t="e">
        <f t="shared" si="240"/>
        <v>#NUM!</v>
      </c>
      <c r="DT188" s="59">
        <f ca="1">AVERAGE(OFFSET($DS$3,0,0,'Données projet'!$E$14+1,1))-AVERAGE(OFFSET($H$3,0,0,'Données projet'!$E$14+1,1))</f>
        <v>296.91321813251051</v>
      </c>
      <c r="DU188" s="59">
        <f t="shared" si="297"/>
        <v>291.0718079639509</v>
      </c>
      <c r="DV188" s="15">
        <f>IF(ISNA(VLOOKUP(A188,'Données projet'!$A$175:$I$195,3,0)),0,VLOOKUP(A188,'Données projet'!$A$175:$I$195,3,0))</f>
        <v>0</v>
      </c>
      <c r="DW188" s="15">
        <f>IF(ISNA(VLOOKUP(A188,'Données projet'!$A$175:$I$195,4,0)),0,VLOOKUP(A188,'Données projet'!$A$175:$I$195,4,0))</f>
        <v>0</v>
      </c>
      <c r="DX188" s="16">
        <f>IF(ISNA(VLOOKUP(A188,'Données projet'!$A$175:$I$195,5,0)),0%,VLOOKUP(A188,'Données projet'!$A$175:$I$195,5,0)*VLOOKUP('Données projet'!$B$14,Paramètres!$A$1:$I$89,7,0))</f>
        <v>0</v>
      </c>
      <c r="DY188" s="16">
        <f>IF(ISNA(VLOOKUP(A188,'Données projet'!$A$175:$I$195,6,0)),0%,VLOOKUP(A188,'Données projet'!$A$175:$I$195,6,0)*VLOOKUP('Données projet'!$B$14,Paramètres!$A$1:$I$89,7,0))</f>
        <v>0</v>
      </c>
      <c r="DZ188" s="16">
        <f>IF(ISNA(VLOOKUP(A188,'Données projet'!$A$175:$I$195,7,0)),0%,VLOOKUP(A188,'Données projet'!$A$175:$I$195,7,0))</f>
        <v>0</v>
      </c>
      <c r="EA188" s="21">
        <f>EXP(-LN(2)/35)*EA187+(1-EXP(-LN(2)/35))/(LN(2)/35)*DW188*DX188*VLOOKUP('Données projet'!$B$14,Paramètres!$A$1:$I$89,3,0)*0.475*44/12</f>
        <v>21.682296454819628</v>
      </c>
      <c r="EB188" s="21">
        <f>EXP(-LN(2)/25)*EB187+(1-EXP(-LN(2)/25))/(LN(2)/25)*Calculateur!DW188*Calculateur!DY188*VLOOKUP('Données projet'!$B$14,Paramètres!$A$1:$I$89,3,0)*0.475*44/12</f>
        <v>0.29135551482682781</v>
      </c>
      <c r="EC188" s="21">
        <f>EXP(-LN(2)/2)*EC187+(1-EXP(-LN(2)/2))/(LN(2)/2)*DW188*DZ188*VLOOKUP('Données projet'!$B$14,Paramètres!$A$1:$I$89,3,0)*0.475*44/12</f>
        <v>0</v>
      </c>
      <c r="ED188" s="22">
        <f t="shared" si="343"/>
        <v>21.973651969646458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projet'!$A$201:$I$221,2,0)</f>
        <v>#N/A</v>
      </c>
      <c r="EH188" s="12" t="e">
        <f>VLOOKUP(A188,'Données projet'!$A$201:$I$221,9,0)</f>
        <v>#N/A</v>
      </c>
      <c r="EI188" s="12">
        <f t="array" ref="EI188">INDEX(EH:EH,MIN(IF(ISNUMBER(EH188:EH384),ROW(EH188:EH384),"")))</f>
        <v>0</v>
      </c>
      <c r="EJ188" s="12">
        <f>IF('Données projet'!$A$202&gt;35,EJ187+EI188-ER187,IF(A188&lt;'Données projet'!$A$202,$EG$205^A188,IF(A188='Données projet'!$A$202,'Données projet'!$B$202,EJ187+EI188-ER187)))</f>
        <v>5.1159076974727213E-13</v>
      </c>
      <c r="EK188" s="17">
        <f>EJ188*VLOOKUP('Données projet'!$B$15,Paramètres!$A$1:$I$89,3,0)*VLOOKUP('Données projet'!$B$15,Paramètres!$A$1:$I$89,5,0)</f>
        <v>2.3942448024172334E-13</v>
      </c>
      <c r="EL188" s="13">
        <f t="shared" si="344"/>
        <v>3.2492669905861755E-12</v>
      </c>
      <c r="EM188" s="20">
        <f t="shared" si="345"/>
        <v>6.0761376450252565E-12</v>
      </c>
      <c r="EN188" s="59">
        <f t="shared" si="243"/>
        <v>293.3333333333394</v>
      </c>
      <c r="EO188" s="59">
        <f ca="1">AVERAGE(OFFSET($EN$3,0,0,'Données projet'!$E$15+1,1))-AVERAGE(OFFSET($H$3,0,0,'Données projet'!$E$15+1,1))</f>
        <v>147.64256291235483</v>
      </c>
      <c r="EP188" s="59">
        <f t="shared" si="299"/>
        <v>70.859031694091868</v>
      </c>
      <c r="EQ188" s="15">
        <f>IF(ISNA(VLOOKUP(A188,'Données projet'!$A$201:$I$221,3,0)),0,VLOOKUP(A188,'Données projet'!$A$201:$I$221,3,0))</f>
        <v>0</v>
      </c>
      <c r="ER188" s="15">
        <f>IF(ISNA(VLOOKUP(A188,'Données projet'!$A$201:$I$221,4,0)),0,VLOOKUP(A188,'Données projet'!$A$201:$I$221,4,0))</f>
        <v>0</v>
      </c>
      <c r="ES188" s="16">
        <f>IF(ISNA(VLOOKUP(A188,'Données projet'!$A$201:$I$221,5,0)),0%,VLOOKUP(A188,'Données projet'!$A$201:$I$221,5,0)*VLOOKUP('Données projet'!$B$15,Paramètres!$A$1:$I$89,7,0))</f>
        <v>0</v>
      </c>
      <c r="ET188" s="16">
        <f>IF(ISNA(VLOOKUP(A188,'Données projet'!$A$201:$I$221,6,0)),0%,VLOOKUP(A188,'Données projet'!$A$201:$I$221,6,0)*VLOOKUP('Données projet'!$B$15,Paramètres!$A$1:$I$89,7,0))</f>
        <v>0</v>
      </c>
      <c r="EU188" s="16">
        <f>IF(ISNA(VLOOKUP(A188,'Données projet'!$A$201:$I$221,7,0)),0%,VLOOKUP(A188,'Données projet'!$A$201:$I$221,7,0))</f>
        <v>0</v>
      </c>
      <c r="EV188" s="21">
        <f>EXP(-LN(2)/35)*EV187+(1-EXP(-LN(2)/35))/(LN(2)/35)*ER188*ES188*VLOOKUP('Données projet'!$B$15,Paramètres!$A$1:$I$89,3,0)*0.475*44/12</f>
        <v>29.683405621205676</v>
      </c>
      <c r="EW188" s="21">
        <f>EXP(-LN(2)/25)*EW187+(1-EXP(-LN(2)/25))/(LN(2)/25)*Calculateur!ER188*Calculateur!ET188*VLOOKUP('Données projet'!$B$15,Paramètres!$A$1:$I$89,3,0)*0.475*44/12</f>
        <v>4.0422642325022178</v>
      </c>
      <c r="EX188" s="21">
        <f>EXP(-LN(2)/2)*EX187+(1-EXP(-LN(2)/2))/(LN(2)/2)*ER188*EU188*VLOOKUP('Données projet'!$B$15,Paramètres!$A$1:$I$89,3,0)*0.475*44/12</f>
        <v>6.6752142901217153E-11</v>
      </c>
      <c r="EY188" s="22">
        <f t="shared" si="346"/>
        <v>33.725669853774647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projet'!$A$227:$I$247,2,0)</f>
        <v>#N/A</v>
      </c>
      <c r="FC188" s="12" t="e">
        <f>VLOOKUP(A188,'Données projet'!$A$227:$I$247,9,0)</f>
        <v>#N/A</v>
      </c>
      <c r="FD188" s="12">
        <f t="array" ref="FD188">INDEX(FC:FC,MIN(IF(ISNUMBER(FC188:FC384),ROW(FC188:FC384),"")))</f>
        <v>0</v>
      </c>
      <c r="FE188" s="12">
        <f>IF('Données projet'!$A$228&gt;35,FE187+FD188-FM187,IF(A188&lt;'Données projet'!$A$228,$FB$205^A188,IF(A188='Données projet'!$A$228,'Données projet'!$B$228,FE187+FD188-FM187)))</f>
        <v>8.5265128291212022E-14</v>
      </c>
      <c r="FF188" s="17">
        <f>FE188*VLOOKUP('Données projet'!$B$16,Paramètres!$A$1:$I$89,3,0)*VLOOKUP('Données projet'!$B$16,Paramètres!$A$1:$I$89,5,0)</f>
        <v>8.9119112089974823E-14</v>
      </c>
      <c r="FG188" s="13">
        <f t="shared" si="347"/>
        <v>1.3568952080113142E-12</v>
      </c>
      <c r="FH188" s="20">
        <f t="shared" si="348"/>
        <v>2.5184749408430782E-12</v>
      </c>
      <c r="FI188" s="59">
        <f t="shared" si="246"/>
        <v>293.33333333333582</v>
      </c>
      <c r="FJ188" s="59">
        <f ca="1">AVERAGE(OFFSET($FI$3,0,0,'Données projet'!$E$16+1,1))-AVERAGE(OFFSET($H$3,0,0,'Données projet'!$E$16+1,1))</f>
        <v>259.03906550253788</v>
      </c>
      <c r="FK188" s="59">
        <f t="shared" si="301"/>
        <v>235.54542903570831</v>
      </c>
      <c r="FL188" s="15">
        <f>IF(ISNA(VLOOKUP(A188,'Données projet'!$A$227:$I$247,3,0)),0,VLOOKUP(A188,'Données projet'!$A$227:$I$247,3,0))</f>
        <v>0</v>
      </c>
      <c r="FM188" s="15">
        <f>IF(ISNA(VLOOKUP(A188,'Données projet'!$A$227:$I$247,4,0)),0,VLOOKUP(A188,'Données projet'!$A$227:$I$247,4,0))</f>
        <v>0</v>
      </c>
      <c r="FN188" s="16">
        <f>IF(ISNA(VLOOKUP(A188,'Données projet'!$A$227:$I$247,5,0)),0%,VLOOKUP(A188,'Données projet'!$A$227:$I$247,5,0)*VLOOKUP('Données projet'!$B$16,Paramètres!$A$1:$I$89,7,0))</f>
        <v>0</v>
      </c>
      <c r="FO188" s="16">
        <f>IF(ISNA(VLOOKUP(A188,'Données projet'!$A$227:$I$247,6,0)),0%,VLOOKUP(A188,'Données projet'!$A$227:$I$247,6,0)*VLOOKUP('Données projet'!$B$16,Paramètres!$A$1:$I$89,7,0))</f>
        <v>0</v>
      </c>
      <c r="FP188" s="16">
        <f>IF(ISNA(VLOOKUP(A188,'Données projet'!$A$227:$I$247,7,0)),0%,VLOOKUP(A188,'Données projet'!$A$227:$I$247,7,0))</f>
        <v>0</v>
      </c>
      <c r="FQ188" s="21">
        <f>EXP(-LN(2)/35)*FQ187+(1-EXP(-LN(2)/35))/(LN(2)/35)*FM188*FN188*VLOOKUP('Données projet'!$B$16,Paramètres!$A$1:$I$89,3,0)*0.475*44/12</f>
        <v>13.101448538209794</v>
      </c>
      <c r="FR188" s="21">
        <f>EXP(-LN(2)/25)*FR187+(1-EXP(-LN(2)/25))/(LN(2)/25)*Calculateur!FM188*Calculateur!FO188*VLOOKUP('Données projet'!$B$16,Paramètres!$A$1:$I$89,3,0)*0.475*44/12</f>
        <v>5.5608404619172704</v>
      </c>
      <c r="FS188" s="21">
        <f>EXP(-LN(2)/2)*FS187+(1-EXP(-LN(2)/2))/(LN(2)/2)*FM188*FP188*VLOOKUP('Données projet'!$B$16,Paramètres!$A$1:$I$89,3,0)*0.475*44/12</f>
        <v>0</v>
      </c>
      <c r="FT188" s="22">
        <f t="shared" si="349"/>
        <v>18.662289000127064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projet'!$A$253:$I$273,2,0)</f>
        <v>#N/A</v>
      </c>
      <c r="FX188" s="12" t="e">
        <f>VLOOKUP(A188,'Données projet'!$A$253:$I$273,9,0)</f>
        <v>#N/A</v>
      </c>
      <c r="FY188" s="12">
        <f t="array" ref="FY188">INDEX(FX:FX,MIN(IF(ISNUMBER(FX188:FX384),ROW(FX188:FX384),"")))</f>
        <v>0</v>
      </c>
      <c r="FZ188" s="12">
        <f>IF('Données projet'!$A$254&gt;35,FZ187+FY188-GH187,IF(A188&lt;'Données projet'!$A$254,$FW$205^A188,IF(A188='Données projet'!$A$254,'Données projet'!$B$254,FZ187+FY188-GH187)))</f>
        <v>-1.7053025658242404E-13</v>
      </c>
      <c r="GA188" s="17">
        <f>FZ188*VLOOKUP('Données projet'!$B$17,Paramètres!$A$1:$I$89,3,0)*VLOOKUP('Données projet'!$B$17,Paramètres!$A$1:$I$89,5,0)</f>
        <v>-1.4897523215040567E-13</v>
      </c>
      <c r="GB188" s="13" t="e">
        <f t="shared" si="350"/>
        <v>#NUM!</v>
      </c>
      <c r="GC188" s="20" t="e">
        <f t="shared" si="351"/>
        <v>#NUM!</v>
      </c>
      <c r="GD188" s="59" t="e">
        <f t="shared" si="249"/>
        <v>#NUM!</v>
      </c>
      <c r="GE188" s="59">
        <f ca="1">AVERAGE(OFFSET($GD$3,0,0,'Données projet'!$E$17+1,1))-AVERAGE(OFFSET($H$3,0,0,'Données projet'!$E$17+1,1))</f>
        <v>245.1983232777614</v>
      </c>
      <c r="GF188" s="59">
        <f t="shared" si="303"/>
        <v>242.34010522344573</v>
      </c>
      <c r="GG188" s="15">
        <f>IF(ISNA(VLOOKUP(A188,'Données projet'!$A$253:$I$273,3,0)),0,VLOOKUP(A188,'Données projet'!$A$253:$I$273,3,0))</f>
        <v>0</v>
      </c>
      <c r="GH188" s="15">
        <f>IF(ISNA(VLOOKUP(A188,'Données projet'!$A$253:$I$273,4,0)),0,VLOOKUP(A188,'Données projet'!$A$253:$I$273,4,0))</f>
        <v>0</v>
      </c>
      <c r="GI188" s="16">
        <f>IF(ISNA(VLOOKUP(A188,'Données projet'!$A$253:$I$273,5,0)),0%,VLOOKUP(A188,'Données projet'!$A$253:$I$273,5,0)*VLOOKUP('Données projet'!$B$17,Paramètres!$A$1:$I$89,7,0))</f>
        <v>0</v>
      </c>
      <c r="GJ188" s="16">
        <f>IF(ISNA(VLOOKUP(A188,'Données projet'!$A$253:$I$273,6,0)),0%,VLOOKUP(A188,'Données projet'!$A$253:$I$273,6,0)*VLOOKUP('Données projet'!$B$17,Paramètres!$A$1:$I$89,7,0))</f>
        <v>0</v>
      </c>
      <c r="GK188" s="16">
        <f>IF(ISNA(VLOOKUP(A188,'Données projet'!$A$253:$I$273,7,0)),0%,VLOOKUP(A188,'Données projet'!$A$253:$I$273,7,0))</f>
        <v>0</v>
      </c>
      <c r="GL188" s="21">
        <f>EXP(-LN(2)/35)*GL187+(1-EXP(-LN(2)/35))/(LN(2)/35)*GH188*GI188*VLOOKUP('Données projet'!$B$17,Paramètres!$A$1:$I$89,3,0)*0.475*44/12</f>
        <v>15.402550305496819</v>
      </c>
      <c r="GM188" s="21">
        <f>EXP(-LN(2)/25)*GM187+(1-EXP(-LN(2)/25))/(LN(2)/25)*Calculateur!GH188*Calculateur!GJ188*VLOOKUP('Données projet'!$B$17,Paramètres!$A$1:$I$89,3,0)*0.475*44/12</f>
        <v>1.1848796312752632</v>
      </c>
      <c r="GN188" s="21">
        <f>EXP(-LN(2)/2)*GN187+(1-EXP(-LN(2)/2))/(LN(2)/2)*GH188*GK188*VLOOKUP('Données projet'!$B$17,Paramètres!$A$1:$I$89,3,0)*0.475*44/12</f>
        <v>0</v>
      </c>
      <c r="GO188" s="21">
        <f t="shared" si="352"/>
        <v>16.587429936772082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projet'!$A$279:$I$299,2,0)</f>
        <v>#N/A</v>
      </c>
      <c r="GS188" s="12" t="e">
        <f>VLOOKUP(A188,'Données projet'!$A$279:$I$299,9,0)</f>
        <v>#N/A</v>
      </c>
      <c r="GT188" s="12">
        <f t="array" ref="GT188">INDEX(GS:GS,MIN(IF(ISNUMBER(GS188:GS384),ROW(GS188:GS384),"")))</f>
        <v>0</v>
      </c>
      <c r="GU188" s="12">
        <f>IF('Données projet'!$A$280&gt;35,GU187+GT188-HC187,IF(A188&lt;'Données projet'!$A$280,$GR$205^A188,IF(A188='Données projet'!$A$280,'Données projet'!$B$280,GU187+GT188-HC187)))</f>
        <v>-1.1368683772161603E-13</v>
      </c>
      <c r="GV188" s="17">
        <f>GU188*VLOOKUP('Données projet'!$B$18,Paramètres!$A$1:$I$89,3,0)*VLOOKUP('Données projet'!$B$18,Paramètres!$A$1:$I$89,5,0)</f>
        <v>-4.5815795601811263E-14</v>
      </c>
      <c r="GW188" s="13" t="e">
        <f t="shared" si="353"/>
        <v>#NUM!</v>
      </c>
      <c r="GX188" s="20" t="e">
        <f t="shared" si="354"/>
        <v>#NUM!</v>
      </c>
      <c r="GY188" s="59" t="e">
        <f t="shared" si="252"/>
        <v>#NUM!</v>
      </c>
      <c r="GZ188" s="59">
        <f ca="1">AVERAGE(OFFSET($GY$3,0,0,'Données projet'!$E$18+1,1))-AVERAGE(OFFSET($H$3,0,0,'Données projet'!$E$18+1,1))</f>
        <v>324.36162935850876</v>
      </c>
      <c r="HA188" s="59">
        <f t="shared" si="305"/>
        <v>265.23571072429735</v>
      </c>
      <c r="HB188" s="15">
        <f>IF(ISNA(VLOOKUP(A188,'Données projet'!$A$279:$I$299,3,0)),0,VLOOKUP(A188,'Données projet'!$A$279:$I$299,3,0))</f>
        <v>0</v>
      </c>
      <c r="HC188" s="15">
        <f>IF(ISNA(VLOOKUP(A188,'Données projet'!$A$279:$I$299,4,0)),0,VLOOKUP(A188,'Données projet'!$A$279:$I$299,4,0))</f>
        <v>0</v>
      </c>
      <c r="HD188" s="16">
        <f>IF(ISNA(VLOOKUP(A188,'Données projet'!$A$279:$I$299,5,0)),0%,VLOOKUP(A188,'Données projet'!$A$279:$I$299,5,0)*VLOOKUP('Données projet'!$B$18,Paramètres!$A$1:$I$89,7,0))</f>
        <v>0</v>
      </c>
      <c r="HE188" s="16">
        <f>IF(ISNA(VLOOKUP(A188,'Données projet'!$A$279:$I$299,6,0)),0%,VLOOKUP(A188,'Données projet'!$A$279:$I$299,6,0)*VLOOKUP('Données projet'!$B$18,Paramètres!$A$1:$I$89,7,0))</f>
        <v>0</v>
      </c>
      <c r="HF188" s="16">
        <f>IF(ISNA(VLOOKUP($A188,'Données projet'!$A$279:$I$299,7,0)),0%,VLOOKUP($A188,'Données projet'!$A$279:$I$299,7,0))</f>
        <v>0</v>
      </c>
      <c r="HG188" s="21">
        <f>EXP(-LN(2)/35)*HG187+(1-EXP(-LN(2)/35))/(LN(2)/35)*HC188*HD188*VLOOKUP('Données projet'!$B$18,Paramètres!$A$1:$I$89,3,0)*0.475*44/12</f>
        <v>29.515312901706178</v>
      </c>
      <c r="HH188" s="21">
        <f>EXP(-LN(2)/25)*HH187+(1-EXP(-LN(2)/25))/(LN(2)/25)*Calculateur!HC188*Calculateur!HE188*VLOOKUP('Données projet'!$B$18,Paramètres!$A$1:$I$89,3,0)*0.475*44/12</f>
        <v>1.3177980847228652</v>
      </c>
      <c r="HI188" s="21">
        <f>EXP(-LN(2)/2)*HI187+(1-EXP(-LN(2)/2))/(LN(2)/2)*HC188*HF188*VLOOKUP('Données projet'!$B$18,Paramètres!$A$1:$I$89,3,0)*0.475*44/12</f>
        <v>1.3419909507486165E-15</v>
      </c>
      <c r="HJ188" s="22">
        <f t="shared" si="355"/>
        <v>30.833110986429045</v>
      </c>
      <c r="HK188" s="74">
        <f>('Scénario référence'!$F$8+'Scénario référence'!$F$9+'Scénario référence'!$B$17+'Scénario référence'!$B$9+'Scénario référence'!$B$10)*70+IF((45+25*(1-EXP(-0.0175*$A188)))&lt;70,'Scénario référence'!$B$16*(45+25*(1-EXP(-0.0175*$A188))),70*'Scénario référence'!$B$16)+IF((32+38*(1-EXP(-0.0175*$A188)))&lt;70,'Scénario référence'!$B$18*(32+38*(1-EXP(-0.0175*$A188))),70*'Scénario référence'!$B$18)</f>
        <v>70</v>
      </c>
      <c r="HL188" s="12">
        <f>IF($A188&gt;30,10,('Scénario référence'!$B$16+'Scénario référence'!$B$17+'Scénario référence'!$B$18+'Scénario référence'!$B$9+'Scénario référence'!$B$10)*$A188*10/30+('Scénario référence'!$F$8+'Scénario référence'!$F$9)*10)</f>
        <v>10</v>
      </c>
      <c r="HM188" s="12" t="e">
        <f>VLOOKUP($A188,'Données projet'!$A$304:$I$324,2,0)</f>
        <v>#N/A</v>
      </c>
      <c r="HN188" s="12" t="e">
        <f>VLOOKUP($A188,'Données projet'!$A$304:$I$324,9,0)</f>
        <v>#N/A</v>
      </c>
      <c r="HO188" s="12">
        <f t="array" ref="HO188">INDEX(HN:HN,MIN(IF(ISNUMBER(HN188:HN384),ROW(HN188:HN384),"")))</f>
        <v>0</v>
      </c>
      <c r="HP188" s="12">
        <f>IF('Données projet'!$A$304&gt;35,HP187+HO188-HX187,IF($A188&lt;'Données projet'!$A$304,$CQ$205^$A188,IF($A188='Données projet'!$A$304,'Données projet'!$B$304,HP187+HO188-HX187)))</f>
        <v>0</v>
      </c>
      <c r="HQ188" s="17">
        <f>HP188*VLOOKUP('Données projet'!$B$19,Paramètres!$A$1:$I$89,3,0)*VLOOKUP('Données projet'!$B$19,Paramètres!$A$1:$I$89,5,0)</f>
        <v>0</v>
      </c>
      <c r="HR188" s="13" t="e">
        <f t="shared" si="306"/>
        <v>#NUM!</v>
      </c>
      <c r="HS188" s="14" t="e">
        <f t="shared" si="254"/>
        <v>#NUM!</v>
      </c>
      <c r="HT188" s="59" t="e">
        <f t="shared" si="255"/>
        <v>#NUM!</v>
      </c>
      <c r="HU188" s="59">
        <f ca="1">AVERAGE(OFFSET(HT$3,0,0,'Données projet'!$E$19+1,1))-AVERAGE(OFFSET($H$3,0,0,'Données projet'!$E$19+1,1))</f>
        <v>91.60721429656013</v>
      </c>
      <c r="HV188" s="59">
        <f t="shared" si="307"/>
        <v>258.94957804210856</v>
      </c>
      <c r="HW188" s="15">
        <f>IF(ISNA(VLOOKUP($A188,'Données projet'!$A$304:$I$324,3,0)),0,VLOOKUP($A188,'Données projet'!$A$304:$I$324,3,0))</f>
        <v>0</v>
      </c>
      <c r="HX188" s="15">
        <f>IF(ISNA(VLOOKUP($A188,'Données projet'!$A$304:$I$324,4,0)),0,VLOOKUP($A188,'Données projet'!$A$304:$I$324,4,0))</f>
        <v>0</v>
      </c>
      <c r="HY188" s="16">
        <f>IF(ISNA(VLOOKUP($A188,'Données projet'!$A$304:$I$324,5,0)),0%,VLOOKUP($A188,'Données projet'!$A$304:$I$324,5,0)*VLOOKUP('Données projet'!$B$19,Paramètres!$A$1:$I$89,7,0))</f>
        <v>0</v>
      </c>
      <c r="HZ188" s="16">
        <f>IF(ISNA(VLOOKUP($A188,'Données projet'!$A$304:$I$324,6,0)),0%,VLOOKUP($A188,'Données projet'!$A$304:$I$324,6,0)*VLOOKUP('Données projet'!$B$19,Paramètres!$A$1:$I$89,7,0))</f>
        <v>0</v>
      </c>
      <c r="IA188" s="16">
        <f>IF(ISNA(VLOOKUP($A188,'Données projet'!$A$304:$I$324,7,0)),0%,VLOOKUP($A188,'Données projet'!$A$304:$I$324,7,0))</f>
        <v>0</v>
      </c>
      <c r="IB188" s="21">
        <f>EXP(-LN(2)/35)*IB187+(1-EXP(-LN(2)/35))/(LN(2)/35)*HX188*HY188*VLOOKUP('Données projet'!$B$19,Paramètres!$A$1:$I$89,3,0)*0.475*44/12</f>
        <v>2.2908786709951929</v>
      </c>
      <c r="IC188" s="21">
        <f>EXP(-LN(2)/25)*IC187+(1-EXP(-LN(2)/25))/(LN(2)/25)*Calculateur!HX188*Calculateur!HZ188*VLOOKUP('Données projet'!$B$19,Paramètres!$A$1:$I$89,3,0)*0.475*44/12</f>
        <v>0.13231996777350519</v>
      </c>
      <c r="ID188" s="21">
        <f>EXP(-LN(2)/2)*ID187+(1-EXP(-LN(2)/2))/(LN(2)/2)*HX188*IA188*VLOOKUP('Données projet'!$B$19,Paramètres!$A$1:$I$89,3,0)*0.475*44/12</f>
        <v>2.6805135447048727E-24</v>
      </c>
      <c r="IE188" s="22">
        <f t="shared" si="256"/>
        <v>2.4231986387686981</v>
      </c>
      <c r="IF188" s="74">
        <f>('Scénario référence'!$F$8+'Scénario référence'!$F$9+'Scénario référence'!$B$17+'Scénario référence'!$B$9+'Scénario référence'!$B$10)*70+IF((45+25*(1-EXP(-0.0175*$A188)))&lt;70,'Scénario référence'!$B$16*(45+25*(1-EXP(-0.0175*$A188))),70*'Scénario référence'!$B$16)+IF((32+38*(1-EXP(-0.0175*$A188)))&lt;70,'Scénario référence'!$B$18*(32+38*(1-EXP(-0.0175*$A188))),70*'Scénario référence'!$B$18)</f>
        <v>70</v>
      </c>
      <c r="IG188" s="12">
        <f>IF($A188&gt;30,10,('Scénario référence'!$B$16+'Scénario référence'!$B$17+'Scénario référence'!$B$18+'Scénario référence'!$B$9+'Scénario référence'!$B$10)*$A188*10/30+('Scénario référence'!$F$8+'Scénario référence'!$F$9)*10)</f>
        <v>10</v>
      </c>
      <c r="IH188" s="12" t="e">
        <f>VLOOKUP($A188,'Données projet'!$A$330:$I$350,2,0)</f>
        <v>#N/A</v>
      </c>
      <c r="II188" s="12" t="e">
        <f>VLOOKUP($A188,'Données projet'!$A$330:$I$350,9,0)</f>
        <v>#N/A</v>
      </c>
      <c r="IJ188" s="12">
        <f t="array" ref="IJ188">INDEX(II:II,MIN(IF(ISNUMBER(II188:II384),ROW(II188:II384),"")))</f>
        <v>0</v>
      </c>
      <c r="IK188" s="12">
        <f>IF('Données projet'!$A$330&gt;35,IK187+IJ188-IS187,IF($A188&lt;'Données projet'!$A$330,$CQ$205^$A188,IF($A188='Données projet'!$A$330,'Données projet'!$B$330,IK187+IJ188-IS187)))</f>
        <v>0</v>
      </c>
      <c r="IL188" s="17">
        <f>IK188*VLOOKUP('Données projet'!$B$20,Paramètres!$A$1:$I$89,3,0)*VLOOKUP('Données projet'!$B$20,Paramètres!$A$1:$I$89,5,0)</f>
        <v>0</v>
      </c>
      <c r="IM188" s="13" t="e">
        <f t="shared" si="308"/>
        <v>#NUM!</v>
      </c>
      <c r="IN188" s="20" t="e">
        <f t="shared" si="257"/>
        <v>#NUM!</v>
      </c>
      <c r="IO188" s="59" t="e">
        <f t="shared" si="258"/>
        <v>#NUM!</v>
      </c>
      <c r="IP188" s="59">
        <f ca="1">AVERAGE(OFFSET(IO$3,0,0,'Données projet'!$E$20+1,1))-AVERAGE(OFFSET($H$3,0,0,'Données projet'!$E$20+1,1))</f>
        <v>91.60721429656013</v>
      </c>
      <c r="IQ188" s="59">
        <f t="shared" si="309"/>
        <v>258.94957804210856</v>
      </c>
      <c r="IR188" s="15">
        <f>IF(ISNA(VLOOKUP($A188,'Données projet'!$A$330:$I$350,3,0)),0,VLOOKUP($A188,'Données projet'!$A$330:$I$350,3,0))</f>
        <v>0</v>
      </c>
      <c r="IS188" s="15">
        <f>IF(ISNA(VLOOKUP($A188,'Données projet'!$A$330:$I$350,4,0)),0,VLOOKUP($A188,'Données projet'!$A$330:$I$350,4,0))</f>
        <v>0</v>
      </c>
      <c r="IT188" s="16">
        <f>IF(ISNA(VLOOKUP($A188,'Données projet'!$A$330:$I$350,5,0)),0%,VLOOKUP($A188,'Données projet'!$A$330:$I$350,5,0)*VLOOKUP('Données projet'!$B$20,Paramètres!$A$1:$I$89,7,0))</f>
        <v>0</v>
      </c>
      <c r="IU188" s="16">
        <f>IF(ISNA(VLOOKUP($A188,'Données projet'!$A$330:$I$350,6,0)),0%,VLOOKUP($A188,'Données projet'!$A$330:$I$350,6,0)*VLOOKUP('Données projet'!$B$20,Paramètres!$A$1:$I$89,7,0))</f>
        <v>0</v>
      </c>
      <c r="IV188" s="16">
        <f>IF(ISNA(VLOOKUP($A188,'Données projet'!$A$330:$I$350,7,0)),0%,VLOOKUP($A188,'Données projet'!$A$330:$I$350,7,0))</f>
        <v>0</v>
      </c>
      <c r="IW188" s="21">
        <f>EXP(-LN(2)/35)*IW187+(1-EXP(-LN(2)/35))/(LN(2)/35)*IS188*IT188*VLOOKUP('Données projet'!$B$20,Paramètres!$A$1:$I$89,3,0)*0.475*44/12</f>
        <v>2.2908786709951929</v>
      </c>
      <c r="IX188" s="21">
        <f>EXP(-LN(2)/25)*IX187+(1-EXP(-LN(2)/25))/(LN(2)/25)*Calculateur!IS188*Calculateur!IU188*VLOOKUP('Données projet'!$B$20,Paramètres!$A$1:$I$89,3,0)*0.475*44/12</f>
        <v>0.13231996777350519</v>
      </c>
      <c r="IY188" s="21">
        <f>EXP(-LN(2)/2)*IY187+(1-EXP(-LN(2)/2))/(LN(2)/2)*IS188*IV188*VLOOKUP('Données projet'!$B$20,Paramètres!$A$1:$I$89,3,0)*0.475*44/12</f>
        <v>2.6805135447048727E-24</v>
      </c>
      <c r="IZ188" s="22">
        <f t="shared" si="259"/>
        <v>2.4231986387686981</v>
      </c>
      <c r="JA188" s="74">
        <f>('Scénario référence'!$F$8+'Scénario référence'!$F$9+'Scénario référence'!$B$17+'Scénario référence'!$B$9+'Scénario référence'!$B$10)*70+IF((45+25*(1-EXP(-0.0175*$A188)))&lt;70,'Scénario référence'!$B$16*(45+25*(1-EXP(-0.0175*$A188))),70*'Scénario référence'!$B$16)+IF((32+38*(1-EXP(-0.0175*$A188)))&lt;70,'Scénario référence'!$B$18*(32+38*(1-EXP(-0.0175*$A188))),70*'Scénario référence'!$B$18)</f>
        <v>70</v>
      </c>
      <c r="JB188" s="12">
        <f>IF($A188&gt;30,10,('Scénario référence'!$B$16+'Scénario référence'!$B$17+'Scénario référence'!$B$18+'Scénario référence'!$B$9+'Scénario référence'!$B$10)*$A188*10/30+('Scénario référence'!$F$8+'Scénario référence'!$F$9)*10)</f>
        <v>10</v>
      </c>
      <c r="JC188" s="12" t="e">
        <f>VLOOKUP($A188,'Données projet'!$A$356:$I$376,2,0)</f>
        <v>#N/A</v>
      </c>
      <c r="JD188" s="12" t="e">
        <f>VLOOKUP($A188,'Données projet'!$A$356:$I$376,9,0)</f>
        <v>#N/A</v>
      </c>
      <c r="JE188" s="12">
        <f t="array" ref="JE188">INDEX(JD:JD,MIN(IF(ISNUMBER(JD188:JD384),ROW(JD188:JD384),"")))</f>
        <v>0</v>
      </c>
      <c r="JF188" s="12">
        <f>IF('Données projet'!$A$356&gt;35,JF187+JE188-JN187,IF($A188&lt;'Données projet'!$A$356,$CQ$205^$A188,IF($A188='Données projet'!$A$356,'Données projet'!$B$356,JF187+JE188-JN187)))</f>
        <v>-1.3073986337985843E-12</v>
      </c>
      <c r="JG188" s="17">
        <f>JF188*VLOOKUP('Données projet'!$B$21,Paramètres!$A$1:$I$89,3,0)*VLOOKUP('Données projet'!$B$21,Paramètres!$A$1:$I$89,5,0)</f>
        <v>-1.0605617717374117E-12</v>
      </c>
      <c r="JH188" s="13" t="e">
        <f t="shared" si="310"/>
        <v>#NUM!</v>
      </c>
      <c r="JI188" s="20" t="e">
        <f t="shared" si="260"/>
        <v>#NUM!</v>
      </c>
      <c r="JJ188" s="59" t="e">
        <f t="shared" si="261"/>
        <v>#NUM!</v>
      </c>
      <c r="JK188" s="59">
        <f ca="1">AVERAGE(OFFSET($JJ$3,0,0,'Données projet'!$E$22+1,1))-AVERAGE(OFFSET($H$3,0,0,'Données projet'!$E$22+1,1))</f>
        <v>353.35574633294613</v>
      </c>
      <c r="JL188" s="59">
        <f t="shared" si="311"/>
        <v>170.36796666474726</v>
      </c>
      <c r="JM188" s="15">
        <f>IF(ISNA(VLOOKUP($A188,'Données projet'!$A$356:$I$376,3,0)),0,VLOOKUP($A188,'Données projet'!$A$356:$I$376,3,0))</f>
        <v>0</v>
      </c>
      <c r="JN188" s="15">
        <f>IF(ISNA(VLOOKUP($A188,'Données projet'!$A$356:$I$376,4,0)),0,VLOOKUP($A188,'Données projet'!$A$356:$I$376,4,0))</f>
        <v>0</v>
      </c>
      <c r="JO188" s="16">
        <f>IF(ISNA(VLOOKUP($A188,'Données projet'!$A$356:$I$376,5,0)),0%,VLOOKUP($A188,'Données projet'!$A$356:$I$376,5,0)*VLOOKUP('Données projet'!$B$21,Paramètres!$A$1:$I$89,7,0))</f>
        <v>0</v>
      </c>
      <c r="JP188" s="16">
        <f>IF(ISNA(VLOOKUP($A188,'Données projet'!$A$356:$I$376,6,0)),0%,VLOOKUP($A188,'Données projet'!$A$356:$I$376,6,0)*VLOOKUP('Données projet'!$B$21,Paramètres!$A$1:$I$89,7,0))</f>
        <v>0</v>
      </c>
      <c r="JQ188" s="16">
        <f>IF(ISNA(VLOOKUP($A188,'Données projet'!$A$356:$I$376,7,0)),0%,VLOOKUP($A188,'Données projet'!$A$356:$I$376,7,0))</f>
        <v>0</v>
      </c>
      <c r="JR188" s="21">
        <f>EXP(-LN(2)/35)*JR187+(1-EXP(-LN(2)/35))/(LN(2)/35)*JN188*JO188*VLOOKUP('Données projet'!$B$21,Paramètres!$A$1:$I$89,3,0)*0.475*44/12</f>
        <v>36.726201082751658</v>
      </c>
      <c r="JS188" s="21">
        <f>EXP(-LN(2)/25)*JS187+(1-EXP(-LN(2)/25))/(LN(2)/25)*Calculateur!JN188*Calculateur!JP188*VLOOKUP('Données projet'!$B$21,Paramètres!$A$1:$I$89,3,0)*0.475*44/12</f>
        <v>28.960388409471424</v>
      </c>
      <c r="JT188" s="21">
        <f>EXP(-LN(2)/2)*JT187+(1-EXP(-LN(2)/2))/(LN(2)/2)*JN188*JQ188*VLOOKUP('Données projet'!$B$21,Paramètres!$A$1:$I$89,3,0)*0.475*44/12</f>
        <v>1.8499257623548796E-4</v>
      </c>
      <c r="JU188" s="18">
        <f t="shared" si="262"/>
        <v>65.686774484799315</v>
      </c>
      <c r="JV188" s="74">
        <f>('Scénario référence'!$F$8+'Scénario référence'!$F$9+'Scénario référence'!$B$17+'Scénario référence'!$B$9+'Scénario référence'!$B$10)*70+IF((45+25*(1-EXP(-0.0175*$A188)))&lt;70,'Scénario référence'!$B$16*(45+25*(1-EXP(-0.0175*$A188))),70*'Scénario référence'!$B$16)+IF((32+38*(1-EXP(-0.0175*$A188)))&lt;70,'Scénario référence'!$B$18*(32+38*(1-EXP(-0.0175*$A188))),70*'Scénario référence'!$B$18)</f>
        <v>70</v>
      </c>
      <c r="JW188" s="12">
        <f>IF($A188&gt;30,10,('Scénario référence'!$B$16+'Scénario référence'!$B$17+'Scénario référence'!$B$18+'Scénario référence'!$B$9+'Scénario référence'!$B$10)*$A188*10/30+('Scénario référence'!$F$8+'Scénario référence'!$F$9)*10)</f>
        <v>10</v>
      </c>
      <c r="JX188" s="12" t="e">
        <f>VLOOKUP($A188,'Données projet'!$A$382:$I$402,2,0)</f>
        <v>#N/A</v>
      </c>
      <c r="JY188" s="12" t="e">
        <f>VLOOKUP($A188,'Données projet'!$A$382:$I$402,9,0)</f>
        <v>#N/A</v>
      </c>
      <c r="JZ188" s="12">
        <f t="array" ref="JZ188">INDEX(JY:JY,MIN(IF(ISNUMBER(JY188:JY384),ROW(JY188:JY384),"")))</f>
        <v>0</v>
      </c>
      <c r="KA188" s="12">
        <f>IF('Données projet'!$A$382&gt;35,KA187+JZ188-KI187,IF($A188&lt;'Données projet'!$A$382,$CQ$205^$A188,IF($A188='Données projet'!$A$382,'Données projet'!$B$382,KA187+JZ188-KI187)))</f>
        <v>5.6843418860808015E-13</v>
      </c>
      <c r="KB188" s="17">
        <f>KA188*VLOOKUP('Données projet'!$B$22,Paramètres!$A$1:$I$89,3,0)*VLOOKUP('Données projet'!$B$22,Paramètres!$A$1:$I$89,5,0)</f>
        <v>3.8130565371830017E-13</v>
      </c>
      <c r="KC188" s="13">
        <f t="shared" si="312"/>
        <v>4.9019074112354236E-12</v>
      </c>
      <c r="KD188" s="20">
        <f t="shared" si="263"/>
        <v>9.2015960881277352E-12</v>
      </c>
      <c r="KE188" s="59">
        <f t="shared" si="264"/>
        <v>293.33333333334252</v>
      </c>
      <c r="KF188" s="59">
        <f ca="1">AVERAGE(OFFSET($KE$3,0,0,'Données projet'!$E$22+1,1))-AVERAGE(OFFSET($H$3,0,0,'Données projet'!$E$22+1,1))</f>
        <v>193.91714772848269</v>
      </c>
      <c r="KG188" s="59">
        <f t="shared" si="313"/>
        <v>159.20429420478047</v>
      </c>
      <c r="KH188" s="15">
        <f>IF(ISNA(VLOOKUP($A188,'Données projet'!$A$382:$I$402,3,0)),0,VLOOKUP($A188,'Données projet'!$A$382:$I$402,3,0))</f>
        <v>0</v>
      </c>
      <c r="KI188" s="15">
        <f>IF(ISNA(VLOOKUP($A188,'Données projet'!$A$382:$I$402,4,0)),0,VLOOKUP($A188,'Données projet'!$A$382:$I$402,4,0))</f>
        <v>0</v>
      </c>
      <c r="KJ188" s="16">
        <f>IF(ISNA(VLOOKUP($A188,'Données projet'!$A$382:$I$402,5,0)),0%,VLOOKUP($A188,'Données projet'!$A$382:$I$402,5,0)*VLOOKUP('Données projet'!$B$22,Paramètres!$A$1:$I$89,7,0))</f>
        <v>0</v>
      </c>
      <c r="KK188" s="16">
        <f>IF(ISNA(VLOOKUP($A188,'Données projet'!$A$382:$I$402,6,0)),0%,VLOOKUP($A188,'Données projet'!$A$382:$I$402,6,0)*VLOOKUP('Données projet'!$B$22,Paramètres!$A$1:$I$89,7,0))</f>
        <v>0</v>
      </c>
      <c r="KL188" s="16">
        <f>IF(ISNA(VLOOKUP($A188,'Données projet'!$A$382:$I$402,7,0)),0%,VLOOKUP($A188,'Données projet'!$A$382:$I$402,7,0))</f>
        <v>0</v>
      </c>
      <c r="KM188" s="21">
        <f>EXP(-LN(2)/35)*KM187+(1-EXP(-LN(2)/35))/(LN(2)/35)*KI188*KJ188*VLOOKUP('Données projet'!$B$22,Paramètres!$A$1:$I$89,3,0)*0.475*44/12</f>
        <v>53.624307021802018</v>
      </c>
      <c r="KN188" s="21">
        <f>EXP(-LN(2)/25)*KN187+(1-EXP(-LN(2)/25))/(LN(2)/25)*Calculateur!KI188*Calculateur!KK188*VLOOKUP('Données projet'!$B$22,Paramètres!$A$1:$I$89,3,0)*0.475*44/12</f>
        <v>0</v>
      </c>
      <c r="KO188" s="21">
        <f>EXP(-LN(2)/2)*KO187+(1-EXP(-LN(2)/2))/(LN(2)/2)*KI188*KL188*VLOOKUP('Données projet'!$B$22,Paramètres!$A$1:$I$89,3,0)*0.475*44/12</f>
        <v>0</v>
      </c>
      <c r="KP188" s="22">
        <f t="shared" si="265"/>
        <v>53.624307021802018</v>
      </c>
      <c r="KQ188" s="74">
        <f>('Scénario référence'!$F$8+'Scénario référence'!$F$9+'Scénario référence'!$B$17+'Scénario référence'!$B$9+'Scénario référence'!$B$10)*70+IF((45+25*(1-EXP(-0.0175*$A188)))&lt;70,'Scénario référence'!$B$16*(45+25*(1-EXP(-0.0175*$A188))),70*'Scénario référence'!$B$16)+IF((32+38*(1-EXP(-0.0175*$A188)))&lt;70,'Scénario référence'!$B$18*(32+38*(1-EXP(-0.0175*$A188))),70*'Scénario référence'!$B$18)</f>
        <v>70</v>
      </c>
      <c r="KR188" s="12">
        <f>IF($A188&gt;30,10,('Scénario référence'!$B$16+'Scénario référence'!$B$17+'Scénario référence'!$B$18+'Scénario référence'!$B$9+'Scénario référence'!$B$10)*$A188*10/30+('Scénario référence'!$F$8+'Scénario référence'!$F$9)*10)</f>
        <v>10</v>
      </c>
      <c r="KS188" s="12" t="e">
        <f>VLOOKUP($A188,'Données projet'!$A$408:$I$428,2,0)</f>
        <v>#N/A</v>
      </c>
      <c r="KT188" s="12" t="e">
        <f>VLOOKUP($A188,'Données projet'!$A$408:$I$428,9,0)</f>
        <v>#N/A</v>
      </c>
      <c r="KU188" s="12">
        <f t="array" ref="KU188">INDEX(KT:KT,MIN(IF(ISNUMBER(KT188:KT384),ROW(KT188:KT384),"")))</f>
        <v>0</v>
      </c>
      <c r="KV188" s="12">
        <f>IF('Données projet'!$A$408&gt;35,KV187+KU188-LD187,IF($A188&lt;'Données projet'!$A$408,$CQ$205^$A188,IF($A188='Données projet'!$A$408,'Données projet'!$B$408,KV187+KU188-LD187)))</f>
        <v>-1.1368683772161603E-13</v>
      </c>
      <c r="KW188" s="17">
        <f>KV188*VLOOKUP('Données projet'!$B$23,Paramètres!$A$1:$I$89,3,0)*VLOOKUP('Données projet'!$B$23,Paramètres!$A$1:$I$89,5,0)</f>
        <v>-9.9316821433603781E-14</v>
      </c>
      <c r="KX188" s="13" t="e">
        <f t="shared" si="314"/>
        <v>#NUM!</v>
      </c>
      <c r="KY188" s="14" t="e">
        <f t="shared" si="266"/>
        <v>#NUM!</v>
      </c>
      <c r="KZ188" s="59" t="e">
        <f t="shared" si="267"/>
        <v>#NUM!</v>
      </c>
      <c r="LA188" s="59">
        <f ca="1">AVERAGE(OFFSET($KZ$3,0,0,'Données projet'!$E$23+1,1))-AVERAGE(OFFSET($H$3,0,0,'Données projet'!$E$23+1,1))</f>
        <v>248.33596943633819</v>
      </c>
      <c r="LB188" s="59">
        <f t="shared" si="315"/>
        <v>242.34010522344573</v>
      </c>
      <c r="LC188" s="15">
        <f>IF(ISNA(VLOOKUP($A188,'Données projet'!$A$408:$I$428,3,0)),0,VLOOKUP($A188,'Données projet'!$A$408:$I$428,3,0))</f>
        <v>0</v>
      </c>
      <c r="LD188" s="15">
        <f>IF(ISNA(VLOOKUP($A188,'Données projet'!$A$408:$I$428,4,0)),0,VLOOKUP($A188,'Données projet'!$A$408:$I$428,4,0))</f>
        <v>0</v>
      </c>
      <c r="LE188" s="16">
        <f>IF(ISNA(VLOOKUP($A188,'Données projet'!$A$408:$I$428,5,0)),0%,VLOOKUP($A188,'Données projet'!$A$408:$I$428,5,0)*VLOOKUP('Données projet'!$B$23,Paramètres!$A$1:$I$89,7,0))</f>
        <v>0</v>
      </c>
      <c r="LF188" s="16">
        <f>IF(ISNA(VLOOKUP($A188,'Données projet'!$A$408:$I$428,6,0)),0%,VLOOKUP($A188,'Données projet'!$A$408:$I$428,6,0)*VLOOKUP('Données projet'!$B$23,Paramètres!$A$1:$I$89,7,0))</f>
        <v>0</v>
      </c>
      <c r="LG188" s="16">
        <f>IF(ISNA(VLOOKUP($A188,'Données projet'!$A$408:$I$428,7,0)),0%,VLOOKUP($A188,'Données projet'!$A$408:$I$428,7,0))</f>
        <v>0</v>
      </c>
      <c r="LH188" s="21">
        <f>EXP(-LN(2)/35)*LH187+(1-EXP(-LN(2)/35))/(LN(2)/35)*LD188*LE188*VLOOKUP('Données projet'!$B$23,Paramètres!$A$1:$I$89,3,0)*0.475*44/12</f>
        <v>15.402550305496819</v>
      </c>
      <c r="LI188" s="21">
        <f>EXP(-LN(2)/25)*LI187+(1-EXP(-LN(2)/25))/(LN(2)/25)*Calculateur!LD188*Calculateur!LF188*VLOOKUP('Données projet'!$B$23,Paramètres!$A$1:$I$89,3,0)*0.475*44/12</f>
        <v>1.1848796312752632</v>
      </c>
      <c r="LJ188" s="21">
        <f>EXP(-LN(2)/2)*LJ187+(1-EXP(-LN(2)/2))/(LN(2)/2)*LD188*LG188*VLOOKUP('Données projet'!$B$23,Paramètres!$A$1:$I$89,3,0)*0.475*44/12</f>
        <v>0</v>
      </c>
      <c r="LK188" s="22">
        <f t="shared" si="268"/>
        <v>16.587429936772082</v>
      </c>
      <c r="LL188" s="74">
        <f>('Scénario référence'!$F$8+'Scénario référence'!$F$9+'Scénario référence'!$B$17+'Scénario référence'!$B$9+'Scénario référence'!$B$10)*70+IF((45+25*(1-EXP(-0.0175*$A188)))&lt;70,'Scénario référence'!$B$16*(45+25*(1-EXP(-0.0175*$A188))),70*'Scénario référence'!$B$16)+IF((32+38*(1-EXP(-0.0175*$A188)))&lt;70,'Scénario référence'!$B$18*(32+38*(1-EXP(-0.0175*$A188))),70*'Scénario référence'!$B$18)</f>
        <v>70</v>
      </c>
      <c r="LM188" s="12">
        <f>IF($A188&gt;30,10,('Scénario référence'!$B$16+'Scénario référence'!$B$17+'Scénario référence'!$B$18+'Scénario référence'!$B$9+'Scénario référence'!$B$10)*$A188*10/30+('Scénario référence'!$F$8+'Scénario référence'!$F$9)*10)</f>
        <v>10</v>
      </c>
      <c r="LN188" s="12" t="e">
        <f>VLOOKUP($A188,'Données projet'!$A$434:$I$454,2,0)</f>
        <v>#N/A</v>
      </c>
      <c r="LO188" s="12" t="e">
        <f>VLOOKUP($A188,'Données projet'!$A$434:$I$454,9,0)</f>
        <v>#N/A</v>
      </c>
      <c r="LP188" s="12">
        <f t="array" ref="LP188">INDEX(LO:LO,MIN(IF(ISNUMBER(LO188:LO384),ROW(LO188:LO384),"")))</f>
        <v>0</v>
      </c>
      <c r="LQ188" s="12">
        <f>IF('Données projet'!$A$434&gt;35,LQ187+LP188-LY187,IF($A188&lt;'Données projet'!$A$434,$CQ$205^$A188,IF($A188='Données projet'!$A$434,'Données projet'!$B$434,LQ187+LP188-LY187)))</f>
        <v>-4.5474735088646412E-13</v>
      </c>
      <c r="LR188" s="17">
        <f>LQ188*VLOOKUP('Données projet'!$B$24,Paramètres!$A$1:$I$89,3,0)*VLOOKUP('Données projet'!$B$24,Paramètres!$A$1:$I$89,5,0)</f>
        <v>-4.6111381379887462E-13</v>
      </c>
      <c r="LS188" s="13" t="e">
        <f t="shared" si="316"/>
        <v>#NUM!</v>
      </c>
      <c r="LT188" s="14" t="e">
        <f t="shared" si="269"/>
        <v>#NUM!</v>
      </c>
      <c r="LU188" s="59" t="e">
        <f t="shared" si="270"/>
        <v>#NUM!</v>
      </c>
      <c r="LV188" s="59">
        <f ca="1">AVERAGE(OFFSET($LU$3,0,0,'Données projet'!$E$24+1,1))-AVERAGE(OFFSET($H$3,0,0,'Données projet'!$E$24+1,1))</f>
        <v>260.52627655062872</v>
      </c>
      <c r="LW188" s="59">
        <f t="shared" si="317"/>
        <v>159.20429420478047</v>
      </c>
      <c r="LX188" s="15">
        <f>IF(ISNA(VLOOKUP($A188,'Données projet'!$A$434:$I$454,3,0)),0,VLOOKUP($A188,'Données projet'!$A$434:$I$454,3,0))</f>
        <v>0</v>
      </c>
      <c r="LY188" s="15">
        <f>IF(ISNA(VLOOKUP($A188,'Données projet'!$A$434:$I$454,4,0)),0,VLOOKUP($A188,'Données projet'!$A$434:$I$454,4,0))</f>
        <v>0</v>
      </c>
      <c r="LZ188" s="16">
        <f>IF(ISNA(VLOOKUP($A188,'Données projet'!$A$434:$I$454,5,0)),0%,VLOOKUP($A188,'Données projet'!$A$434:$I$454,5,0)*VLOOKUP('Données projet'!$B$24,Paramètres!$A$1:$I$89,7,0))</f>
        <v>0</v>
      </c>
      <c r="MA188" s="16">
        <f>IF(ISNA(VLOOKUP($A188,'Données projet'!$A$434:$I$454,6,0)),0%,VLOOKUP($A188,'Données projet'!$A$434:$I$454,6,0)*VLOOKUP('Données projet'!$B$24,Paramètres!$A$1:$I$89,7,0))</f>
        <v>0</v>
      </c>
      <c r="MB188" s="16">
        <f>IF(ISNA(VLOOKUP($A188,'Données projet'!$A$434:$I$454,7,0)),0%,VLOOKUP($A188,'Données projet'!$A$434:$I$454,7,0))</f>
        <v>0</v>
      </c>
      <c r="MC188" s="21">
        <f>EXP(-LN(2)/35)*MC187+(1-EXP(-LN(2)/35))/(LN(2)/35)*LY188*LZ188*VLOOKUP('Données projet'!$B$24,Paramètres!$A$1:$I$89,3,0)*0.475*44/12</f>
        <v>99.033166862125711</v>
      </c>
      <c r="MD188" s="21">
        <f>EXP(-LN(2)/25)*MD187+(1-EXP(-LN(2)/25))/(LN(2)/25)*Calculateur!LY188*Calculateur!MA188*VLOOKUP('Données projet'!$B$24,Paramètres!$A$1:$I$89,3,0)*0.475*44/12</f>
        <v>0</v>
      </c>
      <c r="ME188" s="21">
        <f>EXP(-LN(2)/2)*ME187+(1-EXP(-LN(2)/2))/(LN(2)/2)*LY188*MB188*VLOOKUP('Données projet'!$B$24,Paramètres!$A$1:$I$89,3,0)*0.475*44/12</f>
        <v>0</v>
      </c>
      <c r="MF188" s="22">
        <f t="shared" si="271"/>
        <v>99.033166862125711</v>
      </c>
      <c r="MG188" s="74">
        <f>('Scénario référence'!$F$8+'Scénario référence'!$F$9+'Scénario référence'!$B$17+'Scénario référence'!$B$9+'Scénario référence'!$B$10)*70+IF((45+25*(1-EXP(-0.0175*$A188)))&lt;70,'Scénario référence'!$B$16*(45+25*(1-EXP(-0.0175*$A188))),70*'Scénario référence'!$B$16)+IF((32+38*(1-EXP(-0.0175*$A188)))&lt;70,'Scénario référence'!$B$18*(32+38*(1-EXP(-0.0175*$A188))),70*'Scénario référence'!$B$18)</f>
        <v>70</v>
      </c>
      <c r="MH188" s="12">
        <f>IF($A188&gt;30,10,('Scénario référence'!$B$16+'Scénario référence'!$B$17+'Scénario référence'!$B$18+'Scénario référence'!$B$9+'Scénario référence'!$B$10)*$A188*10/30+('Scénario référence'!$F$8+'Scénario référence'!$F$9)*10)</f>
        <v>10</v>
      </c>
      <c r="MI188" s="12" t="e">
        <f>VLOOKUP($A188,'Données projet'!$A$460:$I$480,2,0)</f>
        <v>#N/A</v>
      </c>
      <c r="MJ188" s="12" t="e">
        <f>VLOOKUP($A188,'Données projet'!$A$460:$I$480,9,0)</f>
        <v>#N/A</v>
      </c>
      <c r="MK188" s="12">
        <f t="array" ref="MK188">INDEX(MJ:MJ,MIN(IF(ISNUMBER(MJ188:MJ384),ROW(MJ188:MJ384),"")))</f>
        <v>0</v>
      </c>
      <c r="ML188" s="12">
        <f>IF('Données projet'!$A$460&gt;35,ML187+MK188-MT187,IF($A188&lt;'Données projet'!$A$460,$CQ$205^$A188,IF($A188='Données projet'!$A$460,'Données projet'!$B$460,ML187+MK188-MT187)))</f>
        <v>0</v>
      </c>
      <c r="MM188" s="17" t="e">
        <f>ML188*VLOOKUP('Données projet'!$B$25,Paramètres!$A$1:$I$89,3,0)*VLOOKUP('Données projet'!$B$25,Paramètres!$A$1:$I$89,5,0)</f>
        <v>#N/A</v>
      </c>
      <c r="MN188" s="13" t="e">
        <f t="shared" si="318"/>
        <v>#N/A</v>
      </c>
      <c r="MO188" s="14" t="e">
        <f t="shared" si="272"/>
        <v>#N/A</v>
      </c>
      <c r="MP188" s="59" t="e">
        <f t="shared" si="273"/>
        <v>#N/A</v>
      </c>
      <c r="MQ188" s="20" t="e">
        <f ca="1">AVERAGE(OFFSET($MP$3,0,0,'Données projet'!$E$25+1,1))-AVERAGE(OFFSET($H$3,0,0,'Données projet'!$E$25+1,1))</f>
        <v>#N/A</v>
      </c>
      <c r="MR188" s="59" t="e">
        <f t="shared" si="319"/>
        <v>#N/A</v>
      </c>
      <c r="MS188" s="15">
        <f>IF(ISNA(VLOOKUP($A188,'Données projet'!$A$460:$I$480,3,0)),0,VLOOKUP($A188,'Données projet'!$A$460:$I$480,3,0))</f>
        <v>0</v>
      </c>
      <c r="MT188" s="15">
        <f>IF(ISNA(VLOOKUP($A188,'Données projet'!$A$460:$I$480,4,0)),0,VLOOKUP($A188,'Données projet'!$A$460:$I$480,4,0))</f>
        <v>0</v>
      </c>
      <c r="MU188" s="16">
        <f>IF(ISNA(VLOOKUP($A188,'Données projet'!$A$460:$I$480,5,0)),0%,VLOOKUP($A188,'Données projet'!$A$460:$I$480,5,0)*VLOOKUP('Données projet'!$B$25,Paramètres!$A$1:$I$89,7,0))</f>
        <v>0</v>
      </c>
      <c r="MV188" s="16">
        <f>IF(ISNA(VLOOKUP($A188,'Données projet'!$A$460:$I$480,6,0)),0%,VLOOKUP($A188,'Données projet'!$A$460:$I$480,6,0)*VLOOKUP('Données projet'!$B$25,Paramètres!$A$1:$I$89,7,0))</f>
        <v>0</v>
      </c>
      <c r="MW188" s="16">
        <f>IF(ISNA(VLOOKUP($A188,'Données projet'!$A$460:$I$480,7,0)),0%,VLOOKUP($A188,'Données projet'!$A$460:$I$480,7,0))</f>
        <v>0</v>
      </c>
      <c r="MX188" s="21" t="e">
        <f>EXP(-LN(2)/35)*MX187+(1-EXP(-LN(2)/35))/(LN(2)/35)*MT188*MU188*VLOOKUP('Données projet'!$B$25,Paramètres!$A$1:$I$89,3,0)*0.475*44/12</f>
        <v>#N/A</v>
      </c>
      <c r="MY188" s="21" t="e">
        <f>EXP(-LN(2)/25)*MY187+(1-EXP(-LN(2)/25))/(LN(2)/25)*Calculateur!MT188*Calculateur!MV188*VLOOKUP('Données projet'!$B$25,Paramètres!$A$1:$I$89,3,0)*0.475*44/12</f>
        <v>#N/A</v>
      </c>
      <c r="MZ188" s="21" t="e">
        <f>EXP(-LN(2)/2)*MZ187+(1-EXP(-LN(2)/2))/(LN(2)/2)*MT188*MW188*VLOOKUP('Données projet'!$B$25,Paramètres!$A$1:$I$89,3,0)*0.475*44/12</f>
        <v>#N/A</v>
      </c>
      <c r="NA188" s="22" t="e">
        <f t="shared" si="274"/>
        <v>#N/A</v>
      </c>
      <c r="NB188" s="74">
        <f>('Scénario référence'!$F$8+'Scénario référence'!$F$9+'Scénario référence'!$B$17+'Scénario référence'!$B$9+'Scénario référence'!$B$10)*70+IF((45+25*(1-EXP(-0.0175*$A188)))&lt;70,'Scénario référence'!$B$16*(45+25*(1-EXP(-0.0175*$A188))),70*'Scénario référence'!$B$16)+IF((32+38*(1-EXP(-0.0175*$A188)))&lt;70,'Scénario référence'!$B$18*(32+38*(1-EXP(-0.0175*$A188))),70*'Scénario référence'!$B$18)</f>
        <v>70</v>
      </c>
      <c r="NC188" s="12">
        <f>IF($A188&gt;30,10,('Scénario référence'!$B$16+'Scénario référence'!$B$17+'Scénario référence'!$B$18+'Scénario référence'!$B$9+'Scénario référence'!$B$10)*$A188*10/30+('Scénario référence'!$F$8+'Scénario référence'!$F$9)*10)</f>
        <v>10</v>
      </c>
      <c r="ND188" s="12" t="e">
        <f>VLOOKUP($A188,'Données projet'!$A$486:$I$506,2,0)</f>
        <v>#N/A</v>
      </c>
      <c r="NE188" s="12" t="e">
        <f>VLOOKUP($A188,'Données projet'!$A$486:$I$506,9,0)</f>
        <v>#N/A</v>
      </c>
      <c r="NF188" s="12">
        <f t="array" ref="NF188">INDEX(NE:NE,MIN(IF(ISNUMBER(NE188:NE384),ROW(NE188:NE384),"")))</f>
        <v>0</v>
      </c>
      <c r="NG188" s="12">
        <f>IF('Données projet'!$A$486&gt;35,NG187+NF188-NO187,IF($A188&lt;'Données projet'!$A$486,$CQ$205^$A188,IF($A188='Données projet'!$A$486,'Données projet'!$B$486,NG187+NF188-NO187)))</f>
        <v>0</v>
      </c>
      <c r="NH188" s="17" t="e">
        <f>NG188*VLOOKUP('Données projet'!$B$26,Paramètres!$A$1:$I$89,3,0)*VLOOKUP('Données projet'!$B$26,Paramètres!$A$1:$I$89,5,0)</f>
        <v>#N/A</v>
      </c>
      <c r="NI188" s="13" t="e">
        <f t="shared" si="320"/>
        <v>#N/A</v>
      </c>
      <c r="NJ188" s="14" t="e">
        <f t="shared" si="275"/>
        <v>#N/A</v>
      </c>
      <c r="NK188" s="59" t="e">
        <f t="shared" si="276"/>
        <v>#N/A</v>
      </c>
      <c r="NL188" s="20" t="e">
        <f ca="1">AVERAGE(OFFSET($NK$3,0,0,'Données projet'!$E$26+1,1))-AVERAGE(OFFSET($H$3,0,0,'Données projet'!$E$26+1,1))</f>
        <v>#N/A</v>
      </c>
      <c r="NM188" s="59" t="e">
        <f t="shared" si="321"/>
        <v>#N/A</v>
      </c>
      <c r="NN188" s="15">
        <f>IF(ISNA(VLOOKUP($A188,'Données projet'!$A$486:$I$506,3,0)),0,VLOOKUP($A188,'Données projet'!$A$486:$I$506,3,0))</f>
        <v>0</v>
      </c>
      <c r="NO188" s="15">
        <f>IF(ISNA(VLOOKUP($A188,'Données projet'!$A$486:$I$506,4,0)),0,VLOOKUP($A188,'Données projet'!$A$486:$I$506,4,0))</f>
        <v>0</v>
      </c>
      <c r="NP188" s="16">
        <f>IF(ISNA(VLOOKUP($A188,'Données projet'!$A$486:$I$506,5,0)),0%,VLOOKUP($A188,'Données projet'!$A$486:$I$506,5,0)*VLOOKUP('Données projet'!$B$26,Paramètres!$A$1:$I$89,7,0))</f>
        <v>0</v>
      </c>
      <c r="NQ188" s="16">
        <f>IF(ISNA(VLOOKUP($A188,'Données projet'!$A$486:$I$506,6,0)),0%,VLOOKUP($A188,'Données projet'!$A$486:$I$506,6,0)*VLOOKUP('Données projet'!$B$26,Paramètres!$A$1:$I$89,7,0))</f>
        <v>0</v>
      </c>
      <c r="NR188" s="16">
        <f>IF(ISNA(VLOOKUP($A188,'Données projet'!$A$486:$I$506,7,0)),0%,VLOOKUP($A188,'Données projet'!$A$486:$I$506,7,0))</f>
        <v>0</v>
      </c>
      <c r="NS188" s="21" t="e">
        <f>EXP(-LN(2)/35)*NS187+(1-EXP(-LN(2)/35))/(LN(2)/35)*NO188*NP188*VLOOKUP('Données projet'!$B$26,Paramètres!$A$1:$I$89,3,0)*0.475*44/12</f>
        <v>#N/A</v>
      </c>
      <c r="NT188" s="21" t="e">
        <f>EXP(-LN(2)/25)*NT187+(1-EXP(-LN(2)/25))/(LN(2)/25)*Calculateur!NO188*Calculateur!NQ188*VLOOKUP('Données projet'!$B$26,Paramètres!$A$1:$I$89,3,0)*0.475*44/12</f>
        <v>#N/A</v>
      </c>
      <c r="NU188" s="21" t="e">
        <f>EXP(-LN(2)/2)*NU187+(1-EXP(-LN(2)/2))/(LN(2)/2)*NO188*NR188*VLOOKUP('Données projet'!$B$26,Paramètres!$A$1:$I$89,3,0)*0.475*44/12</f>
        <v>#N/A</v>
      </c>
      <c r="NV188" s="22" t="e">
        <f t="shared" si="277"/>
        <v>#N/A</v>
      </c>
      <c r="NW188" s="74">
        <f>('Scénario référence'!$F$8+'Scénario référence'!$F$9+'Scénario référence'!$B$17+'Scénario référence'!$B$9+'Scénario référence'!$B$10)*70+IF((45+25*(1-EXP(-0.0175*$A188)))&lt;70,'Scénario référence'!$B$16*(45+25*(1-EXP(-0.0175*$A188))),70*'Scénario référence'!$B$16)+IF((32+38*(1-EXP(-0.0175*$A188)))&lt;70,'Scénario référence'!$B$18*(32+38*(1-EXP(-0.0175*$A188))),70*'Scénario référence'!$B$18)</f>
        <v>70</v>
      </c>
      <c r="NX188" s="12">
        <f>IF($A188&gt;30,10,('Scénario référence'!$B$16+'Scénario référence'!$B$17+'Scénario référence'!$B$18+'Scénario référence'!$B$9+'Scénario référence'!$B$10)*$A188*10/30+('Scénario référence'!$F$8+'Scénario référence'!$F$9)*10)</f>
        <v>10</v>
      </c>
      <c r="NY188" s="12" t="e">
        <f>VLOOKUP($A188,'Données projet'!$A$512:$I$532,2,0)</f>
        <v>#N/A</v>
      </c>
      <c r="NZ188" s="12" t="e">
        <f>VLOOKUP($A188,'Données projet'!$A$512:$I$532,9,0)</f>
        <v>#N/A</v>
      </c>
      <c r="OA188" s="12">
        <f t="array" ref="OA188">INDEX(NZ:NZ,MIN(IF(ISNUMBER(NZ188:NZ384),ROW(NZ188:NZ384),"")))</f>
        <v>0</v>
      </c>
      <c r="OB188" s="12">
        <f>IF('Données projet'!$A$512&gt;35,OB187+OA188-OJ187,IF($A188&lt;'Données projet'!$A$512,$CQ$205^$A188,IF($A188='Données projet'!$A$512,'Données projet'!$B$512,OB187+OA188-OJ187)))</f>
        <v>0</v>
      </c>
      <c r="OC188" s="17" t="e">
        <f>OB188*VLOOKUP('Données projet'!$B$27,Paramètres!$A$1:$I$89,3,0)*VLOOKUP('Données projet'!$B$27,Paramètres!$A$1:$I$89,5,0)</f>
        <v>#N/A</v>
      </c>
      <c r="OD188" s="13" t="e">
        <f t="shared" si="322"/>
        <v>#N/A</v>
      </c>
      <c r="OE188" s="14" t="e">
        <f t="shared" si="278"/>
        <v>#N/A</v>
      </c>
      <c r="OF188" s="59" t="e">
        <f t="shared" si="279"/>
        <v>#N/A</v>
      </c>
      <c r="OG188" s="20" t="e">
        <f ca="1">AVERAGE(OFFSET($OF$3,0,0,'Données projet'!$E$27+1,1))-AVERAGE(OFFSET($H$3,0,0,'Données projet'!$E$27+1,1))</f>
        <v>#N/A</v>
      </c>
      <c r="OH188" s="59" t="e">
        <f t="shared" si="323"/>
        <v>#N/A</v>
      </c>
      <c r="OI188" s="15">
        <f>IF(ISNA(VLOOKUP($A188,'Données projet'!$A$512:$I$532,3,0)),0,VLOOKUP($A188,'Données projet'!$A$512:$I$532,3,0))</f>
        <v>0</v>
      </c>
      <c r="OJ188" s="15">
        <f>IF(ISNA(VLOOKUP($A188,'Données projet'!$A$512:$I$532,4,0)),0,VLOOKUP($A188,'Données projet'!$A$512:$I$532,4,0))</f>
        <v>0</v>
      </c>
      <c r="OK188" s="16">
        <f>IF(ISNA(VLOOKUP($A188,'Données projet'!$A$512:$I$532,5,0)),0%,VLOOKUP($A188,'Données projet'!$A$512:$I$532,5,0)*VLOOKUP('Données projet'!$B$27,Paramètres!$A$1:$I$89,7,0))</f>
        <v>0</v>
      </c>
      <c r="OL188" s="16">
        <f>IF(ISNA(VLOOKUP($A188,'Données projet'!$A$512:$I$532,6,0)),0%,VLOOKUP($A188,'Données projet'!$A$512:$I$532,6,0)*VLOOKUP('Données projet'!$B$27,Paramètres!$A$1:$I$89,7,0))</f>
        <v>0</v>
      </c>
      <c r="OM188" s="16">
        <f>IF(ISNA(VLOOKUP($A188,'Données projet'!$A$512:$I$532,7,0)),0%,VLOOKUP($A188,'Données projet'!$A$512:$I$532,7,0))</f>
        <v>0</v>
      </c>
      <c r="ON188" s="21" t="e">
        <f>EXP(-LN(2)/35)*ON187+(1-EXP(-LN(2)/35))/(LN(2)/35)*OJ188*OK188*VLOOKUP('Données projet'!$B$27,Paramètres!$A$1:$I$89,3,0)*0.475*44/12</f>
        <v>#N/A</v>
      </c>
      <c r="OO188" s="21" t="e">
        <f>EXP(-LN(2)/25)*OO187+(1-EXP(-LN(2)/25))/(LN(2)/25)*Calculateur!OJ188*Calculateur!OL188*VLOOKUP('Données projet'!$B$27,Paramètres!$A$1:$I$89,3,0)*0.475*44/12</f>
        <v>#N/A</v>
      </c>
      <c r="OP188" s="21" t="e">
        <f>EXP(-LN(2)/2)*OP187+(1-EXP(-LN(2)/2))/(LN(2)/2)*OJ188*OM188*VLOOKUP('Données projet'!$B$27,Paramètres!$A$1:$I$89,3,0)*0.475*44/12</f>
        <v>#N/A</v>
      </c>
      <c r="OQ188" s="22" t="e">
        <f t="shared" si="280"/>
        <v>#N/A</v>
      </c>
      <c r="OR188" s="74">
        <f>('Scénario référence'!$F$8+'Scénario référence'!$F$9+'Scénario référence'!$B$17+'Scénario référence'!$B$9+'Scénario référence'!$B$10)*70+IF((45+25*(1-EXP(-0.0175*$A188)))&lt;70,'Scénario référence'!$B$16*(45+25*(1-EXP(-0.0175*$A188))),70*'Scénario référence'!$B$16)+IF((32+38*(1-EXP(-0.0175*$A188)))&lt;70,'Scénario référence'!$B$18*(32+38*(1-EXP(-0.0175*$A188))),70*'Scénario référence'!$B$18)</f>
        <v>70</v>
      </c>
      <c r="OS188" s="12">
        <f>IF($A188&gt;30,10,('Scénario référence'!$B$16+'Scénario référence'!$B$17+'Scénario référence'!$B$18+'Scénario référence'!$B$9+'Scénario référence'!$B$10)*$A188*10/30+('Scénario référence'!$F$8+'Scénario référence'!$F$9)*10)</f>
        <v>10</v>
      </c>
      <c r="OT188" s="12" t="e">
        <f>VLOOKUP($A188,'Données projet'!$A$538:$I$558,2,0)</f>
        <v>#N/A</v>
      </c>
      <c r="OU188" s="12" t="e">
        <f>VLOOKUP($A188,'Données projet'!$A$538:$I$558,9,0)</f>
        <v>#N/A</v>
      </c>
      <c r="OV188" s="12">
        <f t="array" ref="OV188">INDEX(OU:OU,MIN(IF(ISNUMBER(OU188:OU384),ROW(OU188:OU384),"")))</f>
        <v>0</v>
      </c>
      <c r="OW188" s="12">
        <f>IF('Données projet'!$A$538&gt;35,OW187+OV188-PE187,IF($A188&lt;'Données projet'!$A$538,$CQ$205^$A188,IF($A188='Données projet'!$A$538,'Données projet'!$B$538,OW187+OV188-PE187)))</f>
        <v>0</v>
      </c>
      <c r="OX188" s="17" t="e">
        <f>OW188*VLOOKUP('Données projet'!$B$28,Paramètres!$A$1:$I$89,3,0)*VLOOKUP('Données projet'!$B$28,Paramètres!$A$1:$I$89,5,0)</f>
        <v>#N/A</v>
      </c>
      <c r="OY188" s="13" t="e">
        <f t="shared" si="324"/>
        <v>#N/A</v>
      </c>
      <c r="OZ188" s="14" t="e">
        <f t="shared" si="281"/>
        <v>#N/A</v>
      </c>
      <c r="PA188" s="59" t="e">
        <f t="shared" si="282"/>
        <v>#N/A</v>
      </c>
      <c r="PB188" s="20" t="e">
        <f ca="1">AVERAGE(OFFSET($PA$3,0,0,'Données projet'!$E$28+1,1))-AVERAGE(OFFSET($H$3,0,0,'Données projet'!$E$28+1,1))</f>
        <v>#N/A</v>
      </c>
      <c r="PC188" s="59" t="e">
        <f t="shared" si="325"/>
        <v>#N/A</v>
      </c>
      <c r="PD188" s="15">
        <f>IF(ISNA(VLOOKUP($A188,'Données projet'!$A$538:$I$558,3,0)),0,VLOOKUP($A188,'Données projet'!$A$538:$I$558,3,0))</f>
        <v>0</v>
      </c>
      <c r="PE188" s="15">
        <f>IF(ISNA(VLOOKUP($A188,'Données projet'!$A$538:$I$558,4,0)),0,VLOOKUP($A188,'Données projet'!$A$538:$I$558,4,0))</f>
        <v>0</v>
      </c>
      <c r="PF188" s="16">
        <f>IF(ISNA(VLOOKUP($A188,'Données projet'!$A$538:$I$558,5,0)),0%,VLOOKUP($A188,'Données projet'!$A$538:$I$558,5,0)*VLOOKUP('Données projet'!$B$28,Paramètres!$A$1:$I$89,7,0))</f>
        <v>0</v>
      </c>
      <c r="PG188" s="16">
        <f>IF(ISNA(VLOOKUP($A188,'Données projet'!$A$538:$I$558,6,0)),0%,VLOOKUP($A188,'Données projet'!$A$538:$I$558,6,0)*VLOOKUP('Données projet'!$B$28,Paramètres!$A$1:$I$89,7,0))</f>
        <v>0</v>
      </c>
      <c r="PH188" s="16">
        <f>IF(ISNA(VLOOKUP($A188,'Données projet'!$A$538:$I$558,7,0)),0%,VLOOKUP($A188,'Données projet'!$A$538:$I$558,7,0))</f>
        <v>0</v>
      </c>
      <c r="PI188" s="21" t="e">
        <f>EXP(-LN(2)/35)*PI187+(1-EXP(-LN(2)/35))/(LN(2)/35)*PE188*PF188*VLOOKUP('Données projet'!$B$28,Paramètres!$A$1:$I$89,3,0)*0.475*44/12</f>
        <v>#N/A</v>
      </c>
      <c r="PJ188" s="21" t="e">
        <f>EXP(-LN(2)/25)*PJ187+(1-EXP(-LN(2)/25))/(LN(2)/25)*Calculateur!PE188*Calculateur!PG188*VLOOKUP('Données projet'!$B$28,Paramètres!$A$1:$I$89,3,0)*0.475*44/12</f>
        <v>#N/A</v>
      </c>
      <c r="PK188" s="21" t="e">
        <f>EXP(-LN(2)/2)*PK187+(1-EXP(-LN(2)/2))/(LN(2)/2)*PE188*PH188*VLOOKUP('Données projet'!$B$28,Paramètres!$A$1:$I$89,3,0)*0.475*44/12</f>
        <v>#N/A</v>
      </c>
      <c r="PL188" s="22" t="e">
        <f t="shared" si="283"/>
        <v>#N/A</v>
      </c>
    </row>
    <row r="189" spans="1:428" x14ac:dyDescent="0.35">
      <c r="A189" s="10">
        <f t="shared" si="326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285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225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projet'!$A$45:$I$65,2,0)</f>
        <v>#N/A</v>
      </c>
      <c r="L189" s="12" t="e">
        <f>VLOOKUP(A189,'Données projet'!$A$45:$I$65,9,0)</f>
        <v>#N/A</v>
      </c>
      <c r="M189" s="12">
        <f t="array" ref="M189">INDEX(L:L,MIN(IF(ISNUMBER(L189:L385),ROW(L189:L385),"")))</f>
        <v>0</v>
      </c>
      <c r="N189" s="13">
        <f>IF('Données projet'!$A$46&gt;35,N188+M189-V188,IF(A189&lt;'Données projet'!$A$46,$K$205^A189,IF(A189='Données projet'!$A$46,'Données projet'!$B$46,N188+M189-V188)))</f>
        <v>-1.1368683772161603E-13</v>
      </c>
      <c r="O189" s="13">
        <f>N189*VLOOKUP('Données projet'!$B$9,Paramètres!$A$1:$I$89,3,0)*VLOOKUP('Données projet'!$B$9,Paramètres!$A$1:$I$89,5,0)</f>
        <v>-6.3550942286383367E-14</v>
      </c>
      <c r="P189" s="13" t="e">
        <f t="shared" si="286"/>
        <v>#NUM!</v>
      </c>
      <c r="Q189" s="20" t="e">
        <f t="shared" si="327"/>
        <v>#NUM!</v>
      </c>
      <c r="R189" s="59" t="e">
        <f t="shared" si="224"/>
        <v>#NUM!</v>
      </c>
      <c r="S189" s="59">
        <f ca="1">AVERAGE(OFFSET($R$3,0,0,'Données projet'!$E$9+1,1))-AVERAGE(OFFSET($H$3,0,0,'Données projet'!$E$9+1,1))</f>
        <v>274.57619581652199</v>
      </c>
      <c r="T189" s="59">
        <f t="shared" si="287"/>
        <v>366.15117322598775</v>
      </c>
      <c r="U189" s="15">
        <f>IF(ISNA(VLOOKUP(A189,'Données projet'!$A$45:$I$65,3,0)),0,VLOOKUP(A189,'Données projet'!$A$45:$I$65,3,0))</f>
        <v>0</v>
      </c>
      <c r="V189" s="15">
        <f>IF(ISNA(VLOOKUP(A189,'Données projet'!$A$45:$I$65,4,0)),0,VLOOKUP(A189,'Données projet'!$A$45:$I$65,4,0))</f>
        <v>0</v>
      </c>
      <c r="W189" s="16">
        <f>IF(ISNA(VLOOKUP(A189,'Données projet'!$A$45:$I$65,5,0)),0%,VLOOKUP(A189,'Données projet'!$A$45:$I$65,5,0)*VLOOKUP('Données projet'!$B$9,Paramètres!$A$1:$I$89,7,0))</f>
        <v>0</v>
      </c>
      <c r="X189" s="16">
        <f>IF(ISNA(VLOOKUP(A189,'Données projet'!$A$45:$I$65,6,0)),0%,VLOOKUP(A189,'Données projet'!$A$45:$I$65,6,0)*VLOOKUP('Données projet'!$B$9,Paramètres!$A$1:$I$89,7,0))</f>
        <v>0</v>
      </c>
      <c r="Y189" s="16">
        <f>IF(ISNA(VLOOKUP(A189,'Données projet'!$A$45:$I$65,7,0)),0%,VLOOKUP(A189,'Données projet'!$A$45:$I$65,7,0))</f>
        <v>0</v>
      </c>
      <c r="Z189" s="21">
        <f>EXP(-LN(2)/35)*Z188+(1-EXP(-LN(2)/35))/(LN(2)/35)*V189*W189*VLOOKUP('Données projet'!$B$9,Paramètres!$A$1:$I$89,3,0)*0.475*44/12</f>
        <v>16.930002559707628</v>
      </c>
      <c r="AA189" s="21">
        <f>EXP(-LN(2)/25)*AA188+(1-EXP(-LN(2)/25))/(LN(2)/25)*Calculateur!V189*Calculateur!X189*VLOOKUP('Données projet'!$B$9,Paramètres!$A$1:$I$89,3,0)*0.475*44/12</f>
        <v>1.5243447914006536</v>
      </c>
      <c r="AB189" s="21">
        <f>EXP(-LN(2)/2)*AB188+(1-EXP(-LN(2)/2))/(LN(2)/2)*V189*Y189*VLOOKUP('Données projet'!$B$9,Paramètres!$A$1:$I$89,3,0)*0.475*44/12</f>
        <v>6.5474128168531303E-19</v>
      </c>
      <c r="AC189" s="22">
        <f t="shared" si="328"/>
        <v>18.454347351108282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projet'!$A$71:$I$91,2,0)</f>
        <v>#N/A</v>
      </c>
      <c r="AG189" s="12" t="e">
        <f>VLOOKUP(A189,'Données projet'!$A$71:$I$91,9,0)</f>
        <v>#N/A</v>
      </c>
      <c r="AH189" s="12">
        <f t="array" ref="AH189">INDEX(AG:AG,MIN(IF(ISNUMBER(AG189:AG385),ROW(AG189:AG385),"")))</f>
        <v>0</v>
      </c>
      <c r="AI189" s="13">
        <f>IF('Données projet'!$A$72&gt;35,AI188+AH189-AQ188,IF(A189&lt;'Données projet'!$A$72,$AF$205^A189,IF(A189='Données projet'!$A$72,'Données projet'!$B$72,AI188+AH189-AQ188)))</f>
        <v>5.6843418860808015E-13</v>
      </c>
      <c r="AJ189" s="13">
        <f>AI189*VLOOKUP('Données projet'!$B$10,Paramètres!$A$1:$I$89,3,0)*VLOOKUP('Données projet'!$B$10,Paramètres!$A$1:$I$89,5,0)</f>
        <v>5.1431925385259092E-13</v>
      </c>
      <c r="AK189" s="13">
        <f t="shared" si="329"/>
        <v>6.3855359115685756E-12</v>
      </c>
      <c r="AL189" s="20">
        <f t="shared" si="330"/>
        <v>1.2017247746441865E-11</v>
      </c>
      <c r="AM189" s="59">
        <f t="shared" si="228"/>
        <v>293.33333333334531</v>
      </c>
      <c r="AN189" s="59">
        <f ca="1">AVERAGE(OFFSET($AM$3,0,0,'Données projet'!$E$10+1,1))-AVERAGE(OFFSET($H$3,0,0,'Données projet'!$E$10+1,1))</f>
        <v>270.87836509222456</v>
      </c>
      <c r="AO189" s="59">
        <f t="shared" si="289"/>
        <v>205.24998237949734</v>
      </c>
      <c r="AP189" s="15">
        <f>IF(ISNA(VLOOKUP(A189,'Données projet'!$A$71:$I$91,3,0)),0,VLOOKUP(A189,'Données projet'!$A$71:$I$91,3,0))</f>
        <v>0</v>
      </c>
      <c r="AQ189" s="15">
        <f>IF(ISNA(VLOOKUP(A189,'Données projet'!$A$71:$I$91,4,0)),0,VLOOKUP(A189,'Données projet'!$A$71:$I$91,4,0))</f>
        <v>0</v>
      </c>
      <c r="AR189" s="16">
        <f>IF(ISNA(VLOOKUP(A189,'Données projet'!$A$71:$I$91,5,0)),0%,VLOOKUP(A189,'Données projet'!$A$71:$I$91,5,0)*VLOOKUP('Données projet'!$B$10,Paramètres!$A$1:$I$89,7,0))</f>
        <v>0</v>
      </c>
      <c r="AS189" s="16">
        <f>IF(ISNA(VLOOKUP(A189,'Données projet'!$A$71:$I$91,6,0)),0%,VLOOKUP(A189,'Données projet'!$A$71:$I$91,6,0)*VLOOKUP('Données projet'!$B$10,Paramètres!$A$1:$I$89,7,0))</f>
        <v>0</v>
      </c>
      <c r="AT189" s="16">
        <f>IF(ISNA(VLOOKUP(A189,'Données projet'!$A$71:$I$91,7,0)),0%,VLOOKUP(A189,'Données projet'!$A$71:$I$91,7,0))</f>
        <v>0</v>
      </c>
      <c r="AU189" s="21">
        <f>EXP(-LN(2)/35)*AU188+(1-EXP(-LN(2)/35))/(LN(2)/35)*AQ189*AR189*VLOOKUP('Données projet'!$B$10,Paramètres!$A$1:$I$89,3,0)*0.475*44/12</f>
        <v>57.53246207518351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331"/>
        <v>57.53246207518351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projet'!$A$97:$I$117,2,0)</f>
        <v>#N/A</v>
      </c>
      <c r="BB189" s="12" t="e">
        <f>VLOOKUP(A189,'Données projet'!$A$97:$I$117,9,0)</f>
        <v>#N/A</v>
      </c>
      <c r="BC189" s="12">
        <f t="array" ref="BC189">INDEX(BB:BB,MIN(IF(ISNUMBER(BB189:BB385),ROW(BB189:BB385),"")))</f>
        <v>0</v>
      </c>
      <c r="BD189" s="12">
        <f>IF('Données projet'!$A$98&gt;35,BD188+BC189-BL188,IF(A189&lt;'Données projet'!$A$98,$BA$205^A189,IF(A189='Données projet'!$A$98,'Données projet'!$B$98,BD188+BC189-BL188)))</f>
        <v>-1.1368683772161603E-13</v>
      </c>
      <c r="BE189" s="13">
        <f>BD189*VLOOKUP('Données projet'!$B$11,Paramètres!$A$1:$I$89,3,0)*VLOOKUP('Données projet'!$B$11,Paramètres!$A$1:$I$89,5,0)</f>
        <v>-5.0249582272954292E-14</v>
      </c>
      <c r="BF189" s="13" t="e">
        <f t="shared" si="332"/>
        <v>#NUM!</v>
      </c>
      <c r="BG189" s="20" t="e">
        <f t="shared" si="333"/>
        <v>#NUM!</v>
      </c>
      <c r="BH189" s="59" t="e">
        <f t="shared" si="231"/>
        <v>#NUM!</v>
      </c>
      <c r="BI189" s="59">
        <f ca="1">AVERAGE(OFFSET($BH$3,0,0,'Données projet'!$E$11+1,1))-AVERAGE(OFFSET($H$3,0,0,'Données projet'!$E$11+1,1))</f>
        <v>211.31057120485542</v>
      </c>
      <c r="BJ189" s="59">
        <f t="shared" si="291"/>
        <v>283.33292006714777</v>
      </c>
      <c r="BK189" s="15">
        <f>IF(ISNA(VLOOKUP(A189,'Données projet'!$A$97:$I$117,3,0)),0,VLOOKUP(A189,'Données projet'!$A$97:$I$117,3,0))</f>
        <v>0</v>
      </c>
      <c r="BL189" s="15">
        <f>IF(ISNA(VLOOKUP(A189,'Données projet'!$A$97:$I$117,4,0)),0,VLOOKUP(A189,'Données projet'!$A$97:$I$117,4,0))</f>
        <v>0</v>
      </c>
      <c r="BM189" s="16">
        <f>IF(ISNA(VLOOKUP(A189,'Données projet'!$A$97:$I$117,5,0)),0%,VLOOKUP(A189,'Données projet'!$A$97:$I$117,5,0)*VLOOKUP('Données projet'!$B$11,Paramètres!$A$1:$I$89,7,0))</f>
        <v>0</v>
      </c>
      <c r="BN189" s="16">
        <f>IF(ISNA(VLOOKUP(A189,'Données projet'!$A$97:$I$117,6,0)),0%,VLOOKUP(A189,'Données projet'!$A$97:$I$117,6,0)*VLOOKUP('Données projet'!$B$11,Paramètres!$A$1:$I$89,7,0))</f>
        <v>0</v>
      </c>
      <c r="BO189" s="16">
        <f>IF(ISNA(VLOOKUP(A189,'Données projet'!$A$97:$I$117,7,0)),0%,VLOOKUP(A189,'Données projet'!$A$97:$I$117,7,0))</f>
        <v>0</v>
      </c>
      <c r="BP189" s="21">
        <f>EXP(-LN(2)/35)*BP188+(1-EXP(-LN(2)/35))/(LN(2)/35)*BL189*BM189*VLOOKUP('Données projet'!$B$11,Paramètres!$A$1:$I$89,3,0)*0.475*44/12</f>
        <v>13.386513651861856</v>
      </c>
      <c r="BQ189" s="21">
        <f>EXP(-LN(2)/25)*BQ188+(1-EXP(-LN(2)/25))/(LN(2)/25)*Calculateur!BL189*Calculateur!BN189*VLOOKUP('Données projet'!$B$11,Paramètres!$A$1:$I$89,3,0)*0.475*44/12</f>
        <v>1.2052958815726089</v>
      </c>
      <c r="BR189" s="21">
        <f>EXP(-LN(2)/2)*BR188+(1-EXP(-LN(2)/2))/(LN(2)/2)*BL189*BO189*VLOOKUP('Données projet'!$B$11,Paramètres!$A$1:$I$89,3,0)*0.475*44/12</f>
        <v>5.1770240877443345E-19</v>
      </c>
      <c r="BS189" s="22">
        <f t="shared" si="334"/>
        <v>14.591809533434464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projet'!$A$123:$I$143,2,0)</f>
        <v>#N/A</v>
      </c>
      <c r="BW189" s="12" t="e">
        <f>VLOOKUP(A189,'Données projet'!$A$123:$I$143,9,0)</f>
        <v>#N/A</v>
      </c>
      <c r="BX189" s="12">
        <f t="array" ref="BX189">INDEX(BW:BW,MIN(IF(ISNUMBER(BW189:BW385),ROW(BW189:BW385),"")))</f>
        <v>0</v>
      </c>
      <c r="BY189" s="12">
        <f>IF('Données projet'!$A$124&gt;35,BY188+BX189-CG188,IF(A189&lt;'Données projet'!$A$124,$BV$205^A189,IF(A189='Données projet'!$A$124,'Données projet'!$B$124,BY188+BX189-CG188)))</f>
        <v>0</v>
      </c>
      <c r="BZ189" s="13">
        <f>BY189*VLOOKUP('Données projet'!$B$12,Paramètres!$A$1:$I$89,3,0)*VLOOKUP('Données projet'!$B$12,Paramètres!$A$1:$I$89,5,0)</f>
        <v>0</v>
      </c>
      <c r="CA189" s="13" t="e">
        <f t="shared" si="335"/>
        <v>#NUM!</v>
      </c>
      <c r="CB189" s="20" t="e">
        <f t="shared" si="336"/>
        <v>#NUM!</v>
      </c>
      <c r="CC189" s="59" t="e">
        <f t="shared" si="234"/>
        <v>#NUM!</v>
      </c>
      <c r="CD189" s="59">
        <f ca="1">AVERAGE(OFFSET($CC$3,0,0,'Données projet'!$E$12+1,1))-AVERAGE(OFFSET($H$3,0,0,'Données projet'!$E$12+1,1))</f>
        <v>322.93502595881938</v>
      </c>
      <c r="CE189" s="59">
        <f t="shared" si="293"/>
        <v>302.67072119588164</v>
      </c>
      <c r="CF189" s="15">
        <f>IF(ISNA(VLOOKUP(A189,'Données projet'!$A$123:$I$143,3,0)),0,VLOOKUP(A189,'Données projet'!$A$123:$I$143,3,0))</f>
        <v>0</v>
      </c>
      <c r="CG189" s="15">
        <f>IF(ISNA(VLOOKUP(A189,'Données projet'!$A$123:$I$143,4,0)),0,VLOOKUP(A189,'Données projet'!$A$123:$I$143,4,0))</f>
        <v>0</v>
      </c>
      <c r="CH189" s="16">
        <f>IF(ISNA(VLOOKUP(A189,'Données projet'!$A$123:$I$143,5,0)),0%,VLOOKUP(A189,'Données projet'!$A$123:$I$143,5,0)*VLOOKUP('Données projet'!$B$12,Paramètres!$A$1:$I$89,7,0))</f>
        <v>0</v>
      </c>
      <c r="CI189" s="16">
        <f>IF(ISNA(VLOOKUP(A189,'Données projet'!$A$123:$I$143,6,0)),0%,VLOOKUP(A189,'Données projet'!$A$123:$I$143,6,0)*VLOOKUP('Données projet'!$B$12,Paramètres!$A$1:$I$89,7,0))</f>
        <v>0</v>
      </c>
      <c r="CJ189" s="16">
        <f>IF(ISNA(VLOOKUP(A189,'Données projet'!$A$123:$I$143,7,0)),0%,VLOOKUP(A189,'Données projet'!$A$123:$I$143,7,0))</f>
        <v>0</v>
      </c>
      <c r="CK189" s="21">
        <f>EXP(-LN(2)/35)*CK188+(1-EXP(-LN(2)/35))/(LN(2)/35)*CG189*CH189*VLOOKUP('Données projet'!$B$12,Paramètres!$A$1:$I$89,3,0)*0.475*44/12</f>
        <v>21.327950887095575</v>
      </c>
      <c r="CL189" s="21">
        <f>EXP(-LN(2)/25)*CL188+(1-EXP(-LN(2)/25))/(LN(2)/25)*Calculateur!CG189*Calculateur!CI189*VLOOKUP('Données projet'!$B$12,Paramètres!$A$1:$I$89,3,0)*0.475*44/12</f>
        <v>3.8576760720097503</v>
      </c>
      <c r="CM189" s="21">
        <f>EXP(-LN(2)/2)*CM188+(1-EXP(-LN(2)/2))/(LN(2)/2)*CG189*CJ189*VLOOKUP('Données projet'!$B$12,Paramètres!$A$1:$I$89,3,0)*0.475*44/12</f>
        <v>0</v>
      </c>
      <c r="CN189" s="22">
        <f t="shared" si="337"/>
        <v>25.185626959105324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projet'!$A$149:$I$169,2,0)</f>
        <v>#N/A</v>
      </c>
      <c r="CR189" s="12" t="e">
        <f>VLOOKUP(A189,'Données projet'!$A$149:$I$169,9,0)</f>
        <v>#N/A</v>
      </c>
      <c r="CS189" s="12">
        <f t="array" ref="CS189">INDEX(CR:CR,MIN(IF(ISNUMBER(CR189:CR385),ROW(CR189:CR385),"")))</f>
        <v>0</v>
      </c>
      <c r="CT189" s="12">
        <f>IF('Données projet'!$A$150&gt;35,CT188+CS189-DB188,IF(A189&lt;'Données projet'!$A$150,$CQ$205^A189,IF(A189='Données projet'!$A$150,'Données projet'!$B$150,CT188+CS189-DB188)))</f>
        <v>-4.5474735088646412E-13</v>
      </c>
      <c r="CU189" s="17">
        <f>CT189*VLOOKUP('Données projet'!$B$13,Paramètres!$A$1:$I$89,3,0)*VLOOKUP('Données projet'!$B$13,Paramètres!$A$1:$I$89,5,0)</f>
        <v>-4.6111381379887462E-13</v>
      </c>
      <c r="CV189" s="13" t="e">
        <f t="shared" si="338"/>
        <v>#NUM!</v>
      </c>
      <c r="CW189" s="20" t="e">
        <f t="shared" si="339"/>
        <v>#NUM!</v>
      </c>
      <c r="CX189" s="59" t="e">
        <f t="shared" si="237"/>
        <v>#NUM!</v>
      </c>
      <c r="CY189" s="59">
        <f ca="1">AVERAGE(OFFSET($CX$3,0,0,'Données projet'!$E$13+1,1))-AVERAGE(OFFSET($H$3,0,0,'Données projet'!$E$13+1,1))</f>
        <v>250.31277422753283</v>
      </c>
      <c r="CZ189" s="59">
        <f t="shared" si="295"/>
        <v>159.20429420478047</v>
      </c>
      <c r="DA189" s="15">
        <f>IF(ISNA(VLOOKUP(A189,'Données projet'!$A$149:$I$169,3,0)),0,VLOOKUP(A189,'Données projet'!$A$149:$I$169,3,0))</f>
        <v>0</v>
      </c>
      <c r="DB189" s="15">
        <f>IF(ISNA(VLOOKUP(A189,'Données projet'!$A$149:$I$169,4,0)),0,VLOOKUP(A189,'Données projet'!$A$149:$I$169,4,0))</f>
        <v>0</v>
      </c>
      <c r="DC189" s="16">
        <f>IF(ISNA(VLOOKUP(A189,'Données projet'!$A$149:$I$169,5,0)),0%,VLOOKUP(A189,'Données projet'!$A$149:$I$169,5,0)*VLOOKUP('Données projet'!$B$13,Paramètres!$A$1:$I$89,7,0))</f>
        <v>0</v>
      </c>
      <c r="DD189" s="16">
        <f>IF(ISNA(VLOOKUP(A189,'Données projet'!$A$149:$I$169,6,0)),0%,VLOOKUP(A189,'Données projet'!$A$149:$I$169,6,0)*VLOOKUP('Données projet'!$B$13,Paramètres!$A$1:$I$89,7,0))</f>
        <v>0</v>
      </c>
      <c r="DE189" s="16">
        <f>IF(ISNA(VLOOKUP(A189,'Données projet'!$A$149:$I$169,7,0)),0%,VLOOKUP(A189,'Données projet'!$A$149:$I$169,7,0))</f>
        <v>0</v>
      </c>
      <c r="DF189" s="21">
        <f>EXP(-LN(2)/35)*DF188+(1-EXP(-LN(2)/35))/(LN(2)/35)*DB189*DC189*VLOOKUP('Données projet'!$B$13,Paramètres!$A$1:$I$89,3,0)*0.475*44/12</f>
        <v>97.091186864226785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340"/>
        <v>97.091186864226785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projet'!$A$175:$I$195,2,0)</f>
        <v>#N/A</v>
      </c>
      <c r="DM189" s="12" t="e">
        <f>VLOOKUP(A189,'Données projet'!$A$175:$I$195,9,0)</f>
        <v>#N/A</v>
      </c>
      <c r="DN189" s="12">
        <f t="array" ref="DN189">INDEX(DM:DM,MIN(IF(ISNUMBER(DM189:DM385),ROW(DM189:DM385),"")))</f>
        <v>0</v>
      </c>
      <c r="DO189" s="12">
        <f>IF('Données projet'!$A$176&gt;35,DO188+DN189-DW188,IF(A189&lt;'Données projet'!$A$176,$DL$205^A189,IF(A189='Données projet'!$A$176,'Données projet'!$B$176,DO188+DN189-DW188)))</f>
        <v>-2.8421709430404007E-13</v>
      </c>
      <c r="DP189" s="17">
        <f>DO189*VLOOKUP('Données projet'!$B$14,Paramètres!$A$1:$I$89,3,0)*VLOOKUP('Données projet'!$B$14,Paramètres!$A$1:$I$89,5,0)</f>
        <v>-2.0838797354372215E-13</v>
      </c>
      <c r="DQ189" s="13" t="e">
        <f t="shared" si="341"/>
        <v>#NUM!</v>
      </c>
      <c r="DR189" s="20" t="e">
        <f t="shared" si="342"/>
        <v>#NUM!</v>
      </c>
      <c r="DS189" s="59" t="e">
        <f t="shared" si="240"/>
        <v>#NUM!</v>
      </c>
      <c r="DT189" s="59">
        <f ca="1">AVERAGE(OFFSET($DS$3,0,0,'Données projet'!$E$14+1,1))-AVERAGE(OFFSET($H$3,0,0,'Données projet'!$E$14+1,1))</f>
        <v>296.91321813251051</v>
      </c>
      <c r="DU189" s="59">
        <f t="shared" si="297"/>
        <v>291.0718079639509</v>
      </c>
      <c r="DV189" s="15">
        <f>IF(ISNA(VLOOKUP(A189,'Données projet'!$A$175:$I$195,3,0)),0,VLOOKUP(A189,'Données projet'!$A$175:$I$195,3,0))</f>
        <v>0</v>
      </c>
      <c r="DW189" s="15">
        <f>IF(ISNA(VLOOKUP(A189,'Données projet'!$A$175:$I$195,4,0)),0,VLOOKUP(A189,'Données projet'!$A$175:$I$195,4,0))</f>
        <v>0</v>
      </c>
      <c r="DX189" s="16">
        <f>IF(ISNA(VLOOKUP(A189,'Données projet'!$A$175:$I$195,5,0)),0%,VLOOKUP(A189,'Données projet'!$A$175:$I$195,5,0)*VLOOKUP('Données projet'!$B$14,Paramètres!$A$1:$I$89,7,0))</f>
        <v>0</v>
      </c>
      <c r="DY189" s="16">
        <f>IF(ISNA(VLOOKUP(A189,'Données projet'!$A$175:$I$195,6,0)),0%,VLOOKUP(A189,'Données projet'!$A$175:$I$195,6,0)*VLOOKUP('Données projet'!$B$14,Paramètres!$A$1:$I$89,7,0))</f>
        <v>0</v>
      </c>
      <c r="DZ189" s="16">
        <f>IF(ISNA(VLOOKUP(A189,'Données projet'!$A$175:$I$195,7,0)),0%,VLOOKUP(A189,'Données projet'!$A$175:$I$195,7,0))</f>
        <v>0</v>
      </c>
      <c r="EA189" s="21">
        <f>EXP(-LN(2)/35)*EA188+(1-EXP(-LN(2)/35))/(LN(2)/35)*DW189*DX189*VLOOKUP('Données projet'!$B$14,Paramètres!$A$1:$I$89,3,0)*0.475*44/12</f>
        <v>21.257119846235604</v>
      </c>
      <c r="EB189" s="21">
        <f>EXP(-LN(2)/25)*EB188+(1-EXP(-LN(2)/25))/(LN(2)/25)*Calculateur!DW189*Calculateur!DY189*VLOOKUP('Données projet'!$B$14,Paramètres!$A$1:$I$89,3,0)*0.475*44/12</f>
        <v>0.28338838295216756</v>
      </c>
      <c r="EC189" s="21">
        <f>EXP(-LN(2)/2)*EC188+(1-EXP(-LN(2)/2))/(LN(2)/2)*DW189*DZ189*VLOOKUP('Données projet'!$B$14,Paramètres!$A$1:$I$89,3,0)*0.475*44/12</f>
        <v>0</v>
      </c>
      <c r="ED189" s="22">
        <f t="shared" si="343"/>
        <v>21.540508229187772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projet'!$A$201:$I$221,2,0)</f>
        <v>#N/A</v>
      </c>
      <c r="EH189" s="12" t="e">
        <f>VLOOKUP(A189,'Données projet'!$A$201:$I$221,9,0)</f>
        <v>#N/A</v>
      </c>
      <c r="EI189" s="12">
        <f t="array" ref="EI189">INDEX(EH:EH,MIN(IF(ISNUMBER(EH189:EH385),ROW(EH189:EH385),"")))</f>
        <v>0</v>
      </c>
      <c r="EJ189" s="12">
        <f>IF('Données projet'!$A$202&gt;35,EJ188+EI189-ER188,IF(A189&lt;'Données projet'!$A$202,$EG$205^A189,IF(A189='Données projet'!$A$202,'Données projet'!$B$202,EJ188+EI189-ER188)))</f>
        <v>5.1159076974727213E-13</v>
      </c>
      <c r="EK189" s="17">
        <f>EJ189*VLOOKUP('Données projet'!$B$15,Paramètres!$A$1:$I$89,3,0)*VLOOKUP('Données projet'!$B$15,Paramètres!$A$1:$I$89,5,0)</f>
        <v>2.3942448024172334E-13</v>
      </c>
      <c r="EL189" s="13">
        <f t="shared" si="344"/>
        <v>3.2492669905861755E-12</v>
      </c>
      <c r="EM189" s="20">
        <f t="shared" si="345"/>
        <v>6.0761376450252565E-12</v>
      </c>
      <c r="EN189" s="59">
        <f t="shared" si="243"/>
        <v>293.3333333333394</v>
      </c>
      <c r="EO189" s="59">
        <f ca="1">AVERAGE(OFFSET($EN$3,0,0,'Données projet'!$E$15+1,1))-AVERAGE(OFFSET($H$3,0,0,'Données projet'!$E$15+1,1))</f>
        <v>147.64256291235483</v>
      </c>
      <c r="EP189" s="59">
        <f t="shared" si="299"/>
        <v>70.859031694091868</v>
      </c>
      <c r="EQ189" s="15">
        <f>IF(ISNA(VLOOKUP(A189,'Données projet'!$A$201:$I$221,3,0)),0,VLOOKUP(A189,'Données projet'!$A$201:$I$221,3,0))</f>
        <v>0</v>
      </c>
      <c r="ER189" s="15">
        <f>IF(ISNA(VLOOKUP(A189,'Données projet'!$A$201:$I$221,4,0)),0,VLOOKUP(A189,'Données projet'!$A$201:$I$221,4,0))</f>
        <v>0</v>
      </c>
      <c r="ES189" s="16">
        <f>IF(ISNA(VLOOKUP(A189,'Données projet'!$A$201:$I$221,5,0)),0%,VLOOKUP(A189,'Données projet'!$A$201:$I$221,5,0)*VLOOKUP('Données projet'!$B$15,Paramètres!$A$1:$I$89,7,0))</f>
        <v>0</v>
      </c>
      <c r="ET189" s="16">
        <f>IF(ISNA(VLOOKUP(A189,'Données projet'!$A$201:$I$221,6,0)),0%,VLOOKUP(A189,'Données projet'!$A$201:$I$221,6,0)*VLOOKUP('Données projet'!$B$15,Paramètres!$A$1:$I$89,7,0))</f>
        <v>0</v>
      </c>
      <c r="EU189" s="16">
        <f>IF(ISNA(VLOOKUP(A189,'Données projet'!$A$201:$I$221,7,0)),0%,VLOOKUP(A189,'Données projet'!$A$201:$I$221,7,0))</f>
        <v>0</v>
      </c>
      <c r="EV189" s="21">
        <f>EXP(-LN(2)/35)*EV188+(1-EXP(-LN(2)/35))/(LN(2)/35)*ER189*ES189*VLOOKUP('Données projet'!$B$15,Paramètres!$A$1:$I$89,3,0)*0.475*44/12</f>
        <v>29.101332142063534</v>
      </c>
      <c r="EW189" s="21">
        <f>EXP(-LN(2)/25)*EW188+(1-EXP(-LN(2)/25))/(LN(2)/25)*Calculateur!ER189*Calculateur!ET189*VLOOKUP('Données projet'!$B$15,Paramètres!$A$1:$I$89,3,0)*0.475*44/12</f>
        <v>3.9317283044910072</v>
      </c>
      <c r="EX189" s="21">
        <f>EXP(-LN(2)/2)*EX188+(1-EXP(-LN(2)/2))/(LN(2)/2)*ER189*EU189*VLOOKUP('Données projet'!$B$15,Paramètres!$A$1:$I$89,3,0)*0.475*44/12</f>
        <v>4.720089290418411E-11</v>
      </c>
      <c r="EY189" s="22">
        <f t="shared" si="346"/>
        <v>33.033060446601745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projet'!$A$227:$I$247,2,0)</f>
        <v>#N/A</v>
      </c>
      <c r="FC189" s="12" t="e">
        <f>VLOOKUP(A189,'Données projet'!$A$227:$I$247,9,0)</f>
        <v>#N/A</v>
      </c>
      <c r="FD189" s="12">
        <f t="array" ref="FD189">INDEX(FC:FC,MIN(IF(ISNUMBER(FC189:FC385),ROW(FC189:FC385),"")))</f>
        <v>0</v>
      </c>
      <c r="FE189" s="12">
        <f>IF('Données projet'!$A$228&gt;35,FE188+FD189-FM188,IF(A189&lt;'Données projet'!$A$228,$FB$205^A189,IF(A189='Données projet'!$A$228,'Données projet'!$B$228,FE188+FD189-FM188)))</f>
        <v>8.5265128291212022E-14</v>
      </c>
      <c r="FF189" s="17">
        <f>FE189*VLOOKUP('Données projet'!$B$16,Paramètres!$A$1:$I$89,3,0)*VLOOKUP('Données projet'!$B$16,Paramètres!$A$1:$I$89,5,0)</f>
        <v>8.9119112089974823E-14</v>
      </c>
      <c r="FG189" s="13">
        <f t="shared" si="347"/>
        <v>1.3568952080113142E-12</v>
      </c>
      <c r="FH189" s="20">
        <f t="shared" si="348"/>
        <v>2.5184749408430782E-12</v>
      </c>
      <c r="FI189" s="59">
        <f t="shared" si="246"/>
        <v>293.33333333333582</v>
      </c>
      <c r="FJ189" s="59">
        <f ca="1">AVERAGE(OFFSET($FI$3,0,0,'Données projet'!$E$16+1,1))-AVERAGE(OFFSET($H$3,0,0,'Données projet'!$E$16+1,1))</f>
        <v>259.03906550253788</v>
      </c>
      <c r="FK189" s="59">
        <f t="shared" si="301"/>
        <v>235.54542903570831</v>
      </c>
      <c r="FL189" s="15">
        <f>IF(ISNA(VLOOKUP(A189,'Données projet'!$A$227:$I$247,3,0)),0,VLOOKUP(A189,'Données projet'!$A$227:$I$247,3,0))</f>
        <v>0</v>
      </c>
      <c r="FM189" s="15">
        <f>IF(ISNA(VLOOKUP(A189,'Données projet'!$A$227:$I$247,4,0)),0,VLOOKUP(A189,'Données projet'!$A$227:$I$247,4,0))</f>
        <v>0</v>
      </c>
      <c r="FN189" s="16">
        <f>IF(ISNA(VLOOKUP(A189,'Données projet'!$A$227:$I$247,5,0)),0%,VLOOKUP(A189,'Données projet'!$A$227:$I$247,5,0)*VLOOKUP('Données projet'!$B$16,Paramètres!$A$1:$I$89,7,0))</f>
        <v>0</v>
      </c>
      <c r="FO189" s="16">
        <f>IF(ISNA(VLOOKUP(A189,'Données projet'!$A$227:$I$247,6,0)),0%,VLOOKUP(A189,'Données projet'!$A$227:$I$247,6,0)*VLOOKUP('Données projet'!$B$16,Paramètres!$A$1:$I$89,7,0))</f>
        <v>0</v>
      </c>
      <c r="FP189" s="16">
        <f>IF(ISNA(VLOOKUP(A189,'Données projet'!$A$227:$I$247,7,0)),0%,VLOOKUP(A189,'Données projet'!$A$227:$I$247,7,0))</f>
        <v>0</v>
      </c>
      <c r="FQ189" s="21">
        <f>EXP(-LN(2)/35)*FQ188+(1-EXP(-LN(2)/35))/(LN(2)/35)*FM189*FN189*VLOOKUP('Données projet'!$B$16,Paramètres!$A$1:$I$89,3,0)*0.475*44/12</f>
        <v>12.844537123470054</v>
      </c>
      <c r="FR189" s="21">
        <f>EXP(-LN(2)/25)*FR188+(1-EXP(-LN(2)/25))/(LN(2)/25)*Calculateur!FM189*Calculateur!FO189*VLOOKUP('Données projet'!$B$16,Paramètres!$A$1:$I$89,3,0)*0.475*44/12</f>
        <v>5.4087789870542524</v>
      </c>
      <c r="FS189" s="21">
        <f>EXP(-LN(2)/2)*FS188+(1-EXP(-LN(2)/2))/(LN(2)/2)*FM189*FP189*VLOOKUP('Données projet'!$B$16,Paramètres!$A$1:$I$89,3,0)*0.475*44/12</f>
        <v>0</v>
      </c>
      <c r="FT189" s="22">
        <f t="shared" si="349"/>
        <v>18.253316110524306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projet'!$A$253:$I$273,2,0)</f>
        <v>#N/A</v>
      </c>
      <c r="FX189" s="12" t="e">
        <f>VLOOKUP(A189,'Données projet'!$A$253:$I$273,9,0)</f>
        <v>#N/A</v>
      </c>
      <c r="FY189" s="12">
        <f t="array" ref="FY189">INDEX(FX:FX,MIN(IF(ISNUMBER(FX189:FX385),ROW(FX189:FX385),"")))</f>
        <v>0</v>
      </c>
      <c r="FZ189" s="12">
        <f>IF('Données projet'!$A$254&gt;35,FZ188+FY189-GH188,IF(A189&lt;'Données projet'!$A$254,$FW$205^A189,IF(A189='Données projet'!$A$254,'Données projet'!$B$254,FZ188+FY189-GH188)))</f>
        <v>-1.7053025658242404E-13</v>
      </c>
      <c r="GA189" s="17">
        <f>FZ189*VLOOKUP('Données projet'!$B$17,Paramètres!$A$1:$I$89,3,0)*VLOOKUP('Données projet'!$B$17,Paramètres!$A$1:$I$89,5,0)</f>
        <v>-1.4897523215040567E-13</v>
      </c>
      <c r="GB189" s="13" t="e">
        <f t="shared" si="350"/>
        <v>#NUM!</v>
      </c>
      <c r="GC189" s="20" t="e">
        <f t="shared" si="351"/>
        <v>#NUM!</v>
      </c>
      <c r="GD189" s="59" t="e">
        <f t="shared" si="249"/>
        <v>#NUM!</v>
      </c>
      <c r="GE189" s="59">
        <f ca="1">AVERAGE(OFFSET($GD$3,0,0,'Données projet'!$E$17+1,1))-AVERAGE(OFFSET($H$3,0,0,'Données projet'!$E$17+1,1))</f>
        <v>245.1983232777614</v>
      </c>
      <c r="GF189" s="59">
        <f t="shared" si="303"/>
        <v>242.34010522344573</v>
      </c>
      <c r="GG189" s="15">
        <f>IF(ISNA(VLOOKUP(A189,'Données projet'!$A$253:$I$273,3,0)),0,VLOOKUP(A189,'Données projet'!$A$253:$I$273,3,0))</f>
        <v>0</v>
      </c>
      <c r="GH189" s="15">
        <f>IF(ISNA(VLOOKUP(A189,'Données projet'!$A$253:$I$273,4,0)),0,VLOOKUP(A189,'Données projet'!$A$253:$I$273,4,0))</f>
        <v>0</v>
      </c>
      <c r="GI189" s="16">
        <f>IF(ISNA(VLOOKUP(A189,'Données projet'!$A$253:$I$273,5,0)),0%,VLOOKUP(A189,'Données projet'!$A$253:$I$273,5,0)*VLOOKUP('Données projet'!$B$17,Paramètres!$A$1:$I$89,7,0))</f>
        <v>0</v>
      </c>
      <c r="GJ189" s="16">
        <f>IF(ISNA(VLOOKUP(A189,'Données projet'!$A$253:$I$273,6,0)),0%,VLOOKUP(A189,'Données projet'!$A$253:$I$273,6,0)*VLOOKUP('Données projet'!$B$17,Paramètres!$A$1:$I$89,7,0))</f>
        <v>0</v>
      </c>
      <c r="GK189" s="16">
        <f>IF(ISNA(VLOOKUP(A189,'Données projet'!$A$253:$I$273,7,0)),0%,VLOOKUP(A189,'Données projet'!$A$253:$I$273,7,0))</f>
        <v>0</v>
      </c>
      <c r="GL189" s="21">
        <f>EXP(-LN(2)/35)*GL188+(1-EXP(-LN(2)/35))/(LN(2)/35)*GH189*GI189*VLOOKUP('Données projet'!$B$17,Paramètres!$A$1:$I$89,3,0)*0.475*44/12</f>
        <v>15.10051568863407</v>
      </c>
      <c r="GM189" s="21">
        <f>EXP(-LN(2)/25)*GM188+(1-EXP(-LN(2)/25))/(LN(2)/25)*Calculateur!GH189*Calculateur!GJ189*VLOOKUP('Données projet'!$B$17,Paramètres!$A$1:$I$89,3,0)*0.475*44/12</f>
        <v>1.1524790354479293</v>
      </c>
      <c r="GN189" s="21">
        <f>EXP(-LN(2)/2)*GN188+(1-EXP(-LN(2)/2))/(LN(2)/2)*GH189*GK189*VLOOKUP('Données projet'!$B$17,Paramètres!$A$1:$I$89,3,0)*0.475*44/12</f>
        <v>0</v>
      </c>
      <c r="GO189" s="21">
        <f t="shared" si="352"/>
        <v>16.252994724082001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projet'!$A$279:$I$299,2,0)</f>
        <v>#N/A</v>
      </c>
      <c r="GS189" s="12" t="e">
        <f>VLOOKUP(A189,'Données projet'!$A$279:$I$299,9,0)</f>
        <v>#N/A</v>
      </c>
      <c r="GT189" s="12">
        <f t="array" ref="GT189">INDEX(GS:GS,MIN(IF(ISNUMBER(GS189:GS385),ROW(GS189:GS385),"")))</f>
        <v>0</v>
      </c>
      <c r="GU189" s="12">
        <f>IF('Données projet'!$A$280&gt;35,GU188+GT189-HC188,IF(A189&lt;'Données projet'!$A$280,$GR$205^A189,IF(A189='Données projet'!$A$280,'Données projet'!$B$280,GU188+GT189-HC188)))</f>
        <v>-1.1368683772161603E-13</v>
      </c>
      <c r="GV189" s="17">
        <f>GU189*VLOOKUP('Données projet'!$B$18,Paramètres!$A$1:$I$89,3,0)*VLOOKUP('Données projet'!$B$18,Paramètres!$A$1:$I$89,5,0)</f>
        <v>-4.5815795601811263E-14</v>
      </c>
      <c r="GW189" s="13" t="e">
        <f t="shared" si="353"/>
        <v>#NUM!</v>
      </c>
      <c r="GX189" s="20" t="e">
        <f t="shared" si="354"/>
        <v>#NUM!</v>
      </c>
      <c r="GY189" s="59" t="e">
        <f t="shared" si="252"/>
        <v>#NUM!</v>
      </c>
      <c r="GZ189" s="59">
        <f ca="1">AVERAGE(OFFSET($GY$3,0,0,'Données projet'!$E$18+1,1))-AVERAGE(OFFSET($H$3,0,0,'Données projet'!$E$18+1,1))</f>
        <v>324.36162935850876</v>
      </c>
      <c r="HA189" s="59">
        <f t="shared" si="305"/>
        <v>265.23571072429735</v>
      </c>
      <c r="HB189" s="15">
        <f>IF(ISNA(VLOOKUP(A189,'Données projet'!$A$279:$I$299,3,0)),0,VLOOKUP(A189,'Données projet'!$A$279:$I$299,3,0))</f>
        <v>0</v>
      </c>
      <c r="HC189" s="15">
        <f>IF(ISNA(VLOOKUP(A189,'Données projet'!$A$279:$I$299,4,0)),0,VLOOKUP(A189,'Données projet'!$A$279:$I$299,4,0))</f>
        <v>0</v>
      </c>
      <c r="HD189" s="16">
        <f>IF(ISNA(VLOOKUP(A189,'Données projet'!$A$279:$I$299,5,0)),0%,VLOOKUP(A189,'Données projet'!$A$279:$I$299,5,0)*VLOOKUP('Données projet'!$B$18,Paramètres!$A$1:$I$89,7,0))</f>
        <v>0</v>
      </c>
      <c r="HE189" s="16">
        <f>IF(ISNA(VLOOKUP(A189,'Données projet'!$A$279:$I$299,6,0)),0%,VLOOKUP(A189,'Données projet'!$A$279:$I$299,6,0)*VLOOKUP('Données projet'!$B$18,Paramètres!$A$1:$I$89,7,0))</f>
        <v>0</v>
      </c>
      <c r="HF189" s="16">
        <f>IF(ISNA(VLOOKUP($A189,'Données projet'!$A$279:$I$299,7,0)),0%,VLOOKUP($A189,'Données projet'!$A$279:$I$299,7,0))</f>
        <v>0</v>
      </c>
      <c r="HG189" s="21">
        <f>EXP(-LN(2)/35)*HG188+(1-EXP(-LN(2)/35))/(LN(2)/35)*HC189*HD189*VLOOKUP('Données projet'!$B$18,Paramètres!$A$1:$I$89,3,0)*0.475*44/12</f>
        <v>28.936535618266984</v>
      </c>
      <c r="HH189" s="21">
        <f>EXP(-LN(2)/25)*HH188+(1-EXP(-LN(2)/25))/(LN(2)/25)*Calculateur!HC189*Calculateur!HE189*VLOOKUP('Données projet'!$B$18,Paramètres!$A$1:$I$89,3,0)*0.475*44/12</f>
        <v>1.281762826796129</v>
      </c>
      <c r="HI189" s="21">
        <f>EXP(-LN(2)/2)*HI188+(1-EXP(-LN(2)/2))/(LN(2)/2)*HC189*HF189*VLOOKUP('Données projet'!$B$18,Paramètres!$A$1:$I$89,3,0)*0.475*44/12</f>
        <v>9.4893090156532886E-16</v>
      </c>
      <c r="HJ189" s="22">
        <f t="shared" si="355"/>
        <v>30.218298445063112</v>
      </c>
      <c r="HK189" s="74">
        <f>('Scénario référence'!$F$8+'Scénario référence'!$F$9+'Scénario référence'!$B$17+'Scénario référence'!$B$9+'Scénario référence'!$B$10)*70+IF((45+25*(1-EXP(-0.0175*$A189)))&lt;70,'Scénario référence'!$B$16*(45+25*(1-EXP(-0.0175*$A189))),70*'Scénario référence'!$B$16)+IF((32+38*(1-EXP(-0.0175*$A189)))&lt;70,'Scénario référence'!$B$18*(32+38*(1-EXP(-0.0175*$A189))),70*'Scénario référence'!$B$18)</f>
        <v>70</v>
      </c>
      <c r="HL189" s="12">
        <f>IF($A189&gt;30,10,('Scénario référence'!$B$16+'Scénario référence'!$B$17+'Scénario référence'!$B$18+'Scénario référence'!$B$9+'Scénario référence'!$B$10)*$A189*10/30+('Scénario référence'!$F$8+'Scénario référence'!$F$9)*10)</f>
        <v>10</v>
      </c>
      <c r="HM189" s="12" t="e">
        <f>VLOOKUP($A189,'Données projet'!$A$304:$I$324,2,0)</f>
        <v>#N/A</v>
      </c>
      <c r="HN189" s="12" t="e">
        <f>VLOOKUP($A189,'Données projet'!$A$304:$I$324,9,0)</f>
        <v>#N/A</v>
      </c>
      <c r="HO189" s="12">
        <f t="array" ref="HO189">INDEX(HN:HN,MIN(IF(ISNUMBER(HN189:HN385),ROW(HN189:HN385),"")))</f>
        <v>0</v>
      </c>
      <c r="HP189" s="12">
        <f>IF('Données projet'!$A$304&gt;35,HP188+HO189-HX188,IF($A189&lt;'Données projet'!$A$304,$CQ$205^$A189,IF($A189='Données projet'!$A$304,'Données projet'!$B$304,HP188+HO189-HX188)))</f>
        <v>0</v>
      </c>
      <c r="HQ189" s="17">
        <f>HP189*VLOOKUP('Données projet'!$B$19,Paramètres!$A$1:$I$89,3,0)*VLOOKUP('Données projet'!$B$19,Paramètres!$A$1:$I$89,5,0)</f>
        <v>0</v>
      </c>
      <c r="HR189" s="13" t="e">
        <f t="shared" si="306"/>
        <v>#NUM!</v>
      </c>
      <c r="HS189" s="14" t="e">
        <f t="shared" si="254"/>
        <v>#NUM!</v>
      </c>
      <c r="HT189" s="59" t="e">
        <f t="shared" si="255"/>
        <v>#NUM!</v>
      </c>
      <c r="HU189" s="59">
        <f ca="1">AVERAGE(OFFSET(HT$3,0,0,'Données projet'!$E$19+1,1))-AVERAGE(OFFSET($H$3,0,0,'Données projet'!$E$19+1,1))</f>
        <v>91.60721429656013</v>
      </c>
      <c r="HV189" s="59">
        <f t="shared" si="307"/>
        <v>258.94957804210856</v>
      </c>
      <c r="HW189" s="15">
        <f>IF(ISNA(VLOOKUP($A189,'Données projet'!$A$304:$I$324,3,0)),0,VLOOKUP($A189,'Données projet'!$A$304:$I$324,3,0))</f>
        <v>0</v>
      </c>
      <c r="HX189" s="15">
        <f>IF(ISNA(VLOOKUP($A189,'Données projet'!$A$304:$I$324,4,0)),0,VLOOKUP($A189,'Données projet'!$A$304:$I$324,4,0))</f>
        <v>0</v>
      </c>
      <c r="HY189" s="16">
        <f>IF(ISNA(VLOOKUP($A189,'Données projet'!$A$304:$I$324,5,0)),0%,VLOOKUP($A189,'Données projet'!$A$304:$I$324,5,0)*VLOOKUP('Données projet'!$B$19,Paramètres!$A$1:$I$89,7,0))</f>
        <v>0</v>
      </c>
      <c r="HZ189" s="16">
        <f>IF(ISNA(VLOOKUP($A189,'Données projet'!$A$304:$I$324,6,0)),0%,VLOOKUP($A189,'Données projet'!$A$304:$I$324,6,0)*VLOOKUP('Données projet'!$B$19,Paramètres!$A$1:$I$89,7,0))</f>
        <v>0</v>
      </c>
      <c r="IA189" s="16">
        <f>IF(ISNA(VLOOKUP($A189,'Données projet'!$A$304:$I$324,7,0)),0%,VLOOKUP($A189,'Données projet'!$A$304:$I$324,7,0))</f>
        <v>0</v>
      </c>
      <c r="IB189" s="21">
        <f>EXP(-LN(2)/35)*IB188+(1-EXP(-LN(2)/35))/(LN(2)/35)*HX189*HY189*VLOOKUP('Données projet'!$B$19,Paramètres!$A$1:$I$89,3,0)*0.475*44/12</f>
        <v>2.2459559375549949</v>
      </c>
      <c r="IC189" s="21">
        <f>EXP(-LN(2)/25)*IC188+(1-EXP(-LN(2)/25))/(LN(2)/25)*Calculateur!HX189*Calculateur!HZ189*VLOOKUP('Données projet'!$B$19,Paramètres!$A$1:$I$89,3,0)*0.475*44/12</f>
        <v>0.128701671296334</v>
      </c>
      <c r="ID189" s="21">
        <f>EXP(-LN(2)/2)*ID188+(1-EXP(-LN(2)/2))/(LN(2)/2)*HX189*IA189*VLOOKUP('Données projet'!$B$19,Paramètres!$A$1:$I$89,3,0)*0.475*44/12</f>
        <v>1.8954093045232053E-24</v>
      </c>
      <c r="IE189" s="22">
        <f t="shared" si="256"/>
        <v>2.3746576088513289</v>
      </c>
      <c r="IF189" s="74">
        <f>('Scénario référence'!$F$8+'Scénario référence'!$F$9+'Scénario référence'!$B$17+'Scénario référence'!$B$9+'Scénario référence'!$B$10)*70+IF((45+25*(1-EXP(-0.0175*$A189)))&lt;70,'Scénario référence'!$B$16*(45+25*(1-EXP(-0.0175*$A189))),70*'Scénario référence'!$B$16)+IF((32+38*(1-EXP(-0.0175*$A189)))&lt;70,'Scénario référence'!$B$18*(32+38*(1-EXP(-0.0175*$A189))),70*'Scénario référence'!$B$18)</f>
        <v>70</v>
      </c>
      <c r="IG189" s="12">
        <f>IF($A189&gt;30,10,('Scénario référence'!$B$16+'Scénario référence'!$B$17+'Scénario référence'!$B$18+'Scénario référence'!$B$9+'Scénario référence'!$B$10)*$A189*10/30+('Scénario référence'!$F$8+'Scénario référence'!$F$9)*10)</f>
        <v>10</v>
      </c>
      <c r="IH189" s="12" t="e">
        <f>VLOOKUP($A189,'Données projet'!$A$330:$I$350,2,0)</f>
        <v>#N/A</v>
      </c>
      <c r="II189" s="12" t="e">
        <f>VLOOKUP($A189,'Données projet'!$A$330:$I$350,9,0)</f>
        <v>#N/A</v>
      </c>
      <c r="IJ189" s="12">
        <f t="array" ref="IJ189">INDEX(II:II,MIN(IF(ISNUMBER(II189:II385),ROW(II189:II385),"")))</f>
        <v>0</v>
      </c>
      <c r="IK189" s="12">
        <f>IF('Données projet'!$A$330&gt;35,IK188+IJ189-IS188,IF($A189&lt;'Données projet'!$A$330,$CQ$205^$A189,IF($A189='Données projet'!$A$330,'Données projet'!$B$330,IK188+IJ189-IS188)))</f>
        <v>0</v>
      </c>
      <c r="IL189" s="17">
        <f>IK189*VLOOKUP('Données projet'!$B$20,Paramètres!$A$1:$I$89,3,0)*VLOOKUP('Données projet'!$B$20,Paramètres!$A$1:$I$89,5,0)</f>
        <v>0</v>
      </c>
      <c r="IM189" s="13" t="e">
        <f t="shared" si="308"/>
        <v>#NUM!</v>
      </c>
      <c r="IN189" s="20" t="e">
        <f t="shared" si="257"/>
        <v>#NUM!</v>
      </c>
      <c r="IO189" s="59" t="e">
        <f t="shared" si="258"/>
        <v>#NUM!</v>
      </c>
      <c r="IP189" s="59">
        <f ca="1">AVERAGE(OFFSET(IO$3,0,0,'Données projet'!$E$20+1,1))-AVERAGE(OFFSET($H$3,0,0,'Données projet'!$E$20+1,1))</f>
        <v>91.60721429656013</v>
      </c>
      <c r="IQ189" s="59">
        <f t="shared" si="309"/>
        <v>258.94957804210856</v>
      </c>
      <c r="IR189" s="15">
        <f>IF(ISNA(VLOOKUP($A189,'Données projet'!$A$330:$I$350,3,0)),0,VLOOKUP($A189,'Données projet'!$A$330:$I$350,3,0))</f>
        <v>0</v>
      </c>
      <c r="IS189" s="15">
        <f>IF(ISNA(VLOOKUP($A189,'Données projet'!$A$330:$I$350,4,0)),0,VLOOKUP($A189,'Données projet'!$A$330:$I$350,4,0))</f>
        <v>0</v>
      </c>
      <c r="IT189" s="16">
        <f>IF(ISNA(VLOOKUP($A189,'Données projet'!$A$330:$I$350,5,0)),0%,VLOOKUP($A189,'Données projet'!$A$330:$I$350,5,0)*VLOOKUP('Données projet'!$B$20,Paramètres!$A$1:$I$89,7,0))</f>
        <v>0</v>
      </c>
      <c r="IU189" s="16">
        <f>IF(ISNA(VLOOKUP($A189,'Données projet'!$A$330:$I$350,6,0)),0%,VLOOKUP($A189,'Données projet'!$A$330:$I$350,6,0)*VLOOKUP('Données projet'!$B$20,Paramètres!$A$1:$I$89,7,0))</f>
        <v>0</v>
      </c>
      <c r="IV189" s="16">
        <f>IF(ISNA(VLOOKUP($A189,'Données projet'!$A$330:$I$350,7,0)),0%,VLOOKUP($A189,'Données projet'!$A$330:$I$350,7,0))</f>
        <v>0</v>
      </c>
      <c r="IW189" s="21">
        <f>EXP(-LN(2)/35)*IW188+(1-EXP(-LN(2)/35))/(LN(2)/35)*IS189*IT189*VLOOKUP('Données projet'!$B$20,Paramètres!$A$1:$I$89,3,0)*0.475*44/12</f>
        <v>2.2459559375549949</v>
      </c>
      <c r="IX189" s="21">
        <f>EXP(-LN(2)/25)*IX188+(1-EXP(-LN(2)/25))/(LN(2)/25)*Calculateur!IS189*Calculateur!IU189*VLOOKUP('Données projet'!$B$20,Paramètres!$A$1:$I$89,3,0)*0.475*44/12</f>
        <v>0.128701671296334</v>
      </c>
      <c r="IY189" s="21">
        <f>EXP(-LN(2)/2)*IY188+(1-EXP(-LN(2)/2))/(LN(2)/2)*IS189*IV189*VLOOKUP('Données projet'!$B$20,Paramètres!$A$1:$I$89,3,0)*0.475*44/12</f>
        <v>1.8954093045232053E-24</v>
      </c>
      <c r="IZ189" s="22">
        <f t="shared" si="259"/>
        <v>2.3746576088513289</v>
      </c>
      <c r="JA189" s="74">
        <f>('Scénario référence'!$F$8+'Scénario référence'!$F$9+'Scénario référence'!$B$17+'Scénario référence'!$B$9+'Scénario référence'!$B$10)*70+IF((45+25*(1-EXP(-0.0175*$A189)))&lt;70,'Scénario référence'!$B$16*(45+25*(1-EXP(-0.0175*$A189))),70*'Scénario référence'!$B$16)+IF((32+38*(1-EXP(-0.0175*$A189)))&lt;70,'Scénario référence'!$B$18*(32+38*(1-EXP(-0.0175*$A189))),70*'Scénario référence'!$B$18)</f>
        <v>70</v>
      </c>
      <c r="JB189" s="12">
        <f>IF($A189&gt;30,10,('Scénario référence'!$B$16+'Scénario référence'!$B$17+'Scénario référence'!$B$18+'Scénario référence'!$B$9+'Scénario référence'!$B$10)*$A189*10/30+('Scénario référence'!$F$8+'Scénario référence'!$F$9)*10)</f>
        <v>10</v>
      </c>
      <c r="JC189" s="12" t="e">
        <f>VLOOKUP($A189,'Données projet'!$A$356:$I$376,2,0)</f>
        <v>#N/A</v>
      </c>
      <c r="JD189" s="12" t="e">
        <f>VLOOKUP($A189,'Données projet'!$A$356:$I$376,9,0)</f>
        <v>#N/A</v>
      </c>
      <c r="JE189" s="12">
        <f t="array" ref="JE189">INDEX(JD:JD,MIN(IF(ISNUMBER(JD189:JD385),ROW(JD189:JD385),"")))</f>
        <v>0</v>
      </c>
      <c r="JF189" s="12">
        <f>IF('Données projet'!$A$356&gt;35,JF188+JE189-JN188,IF($A189&lt;'Données projet'!$A$356,$CQ$205^$A189,IF($A189='Données projet'!$A$356,'Données projet'!$B$356,JF188+JE189-JN188)))</f>
        <v>-1.3073986337985843E-12</v>
      </c>
      <c r="JG189" s="17">
        <f>JF189*VLOOKUP('Données projet'!$B$21,Paramètres!$A$1:$I$89,3,0)*VLOOKUP('Données projet'!$B$21,Paramètres!$A$1:$I$89,5,0)</f>
        <v>-1.0605617717374117E-12</v>
      </c>
      <c r="JH189" s="13" t="e">
        <f t="shared" si="310"/>
        <v>#NUM!</v>
      </c>
      <c r="JI189" s="20" t="e">
        <f t="shared" si="260"/>
        <v>#NUM!</v>
      </c>
      <c r="JJ189" s="59" t="e">
        <f t="shared" si="261"/>
        <v>#NUM!</v>
      </c>
      <c r="JK189" s="59">
        <f ca="1">AVERAGE(OFFSET($JJ$3,0,0,'Données projet'!$E$22+1,1))-AVERAGE(OFFSET($H$3,0,0,'Données projet'!$E$22+1,1))</f>
        <v>353.35574633294613</v>
      </c>
      <c r="JL189" s="59">
        <f t="shared" si="311"/>
        <v>170.36796666474726</v>
      </c>
      <c r="JM189" s="15">
        <f>IF(ISNA(VLOOKUP($A189,'Données projet'!$A$356:$I$376,3,0)),0,VLOOKUP($A189,'Données projet'!$A$356:$I$376,3,0))</f>
        <v>0</v>
      </c>
      <c r="JN189" s="15">
        <f>IF(ISNA(VLOOKUP($A189,'Données projet'!$A$356:$I$376,4,0)),0,VLOOKUP($A189,'Données projet'!$A$356:$I$376,4,0))</f>
        <v>0</v>
      </c>
      <c r="JO189" s="16">
        <f>IF(ISNA(VLOOKUP($A189,'Données projet'!$A$356:$I$376,5,0)),0%,VLOOKUP($A189,'Données projet'!$A$356:$I$376,5,0)*VLOOKUP('Données projet'!$B$21,Paramètres!$A$1:$I$89,7,0))</f>
        <v>0</v>
      </c>
      <c r="JP189" s="16">
        <f>IF(ISNA(VLOOKUP($A189,'Données projet'!$A$356:$I$376,6,0)),0%,VLOOKUP($A189,'Données projet'!$A$356:$I$376,6,0)*VLOOKUP('Données projet'!$B$21,Paramètres!$A$1:$I$89,7,0))</f>
        <v>0</v>
      </c>
      <c r="JQ189" s="16">
        <f>IF(ISNA(VLOOKUP($A189,'Données projet'!$A$356:$I$376,7,0)),0%,VLOOKUP($A189,'Données projet'!$A$356:$I$376,7,0))</f>
        <v>0</v>
      </c>
      <c r="JR189" s="21">
        <f>EXP(-LN(2)/35)*JR188+(1-EXP(-LN(2)/35))/(LN(2)/35)*JN189*JO189*VLOOKUP('Données projet'!$B$21,Paramètres!$A$1:$I$89,3,0)*0.475*44/12</f>
        <v>36.006022680289668</v>
      </c>
      <c r="JS189" s="21">
        <f>EXP(-LN(2)/25)*JS188+(1-EXP(-LN(2)/25))/(LN(2)/25)*Calculateur!JN189*Calculateur!JP189*VLOOKUP('Données projet'!$B$21,Paramètres!$A$1:$I$89,3,0)*0.475*44/12</f>
        <v>28.168465065453791</v>
      </c>
      <c r="JT189" s="21">
        <f>EXP(-LN(2)/2)*JT188+(1-EXP(-LN(2)/2))/(LN(2)/2)*JN189*JQ189*VLOOKUP('Données projet'!$B$21,Paramètres!$A$1:$I$89,3,0)*0.475*44/12</f>
        <v>1.308095051252829E-4</v>
      </c>
      <c r="JU189" s="18">
        <f t="shared" si="262"/>
        <v>64.174618555248585</v>
      </c>
      <c r="JV189" s="74">
        <f>('Scénario référence'!$F$8+'Scénario référence'!$F$9+'Scénario référence'!$B$17+'Scénario référence'!$B$9+'Scénario référence'!$B$10)*70+IF((45+25*(1-EXP(-0.0175*$A189)))&lt;70,'Scénario référence'!$B$16*(45+25*(1-EXP(-0.0175*$A189))),70*'Scénario référence'!$B$16)+IF((32+38*(1-EXP(-0.0175*$A189)))&lt;70,'Scénario référence'!$B$18*(32+38*(1-EXP(-0.0175*$A189))),70*'Scénario référence'!$B$18)</f>
        <v>70</v>
      </c>
      <c r="JW189" s="12">
        <f>IF($A189&gt;30,10,('Scénario référence'!$B$16+'Scénario référence'!$B$17+'Scénario référence'!$B$18+'Scénario référence'!$B$9+'Scénario référence'!$B$10)*$A189*10/30+('Scénario référence'!$F$8+'Scénario référence'!$F$9)*10)</f>
        <v>10</v>
      </c>
      <c r="JX189" s="12" t="e">
        <f>VLOOKUP($A189,'Données projet'!$A$382:$I$402,2,0)</f>
        <v>#N/A</v>
      </c>
      <c r="JY189" s="12" t="e">
        <f>VLOOKUP($A189,'Données projet'!$A$382:$I$402,9,0)</f>
        <v>#N/A</v>
      </c>
      <c r="JZ189" s="12">
        <f t="array" ref="JZ189">INDEX(JY:JY,MIN(IF(ISNUMBER(JY189:JY385),ROW(JY189:JY385),"")))</f>
        <v>0</v>
      </c>
      <c r="KA189" s="12">
        <f>IF('Données projet'!$A$382&gt;35,KA188+JZ189-KI188,IF($A189&lt;'Données projet'!$A$382,$CQ$205^$A189,IF($A189='Données projet'!$A$382,'Données projet'!$B$382,KA188+JZ189-KI188)))</f>
        <v>5.6843418860808015E-13</v>
      </c>
      <c r="KB189" s="17">
        <f>KA189*VLOOKUP('Données projet'!$B$22,Paramètres!$A$1:$I$89,3,0)*VLOOKUP('Données projet'!$B$22,Paramètres!$A$1:$I$89,5,0)</f>
        <v>3.8130565371830017E-13</v>
      </c>
      <c r="KC189" s="13">
        <f t="shared" si="312"/>
        <v>4.9019074112354236E-12</v>
      </c>
      <c r="KD189" s="20">
        <f t="shared" si="263"/>
        <v>9.2015960881277352E-12</v>
      </c>
      <c r="KE189" s="59">
        <f t="shared" si="264"/>
        <v>293.33333333334252</v>
      </c>
      <c r="KF189" s="59">
        <f ca="1">AVERAGE(OFFSET($KE$3,0,0,'Données projet'!$E$22+1,1))-AVERAGE(OFFSET($H$3,0,0,'Données projet'!$E$22+1,1))</f>
        <v>193.91714772848269</v>
      </c>
      <c r="KG189" s="59">
        <f t="shared" si="313"/>
        <v>159.20429420478047</v>
      </c>
      <c r="KH189" s="15">
        <f>IF(ISNA(VLOOKUP($A189,'Données projet'!$A$382:$I$402,3,0)),0,VLOOKUP($A189,'Données projet'!$A$382:$I$402,3,0))</f>
        <v>0</v>
      </c>
      <c r="KI189" s="15">
        <f>IF(ISNA(VLOOKUP($A189,'Données projet'!$A$382:$I$402,4,0)),0,VLOOKUP($A189,'Données projet'!$A$382:$I$402,4,0))</f>
        <v>0</v>
      </c>
      <c r="KJ189" s="16">
        <f>IF(ISNA(VLOOKUP($A189,'Données projet'!$A$382:$I$402,5,0)),0%,VLOOKUP($A189,'Données projet'!$A$382:$I$402,5,0)*VLOOKUP('Données projet'!$B$22,Paramètres!$A$1:$I$89,7,0))</f>
        <v>0</v>
      </c>
      <c r="KK189" s="16">
        <f>IF(ISNA(VLOOKUP($A189,'Données projet'!$A$382:$I$402,6,0)),0%,VLOOKUP($A189,'Données projet'!$A$382:$I$402,6,0)*VLOOKUP('Données projet'!$B$22,Paramètres!$A$1:$I$89,7,0))</f>
        <v>0</v>
      </c>
      <c r="KL189" s="16">
        <f>IF(ISNA(VLOOKUP($A189,'Données projet'!$A$382:$I$402,7,0)),0%,VLOOKUP($A189,'Données projet'!$A$382:$I$402,7,0))</f>
        <v>0</v>
      </c>
      <c r="KM189" s="21">
        <f>EXP(-LN(2)/35)*KM188+(1-EXP(-LN(2)/35))/(LN(2)/35)*KI189*KJ189*VLOOKUP('Données projet'!$B$22,Paramètres!$A$1:$I$89,3,0)*0.475*44/12</f>
        <v>52.572767068702156</v>
      </c>
      <c r="KN189" s="21">
        <f>EXP(-LN(2)/25)*KN188+(1-EXP(-LN(2)/25))/(LN(2)/25)*Calculateur!KI189*Calculateur!KK189*VLOOKUP('Données projet'!$B$22,Paramètres!$A$1:$I$89,3,0)*0.475*44/12</f>
        <v>0</v>
      </c>
      <c r="KO189" s="21">
        <f>EXP(-LN(2)/2)*KO188+(1-EXP(-LN(2)/2))/(LN(2)/2)*KI189*KL189*VLOOKUP('Données projet'!$B$22,Paramètres!$A$1:$I$89,3,0)*0.475*44/12</f>
        <v>0</v>
      </c>
      <c r="KP189" s="22">
        <f t="shared" si="265"/>
        <v>52.572767068702156</v>
      </c>
      <c r="KQ189" s="74">
        <f>('Scénario référence'!$F$8+'Scénario référence'!$F$9+'Scénario référence'!$B$17+'Scénario référence'!$B$9+'Scénario référence'!$B$10)*70+IF((45+25*(1-EXP(-0.0175*$A189)))&lt;70,'Scénario référence'!$B$16*(45+25*(1-EXP(-0.0175*$A189))),70*'Scénario référence'!$B$16)+IF((32+38*(1-EXP(-0.0175*$A189)))&lt;70,'Scénario référence'!$B$18*(32+38*(1-EXP(-0.0175*$A189))),70*'Scénario référence'!$B$18)</f>
        <v>70</v>
      </c>
      <c r="KR189" s="12">
        <f>IF($A189&gt;30,10,('Scénario référence'!$B$16+'Scénario référence'!$B$17+'Scénario référence'!$B$18+'Scénario référence'!$B$9+'Scénario référence'!$B$10)*$A189*10/30+('Scénario référence'!$F$8+'Scénario référence'!$F$9)*10)</f>
        <v>10</v>
      </c>
      <c r="KS189" s="12" t="e">
        <f>VLOOKUP($A189,'Données projet'!$A$408:$I$428,2,0)</f>
        <v>#N/A</v>
      </c>
      <c r="KT189" s="12" t="e">
        <f>VLOOKUP($A189,'Données projet'!$A$408:$I$428,9,0)</f>
        <v>#N/A</v>
      </c>
      <c r="KU189" s="12">
        <f t="array" ref="KU189">INDEX(KT:KT,MIN(IF(ISNUMBER(KT189:KT385),ROW(KT189:KT385),"")))</f>
        <v>0</v>
      </c>
      <c r="KV189" s="12">
        <f>IF('Données projet'!$A$408&gt;35,KV188+KU189-LD188,IF($A189&lt;'Données projet'!$A$408,$CQ$205^$A189,IF($A189='Données projet'!$A$408,'Données projet'!$B$408,KV188+KU189-LD188)))</f>
        <v>-1.1368683772161603E-13</v>
      </c>
      <c r="KW189" s="17">
        <f>KV189*VLOOKUP('Données projet'!$B$23,Paramètres!$A$1:$I$89,3,0)*VLOOKUP('Données projet'!$B$23,Paramètres!$A$1:$I$89,5,0)</f>
        <v>-9.9316821433603781E-14</v>
      </c>
      <c r="KX189" s="13" t="e">
        <f t="shared" si="314"/>
        <v>#NUM!</v>
      </c>
      <c r="KY189" s="14" t="e">
        <f t="shared" si="266"/>
        <v>#NUM!</v>
      </c>
      <c r="KZ189" s="59" t="e">
        <f t="shared" si="267"/>
        <v>#NUM!</v>
      </c>
      <c r="LA189" s="59">
        <f ca="1">AVERAGE(OFFSET($KZ$3,0,0,'Données projet'!$E$23+1,1))-AVERAGE(OFFSET($H$3,0,0,'Données projet'!$E$23+1,1))</f>
        <v>248.33596943633819</v>
      </c>
      <c r="LB189" s="59">
        <f t="shared" si="315"/>
        <v>242.34010522344573</v>
      </c>
      <c r="LC189" s="15">
        <f>IF(ISNA(VLOOKUP($A189,'Données projet'!$A$408:$I$428,3,0)),0,VLOOKUP($A189,'Données projet'!$A$408:$I$428,3,0))</f>
        <v>0</v>
      </c>
      <c r="LD189" s="15">
        <f>IF(ISNA(VLOOKUP($A189,'Données projet'!$A$408:$I$428,4,0)),0,VLOOKUP($A189,'Données projet'!$A$408:$I$428,4,0))</f>
        <v>0</v>
      </c>
      <c r="LE189" s="16">
        <f>IF(ISNA(VLOOKUP($A189,'Données projet'!$A$408:$I$428,5,0)),0%,VLOOKUP($A189,'Données projet'!$A$408:$I$428,5,0)*VLOOKUP('Données projet'!$B$23,Paramètres!$A$1:$I$89,7,0))</f>
        <v>0</v>
      </c>
      <c r="LF189" s="16">
        <f>IF(ISNA(VLOOKUP($A189,'Données projet'!$A$408:$I$428,6,0)),0%,VLOOKUP($A189,'Données projet'!$A$408:$I$428,6,0)*VLOOKUP('Données projet'!$B$23,Paramètres!$A$1:$I$89,7,0))</f>
        <v>0</v>
      </c>
      <c r="LG189" s="16">
        <f>IF(ISNA(VLOOKUP($A189,'Données projet'!$A$408:$I$428,7,0)),0%,VLOOKUP($A189,'Données projet'!$A$408:$I$428,7,0))</f>
        <v>0</v>
      </c>
      <c r="LH189" s="21">
        <f>EXP(-LN(2)/35)*LH188+(1-EXP(-LN(2)/35))/(LN(2)/35)*LD189*LE189*VLOOKUP('Données projet'!$B$23,Paramètres!$A$1:$I$89,3,0)*0.475*44/12</f>
        <v>15.10051568863407</v>
      </c>
      <c r="LI189" s="21">
        <f>EXP(-LN(2)/25)*LI188+(1-EXP(-LN(2)/25))/(LN(2)/25)*Calculateur!LD189*Calculateur!LF189*VLOOKUP('Données projet'!$B$23,Paramètres!$A$1:$I$89,3,0)*0.475*44/12</f>
        <v>1.1524790354479293</v>
      </c>
      <c r="LJ189" s="21">
        <f>EXP(-LN(2)/2)*LJ188+(1-EXP(-LN(2)/2))/(LN(2)/2)*LD189*LG189*VLOOKUP('Données projet'!$B$23,Paramètres!$A$1:$I$89,3,0)*0.475*44/12</f>
        <v>0</v>
      </c>
      <c r="LK189" s="22">
        <f t="shared" si="268"/>
        <v>16.252994724082001</v>
      </c>
      <c r="LL189" s="74">
        <f>('Scénario référence'!$F$8+'Scénario référence'!$F$9+'Scénario référence'!$B$17+'Scénario référence'!$B$9+'Scénario référence'!$B$10)*70+IF((45+25*(1-EXP(-0.0175*$A189)))&lt;70,'Scénario référence'!$B$16*(45+25*(1-EXP(-0.0175*$A189))),70*'Scénario référence'!$B$16)+IF((32+38*(1-EXP(-0.0175*$A189)))&lt;70,'Scénario référence'!$B$18*(32+38*(1-EXP(-0.0175*$A189))),70*'Scénario référence'!$B$18)</f>
        <v>70</v>
      </c>
      <c r="LM189" s="12">
        <f>IF($A189&gt;30,10,('Scénario référence'!$B$16+'Scénario référence'!$B$17+'Scénario référence'!$B$18+'Scénario référence'!$B$9+'Scénario référence'!$B$10)*$A189*10/30+('Scénario référence'!$F$8+'Scénario référence'!$F$9)*10)</f>
        <v>10</v>
      </c>
      <c r="LN189" s="12" t="e">
        <f>VLOOKUP($A189,'Données projet'!$A$434:$I$454,2,0)</f>
        <v>#N/A</v>
      </c>
      <c r="LO189" s="12" t="e">
        <f>VLOOKUP($A189,'Données projet'!$A$434:$I$454,9,0)</f>
        <v>#N/A</v>
      </c>
      <c r="LP189" s="12">
        <f t="array" ref="LP189">INDEX(LO:LO,MIN(IF(ISNUMBER(LO189:LO385),ROW(LO189:LO385),"")))</f>
        <v>0</v>
      </c>
      <c r="LQ189" s="12">
        <f>IF('Données projet'!$A$434&gt;35,LQ188+LP189-LY188,IF($A189&lt;'Données projet'!$A$434,$CQ$205^$A189,IF($A189='Données projet'!$A$434,'Données projet'!$B$434,LQ188+LP189-LY188)))</f>
        <v>-4.5474735088646412E-13</v>
      </c>
      <c r="LR189" s="17">
        <f>LQ189*VLOOKUP('Données projet'!$B$24,Paramètres!$A$1:$I$89,3,0)*VLOOKUP('Données projet'!$B$24,Paramètres!$A$1:$I$89,5,0)</f>
        <v>-4.6111381379887462E-13</v>
      </c>
      <c r="LS189" s="13" t="e">
        <f t="shared" si="316"/>
        <v>#NUM!</v>
      </c>
      <c r="LT189" s="14" t="e">
        <f t="shared" si="269"/>
        <v>#NUM!</v>
      </c>
      <c r="LU189" s="59" t="e">
        <f t="shared" si="270"/>
        <v>#NUM!</v>
      </c>
      <c r="LV189" s="59">
        <f ca="1">AVERAGE(OFFSET($LU$3,0,0,'Données projet'!$E$24+1,1))-AVERAGE(OFFSET($H$3,0,0,'Données projet'!$E$24+1,1))</f>
        <v>260.52627655062872</v>
      </c>
      <c r="LW189" s="59">
        <f t="shared" si="317"/>
        <v>159.20429420478047</v>
      </c>
      <c r="LX189" s="15">
        <f>IF(ISNA(VLOOKUP($A189,'Données projet'!$A$434:$I$454,3,0)),0,VLOOKUP($A189,'Données projet'!$A$434:$I$454,3,0))</f>
        <v>0</v>
      </c>
      <c r="LY189" s="15">
        <f>IF(ISNA(VLOOKUP($A189,'Données projet'!$A$434:$I$454,4,0)),0,VLOOKUP($A189,'Données projet'!$A$434:$I$454,4,0))</f>
        <v>0</v>
      </c>
      <c r="LZ189" s="16">
        <f>IF(ISNA(VLOOKUP($A189,'Données projet'!$A$434:$I$454,5,0)),0%,VLOOKUP($A189,'Données projet'!$A$434:$I$454,5,0)*VLOOKUP('Données projet'!$B$24,Paramètres!$A$1:$I$89,7,0))</f>
        <v>0</v>
      </c>
      <c r="MA189" s="16">
        <f>IF(ISNA(VLOOKUP($A189,'Données projet'!$A$434:$I$454,6,0)),0%,VLOOKUP($A189,'Données projet'!$A$434:$I$454,6,0)*VLOOKUP('Données projet'!$B$24,Paramètres!$A$1:$I$89,7,0))</f>
        <v>0</v>
      </c>
      <c r="MB189" s="16">
        <f>IF(ISNA(VLOOKUP($A189,'Données projet'!$A$434:$I$454,7,0)),0%,VLOOKUP($A189,'Données projet'!$A$434:$I$454,7,0))</f>
        <v>0</v>
      </c>
      <c r="MC189" s="21">
        <f>EXP(-LN(2)/35)*MC188+(1-EXP(-LN(2)/35))/(LN(2)/35)*LY189*LZ189*VLOOKUP('Données projet'!$B$24,Paramètres!$A$1:$I$89,3,0)*0.475*44/12</f>
        <v>97.091186864226785</v>
      </c>
      <c r="MD189" s="21">
        <f>EXP(-LN(2)/25)*MD188+(1-EXP(-LN(2)/25))/(LN(2)/25)*Calculateur!LY189*Calculateur!MA189*VLOOKUP('Données projet'!$B$24,Paramètres!$A$1:$I$89,3,0)*0.475*44/12</f>
        <v>0</v>
      </c>
      <c r="ME189" s="21">
        <f>EXP(-LN(2)/2)*ME188+(1-EXP(-LN(2)/2))/(LN(2)/2)*LY189*MB189*VLOOKUP('Données projet'!$B$24,Paramètres!$A$1:$I$89,3,0)*0.475*44/12</f>
        <v>0</v>
      </c>
      <c r="MF189" s="22">
        <f t="shared" si="271"/>
        <v>97.091186864226785</v>
      </c>
      <c r="MG189" s="74">
        <f>('Scénario référence'!$F$8+'Scénario référence'!$F$9+'Scénario référence'!$B$17+'Scénario référence'!$B$9+'Scénario référence'!$B$10)*70+IF((45+25*(1-EXP(-0.0175*$A189)))&lt;70,'Scénario référence'!$B$16*(45+25*(1-EXP(-0.0175*$A189))),70*'Scénario référence'!$B$16)+IF((32+38*(1-EXP(-0.0175*$A189)))&lt;70,'Scénario référence'!$B$18*(32+38*(1-EXP(-0.0175*$A189))),70*'Scénario référence'!$B$18)</f>
        <v>70</v>
      </c>
      <c r="MH189" s="12">
        <f>IF($A189&gt;30,10,('Scénario référence'!$B$16+'Scénario référence'!$B$17+'Scénario référence'!$B$18+'Scénario référence'!$B$9+'Scénario référence'!$B$10)*$A189*10/30+('Scénario référence'!$F$8+'Scénario référence'!$F$9)*10)</f>
        <v>10</v>
      </c>
      <c r="MI189" s="12" t="e">
        <f>VLOOKUP($A189,'Données projet'!$A$460:$I$480,2,0)</f>
        <v>#N/A</v>
      </c>
      <c r="MJ189" s="12" t="e">
        <f>VLOOKUP($A189,'Données projet'!$A$460:$I$480,9,0)</f>
        <v>#N/A</v>
      </c>
      <c r="MK189" s="12">
        <f t="array" ref="MK189">INDEX(MJ:MJ,MIN(IF(ISNUMBER(MJ189:MJ385),ROW(MJ189:MJ385),"")))</f>
        <v>0</v>
      </c>
      <c r="ML189" s="12">
        <f>IF('Données projet'!$A$460&gt;35,ML188+MK189-MT188,IF($A189&lt;'Données projet'!$A$460,$CQ$205^$A189,IF($A189='Données projet'!$A$460,'Données projet'!$B$460,ML188+MK189-MT188)))</f>
        <v>0</v>
      </c>
      <c r="MM189" s="17" t="e">
        <f>ML189*VLOOKUP('Données projet'!$B$25,Paramètres!$A$1:$I$89,3,0)*VLOOKUP('Données projet'!$B$25,Paramètres!$A$1:$I$89,5,0)</f>
        <v>#N/A</v>
      </c>
      <c r="MN189" s="13" t="e">
        <f t="shared" si="318"/>
        <v>#N/A</v>
      </c>
      <c r="MO189" s="14" t="e">
        <f t="shared" si="272"/>
        <v>#N/A</v>
      </c>
      <c r="MP189" s="59" t="e">
        <f t="shared" si="273"/>
        <v>#N/A</v>
      </c>
      <c r="MQ189" s="20" t="e">
        <f ca="1">AVERAGE(OFFSET($MP$3,0,0,'Données projet'!$E$25+1,1))-AVERAGE(OFFSET($H$3,0,0,'Données projet'!$E$25+1,1))</f>
        <v>#N/A</v>
      </c>
      <c r="MR189" s="59" t="e">
        <f t="shared" si="319"/>
        <v>#N/A</v>
      </c>
      <c r="MS189" s="15">
        <f>IF(ISNA(VLOOKUP($A189,'Données projet'!$A$460:$I$480,3,0)),0,VLOOKUP($A189,'Données projet'!$A$460:$I$480,3,0))</f>
        <v>0</v>
      </c>
      <c r="MT189" s="15">
        <f>IF(ISNA(VLOOKUP($A189,'Données projet'!$A$460:$I$480,4,0)),0,VLOOKUP($A189,'Données projet'!$A$460:$I$480,4,0))</f>
        <v>0</v>
      </c>
      <c r="MU189" s="16">
        <f>IF(ISNA(VLOOKUP($A189,'Données projet'!$A$460:$I$480,5,0)),0%,VLOOKUP($A189,'Données projet'!$A$460:$I$480,5,0)*VLOOKUP('Données projet'!$B$25,Paramètres!$A$1:$I$89,7,0))</f>
        <v>0</v>
      </c>
      <c r="MV189" s="16">
        <f>IF(ISNA(VLOOKUP($A189,'Données projet'!$A$460:$I$480,6,0)),0%,VLOOKUP($A189,'Données projet'!$A$460:$I$480,6,0)*VLOOKUP('Données projet'!$B$25,Paramètres!$A$1:$I$89,7,0))</f>
        <v>0</v>
      </c>
      <c r="MW189" s="16">
        <f>IF(ISNA(VLOOKUP($A189,'Données projet'!$A$460:$I$480,7,0)),0%,VLOOKUP($A189,'Données projet'!$A$460:$I$480,7,0))</f>
        <v>0</v>
      </c>
      <c r="MX189" s="21" t="e">
        <f>EXP(-LN(2)/35)*MX188+(1-EXP(-LN(2)/35))/(LN(2)/35)*MT189*MU189*VLOOKUP('Données projet'!$B$25,Paramètres!$A$1:$I$89,3,0)*0.475*44/12</f>
        <v>#N/A</v>
      </c>
      <c r="MY189" s="21" t="e">
        <f>EXP(-LN(2)/25)*MY188+(1-EXP(-LN(2)/25))/(LN(2)/25)*Calculateur!MT189*Calculateur!MV189*VLOOKUP('Données projet'!$B$25,Paramètres!$A$1:$I$89,3,0)*0.475*44/12</f>
        <v>#N/A</v>
      </c>
      <c r="MZ189" s="21" t="e">
        <f>EXP(-LN(2)/2)*MZ188+(1-EXP(-LN(2)/2))/(LN(2)/2)*MT189*MW189*VLOOKUP('Données projet'!$B$25,Paramètres!$A$1:$I$89,3,0)*0.475*44/12</f>
        <v>#N/A</v>
      </c>
      <c r="NA189" s="22" t="e">
        <f t="shared" si="274"/>
        <v>#N/A</v>
      </c>
      <c r="NB189" s="74">
        <f>('Scénario référence'!$F$8+'Scénario référence'!$F$9+'Scénario référence'!$B$17+'Scénario référence'!$B$9+'Scénario référence'!$B$10)*70+IF((45+25*(1-EXP(-0.0175*$A189)))&lt;70,'Scénario référence'!$B$16*(45+25*(1-EXP(-0.0175*$A189))),70*'Scénario référence'!$B$16)+IF((32+38*(1-EXP(-0.0175*$A189)))&lt;70,'Scénario référence'!$B$18*(32+38*(1-EXP(-0.0175*$A189))),70*'Scénario référence'!$B$18)</f>
        <v>70</v>
      </c>
      <c r="NC189" s="12">
        <f>IF($A189&gt;30,10,('Scénario référence'!$B$16+'Scénario référence'!$B$17+'Scénario référence'!$B$18+'Scénario référence'!$B$9+'Scénario référence'!$B$10)*$A189*10/30+('Scénario référence'!$F$8+'Scénario référence'!$F$9)*10)</f>
        <v>10</v>
      </c>
      <c r="ND189" s="12" t="e">
        <f>VLOOKUP($A189,'Données projet'!$A$486:$I$506,2,0)</f>
        <v>#N/A</v>
      </c>
      <c r="NE189" s="12" t="e">
        <f>VLOOKUP($A189,'Données projet'!$A$486:$I$506,9,0)</f>
        <v>#N/A</v>
      </c>
      <c r="NF189" s="12">
        <f t="array" ref="NF189">INDEX(NE:NE,MIN(IF(ISNUMBER(NE189:NE385),ROW(NE189:NE385),"")))</f>
        <v>0</v>
      </c>
      <c r="NG189" s="12">
        <f>IF('Données projet'!$A$486&gt;35,NG188+NF189-NO188,IF($A189&lt;'Données projet'!$A$486,$CQ$205^$A189,IF($A189='Données projet'!$A$486,'Données projet'!$B$486,NG188+NF189-NO188)))</f>
        <v>0</v>
      </c>
      <c r="NH189" s="17" t="e">
        <f>NG189*VLOOKUP('Données projet'!$B$26,Paramètres!$A$1:$I$89,3,0)*VLOOKUP('Données projet'!$B$26,Paramètres!$A$1:$I$89,5,0)</f>
        <v>#N/A</v>
      </c>
      <c r="NI189" s="13" t="e">
        <f t="shared" si="320"/>
        <v>#N/A</v>
      </c>
      <c r="NJ189" s="14" t="e">
        <f t="shared" si="275"/>
        <v>#N/A</v>
      </c>
      <c r="NK189" s="59" t="e">
        <f t="shared" si="276"/>
        <v>#N/A</v>
      </c>
      <c r="NL189" s="20" t="e">
        <f ca="1">AVERAGE(OFFSET($NK$3,0,0,'Données projet'!$E$26+1,1))-AVERAGE(OFFSET($H$3,0,0,'Données projet'!$E$26+1,1))</f>
        <v>#N/A</v>
      </c>
      <c r="NM189" s="59" t="e">
        <f t="shared" si="321"/>
        <v>#N/A</v>
      </c>
      <c r="NN189" s="15">
        <f>IF(ISNA(VLOOKUP($A189,'Données projet'!$A$486:$I$506,3,0)),0,VLOOKUP($A189,'Données projet'!$A$486:$I$506,3,0))</f>
        <v>0</v>
      </c>
      <c r="NO189" s="15">
        <f>IF(ISNA(VLOOKUP($A189,'Données projet'!$A$486:$I$506,4,0)),0,VLOOKUP($A189,'Données projet'!$A$486:$I$506,4,0))</f>
        <v>0</v>
      </c>
      <c r="NP189" s="16">
        <f>IF(ISNA(VLOOKUP($A189,'Données projet'!$A$486:$I$506,5,0)),0%,VLOOKUP($A189,'Données projet'!$A$486:$I$506,5,0)*VLOOKUP('Données projet'!$B$26,Paramètres!$A$1:$I$89,7,0))</f>
        <v>0</v>
      </c>
      <c r="NQ189" s="16">
        <f>IF(ISNA(VLOOKUP($A189,'Données projet'!$A$486:$I$506,6,0)),0%,VLOOKUP($A189,'Données projet'!$A$486:$I$506,6,0)*VLOOKUP('Données projet'!$B$26,Paramètres!$A$1:$I$89,7,0))</f>
        <v>0</v>
      </c>
      <c r="NR189" s="16">
        <f>IF(ISNA(VLOOKUP($A189,'Données projet'!$A$486:$I$506,7,0)),0%,VLOOKUP($A189,'Données projet'!$A$486:$I$506,7,0))</f>
        <v>0</v>
      </c>
      <c r="NS189" s="21" t="e">
        <f>EXP(-LN(2)/35)*NS188+(1-EXP(-LN(2)/35))/(LN(2)/35)*NO189*NP189*VLOOKUP('Données projet'!$B$26,Paramètres!$A$1:$I$89,3,0)*0.475*44/12</f>
        <v>#N/A</v>
      </c>
      <c r="NT189" s="21" t="e">
        <f>EXP(-LN(2)/25)*NT188+(1-EXP(-LN(2)/25))/(LN(2)/25)*Calculateur!NO189*Calculateur!NQ189*VLOOKUP('Données projet'!$B$26,Paramètres!$A$1:$I$89,3,0)*0.475*44/12</f>
        <v>#N/A</v>
      </c>
      <c r="NU189" s="21" t="e">
        <f>EXP(-LN(2)/2)*NU188+(1-EXP(-LN(2)/2))/(LN(2)/2)*NO189*NR189*VLOOKUP('Données projet'!$B$26,Paramètres!$A$1:$I$89,3,0)*0.475*44/12</f>
        <v>#N/A</v>
      </c>
      <c r="NV189" s="22" t="e">
        <f t="shared" si="277"/>
        <v>#N/A</v>
      </c>
      <c r="NW189" s="74">
        <f>('Scénario référence'!$F$8+'Scénario référence'!$F$9+'Scénario référence'!$B$17+'Scénario référence'!$B$9+'Scénario référence'!$B$10)*70+IF((45+25*(1-EXP(-0.0175*$A189)))&lt;70,'Scénario référence'!$B$16*(45+25*(1-EXP(-0.0175*$A189))),70*'Scénario référence'!$B$16)+IF((32+38*(1-EXP(-0.0175*$A189)))&lt;70,'Scénario référence'!$B$18*(32+38*(1-EXP(-0.0175*$A189))),70*'Scénario référence'!$B$18)</f>
        <v>70</v>
      </c>
      <c r="NX189" s="12">
        <f>IF($A189&gt;30,10,('Scénario référence'!$B$16+'Scénario référence'!$B$17+'Scénario référence'!$B$18+'Scénario référence'!$B$9+'Scénario référence'!$B$10)*$A189*10/30+('Scénario référence'!$F$8+'Scénario référence'!$F$9)*10)</f>
        <v>10</v>
      </c>
      <c r="NY189" s="12" t="e">
        <f>VLOOKUP($A189,'Données projet'!$A$512:$I$532,2,0)</f>
        <v>#N/A</v>
      </c>
      <c r="NZ189" s="12" t="e">
        <f>VLOOKUP($A189,'Données projet'!$A$512:$I$532,9,0)</f>
        <v>#N/A</v>
      </c>
      <c r="OA189" s="12">
        <f t="array" ref="OA189">INDEX(NZ:NZ,MIN(IF(ISNUMBER(NZ189:NZ385),ROW(NZ189:NZ385),"")))</f>
        <v>0</v>
      </c>
      <c r="OB189" s="12">
        <f>IF('Données projet'!$A$512&gt;35,OB188+OA189-OJ188,IF($A189&lt;'Données projet'!$A$512,$CQ$205^$A189,IF($A189='Données projet'!$A$512,'Données projet'!$B$512,OB188+OA189-OJ188)))</f>
        <v>0</v>
      </c>
      <c r="OC189" s="17" t="e">
        <f>OB189*VLOOKUP('Données projet'!$B$27,Paramètres!$A$1:$I$89,3,0)*VLOOKUP('Données projet'!$B$27,Paramètres!$A$1:$I$89,5,0)</f>
        <v>#N/A</v>
      </c>
      <c r="OD189" s="13" t="e">
        <f t="shared" si="322"/>
        <v>#N/A</v>
      </c>
      <c r="OE189" s="14" t="e">
        <f t="shared" si="278"/>
        <v>#N/A</v>
      </c>
      <c r="OF189" s="59" t="e">
        <f t="shared" si="279"/>
        <v>#N/A</v>
      </c>
      <c r="OG189" s="20" t="e">
        <f ca="1">AVERAGE(OFFSET($OF$3,0,0,'Données projet'!$E$27+1,1))-AVERAGE(OFFSET($H$3,0,0,'Données projet'!$E$27+1,1))</f>
        <v>#N/A</v>
      </c>
      <c r="OH189" s="59" t="e">
        <f t="shared" si="323"/>
        <v>#N/A</v>
      </c>
      <c r="OI189" s="15">
        <f>IF(ISNA(VLOOKUP($A189,'Données projet'!$A$512:$I$532,3,0)),0,VLOOKUP($A189,'Données projet'!$A$512:$I$532,3,0))</f>
        <v>0</v>
      </c>
      <c r="OJ189" s="15">
        <f>IF(ISNA(VLOOKUP($A189,'Données projet'!$A$512:$I$532,4,0)),0,VLOOKUP($A189,'Données projet'!$A$512:$I$532,4,0))</f>
        <v>0</v>
      </c>
      <c r="OK189" s="16">
        <f>IF(ISNA(VLOOKUP($A189,'Données projet'!$A$512:$I$532,5,0)),0%,VLOOKUP($A189,'Données projet'!$A$512:$I$532,5,0)*VLOOKUP('Données projet'!$B$27,Paramètres!$A$1:$I$89,7,0))</f>
        <v>0</v>
      </c>
      <c r="OL189" s="16">
        <f>IF(ISNA(VLOOKUP($A189,'Données projet'!$A$512:$I$532,6,0)),0%,VLOOKUP($A189,'Données projet'!$A$512:$I$532,6,0)*VLOOKUP('Données projet'!$B$27,Paramètres!$A$1:$I$89,7,0))</f>
        <v>0</v>
      </c>
      <c r="OM189" s="16">
        <f>IF(ISNA(VLOOKUP($A189,'Données projet'!$A$512:$I$532,7,0)),0%,VLOOKUP($A189,'Données projet'!$A$512:$I$532,7,0))</f>
        <v>0</v>
      </c>
      <c r="ON189" s="21" t="e">
        <f>EXP(-LN(2)/35)*ON188+(1-EXP(-LN(2)/35))/(LN(2)/35)*OJ189*OK189*VLOOKUP('Données projet'!$B$27,Paramètres!$A$1:$I$89,3,0)*0.475*44/12</f>
        <v>#N/A</v>
      </c>
      <c r="OO189" s="21" t="e">
        <f>EXP(-LN(2)/25)*OO188+(1-EXP(-LN(2)/25))/(LN(2)/25)*Calculateur!OJ189*Calculateur!OL189*VLOOKUP('Données projet'!$B$27,Paramètres!$A$1:$I$89,3,0)*0.475*44/12</f>
        <v>#N/A</v>
      </c>
      <c r="OP189" s="21" t="e">
        <f>EXP(-LN(2)/2)*OP188+(1-EXP(-LN(2)/2))/(LN(2)/2)*OJ189*OM189*VLOOKUP('Données projet'!$B$27,Paramètres!$A$1:$I$89,3,0)*0.475*44/12</f>
        <v>#N/A</v>
      </c>
      <c r="OQ189" s="22" t="e">
        <f t="shared" si="280"/>
        <v>#N/A</v>
      </c>
      <c r="OR189" s="74">
        <f>('Scénario référence'!$F$8+'Scénario référence'!$F$9+'Scénario référence'!$B$17+'Scénario référence'!$B$9+'Scénario référence'!$B$10)*70+IF((45+25*(1-EXP(-0.0175*$A189)))&lt;70,'Scénario référence'!$B$16*(45+25*(1-EXP(-0.0175*$A189))),70*'Scénario référence'!$B$16)+IF((32+38*(1-EXP(-0.0175*$A189)))&lt;70,'Scénario référence'!$B$18*(32+38*(1-EXP(-0.0175*$A189))),70*'Scénario référence'!$B$18)</f>
        <v>70</v>
      </c>
      <c r="OS189" s="12">
        <f>IF($A189&gt;30,10,('Scénario référence'!$B$16+'Scénario référence'!$B$17+'Scénario référence'!$B$18+'Scénario référence'!$B$9+'Scénario référence'!$B$10)*$A189*10/30+('Scénario référence'!$F$8+'Scénario référence'!$F$9)*10)</f>
        <v>10</v>
      </c>
      <c r="OT189" s="12" t="e">
        <f>VLOOKUP($A189,'Données projet'!$A$538:$I$558,2,0)</f>
        <v>#N/A</v>
      </c>
      <c r="OU189" s="12" t="e">
        <f>VLOOKUP($A189,'Données projet'!$A$538:$I$558,9,0)</f>
        <v>#N/A</v>
      </c>
      <c r="OV189" s="12">
        <f t="array" ref="OV189">INDEX(OU:OU,MIN(IF(ISNUMBER(OU189:OU385),ROW(OU189:OU385),"")))</f>
        <v>0</v>
      </c>
      <c r="OW189" s="12">
        <f>IF('Données projet'!$A$538&gt;35,OW188+OV189-PE188,IF($A189&lt;'Données projet'!$A$538,$CQ$205^$A189,IF($A189='Données projet'!$A$538,'Données projet'!$B$538,OW188+OV189-PE188)))</f>
        <v>0</v>
      </c>
      <c r="OX189" s="17" t="e">
        <f>OW189*VLOOKUP('Données projet'!$B$28,Paramètres!$A$1:$I$89,3,0)*VLOOKUP('Données projet'!$B$28,Paramètres!$A$1:$I$89,5,0)</f>
        <v>#N/A</v>
      </c>
      <c r="OY189" s="13" t="e">
        <f t="shared" si="324"/>
        <v>#N/A</v>
      </c>
      <c r="OZ189" s="14" t="e">
        <f t="shared" si="281"/>
        <v>#N/A</v>
      </c>
      <c r="PA189" s="59" t="e">
        <f t="shared" si="282"/>
        <v>#N/A</v>
      </c>
      <c r="PB189" s="20" t="e">
        <f ca="1">AVERAGE(OFFSET($PA$3,0,0,'Données projet'!$E$28+1,1))-AVERAGE(OFFSET($H$3,0,0,'Données projet'!$E$28+1,1))</f>
        <v>#N/A</v>
      </c>
      <c r="PC189" s="59" t="e">
        <f t="shared" si="325"/>
        <v>#N/A</v>
      </c>
      <c r="PD189" s="15">
        <f>IF(ISNA(VLOOKUP($A189,'Données projet'!$A$538:$I$558,3,0)),0,VLOOKUP($A189,'Données projet'!$A$538:$I$558,3,0))</f>
        <v>0</v>
      </c>
      <c r="PE189" s="15">
        <f>IF(ISNA(VLOOKUP($A189,'Données projet'!$A$538:$I$558,4,0)),0,VLOOKUP($A189,'Données projet'!$A$538:$I$558,4,0))</f>
        <v>0</v>
      </c>
      <c r="PF189" s="16">
        <f>IF(ISNA(VLOOKUP($A189,'Données projet'!$A$538:$I$558,5,0)),0%,VLOOKUP($A189,'Données projet'!$A$538:$I$558,5,0)*VLOOKUP('Données projet'!$B$28,Paramètres!$A$1:$I$89,7,0))</f>
        <v>0</v>
      </c>
      <c r="PG189" s="16">
        <f>IF(ISNA(VLOOKUP($A189,'Données projet'!$A$538:$I$558,6,0)),0%,VLOOKUP($A189,'Données projet'!$A$538:$I$558,6,0)*VLOOKUP('Données projet'!$B$28,Paramètres!$A$1:$I$89,7,0))</f>
        <v>0</v>
      </c>
      <c r="PH189" s="16">
        <f>IF(ISNA(VLOOKUP($A189,'Données projet'!$A$538:$I$558,7,0)),0%,VLOOKUP($A189,'Données projet'!$A$538:$I$558,7,0))</f>
        <v>0</v>
      </c>
      <c r="PI189" s="21" t="e">
        <f>EXP(-LN(2)/35)*PI188+(1-EXP(-LN(2)/35))/(LN(2)/35)*PE189*PF189*VLOOKUP('Données projet'!$B$28,Paramètres!$A$1:$I$89,3,0)*0.475*44/12</f>
        <v>#N/A</v>
      </c>
      <c r="PJ189" s="21" t="e">
        <f>EXP(-LN(2)/25)*PJ188+(1-EXP(-LN(2)/25))/(LN(2)/25)*Calculateur!PE189*Calculateur!PG189*VLOOKUP('Données projet'!$B$28,Paramètres!$A$1:$I$89,3,0)*0.475*44/12</f>
        <v>#N/A</v>
      </c>
      <c r="PK189" s="21" t="e">
        <f>EXP(-LN(2)/2)*PK188+(1-EXP(-LN(2)/2))/(LN(2)/2)*PE189*PH189*VLOOKUP('Données projet'!$B$28,Paramètres!$A$1:$I$89,3,0)*0.475*44/12</f>
        <v>#N/A</v>
      </c>
      <c r="PL189" s="22" t="e">
        <f t="shared" si="283"/>
        <v>#N/A</v>
      </c>
    </row>
    <row r="190" spans="1:428" x14ac:dyDescent="0.35">
      <c r="A190" s="10">
        <f t="shared" si="326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285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225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projet'!$A$45:$I$65,2,0)</f>
        <v>#N/A</v>
      </c>
      <c r="L190" s="12" t="e">
        <f>VLOOKUP(A190,'Données projet'!$A$45:$I$65,9,0)</f>
        <v>#N/A</v>
      </c>
      <c r="M190" s="12">
        <f t="array" ref="M190">INDEX(L:L,MIN(IF(ISNUMBER(L190:L386),ROW(L190:L386),"")))</f>
        <v>0</v>
      </c>
      <c r="N190" s="13">
        <f>IF('Données projet'!$A$46&gt;35,N189+M190-V189,IF(A190&lt;'Données projet'!$A$46,$K$205^A190,IF(A190='Données projet'!$A$46,'Données projet'!$B$46,N189+M190-V189)))</f>
        <v>-1.1368683772161603E-13</v>
      </c>
      <c r="O190" s="13">
        <f>N190*VLOOKUP('Données projet'!$B$9,Paramètres!$A$1:$I$89,3,0)*VLOOKUP('Données projet'!$B$9,Paramètres!$A$1:$I$89,5,0)</f>
        <v>-6.3550942286383367E-14</v>
      </c>
      <c r="P190" s="13" t="e">
        <f t="shared" si="286"/>
        <v>#NUM!</v>
      </c>
      <c r="Q190" s="20" t="e">
        <f t="shared" si="327"/>
        <v>#NUM!</v>
      </c>
      <c r="R190" s="59" t="e">
        <f t="shared" si="224"/>
        <v>#NUM!</v>
      </c>
      <c r="S190" s="59">
        <f ca="1">AVERAGE(OFFSET($R$3,0,0,'Données projet'!$E$9+1,1))-AVERAGE(OFFSET($H$3,0,0,'Données projet'!$E$9+1,1))</f>
        <v>274.57619581652199</v>
      </c>
      <c r="T190" s="59">
        <f t="shared" si="287"/>
        <v>366.15117322598775</v>
      </c>
      <c r="U190" s="15">
        <f>IF(ISNA(VLOOKUP(A190,'Données projet'!$A$45:$I$65,3,0)),0,VLOOKUP(A190,'Données projet'!$A$45:$I$65,3,0))</f>
        <v>0</v>
      </c>
      <c r="V190" s="15">
        <f>IF(ISNA(VLOOKUP(A190,'Données projet'!$A$45:$I$65,4,0)),0,VLOOKUP(A190,'Données projet'!$A$45:$I$65,4,0))</f>
        <v>0</v>
      </c>
      <c r="W190" s="16">
        <f>IF(ISNA(VLOOKUP(A190,'Données projet'!$A$45:$I$65,5,0)),0%,VLOOKUP(A190,'Données projet'!$A$45:$I$65,5,0)*VLOOKUP('Données projet'!$B$9,Paramètres!$A$1:$I$89,7,0))</f>
        <v>0</v>
      </c>
      <c r="X190" s="16">
        <f>IF(ISNA(VLOOKUP(A190,'Données projet'!$A$45:$I$65,6,0)),0%,VLOOKUP(A190,'Données projet'!$A$45:$I$65,6,0)*VLOOKUP('Données projet'!$B$9,Paramètres!$A$1:$I$89,7,0))</f>
        <v>0</v>
      </c>
      <c r="Y190" s="16">
        <f>IF(ISNA(VLOOKUP(A190,'Données projet'!$A$45:$I$65,7,0)),0%,VLOOKUP(A190,'Données projet'!$A$45:$I$65,7,0))</f>
        <v>0</v>
      </c>
      <c r="Z190" s="21">
        <f>EXP(-LN(2)/35)*Z189+(1-EXP(-LN(2)/35))/(LN(2)/35)*V190*W190*VLOOKUP('Données projet'!$B$9,Paramètres!$A$1:$I$89,3,0)*0.475*44/12</f>
        <v>16.598015535793689</v>
      </c>
      <c r="AA190" s="21">
        <f>EXP(-LN(2)/25)*AA189+(1-EXP(-LN(2)/25))/(LN(2)/25)*Calculateur!V190*Calculateur!X190*VLOOKUP('Données projet'!$B$9,Paramètres!$A$1:$I$89,3,0)*0.475*44/12</f>
        <v>1.4826615029179941</v>
      </c>
      <c r="AB190" s="21">
        <f>EXP(-LN(2)/2)*AB189+(1-EXP(-LN(2)/2))/(LN(2)/2)*V190*Y190*VLOOKUP('Données projet'!$B$9,Paramètres!$A$1:$I$89,3,0)*0.475*44/12</f>
        <v>4.6297200020245631E-19</v>
      </c>
      <c r="AC190" s="22">
        <f t="shared" si="328"/>
        <v>18.080677038711684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projet'!$A$71:$I$91,2,0)</f>
        <v>#N/A</v>
      </c>
      <c r="AG190" s="12" t="e">
        <f>VLOOKUP(A190,'Données projet'!$A$71:$I$91,9,0)</f>
        <v>#N/A</v>
      </c>
      <c r="AH190" s="12">
        <f t="array" ref="AH190">INDEX(AG:AG,MIN(IF(ISNUMBER(AG190:AG386),ROW(AG190:AG386),"")))</f>
        <v>0</v>
      </c>
      <c r="AI190" s="13">
        <f>IF('Données projet'!$A$72&gt;35,AI189+AH190-AQ189,IF(A190&lt;'Données projet'!$A$72,$AF$205^A190,IF(A190='Données projet'!$A$72,'Données projet'!$B$72,AI189+AH190-AQ189)))</f>
        <v>5.6843418860808015E-13</v>
      </c>
      <c r="AJ190" s="13">
        <f>AI190*VLOOKUP('Données projet'!$B$10,Paramètres!$A$1:$I$89,3,0)*VLOOKUP('Données projet'!$B$10,Paramètres!$A$1:$I$89,5,0)</f>
        <v>5.1431925385259092E-13</v>
      </c>
      <c r="AK190" s="13">
        <f t="shared" si="329"/>
        <v>6.3855359115685756E-12</v>
      </c>
      <c r="AL190" s="20">
        <f t="shared" si="330"/>
        <v>1.2017247746441865E-11</v>
      </c>
      <c r="AM190" s="59">
        <f t="shared" si="228"/>
        <v>293.33333333334531</v>
      </c>
      <c r="AN190" s="59">
        <f ca="1">AVERAGE(OFFSET($AM$3,0,0,'Données projet'!$E$10+1,1))-AVERAGE(OFFSET($H$3,0,0,'Données projet'!$E$10+1,1))</f>
        <v>270.87836509222456</v>
      </c>
      <c r="AO190" s="59">
        <f t="shared" si="289"/>
        <v>205.24998237949734</v>
      </c>
      <c r="AP190" s="15">
        <f>IF(ISNA(VLOOKUP(A190,'Données projet'!$A$71:$I$91,3,0)),0,VLOOKUP(A190,'Données projet'!$A$71:$I$91,3,0))</f>
        <v>0</v>
      </c>
      <c r="AQ190" s="15">
        <f>IF(ISNA(VLOOKUP(A190,'Données projet'!$A$71:$I$91,4,0)),0,VLOOKUP(A190,'Données projet'!$A$71:$I$91,4,0))</f>
        <v>0</v>
      </c>
      <c r="AR190" s="16">
        <f>IF(ISNA(VLOOKUP(A190,'Données projet'!$A$71:$I$91,5,0)),0%,VLOOKUP(A190,'Données projet'!$A$71:$I$91,5,0)*VLOOKUP('Données projet'!$B$10,Paramètres!$A$1:$I$89,7,0))</f>
        <v>0</v>
      </c>
      <c r="AS190" s="16">
        <f>IF(ISNA(VLOOKUP(A190,'Données projet'!$A$71:$I$91,6,0)),0%,VLOOKUP(A190,'Données projet'!$A$71:$I$91,6,0)*VLOOKUP('Données projet'!$B$10,Paramètres!$A$1:$I$89,7,0))</f>
        <v>0</v>
      </c>
      <c r="AT190" s="16">
        <f>IF(ISNA(VLOOKUP(A190,'Données projet'!$A$71:$I$91,7,0)),0%,VLOOKUP(A190,'Données projet'!$A$71:$I$91,7,0))</f>
        <v>0</v>
      </c>
      <c r="AU190" s="21">
        <f>EXP(-LN(2)/35)*AU189+(1-EXP(-LN(2)/35))/(LN(2)/35)*AQ190*AR190*VLOOKUP('Données projet'!$B$10,Paramètres!$A$1:$I$89,3,0)*0.475*44/12</f>
        <v>56.404285585226049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331"/>
        <v>56.404285585226049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projet'!$A$97:$I$117,2,0)</f>
        <v>#N/A</v>
      </c>
      <c r="BB190" s="12" t="e">
        <f>VLOOKUP(A190,'Données projet'!$A$97:$I$117,9,0)</f>
        <v>#N/A</v>
      </c>
      <c r="BC190" s="12">
        <f t="array" ref="BC190">INDEX(BB:BB,MIN(IF(ISNUMBER(BB190:BB386),ROW(BB190:BB386),"")))</f>
        <v>0</v>
      </c>
      <c r="BD190" s="12">
        <f>IF('Données projet'!$A$98&gt;35,BD189+BC190-BL189,IF(A190&lt;'Données projet'!$A$98,$BA$205^A190,IF(A190='Données projet'!$A$98,'Données projet'!$B$98,BD189+BC190-BL189)))</f>
        <v>-1.1368683772161603E-13</v>
      </c>
      <c r="BE190" s="13">
        <f>BD190*VLOOKUP('Données projet'!$B$11,Paramètres!$A$1:$I$89,3,0)*VLOOKUP('Données projet'!$B$11,Paramètres!$A$1:$I$89,5,0)</f>
        <v>-5.0249582272954292E-14</v>
      </c>
      <c r="BF190" s="13" t="e">
        <f t="shared" si="332"/>
        <v>#NUM!</v>
      </c>
      <c r="BG190" s="20" t="e">
        <f t="shared" si="333"/>
        <v>#NUM!</v>
      </c>
      <c r="BH190" s="59" t="e">
        <f t="shared" si="231"/>
        <v>#NUM!</v>
      </c>
      <c r="BI190" s="59">
        <f ca="1">AVERAGE(OFFSET($BH$3,0,0,'Données projet'!$E$11+1,1))-AVERAGE(OFFSET($H$3,0,0,'Données projet'!$E$11+1,1))</f>
        <v>211.31057120485542</v>
      </c>
      <c r="BJ190" s="59">
        <f t="shared" si="291"/>
        <v>283.33292006714777</v>
      </c>
      <c r="BK190" s="15">
        <f>IF(ISNA(VLOOKUP(A190,'Données projet'!$A$97:$I$117,3,0)),0,VLOOKUP(A190,'Données projet'!$A$97:$I$117,3,0))</f>
        <v>0</v>
      </c>
      <c r="BL190" s="15">
        <f>IF(ISNA(VLOOKUP(A190,'Données projet'!$A$97:$I$117,4,0)),0,VLOOKUP(A190,'Données projet'!$A$97:$I$117,4,0))</f>
        <v>0</v>
      </c>
      <c r="BM190" s="16">
        <f>IF(ISNA(VLOOKUP(A190,'Données projet'!$A$97:$I$117,5,0)),0%,VLOOKUP(A190,'Données projet'!$A$97:$I$117,5,0)*VLOOKUP('Données projet'!$B$11,Paramètres!$A$1:$I$89,7,0))</f>
        <v>0</v>
      </c>
      <c r="BN190" s="16">
        <f>IF(ISNA(VLOOKUP(A190,'Données projet'!$A$97:$I$117,6,0)),0%,VLOOKUP(A190,'Données projet'!$A$97:$I$117,6,0)*VLOOKUP('Données projet'!$B$11,Paramètres!$A$1:$I$89,7,0))</f>
        <v>0</v>
      </c>
      <c r="BO190" s="16">
        <f>IF(ISNA(VLOOKUP(A190,'Données projet'!$A$97:$I$117,7,0)),0%,VLOOKUP(A190,'Données projet'!$A$97:$I$117,7,0))</f>
        <v>0</v>
      </c>
      <c r="BP190" s="21">
        <f>EXP(-LN(2)/35)*BP189+(1-EXP(-LN(2)/35))/(LN(2)/35)*BL190*BM190*VLOOKUP('Données projet'!$B$11,Paramètres!$A$1:$I$89,3,0)*0.475*44/12</f>
        <v>13.124012284115949</v>
      </c>
      <c r="BQ190" s="21">
        <f>EXP(-LN(2)/25)*BQ189+(1-EXP(-LN(2)/25))/(LN(2)/25)*Calculateur!BL190*Calculateur!BN190*VLOOKUP('Données projet'!$B$11,Paramètres!$A$1:$I$89,3,0)*0.475*44/12</f>
        <v>1.1723370023072504</v>
      </c>
      <c r="BR190" s="21">
        <f>EXP(-LN(2)/2)*BR189+(1-EXP(-LN(2)/2))/(LN(2)/2)*BL190*BO190*VLOOKUP('Données projet'!$B$11,Paramètres!$A$1:$I$89,3,0)*0.475*44/12</f>
        <v>3.660708838810119E-19</v>
      </c>
      <c r="BS190" s="22">
        <f t="shared" si="334"/>
        <v>14.296349286423199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projet'!$A$123:$I$143,2,0)</f>
        <v>#N/A</v>
      </c>
      <c r="BW190" s="12" t="e">
        <f>VLOOKUP(A190,'Données projet'!$A$123:$I$143,9,0)</f>
        <v>#N/A</v>
      </c>
      <c r="BX190" s="12">
        <f t="array" ref="BX190">INDEX(BW:BW,MIN(IF(ISNUMBER(BW190:BW386),ROW(BW190:BW386),"")))</f>
        <v>0</v>
      </c>
      <c r="BY190" s="12">
        <f>IF('Données projet'!$A$124&gt;35,BY189+BX190-CG189,IF(A190&lt;'Données projet'!$A$124,$BV$205^A190,IF(A190='Données projet'!$A$124,'Données projet'!$B$124,BY189+BX190-CG189)))</f>
        <v>0</v>
      </c>
      <c r="BZ190" s="13">
        <f>BY190*VLOOKUP('Données projet'!$B$12,Paramètres!$A$1:$I$89,3,0)*VLOOKUP('Données projet'!$B$12,Paramètres!$A$1:$I$89,5,0)</f>
        <v>0</v>
      </c>
      <c r="CA190" s="13" t="e">
        <f t="shared" si="335"/>
        <v>#NUM!</v>
      </c>
      <c r="CB190" s="20" t="e">
        <f t="shared" si="336"/>
        <v>#NUM!</v>
      </c>
      <c r="CC190" s="59" t="e">
        <f t="shared" si="234"/>
        <v>#NUM!</v>
      </c>
      <c r="CD190" s="59">
        <f ca="1">AVERAGE(OFFSET($CC$3,0,0,'Données projet'!$E$12+1,1))-AVERAGE(OFFSET($H$3,0,0,'Données projet'!$E$12+1,1))</f>
        <v>322.93502595881938</v>
      </c>
      <c r="CE190" s="59">
        <f t="shared" si="293"/>
        <v>302.67072119588164</v>
      </c>
      <c r="CF190" s="15">
        <f>IF(ISNA(VLOOKUP(A190,'Données projet'!$A$123:$I$143,3,0)),0,VLOOKUP(A190,'Données projet'!$A$123:$I$143,3,0))</f>
        <v>0</v>
      </c>
      <c r="CG190" s="15">
        <f>IF(ISNA(VLOOKUP(A190,'Données projet'!$A$123:$I$143,4,0)),0,VLOOKUP(A190,'Données projet'!$A$123:$I$143,4,0))</f>
        <v>0</v>
      </c>
      <c r="CH190" s="16">
        <f>IF(ISNA(VLOOKUP(A190,'Données projet'!$A$123:$I$143,5,0)),0%,VLOOKUP(A190,'Données projet'!$A$123:$I$143,5,0)*VLOOKUP('Données projet'!$B$12,Paramètres!$A$1:$I$89,7,0))</f>
        <v>0</v>
      </c>
      <c r="CI190" s="16">
        <f>IF(ISNA(VLOOKUP(A190,'Données projet'!$A$123:$I$143,6,0)),0%,VLOOKUP(A190,'Données projet'!$A$123:$I$143,6,0)*VLOOKUP('Données projet'!$B$12,Paramètres!$A$1:$I$89,7,0))</f>
        <v>0</v>
      </c>
      <c r="CJ190" s="16">
        <f>IF(ISNA(VLOOKUP(A190,'Données projet'!$A$123:$I$143,7,0)),0%,VLOOKUP(A190,'Données projet'!$A$123:$I$143,7,0))</f>
        <v>0</v>
      </c>
      <c r="CK190" s="21">
        <f>EXP(-LN(2)/35)*CK189+(1-EXP(-LN(2)/35))/(LN(2)/35)*CG190*CH190*VLOOKUP('Données projet'!$B$12,Paramètres!$A$1:$I$89,3,0)*0.475*44/12</f>
        <v>20.909722778965165</v>
      </c>
      <c r="CL190" s="21">
        <f>EXP(-LN(2)/25)*CL189+(1-EXP(-LN(2)/25))/(LN(2)/25)*Calculateur!CG190*Calculateur!CI190*VLOOKUP('Données projet'!$B$12,Paramètres!$A$1:$I$89,3,0)*0.475*44/12</f>
        <v>3.7521877169542757</v>
      </c>
      <c r="CM190" s="21">
        <f>EXP(-LN(2)/2)*CM189+(1-EXP(-LN(2)/2))/(LN(2)/2)*CG190*CJ190*VLOOKUP('Données projet'!$B$12,Paramètres!$A$1:$I$89,3,0)*0.475*44/12</f>
        <v>0</v>
      </c>
      <c r="CN190" s="22">
        <f t="shared" si="337"/>
        <v>24.66191049591944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projet'!$A$149:$I$169,2,0)</f>
        <v>#N/A</v>
      </c>
      <c r="CR190" s="12" t="e">
        <f>VLOOKUP(A190,'Données projet'!$A$149:$I$169,9,0)</f>
        <v>#N/A</v>
      </c>
      <c r="CS190" s="12">
        <f t="array" ref="CS190">INDEX(CR:CR,MIN(IF(ISNUMBER(CR190:CR386),ROW(CR190:CR386),"")))</f>
        <v>0</v>
      </c>
      <c r="CT190" s="12">
        <f>IF('Données projet'!$A$150&gt;35,CT189+CS190-DB189,IF(A190&lt;'Données projet'!$A$150,$CQ$205^A190,IF(A190='Données projet'!$A$150,'Données projet'!$B$150,CT189+CS190-DB189)))</f>
        <v>-4.5474735088646412E-13</v>
      </c>
      <c r="CU190" s="17">
        <f>CT190*VLOOKUP('Données projet'!$B$13,Paramètres!$A$1:$I$89,3,0)*VLOOKUP('Données projet'!$B$13,Paramètres!$A$1:$I$89,5,0)</f>
        <v>-4.6111381379887462E-13</v>
      </c>
      <c r="CV190" s="13" t="e">
        <f t="shared" si="338"/>
        <v>#NUM!</v>
      </c>
      <c r="CW190" s="20" t="e">
        <f t="shared" si="339"/>
        <v>#NUM!</v>
      </c>
      <c r="CX190" s="59" t="e">
        <f t="shared" si="237"/>
        <v>#NUM!</v>
      </c>
      <c r="CY190" s="59">
        <f ca="1">AVERAGE(OFFSET($CX$3,0,0,'Données projet'!$E$13+1,1))-AVERAGE(OFFSET($H$3,0,0,'Données projet'!$E$13+1,1))</f>
        <v>250.31277422753283</v>
      </c>
      <c r="CZ190" s="59">
        <f t="shared" si="295"/>
        <v>159.20429420478047</v>
      </c>
      <c r="DA190" s="15">
        <f>IF(ISNA(VLOOKUP(A190,'Données projet'!$A$149:$I$169,3,0)),0,VLOOKUP(A190,'Données projet'!$A$149:$I$169,3,0))</f>
        <v>0</v>
      </c>
      <c r="DB190" s="15">
        <f>IF(ISNA(VLOOKUP(A190,'Données projet'!$A$149:$I$169,4,0)),0,VLOOKUP(A190,'Données projet'!$A$149:$I$169,4,0))</f>
        <v>0</v>
      </c>
      <c r="DC190" s="16">
        <f>IF(ISNA(VLOOKUP(A190,'Données projet'!$A$149:$I$169,5,0)),0%,VLOOKUP(A190,'Données projet'!$A$149:$I$169,5,0)*VLOOKUP('Données projet'!$B$13,Paramètres!$A$1:$I$89,7,0))</f>
        <v>0</v>
      </c>
      <c r="DD190" s="16">
        <f>IF(ISNA(VLOOKUP(A190,'Données projet'!$A$149:$I$169,6,0)),0%,VLOOKUP(A190,'Données projet'!$A$149:$I$169,6,0)*VLOOKUP('Données projet'!$B$13,Paramètres!$A$1:$I$89,7,0))</f>
        <v>0</v>
      </c>
      <c r="DE190" s="16">
        <f>IF(ISNA(VLOOKUP(A190,'Données projet'!$A$149:$I$169,7,0)),0%,VLOOKUP(A190,'Données projet'!$A$149:$I$169,7,0))</f>
        <v>0</v>
      </c>
      <c r="DF190" s="21">
        <f>EXP(-LN(2)/35)*DF189+(1-EXP(-LN(2)/35))/(LN(2)/35)*DB190*DC190*VLOOKUP('Données projet'!$B$13,Paramètres!$A$1:$I$89,3,0)*0.475*44/12</f>
        <v>95.187287909595824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340"/>
        <v>95.187287909595824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projet'!$A$175:$I$195,2,0)</f>
        <v>#N/A</v>
      </c>
      <c r="DM190" s="12" t="e">
        <f>VLOOKUP(A190,'Données projet'!$A$175:$I$195,9,0)</f>
        <v>#N/A</v>
      </c>
      <c r="DN190" s="12">
        <f t="array" ref="DN190">INDEX(DM:DM,MIN(IF(ISNUMBER(DM190:DM386),ROW(DM190:DM386),"")))</f>
        <v>0</v>
      </c>
      <c r="DO190" s="12">
        <f>IF('Données projet'!$A$176&gt;35,DO189+DN190-DW189,IF(A190&lt;'Données projet'!$A$176,$DL$205^A190,IF(A190='Données projet'!$A$176,'Données projet'!$B$176,DO189+DN190-DW189)))</f>
        <v>-2.8421709430404007E-13</v>
      </c>
      <c r="DP190" s="17">
        <f>DO190*VLOOKUP('Données projet'!$B$14,Paramètres!$A$1:$I$89,3,0)*VLOOKUP('Données projet'!$B$14,Paramètres!$A$1:$I$89,5,0)</f>
        <v>-2.0838797354372215E-13</v>
      </c>
      <c r="DQ190" s="13" t="e">
        <f t="shared" si="341"/>
        <v>#NUM!</v>
      </c>
      <c r="DR190" s="20" t="e">
        <f t="shared" si="342"/>
        <v>#NUM!</v>
      </c>
      <c r="DS190" s="59" t="e">
        <f t="shared" si="240"/>
        <v>#NUM!</v>
      </c>
      <c r="DT190" s="59">
        <f ca="1">AVERAGE(OFFSET($DS$3,0,0,'Données projet'!$E$14+1,1))-AVERAGE(OFFSET($H$3,0,0,'Données projet'!$E$14+1,1))</f>
        <v>296.91321813251051</v>
      </c>
      <c r="DU190" s="59">
        <f t="shared" si="297"/>
        <v>291.0718079639509</v>
      </c>
      <c r="DV190" s="15">
        <f>IF(ISNA(VLOOKUP(A190,'Données projet'!$A$175:$I$195,3,0)),0,VLOOKUP(A190,'Données projet'!$A$175:$I$195,3,0))</f>
        <v>0</v>
      </c>
      <c r="DW190" s="15">
        <f>IF(ISNA(VLOOKUP(A190,'Données projet'!$A$175:$I$195,4,0)),0,VLOOKUP(A190,'Données projet'!$A$175:$I$195,4,0))</f>
        <v>0</v>
      </c>
      <c r="DX190" s="16">
        <f>IF(ISNA(VLOOKUP(A190,'Données projet'!$A$175:$I$195,5,0)),0%,VLOOKUP(A190,'Données projet'!$A$175:$I$195,5,0)*VLOOKUP('Données projet'!$B$14,Paramètres!$A$1:$I$89,7,0))</f>
        <v>0</v>
      </c>
      <c r="DY190" s="16">
        <f>IF(ISNA(VLOOKUP(A190,'Données projet'!$A$175:$I$195,6,0)),0%,VLOOKUP(A190,'Données projet'!$A$175:$I$195,6,0)*VLOOKUP('Données projet'!$B$14,Paramètres!$A$1:$I$89,7,0))</f>
        <v>0</v>
      </c>
      <c r="DZ190" s="16">
        <f>IF(ISNA(VLOOKUP(A190,'Données projet'!$A$175:$I$195,7,0)),0%,VLOOKUP(A190,'Données projet'!$A$175:$I$195,7,0))</f>
        <v>0</v>
      </c>
      <c r="EA190" s="21">
        <f>EXP(-LN(2)/35)*EA189+(1-EXP(-LN(2)/35))/(LN(2)/35)*DW190*DX190*VLOOKUP('Données projet'!$B$14,Paramètres!$A$1:$I$89,3,0)*0.475*44/12</f>
        <v>20.840280691613788</v>
      </c>
      <c r="EB190" s="21">
        <f>EXP(-LN(2)/25)*EB189+(1-EXP(-LN(2)/25))/(LN(2)/25)*Calculateur!DW190*Calculateur!DY190*VLOOKUP('Données projet'!$B$14,Paramètres!$A$1:$I$89,3,0)*0.475*44/12</f>
        <v>0.27563911271759317</v>
      </c>
      <c r="EC190" s="21">
        <f>EXP(-LN(2)/2)*EC189+(1-EXP(-LN(2)/2))/(LN(2)/2)*DW190*DZ190*VLOOKUP('Données projet'!$B$14,Paramètres!$A$1:$I$89,3,0)*0.475*44/12</f>
        <v>0</v>
      </c>
      <c r="ED190" s="22">
        <f t="shared" si="343"/>
        <v>21.11591980433138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projet'!$A$201:$I$221,2,0)</f>
        <v>#N/A</v>
      </c>
      <c r="EH190" s="12" t="e">
        <f>VLOOKUP(A190,'Données projet'!$A$201:$I$221,9,0)</f>
        <v>#N/A</v>
      </c>
      <c r="EI190" s="12">
        <f t="array" ref="EI190">INDEX(EH:EH,MIN(IF(ISNUMBER(EH190:EH386),ROW(EH190:EH386),"")))</f>
        <v>0</v>
      </c>
      <c r="EJ190" s="12">
        <f>IF('Données projet'!$A$202&gt;35,EJ189+EI190-ER189,IF(A190&lt;'Données projet'!$A$202,$EG$205^A190,IF(A190='Données projet'!$A$202,'Données projet'!$B$202,EJ189+EI190-ER189)))</f>
        <v>5.1159076974727213E-13</v>
      </c>
      <c r="EK190" s="17">
        <f>EJ190*VLOOKUP('Données projet'!$B$15,Paramètres!$A$1:$I$89,3,0)*VLOOKUP('Données projet'!$B$15,Paramètres!$A$1:$I$89,5,0)</f>
        <v>2.3942448024172334E-13</v>
      </c>
      <c r="EL190" s="13">
        <f t="shared" si="344"/>
        <v>3.2492669905861755E-12</v>
      </c>
      <c r="EM190" s="20">
        <f t="shared" si="345"/>
        <v>6.0761376450252565E-12</v>
      </c>
      <c r="EN190" s="59">
        <f t="shared" si="243"/>
        <v>293.3333333333394</v>
      </c>
      <c r="EO190" s="59">
        <f ca="1">AVERAGE(OFFSET($EN$3,0,0,'Données projet'!$E$15+1,1))-AVERAGE(OFFSET($H$3,0,0,'Données projet'!$E$15+1,1))</f>
        <v>147.64256291235483</v>
      </c>
      <c r="EP190" s="59">
        <f t="shared" si="299"/>
        <v>70.859031694091868</v>
      </c>
      <c r="EQ190" s="15">
        <f>IF(ISNA(VLOOKUP(A190,'Données projet'!$A$201:$I$221,3,0)),0,VLOOKUP(A190,'Données projet'!$A$201:$I$221,3,0))</f>
        <v>0</v>
      </c>
      <c r="ER190" s="15">
        <f>IF(ISNA(VLOOKUP(A190,'Données projet'!$A$201:$I$221,4,0)),0,VLOOKUP(A190,'Données projet'!$A$201:$I$221,4,0))</f>
        <v>0</v>
      </c>
      <c r="ES190" s="16">
        <f>IF(ISNA(VLOOKUP(A190,'Données projet'!$A$201:$I$221,5,0)),0%,VLOOKUP(A190,'Données projet'!$A$201:$I$221,5,0)*VLOOKUP('Données projet'!$B$15,Paramètres!$A$1:$I$89,7,0))</f>
        <v>0</v>
      </c>
      <c r="ET190" s="16">
        <f>IF(ISNA(VLOOKUP(A190,'Données projet'!$A$201:$I$221,6,0)),0%,VLOOKUP(A190,'Données projet'!$A$201:$I$221,6,0)*VLOOKUP('Données projet'!$B$15,Paramètres!$A$1:$I$89,7,0))</f>
        <v>0</v>
      </c>
      <c r="EU190" s="16">
        <f>IF(ISNA(VLOOKUP(A190,'Données projet'!$A$201:$I$221,7,0)),0%,VLOOKUP(A190,'Données projet'!$A$201:$I$221,7,0))</f>
        <v>0</v>
      </c>
      <c r="EV190" s="21">
        <f>EXP(-LN(2)/35)*EV189+(1-EXP(-LN(2)/35))/(LN(2)/35)*ER190*ES190*VLOOKUP('Données projet'!$B$15,Paramètres!$A$1:$I$89,3,0)*0.475*44/12</f>
        <v>28.530672768817603</v>
      </c>
      <c r="EW190" s="21">
        <f>EXP(-LN(2)/25)*EW189+(1-EXP(-LN(2)/25))/(LN(2)/25)*Calculateur!ER190*Calculateur!ET190*VLOOKUP('Données projet'!$B$15,Paramètres!$A$1:$I$89,3,0)*0.475*44/12</f>
        <v>3.8242149872440954</v>
      </c>
      <c r="EX190" s="21">
        <f>EXP(-LN(2)/2)*EX189+(1-EXP(-LN(2)/2))/(LN(2)/2)*ER190*EU190*VLOOKUP('Données projet'!$B$15,Paramètres!$A$1:$I$89,3,0)*0.475*44/12</f>
        <v>3.3376071450608576E-11</v>
      </c>
      <c r="EY190" s="22">
        <f t="shared" si="346"/>
        <v>32.354887756095074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projet'!$A$227:$I$247,2,0)</f>
        <v>#N/A</v>
      </c>
      <c r="FC190" s="12" t="e">
        <f>VLOOKUP(A190,'Données projet'!$A$227:$I$247,9,0)</f>
        <v>#N/A</v>
      </c>
      <c r="FD190" s="12">
        <f t="array" ref="FD190">INDEX(FC:FC,MIN(IF(ISNUMBER(FC190:FC386),ROW(FC190:FC386),"")))</f>
        <v>0</v>
      </c>
      <c r="FE190" s="12">
        <f>IF('Données projet'!$A$228&gt;35,FE189+FD190-FM189,IF(A190&lt;'Données projet'!$A$228,$FB$205^A190,IF(A190='Données projet'!$A$228,'Données projet'!$B$228,FE189+FD190-FM189)))</f>
        <v>8.5265128291212022E-14</v>
      </c>
      <c r="FF190" s="17">
        <f>FE190*VLOOKUP('Données projet'!$B$16,Paramètres!$A$1:$I$89,3,0)*VLOOKUP('Données projet'!$B$16,Paramètres!$A$1:$I$89,5,0)</f>
        <v>8.9119112089974823E-14</v>
      </c>
      <c r="FG190" s="13">
        <f t="shared" si="347"/>
        <v>1.3568952080113142E-12</v>
      </c>
      <c r="FH190" s="20">
        <f t="shared" si="348"/>
        <v>2.5184749408430782E-12</v>
      </c>
      <c r="FI190" s="59">
        <f t="shared" si="246"/>
        <v>293.33333333333582</v>
      </c>
      <c r="FJ190" s="59">
        <f ca="1">AVERAGE(OFFSET($FI$3,0,0,'Données projet'!$E$16+1,1))-AVERAGE(OFFSET($H$3,0,0,'Données projet'!$E$16+1,1))</f>
        <v>259.03906550253788</v>
      </c>
      <c r="FK190" s="59">
        <f t="shared" si="301"/>
        <v>235.54542903570831</v>
      </c>
      <c r="FL190" s="15">
        <f>IF(ISNA(VLOOKUP(A190,'Données projet'!$A$227:$I$247,3,0)),0,VLOOKUP(A190,'Données projet'!$A$227:$I$247,3,0))</f>
        <v>0</v>
      </c>
      <c r="FM190" s="15">
        <f>IF(ISNA(VLOOKUP(A190,'Données projet'!$A$227:$I$247,4,0)),0,VLOOKUP(A190,'Données projet'!$A$227:$I$247,4,0))</f>
        <v>0</v>
      </c>
      <c r="FN190" s="16">
        <f>IF(ISNA(VLOOKUP(A190,'Données projet'!$A$227:$I$247,5,0)),0%,VLOOKUP(A190,'Données projet'!$A$227:$I$247,5,0)*VLOOKUP('Données projet'!$B$16,Paramètres!$A$1:$I$89,7,0))</f>
        <v>0</v>
      </c>
      <c r="FO190" s="16">
        <f>IF(ISNA(VLOOKUP(A190,'Données projet'!$A$227:$I$247,6,0)),0%,VLOOKUP(A190,'Données projet'!$A$227:$I$247,6,0)*VLOOKUP('Données projet'!$B$16,Paramètres!$A$1:$I$89,7,0))</f>
        <v>0</v>
      </c>
      <c r="FP190" s="16">
        <f>IF(ISNA(VLOOKUP(A190,'Données projet'!$A$227:$I$247,7,0)),0%,VLOOKUP(A190,'Données projet'!$A$227:$I$247,7,0))</f>
        <v>0</v>
      </c>
      <c r="FQ190" s="21">
        <f>EXP(-LN(2)/35)*FQ189+(1-EXP(-LN(2)/35))/(LN(2)/35)*FM190*FN190*VLOOKUP('Données projet'!$B$16,Paramètres!$A$1:$I$89,3,0)*0.475*44/12</f>
        <v>12.59266358487287</v>
      </c>
      <c r="FR190" s="21">
        <f>EXP(-LN(2)/25)*FR189+(1-EXP(-LN(2)/25))/(LN(2)/25)*Calculateur!FM190*Calculateur!FO190*VLOOKUP('Données projet'!$B$16,Paramètres!$A$1:$I$89,3,0)*0.475*44/12</f>
        <v>5.2608756412179289</v>
      </c>
      <c r="FS190" s="21">
        <f>EXP(-LN(2)/2)*FS189+(1-EXP(-LN(2)/2))/(LN(2)/2)*FM190*FP190*VLOOKUP('Données projet'!$B$16,Paramètres!$A$1:$I$89,3,0)*0.475*44/12</f>
        <v>0</v>
      </c>
      <c r="FT190" s="22">
        <f t="shared" si="349"/>
        <v>17.853539226090799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projet'!$A$253:$I$273,2,0)</f>
        <v>#N/A</v>
      </c>
      <c r="FX190" s="12" t="e">
        <f>VLOOKUP(A190,'Données projet'!$A$253:$I$273,9,0)</f>
        <v>#N/A</v>
      </c>
      <c r="FY190" s="12">
        <f t="array" ref="FY190">INDEX(FX:FX,MIN(IF(ISNUMBER(FX190:FX386),ROW(FX190:FX386),"")))</f>
        <v>0</v>
      </c>
      <c r="FZ190" s="12">
        <f>IF('Données projet'!$A$254&gt;35,FZ189+FY190-GH189,IF(A190&lt;'Données projet'!$A$254,$FW$205^A190,IF(A190='Données projet'!$A$254,'Données projet'!$B$254,FZ189+FY190-GH189)))</f>
        <v>-1.7053025658242404E-13</v>
      </c>
      <c r="GA190" s="17">
        <f>FZ190*VLOOKUP('Données projet'!$B$17,Paramètres!$A$1:$I$89,3,0)*VLOOKUP('Données projet'!$B$17,Paramètres!$A$1:$I$89,5,0)</f>
        <v>-1.4897523215040567E-13</v>
      </c>
      <c r="GB190" s="13" t="e">
        <f t="shared" si="350"/>
        <v>#NUM!</v>
      </c>
      <c r="GC190" s="20" t="e">
        <f t="shared" si="351"/>
        <v>#NUM!</v>
      </c>
      <c r="GD190" s="59" t="e">
        <f t="shared" si="249"/>
        <v>#NUM!</v>
      </c>
      <c r="GE190" s="59">
        <f ca="1">AVERAGE(OFFSET($GD$3,0,0,'Données projet'!$E$17+1,1))-AVERAGE(OFFSET($H$3,0,0,'Données projet'!$E$17+1,1))</f>
        <v>245.1983232777614</v>
      </c>
      <c r="GF190" s="59">
        <f t="shared" si="303"/>
        <v>242.34010522344573</v>
      </c>
      <c r="GG190" s="15">
        <f>IF(ISNA(VLOOKUP(A190,'Données projet'!$A$253:$I$273,3,0)),0,VLOOKUP(A190,'Données projet'!$A$253:$I$273,3,0))</f>
        <v>0</v>
      </c>
      <c r="GH190" s="15">
        <f>IF(ISNA(VLOOKUP(A190,'Données projet'!$A$253:$I$273,4,0)),0,VLOOKUP(A190,'Données projet'!$A$253:$I$273,4,0))</f>
        <v>0</v>
      </c>
      <c r="GI190" s="16">
        <f>IF(ISNA(VLOOKUP(A190,'Données projet'!$A$253:$I$273,5,0)),0%,VLOOKUP(A190,'Données projet'!$A$253:$I$273,5,0)*VLOOKUP('Données projet'!$B$17,Paramètres!$A$1:$I$89,7,0))</f>
        <v>0</v>
      </c>
      <c r="GJ190" s="16">
        <f>IF(ISNA(VLOOKUP(A190,'Données projet'!$A$253:$I$273,6,0)),0%,VLOOKUP(A190,'Données projet'!$A$253:$I$273,6,0)*VLOOKUP('Données projet'!$B$17,Paramètres!$A$1:$I$89,7,0))</f>
        <v>0</v>
      </c>
      <c r="GK190" s="16">
        <f>IF(ISNA(VLOOKUP(A190,'Données projet'!$A$253:$I$273,7,0)),0%,VLOOKUP(A190,'Données projet'!$A$253:$I$273,7,0))</f>
        <v>0</v>
      </c>
      <c r="GL190" s="21">
        <f>EXP(-LN(2)/35)*GL189+(1-EXP(-LN(2)/35))/(LN(2)/35)*GH190*GI190*VLOOKUP('Données projet'!$B$17,Paramètres!$A$1:$I$89,3,0)*0.475*44/12</f>
        <v>14.804403786385075</v>
      </c>
      <c r="GM190" s="21">
        <f>EXP(-LN(2)/25)*GM189+(1-EXP(-LN(2)/25))/(LN(2)/25)*Calculateur!GH190*Calculateur!GJ190*VLOOKUP('Données projet'!$B$17,Paramètres!$A$1:$I$89,3,0)*0.475*44/12</f>
        <v>1.1209644356173671</v>
      </c>
      <c r="GN190" s="21">
        <f>EXP(-LN(2)/2)*GN189+(1-EXP(-LN(2)/2))/(LN(2)/2)*GH190*GK190*VLOOKUP('Données projet'!$B$17,Paramètres!$A$1:$I$89,3,0)*0.475*44/12</f>
        <v>0</v>
      </c>
      <c r="GO190" s="21">
        <f t="shared" si="352"/>
        <v>15.925368222002442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projet'!$A$279:$I$299,2,0)</f>
        <v>#N/A</v>
      </c>
      <c r="GS190" s="12" t="e">
        <f>VLOOKUP(A190,'Données projet'!$A$279:$I$299,9,0)</f>
        <v>#N/A</v>
      </c>
      <c r="GT190" s="12">
        <f t="array" ref="GT190">INDEX(GS:GS,MIN(IF(ISNUMBER(GS190:GS386),ROW(GS190:GS386),"")))</f>
        <v>0</v>
      </c>
      <c r="GU190" s="12">
        <f>IF('Données projet'!$A$280&gt;35,GU189+GT190-HC189,IF(A190&lt;'Données projet'!$A$280,$GR$205^A190,IF(A190='Données projet'!$A$280,'Données projet'!$B$280,GU189+GT190-HC189)))</f>
        <v>-1.1368683772161603E-13</v>
      </c>
      <c r="GV190" s="17">
        <f>GU190*VLOOKUP('Données projet'!$B$18,Paramètres!$A$1:$I$89,3,0)*VLOOKUP('Données projet'!$B$18,Paramètres!$A$1:$I$89,5,0)</f>
        <v>-4.5815795601811263E-14</v>
      </c>
      <c r="GW190" s="13" t="e">
        <f t="shared" si="353"/>
        <v>#NUM!</v>
      </c>
      <c r="GX190" s="20" t="e">
        <f t="shared" si="354"/>
        <v>#NUM!</v>
      </c>
      <c r="GY190" s="59" t="e">
        <f t="shared" si="252"/>
        <v>#NUM!</v>
      </c>
      <c r="GZ190" s="59">
        <f ca="1">AVERAGE(OFFSET($GY$3,0,0,'Données projet'!$E$18+1,1))-AVERAGE(OFFSET($H$3,0,0,'Données projet'!$E$18+1,1))</f>
        <v>324.36162935850876</v>
      </c>
      <c r="HA190" s="59">
        <f t="shared" si="305"/>
        <v>265.23571072429735</v>
      </c>
      <c r="HB190" s="15">
        <f>IF(ISNA(VLOOKUP(A190,'Données projet'!$A$279:$I$299,3,0)),0,VLOOKUP(A190,'Données projet'!$A$279:$I$299,3,0))</f>
        <v>0</v>
      </c>
      <c r="HC190" s="15">
        <f>IF(ISNA(VLOOKUP(A190,'Données projet'!$A$279:$I$299,4,0)),0,VLOOKUP(A190,'Données projet'!$A$279:$I$299,4,0))</f>
        <v>0</v>
      </c>
      <c r="HD190" s="16">
        <f>IF(ISNA(VLOOKUP(A190,'Données projet'!$A$279:$I$299,5,0)),0%,VLOOKUP(A190,'Données projet'!$A$279:$I$299,5,0)*VLOOKUP('Données projet'!$B$18,Paramètres!$A$1:$I$89,7,0))</f>
        <v>0</v>
      </c>
      <c r="HE190" s="16">
        <f>IF(ISNA(VLOOKUP(A190,'Données projet'!$A$279:$I$299,6,0)),0%,VLOOKUP(A190,'Données projet'!$A$279:$I$299,6,0)*VLOOKUP('Données projet'!$B$18,Paramètres!$A$1:$I$89,7,0))</f>
        <v>0</v>
      </c>
      <c r="HF190" s="16">
        <f>IF(ISNA(VLOOKUP($A190,'Données projet'!$A$279:$I$299,7,0)),0%,VLOOKUP($A190,'Données projet'!$A$279:$I$299,7,0))</f>
        <v>0</v>
      </c>
      <c r="HG190" s="21">
        <f>EXP(-LN(2)/35)*HG189+(1-EXP(-LN(2)/35))/(LN(2)/35)*HC190*HD190*VLOOKUP('Données projet'!$B$18,Paramètres!$A$1:$I$89,3,0)*0.475*44/12</f>
        <v>28.369107804336746</v>
      </c>
      <c r="HH190" s="21">
        <f>EXP(-LN(2)/25)*HH189+(1-EXP(-LN(2)/25))/(LN(2)/25)*Calculateur!HC190*Calculateur!HE190*VLOOKUP('Données projet'!$B$18,Paramètres!$A$1:$I$89,3,0)*0.475*44/12</f>
        <v>1.2467129548924112</v>
      </c>
      <c r="HI190" s="21">
        <f>EXP(-LN(2)/2)*HI189+(1-EXP(-LN(2)/2))/(LN(2)/2)*HC190*HF190*VLOOKUP('Données projet'!$B$18,Paramètres!$A$1:$I$89,3,0)*0.475*44/12</f>
        <v>6.7099547537430827E-16</v>
      </c>
      <c r="HJ190" s="22">
        <f t="shared" si="355"/>
        <v>29.615820759229159</v>
      </c>
      <c r="HK190" s="74">
        <f>('Scénario référence'!$F$8+'Scénario référence'!$F$9+'Scénario référence'!$B$17+'Scénario référence'!$B$9+'Scénario référence'!$B$10)*70+IF((45+25*(1-EXP(-0.0175*$A190)))&lt;70,'Scénario référence'!$B$16*(45+25*(1-EXP(-0.0175*$A190))),70*'Scénario référence'!$B$16)+IF((32+38*(1-EXP(-0.0175*$A190)))&lt;70,'Scénario référence'!$B$18*(32+38*(1-EXP(-0.0175*$A190))),70*'Scénario référence'!$B$18)</f>
        <v>70</v>
      </c>
      <c r="HL190" s="12">
        <f>IF($A190&gt;30,10,('Scénario référence'!$B$16+'Scénario référence'!$B$17+'Scénario référence'!$B$18+'Scénario référence'!$B$9+'Scénario référence'!$B$10)*$A190*10/30+('Scénario référence'!$F$8+'Scénario référence'!$F$9)*10)</f>
        <v>10</v>
      </c>
      <c r="HM190" s="12" t="e">
        <f>VLOOKUP($A190,'Données projet'!$A$304:$I$324,2,0)</f>
        <v>#N/A</v>
      </c>
      <c r="HN190" s="12" t="e">
        <f>VLOOKUP($A190,'Données projet'!$A$304:$I$324,9,0)</f>
        <v>#N/A</v>
      </c>
      <c r="HO190" s="12">
        <f t="array" ref="HO190">INDEX(HN:HN,MIN(IF(ISNUMBER(HN190:HN386),ROW(HN190:HN386),"")))</f>
        <v>0</v>
      </c>
      <c r="HP190" s="12">
        <f>IF('Données projet'!$A$304&gt;35,HP189+HO190-HX189,IF($A190&lt;'Données projet'!$A$304,$CQ$205^$A190,IF($A190='Données projet'!$A$304,'Données projet'!$B$304,HP189+HO190-HX189)))</f>
        <v>0</v>
      </c>
      <c r="HQ190" s="17">
        <f>HP190*VLOOKUP('Données projet'!$B$19,Paramètres!$A$1:$I$89,3,0)*VLOOKUP('Données projet'!$B$19,Paramètres!$A$1:$I$89,5,0)</f>
        <v>0</v>
      </c>
      <c r="HR190" s="13" t="e">
        <f t="shared" si="306"/>
        <v>#NUM!</v>
      </c>
      <c r="HS190" s="14" t="e">
        <f t="shared" si="254"/>
        <v>#NUM!</v>
      </c>
      <c r="HT190" s="59" t="e">
        <f t="shared" si="255"/>
        <v>#NUM!</v>
      </c>
      <c r="HU190" s="59">
        <f ca="1">AVERAGE(OFFSET(HT$3,0,0,'Données projet'!$E$19+1,1))-AVERAGE(OFFSET($H$3,0,0,'Données projet'!$E$19+1,1))</f>
        <v>91.60721429656013</v>
      </c>
      <c r="HV190" s="59">
        <f t="shared" si="307"/>
        <v>258.94957804210856</v>
      </c>
      <c r="HW190" s="15">
        <f>IF(ISNA(VLOOKUP($A190,'Données projet'!$A$304:$I$324,3,0)),0,VLOOKUP($A190,'Données projet'!$A$304:$I$324,3,0))</f>
        <v>0</v>
      </c>
      <c r="HX190" s="15">
        <f>IF(ISNA(VLOOKUP($A190,'Données projet'!$A$304:$I$324,4,0)),0,VLOOKUP($A190,'Données projet'!$A$304:$I$324,4,0))</f>
        <v>0</v>
      </c>
      <c r="HY190" s="16">
        <f>IF(ISNA(VLOOKUP($A190,'Données projet'!$A$304:$I$324,5,0)),0%,VLOOKUP($A190,'Données projet'!$A$304:$I$324,5,0)*VLOOKUP('Données projet'!$B$19,Paramètres!$A$1:$I$89,7,0))</f>
        <v>0</v>
      </c>
      <c r="HZ190" s="16">
        <f>IF(ISNA(VLOOKUP($A190,'Données projet'!$A$304:$I$324,6,0)),0%,VLOOKUP($A190,'Données projet'!$A$304:$I$324,6,0)*VLOOKUP('Données projet'!$B$19,Paramètres!$A$1:$I$89,7,0))</f>
        <v>0</v>
      </c>
      <c r="IA190" s="16">
        <f>IF(ISNA(VLOOKUP($A190,'Données projet'!$A$304:$I$324,7,0)),0%,VLOOKUP($A190,'Données projet'!$A$304:$I$324,7,0))</f>
        <v>0</v>
      </c>
      <c r="IB190" s="21">
        <f>EXP(-LN(2)/35)*IB189+(1-EXP(-LN(2)/35))/(LN(2)/35)*HX190*HY190*VLOOKUP('Données projet'!$B$19,Paramètres!$A$1:$I$89,3,0)*0.475*44/12</f>
        <v>2.201914111517397</v>
      </c>
      <c r="IC190" s="21">
        <f>EXP(-LN(2)/25)*IC189+(1-EXP(-LN(2)/25))/(LN(2)/25)*Calculateur!HX190*Calculateur!HZ190*VLOOKUP('Données projet'!$B$19,Paramètres!$A$1:$I$89,3,0)*0.475*44/12</f>
        <v>0.12518231732660901</v>
      </c>
      <c r="ID190" s="21">
        <f>EXP(-LN(2)/2)*ID189+(1-EXP(-LN(2)/2))/(LN(2)/2)*HX190*IA190*VLOOKUP('Données projet'!$B$19,Paramètres!$A$1:$I$89,3,0)*0.475*44/12</f>
        <v>1.3402567723524363E-24</v>
      </c>
      <c r="IE190" s="22">
        <f t="shared" si="256"/>
        <v>2.3270964288440061</v>
      </c>
      <c r="IF190" s="74">
        <f>('Scénario référence'!$F$8+'Scénario référence'!$F$9+'Scénario référence'!$B$17+'Scénario référence'!$B$9+'Scénario référence'!$B$10)*70+IF((45+25*(1-EXP(-0.0175*$A190)))&lt;70,'Scénario référence'!$B$16*(45+25*(1-EXP(-0.0175*$A190))),70*'Scénario référence'!$B$16)+IF((32+38*(1-EXP(-0.0175*$A190)))&lt;70,'Scénario référence'!$B$18*(32+38*(1-EXP(-0.0175*$A190))),70*'Scénario référence'!$B$18)</f>
        <v>70</v>
      </c>
      <c r="IG190" s="12">
        <f>IF($A190&gt;30,10,('Scénario référence'!$B$16+'Scénario référence'!$B$17+'Scénario référence'!$B$18+'Scénario référence'!$B$9+'Scénario référence'!$B$10)*$A190*10/30+('Scénario référence'!$F$8+'Scénario référence'!$F$9)*10)</f>
        <v>10</v>
      </c>
      <c r="IH190" s="12" t="e">
        <f>VLOOKUP($A190,'Données projet'!$A$330:$I$350,2,0)</f>
        <v>#N/A</v>
      </c>
      <c r="II190" s="12" t="e">
        <f>VLOOKUP($A190,'Données projet'!$A$330:$I$350,9,0)</f>
        <v>#N/A</v>
      </c>
      <c r="IJ190" s="12">
        <f t="array" ref="IJ190">INDEX(II:II,MIN(IF(ISNUMBER(II190:II386),ROW(II190:II386),"")))</f>
        <v>0</v>
      </c>
      <c r="IK190" s="12">
        <f>IF('Données projet'!$A$330&gt;35,IK189+IJ190-IS189,IF($A190&lt;'Données projet'!$A$330,$CQ$205^$A190,IF($A190='Données projet'!$A$330,'Données projet'!$B$330,IK189+IJ190-IS189)))</f>
        <v>0</v>
      </c>
      <c r="IL190" s="17">
        <f>IK190*VLOOKUP('Données projet'!$B$20,Paramètres!$A$1:$I$89,3,0)*VLOOKUP('Données projet'!$B$20,Paramètres!$A$1:$I$89,5,0)</f>
        <v>0</v>
      </c>
      <c r="IM190" s="13" t="e">
        <f t="shared" si="308"/>
        <v>#NUM!</v>
      </c>
      <c r="IN190" s="20" t="e">
        <f t="shared" si="257"/>
        <v>#NUM!</v>
      </c>
      <c r="IO190" s="59" t="e">
        <f t="shared" si="258"/>
        <v>#NUM!</v>
      </c>
      <c r="IP190" s="59">
        <f ca="1">AVERAGE(OFFSET(IO$3,0,0,'Données projet'!$E$20+1,1))-AVERAGE(OFFSET($H$3,0,0,'Données projet'!$E$20+1,1))</f>
        <v>91.60721429656013</v>
      </c>
      <c r="IQ190" s="59">
        <f t="shared" si="309"/>
        <v>258.94957804210856</v>
      </c>
      <c r="IR190" s="15">
        <f>IF(ISNA(VLOOKUP($A190,'Données projet'!$A$330:$I$350,3,0)),0,VLOOKUP($A190,'Données projet'!$A$330:$I$350,3,0))</f>
        <v>0</v>
      </c>
      <c r="IS190" s="15">
        <f>IF(ISNA(VLOOKUP($A190,'Données projet'!$A$330:$I$350,4,0)),0,VLOOKUP($A190,'Données projet'!$A$330:$I$350,4,0))</f>
        <v>0</v>
      </c>
      <c r="IT190" s="16">
        <f>IF(ISNA(VLOOKUP($A190,'Données projet'!$A$330:$I$350,5,0)),0%,VLOOKUP($A190,'Données projet'!$A$330:$I$350,5,0)*VLOOKUP('Données projet'!$B$20,Paramètres!$A$1:$I$89,7,0))</f>
        <v>0</v>
      </c>
      <c r="IU190" s="16">
        <f>IF(ISNA(VLOOKUP($A190,'Données projet'!$A$330:$I$350,6,0)),0%,VLOOKUP($A190,'Données projet'!$A$330:$I$350,6,0)*VLOOKUP('Données projet'!$B$20,Paramètres!$A$1:$I$89,7,0))</f>
        <v>0</v>
      </c>
      <c r="IV190" s="16">
        <f>IF(ISNA(VLOOKUP($A190,'Données projet'!$A$330:$I$350,7,0)),0%,VLOOKUP($A190,'Données projet'!$A$330:$I$350,7,0))</f>
        <v>0</v>
      </c>
      <c r="IW190" s="21">
        <f>EXP(-LN(2)/35)*IW189+(1-EXP(-LN(2)/35))/(LN(2)/35)*IS190*IT190*VLOOKUP('Données projet'!$B$20,Paramètres!$A$1:$I$89,3,0)*0.475*44/12</f>
        <v>2.201914111517397</v>
      </c>
      <c r="IX190" s="21">
        <f>EXP(-LN(2)/25)*IX189+(1-EXP(-LN(2)/25))/(LN(2)/25)*Calculateur!IS190*Calculateur!IU190*VLOOKUP('Données projet'!$B$20,Paramètres!$A$1:$I$89,3,0)*0.475*44/12</f>
        <v>0.12518231732660901</v>
      </c>
      <c r="IY190" s="21">
        <f>EXP(-LN(2)/2)*IY189+(1-EXP(-LN(2)/2))/(LN(2)/2)*IS190*IV190*VLOOKUP('Données projet'!$B$20,Paramètres!$A$1:$I$89,3,0)*0.475*44/12</f>
        <v>1.3402567723524363E-24</v>
      </c>
      <c r="IZ190" s="22">
        <f t="shared" si="259"/>
        <v>2.3270964288440061</v>
      </c>
      <c r="JA190" s="74">
        <f>('Scénario référence'!$F$8+'Scénario référence'!$F$9+'Scénario référence'!$B$17+'Scénario référence'!$B$9+'Scénario référence'!$B$10)*70+IF((45+25*(1-EXP(-0.0175*$A190)))&lt;70,'Scénario référence'!$B$16*(45+25*(1-EXP(-0.0175*$A190))),70*'Scénario référence'!$B$16)+IF((32+38*(1-EXP(-0.0175*$A190)))&lt;70,'Scénario référence'!$B$18*(32+38*(1-EXP(-0.0175*$A190))),70*'Scénario référence'!$B$18)</f>
        <v>70</v>
      </c>
      <c r="JB190" s="12">
        <f>IF($A190&gt;30,10,('Scénario référence'!$B$16+'Scénario référence'!$B$17+'Scénario référence'!$B$18+'Scénario référence'!$B$9+'Scénario référence'!$B$10)*$A190*10/30+('Scénario référence'!$F$8+'Scénario référence'!$F$9)*10)</f>
        <v>10</v>
      </c>
      <c r="JC190" s="12" t="e">
        <f>VLOOKUP($A190,'Données projet'!$A$356:$I$376,2,0)</f>
        <v>#N/A</v>
      </c>
      <c r="JD190" s="12" t="e">
        <f>VLOOKUP($A190,'Données projet'!$A$356:$I$376,9,0)</f>
        <v>#N/A</v>
      </c>
      <c r="JE190" s="12">
        <f t="array" ref="JE190">INDEX(JD:JD,MIN(IF(ISNUMBER(JD190:JD386),ROW(JD190:JD386),"")))</f>
        <v>0</v>
      </c>
      <c r="JF190" s="12">
        <f>IF('Données projet'!$A$356&gt;35,JF189+JE190-JN189,IF($A190&lt;'Données projet'!$A$356,$CQ$205^$A190,IF($A190='Données projet'!$A$356,'Données projet'!$B$356,JF189+JE190-JN189)))</f>
        <v>-1.3073986337985843E-12</v>
      </c>
      <c r="JG190" s="17">
        <f>JF190*VLOOKUP('Données projet'!$B$21,Paramètres!$A$1:$I$89,3,0)*VLOOKUP('Données projet'!$B$21,Paramètres!$A$1:$I$89,5,0)</f>
        <v>-1.0605617717374117E-12</v>
      </c>
      <c r="JH190" s="13" t="e">
        <f t="shared" si="310"/>
        <v>#NUM!</v>
      </c>
      <c r="JI190" s="20" t="e">
        <f t="shared" si="260"/>
        <v>#NUM!</v>
      </c>
      <c r="JJ190" s="59" t="e">
        <f t="shared" si="261"/>
        <v>#NUM!</v>
      </c>
      <c r="JK190" s="59">
        <f ca="1">AVERAGE(OFFSET($JJ$3,0,0,'Données projet'!$E$22+1,1))-AVERAGE(OFFSET($H$3,0,0,'Données projet'!$E$22+1,1))</f>
        <v>353.35574633294613</v>
      </c>
      <c r="JL190" s="59">
        <f t="shared" si="311"/>
        <v>170.36796666474726</v>
      </c>
      <c r="JM190" s="15">
        <f>IF(ISNA(VLOOKUP($A190,'Données projet'!$A$356:$I$376,3,0)),0,VLOOKUP($A190,'Données projet'!$A$356:$I$376,3,0))</f>
        <v>0</v>
      </c>
      <c r="JN190" s="15">
        <f>IF(ISNA(VLOOKUP($A190,'Données projet'!$A$356:$I$376,4,0)),0,VLOOKUP($A190,'Données projet'!$A$356:$I$376,4,0))</f>
        <v>0</v>
      </c>
      <c r="JO190" s="16">
        <f>IF(ISNA(VLOOKUP($A190,'Données projet'!$A$356:$I$376,5,0)),0%,VLOOKUP($A190,'Données projet'!$A$356:$I$376,5,0)*VLOOKUP('Données projet'!$B$21,Paramètres!$A$1:$I$89,7,0))</f>
        <v>0</v>
      </c>
      <c r="JP190" s="16">
        <f>IF(ISNA(VLOOKUP($A190,'Données projet'!$A$356:$I$376,6,0)),0%,VLOOKUP($A190,'Données projet'!$A$356:$I$376,6,0)*VLOOKUP('Données projet'!$B$21,Paramètres!$A$1:$I$89,7,0))</f>
        <v>0</v>
      </c>
      <c r="JQ190" s="16">
        <f>IF(ISNA(VLOOKUP($A190,'Données projet'!$A$356:$I$376,7,0)),0%,VLOOKUP($A190,'Données projet'!$A$356:$I$376,7,0))</f>
        <v>0</v>
      </c>
      <c r="JR190" s="21">
        <f>EXP(-LN(2)/35)*JR189+(1-EXP(-LN(2)/35))/(LN(2)/35)*JN190*JO190*VLOOKUP('Données projet'!$B$21,Paramètres!$A$1:$I$89,3,0)*0.475*44/12</f>
        <v>35.299966537034507</v>
      </c>
      <c r="JS190" s="21">
        <f>EXP(-LN(2)/25)*JS189+(1-EXP(-LN(2)/25))/(LN(2)/25)*Calculateur!JN190*Calculateur!JP190*VLOOKUP('Données projet'!$B$21,Paramètres!$A$1:$I$89,3,0)*0.475*44/12</f>
        <v>27.398196906923758</v>
      </c>
      <c r="JT190" s="21">
        <f>EXP(-LN(2)/2)*JT189+(1-EXP(-LN(2)/2))/(LN(2)/2)*JN190*JQ190*VLOOKUP('Données projet'!$B$21,Paramètres!$A$1:$I$89,3,0)*0.475*44/12</f>
        <v>9.2496288117743981E-5</v>
      </c>
      <c r="JU190" s="18">
        <f t="shared" si="262"/>
        <v>62.698255940246383</v>
      </c>
      <c r="JV190" s="74">
        <f>('Scénario référence'!$F$8+'Scénario référence'!$F$9+'Scénario référence'!$B$17+'Scénario référence'!$B$9+'Scénario référence'!$B$10)*70+IF((45+25*(1-EXP(-0.0175*$A190)))&lt;70,'Scénario référence'!$B$16*(45+25*(1-EXP(-0.0175*$A190))),70*'Scénario référence'!$B$16)+IF((32+38*(1-EXP(-0.0175*$A190)))&lt;70,'Scénario référence'!$B$18*(32+38*(1-EXP(-0.0175*$A190))),70*'Scénario référence'!$B$18)</f>
        <v>70</v>
      </c>
      <c r="JW190" s="12">
        <f>IF($A190&gt;30,10,('Scénario référence'!$B$16+'Scénario référence'!$B$17+'Scénario référence'!$B$18+'Scénario référence'!$B$9+'Scénario référence'!$B$10)*$A190*10/30+('Scénario référence'!$F$8+'Scénario référence'!$F$9)*10)</f>
        <v>10</v>
      </c>
      <c r="JX190" s="12" t="e">
        <f>VLOOKUP($A190,'Données projet'!$A$382:$I$402,2,0)</f>
        <v>#N/A</v>
      </c>
      <c r="JY190" s="12" t="e">
        <f>VLOOKUP($A190,'Données projet'!$A$382:$I$402,9,0)</f>
        <v>#N/A</v>
      </c>
      <c r="JZ190" s="12">
        <f t="array" ref="JZ190">INDEX(JY:JY,MIN(IF(ISNUMBER(JY190:JY386),ROW(JY190:JY386),"")))</f>
        <v>0</v>
      </c>
      <c r="KA190" s="12">
        <f>IF('Données projet'!$A$382&gt;35,KA189+JZ190-KI189,IF($A190&lt;'Données projet'!$A$382,$CQ$205^$A190,IF($A190='Données projet'!$A$382,'Données projet'!$B$382,KA189+JZ190-KI189)))</f>
        <v>5.6843418860808015E-13</v>
      </c>
      <c r="KB190" s="17">
        <f>KA190*VLOOKUP('Données projet'!$B$22,Paramètres!$A$1:$I$89,3,0)*VLOOKUP('Données projet'!$B$22,Paramètres!$A$1:$I$89,5,0)</f>
        <v>3.8130565371830017E-13</v>
      </c>
      <c r="KC190" s="13">
        <f t="shared" si="312"/>
        <v>4.9019074112354236E-12</v>
      </c>
      <c r="KD190" s="20">
        <f t="shared" si="263"/>
        <v>9.2015960881277352E-12</v>
      </c>
      <c r="KE190" s="59">
        <f t="shared" si="264"/>
        <v>293.33333333334252</v>
      </c>
      <c r="KF190" s="59">
        <f ca="1">AVERAGE(OFFSET($KE$3,0,0,'Données projet'!$E$22+1,1))-AVERAGE(OFFSET($H$3,0,0,'Données projet'!$E$22+1,1))</f>
        <v>193.91714772848269</v>
      </c>
      <c r="KG190" s="59">
        <f t="shared" si="313"/>
        <v>159.20429420478047</v>
      </c>
      <c r="KH190" s="15">
        <f>IF(ISNA(VLOOKUP($A190,'Données projet'!$A$382:$I$402,3,0)),0,VLOOKUP($A190,'Données projet'!$A$382:$I$402,3,0))</f>
        <v>0</v>
      </c>
      <c r="KI190" s="15">
        <f>IF(ISNA(VLOOKUP($A190,'Données projet'!$A$382:$I$402,4,0)),0,VLOOKUP($A190,'Données projet'!$A$382:$I$402,4,0))</f>
        <v>0</v>
      </c>
      <c r="KJ190" s="16">
        <f>IF(ISNA(VLOOKUP($A190,'Données projet'!$A$382:$I$402,5,0)),0%,VLOOKUP($A190,'Données projet'!$A$382:$I$402,5,0)*VLOOKUP('Données projet'!$B$22,Paramètres!$A$1:$I$89,7,0))</f>
        <v>0</v>
      </c>
      <c r="KK190" s="16">
        <f>IF(ISNA(VLOOKUP($A190,'Données projet'!$A$382:$I$402,6,0)),0%,VLOOKUP($A190,'Données projet'!$A$382:$I$402,6,0)*VLOOKUP('Données projet'!$B$22,Paramètres!$A$1:$I$89,7,0))</f>
        <v>0</v>
      </c>
      <c r="KL190" s="16">
        <f>IF(ISNA(VLOOKUP($A190,'Données projet'!$A$382:$I$402,7,0)),0%,VLOOKUP($A190,'Données projet'!$A$382:$I$402,7,0))</f>
        <v>0</v>
      </c>
      <c r="KM190" s="21">
        <f>EXP(-LN(2)/35)*KM189+(1-EXP(-LN(2)/35))/(LN(2)/35)*KI190*KJ190*VLOOKUP('Données projet'!$B$22,Paramètres!$A$1:$I$89,3,0)*0.475*44/12</f>
        <v>51.541847172706539</v>
      </c>
      <c r="KN190" s="21">
        <f>EXP(-LN(2)/25)*KN189+(1-EXP(-LN(2)/25))/(LN(2)/25)*Calculateur!KI190*Calculateur!KK190*VLOOKUP('Données projet'!$B$22,Paramètres!$A$1:$I$89,3,0)*0.475*44/12</f>
        <v>0</v>
      </c>
      <c r="KO190" s="21">
        <f>EXP(-LN(2)/2)*KO189+(1-EXP(-LN(2)/2))/(LN(2)/2)*KI190*KL190*VLOOKUP('Données projet'!$B$22,Paramètres!$A$1:$I$89,3,0)*0.475*44/12</f>
        <v>0</v>
      </c>
      <c r="KP190" s="22">
        <f t="shared" si="265"/>
        <v>51.541847172706539</v>
      </c>
      <c r="KQ190" s="74">
        <f>('Scénario référence'!$F$8+'Scénario référence'!$F$9+'Scénario référence'!$B$17+'Scénario référence'!$B$9+'Scénario référence'!$B$10)*70+IF((45+25*(1-EXP(-0.0175*$A190)))&lt;70,'Scénario référence'!$B$16*(45+25*(1-EXP(-0.0175*$A190))),70*'Scénario référence'!$B$16)+IF((32+38*(1-EXP(-0.0175*$A190)))&lt;70,'Scénario référence'!$B$18*(32+38*(1-EXP(-0.0175*$A190))),70*'Scénario référence'!$B$18)</f>
        <v>70</v>
      </c>
      <c r="KR190" s="12">
        <f>IF($A190&gt;30,10,('Scénario référence'!$B$16+'Scénario référence'!$B$17+'Scénario référence'!$B$18+'Scénario référence'!$B$9+'Scénario référence'!$B$10)*$A190*10/30+('Scénario référence'!$F$8+'Scénario référence'!$F$9)*10)</f>
        <v>10</v>
      </c>
      <c r="KS190" s="12" t="e">
        <f>VLOOKUP($A190,'Données projet'!$A$408:$I$428,2,0)</f>
        <v>#N/A</v>
      </c>
      <c r="KT190" s="12" t="e">
        <f>VLOOKUP($A190,'Données projet'!$A$408:$I$428,9,0)</f>
        <v>#N/A</v>
      </c>
      <c r="KU190" s="12">
        <f t="array" ref="KU190">INDEX(KT:KT,MIN(IF(ISNUMBER(KT190:KT386),ROW(KT190:KT386),"")))</f>
        <v>0</v>
      </c>
      <c r="KV190" s="12">
        <f>IF('Données projet'!$A$408&gt;35,KV189+KU190-LD189,IF($A190&lt;'Données projet'!$A$408,$CQ$205^$A190,IF($A190='Données projet'!$A$408,'Données projet'!$B$408,KV189+KU190-LD189)))</f>
        <v>-1.1368683772161603E-13</v>
      </c>
      <c r="KW190" s="17">
        <f>KV190*VLOOKUP('Données projet'!$B$23,Paramètres!$A$1:$I$89,3,0)*VLOOKUP('Données projet'!$B$23,Paramètres!$A$1:$I$89,5,0)</f>
        <v>-9.9316821433603781E-14</v>
      </c>
      <c r="KX190" s="13" t="e">
        <f t="shared" si="314"/>
        <v>#NUM!</v>
      </c>
      <c r="KY190" s="14" t="e">
        <f t="shared" si="266"/>
        <v>#NUM!</v>
      </c>
      <c r="KZ190" s="59" t="e">
        <f t="shared" si="267"/>
        <v>#NUM!</v>
      </c>
      <c r="LA190" s="59">
        <f ca="1">AVERAGE(OFFSET($KZ$3,0,0,'Données projet'!$E$23+1,1))-AVERAGE(OFFSET($H$3,0,0,'Données projet'!$E$23+1,1))</f>
        <v>248.33596943633819</v>
      </c>
      <c r="LB190" s="59">
        <f t="shared" si="315"/>
        <v>242.34010522344573</v>
      </c>
      <c r="LC190" s="15">
        <f>IF(ISNA(VLOOKUP($A190,'Données projet'!$A$408:$I$428,3,0)),0,VLOOKUP($A190,'Données projet'!$A$408:$I$428,3,0))</f>
        <v>0</v>
      </c>
      <c r="LD190" s="15">
        <f>IF(ISNA(VLOOKUP($A190,'Données projet'!$A$408:$I$428,4,0)),0,VLOOKUP($A190,'Données projet'!$A$408:$I$428,4,0))</f>
        <v>0</v>
      </c>
      <c r="LE190" s="16">
        <f>IF(ISNA(VLOOKUP($A190,'Données projet'!$A$408:$I$428,5,0)),0%,VLOOKUP($A190,'Données projet'!$A$408:$I$428,5,0)*VLOOKUP('Données projet'!$B$23,Paramètres!$A$1:$I$89,7,0))</f>
        <v>0</v>
      </c>
      <c r="LF190" s="16">
        <f>IF(ISNA(VLOOKUP($A190,'Données projet'!$A$408:$I$428,6,0)),0%,VLOOKUP($A190,'Données projet'!$A$408:$I$428,6,0)*VLOOKUP('Données projet'!$B$23,Paramètres!$A$1:$I$89,7,0))</f>
        <v>0</v>
      </c>
      <c r="LG190" s="16">
        <f>IF(ISNA(VLOOKUP($A190,'Données projet'!$A$408:$I$428,7,0)),0%,VLOOKUP($A190,'Données projet'!$A$408:$I$428,7,0))</f>
        <v>0</v>
      </c>
      <c r="LH190" s="21">
        <f>EXP(-LN(2)/35)*LH189+(1-EXP(-LN(2)/35))/(LN(2)/35)*LD190*LE190*VLOOKUP('Données projet'!$B$23,Paramètres!$A$1:$I$89,3,0)*0.475*44/12</f>
        <v>14.804403786385075</v>
      </c>
      <c r="LI190" s="21">
        <f>EXP(-LN(2)/25)*LI189+(1-EXP(-LN(2)/25))/(LN(2)/25)*Calculateur!LD190*Calculateur!LF190*VLOOKUP('Données projet'!$B$23,Paramètres!$A$1:$I$89,3,0)*0.475*44/12</f>
        <v>1.1209644356173671</v>
      </c>
      <c r="LJ190" s="21">
        <f>EXP(-LN(2)/2)*LJ189+(1-EXP(-LN(2)/2))/(LN(2)/2)*LD190*LG190*VLOOKUP('Données projet'!$B$23,Paramètres!$A$1:$I$89,3,0)*0.475*44/12</f>
        <v>0</v>
      </c>
      <c r="LK190" s="22">
        <f t="shared" si="268"/>
        <v>15.925368222002442</v>
      </c>
      <c r="LL190" s="74">
        <f>('Scénario référence'!$F$8+'Scénario référence'!$F$9+'Scénario référence'!$B$17+'Scénario référence'!$B$9+'Scénario référence'!$B$10)*70+IF((45+25*(1-EXP(-0.0175*$A190)))&lt;70,'Scénario référence'!$B$16*(45+25*(1-EXP(-0.0175*$A190))),70*'Scénario référence'!$B$16)+IF((32+38*(1-EXP(-0.0175*$A190)))&lt;70,'Scénario référence'!$B$18*(32+38*(1-EXP(-0.0175*$A190))),70*'Scénario référence'!$B$18)</f>
        <v>70</v>
      </c>
      <c r="LM190" s="12">
        <f>IF($A190&gt;30,10,('Scénario référence'!$B$16+'Scénario référence'!$B$17+'Scénario référence'!$B$18+'Scénario référence'!$B$9+'Scénario référence'!$B$10)*$A190*10/30+('Scénario référence'!$F$8+'Scénario référence'!$F$9)*10)</f>
        <v>10</v>
      </c>
      <c r="LN190" s="12" t="e">
        <f>VLOOKUP($A190,'Données projet'!$A$434:$I$454,2,0)</f>
        <v>#N/A</v>
      </c>
      <c r="LO190" s="12" t="e">
        <f>VLOOKUP($A190,'Données projet'!$A$434:$I$454,9,0)</f>
        <v>#N/A</v>
      </c>
      <c r="LP190" s="12">
        <f t="array" ref="LP190">INDEX(LO:LO,MIN(IF(ISNUMBER(LO190:LO386),ROW(LO190:LO386),"")))</f>
        <v>0</v>
      </c>
      <c r="LQ190" s="12">
        <f>IF('Données projet'!$A$434&gt;35,LQ189+LP190-LY189,IF($A190&lt;'Données projet'!$A$434,$CQ$205^$A190,IF($A190='Données projet'!$A$434,'Données projet'!$B$434,LQ189+LP190-LY189)))</f>
        <v>-4.5474735088646412E-13</v>
      </c>
      <c r="LR190" s="17">
        <f>LQ190*VLOOKUP('Données projet'!$B$24,Paramètres!$A$1:$I$89,3,0)*VLOOKUP('Données projet'!$B$24,Paramètres!$A$1:$I$89,5,0)</f>
        <v>-4.6111381379887462E-13</v>
      </c>
      <c r="LS190" s="13" t="e">
        <f t="shared" si="316"/>
        <v>#NUM!</v>
      </c>
      <c r="LT190" s="14" t="e">
        <f t="shared" si="269"/>
        <v>#NUM!</v>
      </c>
      <c r="LU190" s="59" t="e">
        <f t="shared" si="270"/>
        <v>#NUM!</v>
      </c>
      <c r="LV190" s="59">
        <f ca="1">AVERAGE(OFFSET($LU$3,0,0,'Données projet'!$E$24+1,1))-AVERAGE(OFFSET($H$3,0,0,'Données projet'!$E$24+1,1))</f>
        <v>260.52627655062872</v>
      </c>
      <c r="LW190" s="59">
        <f t="shared" si="317"/>
        <v>159.20429420478047</v>
      </c>
      <c r="LX190" s="15">
        <f>IF(ISNA(VLOOKUP($A190,'Données projet'!$A$434:$I$454,3,0)),0,VLOOKUP($A190,'Données projet'!$A$434:$I$454,3,0))</f>
        <v>0</v>
      </c>
      <c r="LY190" s="15">
        <f>IF(ISNA(VLOOKUP($A190,'Données projet'!$A$434:$I$454,4,0)),0,VLOOKUP($A190,'Données projet'!$A$434:$I$454,4,0))</f>
        <v>0</v>
      </c>
      <c r="LZ190" s="16">
        <f>IF(ISNA(VLOOKUP($A190,'Données projet'!$A$434:$I$454,5,0)),0%,VLOOKUP($A190,'Données projet'!$A$434:$I$454,5,0)*VLOOKUP('Données projet'!$B$24,Paramètres!$A$1:$I$89,7,0))</f>
        <v>0</v>
      </c>
      <c r="MA190" s="16">
        <f>IF(ISNA(VLOOKUP($A190,'Données projet'!$A$434:$I$454,6,0)),0%,VLOOKUP($A190,'Données projet'!$A$434:$I$454,6,0)*VLOOKUP('Données projet'!$B$24,Paramètres!$A$1:$I$89,7,0))</f>
        <v>0</v>
      </c>
      <c r="MB190" s="16">
        <f>IF(ISNA(VLOOKUP($A190,'Données projet'!$A$434:$I$454,7,0)),0%,VLOOKUP($A190,'Données projet'!$A$434:$I$454,7,0))</f>
        <v>0</v>
      </c>
      <c r="MC190" s="21">
        <f>EXP(-LN(2)/35)*MC189+(1-EXP(-LN(2)/35))/(LN(2)/35)*LY190*LZ190*VLOOKUP('Données projet'!$B$24,Paramètres!$A$1:$I$89,3,0)*0.475*44/12</f>
        <v>95.187287909595824</v>
      </c>
      <c r="MD190" s="21">
        <f>EXP(-LN(2)/25)*MD189+(1-EXP(-LN(2)/25))/(LN(2)/25)*Calculateur!LY190*Calculateur!MA190*VLOOKUP('Données projet'!$B$24,Paramètres!$A$1:$I$89,3,0)*0.475*44/12</f>
        <v>0</v>
      </c>
      <c r="ME190" s="21">
        <f>EXP(-LN(2)/2)*ME189+(1-EXP(-LN(2)/2))/(LN(2)/2)*LY190*MB190*VLOOKUP('Données projet'!$B$24,Paramètres!$A$1:$I$89,3,0)*0.475*44/12</f>
        <v>0</v>
      </c>
      <c r="MF190" s="22">
        <f t="shared" si="271"/>
        <v>95.187287909595824</v>
      </c>
      <c r="MG190" s="74">
        <f>('Scénario référence'!$F$8+'Scénario référence'!$F$9+'Scénario référence'!$B$17+'Scénario référence'!$B$9+'Scénario référence'!$B$10)*70+IF((45+25*(1-EXP(-0.0175*$A190)))&lt;70,'Scénario référence'!$B$16*(45+25*(1-EXP(-0.0175*$A190))),70*'Scénario référence'!$B$16)+IF((32+38*(1-EXP(-0.0175*$A190)))&lt;70,'Scénario référence'!$B$18*(32+38*(1-EXP(-0.0175*$A190))),70*'Scénario référence'!$B$18)</f>
        <v>70</v>
      </c>
      <c r="MH190" s="12">
        <f>IF($A190&gt;30,10,('Scénario référence'!$B$16+'Scénario référence'!$B$17+'Scénario référence'!$B$18+'Scénario référence'!$B$9+'Scénario référence'!$B$10)*$A190*10/30+('Scénario référence'!$F$8+'Scénario référence'!$F$9)*10)</f>
        <v>10</v>
      </c>
      <c r="MI190" s="12" t="e">
        <f>VLOOKUP($A190,'Données projet'!$A$460:$I$480,2,0)</f>
        <v>#N/A</v>
      </c>
      <c r="MJ190" s="12" t="e">
        <f>VLOOKUP($A190,'Données projet'!$A$460:$I$480,9,0)</f>
        <v>#N/A</v>
      </c>
      <c r="MK190" s="12">
        <f t="array" ref="MK190">INDEX(MJ:MJ,MIN(IF(ISNUMBER(MJ190:MJ386),ROW(MJ190:MJ386),"")))</f>
        <v>0</v>
      </c>
      <c r="ML190" s="12">
        <f>IF('Données projet'!$A$460&gt;35,ML189+MK190-MT189,IF($A190&lt;'Données projet'!$A$460,$CQ$205^$A190,IF($A190='Données projet'!$A$460,'Données projet'!$B$460,ML189+MK190-MT189)))</f>
        <v>0</v>
      </c>
      <c r="MM190" s="17" t="e">
        <f>ML190*VLOOKUP('Données projet'!$B$25,Paramètres!$A$1:$I$89,3,0)*VLOOKUP('Données projet'!$B$25,Paramètres!$A$1:$I$89,5,0)</f>
        <v>#N/A</v>
      </c>
      <c r="MN190" s="13" t="e">
        <f t="shared" si="318"/>
        <v>#N/A</v>
      </c>
      <c r="MO190" s="14" t="e">
        <f t="shared" si="272"/>
        <v>#N/A</v>
      </c>
      <c r="MP190" s="59" t="e">
        <f t="shared" si="273"/>
        <v>#N/A</v>
      </c>
      <c r="MQ190" s="20" t="e">
        <f ca="1">AVERAGE(OFFSET($MP$3,0,0,'Données projet'!$E$25+1,1))-AVERAGE(OFFSET($H$3,0,0,'Données projet'!$E$25+1,1))</f>
        <v>#N/A</v>
      </c>
      <c r="MR190" s="59" t="e">
        <f t="shared" si="319"/>
        <v>#N/A</v>
      </c>
      <c r="MS190" s="15">
        <f>IF(ISNA(VLOOKUP($A190,'Données projet'!$A$460:$I$480,3,0)),0,VLOOKUP($A190,'Données projet'!$A$460:$I$480,3,0))</f>
        <v>0</v>
      </c>
      <c r="MT190" s="15">
        <f>IF(ISNA(VLOOKUP($A190,'Données projet'!$A$460:$I$480,4,0)),0,VLOOKUP($A190,'Données projet'!$A$460:$I$480,4,0))</f>
        <v>0</v>
      </c>
      <c r="MU190" s="16">
        <f>IF(ISNA(VLOOKUP($A190,'Données projet'!$A$460:$I$480,5,0)),0%,VLOOKUP($A190,'Données projet'!$A$460:$I$480,5,0)*VLOOKUP('Données projet'!$B$25,Paramètres!$A$1:$I$89,7,0))</f>
        <v>0</v>
      </c>
      <c r="MV190" s="16">
        <f>IF(ISNA(VLOOKUP($A190,'Données projet'!$A$460:$I$480,6,0)),0%,VLOOKUP($A190,'Données projet'!$A$460:$I$480,6,0)*VLOOKUP('Données projet'!$B$25,Paramètres!$A$1:$I$89,7,0))</f>
        <v>0</v>
      </c>
      <c r="MW190" s="16">
        <f>IF(ISNA(VLOOKUP($A190,'Données projet'!$A$460:$I$480,7,0)),0%,VLOOKUP($A190,'Données projet'!$A$460:$I$480,7,0))</f>
        <v>0</v>
      </c>
      <c r="MX190" s="21" t="e">
        <f>EXP(-LN(2)/35)*MX189+(1-EXP(-LN(2)/35))/(LN(2)/35)*MT190*MU190*VLOOKUP('Données projet'!$B$25,Paramètres!$A$1:$I$89,3,0)*0.475*44/12</f>
        <v>#N/A</v>
      </c>
      <c r="MY190" s="21" t="e">
        <f>EXP(-LN(2)/25)*MY189+(1-EXP(-LN(2)/25))/(LN(2)/25)*Calculateur!MT190*Calculateur!MV190*VLOOKUP('Données projet'!$B$25,Paramètres!$A$1:$I$89,3,0)*0.475*44/12</f>
        <v>#N/A</v>
      </c>
      <c r="MZ190" s="21" t="e">
        <f>EXP(-LN(2)/2)*MZ189+(1-EXP(-LN(2)/2))/(LN(2)/2)*MT190*MW190*VLOOKUP('Données projet'!$B$25,Paramètres!$A$1:$I$89,3,0)*0.475*44/12</f>
        <v>#N/A</v>
      </c>
      <c r="NA190" s="22" t="e">
        <f t="shared" si="274"/>
        <v>#N/A</v>
      </c>
      <c r="NB190" s="74">
        <f>('Scénario référence'!$F$8+'Scénario référence'!$F$9+'Scénario référence'!$B$17+'Scénario référence'!$B$9+'Scénario référence'!$B$10)*70+IF((45+25*(1-EXP(-0.0175*$A190)))&lt;70,'Scénario référence'!$B$16*(45+25*(1-EXP(-0.0175*$A190))),70*'Scénario référence'!$B$16)+IF((32+38*(1-EXP(-0.0175*$A190)))&lt;70,'Scénario référence'!$B$18*(32+38*(1-EXP(-0.0175*$A190))),70*'Scénario référence'!$B$18)</f>
        <v>70</v>
      </c>
      <c r="NC190" s="12">
        <f>IF($A190&gt;30,10,('Scénario référence'!$B$16+'Scénario référence'!$B$17+'Scénario référence'!$B$18+'Scénario référence'!$B$9+'Scénario référence'!$B$10)*$A190*10/30+('Scénario référence'!$F$8+'Scénario référence'!$F$9)*10)</f>
        <v>10</v>
      </c>
      <c r="ND190" s="12" t="e">
        <f>VLOOKUP($A190,'Données projet'!$A$486:$I$506,2,0)</f>
        <v>#N/A</v>
      </c>
      <c r="NE190" s="12" t="e">
        <f>VLOOKUP($A190,'Données projet'!$A$486:$I$506,9,0)</f>
        <v>#N/A</v>
      </c>
      <c r="NF190" s="12">
        <f t="array" ref="NF190">INDEX(NE:NE,MIN(IF(ISNUMBER(NE190:NE386),ROW(NE190:NE386),"")))</f>
        <v>0</v>
      </c>
      <c r="NG190" s="12">
        <f>IF('Données projet'!$A$486&gt;35,NG189+NF190-NO189,IF($A190&lt;'Données projet'!$A$486,$CQ$205^$A190,IF($A190='Données projet'!$A$486,'Données projet'!$B$486,NG189+NF190-NO189)))</f>
        <v>0</v>
      </c>
      <c r="NH190" s="17" t="e">
        <f>NG190*VLOOKUP('Données projet'!$B$26,Paramètres!$A$1:$I$89,3,0)*VLOOKUP('Données projet'!$B$26,Paramètres!$A$1:$I$89,5,0)</f>
        <v>#N/A</v>
      </c>
      <c r="NI190" s="13" t="e">
        <f t="shared" si="320"/>
        <v>#N/A</v>
      </c>
      <c r="NJ190" s="14" t="e">
        <f t="shared" si="275"/>
        <v>#N/A</v>
      </c>
      <c r="NK190" s="59" t="e">
        <f t="shared" si="276"/>
        <v>#N/A</v>
      </c>
      <c r="NL190" s="20" t="e">
        <f ca="1">AVERAGE(OFFSET($NK$3,0,0,'Données projet'!$E$26+1,1))-AVERAGE(OFFSET($H$3,0,0,'Données projet'!$E$26+1,1))</f>
        <v>#N/A</v>
      </c>
      <c r="NM190" s="59" t="e">
        <f t="shared" si="321"/>
        <v>#N/A</v>
      </c>
      <c r="NN190" s="15">
        <f>IF(ISNA(VLOOKUP($A190,'Données projet'!$A$486:$I$506,3,0)),0,VLOOKUP($A190,'Données projet'!$A$486:$I$506,3,0))</f>
        <v>0</v>
      </c>
      <c r="NO190" s="15">
        <f>IF(ISNA(VLOOKUP($A190,'Données projet'!$A$486:$I$506,4,0)),0,VLOOKUP($A190,'Données projet'!$A$486:$I$506,4,0))</f>
        <v>0</v>
      </c>
      <c r="NP190" s="16">
        <f>IF(ISNA(VLOOKUP($A190,'Données projet'!$A$486:$I$506,5,0)),0%,VLOOKUP($A190,'Données projet'!$A$486:$I$506,5,0)*VLOOKUP('Données projet'!$B$26,Paramètres!$A$1:$I$89,7,0))</f>
        <v>0</v>
      </c>
      <c r="NQ190" s="16">
        <f>IF(ISNA(VLOOKUP($A190,'Données projet'!$A$486:$I$506,6,0)),0%,VLOOKUP($A190,'Données projet'!$A$486:$I$506,6,0)*VLOOKUP('Données projet'!$B$26,Paramètres!$A$1:$I$89,7,0))</f>
        <v>0</v>
      </c>
      <c r="NR190" s="16">
        <f>IF(ISNA(VLOOKUP($A190,'Données projet'!$A$486:$I$506,7,0)),0%,VLOOKUP($A190,'Données projet'!$A$486:$I$506,7,0))</f>
        <v>0</v>
      </c>
      <c r="NS190" s="21" t="e">
        <f>EXP(-LN(2)/35)*NS189+(1-EXP(-LN(2)/35))/(LN(2)/35)*NO190*NP190*VLOOKUP('Données projet'!$B$26,Paramètres!$A$1:$I$89,3,0)*0.475*44/12</f>
        <v>#N/A</v>
      </c>
      <c r="NT190" s="21" t="e">
        <f>EXP(-LN(2)/25)*NT189+(1-EXP(-LN(2)/25))/(LN(2)/25)*Calculateur!NO190*Calculateur!NQ190*VLOOKUP('Données projet'!$B$26,Paramètres!$A$1:$I$89,3,0)*0.475*44/12</f>
        <v>#N/A</v>
      </c>
      <c r="NU190" s="21" t="e">
        <f>EXP(-LN(2)/2)*NU189+(1-EXP(-LN(2)/2))/(LN(2)/2)*NO190*NR190*VLOOKUP('Données projet'!$B$26,Paramètres!$A$1:$I$89,3,0)*0.475*44/12</f>
        <v>#N/A</v>
      </c>
      <c r="NV190" s="22" t="e">
        <f t="shared" si="277"/>
        <v>#N/A</v>
      </c>
      <c r="NW190" s="74">
        <f>('Scénario référence'!$F$8+'Scénario référence'!$F$9+'Scénario référence'!$B$17+'Scénario référence'!$B$9+'Scénario référence'!$B$10)*70+IF((45+25*(1-EXP(-0.0175*$A190)))&lt;70,'Scénario référence'!$B$16*(45+25*(1-EXP(-0.0175*$A190))),70*'Scénario référence'!$B$16)+IF((32+38*(1-EXP(-0.0175*$A190)))&lt;70,'Scénario référence'!$B$18*(32+38*(1-EXP(-0.0175*$A190))),70*'Scénario référence'!$B$18)</f>
        <v>70</v>
      </c>
      <c r="NX190" s="12">
        <f>IF($A190&gt;30,10,('Scénario référence'!$B$16+'Scénario référence'!$B$17+'Scénario référence'!$B$18+'Scénario référence'!$B$9+'Scénario référence'!$B$10)*$A190*10/30+('Scénario référence'!$F$8+'Scénario référence'!$F$9)*10)</f>
        <v>10</v>
      </c>
      <c r="NY190" s="12" t="e">
        <f>VLOOKUP($A190,'Données projet'!$A$512:$I$532,2,0)</f>
        <v>#N/A</v>
      </c>
      <c r="NZ190" s="12" t="e">
        <f>VLOOKUP($A190,'Données projet'!$A$512:$I$532,9,0)</f>
        <v>#N/A</v>
      </c>
      <c r="OA190" s="12">
        <f t="array" ref="OA190">INDEX(NZ:NZ,MIN(IF(ISNUMBER(NZ190:NZ386),ROW(NZ190:NZ386),"")))</f>
        <v>0</v>
      </c>
      <c r="OB190" s="12">
        <f>IF('Données projet'!$A$512&gt;35,OB189+OA190-OJ189,IF($A190&lt;'Données projet'!$A$512,$CQ$205^$A190,IF($A190='Données projet'!$A$512,'Données projet'!$B$512,OB189+OA190-OJ189)))</f>
        <v>0</v>
      </c>
      <c r="OC190" s="17" t="e">
        <f>OB190*VLOOKUP('Données projet'!$B$27,Paramètres!$A$1:$I$89,3,0)*VLOOKUP('Données projet'!$B$27,Paramètres!$A$1:$I$89,5,0)</f>
        <v>#N/A</v>
      </c>
      <c r="OD190" s="13" t="e">
        <f t="shared" si="322"/>
        <v>#N/A</v>
      </c>
      <c r="OE190" s="14" t="e">
        <f t="shared" si="278"/>
        <v>#N/A</v>
      </c>
      <c r="OF190" s="59" t="e">
        <f t="shared" si="279"/>
        <v>#N/A</v>
      </c>
      <c r="OG190" s="20" t="e">
        <f ca="1">AVERAGE(OFFSET($OF$3,0,0,'Données projet'!$E$27+1,1))-AVERAGE(OFFSET($H$3,0,0,'Données projet'!$E$27+1,1))</f>
        <v>#N/A</v>
      </c>
      <c r="OH190" s="59" t="e">
        <f t="shared" si="323"/>
        <v>#N/A</v>
      </c>
      <c r="OI190" s="15">
        <f>IF(ISNA(VLOOKUP($A190,'Données projet'!$A$512:$I$532,3,0)),0,VLOOKUP($A190,'Données projet'!$A$512:$I$532,3,0))</f>
        <v>0</v>
      </c>
      <c r="OJ190" s="15">
        <f>IF(ISNA(VLOOKUP($A190,'Données projet'!$A$512:$I$532,4,0)),0,VLOOKUP($A190,'Données projet'!$A$512:$I$532,4,0))</f>
        <v>0</v>
      </c>
      <c r="OK190" s="16">
        <f>IF(ISNA(VLOOKUP($A190,'Données projet'!$A$512:$I$532,5,0)),0%,VLOOKUP($A190,'Données projet'!$A$512:$I$532,5,0)*VLOOKUP('Données projet'!$B$27,Paramètres!$A$1:$I$89,7,0))</f>
        <v>0</v>
      </c>
      <c r="OL190" s="16">
        <f>IF(ISNA(VLOOKUP($A190,'Données projet'!$A$512:$I$532,6,0)),0%,VLOOKUP($A190,'Données projet'!$A$512:$I$532,6,0)*VLOOKUP('Données projet'!$B$27,Paramètres!$A$1:$I$89,7,0))</f>
        <v>0</v>
      </c>
      <c r="OM190" s="16">
        <f>IF(ISNA(VLOOKUP($A190,'Données projet'!$A$512:$I$532,7,0)),0%,VLOOKUP($A190,'Données projet'!$A$512:$I$532,7,0))</f>
        <v>0</v>
      </c>
      <c r="ON190" s="21" t="e">
        <f>EXP(-LN(2)/35)*ON189+(1-EXP(-LN(2)/35))/(LN(2)/35)*OJ190*OK190*VLOOKUP('Données projet'!$B$27,Paramètres!$A$1:$I$89,3,0)*0.475*44/12</f>
        <v>#N/A</v>
      </c>
      <c r="OO190" s="21" t="e">
        <f>EXP(-LN(2)/25)*OO189+(1-EXP(-LN(2)/25))/(LN(2)/25)*Calculateur!OJ190*Calculateur!OL190*VLOOKUP('Données projet'!$B$27,Paramètres!$A$1:$I$89,3,0)*0.475*44/12</f>
        <v>#N/A</v>
      </c>
      <c r="OP190" s="21" t="e">
        <f>EXP(-LN(2)/2)*OP189+(1-EXP(-LN(2)/2))/(LN(2)/2)*OJ190*OM190*VLOOKUP('Données projet'!$B$27,Paramètres!$A$1:$I$89,3,0)*0.475*44/12</f>
        <v>#N/A</v>
      </c>
      <c r="OQ190" s="22" t="e">
        <f t="shared" si="280"/>
        <v>#N/A</v>
      </c>
      <c r="OR190" s="74">
        <f>('Scénario référence'!$F$8+'Scénario référence'!$F$9+'Scénario référence'!$B$17+'Scénario référence'!$B$9+'Scénario référence'!$B$10)*70+IF((45+25*(1-EXP(-0.0175*$A190)))&lt;70,'Scénario référence'!$B$16*(45+25*(1-EXP(-0.0175*$A190))),70*'Scénario référence'!$B$16)+IF((32+38*(1-EXP(-0.0175*$A190)))&lt;70,'Scénario référence'!$B$18*(32+38*(1-EXP(-0.0175*$A190))),70*'Scénario référence'!$B$18)</f>
        <v>70</v>
      </c>
      <c r="OS190" s="12">
        <f>IF($A190&gt;30,10,('Scénario référence'!$B$16+'Scénario référence'!$B$17+'Scénario référence'!$B$18+'Scénario référence'!$B$9+'Scénario référence'!$B$10)*$A190*10/30+('Scénario référence'!$F$8+'Scénario référence'!$F$9)*10)</f>
        <v>10</v>
      </c>
      <c r="OT190" s="12" t="e">
        <f>VLOOKUP($A190,'Données projet'!$A$538:$I$558,2,0)</f>
        <v>#N/A</v>
      </c>
      <c r="OU190" s="12" t="e">
        <f>VLOOKUP($A190,'Données projet'!$A$538:$I$558,9,0)</f>
        <v>#N/A</v>
      </c>
      <c r="OV190" s="12">
        <f t="array" ref="OV190">INDEX(OU:OU,MIN(IF(ISNUMBER(OU190:OU386),ROW(OU190:OU386),"")))</f>
        <v>0</v>
      </c>
      <c r="OW190" s="12">
        <f>IF('Données projet'!$A$538&gt;35,OW189+OV190-PE189,IF($A190&lt;'Données projet'!$A$538,$CQ$205^$A190,IF($A190='Données projet'!$A$538,'Données projet'!$B$538,OW189+OV190-PE189)))</f>
        <v>0</v>
      </c>
      <c r="OX190" s="17" t="e">
        <f>OW190*VLOOKUP('Données projet'!$B$28,Paramètres!$A$1:$I$89,3,0)*VLOOKUP('Données projet'!$B$28,Paramètres!$A$1:$I$89,5,0)</f>
        <v>#N/A</v>
      </c>
      <c r="OY190" s="13" t="e">
        <f t="shared" si="324"/>
        <v>#N/A</v>
      </c>
      <c r="OZ190" s="14" t="e">
        <f t="shared" si="281"/>
        <v>#N/A</v>
      </c>
      <c r="PA190" s="59" t="e">
        <f t="shared" si="282"/>
        <v>#N/A</v>
      </c>
      <c r="PB190" s="20" t="e">
        <f ca="1">AVERAGE(OFFSET($PA$3,0,0,'Données projet'!$E$28+1,1))-AVERAGE(OFFSET($H$3,0,0,'Données projet'!$E$28+1,1))</f>
        <v>#N/A</v>
      </c>
      <c r="PC190" s="59" t="e">
        <f t="shared" si="325"/>
        <v>#N/A</v>
      </c>
      <c r="PD190" s="15">
        <f>IF(ISNA(VLOOKUP($A190,'Données projet'!$A$538:$I$558,3,0)),0,VLOOKUP($A190,'Données projet'!$A$538:$I$558,3,0))</f>
        <v>0</v>
      </c>
      <c r="PE190" s="15">
        <f>IF(ISNA(VLOOKUP($A190,'Données projet'!$A$538:$I$558,4,0)),0,VLOOKUP($A190,'Données projet'!$A$538:$I$558,4,0))</f>
        <v>0</v>
      </c>
      <c r="PF190" s="16">
        <f>IF(ISNA(VLOOKUP($A190,'Données projet'!$A$538:$I$558,5,0)),0%,VLOOKUP($A190,'Données projet'!$A$538:$I$558,5,0)*VLOOKUP('Données projet'!$B$28,Paramètres!$A$1:$I$89,7,0))</f>
        <v>0</v>
      </c>
      <c r="PG190" s="16">
        <f>IF(ISNA(VLOOKUP($A190,'Données projet'!$A$538:$I$558,6,0)),0%,VLOOKUP($A190,'Données projet'!$A$538:$I$558,6,0)*VLOOKUP('Données projet'!$B$28,Paramètres!$A$1:$I$89,7,0))</f>
        <v>0</v>
      </c>
      <c r="PH190" s="16">
        <f>IF(ISNA(VLOOKUP($A190,'Données projet'!$A$538:$I$558,7,0)),0%,VLOOKUP($A190,'Données projet'!$A$538:$I$558,7,0))</f>
        <v>0</v>
      </c>
      <c r="PI190" s="21" t="e">
        <f>EXP(-LN(2)/35)*PI189+(1-EXP(-LN(2)/35))/(LN(2)/35)*PE190*PF190*VLOOKUP('Données projet'!$B$28,Paramètres!$A$1:$I$89,3,0)*0.475*44/12</f>
        <v>#N/A</v>
      </c>
      <c r="PJ190" s="21" t="e">
        <f>EXP(-LN(2)/25)*PJ189+(1-EXP(-LN(2)/25))/(LN(2)/25)*Calculateur!PE190*Calculateur!PG190*VLOOKUP('Données projet'!$B$28,Paramètres!$A$1:$I$89,3,0)*0.475*44/12</f>
        <v>#N/A</v>
      </c>
      <c r="PK190" s="21" t="e">
        <f>EXP(-LN(2)/2)*PK189+(1-EXP(-LN(2)/2))/(LN(2)/2)*PE190*PH190*VLOOKUP('Données projet'!$B$28,Paramètres!$A$1:$I$89,3,0)*0.475*44/12</f>
        <v>#N/A</v>
      </c>
      <c r="PL190" s="22" t="e">
        <f t="shared" si="283"/>
        <v>#N/A</v>
      </c>
    </row>
    <row r="191" spans="1:428" x14ac:dyDescent="0.35">
      <c r="A191" s="10">
        <f t="shared" si="326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285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225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projet'!$A$45:$I$65,2,0)</f>
        <v>#N/A</v>
      </c>
      <c r="L191" s="12" t="e">
        <f>VLOOKUP(A191,'Données projet'!$A$45:$I$65,9,0)</f>
        <v>#N/A</v>
      </c>
      <c r="M191" s="12">
        <f t="array" ref="M191">INDEX(L:L,MIN(IF(ISNUMBER(L191:L387),ROW(L191:L387),"")))</f>
        <v>0</v>
      </c>
      <c r="N191" s="13">
        <f>IF('Données projet'!$A$46&gt;35,N190+M191-V190,IF(A191&lt;'Données projet'!$A$46,$K$205^A191,IF(A191='Données projet'!$A$46,'Données projet'!$B$46,N190+M191-V190)))</f>
        <v>-1.1368683772161603E-13</v>
      </c>
      <c r="O191" s="13">
        <f>N191*VLOOKUP('Données projet'!$B$9,Paramètres!$A$1:$I$89,3,0)*VLOOKUP('Données projet'!$B$9,Paramètres!$A$1:$I$89,5,0)</f>
        <v>-6.3550942286383367E-14</v>
      </c>
      <c r="P191" s="13" t="e">
        <f t="shared" si="286"/>
        <v>#NUM!</v>
      </c>
      <c r="Q191" s="20" t="e">
        <f t="shared" si="327"/>
        <v>#NUM!</v>
      </c>
      <c r="R191" s="59" t="e">
        <f t="shared" si="224"/>
        <v>#NUM!</v>
      </c>
      <c r="S191" s="59">
        <f ca="1">AVERAGE(OFFSET($R$3,0,0,'Données projet'!$E$9+1,1))-AVERAGE(OFFSET($H$3,0,0,'Données projet'!$E$9+1,1))</f>
        <v>274.57619581652199</v>
      </c>
      <c r="T191" s="59">
        <f t="shared" si="287"/>
        <v>366.15117322598775</v>
      </c>
      <c r="U191" s="15">
        <f>IF(ISNA(VLOOKUP(A191,'Données projet'!$A$45:$I$65,3,0)),0,VLOOKUP(A191,'Données projet'!$A$45:$I$65,3,0))</f>
        <v>0</v>
      </c>
      <c r="V191" s="15">
        <f>IF(ISNA(VLOOKUP(A191,'Données projet'!$A$45:$I$65,4,0)),0,VLOOKUP(A191,'Données projet'!$A$45:$I$65,4,0))</f>
        <v>0</v>
      </c>
      <c r="W191" s="16">
        <f>IF(ISNA(VLOOKUP(A191,'Données projet'!$A$45:$I$65,5,0)),0%,VLOOKUP(A191,'Données projet'!$A$45:$I$65,5,0)*VLOOKUP('Données projet'!$B$9,Paramètres!$A$1:$I$89,7,0))</f>
        <v>0</v>
      </c>
      <c r="X191" s="16">
        <f>IF(ISNA(VLOOKUP(A191,'Données projet'!$A$45:$I$65,6,0)),0%,VLOOKUP(A191,'Données projet'!$A$45:$I$65,6,0)*VLOOKUP('Données projet'!$B$9,Paramètres!$A$1:$I$89,7,0))</f>
        <v>0</v>
      </c>
      <c r="Y191" s="16">
        <f>IF(ISNA(VLOOKUP(A191,'Données projet'!$A$45:$I$65,7,0)),0%,VLOOKUP(A191,'Données projet'!$A$45:$I$65,7,0))</f>
        <v>0</v>
      </c>
      <c r="Z191" s="21">
        <f>EXP(-LN(2)/35)*Z190+(1-EXP(-LN(2)/35))/(LN(2)/35)*V191*W191*VLOOKUP('Données projet'!$B$9,Paramètres!$A$1:$I$89,3,0)*0.475*44/12</f>
        <v>16.27253857492661</v>
      </c>
      <c r="AA191" s="21">
        <f>EXP(-LN(2)/25)*AA190+(1-EXP(-LN(2)/25))/(LN(2)/25)*Calculateur!V191*Calculateur!X191*VLOOKUP('Données projet'!$B$9,Paramètres!$A$1:$I$89,3,0)*0.475*44/12</f>
        <v>1.4421180461509218</v>
      </c>
      <c r="AB191" s="21">
        <f>EXP(-LN(2)/2)*AB190+(1-EXP(-LN(2)/2))/(LN(2)/2)*V191*Y191*VLOOKUP('Données projet'!$B$9,Paramètres!$A$1:$I$89,3,0)*0.475*44/12</f>
        <v>3.2737064084265651E-19</v>
      </c>
      <c r="AC191" s="22">
        <f t="shared" si="328"/>
        <v>17.71465662107753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projet'!$A$71:$I$91,2,0)</f>
        <v>#N/A</v>
      </c>
      <c r="AG191" s="12" t="e">
        <f>VLOOKUP(A191,'Données projet'!$A$71:$I$91,9,0)</f>
        <v>#N/A</v>
      </c>
      <c r="AH191" s="12">
        <f t="array" ref="AH191">INDEX(AG:AG,MIN(IF(ISNUMBER(AG191:AG387),ROW(AG191:AG387),"")))</f>
        <v>0</v>
      </c>
      <c r="AI191" s="13">
        <f>IF('Données projet'!$A$72&gt;35,AI190+AH191-AQ190,IF(A191&lt;'Données projet'!$A$72,$AF$205^A191,IF(A191='Données projet'!$A$72,'Données projet'!$B$72,AI190+AH191-AQ190)))</f>
        <v>5.6843418860808015E-13</v>
      </c>
      <c r="AJ191" s="13">
        <f>AI191*VLOOKUP('Données projet'!$B$10,Paramètres!$A$1:$I$89,3,0)*VLOOKUP('Données projet'!$B$10,Paramètres!$A$1:$I$89,5,0)</f>
        <v>5.1431925385259092E-13</v>
      </c>
      <c r="AK191" s="13">
        <f t="shared" si="329"/>
        <v>6.3855359115685756E-12</v>
      </c>
      <c r="AL191" s="20">
        <f t="shared" si="330"/>
        <v>1.2017247746441865E-11</v>
      </c>
      <c r="AM191" s="59">
        <f t="shared" si="228"/>
        <v>293.33333333334531</v>
      </c>
      <c r="AN191" s="59">
        <f ca="1">AVERAGE(OFFSET($AM$3,0,0,'Données projet'!$E$10+1,1))-AVERAGE(OFFSET($H$3,0,0,'Données projet'!$E$10+1,1))</f>
        <v>270.87836509222456</v>
      </c>
      <c r="AO191" s="59">
        <f t="shared" si="289"/>
        <v>205.24998237949734</v>
      </c>
      <c r="AP191" s="15">
        <f>IF(ISNA(VLOOKUP(A191,'Données projet'!$A$71:$I$91,3,0)),0,VLOOKUP(A191,'Données projet'!$A$71:$I$91,3,0))</f>
        <v>0</v>
      </c>
      <c r="AQ191" s="15">
        <f>IF(ISNA(VLOOKUP(A191,'Données projet'!$A$71:$I$91,4,0)),0,VLOOKUP(A191,'Données projet'!$A$71:$I$91,4,0))</f>
        <v>0</v>
      </c>
      <c r="AR191" s="16">
        <f>IF(ISNA(VLOOKUP(A191,'Données projet'!$A$71:$I$91,5,0)),0%,VLOOKUP(A191,'Données projet'!$A$71:$I$91,5,0)*VLOOKUP('Données projet'!$B$10,Paramètres!$A$1:$I$89,7,0))</f>
        <v>0</v>
      </c>
      <c r="AS191" s="16">
        <f>IF(ISNA(VLOOKUP(A191,'Données projet'!$A$71:$I$91,6,0)),0%,VLOOKUP(A191,'Données projet'!$A$71:$I$91,6,0)*VLOOKUP('Données projet'!$B$10,Paramètres!$A$1:$I$89,7,0))</f>
        <v>0</v>
      </c>
      <c r="AT191" s="16">
        <f>IF(ISNA(VLOOKUP(A191,'Données projet'!$A$71:$I$91,7,0)),0%,VLOOKUP(A191,'Données projet'!$A$71:$I$91,7,0))</f>
        <v>0</v>
      </c>
      <c r="AU191" s="21">
        <f>EXP(-LN(2)/35)*AU190+(1-EXP(-LN(2)/35))/(LN(2)/35)*AQ191*AR191*VLOOKUP('Données projet'!$B$10,Paramètres!$A$1:$I$89,3,0)*0.475*44/12</f>
        <v>55.298231948116936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331"/>
        <v>55.298231948116936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projet'!$A$97:$I$117,2,0)</f>
        <v>#N/A</v>
      </c>
      <c r="BB191" s="12" t="e">
        <f>VLOOKUP(A191,'Données projet'!$A$97:$I$117,9,0)</f>
        <v>#N/A</v>
      </c>
      <c r="BC191" s="12">
        <f t="array" ref="BC191">INDEX(BB:BB,MIN(IF(ISNUMBER(BB191:BB387),ROW(BB191:BB387),"")))</f>
        <v>0</v>
      </c>
      <c r="BD191" s="12">
        <f>IF('Données projet'!$A$98&gt;35,BD190+BC191-BL190,IF(A191&lt;'Données projet'!$A$98,$BA$205^A191,IF(A191='Données projet'!$A$98,'Données projet'!$B$98,BD190+BC191-BL190)))</f>
        <v>-1.1368683772161603E-13</v>
      </c>
      <c r="BE191" s="13">
        <f>BD191*VLOOKUP('Données projet'!$B$11,Paramètres!$A$1:$I$89,3,0)*VLOOKUP('Données projet'!$B$11,Paramètres!$A$1:$I$89,5,0)</f>
        <v>-5.0249582272954292E-14</v>
      </c>
      <c r="BF191" s="13" t="e">
        <f t="shared" si="332"/>
        <v>#NUM!</v>
      </c>
      <c r="BG191" s="20" t="e">
        <f t="shared" si="333"/>
        <v>#NUM!</v>
      </c>
      <c r="BH191" s="59" t="e">
        <f t="shared" si="231"/>
        <v>#NUM!</v>
      </c>
      <c r="BI191" s="59">
        <f ca="1">AVERAGE(OFFSET($BH$3,0,0,'Données projet'!$E$11+1,1))-AVERAGE(OFFSET($H$3,0,0,'Données projet'!$E$11+1,1))</f>
        <v>211.31057120485542</v>
      </c>
      <c r="BJ191" s="59">
        <f t="shared" si="291"/>
        <v>283.33292006714777</v>
      </c>
      <c r="BK191" s="15">
        <f>IF(ISNA(VLOOKUP(A191,'Données projet'!$A$97:$I$117,3,0)),0,VLOOKUP(A191,'Données projet'!$A$97:$I$117,3,0))</f>
        <v>0</v>
      </c>
      <c r="BL191" s="15">
        <f>IF(ISNA(VLOOKUP(A191,'Données projet'!$A$97:$I$117,4,0)),0,VLOOKUP(A191,'Données projet'!$A$97:$I$117,4,0))</f>
        <v>0</v>
      </c>
      <c r="BM191" s="16">
        <f>IF(ISNA(VLOOKUP(A191,'Données projet'!$A$97:$I$117,5,0)),0%,VLOOKUP(A191,'Données projet'!$A$97:$I$117,5,0)*VLOOKUP('Données projet'!$B$11,Paramètres!$A$1:$I$89,7,0))</f>
        <v>0</v>
      </c>
      <c r="BN191" s="16">
        <f>IF(ISNA(VLOOKUP(A191,'Données projet'!$A$97:$I$117,6,0)),0%,VLOOKUP(A191,'Données projet'!$A$97:$I$117,6,0)*VLOOKUP('Données projet'!$B$11,Paramètres!$A$1:$I$89,7,0))</f>
        <v>0</v>
      </c>
      <c r="BO191" s="16">
        <f>IF(ISNA(VLOOKUP(A191,'Données projet'!$A$97:$I$117,7,0)),0%,VLOOKUP(A191,'Données projet'!$A$97:$I$117,7,0))</f>
        <v>0</v>
      </c>
      <c r="BP191" s="21">
        <f>EXP(-LN(2)/35)*BP190+(1-EXP(-LN(2)/35))/(LN(2)/35)*BL191*BM191*VLOOKUP('Données projet'!$B$11,Paramètres!$A$1:$I$89,3,0)*0.475*44/12</f>
        <v>12.866658408081515</v>
      </c>
      <c r="BQ191" s="21">
        <f>EXP(-LN(2)/25)*BQ190+(1-EXP(-LN(2)/25))/(LN(2)/25)*Calculateur!BL191*Calculateur!BN191*VLOOKUP('Données projet'!$B$11,Paramètres!$A$1:$I$89,3,0)*0.475*44/12</f>
        <v>1.140279385328635</v>
      </c>
      <c r="BR191" s="21">
        <f>EXP(-LN(2)/2)*BR190+(1-EXP(-LN(2)/2))/(LN(2)/2)*BL191*BO191*VLOOKUP('Données projet'!$B$11,Paramètres!$A$1:$I$89,3,0)*0.475*44/12</f>
        <v>2.5885120438721673E-19</v>
      </c>
      <c r="BS191" s="22">
        <f t="shared" si="334"/>
        <v>14.006937793410149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projet'!$A$123:$I$143,2,0)</f>
        <v>#N/A</v>
      </c>
      <c r="BW191" s="12" t="e">
        <f>VLOOKUP(A191,'Données projet'!$A$123:$I$143,9,0)</f>
        <v>#N/A</v>
      </c>
      <c r="BX191" s="12">
        <f t="array" ref="BX191">INDEX(BW:BW,MIN(IF(ISNUMBER(BW191:BW387),ROW(BW191:BW387),"")))</f>
        <v>0</v>
      </c>
      <c r="BY191" s="12">
        <f>IF('Données projet'!$A$124&gt;35,BY190+BX191-CG190,IF(A191&lt;'Données projet'!$A$124,$BV$205^A191,IF(A191='Données projet'!$A$124,'Données projet'!$B$124,BY190+BX191-CG190)))</f>
        <v>0</v>
      </c>
      <c r="BZ191" s="13">
        <f>BY191*VLOOKUP('Données projet'!$B$12,Paramètres!$A$1:$I$89,3,0)*VLOOKUP('Données projet'!$B$12,Paramètres!$A$1:$I$89,5,0)</f>
        <v>0</v>
      </c>
      <c r="CA191" s="13" t="e">
        <f t="shared" si="335"/>
        <v>#NUM!</v>
      </c>
      <c r="CB191" s="20" t="e">
        <f t="shared" si="336"/>
        <v>#NUM!</v>
      </c>
      <c r="CC191" s="59" t="e">
        <f t="shared" si="234"/>
        <v>#NUM!</v>
      </c>
      <c r="CD191" s="59">
        <f ca="1">AVERAGE(OFFSET($CC$3,0,0,'Données projet'!$E$12+1,1))-AVERAGE(OFFSET($H$3,0,0,'Données projet'!$E$12+1,1))</f>
        <v>322.93502595881938</v>
      </c>
      <c r="CE191" s="59">
        <f t="shared" si="293"/>
        <v>302.67072119588164</v>
      </c>
      <c r="CF191" s="15">
        <f>IF(ISNA(VLOOKUP(A191,'Données projet'!$A$123:$I$143,3,0)),0,VLOOKUP(A191,'Données projet'!$A$123:$I$143,3,0))</f>
        <v>0</v>
      </c>
      <c r="CG191" s="15">
        <f>IF(ISNA(VLOOKUP(A191,'Données projet'!$A$123:$I$143,4,0)),0,VLOOKUP(A191,'Données projet'!$A$123:$I$143,4,0))</f>
        <v>0</v>
      </c>
      <c r="CH191" s="16">
        <f>IF(ISNA(VLOOKUP(A191,'Données projet'!$A$123:$I$143,5,0)),0%,VLOOKUP(A191,'Données projet'!$A$123:$I$143,5,0)*VLOOKUP('Données projet'!$B$12,Paramètres!$A$1:$I$89,7,0))</f>
        <v>0</v>
      </c>
      <c r="CI191" s="16">
        <f>IF(ISNA(VLOOKUP(A191,'Données projet'!$A$123:$I$143,6,0)),0%,VLOOKUP(A191,'Données projet'!$A$123:$I$143,6,0)*VLOOKUP('Données projet'!$B$12,Paramètres!$A$1:$I$89,7,0))</f>
        <v>0</v>
      </c>
      <c r="CJ191" s="16">
        <f>IF(ISNA(VLOOKUP(A191,'Données projet'!$A$123:$I$143,7,0)),0%,VLOOKUP(A191,'Données projet'!$A$123:$I$143,7,0))</f>
        <v>0</v>
      </c>
      <c r="CK191" s="21">
        <f>EXP(-LN(2)/35)*CK190+(1-EXP(-LN(2)/35))/(LN(2)/35)*CG191*CH191*VLOOKUP('Données projet'!$B$12,Paramètres!$A$1:$I$89,3,0)*0.475*44/12</f>
        <v>20.499695868941231</v>
      </c>
      <c r="CL191" s="21">
        <f>EXP(-LN(2)/25)*CL190+(1-EXP(-LN(2)/25))/(LN(2)/25)*Calculateur!CG191*Calculateur!CI191*VLOOKUP('Données projet'!$B$12,Paramètres!$A$1:$I$89,3,0)*0.475*44/12</f>
        <v>3.6495839465151847</v>
      </c>
      <c r="CM191" s="21">
        <f>EXP(-LN(2)/2)*CM190+(1-EXP(-LN(2)/2))/(LN(2)/2)*CG191*CJ191*VLOOKUP('Données projet'!$B$12,Paramètres!$A$1:$I$89,3,0)*0.475*44/12</f>
        <v>0</v>
      </c>
      <c r="CN191" s="22">
        <f t="shared" si="337"/>
        <v>24.149279815456417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projet'!$A$149:$I$169,2,0)</f>
        <v>#N/A</v>
      </c>
      <c r="CR191" s="12" t="e">
        <f>VLOOKUP(A191,'Données projet'!$A$149:$I$169,9,0)</f>
        <v>#N/A</v>
      </c>
      <c r="CS191" s="12">
        <f t="array" ref="CS191">INDEX(CR:CR,MIN(IF(ISNUMBER(CR191:CR387),ROW(CR191:CR387),"")))</f>
        <v>0</v>
      </c>
      <c r="CT191" s="12">
        <f>IF('Données projet'!$A$150&gt;35,CT190+CS191-DB190,IF(A191&lt;'Données projet'!$A$150,$CQ$205^A191,IF(A191='Données projet'!$A$150,'Données projet'!$B$150,CT190+CS191-DB190)))</f>
        <v>-4.5474735088646412E-13</v>
      </c>
      <c r="CU191" s="17">
        <f>CT191*VLOOKUP('Données projet'!$B$13,Paramètres!$A$1:$I$89,3,0)*VLOOKUP('Données projet'!$B$13,Paramètres!$A$1:$I$89,5,0)</f>
        <v>-4.6111381379887462E-13</v>
      </c>
      <c r="CV191" s="13" t="e">
        <f t="shared" si="338"/>
        <v>#NUM!</v>
      </c>
      <c r="CW191" s="20" t="e">
        <f t="shared" si="339"/>
        <v>#NUM!</v>
      </c>
      <c r="CX191" s="59" t="e">
        <f t="shared" si="237"/>
        <v>#NUM!</v>
      </c>
      <c r="CY191" s="59">
        <f ca="1">AVERAGE(OFFSET($CX$3,0,0,'Données projet'!$E$13+1,1))-AVERAGE(OFFSET($H$3,0,0,'Données projet'!$E$13+1,1))</f>
        <v>250.31277422753283</v>
      </c>
      <c r="CZ191" s="59">
        <f t="shared" si="295"/>
        <v>159.20429420478047</v>
      </c>
      <c r="DA191" s="15">
        <f>IF(ISNA(VLOOKUP(A191,'Données projet'!$A$149:$I$169,3,0)),0,VLOOKUP(A191,'Données projet'!$A$149:$I$169,3,0))</f>
        <v>0</v>
      </c>
      <c r="DB191" s="15">
        <f>IF(ISNA(VLOOKUP(A191,'Données projet'!$A$149:$I$169,4,0)),0,VLOOKUP(A191,'Données projet'!$A$149:$I$169,4,0))</f>
        <v>0</v>
      </c>
      <c r="DC191" s="16">
        <f>IF(ISNA(VLOOKUP(A191,'Données projet'!$A$149:$I$169,5,0)),0%,VLOOKUP(A191,'Données projet'!$A$149:$I$169,5,0)*VLOOKUP('Données projet'!$B$13,Paramètres!$A$1:$I$89,7,0))</f>
        <v>0</v>
      </c>
      <c r="DD191" s="16">
        <f>IF(ISNA(VLOOKUP(A191,'Données projet'!$A$149:$I$169,6,0)),0%,VLOOKUP(A191,'Données projet'!$A$149:$I$169,6,0)*VLOOKUP('Données projet'!$B$13,Paramètres!$A$1:$I$89,7,0))</f>
        <v>0</v>
      </c>
      <c r="DE191" s="16">
        <f>IF(ISNA(VLOOKUP(A191,'Données projet'!$A$149:$I$169,7,0)),0%,VLOOKUP(A191,'Données projet'!$A$149:$I$169,7,0))</f>
        <v>0</v>
      </c>
      <c r="DF191" s="21">
        <f>EXP(-LN(2)/35)*DF190+(1-EXP(-LN(2)/35))/(LN(2)/35)*DB191*DC191*VLOOKUP('Données projet'!$B$13,Paramètres!$A$1:$I$89,3,0)*0.475*44/12</f>
        <v>93.320723252201475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340"/>
        <v>93.320723252201475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projet'!$A$175:$I$195,2,0)</f>
        <v>#N/A</v>
      </c>
      <c r="DM191" s="12" t="e">
        <f>VLOOKUP(A191,'Données projet'!$A$175:$I$195,9,0)</f>
        <v>#N/A</v>
      </c>
      <c r="DN191" s="12">
        <f t="array" ref="DN191">INDEX(DM:DM,MIN(IF(ISNUMBER(DM191:DM387),ROW(DM191:DM387),"")))</f>
        <v>0</v>
      </c>
      <c r="DO191" s="12">
        <f>IF('Données projet'!$A$176&gt;35,DO190+DN191-DW190,IF(A191&lt;'Données projet'!$A$176,$DL$205^A191,IF(A191='Données projet'!$A$176,'Données projet'!$B$176,DO190+DN191-DW190)))</f>
        <v>-2.8421709430404007E-13</v>
      </c>
      <c r="DP191" s="17">
        <f>DO191*VLOOKUP('Données projet'!$B$14,Paramètres!$A$1:$I$89,3,0)*VLOOKUP('Données projet'!$B$14,Paramètres!$A$1:$I$89,5,0)</f>
        <v>-2.0838797354372215E-13</v>
      </c>
      <c r="DQ191" s="13" t="e">
        <f t="shared" si="341"/>
        <v>#NUM!</v>
      </c>
      <c r="DR191" s="20" t="e">
        <f t="shared" si="342"/>
        <v>#NUM!</v>
      </c>
      <c r="DS191" s="59" t="e">
        <f t="shared" si="240"/>
        <v>#NUM!</v>
      </c>
      <c r="DT191" s="59">
        <f ca="1">AVERAGE(OFFSET($DS$3,0,0,'Données projet'!$E$14+1,1))-AVERAGE(OFFSET($H$3,0,0,'Données projet'!$E$14+1,1))</f>
        <v>296.91321813251051</v>
      </c>
      <c r="DU191" s="59">
        <f t="shared" si="297"/>
        <v>291.0718079639509</v>
      </c>
      <c r="DV191" s="15">
        <f>IF(ISNA(VLOOKUP(A191,'Données projet'!$A$175:$I$195,3,0)),0,VLOOKUP(A191,'Données projet'!$A$175:$I$195,3,0))</f>
        <v>0</v>
      </c>
      <c r="DW191" s="15">
        <f>IF(ISNA(VLOOKUP(A191,'Données projet'!$A$175:$I$195,4,0)),0,VLOOKUP(A191,'Données projet'!$A$175:$I$195,4,0))</f>
        <v>0</v>
      </c>
      <c r="DX191" s="16">
        <f>IF(ISNA(VLOOKUP(A191,'Données projet'!$A$175:$I$195,5,0)),0%,VLOOKUP(A191,'Données projet'!$A$175:$I$195,5,0)*VLOOKUP('Données projet'!$B$14,Paramètres!$A$1:$I$89,7,0))</f>
        <v>0</v>
      </c>
      <c r="DY191" s="16">
        <f>IF(ISNA(VLOOKUP(A191,'Données projet'!$A$175:$I$195,6,0)),0%,VLOOKUP(A191,'Données projet'!$A$175:$I$195,6,0)*VLOOKUP('Données projet'!$B$14,Paramètres!$A$1:$I$89,7,0))</f>
        <v>0</v>
      </c>
      <c r="DZ191" s="16">
        <f>IF(ISNA(VLOOKUP(A191,'Données projet'!$A$175:$I$195,7,0)),0%,VLOOKUP(A191,'Données projet'!$A$175:$I$195,7,0))</f>
        <v>0</v>
      </c>
      <c r="EA191" s="21">
        <f>EXP(-LN(2)/35)*EA190+(1-EXP(-LN(2)/35))/(LN(2)/35)*DW191*DX191*VLOOKUP('Données projet'!$B$14,Paramètres!$A$1:$I$89,3,0)*0.475*44/12</f>
        <v>20.431615498567325</v>
      </c>
      <c r="EB191" s="21">
        <f>EXP(-LN(2)/25)*EB190+(1-EXP(-LN(2)/25))/(LN(2)/25)*Calculateur!DW191*Calculateur!DY191*VLOOKUP('Données projet'!$B$14,Paramètres!$A$1:$I$89,3,0)*0.475*44/12</f>
        <v>0.26810174668509962</v>
      </c>
      <c r="EC191" s="21">
        <f>EXP(-LN(2)/2)*EC190+(1-EXP(-LN(2)/2))/(LN(2)/2)*DW191*DZ191*VLOOKUP('Données projet'!$B$14,Paramètres!$A$1:$I$89,3,0)*0.475*44/12</f>
        <v>0</v>
      </c>
      <c r="ED191" s="22">
        <f t="shared" si="343"/>
        <v>20.699717245252426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projet'!$A$201:$I$221,2,0)</f>
        <v>#N/A</v>
      </c>
      <c r="EH191" s="12" t="e">
        <f>VLOOKUP(A191,'Données projet'!$A$201:$I$221,9,0)</f>
        <v>#N/A</v>
      </c>
      <c r="EI191" s="12">
        <f t="array" ref="EI191">INDEX(EH:EH,MIN(IF(ISNUMBER(EH191:EH387),ROW(EH191:EH387),"")))</f>
        <v>0</v>
      </c>
      <c r="EJ191" s="12">
        <f>IF('Données projet'!$A$202&gt;35,EJ190+EI191-ER190,IF(A191&lt;'Données projet'!$A$202,$EG$205^A191,IF(A191='Données projet'!$A$202,'Données projet'!$B$202,EJ190+EI191-ER190)))</f>
        <v>5.1159076974727213E-13</v>
      </c>
      <c r="EK191" s="17">
        <f>EJ191*VLOOKUP('Données projet'!$B$15,Paramètres!$A$1:$I$89,3,0)*VLOOKUP('Données projet'!$B$15,Paramètres!$A$1:$I$89,5,0)</f>
        <v>2.3942448024172334E-13</v>
      </c>
      <c r="EL191" s="13">
        <f t="shared" si="344"/>
        <v>3.2492669905861755E-12</v>
      </c>
      <c r="EM191" s="20">
        <f t="shared" si="345"/>
        <v>6.0761376450252565E-12</v>
      </c>
      <c r="EN191" s="59">
        <f t="shared" si="243"/>
        <v>293.3333333333394</v>
      </c>
      <c r="EO191" s="59">
        <f ca="1">AVERAGE(OFFSET($EN$3,0,0,'Données projet'!$E$15+1,1))-AVERAGE(OFFSET($H$3,0,0,'Données projet'!$E$15+1,1))</f>
        <v>147.64256291235483</v>
      </c>
      <c r="EP191" s="59">
        <f t="shared" si="299"/>
        <v>70.859031694091868</v>
      </c>
      <c r="EQ191" s="15">
        <f>IF(ISNA(VLOOKUP(A191,'Données projet'!$A$201:$I$221,3,0)),0,VLOOKUP(A191,'Données projet'!$A$201:$I$221,3,0))</f>
        <v>0</v>
      </c>
      <c r="ER191" s="15">
        <f>IF(ISNA(VLOOKUP(A191,'Données projet'!$A$201:$I$221,4,0)),0,VLOOKUP(A191,'Données projet'!$A$201:$I$221,4,0))</f>
        <v>0</v>
      </c>
      <c r="ES191" s="16">
        <f>IF(ISNA(VLOOKUP(A191,'Données projet'!$A$201:$I$221,5,0)),0%,VLOOKUP(A191,'Données projet'!$A$201:$I$221,5,0)*VLOOKUP('Données projet'!$B$15,Paramètres!$A$1:$I$89,7,0))</f>
        <v>0</v>
      </c>
      <c r="ET191" s="16">
        <f>IF(ISNA(VLOOKUP(A191,'Données projet'!$A$201:$I$221,6,0)),0%,VLOOKUP(A191,'Données projet'!$A$201:$I$221,6,0)*VLOOKUP('Données projet'!$B$15,Paramètres!$A$1:$I$89,7,0))</f>
        <v>0</v>
      </c>
      <c r="EU191" s="16">
        <f>IF(ISNA(VLOOKUP(A191,'Données projet'!$A$201:$I$221,7,0)),0%,VLOOKUP(A191,'Données projet'!$A$201:$I$221,7,0))</f>
        <v>0</v>
      </c>
      <c r="EV191" s="21">
        <f>EXP(-LN(2)/35)*EV190+(1-EXP(-LN(2)/35))/(LN(2)/35)*ER191*ES191*VLOOKUP('Données projet'!$B$15,Paramètres!$A$1:$I$89,3,0)*0.475*44/12</f>
        <v>27.971203677813175</v>
      </c>
      <c r="EW191" s="21">
        <f>EXP(-LN(2)/25)*EW190+(1-EXP(-LN(2)/25))/(LN(2)/25)*Calculateur!ER191*Calculateur!ET191*VLOOKUP('Données projet'!$B$15,Paramètres!$A$1:$I$89,3,0)*0.475*44/12</f>
        <v>3.7196416273111796</v>
      </c>
      <c r="EX191" s="21">
        <f>EXP(-LN(2)/2)*EX190+(1-EXP(-LN(2)/2))/(LN(2)/2)*ER191*EU191*VLOOKUP('Données projet'!$B$15,Paramètres!$A$1:$I$89,3,0)*0.475*44/12</f>
        <v>2.3600446452092055E-11</v>
      </c>
      <c r="EY191" s="22">
        <f t="shared" si="346"/>
        <v>31.690845305147956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projet'!$A$227:$I$247,2,0)</f>
        <v>#N/A</v>
      </c>
      <c r="FC191" s="12" t="e">
        <f>VLOOKUP(A191,'Données projet'!$A$227:$I$247,9,0)</f>
        <v>#N/A</v>
      </c>
      <c r="FD191" s="12">
        <f t="array" ref="FD191">INDEX(FC:FC,MIN(IF(ISNUMBER(FC191:FC387),ROW(FC191:FC387),"")))</f>
        <v>0</v>
      </c>
      <c r="FE191" s="12">
        <f>IF('Données projet'!$A$228&gt;35,FE190+FD191-FM190,IF(A191&lt;'Données projet'!$A$228,$FB$205^A191,IF(A191='Données projet'!$A$228,'Données projet'!$B$228,FE190+FD191-FM190)))</f>
        <v>8.5265128291212022E-14</v>
      </c>
      <c r="FF191" s="17">
        <f>FE191*VLOOKUP('Données projet'!$B$16,Paramètres!$A$1:$I$89,3,0)*VLOOKUP('Données projet'!$B$16,Paramètres!$A$1:$I$89,5,0)</f>
        <v>8.9119112089974823E-14</v>
      </c>
      <c r="FG191" s="13">
        <f t="shared" si="347"/>
        <v>1.3568952080113142E-12</v>
      </c>
      <c r="FH191" s="20">
        <f t="shared" si="348"/>
        <v>2.5184749408430782E-12</v>
      </c>
      <c r="FI191" s="59">
        <f t="shared" si="246"/>
        <v>293.33333333333582</v>
      </c>
      <c r="FJ191" s="59">
        <f ca="1">AVERAGE(OFFSET($FI$3,0,0,'Données projet'!$E$16+1,1))-AVERAGE(OFFSET($H$3,0,0,'Données projet'!$E$16+1,1))</f>
        <v>259.03906550253788</v>
      </c>
      <c r="FK191" s="59">
        <f t="shared" si="301"/>
        <v>235.54542903570831</v>
      </c>
      <c r="FL191" s="15">
        <f>IF(ISNA(VLOOKUP(A191,'Données projet'!$A$227:$I$247,3,0)),0,VLOOKUP(A191,'Données projet'!$A$227:$I$247,3,0))</f>
        <v>0</v>
      </c>
      <c r="FM191" s="15">
        <f>IF(ISNA(VLOOKUP(A191,'Données projet'!$A$227:$I$247,4,0)),0,VLOOKUP(A191,'Données projet'!$A$227:$I$247,4,0))</f>
        <v>0</v>
      </c>
      <c r="FN191" s="16">
        <f>IF(ISNA(VLOOKUP(A191,'Données projet'!$A$227:$I$247,5,0)),0%,VLOOKUP(A191,'Données projet'!$A$227:$I$247,5,0)*VLOOKUP('Données projet'!$B$16,Paramètres!$A$1:$I$89,7,0))</f>
        <v>0</v>
      </c>
      <c r="FO191" s="16">
        <f>IF(ISNA(VLOOKUP(A191,'Données projet'!$A$227:$I$247,6,0)),0%,VLOOKUP(A191,'Données projet'!$A$227:$I$247,6,0)*VLOOKUP('Données projet'!$B$16,Paramètres!$A$1:$I$89,7,0))</f>
        <v>0</v>
      </c>
      <c r="FP191" s="16">
        <f>IF(ISNA(VLOOKUP(A191,'Données projet'!$A$227:$I$247,7,0)),0%,VLOOKUP(A191,'Données projet'!$A$227:$I$247,7,0))</f>
        <v>0</v>
      </c>
      <c r="FQ191" s="21">
        <f>EXP(-LN(2)/35)*FQ190+(1-EXP(-LN(2)/35))/(LN(2)/35)*FM191*FN191*VLOOKUP('Données projet'!$B$16,Paramètres!$A$1:$I$89,3,0)*0.475*44/12</f>
        <v>12.345729132739887</v>
      </c>
      <c r="FR191" s="21">
        <f>EXP(-LN(2)/25)*FR190+(1-EXP(-LN(2)/25))/(LN(2)/25)*Calculateur!FM191*Calculateur!FO191*VLOOKUP('Données projet'!$B$16,Paramètres!$A$1:$I$89,3,0)*0.475*44/12</f>
        <v>5.1170167201513985</v>
      </c>
      <c r="FS191" s="21">
        <f>EXP(-LN(2)/2)*FS190+(1-EXP(-LN(2)/2))/(LN(2)/2)*FM191*FP191*VLOOKUP('Données projet'!$B$16,Paramètres!$A$1:$I$89,3,0)*0.475*44/12</f>
        <v>0</v>
      </c>
      <c r="FT191" s="22">
        <f t="shared" si="349"/>
        <v>17.462745852891285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projet'!$A$253:$I$273,2,0)</f>
        <v>#N/A</v>
      </c>
      <c r="FX191" s="12" t="e">
        <f>VLOOKUP(A191,'Données projet'!$A$253:$I$273,9,0)</f>
        <v>#N/A</v>
      </c>
      <c r="FY191" s="12">
        <f t="array" ref="FY191">INDEX(FX:FX,MIN(IF(ISNUMBER(FX191:FX387),ROW(FX191:FX387),"")))</f>
        <v>0</v>
      </c>
      <c r="FZ191" s="12">
        <f>IF('Données projet'!$A$254&gt;35,FZ190+FY191-GH190,IF(A191&lt;'Données projet'!$A$254,$FW$205^A191,IF(A191='Données projet'!$A$254,'Données projet'!$B$254,FZ190+FY191-GH190)))</f>
        <v>-1.7053025658242404E-13</v>
      </c>
      <c r="GA191" s="17">
        <f>FZ191*VLOOKUP('Données projet'!$B$17,Paramètres!$A$1:$I$89,3,0)*VLOOKUP('Données projet'!$B$17,Paramètres!$A$1:$I$89,5,0)</f>
        <v>-1.4897523215040567E-13</v>
      </c>
      <c r="GB191" s="13" t="e">
        <f t="shared" si="350"/>
        <v>#NUM!</v>
      </c>
      <c r="GC191" s="20" t="e">
        <f t="shared" si="351"/>
        <v>#NUM!</v>
      </c>
      <c r="GD191" s="59" t="e">
        <f t="shared" si="249"/>
        <v>#NUM!</v>
      </c>
      <c r="GE191" s="59">
        <f ca="1">AVERAGE(OFFSET($GD$3,0,0,'Données projet'!$E$17+1,1))-AVERAGE(OFFSET($H$3,0,0,'Données projet'!$E$17+1,1))</f>
        <v>245.1983232777614</v>
      </c>
      <c r="GF191" s="59">
        <f t="shared" si="303"/>
        <v>242.34010522344573</v>
      </c>
      <c r="GG191" s="15">
        <f>IF(ISNA(VLOOKUP(A191,'Données projet'!$A$253:$I$273,3,0)),0,VLOOKUP(A191,'Données projet'!$A$253:$I$273,3,0))</f>
        <v>0</v>
      </c>
      <c r="GH191" s="15">
        <f>IF(ISNA(VLOOKUP(A191,'Données projet'!$A$253:$I$273,4,0)),0,VLOOKUP(A191,'Données projet'!$A$253:$I$273,4,0))</f>
        <v>0</v>
      </c>
      <c r="GI191" s="16">
        <f>IF(ISNA(VLOOKUP(A191,'Données projet'!$A$253:$I$273,5,0)),0%,VLOOKUP(A191,'Données projet'!$A$253:$I$273,5,0)*VLOOKUP('Données projet'!$B$17,Paramètres!$A$1:$I$89,7,0))</f>
        <v>0</v>
      </c>
      <c r="GJ191" s="16">
        <f>IF(ISNA(VLOOKUP(A191,'Données projet'!$A$253:$I$273,6,0)),0%,VLOOKUP(A191,'Données projet'!$A$253:$I$273,6,0)*VLOOKUP('Données projet'!$B$17,Paramètres!$A$1:$I$89,7,0))</f>
        <v>0</v>
      </c>
      <c r="GK191" s="16">
        <f>IF(ISNA(VLOOKUP(A191,'Données projet'!$A$253:$I$273,7,0)),0%,VLOOKUP(A191,'Données projet'!$A$253:$I$273,7,0))</f>
        <v>0</v>
      </c>
      <c r="GL191" s="21">
        <f>EXP(-LN(2)/35)*GL190+(1-EXP(-LN(2)/35))/(LN(2)/35)*GH191*GI191*VLOOKUP('Données projet'!$B$17,Paramètres!$A$1:$I$89,3,0)*0.475*44/12</f>
        <v>14.514098457928755</v>
      </c>
      <c r="GM191" s="21">
        <f>EXP(-LN(2)/25)*GM190+(1-EXP(-LN(2)/25))/(LN(2)/25)*Calculateur!GH191*Calculateur!GJ191*VLOOKUP('Données projet'!$B$17,Paramètres!$A$1:$I$89,3,0)*0.475*44/12</f>
        <v>1.0903116041764525</v>
      </c>
      <c r="GN191" s="21">
        <f>EXP(-LN(2)/2)*GN190+(1-EXP(-LN(2)/2))/(LN(2)/2)*GH191*GK191*VLOOKUP('Données projet'!$B$17,Paramètres!$A$1:$I$89,3,0)*0.475*44/12</f>
        <v>0</v>
      </c>
      <c r="GO191" s="21">
        <f t="shared" si="352"/>
        <v>15.604410062105208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projet'!$A$279:$I$299,2,0)</f>
        <v>#N/A</v>
      </c>
      <c r="GS191" s="12" t="e">
        <f>VLOOKUP(A191,'Données projet'!$A$279:$I$299,9,0)</f>
        <v>#N/A</v>
      </c>
      <c r="GT191" s="12">
        <f t="array" ref="GT191">INDEX(GS:GS,MIN(IF(ISNUMBER(GS191:GS387),ROW(GS191:GS387),"")))</f>
        <v>0</v>
      </c>
      <c r="GU191" s="12">
        <f>IF('Données projet'!$A$280&gt;35,GU190+GT191-HC190,IF(A191&lt;'Données projet'!$A$280,$GR$205^A191,IF(A191='Données projet'!$A$280,'Données projet'!$B$280,GU190+GT191-HC190)))</f>
        <v>-1.1368683772161603E-13</v>
      </c>
      <c r="GV191" s="17">
        <f>GU191*VLOOKUP('Données projet'!$B$18,Paramètres!$A$1:$I$89,3,0)*VLOOKUP('Données projet'!$B$18,Paramètres!$A$1:$I$89,5,0)</f>
        <v>-4.5815795601811263E-14</v>
      </c>
      <c r="GW191" s="13" t="e">
        <f t="shared" si="353"/>
        <v>#NUM!</v>
      </c>
      <c r="GX191" s="20" t="e">
        <f t="shared" si="354"/>
        <v>#NUM!</v>
      </c>
      <c r="GY191" s="59" t="e">
        <f t="shared" si="252"/>
        <v>#NUM!</v>
      </c>
      <c r="GZ191" s="59">
        <f ca="1">AVERAGE(OFFSET($GY$3,0,0,'Données projet'!$E$18+1,1))-AVERAGE(OFFSET($H$3,0,0,'Données projet'!$E$18+1,1))</f>
        <v>324.36162935850876</v>
      </c>
      <c r="HA191" s="59">
        <f t="shared" si="305"/>
        <v>265.23571072429735</v>
      </c>
      <c r="HB191" s="15">
        <f>IF(ISNA(VLOOKUP(A191,'Données projet'!$A$279:$I$299,3,0)),0,VLOOKUP(A191,'Données projet'!$A$279:$I$299,3,0))</f>
        <v>0</v>
      </c>
      <c r="HC191" s="15">
        <f>IF(ISNA(VLOOKUP(A191,'Données projet'!$A$279:$I$299,4,0)),0,VLOOKUP(A191,'Données projet'!$A$279:$I$299,4,0))</f>
        <v>0</v>
      </c>
      <c r="HD191" s="16">
        <f>IF(ISNA(VLOOKUP(A191,'Données projet'!$A$279:$I$299,5,0)),0%,VLOOKUP(A191,'Données projet'!$A$279:$I$299,5,0)*VLOOKUP('Données projet'!$B$18,Paramètres!$A$1:$I$89,7,0))</f>
        <v>0</v>
      </c>
      <c r="HE191" s="16">
        <f>IF(ISNA(VLOOKUP(A191,'Données projet'!$A$279:$I$299,6,0)),0%,VLOOKUP(A191,'Données projet'!$A$279:$I$299,6,0)*VLOOKUP('Données projet'!$B$18,Paramètres!$A$1:$I$89,7,0))</f>
        <v>0</v>
      </c>
      <c r="HF191" s="16">
        <f>IF(ISNA(VLOOKUP($A191,'Données projet'!$A$279:$I$299,7,0)),0%,VLOOKUP($A191,'Données projet'!$A$279:$I$299,7,0))</f>
        <v>0</v>
      </c>
      <c r="HG191" s="21">
        <f>EXP(-LN(2)/35)*HG190+(1-EXP(-LN(2)/35))/(LN(2)/35)*HC191*HD191*VLOOKUP('Données projet'!$B$18,Paramètres!$A$1:$I$89,3,0)*0.475*44/12</f>
        <v>27.812806903740888</v>
      </c>
      <c r="HH191" s="21">
        <f>EXP(-LN(2)/25)*HH190+(1-EXP(-LN(2)/25))/(LN(2)/25)*Calculateur!HC191*Calculateur!HE191*VLOOKUP('Données projet'!$B$18,Paramètres!$A$1:$I$89,3,0)*0.475*44/12</f>
        <v>1.2126215235790934</v>
      </c>
      <c r="HI191" s="21">
        <f>EXP(-LN(2)/2)*HI190+(1-EXP(-LN(2)/2))/(LN(2)/2)*HC191*HF191*VLOOKUP('Données projet'!$B$18,Paramètres!$A$1:$I$89,3,0)*0.475*44/12</f>
        <v>4.7446545078266443E-16</v>
      </c>
      <c r="HJ191" s="22">
        <f t="shared" si="355"/>
        <v>29.02542842731998</v>
      </c>
      <c r="HK191" s="74">
        <f>('Scénario référence'!$F$8+'Scénario référence'!$F$9+'Scénario référence'!$B$17+'Scénario référence'!$B$9+'Scénario référence'!$B$10)*70+IF((45+25*(1-EXP(-0.0175*$A191)))&lt;70,'Scénario référence'!$B$16*(45+25*(1-EXP(-0.0175*$A191))),70*'Scénario référence'!$B$16)+IF((32+38*(1-EXP(-0.0175*$A191)))&lt;70,'Scénario référence'!$B$18*(32+38*(1-EXP(-0.0175*$A191))),70*'Scénario référence'!$B$18)</f>
        <v>70</v>
      </c>
      <c r="HL191" s="12">
        <f>IF($A191&gt;30,10,('Scénario référence'!$B$16+'Scénario référence'!$B$17+'Scénario référence'!$B$18+'Scénario référence'!$B$9+'Scénario référence'!$B$10)*$A191*10/30+('Scénario référence'!$F$8+'Scénario référence'!$F$9)*10)</f>
        <v>10</v>
      </c>
      <c r="HM191" s="12" t="e">
        <f>VLOOKUP($A191,'Données projet'!$A$304:$I$324,2,0)</f>
        <v>#N/A</v>
      </c>
      <c r="HN191" s="12" t="e">
        <f>VLOOKUP($A191,'Données projet'!$A$304:$I$324,9,0)</f>
        <v>#N/A</v>
      </c>
      <c r="HO191" s="12">
        <f t="array" ref="HO191">INDEX(HN:HN,MIN(IF(ISNUMBER(HN191:HN387),ROW(HN191:HN387),"")))</f>
        <v>0</v>
      </c>
      <c r="HP191" s="12">
        <f>IF('Données projet'!$A$304&gt;35,HP190+HO191-HX190,IF($A191&lt;'Données projet'!$A$304,$CQ$205^$A191,IF($A191='Données projet'!$A$304,'Données projet'!$B$304,HP190+HO191-HX190)))</f>
        <v>0</v>
      </c>
      <c r="HQ191" s="17">
        <f>HP191*VLOOKUP('Données projet'!$B$19,Paramètres!$A$1:$I$89,3,0)*VLOOKUP('Données projet'!$B$19,Paramètres!$A$1:$I$89,5,0)</f>
        <v>0</v>
      </c>
      <c r="HR191" s="13" t="e">
        <f t="shared" si="306"/>
        <v>#NUM!</v>
      </c>
      <c r="HS191" s="14" t="e">
        <f t="shared" si="254"/>
        <v>#NUM!</v>
      </c>
      <c r="HT191" s="59" t="e">
        <f t="shared" si="255"/>
        <v>#NUM!</v>
      </c>
      <c r="HU191" s="59">
        <f ca="1">AVERAGE(OFFSET(HT$3,0,0,'Données projet'!$E$19+1,1))-AVERAGE(OFFSET($H$3,0,0,'Données projet'!$E$19+1,1))</f>
        <v>91.60721429656013</v>
      </c>
      <c r="HV191" s="59">
        <f t="shared" si="307"/>
        <v>258.94957804210856</v>
      </c>
      <c r="HW191" s="15">
        <f>IF(ISNA(VLOOKUP($A191,'Données projet'!$A$304:$I$324,3,0)),0,VLOOKUP($A191,'Données projet'!$A$304:$I$324,3,0))</f>
        <v>0</v>
      </c>
      <c r="HX191" s="15">
        <f>IF(ISNA(VLOOKUP($A191,'Données projet'!$A$304:$I$324,4,0)),0,VLOOKUP($A191,'Données projet'!$A$304:$I$324,4,0))</f>
        <v>0</v>
      </c>
      <c r="HY191" s="16">
        <f>IF(ISNA(VLOOKUP($A191,'Données projet'!$A$304:$I$324,5,0)),0%,VLOOKUP($A191,'Données projet'!$A$304:$I$324,5,0)*VLOOKUP('Données projet'!$B$19,Paramètres!$A$1:$I$89,7,0))</f>
        <v>0</v>
      </c>
      <c r="HZ191" s="16">
        <f>IF(ISNA(VLOOKUP($A191,'Données projet'!$A$304:$I$324,6,0)),0%,VLOOKUP($A191,'Données projet'!$A$304:$I$324,6,0)*VLOOKUP('Données projet'!$B$19,Paramètres!$A$1:$I$89,7,0))</f>
        <v>0</v>
      </c>
      <c r="IA191" s="16">
        <f>IF(ISNA(VLOOKUP($A191,'Données projet'!$A$304:$I$324,7,0)),0%,VLOOKUP($A191,'Données projet'!$A$304:$I$324,7,0))</f>
        <v>0</v>
      </c>
      <c r="IB191" s="21">
        <f>EXP(-LN(2)/35)*IB190+(1-EXP(-LN(2)/35))/(LN(2)/35)*HX191*HY191*VLOOKUP('Données projet'!$B$19,Paramètres!$A$1:$I$89,3,0)*0.475*44/12</f>
        <v>2.1587359188255353</v>
      </c>
      <c r="IC191" s="21">
        <f>EXP(-LN(2)/25)*IC190+(1-EXP(-LN(2)/25))/(LN(2)/25)*Calculateur!HX191*Calculateur!HZ191*VLOOKUP('Données projet'!$B$19,Paramètres!$A$1:$I$89,3,0)*0.475*44/12</f>
        <v>0.12175920027626091</v>
      </c>
      <c r="ID191" s="21">
        <f>EXP(-LN(2)/2)*ID190+(1-EXP(-LN(2)/2))/(LN(2)/2)*HX191*IA191*VLOOKUP('Données projet'!$B$19,Paramètres!$A$1:$I$89,3,0)*0.475*44/12</f>
        <v>9.4770465226160264E-25</v>
      </c>
      <c r="IE191" s="22">
        <f t="shared" si="256"/>
        <v>2.2804951191017961</v>
      </c>
      <c r="IF191" s="74">
        <f>('Scénario référence'!$F$8+'Scénario référence'!$F$9+'Scénario référence'!$B$17+'Scénario référence'!$B$9+'Scénario référence'!$B$10)*70+IF((45+25*(1-EXP(-0.0175*$A191)))&lt;70,'Scénario référence'!$B$16*(45+25*(1-EXP(-0.0175*$A191))),70*'Scénario référence'!$B$16)+IF((32+38*(1-EXP(-0.0175*$A191)))&lt;70,'Scénario référence'!$B$18*(32+38*(1-EXP(-0.0175*$A191))),70*'Scénario référence'!$B$18)</f>
        <v>70</v>
      </c>
      <c r="IG191" s="12">
        <f>IF($A191&gt;30,10,('Scénario référence'!$B$16+'Scénario référence'!$B$17+'Scénario référence'!$B$18+'Scénario référence'!$B$9+'Scénario référence'!$B$10)*$A191*10/30+('Scénario référence'!$F$8+'Scénario référence'!$F$9)*10)</f>
        <v>10</v>
      </c>
      <c r="IH191" s="12" t="e">
        <f>VLOOKUP($A191,'Données projet'!$A$330:$I$350,2,0)</f>
        <v>#N/A</v>
      </c>
      <c r="II191" s="12" t="e">
        <f>VLOOKUP($A191,'Données projet'!$A$330:$I$350,9,0)</f>
        <v>#N/A</v>
      </c>
      <c r="IJ191" s="12">
        <f t="array" ref="IJ191">INDEX(II:II,MIN(IF(ISNUMBER(II191:II387),ROW(II191:II387),"")))</f>
        <v>0</v>
      </c>
      <c r="IK191" s="12">
        <f>IF('Données projet'!$A$330&gt;35,IK190+IJ191-IS190,IF($A191&lt;'Données projet'!$A$330,$CQ$205^$A191,IF($A191='Données projet'!$A$330,'Données projet'!$B$330,IK190+IJ191-IS190)))</f>
        <v>0</v>
      </c>
      <c r="IL191" s="17">
        <f>IK191*VLOOKUP('Données projet'!$B$20,Paramètres!$A$1:$I$89,3,0)*VLOOKUP('Données projet'!$B$20,Paramètres!$A$1:$I$89,5,0)</f>
        <v>0</v>
      </c>
      <c r="IM191" s="13" t="e">
        <f t="shared" si="308"/>
        <v>#NUM!</v>
      </c>
      <c r="IN191" s="20" t="e">
        <f t="shared" si="257"/>
        <v>#NUM!</v>
      </c>
      <c r="IO191" s="59" t="e">
        <f t="shared" si="258"/>
        <v>#NUM!</v>
      </c>
      <c r="IP191" s="59">
        <f ca="1">AVERAGE(OFFSET(IO$3,0,0,'Données projet'!$E$20+1,1))-AVERAGE(OFFSET($H$3,0,0,'Données projet'!$E$20+1,1))</f>
        <v>91.60721429656013</v>
      </c>
      <c r="IQ191" s="59">
        <f t="shared" si="309"/>
        <v>258.94957804210856</v>
      </c>
      <c r="IR191" s="15">
        <f>IF(ISNA(VLOOKUP($A191,'Données projet'!$A$330:$I$350,3,0)),0,VLOOKUP($A191,'Données projet'!$A$330:$I$350,3,0))</f>
        <v>0</v>
      </c>
      <c r="IS191" s="15">
        <f>IF(ISNA(VLOOKUP($A191,'Données projet'!$A$330:$I$350,4,0)),0,VLOOKUP($A191,'Données projet'!$A$330:$I$350,4,0))</f>
        <v>0</v>
      </c>
      <c r="IT191" s="16">
        <f>IF(ISNA(VLOOKUP($A191,'Données projet'!$A$330:$I$350,5,0)),0%,VLOOKUP($A191,'Données projet'!$A$330:$I$350,5,0)*VLOOKUP('Données projet'!$B$20,Paramètres!$A$1:$I$89,7,0))</f>
        <v>0</v>
      </c>
      <c r="IU191" s="16">
        <f>IF(ISNA(VLOOKUP($A191,'Données projet'!$A$330:$I$350,6,0)),0%,VLOOKUP($A191,'Données projet'!$A$330:$I$350,6,0)*VLOOKUP('Données projet'!$B$20,Paramètres!$A$1:$I$89,7,0))</f>
        <v>0</v>
      </c>
      <c r="IV191" s="16">
        <f>IF(ISNA(VLOOKUP($A191,'Données projet'!$A$330:$I$350,7,0)),0%,VLOOKUP($A191,'Données projet'!$A$330:$I$350,7,0))</f>
        <v>0</v>
      </c>
      <c r="IW191" s="21">
        <f>EXP(-LN(2)/35)*IW190+(1-EXP(-LN(2)/35))/(LN(2)/35)*IS191*IT191*VLOOKUP('Données projet'!$B$20,Paramètres!$A$1:$I$89,3,0)*0.475*44/12</f>
        <v>2.1587359188255353</v>
      </c>
      <c r="IX191" s="21">
        <f>EXP(-LN(2)/25)*IX190+(1-EXP(-LN(2)/25))/(LN(2)/25)*Calculateur!IS191*Calculateur!IU191*VLOOKUP('Données projet'!$B$20,Paramètres!$A$1:$I$89,3,0)*0.475*44/12</f>
        <v>0.12175920027626091</v>
      </c>
      <c r="IY191" s="21">
        <f>EXP(-LN(2)/2)*IY190+(1-EXP(-LN(2)/2))/(LN(2)/2)*IS191*IV191*VLOOKUP('Données projet'!$B$20,Paramètres!$A$1:$I$89,3,0)*0.475*44/12</f>
        <v>9.4770465226160264E-25</v>
      </c>
      <c r="IZ191" s="22">
        <f t="shared" si="259"/>
        <v>2.2804951191017961</v>
      </c>
      <c r="JA191" s="74">
        <f>('Scénario référence'!$F$8+'Scénario référence'!$F$9+'Scénario référence'!$B$17+'Scénario référence'!$B$9+'Scénario référence'!$B$10)*70+IF((45+25*(1-EXP(-0.0175*$A191)))&lt;70,'Scénario référence'!$B$16*(45+25*(1-EXP(-0.0175*$A191))),70*'Scénario référence'!$B$16)+IF((32+38*(1-EXP(-0.0175*$A191)))&lt;70,'Scénario référence'!$B$18*(32+38*(1-EXP(-0.0175*$A191))),70*'Scénario référence'!$B$18)</f>
        <v>70</v>
      </c>
      <c r="JB191" s="12">
        <f>IF($A191&gt;30,10,('Scénario référence'!$B$16+'Scénario référence'!$B$17+'Scénario référence'!$B$18+'Scénario référence'!$B$9+'Scénario référence'!$B$10)*$A191*10/30+('Scénario référence'!$F$8+'Scénario référence'!$F$9)*10)</f>
        <v>10</v>
      </c>
      <c r="JC191" s="12" t="e">
        <f>VLOOKUP($A191,'Données projet'!$A$356:$I$376,2,0)</f>
        <v>#N/A</v>
      </c>
      <c r="JD191" s="12" t="e">
        <f>VLOOKUP($A191,'Données projet'!$A$356:$I$376,9,0)</f>
        <v>#N/A</v>
      </c>
      <c r="JE191" s="12">
        <f t="array" ref="JE191">INDEX(JD:JD,MIN(IF(ISNUMBER(JD191:JD387),ROW(JD191:JD387),"")))</f>
        <v>0</v>
      </c>
      <c r="JF191" s="12">
        <f>IF('Données projet'!$A$356&gt;35,JF190+JE191-JN190,IF($A191&lt;'Données projet'!$A$356,$CQ$205^$A191,IF($A191='Données projet'!$A$356,'Données projet'!$B$356,JF190+JE191-JN190)))</f>
        <v>-1.3073986337985843E-12</v>
      </c>
      <c r="JG191" s="17">
        <f>JF191*VLOOKUP('Données projet'!$B$21,Paramètres!$A$1:$I$89,3,0)*VLOOKUP('Données projet'!$B$21,Paramètres!$A$1:$I$89,5,0)</f>
        <v>-1.0605617717374117E-12</v>
      </c>
      <c r="JH191" s="13" t="e">
        <f t="shared" si="310"/>
        <v>#NUM!</v>
      </c>
      <c r="JI191" s="20" t="e">
        <f t="shared" si="260"/>
        <v>#NUM!</v>
      </c>
      <c r="JJ191" s="59" t="e">
        <f t="shared" si="261"/>
        <v>#NUM!</v>
      </c>
      <c r="JK191" s="59">
        <f ca="1">AVERAGE(OFFSET($JJ$3,0,0,'Données projet'!$E$22+1,1))-AVERAGE(OFFSET($H$3,0,0,'Données projet'!$E$22+1,1))</f>
        <v>353.35574633294613</v>
      </c>
      <c r="JL191" s="59">
        <f t="shared" si="311"/>
        <v>170.36796666474726</v>
      </c>
      <c r="JM191" s="15">
        <f>IF(ISNA(VLOOKUP($A191,'Données projet'!$A$356:$I$376,3,0)),0,VLOOKUP($A191,'Données projet'!$A$356:$I$376,3,0))</f>
        <v>0</v>
      </c>
      <c r="JN191" s="15">
        <f>IF(ISNA(VLOOKUP($A191,'Données projet'!$A$356:$I$376,4,0)),0,VLOOKUP($A191,'Données projet'!$A$356:$I$376,4,0))</f>
        <v>0</v>
      </c>
      <c r="JO191" s="16">
        <f>IF(ISNA(VLOOKUP($A191,'Données projet'!$A$356:$I$376,5,0)),0%,VLOOKUP($A191,'Données projet'!$A$356:$I$376,5,0)*VLOOKUP('Données projet'!$B$21,Paramètres!$A$1:$I$89,7,0))</f>
        <v>0</v>
      </c>
      <c r="JP191" s="16">
        <f>IF(ISNA(VLOOKUP($A191,'Données projet'!$A$356:$I$376,6,0)),0%,VLOOKUP($A191,'Données projet'!$A$356:$I$376,6,0)*VLOOKUP('Données projet'!$B$21,Paramètres!$A$1:$I$89,7,0))</f>
        <v>0</v>
      </c>
      <c r="JQ191" s="16">
        <f>IF(ISNA(VLOOKUP($A191,'Données projet'!$A$356:$I$376,7,0)),0%,VLOOKUP($A191,'Données projet'!$A$356:$I$376,7,0))</f>
        <v>0</v>
      </c>
      <c r="JR191" s="21">
        <f>EXP(-LN(2)/35)*JR190+(1-EXP(-LN(2)/35))/(LN(2)/35)*JN191*JO191*VLOOKUP('Données projet'!$B$21,Paramètres!$A$1:$I$89,3,0)*0.475*44/12</f>
        <v>34.607755724096855</v>
      </c>
      <c r="JS191" s="21">
        <f>EXP(-LN(2)/25)*JS190+(1-EXP(-LN(2)/25))/(LN(2)/25)*Calculateur!JN191*Calculateur!JP191*VLOOKUP('Données projet'!$B$21,Paramètres!$A$1:$I$89,3,0)*0.475*44/12</f>
        <v>26.648991771695371</v>
      </c>
      <c r="JT191" s="21">
        <f>EXP(-LN(2)/2)*JT190+(1-EXP(-LN(2)/2))/(LN(2)/2)*JN191*JQ191*VLOOKUP('Données projet'!$B$21,Paramètres!$A$1:$I$89,3,0)*0.475*44/12</f>
        <v>6.5404752562641449E-5</v>
      </c>
      <c r="JU191" s="18">
        <f t="shared" si="262"/>
        <v>61.256812900544787</v>
      </c>
      <c r="JV191" s="74">
        <f>('Scénario référence'!$F$8+'Scénario référence'!$F$9+'Scénario référence'!$B$17+'Scénario référence'!$B$9+'Scénario référence'!$B$10)*70+IF((45+25*(1-EXP(-0.0175*$A191)))&lt;70,'Scénario référence'!$B$16*(45+25*(1-EXP(-0.0175*$A191))),70*'Scénario référence'!$B$16)+IF((32+38*(1-EXP(-0.0175*$A191)))&lt;70,'Scénario référence'!$B$18*(32+38*(1-EXP(-0.0175*$A191))),70*'Scénario référence'!$B$18)</f>
        <v>70</v>
      </c>
      <c r="JW191" s="12">
        <f>IF($A191&gt;30,10,('Scénario référence'!$B$16+'Scénario référence'!$B$17+'Scénario référence'!$B$18+'Scénario référence'!$B$9+'Scénario référence'!$B$10)*$A191*10/30+('Scénario référence'!$F$8+'Scénario référence'!$F$9)*10)</f>
        <v>10</v>
      </c>
      <c r="JX191" s="12" t="e">
        <f>VLOOKUP($A191,'Données projet'!$A$382:$I$402,2,0)</f>
        <v>#N/A</v>
      </c>
      <c r="JY191" s="12" t="e">
        <f>VLOOKUP($A191,'Données projet'!$A$382:$I$402,9,0)</f>
        <v>#N/A</v>
      </c>
      <c r="JZ191" s="12">
        <f t="array" ref="JZ191">INDEX(JY:JY,MIN(IF(ISNUMBER(JY191:JY387),ROW(JY191:JY387),"")))</f>
        <v>0</v>
      </c>
      <c r="KA191" s="12">
        <f>IF('Données projet'!$A$382&gt;35,KA190+JZ191-KI190,IF($A191&lt;'Données projet'!$A$382,$CQ$205^$A191,IF($A191='Données projet'!$A$382,'Données projet'!$B$382,KA190+JZ191-KI190)))</f>
        <v>5.6843418860808015E-13</v>
      </c>
      <c r="KB191" s="17">
        <f>KA191*VLOOKUP('Données projet'!$B$22,Paramètres!$A$1:$I$89,3,0)*VLOOKUP('Données projet'!$B$22,Paramètres!$A$1:$I$89,5,0)</f>
        <v>3.8130565371830017E-13</v>
      </c>
      <c r="KC191" s="13">
        <f t="shared" si="312"/>
        <v>4.9019074112354236E-12</v>
      </c>
      <c r="KD191" s="20">
        <f t="shared" si="263"/>
        <v>9.2015960881277352E-12</v>
      </c>
      <c r="KE191" s="59">
        <f t="shared" si="264"/>
        <v>293.33333333334252</v>
      </c>
      <c r="KF191" s="59">
        <f ca="1">AVERAGE(OFFSET($KE$3,0,0,'Données projet'!$E$22+1,1))-AVERAGE(OFFSET($H$3,0,0,'Données projet'!$E$22+1,1))</f>
        <v>193.91714772848269</v>
      </c>
      <c r="KG191" s="59">
        <f t="shared" si="313"/>
        <v>159.20429420478047</v>
      </c>
      <c r="KH191" s="15">
        <f>IF(ISNA(VLOOKUP($A191,'Données projet'!$A$382:$I$402,3,0)),0,VLOOKUP($A191,'Données projet'!$A$382:$I$402,3,0))</f>
        <v>0</v>
      </c>
      <c r="KI191" s="15">
        <f>IF(ISNA(VLOOKUP($A191,'Données projet'!$A$382:$I$402,4,0)),0,VLOOKUP($A191,'Données projet'!$A$382:$I$402,4,0))</f>
        <v>0</v>
      </c>
      <c r="KJ191" s="16">
        <f>IF(ISNA(VLOOKUP($A191,'Données projet'!$A$382:$I$402,5,0)),0%,VLOOKUP($A191,'Données projet'!$A$382:$I$402,5,0)*VLOOKUP('Données projet'!$B$22,Paramètres!$A$1:$I$89,7,0))</f>
        <v>0</v>
      </c>
      <c r="KK191" s="16">
        <f>IF(ISNA(VLOOKUP($A191,'Données projet'!$A$382:$I$402,6,0)),0%,VLOOKUP($A191,'Données projet'!$A$382:$I$402,6,0)*VLOOKUP('Données projet'!$B$22,Paramètres!$A$1:$I$89,7,0))</f>
        <v>0</v>
      </c>
      <c r="KL191" s="16">
        <f>IF(ISNA(VLOOKUP($A191,'Données projet'!$A$382:$I$402,7,0)),0%,VLOOKUP($A191,'Données projet'!$A$382:$I$402,7,0))</f>
        <v>0</v>
      </c>
      <c r="KM191" s="21">
        <f>EXP(-LN(2)/35)*KM190+(1-EXP(-LN(2)/35))/(LN(2)/35)*KI191*KJ191*VLOOKUP('Données projet'!$B$22,Paramètres!$A$1:$I$89,3,0)*0.475*44/12</f>
        <v>50.53114298707235</v>
      </c>
      <c r="KN191" s="21">
        <f>EXP(-LN(2)/25)*KN190+(1-EXP(-LN(2)/25))/(LN(2)/25)*Calculateur!KI191*Calculateur!KK191*VLOOKUP('Données projet'!$B$22,Paramètres!$A$1:$I$89,3,0)*0.475*44/12</f>
        <v>0</v>
      </c>
      <c r="KO191" s="21">
        <f>EXP(-LN(2)/2)*KO190+(1-EXP(-LN(2)/2))/(LN(2)/2)*KI191*KL191*VLOOKUP('Données projet'!$B$22,Paramètres!$A$1:$I$89,3,0)*0.475*44/12</f>
        <v>0</v>
      </c>
      <c r="KP191" s="22">
        <f t="shared" si="265"/>
        <v>50.53114298707235</v>
      </c>
      <c r="KQ191" s="74">
        <f>('Scénario référence'!$F$8+'Scénario référence'!$F$9+'Scénario référence'!$B$17+'Scénario référence'!$B$9+'Scénario référence'!$B$10)*70+IF((45+25*(1-EXP(-0.0175*$A191)))&lt;70,'Scénario référence'!$B$16*(45+25*(1-EXP(-0.0175*$A191))),70*'Scénario référence'!$B$16)+IF((32+38*(1-EXP(-0.0175*$A191)))&lt;70,'Scénario référence'!$B$18*(32+38*(1-EXP(-0.0175*$A191))),70*'Scénario référence'!$B$18)</f>
        <v>70</v>
      </c>
      <c r="KR191" s="12">
        <f>IF($A191&gt;30,10,('Scénario référence'!$B$16+'Scénario référence'!$B$17+'Scénario référence'!$B$18+'Scénario référence'!$B$9+'Scénario référence'!$B$10)*$A191*10/30+('Scénario référence'!$F$8+'Scénario référence'!$F$9)*10)</f>
        <v>10</v>
      </c>
      <c r="KS191" s="12" t="e">
        <f>VLOOKUP($A191,'Données projet'!$A$408:$I$428,2,0)</f>
        <v>#N/A</v>
      </c>
      <c r="KT191" s="12" t="e">
        <f>VLOOKUP($A191,'Données projet'!$A$408:$I$428,9,0)</f>
        <v>#N/A</v>
      </c>
      <c r="KU191" s="12">
        <f t="array" ref="KU191">INDEX(KT:KT,MIN(IF(ISNUMBER(KT191:KT387),ROW(KT191:KT387),"")))</f>
        <v>0</v>
      </c>
      <c r="KV191" s="12">
        <f>IF('Données projet'!$A$408&gt;35,KV190+KU191-LD190,IF($A191&lt;'Données projet'!$A$408,$CQ$205^$A191,IF($A191='Données projet'!$A$408,'Données projet'!$B$408,KV190+KU191-LD190)))</f>
        <v>-1.1368683772161603E-13</v>
      </c>
      <c r="KW191" s="17">
        <f>KV191*VLOOKUP('Données projet'!$B$23,Paramètres!$A$1:$I$89,3,0)*VLOOKUP('Données projet'!$B$23,Paramètres!$A$1:$I$89,5,0)</f>
        <v>-9.9316821433603781E-14</v>
      </c>
      <c r="KX191" s="13" t="e">
        <f t="shared" si="314"/>
        <v>#NUM!</v>
      </c>
      <c r="KY191" s="14" t="e">
        <f t="shared" si="266"/>
        <v>#NUM!</v>
      </c>
      <c r="KZ191" s="59" t="e">
        <f t="shared" si="267"/>
        <v>#NUM!</v>
      </c>
      <c r="LA191" s="59">
        <f ca="1">AVERAGE(OFFSET($KZ$3,0,0,'Données projet'!$E$23+1,1))-AVERAGE(OFFSET($H$3,0,0,'Données projet'!$E$23+1,1))</f>
        <v>248.33596943633819</v>
      </c>
      <c r="LB191" s="59">
        <f t="shared" si="315"/>
        <v>242.34010522344573</v>
      </c>
      <c r="LC191" s="15">
        <f>IF(ISNA(VLOOKUP($A191,'Données projet'!$A$408:$I$428,3,0)),0,VLOOKUP($A191,'Données projet'!$A$408:$I$428,3,0))</f>
        <v>0</v>
      </c>
      <c r="LD191" s="15">
        <f>IF(ISNA(VLOOKUP($A191,'Données projet'!$A$408:$I$428,4,0)),0,VLOOKUP($A191,'Données projet'!$A$408:$I$428,4,0))</f>
        <v>0</v>
      </c>
      <c r="LE191" s="16">
        <f>IF(ISNA(VLOOKUP($A191,'Données projet'!$A$408:$I$428,5,0)),0%,VLOOKUP($A191,'Données projet'!$A$408:$I$428,5,0)*VLOOKUP('Données projet'!$B$23,Paramètres!$A$1:$I$89,7,0))</f>
        <v>0</v>
      </c>
      <c r="LF191" s="16">
        <f>IF(ISNA(VLOOKUP($A191,'Données projet'!$A$408:$I$428,6,0)),0%,VLOOKUP($A191,'Données projet'!$A$408:$I$428,6,0)*VLOOKUP('Données projet'!$B$23,Paramètres!$A$1:$I$89,7,0))</f>
        <v>0</v>
      </c>
      <c r="LG191" s="16">
        <f>IF(ISNA(VLOOKUP($A191,'Données projet'!$A$408:$I$428,7,0)),0%,VLOOKUP($A191,'Données projet'!$A$408:$I$428,7,0))</f>
        <v>0</v>
      </c>
      <c r="LH191" s="21">
        <f>EXP(-LN(2)/35)*LH190+(1-EXP(-LN(2)/35))/(LN(2)/35)*LD191*LE191*VLOOKUP('Données projet'!$B$23,Paramètres!$A$1:$I$89,3,0)*0.475*44/12</f>
        <v>14.514098457928755</v>
      </c>
      <c r="LI191" s="21">
        <f>EXP(-LN(2)/25)*LI190+(1-EXP(-LN(2)/25))/(LN(2)/25)*Calculateur!LD191*Calculateur!LF191*VLOOKUP('Données projet'!$B$23,Paramètres!$A$1:$I$89,3,0)*0.475*44/12</f>
        <v>1.0903116041764525</v>
      </c>
      <c r="LJ191" s="21">
        <f>EXP(-LN(2)/2)*LJ190+(1-EXP(-LN(2)/2))/(LN(2)/2)*LD191*LG191*VLOOKUP('Données projet'!$B$23,Paramètres!$A$1:$I$89,3,0)*0.475*44/12</f>
        <v>0</v>
      </c>
      <c r="LK191" s="22">
        <f t="shared" si="268"/>
        <v>15.604410062105208</v>
      </c>
      <c r="LL191" s="74">
        <f>('Scénario référence'!$F$8+'Scénario référence'!$F$9+'Scénario référence'!$B$17+'Scénario référence'!$B$9+'Scénario référence'!$B$10)*70+IF((45+25*(1-EXP(-0.0175*$A191)))&lt;70,'Scénario référence'!$B$16*(45+25*(1-EXP(-0.0175*$A191))),70*'Scénario référence'!$B$16)+IF((32+38*(1-EXP(-0.0175*$A191)))&lt;70,'Scénario référence'!$B$18*(32+38*(1-EXP(-0.0175*$A191))),70*'Scénario référence'!$B$18)</f>
        <v>70</v>
      </c>
      <c r="LM191" s="12">
        <f>IF($A191&gt;30,10,('Scénario référence'!$B$16+'Scénario référence'!$B$17+'Scénario référence'!$B$18+'Scénario référence'!$B$9+'Scénario référence'!$B$10)*$A191*10/30+('Scénario référence'!$F$8+'Scénario référence'!$F$9)*10)</f>
        <v>10</v>
      </c>
      <c r="LN191" s="12" t="e">
        <f>VLOOKUP($A191,'Données projet'!$A$434:$I$454,2,0)</f>
        <v>#N/A</v>
      </c>
      <c r="LO191" s="12" t="e">
        <f>VLOOKUP($A191,'Données projet'!$A$434:$I$454,9,0)</f>
        <v>#N/A</v>
      </c>
      <c r="LP191" s="12">
        <f t="array" ref="LP191">INDEX(LO:LO,MIN(IF(ISNUMBER(LO191:LO387),ROW(LO191:LO387),"")))</f>
        <v>0</v>
      </c>
      <c r="LQ191" s="12">
        <f>IF('Données projet'!$A$434&gt;35,LQ190+LP191-LY190,IF($A191&lt;'Données projet'!$A$434,$CQ$205^$A191,IF($A191='Données projet'!$A$434,'Données projet'!$B$434,LQ190+LP191-LY190)))</f>
        <v>-4.5474735088646412E-13</v>
      </c>
      <c r="LR191" s="17">
        <f>LQ191*VLOOKUP('Données projet'!$B$24,Paramètres!$A$1:$I$89,3,0)*VLOOKUP('Données projet'!$B$24,Paramètres!$A$1:$I$89,5,0)</f>
        <v>-4.6111381379887462E-13</v>
      </c>
      <c r="LS191" s="13" t="e">
        <f t="shared" si="316"/>
        <v>#NUM!</v>
      </c>
      <c r="LT191" s="14" t="e">
        <f t="shared" si="269"/>
        <v>#NUM!</v>
      </c>
      <c r="LU191" s="59" t="e">
        <f t="shared" si="270"/>
        <v>#NUM!</v>
      </c>
      <c r="LV191" s="59">
        <f ca="1">AVERAGE(OFFSET($LU$3,0,0,'Données projet'!$E$24+1,1))-AVERAGE(OFFSET($H$3,0,0,'Données projet'!$E$24+1,1))</f>
        <v>260.52627655062872</v>
      </c>
      <c r="LW191" s="59">
        <f t="shared" si="317"/>
        <v>159.20429420478047</v>
      </c>
      <c r="LX191" s="15">
        <f>IF(ISNA(VLOOKUP($A191,'Données projet'!$A$434:$I$454,3,0)),0,VLOOKUP($A191,'Données projet'!$A$434:$I$454,3,0))</f>
        <v>0</v>
      </c>
      <c r="LY191" s="15">
        <f>IF(ISNA(VLOOKUP($A191,'Données projet'!$A$434:$I$454,4,0)),0,VLOOKUP($A191,'Données projet'!$A$434:$I$454,4,0))</f>
        <v>0</v>
      </c>
      <c r="LZ191" s="16">
        <f>IF(ISNA(VLOOKUP($A191,'Données projet'!$A$434:$I$454,5,0)),0%,VLOOKUP($A191,'Données projet'!$A$434:$I$454,5,0)*VLOOKUP('Données projet'!$B$24,Paramètres!$A$1:$I$89,7,0))</f>
        <v>0</v>
      </c>
      <c r="MA191" s="16">
        <f>IF(ISNA(VLOOKUP($A191,'Données projet'!$A$434:$I$454,6,0)),0%,VLOOKUP($A191,'Données projet'!$A$434:$I$454,6,0)*VLOOKUP('Données projet'!$B$24,Paramètres!$A$1:$I$89,7,0))</f>
        <v>0</v>
      </c>
      <c r="MB191" s="16">
        <f>IF(ISNA(VLOOKUP($A191,'Données projet'!$A$434:$I$454,7,0)),0%,VLOOKUP($A191,'Données projet'!$A$434:$I$454,7,0))</f>
        <v>0</v>
      </c>
      <c r="MC191" s="21">
        <f>EXP(-LN(2)/35)*MC190+(1-EXP(-LN(2)/35))/(LN(2)/35)*LY191*LZ191*VLOOKUP('Données projet'!$B$24,Paramètres!$A$1:$I$89,3,0)*0.475*44/12</f>
        <v>93.320723252201475</v>
      </c>
      <c r="MD191" s="21">
        <f>EXP(-LN(2)/25)*MD190+(1-EXP(-LN(2)/25))/(LN(2)/25)*Calculateur!LY191*Calculateur!MA191*VLOOKUP('Données projet'!$B$24,Paramètres!$A$1:$I$89,3,0)*0.475*44/12</f>
        <v>0</v>
      </c>
      <c r="ME191" s="21">
        <f>EXP(-LN(2)/2)*ME190+(1-EXP(-LN(2)/2))/(LN(2)/2)*LY191*MB191*VLOOKUP('Données projet'!$B$24,Paramètres!$A$1:$I$89,3,0)*0.475*44/12</f>
        <v>0</v>
      </c>
      <c r="MF191" s="22">
        <f t="shared" si="271"/>
        <v>93.320723252201475</v>
      </c>
      <c r="MG191" s="74">
        <f>('Scénario référence'!$F$8+'Scénario référence'!$F$9+'Scénario référence'!$B$17+'Scénario référence'!$B$9+'Scénario référence'!$B$10)*70+IF((45+25*(1-EXP(-0.0175*$A191)))&lt;70,'Scénario référence'!$B$16*(45+25*(1-EXP(-0.0175*$A191))),70*'Scénario référence'!$B$16)+IF((32+38*(1-EXP(-0.0175*$A191)))&lt;70,'Scénario référence'!$B$18*(32+38*(1-EXP(-0.0175*$A191))),70*'Scénario référence'!$B$18)</f>
        <v>70</v>
      </c>
      <c r="MH191" s="12">
        <f>IF($A191&gt;30,10,('Scénario référence'!$B$16+'Scénario référence'!$B$17+'Scénario référence'!$B$18+'Scénario référence'!$B$9+'Scénario référence'!$B$10)*$A191*10/30+('Scénario référence'!$F$8+'Scénario référence'!$F$9)*10)</f>
        <v>10</v>
      </c>
      <c r="MI191" s="12" t="e">
        <f>VLOOKUP($A191,'Données projet'!$A$460:$I$480,2,0)</f>
        <v>#N/A</v>
      </c>
      <c r="MJ191" s="12" t="e">
        <f>VLOOKUP($A191,'Données projet'!$A$460:$I$480,9,0)</f>
        <v>#N/A</v>
      </c>
      <c r="MK191" s="12">
        <f t="array" ref="MK191">INDEX(MJ:MJ,MIN(IF(ISNUMBER(MJ191:MJ387),ROW(MJ191:MJ387),"")))</f>
        <v>0</v>
      </c>
      <c r="ML191" s="12">
        <f>IF('Données projet'!$A$460&gt;35,ML190+MK191-MT190,IF($A191&lt;'Données projet'!$A$460,$CQ$205^$A191,IF($A191='Données projet'!$A$460,'Données projet'!$B$460,ML190+MK191-MT190)))</f>
        <v>0</v>
      </c>
      <c r="MM191" s="17" t="e">
        <f>ML191*VLOOKUP('Données projet'!$B$25,Paramètres!$A$1:$I$89,3,0)*VLOOKUP('Données projet'!$B$25,Paramètres!$A$1:$I$89,5,0)</f>
        <v>#N/A</v>
      </c>
      <c r="MN191" s="13" t="e">
        <f t="shared" si="318"/>
        <v>#N/A</v>
      </c>
      <c r="MO191" s="14" t="e">
        <f t="shared" si="272"/>
        <v>#N/A</v>
      </c>
      <c r="MP191" s="59" t="e">
        <f t="shared" si="273"/>
        <v>#N/A</v>
      </c>
      <c r="MQ191" s="20" t="e">
        <f ca="1">AVERAGE(OFFSET($MP$3,0,0,'Données projet'!$E$25+1,1))-AVERAGE(OFFSET($H$3,0,0,'Données projet'!$E$25+1,1))</f>
        <v>#N/A</v>
      </c>
      <c r="MR191" s="59" t="e">
        <f t="shared" si="319"/>
        <v>#N/A</v>
      </c>
      <c r="MS191" s="15">
        <f>IF(ISNA(VLOOKUP($A191,'Données projet'!$A$460:$I$480,3,0)),0,VLOOKUP($A191,'Données projet'!$A$460:$I$480,3,0))</f>
        <v>0</v>
      </c>
      <c r="MT191" s="15">
        <f>IF(ISNA(VLOOKUP($A191,'Données projet'!$A$460:$I$480,4,0)),0,VLOOKUP($A191,'Données projet'!$A$460:$I$480,4,0))</f>
        <v>0</v>
      </c>
      <c r="MU191" s="16">
        <f>IF(ISNA(VLOOKUP($A191,'Données projet'!$A$460:$I$480,5,0)),0%,VLOOKUP($A191,'Données projet'!$A$460:$I$480,5,0)*VLOOKUP('Données projet'!$B$25,Paramètres!$A$1:$I$89,7,0))</f>
        <v>0</v>
      </c>
      <c r="MV191" s="16">
        <f>IF(ISNA(VLOOKUP($A191,'Données projet'!$A$460:$I$480,6,0)),0%,VLOOKUP($A191,'Données projet'!$A$460:$I$480,6,0)*VLOOKUP('Données projet'!$B$25,Paramètres!$A$1:$I$89,7,0))</f>
        <v>0</v>
      </c>
      <c r="MW191" s="16">
        <f>IF(ISNA(VLOOKUP($A191,'Données projet'!$A$460:$I$480,7,0)),0%,VLOOKUP($A191,'Données projet'!$A$460:$I$480,7,0))</f>
        <v>0</v>
      </c>
      <c r="MX191" s="21" t="e">
        <f>EXP(-LN(2)/35)*MX190+(1-EXP(-LN(2)/35))/(LN(2)/35)*MT191*MU191*VLOOKUP('Données projet'!$B$25,Paramètres!$A$1:$I$89,3,0)*0.475*44/12</f>
        <v>#N/A</v>
      </c>
      <c r="MY191" s="21" t="e">
        <f>EXP(-LN(2)/25)*MY190+(1-EXP(-LN(2)/25))/(LN(2)/25)*Calculateur!MT191*Calculateur!MV191*VLOOKUP('Données projet'!$B$25,Paramètres!$A$1:$I$89,3,0)*0.475*44/12</f>
        <v>#N/A</v>
      </c>
      <c r="MZ191" s="21" t="e">
        <f>EXP(-LN(2)/2)*MZ190+(1-EXP(-LN(2)/2))/(LN(2)/2)*MT191*MW191*VLOOKUP('Données projet'!$B$25,Paramètres!$A$1:$I$89,3,0)*0.475*44/12</f>
        <v>#N/A</v>
      </c>
      <c r="NA191" s="22" t="e">
        <f t="shared" si="274"/>
        <v>#N/A</v>
      </c>
      <c r="NB191" s="74">
        <f>('Scénario référence'!$F$8+'Scénario référence'!$F$9+'Scénario référence'!$B$17+'Scénario référence'!$B$9+'Scénario référence'!$B$10)*70+IF((45+25*(1-EXP(-0.0175*$A191)))&lt;70,'Scénario référence'!$B$16*(45+25*(1-EXP(-0.0175*$A191))),70*'Scénario référence'!$B$16)+IF((32+38*(1-EXP(-0.0175*$A191)))&lt;70,'Scénario référence'!$B$18*(32+38*(1-EXP(-0.0175*$A191))),70*'Scénario référence'!$B$18)</f>
        <v>70</v>
      </c>
      <c r="NC191" s="12">
        <f>IF($A191&gt;30,10,('Scénario référence'!$B$16+'Scénario référence'!$B$17+'Scénario référence'!$B$18+'Scénario référence'!$B$9+'Scénario référence'!$B$10)*$A191*10/30+('Scénario référence'!$F$8+'Scénario référence'!$F$9)*10)</f>
        <v>10</v>
      </c>
      <c r="ND191" s="12" t="e">
        <f>VLOOKUP($A191,'Données projet'!$A$486:$I$506,2,0)</f>
        <v>#N/A</v>
      </c>
      <c r="NE191" s="12" t="e">
        <f>VLOOKUP($A191,'Données projet'!$A$486:$I$506,9,0)</f>
        <v>#N/A</v>
      </c>
      <c r="NF191" s="12">
        <f t="array" ref="NF191">INDEX(NE:NE,MIN(IF(ISNUMBER(NE191:NE387),ROW(NE191:NE387),"")))</f>
        <v>0</v>
      </c>
      <c r="NG191" s="12">
        <f>IF('Données projet'!$A$486&gt;35,NG190+NF191-NO190,IF($A191&lt;'Données projet'!$A$486,$CQ$205^$A191,IF($A191='Données projet'!$A$486,'Données projet'!$B$486,NG190+NF191-NO190)))</f>
        <v>0</v>
      </c>
      <c r="NH191" s="17" t="e">
        <f>NG191*VLOOKUP('Données projet'!$B$26,Paramètres!$A$1:$I$89,3,0)*VLOOKUP('Données projet'!$B$26,Paramètres!$A$1:$I$89,5,0)</f>
        <v>#N/A</v>
      </c>
      <c r="NI191" s="13" t="e">
        <f t="shared" si="320"/>
        <v>#N/A</v>
      </c>
      <c r="NJ191" s="14" t="e">
        <f t="shared" si="275"/>
        <v>#N/A</v>
      </c>
      <c r="NK191" s="59" t="e">
        <f t="shared" si="276"/>
        <v>#N/A</v>
      </c>
      <c r="NL191" s="20" t="e">
        <f ca="1">AVERAGE(OFFSET($NK$3,0,0,'Données projet'!$E$26+1,1))-AVERAGE(OFFSET($H$3,0,0,'Données projet'!$E$26+1,1))</f>
        <v>#N/A</v>
      </c>
      <c r="NM191" s="59" t="e">
        <f t="shared" si="321"/>
        <v>#N/A</v>
      </c>
      <c r="NN191" s="15">
        <f>IF(ISNA(VLOOKUP($A191,'Données projet'!$A$486:$I$506,3,0)),0,VLOOKUP($A191,'Données projet'!$A$486:$I$506,3,0))</f>
        <v>0</v>
      </c>
      <c r="NO191" s="15">
        <f>IF(ISNA(VLOOKUP($A191,'Données projet'!$A$486:$I$506,4,0)),0,VLOOKUP($A191,'Données projet'!$A$486:$I$506,4,0))</f>
        <v>0</v>
      </c>
      <c r="NP191" s="16">
        <f>IF(ISNA(VLOOKUP($A191,'Données projet'!$A$486:$I$506,5,0)),0%,VLOOKUP($A191,'Données projet'!$A$486:$I$506,5,0)*VLOOKUP('Données projet'!$B$26,Paramètres!$A$1:$I$89,7,0))</f>
        <v>0</v>
      </c>
      <c r="NQ191" s="16">
        <f>IF(ISNA(VLOOKUP($A191,'Données projet'!$A$486:$I$506,6,0)),0%,VLOOKUP($A191,'Données projet'!$A$486:$I$506,6,0)*VLOOKUP('Données projet'!$B$26,Paramètres!$A$1:$I$89,7,0))</f>
        <v>0</v>
      </c>
      <c r="NR191" s="16">
        <f>IF(ISNA(VLOOKUP($A191,'Données projet'!$A$486:$I$506,7,0)),0%,VLOOKUP($A191,'Données projet'!$A$486:$I$506,7,0))</f>
        <v>0</v>
      </c>
      <c r="NS191" s="21" t="e">
        <f>EXP(-LN(2)/35)*NS190+(1-EXP(-LN(2)/35))/(LN(2)/35)*NO191*NP191*VLOOKUP('Données projet'!$B$26,Paramètres!$A$1:$I$89,3,0)*0.475*44/12</f>
        <v>#N/A</v>
      </c>
      <c r="NT191" s="21" t="e">
        <f>EXP(-LN(2)/25)*NT190+(1-EXP(-LN(2)/25))/(LN(2)/25)*Calculateur!NO191*Calculateur!NQ191*VLOOKUP('Données projet'!$B$26,Paramètres!$A$1:$I$89,3,0)*0.475*44/12</f>
        <v>#N/A</v>
      </c>
      <c r="NU191" s="21" t="e">
        <f>EXP(-LN(2)/2)*NU190+(1-EXP(-LN(2)/2))/(LN(2)/2)*NO191*NR191*VLOOKUP('Données projet'!$B$26,Paramètres!$A$1:$I$89,3,0)*0.475*44/12</f>
        <v>#N/A</v>
      </c>
      <c r="NV191" s="22" t="e">
        <f t="shared" si="277"/>
        <v>#N/A</v>
      </c>
      <c r="NW191" s="74">
        <f>('Scénario référence'!$F$8+'Scénario référence'!$F$9+'Scénario référence'!$B$17+'Scénario référence'!$B$9+'Scénario référence'!$B$10)*70+IF((45+25*(1-EXP(-0.0175*$A191)))&lt;70,'Scénario référence'!$B$16*(45+25*(1-EXP(-0.0175*$A191))),70*'Scénario référence'!$B$16)+IF((32+38*(1-EXP(-0.0175*$A191)))&lt;70,'Scénario référence'!$B$18*(32+38*(1-EXP(-0.0175*$A191))),70*'Scénario référence'!$B$18)</f>
        <v>70</v>
      </c>
      <c r="NX191" s="12">
        <f>IF($A191&gt;30,10,('Scénario référence'!$B$16+'Scénario référence'!$B$17+'Scénario référence'!$B$18+'Scénario référence'!$B$9+'Scénario référence'!$B$10)*$A191*10/30+('Scénario référence'!$F$8+'Scénario référence'!$F$9)*10)</f>
        <v>10</v>
      </c>
      <c r="NY191" s="12" t="e">
        <f>VLOOKUP($A191,'Données projet'!$A$512:$I$532,2,0)</f>
        <v>#N/A</v>
      </c>
      <c r="NZ191" s="12" t="e">
        <f>VLOOKUP($A191,'Données projet'!$A$512:$I$532,9,0)</f>
        <v>#N/A</v>
      </c>
      <c r="OA191" s="12">
        <f t="array" ref="OA191">INDEX(NZ:NZ,MIN(IF(ISNUMBER(NZ191:NZ387),ROW(NZ191:NZ387),"")))</f>
        <v>0</v>
      </c>
      <c r="OB191" s="12">
        <f>IF('Données projet'!$A$512&gt;35,OB190+OA191-OJ190,IF($A191&lt;'Données projet'!$A$512,$CQ$205^$A191,IF($A191='Données projet'!$A$512,'Données projet'!$B$512,OB190+OA191-OJ190)))</f>
        <v>0</v>
      </c>
      <c r="OC191" s="17" t="e">
        <f>OB191*VLOOKUP('Données projet'!$B$27,Paramètres!$A$1:$I$89,3,0)*VLOOKUP('Données projet'!$B$27,Paramètres!$A$1:$I$89,5,0)</f>
        <v>#N/A</v>
      </c>
      <c r="OD191" s="13" t="e">
        <f t="shared" si="322"/>
        <v>#N/A</v>
      </c>
      <c r="OE191" s="14" t="e">
        <f t="shared" si="278"/>
        <v>#N/A</v>
      </c>
      <c r="OF191" s="59" t="e">
        <f t="shared" si="279"/>
        <v>#N/A</v>
      </c>
      <c r="OG191" s="20" t="e">
        <f ca="1">AVERAGE(OFFSET($OF$3,0,0,'Données projet'!$E$27+1,1))-AVERAGE(OFFSET($H$3,0,0,'Données projet'!$E$27+1,1))</f>
        <v>#N/A</v>
      </c>
      <c r="OH191" s="59" t="e">
        <f t="shared" si="323"/>
        <v>#N/A</v>
      </c>
      <c r="OI191" s="15">
        <f>IF(ISNA(VLOOKUP($A191,'Données projet'!$A$512:$I$532,3,0)),0,VLOOKUP($A191,'Données projet'!$A$512:$I$532,3,0))</f>
        <v>0</v>
      </c>
      <c r="OJ191" s="15">
        <f>IF(ISNA(VLOOKUP($A191,'Données projet'!$A$512:$I$532,4,0)),0,VLOOKUP($A191,'Données projet'!$A$512:$I$532,4,0))</f>
        <v>0</v>
      </c>
      <c r="OK191" s="16">
        <f>IF(ISNA(VLOOKUP($A191,'Données projet'!$A$512:$I$532,5,0)),0%,VLOOKUP($A191,'Données projet'!$A$512:$I$532,5,0)*VLOOKUP('Données projet'!$B$27,Paramètres!$A$1:$I$89,7,0))</f>
        <v>0</v>
      </c>
      <c r="OL191" s="16">
        <f>IF(ISNA(VLOOKUP($A191,'Données projet'!$A$512:$I$532,6,0)),0%,VLOOKUP($A191,'Données projet'!$A$512:$I$532,6,0)*VLOOKUP('Données projet'!$B$27,Paramètres!$A$1:$I$89,7,0))</f>
        <v>0</v>
      </c>
      <c r="OM191" s="16">
        <f>IF(ISNA(VLOOKUP($A191,'Données projet'!$A$512:$I$532,7,0)),0%,VLOOKUP($A191,'Données projet'!$A$512:$I$532,7,0))</f>
        <v>0</v>
      </c>
      <c r="ON191" s="21" t="e">
        <f>EXP(-LN(2)/35)*ON190+(1-EXP(-LN(2)/35))/(LN(2)/35)*OJ191*OK191*VLOOKUP('Données projet'!$B$27,Paramètres!$A$1:$I$89,3,0)*0.475*44/12</f>
        <v>#N/A</v>
      </c>
      <c r="OO191" s="21" t="e">
        <f>EXP(-LN(2)/25)*OO190+(1-EXP(-LN(2)/25))/(LN(2)/25)*Calculateur!OJ191*Calculateur!OL191*VLOOKUP('Données projet'!$B$27,Paramètres!$A$1:$I$89,3,0)*0.475*44/12</f>
        <v>#N/A</v>
      </c>
      <c r="OP191" s="21" t="e">
        <f>EXP(-LN(2)/2)*OP190+(1-EXP(-LN(2)/2))/(LN(2)/2)*OJ191*OM191*VLOOKUP('Données projet'!$B$27,Paramètres!$A$1:$I$89,3,0)*0.475*44/12</f>
        <v>#N/A</v>
      </c>
      <c r="OQ191" s="22" t="e">
        <f t="shared" si="280"/>
        <v>#N/A</v>
      </c>
      <c r="OR191" s="74">
        <f>('Scénario référence'!$F$8+'Scénario référence'!$F$9+'Scénario référence'!$B$17+'Scénario référence'!$B$9+'Scénario référence'!$B$10)*70+IF((45+25*(1-EXP(-0.0175*$A191)))&lt;70,'Scénario référence'!$B$16*(45+25*(1-EXP(-0.0175*$A191))),70*'Scénario référence'!$B$16)+IF((32+38*(1-EXP(-0.0175*$A191)))&lt;70,'Scénario référence'!$B$18*(32+38*(1-EXP(-0.0175*$A191))),70*'Scénario référence'!$B$18)</f>
        <v>70</v>
      </c>
      <c r="OS191" s="12">
        <f>IF($A191&gt;30,10,('Scénario référence'!$B$16+'Scénario référence'!$B$17+'Scénario référence'!$B$18+'Scénario référence'!$B$9+'Scénario référence'!$B$10)*$A191*10/30+('Scénario référence'!$F$8+'Scénario référence'!$F$9)*10)</f>
        <v>10</v>
      </c>
      <c r="OT191" s="12" t="e">
        <f>VLOOKUP($A191,'Données projet'!$A$538:$I$558,2,0)</f>
        <v>#N/A</v>
      </c>
      <c r="OU191" s="12" t="e">
        <f>VLOOKUP($A191,'Données projet'!$A$538:$I$558,9,0)</f>
        <v>#N/A</v>
      </c>
      <c r="OV191" s="12">
        <f t="array" ref="OV191">INDEX(OU:OU,MIN(IF(ISNUMBER(OU191:OU387),ROW(OU191:OU387),"")))</f>
        <v>0</v>
      </c>
      <c r="OW191" s="12">
        <f>IF('Données projet'!$A$538&gt;35,OW190+OV191-PE190,IF($A191&lt;'Données projet'!$A$538,$CQ$205^$A191,IF($A191='Données projet'!$A$538,'Données projet'!$B$538,OW190+OV191-PE190)))</f>
        <v>0</v>
      </c>
      <c r="OX191" s="17" t="e">
        <f>OW191*VLOOKUP('Données projet'!$B$28,Paramètres!$A$1:$I$89,3,0)*VLOOKUP('Données projet'!$B$28,Paramètres!$A$1:$I$89,5,0)</f>
        <v>#N/A</v>
      </c>
      <c r="OY191" s="13" t="e">
        <f t="shared" si="324"/>
        <v>#N/A</v>
      </c>
      <c r="OZ191" s="14" t="e">
        <f t="shared" si="281"/>
        <v>#N/A</v>
      </c>
      <c r="PA191" s="59" t="e">
        <f t="shared" si="282"/>
        <v>#N/A</v>
      </c>
      <c r="PB191" s="20" t="e">
        <f ca="1">AVERAGE(OFFSET($PA$3,0,0,'Données projet'!$E$28+1,1))-AVERAGE(OFFSET($H$3,0,0,'Données projet'!$E$28+1,1))</f>
        <v>#N/A</v>
      </c>
      <c r="PC191" s="59" t="e">
        <f t="shared" si="325"/>
        <v>#N/A</v>
      </c>
      <c r="PD191" s="15">
        <f>IF(ISNA(VLOOKUP($A191,'Données projet'!$A$538:$I$558,3,0)),0,VLOOKUP($A191,'Données projet'!$A$538:$I$558,3,0))</f>
        <v>0</v>
      </c>
      <c r="PE191" s="15">
        <f>IF(ISNA(VLOOKUP($A191,'Données projet'!$A$538:$I$558,4,0)),0,VLOOKUP($A191,'Données projet'!$A$538:$I$558,4,0))</f>
        <v>0</v>
      </c>
      <c r="PF191" s="16">
        <f>IF(ISNA(VLOOKUP($A191,'Données projet'!$A$538:$I$558,5,0)),0%,VLOOKUP($A191,'Données projet'!$A$538:$I$558,5,0)*VLOOKUP('Données projet'!$B$28,Paramètres!$A$1:$I$89,7,0))</f>
        <v>0</v>
      </c>
      <c r="PG191" s="16">
        <f>IF(ISNA(VLOOKUP($A191,'Données projet'!$A$538:$I$558,6,0)),0%,VLOOKUP($A191,'Données projet'!$A$538:$I$558,6,0)*VLOOKUP('Données projet'!$B$28,Paramètres!$A$1:$I$89,7,0))</f>
        <v>0</v>
      </c>
      <c r="PH191" s="16">
        <f>IF(ISNA(VLOOKUP($A191,'Données projet'!$A$538:$I$558,7,0)),0%,VLOOKUP($A191,'Données projet'!$A$538:$I$558,7,0))</f>
        <v>0</v>
      </c>
      <c r="PI191" s="21" t="e">
        <f>EXP(-LN(2)/35)*PI190+(1-EXP(-LN(2)/35))/(LN(2)/35)*PE191*PF191*VLOOKUP('Données projet'!$B$28,Paramètres!$A$1:$I$89,3,0)*0.475*44/12</f>
        <v>#N/A</v>
      </c>
      <c r="PJ191" s="21" t="e">
        <f>EXP(-LN(2)/25)*PJ190+(1-EXP(-LN(2)/25))/(LN(2)/25)*Calculateur!PE191*Calculateur!PG191*VLOOKUP('Données projet'!$B$28,Paramètres!$A$1:$I$89,3,0)*0.475*44/12</f>
        <v>#N/A</v>
      </c>
      <c r="PK191" s="21" t="e">
        <f>EXP(-LN(2)/2)*PK190+(1-EXP(-LN(2)/2))/(LN(2)/2)*PE191*PH191*VLOOKUP('Données projet'!$B$28,Paramètres!$A$1:$I$89,3,0)*0.475*44/12</f>
        <v>#N/A</v>
      </c>
      <c r="PL191" s="22" t="e">
        <f t="shared" si="283"/>
        <v>#N/A</v>
      </c>
    </row>
    <row r="192" spans="1:428" x14ac:dyDescent="0.35">
      <c r="A192" s="10">
        <f t="shared" si="326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285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225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projet'!$A$45:$I$65,2,0)</f>
        <v>#N/A</v>
      </c>
      <c r="L192" s="12" t="e">
        <f>VLOOKUP(A192,'Données projet'!$A$45:$I$65,9,0)</f>
        <v>#N/A</v>
      </c>
      <c r="M192" s="12">
        <f t="array" ref="M192">INDEX(L:L,MIN(IF(ISNUMBER(L192:L388),ROW(L192:L388),"")))</f>
        <v>0</v>
      </c>
      <c r="N192" s="13">
        <f>IF('Données projet'!$A$46&gt;35,N191+M192-V191,IF(A192&lt;'Données projet'!$A$46,$K$205^A192,IF(A192='Données projet'!$A$46,'Données projet'!$B$46,N191+M192-V191)))</f>
        <v>-1.1368683772161603E-13</v>
      </c>
      <c r="O192" s="13">
        <f>N192*VLOOKUP('Données projet'!$B$9,Paramètres!$A$1:$I$89,3,0)*VLOOKUP('Données projet'!$B$9,Paramètres!$A$1:$I$89,5,0)</f>
        <v>-6.3550942286383367E-14</v>
      </c>
      <c r="P192" s="13" t="e">
        <f t="shared" si="286"/>
        <v>#NUM!</v>
      </c>
      <c r="Q192" s="20" t="e">
        <f t="shared" si="327"/>
        <v>#NUM!</v>
      </c>
      <c r="R192" s="59" t="e">
        <f t="shared" si="224"/>
        <v>#NUM!</v>
      </c>
      <c r="S192" s="59">
        <f ca="1">AVERAGE(OFFSET($R$3,0,0,'Données projet'!$E$9+1,1))-AVERAGE(OFFSET($H$3,0,0,'Données projet'!$E$9+1,1))</f>
        <v>274.57619581652199</v>
      </c>
      <c r="T192" s="59">
        <f t="shared" si="287"/>
        <v>366.15117322598775</v>
      </c>
      <c r="U192" s="15">
        <f>IF(ISNA(VLOOKUP(A192,'Données projet'!$A$45:$I$65,3,0)),0,VLOOKUP(A192,'Données projet'!$A$45:$I$65,3,0))</f>
        <v>0</v>
      </c>
      <c r="V192" s="15">
        <f>IF(ISNA(VLOOKUP(A192,'Données projet'!$A$45:$I$65,4,0)),0,VLOOKUP(A192,'Données projet'!$A$45:$I$65,4,0))</f>
        <v>0</v>
      </c>
      <c r="W192" s="16">
        <f>IF(ISNA(VLOOKUP(A192,'Données projet'!$A$45:$I$65,5,0)),0%,VLOOKUP(A192,'Données projet'!$A$45:$I$65,5,0)*VLOOKUP('Données projet'!$B$9,Paramètres!$A$1:$I$89,7,0))</f>
        <v>0</v>
      </c>
      <c r="X192" s="16">
        <f>IF(ISNA(VLOOKUP(A192,'Données projet'!$A$45:$I$65,6,0)),0%,VLOOKUP(A192,'Données projet'!$A$45:$I$65,6,0)*VLOOKUP('Données projet'!$B$9,Paramètres!$A$1:$I$89,7,0))</f>
        <v>0</v>
      </c>
      <c r="Y192" s="16">
        <f>IF(ISNA(VLOOKUP(A192,'Données projet'!$A$45:$I$65,7,0)),0%,VLOOKUP(A192,'Données projet'!$A$45:$I$65,7,0))</f>
        <v>0</v>
      </c>
      <c r="Z192" s="21">
        <f>EXP(-LN(2)/35)*Z191+(1-EXP(-LN(2)/35))/(LN(2)/35)*V192*W192*VLOOKUP('Données projet'!$B$9,Paramètres!$A$1:$I$89,3,0)*0.475*44/12</f>
        <v>15.953444018740791</v>
      </c>
      <c r="AA192" s="21">
        <f>EXP(-LN(2)/25)*AA191+(1-EXP(-LN(2)/25))/(LN(2)/25)*Calculateur!V192*Calculateur!X192*VLOOKUP('Données projet'!$B$9,Paramètres!$A$1:$I$89,3,0)*0.475*44/12</f>
        <v>1.4026832523412327</v>
      </c>
      <c r="AB192" s="21">
        <f>EXP(-LN(2)/2)*AB191+(1-EXP(-LN(2)/2))/(LN(2)/2)*V192*Y192*VLOOKUP('Données projet'!$B$9,Paramètres!$A$1:$I$89,3,0)*0.475*44/12</f>
        <v>2.3148600010122816E-19</v>
      </c>
      <c r="AC192" s="22">
        <f t="shared" si="328"/>
        <v>17.356127271082023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projet'!$A$71:$I$91,2,0)</f>
        <v>#N/A</v>
      </c>
      <c r="AG192" s="12" t="e">
        <f>VLOOKUP(A192,'Données projet'!$A$71:$I$91,9,0)</f>
        <v>#N/A</v>
      </c>
      <c r="AH192" s="12">
        <f t="array" ref="AH192">INDEX(AG:AG,MIN(IF(ISNUMBER(AG192:AG388),ROW(AG192:AG388),"")))</f>
        <v>0</v>
      </c>
      <c r="AI192" s="13">
        <f>IF('Données projet'!$A$72&gt;35,AI191+AH192-AQ191,IF(A192&lt;'Données projet'!$A$72,$AF$205^A192,IF(A192='Données projet'!$A$72,'Données projet'!$B$72,AI191+AH192-AQ191)))</f>
        <v>5.6843418860808015E-13</v>
      </c>
      <c r="AJ192" s="13">
        <f>AI192*VLOOKUP('Données projet'!$B$10,Paramètres!$A$1:$I$89,3,0)*VLOOKUP('Données projet'!$B$10,Paramètres!$A$1:$I$89,5,0)</f>
        <v>5.1431925385259092E-13</v>
      </c>
      <c r="AK192" s="13">
        <f t="shared" si="329"/>
        <v>6.3855359115685756E-12</v>
      </c>
      <c r="AL192" s="20">
        <f t="shared" si="330"/>
        <v>1.2017247746441865E-11</v>
      </c>
      <c r="AM192" s="59">
        <f t="shared" si="228"/>
        <v>293.33333333334531</v>
      </c>
      <c r="AN192" s="59">
        <f ca="1">AVERAGE(OFFSET($AM$3,0,0,'Données projet'!$E$10+1,1))-AVERAGE(OFFSET($H$3,0,0,'Données projet'!$E$10+1,1))</f>
        <v>270.87836509222456</v>
      </c>
      <c r="AO192" s="59">
        <f t="shared" si="289"/>
        <v>205.24998237949734</v>
      </c>
      <c r="AP192" s="15">
        <f>IF(ISNA(VLOOKUP(A192,'Données projet'!$A$71:$I$91,3,0)),0,VLOOKUP(A192,'Données projet'!$A$71:$I$91,3,0))</f>
        <v>0</v>
      </c>
      <c r="AQ192" s="15">
        <f>IF(ISNA(VLOOKUP(A192,'Données projet'!$A$71:$I$91,4,0)),0,VLOOKUP(A192,'Données projet'!$A$71:$I$91,4,0))</f>
        <v>0</v>
      </c>
      <c r="AR192" s="16">
        <f>IF(ISNA(VLOOKUP(A192,'Données projet'!$A$71:$I$91,5,0)),0%,VLOOKUP(A192,'Données projet'!$A$71:$I$91,5,0)*VLOOKUP('Données projet'!$B$10,Paramètres!$A$1:$I$89,7,0))</f>
        <v>0</v>
      </c>
      <c r="AS192" s="16">
        <f>IF(ISNA(VLOOKUP(A192,'Données projet'!$A$71:$I$91,6,0)),0%,VLOOKUP(A192,'Données projet'!$A$71:$I$91,6,0)*VLOOKUP('Données projet'!$B$10,Paramètres!$A$1:$I$89,7,0))</f>
        <v>0</v>
      </c>
      <c r="AT192" s="16">
        <f>IF(ISNA(VLOOKUP(A192,'Données projet'!$A$71:$I$91,7,0)),0%,VLOOKUP(A192,'Données projet'!$A$71:$I$91,7,0))</f>
        <v>0</v>
      </c>
      <c r="AU192" s="21">
        <f>EXP(-LN(2)/35)*AU191+(1-EXP(-LN(2)/35))/(LN(2)/35)*AQ192*AR192*VLOOKUP('Données projet'!$B$10,Paramètres!$A$1:$I$89,3,0)*0.475*44/12</f>
        <v>54.213867348205426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331"/>
        <v>54.213867348205426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projet'!$A$97:$I$117,2,0)</f>
        <v>#N/A</v>
      </c>
      <c r="BB192" s="12" t="e">
        <f>VLOOKUP(A192,'Données projet'!$A$97:$I$117,9,0)</f>
        <v>#N/A</v>
      </c>
      <c r="BC192" s="12">
        <f t="array" ref="BC192">INDEX(BB:BB,MIN(IF(ISNUMBER(BB192:BB388),ROW(BB192:BB388),"")))</f>
        <v>0</v>
      </c>
      <c r="BD192" s="12">
        <f>IF('Données projet'!$A$98&gt;35,BD191+BC192-BL191,IF(A192&lt;'Données projet'!$A$98,$BA$205^A192,IF(A192='Données projet'!$A$98,'Données projet'!$B$98,BD191+BC192-BL191)))</f>
        <v>-1.1368683772161603E-13</v>
      </c>
      <c r="BE192" s="13">
        <f>BD192*VLOOKUP('Données projet'!$B$11,Paramètres!$A$1:$I$89,3,0)*VLOOKUP('Données projet'!$B$11,Paramètres!$A$1:$I$89,5,0)</f>
        <v>-5.0249582272954292E-14</v>
      </c>
      <c r="BF192" s="13" t="e">
        <f t="shared" si="332"/>
        <v>#NUM!</v>
      </c>
      <c r="BG192" s="20" t="e">
        <f t="shared" si="333"/>
        <v>#NUM!</v>
      </c>
      <c r="BH192" s="59" t="e">
        <f t="shared" si="231"/>
        <v>#NUM!</v>
      </c>
      <c r="BI192" s="59">
        <f ca="1">AVERAGE(OFFSET($BH$3,0,0,'Données projet'!$E$11+1,1))-AVERAGE(OFFSET($H$3,0,0,'Données projet'!$E$11+1,1))</f>
        <v>211.31057120485542</v>
      </c>
      <c r="BJ192" s="59">
        <f t="shared" si="291"/>
        <v>283.33292006714777</v>
      </c>
      <c r="BK192" s="15">
        <f>IF(ISNA(VLOOKUP(A192,'Données projet'!$A$97:$I$117,3,0)),0,VLOOKUP(A192,'Données projet'!$A$97:$I$117,3,0))</f>
        <v>0</v>
      </c>
      <c r="BL192" s="15">
        <f>IF(ISNA(VLOOKUP(A192,'Données projet'!$A$97:$I$117,4,0)),0,VLOOKUP(A192,'Données projet'!$A$97:$I$117,4,0))</f>
        <v>0</v>
      </c>
      <c r="BM192" s="16">
        <f>IF(ISNA(VLOOKUP(A192,'Données projet'!$A$97:$I$117,5,0)),0%,VLOOKUP(A192,'Données projet'!$A$97:$I$117,5,0)*VLOOKUP('Données projet'!$B$11,Paramètres!$A$1:$I$89,7,0))</f>
        <v>0</v>
      </c>
      <c r="BN192" s="16">
        <f>IF(ISNA(VLOOKUP(A192,'Données projet'!$A$97:$I$117,6,0)),0%,VLOOKUP(A192,'Données projet'!$A$97:$I$117,6,0)*VLOOKUP('Données projet'!$B$11,Paramètres!$A$1:$I$89,7,0))</f>
        <v>0</v>
      </c>
      <c r="BO192" s="16">
        <f>IF(ISNA(VLOOKUP(A192,'Données projet'!$A$97:$I$117,7,0)),0%,VLOOKUP(A192,'Données projet'!$A$97:$I$117,7,0))</f>
        <v>0</v>
      </c>
      <c r="BP192" s="21">
        <f>EXP(-LN(2)/35)*BP191+(1-EXP(-LN(2)/35))/(LN(2)/35)*BL192*BM192*VLOOKUP('Données projet'!$B$11,Paramètres!$A$1:$I$89,3,0)*0.475*44/12</f>
        <v>12.614351084585751</v>
      </c>
      <c r="BQ192" s="21">
        <f>EXP(-LN(2)/25)*BQ191+(1-EXP(-LN(2)/25))/(LN(2)/25)*Calculateur!BL192*Calculateur!BN192*VLOOKUP('Données projet'!$B$11,Paramètres!$A$1:$I$89,3,0)*0.475*44/12</f>
        <v>1.1090983855721368</v>
      </c>
      <c r="BR192" s="21">
        <f>EXP(-LN(2)/2)*BR191+(1-EXP(-LN(2)/2))/(LN(2)/2)*BL192*BO192*VLOOKUP('Données projet'!$B$11,Paramètres!$A$1:$I$89,3,0)*0.475*44/12</f>
        <v>1.8303544194050595E-19</v>
      </c>
      <c r="BS192" s="22">
        <f t="shared" si="334"/>
        <v>13.723449470157888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projet'!$A$123:$I$143,2,0)</f>
        <v>#N/A</v>
      </c>
      <c r="BW192" s="12" t="e">
        <f>VLOOKUP(A192,'Données projet'!$A$123:$I$143,9,0)</f>
        <v>#N/A</v>
      </c>
      <c r="BX192" s="12">
        <f t="array" ref="BX192">INDEX(BW:BW,MIN(IF(ISNUMBER(BW192:BW388),ROW(BW192:BW388),"")))</f>
        <v>0</v>
      </c>
      <c r="BY192" s="12">
        <f>IF('Données projet'!$A$124&gt;35,BY191+BX192-CG191,IF(A192&lt;'Données projet'!$A$124,$BV$205^A192,IF(A192='Données projet'!$A$124,'Données projet'!$B$124,BY191+BX192-CG191)))</f>
        <v>0</v>
      </c>
      <c r="BZ192" s="13">
        <f>BY192*VLOOKUP('Données projet'!$B$12,Paramètres!$A$1:$I$89,3,0)*VLOOKUP('Données projet'!$B$12,Paramètres!$A$1:$I$89,5,0)</f>
        <v>0</v>
      </c>
      <c r="CA192" s="13" t="e">
        <f t="shared" si="335"/>
        <v>#NUM!</v>
      </c>
      <c r="CB192" s="20" t="e">
        <f t="shared" si="336"/>
        <v>#NUM!</v>
      </c>
      <c r="CC192" s="59" t="e">
        <f t="shared" si="234"/>
        <v>#NUM!</v>
      </c>
      <c r="CD192" s="59">
        <f ca="1">AVERAGE(OFFSET($CC$3,0,0,'Données projet'!$E$12+1,1))-AVERAGE(OFFSET($H$3,0,0,'Données projet'!$E$12+1,1))</f>
        <v>322.93502595881938</v>
      </c>
      <c r="CE192" s="59">
        <f t="shared" si="293"/>
        <v>302.67072119588164</v>
      </c>
      <c r="CF192" s="15">
        <f>IF(ISNA(VLOOKUP(A192,'Données projet'!$A$123:$I$143,3,0)),0,VLOOKUP(A192,'Données projet'!$A$123:$I$143,3,0))</f>
        <v>0</v>
      </c>
      <c r="CG192" s="15">
        <f>IF(ISNA(VLOOKUP(A192,'Données projet'!$A$123:$I$143,4,0)),0,VLOOKUP(A192,'Données projet'!$A$123:$I$143,4,0))</f>
        <v>0</v>
      </c>
      <c r="CH192" s="16">
        <f>IF(ISNA(VLOOKUP(A192,'Données projet'!$A$123:$I$143,5,0)),0%,VLOOKUP(A192,'Données projet'!$A$123:$I$143,5,0)*VLOOKUP('Données projet'!$B$12,Paramètres!$A$1:$I$89,7,0))</f>
        <v>0</v>
      </c>
      <c r="CI192" s="16">
        <f>IF(ISNA(VLOOKUP(A192,'Données projet'!$A$123:$I$143,6,0)),0%,VLOOKUP(A192,'Données projet'!$A$123:$I$143,6,0)*VLOOKUP('Données projet'!$B$12,Paramètres!$A$1:$I$89,7,0))</f>
        <v>0</v>
      </c>
      <c r="CJ192" s="16">
        <f>IF(ISNA(VLOOKUP(A192,'Données projet'!$A$123:$I$143,7,0)),0%,VLOOKUP(A192,'Données projet'!$A$123:$I$143,7,0))</f>
        <v>0</v>
      </c>
      <c r="CK192" s="21">
        <f>EXP(-LN(2)/35)*CK191+(1-EXP(-LN(2)/35))/(LN(2)/35)*CG192*CH192*VLOOKUP('Données projet'!$B$12,Paramètres!$A$1:$I$89,3,0)*0.475*44/12</f>
        <v>20.097709336531146</v>
      </c>
      <c r="CL192" s="21">
        <f>EXP(-LN(2)/25)*CL191+(1-EXP(-LN(2)/25))/(LN(2)/25)*Calculateur!CG192*Calculateur!CI192*VLOOKUP('Données projet'!$B$12,Paramètres!$A$1:$I$89,3,0)*0.475*44/12</f>
        <v>3.5497858815744485</v>
      </c>
      <c r="CM192" s="21">
        <f>EXP(-LN(2)/2)*CM191+(1-EXP(-LN(2)/2))/(LN(2)/2)*CG192*CJ192*VLOOKUP('Données projet'!$B$12,Paramètres!$A$1:$I$89,3,0)*0.475*44/12</f>
        <v>0</v>
      </c>
      <c r="CN192" s="22">
        <f t="shared" si="337"/>
        <v>23.647495218105593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projet'!$A$149:$I$169,2,0)</f>
        <v>#N/A</v>
      </c>
      <c r="CR192" s="12" t="e">
        <f>VLOOKUP(A192,'Données projet'!$A$149:$I$169,9,0)</f>
        <v>#N/A</v>
      </c>
      <c r="CS192" s="12">
        <f t="array" ref="CS192">INDEX(CR:CR,MIN(IF(ISNUMBER(CR192:CR388),ROW(CR192:CR388),"")))</f>
        <v>0</v>
      </c>
      <c r="CT192" s="12">
        <f>IF('Données projet'!$A$150&gt;35,CT191+CS192-DB191,IF(A192&lt;'Données projet'!$A$150,$CQ$205^A192,IF(A192='Données projet'!$A$150,'Données projet'!$B$150,CT191+CS192-DB191)))</f>
        <v>-4.5474735088646412E-13</v>
      </c>
      <c r="CU192" s="17">
        <f>CT192*VLOOKUP('Données projet'!$B$13,Paramètres!$A$1:$I$89,3,0)*VLOOKUP('Données projet'!$B$13,Paramètres!$A$1:$I$89,5,0)</f>
        <v>-4.6111381379887462E-13</v>
      </c>
      <c r="CV192" s="13" t="e">
        <f t="shared" si="338"/>
        <v>#NUM!</v>
      </c>
      <c r="CW192" s="20" t="e">
        <f t="shared" si="339"/>
        <v>#NUM!</v>
      </c>
      <c r="CX192" s="59" t="e">
        <f t="shared" si="237"/>
        <v>#NUM!</v>
      </c>
      <c r="CY192" s="59">
        <f ca="1">AVERAGE(OFFSET($CX$3,0,0,'Données projet'!$E$13+1,1))-AVERAGE(OFFSET($H$3,0,0,'Données projet'!$E$13+1,1))</f>
        <v>250.31277422753283</v>
      </c>
      <c r="CZ192" s="59">
        <f t="shared" si="295"/>
        <v>159.20429420478047</v>
      </c>
      <c r="DA192" s="15">
        <f>IF(ISNA(VLOOKUP(A192,'Données projet'!$A$149:$I$169,3,0)),0,VLOOKUP(A192,'Données projet'!$A$149:$I$169,3,0))</f>
        <v>0</v>
      </c>
      <c r="DB192" s="15">
        <f>IF(ISNA(VLOOKUP(A192,'Données projet'!$A$149:$I$169,4,0)),0,VLOOKUP(A192,'Données projet'!$A$149:$I$169,4,0))</f>
        <v>0</v>
      </c>
      <c r="DC192" s="16">
        <f>IF(ISNA(VLOOKUP(A192,'Données projet'!$A$149:$I$169,5,0)),0%,VLOOKUP(A192,'Données projet'!$A$149:$I$169,5,0)*VLOOKUP('Données projet'!$B$13,Paramètres!$A$1:$I$89,7,0))</f>
        <v>0</v>
      </c>
      <c r="DD192" s="16">
        <f>IF(ISNA(VLOOKUP(A192,'Données projet'!$A$149:$I$169,6,0)),0%,VLOOKUP(A192,'Données projet'!$A$149:$I$169,6,0)*VLOOKUP('Données projet'!$B$13,Paramètres!$A$1:$I$89,7,0))</f>
        <v>0</v>
      </c>
      <c r="DE192" s="16">
        <f>IF(ISNA(VLOOKUP(A192,'Données projet'!$A$149:$I$169,7,0)),0%,VLOOKUP(A192,'Données projet'!$A$149:$I$169,7,0))</f>
        <v>0</v>
      </c>
      <c r="DF192" s="21">
        <f>EXP(-LN(2)/35)*DF191+(1-EXP(-LN(2)/35))/(LN(2)/35)*DB192*DC192*VLOOKUP('Données projet'!$B$13,Paramètres!$A$1:$I$89,3,0)*0.475*44/12</f>
        <v>91.490760789246607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340"/>
        <v>91.490760789246607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projet'!$A$175:$I$195,2,0)</f>
        <v>#N/A</v>
      </c>
      <c r="DM192" s="12" t="e">
        <f>VLOOKUP(A192,'Données projet'!$A$175:$I$195,9,0)</f>
        <v>#N/A</v>
      </c>
      <c r="DN192" s="12">
        <f t="array" ref="DN192">INDEX(DM:DM,MIN(IF(ISNUMBER(DM192:DM388),ROW(DM192:DM388),"")))</f>
        <v>0</v>
      </c>
      <c r="DO192" s="12">
        <f>IF('Données projet'!$A$176&gt;35,DO191+DN192-DW191,IF(A192&lt;'Données projet'!$A$176,$DL$205^A192,IF(A192='Données projet'!$A$176,'Données projet'!$B$176,DO191+DN192-DW191)))</f>
        <v>-2.8421709430404007E-13</v>
      </c>
      <c r="DP192" s="17">
        <f>DO192*VLOOKUP('Données projet'!$B$14,Paramètres!$A$1:$I$89,3,0)*VLOOKUP('Données projet'!$B$14,Paramètres!$A$1:$I$89,5,0)</f>
        <v>-2.0838797354372215E-13</v>
      </c>
      <c r="DQ192" s="13" t="e">
        <f t="shared" si="341"/>
        <v>#NUM!</v>
      </c>
      <c r="DR192" s="20" t="e">
        <f t="shared" si="342"/>
        <v>#NUM!</v>
      </c>
      <c r="DS192" s="59" t="e">
        <f t="shared" si="240"/>
        <v>#NUM!</v>
      </c>
      <c r="DT192" s="59">
        <f ca="1">AVERAGE(OFFSET($DS$3,0,0,'Données projet'!$E$14+1,1))-AVERAGE(OFFSET($H$3,0,0,'Données projet'!$E$14+1,1))</f>
        <v>296.91321813251051</v>
      </c>
      <c r="DU192" s="59">
        <f t="shared" si="297"/>
        <v>291.0718079639509</v>
      </c>
      <c r="DV192" s="15">
        <f>IF(ISNA(VLOOKUP(A192,'Données projet'!$A$175:$I$195,3,0)),0,VLOOKUP(A192,'Données projet'!$A$175:$I$195,3,0))</f>
        <v>0</v>
      </c>
      <c r="DW192" s="15">
        <f>IF(ISNA(VLOOKUP(A192,'Données projet'!$A$175:$I$195,4,0)),0,VLOOKUP(A192,'Données projet'!$A$175:$I$195,4,0))</f>
        <v>0</v>
      </c>
      <c r="DX192" s="16">
        <f>IF(ISNA(VLOOKUP(A192,'Données projet'!$A$175:$I$195,5,0)),0%,VLOOKUP(A192,'Données projet'!$A$175:$I$195,5,0)*VLOOKUP('Données projet'!$B$14,Paramètres!$A$1:$I$89,7,0))</f>
        <v>0</v>
      </c>
      <c r="DY192" s="16">
        <f>IF(ISNA(VLOOKUP(A192,'Données projet'!$A$175:$I$195,6,0)),0%,VLOOKUP(A192,'Données projet'!$A$175:$I$195,6,0)*VLOOKUP('Données projet'!$B$14,Paramètres!$A$1:$I$89,7,0))</f>
        <v>0</v>
      </c>
      <c r="DZ192" s="16">
        <f>IF(ISNA(VLOOKUP(A192,'Données projet'!$A$175:$I$195,7,0)),0%,VLOOKUP(A192,'Données projet'!$A$175:$I$195,7,0))</f>
        <v>0</v>
      </c>
      <c r="EA192" s="21">
        <f>EXP(-LN(2)/35)*EA191+(1-EXP(-LN(2)/35))/(LN(2)/35)*DW192*DX192*VLOOKUP('Données projet'!$B$14,Paramètres!$A$1:$I$89,3,0)*0.475*44/12</f>
        <v>20.030963980695347</v>
      </c>
      <c r="EB192" s="21">
        <f>EXP(-LN(2)/25)*EB191+(1-EXP(-LN(2)/25))/(LN(2)/25)*Calculateur!DW192*Calculateur!DY192*VLOOKUP('Données projet'!$B$14,Paramètres!$A$1:$I$89,3,0)*0.475*44/12</f>
        <v>0.26077049032313748</v>
      </c>
      <c r="EC192" s="21">
        <f>EXP(-LN(2)/2)*EC191+(1-EXP(-LN(2)/2))/(LN(2)/2)*DW192*DZ192*VLOOKUP('Données projet'!$B$14,Paramètres!$A$1:$I$89,3,0)*0.475*44/12</f>
        <v>0</v>
      </c>
      <c r="ED192" s="22">
        <f t="shared" si="343"/>
        <v>20.291734471018483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projet'!$A$201:$I$221,2,0)</f>
        <v>#N/A</v>
      </c>
      <c r="EH192" s="12" t="e">
        <f>VLOOKUP(A192,'Données projet'!$A$201:$I$221,9,0)</f>
        <v>#N/A</v>
      </c>
      <c r="EI192" s="12">
        <f t="array" ref="EI192">INDEX(EH:EH,MIN(IF(ISNUMBER(EH192:EH388),ROW(EH192:EH388),"")))</f>
        <v>0</v>
      </c>
      <c r="EJ192" s="12">
        <f>IF('Données projet'!$A$202&gt;35,EJ191+EI192-ER191,IF(A192&lt;'Données projet'!$A$202,$EG$205^A192,IF(A192='Données projet'!$A$202,'Données projet'!$B$202,EJ191+EI192-ER191)))</f>
        <v>5.1159076974727213E-13</v>
      </c>
      <c r="EK192" s="17">
        <f>EJ192*VLOOKUP('Données projet'!$B$15,Paramètres!$A$1:$I$89,3,0)*VLOOKUP('Données projet'!$B$15,Paramètres!$A$1:$I$89,5,0)</f>
        <v>2.3942448024172334E-13</v>
      </c>
      <c r="EL192" s="13">
        <f t="shared" si="344"/>
        <v>3.2492669905861755E-12</v>
      </c>
      <c r="EM192" s="20">
        <f t="shared" si="345"/>
        <v>6.0761376450252565E-12</v>
      </c>
      <c r="EN192" s="59">
        <f t="shared" si="243"/>
        <v>293.3333333333394</v>
      </c>
      <c r="EO192" s="59">
        <f ca="1">AVERAGE(OFFSET($EN$3,0,0,'Données projet'!$E$15+1,1))-AVERAGE(OFFSET($H$3,0,0,'Données projet'!$E$15+1,1))</f>
        <v>147.64256291235483</v>
      </c>
      <c r="EP192" s="59">
        <f t="shared" si="299"/>
        <v>70.859031694091868</v>
      </c>
      <c r="EQ192" s="15">
        <f>IF(ISNA(VLOOKUP(A192,'Données projet'!$A$201:$I$221,3,0)),0,VLOOKUP(A192,'Données projet'!$A$201:$I$221,3,0))</f>
        <v>0</v>
      </c>
      <c r="ER192" s="15">
        <f>IF(ISNA(VLOOKUP(A192,'Données projet'!$A$201:$I$221,4,0)),0,VLOOKUP(A192,'Données projet'!$A$201:$I$221,4,0))</f>
        <v>0</v>
      </c>
      <c r="ES192" s="16">
        <f>IF(ISNA(VLOOKUP(A192,'Données projet'!$A$201:$I$221,5,0)),0%,VLOOKUP(A192,'Données projet'!$A$201:$I$221,5,0)*VLOOKUP('Données projet'!$B$15,Paramètres!$A$1:$I$89,7,0))</f>
        <v>0</v>
      </c>
      <c r="ET192" s="16">
        <f>IF(ISNA(VLOOKUP(A192,'Données projet'!$A$201:$I$221,6,0)),0%,VLOOKUP(A192,'Données projet'!$A$201:$I$221,6,0)*VLOOKUP('Données projet'!$B$15,Paramètres!$A$1:$I$89,7,0))</f>
        <v>0</v>
      </c>
      <c r="EU192" s="16">
        <f>IF(ISNA(VLOOKUP(A192,'Données projet'!$A$201:$I$221,7,0)),0%,VLOOKUP(A192,'Données projet'!$A$201:$I$221,7,0))</f>
        <v>0</v>
      </c>
      <c r="EV192" s="21">
        <f>EXP(-LN(2)/35)*EV191+(1-EXP(-LN(2)/35))/(LN(2)/35)*ER192*ES192*VLOOKUP('Données projet'!$B$15,Paramètres!$A$1:$I$89,3,0)*0.475*44/12</f>
        <v>27.422705434440893</v>
      </c>
      <c r="EW192" s="21">
        <f>EXP(-LN(2)/25)*EW191+(1-EXP(-LN(2)/25))/(LN(2)/25)*Calculateur!ER192*Calculateur!ET192*VLOOKUP('Données projet'!$B$15,Paramètres!$A$1:$I$89,3,0)*0.475*44/12</f>
        <v>3.6179278314049035</v>
      </c>
      <c r="EX192" s="21">
        <f>EXP(-LN(2)/2)*EX191+(1-EXP(-LN(2)/2))/(LN(2)/2)*ER192*EU192*VLOOKUP('Données projet'!$B$15,Paramètres!$A$1:$I$89,3,0)*0.475*44/12</f>
        <v>1.6688035725304288E-11</v>
      </c>
      <c r="EY192" s="22">
        <f t="shared" si="346"/>
        <v>31.040633265862482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projet'!$A$227:$I$247,2,0)</f>
        <v>#N/A</v>
      </c>
      <c r="FC192" s="12" t="e">
        <f>VLOOKUP(A192,'Données projet'!$A$227:$I$247,9,0)</f>
        <v>#N/A</v>
      </c>
      <c r="FD192" s="12">
        <f t="array" ref="FD192">INDEX(FC:FC,MIN(IF(ISNUMBER(FC192:FC388),ROW(FC192:FC388),"")))</f>
        <v>0</v>
      </c>
      <c r="FE192" s="12">
        <f>IF('Données projet'!$A$228&gt;35,FE191+FD192-FM191,IF(A192&lt;'Données projet'!$A$228,$FB$205^A192,IF(A192='Données projet'!$A$228,'Données projet'!$B$228,FE191+FD192-FM191)))</f>
        <v>8.5265128291212022E-14</v>
      </c>
      <c r="FF192" s="17">
        <f>FE192*VLOOKUP('Données projet'!$B$16,Paramètres!$A$1:$I$89,3,0)*VLOOKUP('Données projet'!$B$16,Paramètres!$A$1:$I$89,5,0)</f>
        <v>8.9119112089974823E-14</v>
      </c>
      <c r="FG192" s="13">
        <f t="shared" si="347"/>
        <v>1.3568952080113142E-12</v>
      </c>
      <c r="FH192" s="20">
        <f t="shared" si="348"/>
        <v>2.5184749408430782E-12</v>
      </c>
      <c r="FI192" s="59">
        <f t="shared" si="246"/>
        <v>293.33333333333582</v>
      </c>
      <c r="FJ192" s="59">
        <f ca="1">AVERAGE(OFFSET($FI$3,0,0,'Données projet'!$E$16+1,1))-AVERAGE(OFFSET($H$3,0,0,'Données projet'!$E$16+1,1))</f>
        <v>259.03906550253788</v>
      </c>
      <c r="FK192" s="59">
        <f t="shared" si="301"/>
        <v>235.54542903570831</v>
      </c>
      <c r="FL192" s="15">
        <f>IF(ISNA(VLOOKUP(A192,'Données projet'!$A$227:$I$247,3,0)),0,VLOOKUP(A192,'Données projet'!$A$227:$I$247,3,0))</f>
        <v>0</v>
      </c>
      <c r="FM192" s="15">
        <f>IF(ISNA(VLOOKUP(A192,'Données projet'!$A$227:$I$247,4,0)),0,VLOOKUP(A192,'Données projet'!$A$227:$I$247,4,0))</f>
        <v>0</v>
      </c>
      <c r="FN192" s="16">
        <f>IF(ISNA(VLOOKUP(A192,'Données projet'!$A$227:$I$247,5,0)),0%,VLOOKUP(A192,'Données projet'!$A$227:$I$247,5,0)*VLOOKUP('Données projet'!$B$16,Paramètres!$A$1:$I$89,7,0))</f>
        <v>0</v>
      </c>
      <c r="FO192" s="16">
        <f>IF(ISNA(VLOOKUP(A192,'Données projet'!$A$227:$I$247,6,0)),0%,VLOOKUP(A192,'Données projet'!$A$227:$I$247,6,0)*VLOOKUP('Données projet'!$B$16,Paramètres!$A$1:$I$89,7,0))</f>
        <v>0</v>
      </c>
      <c r="FP192" s="16">
        <f>IF(ISNA(VLOOKUP(A192,'Données projet'!$A$227:$I$247,7,0)),0%,VLOOKUP(A192,'Données projet'!$A$227:$I$247,7,0))</f>
        <v>0</v>
      </c>
      <c r="FQ192" s="21">
        <f>EXP(-LN(2)/35)*FQ191+(1-EXP(-LN(2)/35))/(LN(2)/35)*FM192*FN192*VLOOKUP('Données projet'!$B$16,Paramètres!$A$1:$I$89,3,0)*0.475*44/12</f>
        <v>12.103636914598088</v>
      </c>
      <c r="FR192" s="21">
        <f>EXP(-LN(2)/25)*FR191+(1-EXP(-LN(2)/25))/(LN(2)/25)*Calculateur!FM192*Calculateur!FO192*VLOOKUP('Données projet'!$B$16,Paramètres!$A$1:$I$89,3,0)*0.475*44/12</f>
        <v>4.9770916288466447</v>
      </c>
      <c r="FS192" s="21">
        <f>EXP(-LN(2)/2)*FS191+(1-EXP(-LN(2)/2))/(LN(2)/2)*FM192*FP192*VLOOKUP('Données projet'!$B$16,Paramètres!$A$1:$I$89,3,0)*0.475*44/12</f>
        <v>0</v>
      </c>
      <c r="FT192" s="22">
        <f t="shared" si="349"/>
        <v>17.080728543444732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projet'!$A$253:$I$273,2,0)</f>
        <v>#N/A</v>
      </c>
      <c r="FX192" s="12" t="e">
        <f>VLOOKUP(A192,'Données projet'!$A$253:$I$273,9,0)</f>
        <v>#N/A</v>
      </c>
      <c r="FY192" s="12">
        <f t="array" ref="FY192">INDEX(FX:FX,MIN(IF(ISNUMBER(FX192:FX388),ROW(FX192:FX388),"")))</f>
        <v>0</v>
      </c>
      <c r="FZ192" s="12">
        <f>IF('Données projet'!$A$254&gt;35,FZ191+FY192-GH191,IF(A192&lt;'Données projet'!$A$254,$FW$205^A192,IF(A192='Données projet'!$A$254,'Données projet'!$B$254,FZ191+FY192-GH191)))</f>
        <v>-1.7053025658242404E-13</v>
      </c>
      <c r="GA192" s="17">
        <f>FZ192*VLOOKUP('Données projet'!$B$17,Paramètres!$A$1:$I$89,3,0)*VLOOKUP('Données projet'!$B$17,Paramètres!$A$1:$I$89,5,0)</f>
        <v>-1.4897523215040567E-13</v>
      </c>
      <c r="GB192" s="13" t="e">
        <f t="shared" si="350"/>
        <v>#NUM!</v>
      </c>
      <c r="GC192" s="20" t="e">
        <f t="shared" si="351"/>
        <v>#NUM!</v>
      </c>
      <c r="GD192" s="59" t="e">
        <f t="shared" si="249"/>
        <v>#NUM!</v>
      </c>
      <c r="GE192" s="59">
        <f ca="1">AVERAGE(OFFSET($GD$3,0,0,'Données projet'!$E$17+1,1))-AVERAGE(OFFSET($H$3,0,0,'Données projet'!$E$17+1,1))</f>
        <v>245.1983232777614</v>
      </c>
      <c r="GF192" s="59">
        <f t="shared" si="303"/>
        <v>242.34010522344573</v>
      </c>
      <c r="GG192" s="15">
        <f>IF(ISNA(VLOOKUP(A192,'Données projet'!$A$253:$I$273,3,0)),0,VLOOKUP(A192,'Données projet'!$A$253:$I$273,3,0))</f>
        <v>0</v>
      </c>
      <c r="GH192" s="15">
        <f>IF(ISNA(VLOOKUP(A192,'Données projet'!$A$253:$I$273,4,0)),0,VLOOKUP(A192,'Données projet'!$A$253:$I$273,4,0))</f>
        <v>0</v>
      </c>
      <c r="GI192" s="16">
        <f>IF(ISNA(VLOOKUP(A192,'Données projet'!$A$253:$I$273,5,0)),0%,VLOOKUP(A192,'Données projet'!$A$253:$I$273,5,0)*VLOOKUP('Données projet'!$B$17,Paramètres!$A$1:$I$89,7,0))</f>
        <v>0</v>
      </c>
      <c r="GJ192" s="16">
        <f>IF(ISNA(VLOOKUP(A192,'Données projet'!$A$253:$I$273,6,0)),0%,VLOOKUP(A192,'Données projet'!$A$253:$I$273,6,0)*VLOOKUP('Données projet'!$B$17,Paramètres!$A$1:$I$89,7,0))</f>
        <v>0</v>
      </c>
      <c r="GK192" s="16">
        <f>IF(ISNA(VLOOKUP(A192,'Données projet'!$A$253:$I$273,7,0)),0%,VLOOKUP(A192,'Données projet'!$A$253:$I$273,7,0))</f>
        <v>0</v>
      </c>
      <c r="GL192" s="21">
        <f>EXP(-LN(2)/35)*GL191+(1-EXP(-LN(2)/35))/(LN(2)/35)*GH192*GI192*VLOOKUP('Données projet'!$B$17,Paramètres!$A$1:$I$89,3,0)*0.475*44/12</f>
        <v>14.229485839894698</v>
      </c>
      <c r="GM192" s="21">
        <f>EXP(-LN(2)/25)*GM191+(1-EXP(-LN(2)/25))/(LN(2)/25)*Calculateur!GH192*Calculateur!GJ192*VLOOKUP('Données projet'!$B$17,Paramètres!$A$1:$I$89,3,0)*0.475*44/12</f>
        <v>1.0604969760232521</v>
      </c>
      <c r="GN192" s="21">
        <f>EXP(-LN(2)/2)*GN191+(1-EXP(-LN(2)/2))/(LN(2)/2)*GH192*GK192*VLOOKUP('Données projet'!$B$17,Paramètres!$A$1:$I$89,3,0)*0.475*44/12</f>
        <v>0</v>
      </c>
      <c r="GO192" s="21">
        <f t="shared" si="352"/>
        <v>15.28998281591795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projet'!$A$279:$I$299,2,0)</f>
        <v>#N/A</v>
      </c>
      <c r="GS192" s="12" t="e">
        <f>VLOOKUP(A192,'Données projet'!$A$279:$I$299,9,0)</f>
        <v>#N/A</v>
      </c>
      <c r="GT192" s="12">
        <f t="array" ref="GT192">INDEX(GS:GS,MIN(IF(ISNUMBER(GS192:GS388),ROW(GS192:GS388),"")))</f>
        <v>0</v>
      </c>
      <c r="GU192" s="12">
        <f>IF('Données projet'!$A$280&gt;35,GU191+GT192-HC191,IF(A192&lt;'Données projet'!$A$280,$GR$205^A192,IF(A192='Données projet'!$A$280,'Données projet'!$B$280,GU191+GT192-HC191)))</f>
        <v>-1.1368683772161603E-13</v>
      </c>
      <c r="GV192" s="17">
        <f>GU192*VLOOKUP('Données projet'!$B$18,Paramètres!$A$1:$I$89,3,0)*VLOOKUP('Données projet'!$B$18,Paramètres!$A$1:$I$89,5,0)</f>
        <v>-4.5815795601811263E-14</v>
      </c>
      <c r="GW192" s="13" t="e">
        <f t="shared" si="353"/>
        <v>#NUM!</v>
      </c>
      <c r="GX192" s="20" t="e">
        <f t="shared" si="354"/>
        <v>#NUM!</v>
      </c>
      <c r="GY192" s="59" t="e">
        <f t="shared" si="252"/>
        <v>#NUM!</v>
      </c>
      <c r="GZ192" s="59">
        <f ca="1">AVERAGE(OFFSET($GY$3,0,0,'Données projet'!$E$18+1,1))-AVERAGE(OFFSET($H$3,0,0,'Données projet'!$E$18+1,1))</f>
        <v>324.36162935850876</v>
      </c>
      <c r="HA192" s="59">
        <f t="shared" si="305"/>
        <v>265.23571072429735</v>
      </c>
      <c r="HB192" s="15">
        <f>IF(ISNA(VLOOKUP(A192,'Données projet'!$A$279:$I$299,3,0)),0,VLOOKUP(A192,'Données projet'!$A$279:$I$299,3,0))</f>
        <v>0</v>
      </c>
      <c r="HC192" s="15">
        <f>IF(ISNA(VLOOKUP(A192,'Données projet'!$A$279:$I$299,4,0)),0,VLOOKUP(A192,'Données projet'!$A$279:$I$299,4,0))</f>
        <v>0</v>
      </c>
      <c r="HD192" s="16">
        <f>IF(ISNA(VLOOKUP(A192,'Données projet'!$A$279:$I$299,5,0)),0%,VLOOKUP(A192,'Données projet'!$A$279:$I$299,5,0)*VLOOKUP('Données projet'!$B$18,Paramètres!$A$1:$I$89,7,0))</f>
        <v>0</v>
      </c>
      <c r="HE192" s="16">
        <f>IF(ISNA(VLOOKUP(A192,'Données projet'!$A$279:$I$299,6,0)),0%,VLOOKUP(A192,'Données projet'!$A$279:$I$299,6,0)*VLOOKUP('Données projet'!$B$18,Paramètres!$A$1:$I$89,7,0))</f>
        <v>0</v>
      </c>
      <c r="HF192" s="16">
        <f>IF(ISNA(VLOOKUP($A192,'Données projet'!$A$279:$I$299,7,0)),0%,VLOOKUP($A192,'Données projet'!$A$279:$I$299,7,0))</f>
        <v>0</v>
      </c>
      <c r="HG192" s="21">
        <f>EXP(-LN(2)/35)*HG191+(1-EXP(-LN(2)/35))/(LN(2)/35)*HC192*HD192*VLOOKUP('Données projet'!$B$18,Paramètres!$A$1:$I$89,3,0)*0.475*44/12</f>
        <v>27.267414724495673</v>
      </c>
      <c r="HH192" s="21">
        <f>EXP(-LN(2)/25)*HH191+(1-EXP(-LN(2)/25))/(LN(2)/25)*Calculateur!HC192*Calculateur!HE192*VLOOKUP('Données projet'!$B$18,Paramètres!$A$1:$I$89,3,0)*0.475*44/12</f>
        <v>1.1794623242478286</v>
      </c>
      <c r="HI192" s="21">
        <f>EXP(-LN(2)/2)*HI191+(1-EXP(-LN(2)/2))/(LN(2)/2)*HC192*HF192*VLOOKUP('Données projet'!$B$18,Paramètres!$A$1:$I$89,3,0)*0.475*44/12</f>
        <v>3.3549773768715414E-16</v>
      </c>
      <c r="HJ192" s="22">
        <f t="shared" si="355"/>
        <v>28.446877048743502</v>
      </c>
      <c r="HK192" s="74">
        <f>('Scénario référence'!$F$8+'Scénario référence'!$F$9+'Scénario référence'!$B$17+'Scénario référence'!$B$9+'Scénario référence'!$B$10)*70+IF((45+25*(1-EXP(-0.0175*$A192)))&lt;70,'Scénario référence'!$B$16*(45+25*(1-EXP(-0.0175*$A192))),70*'Scénario référence'!$B$16)+IF((32+38*(1-EXP(-0.0175*$A192)))&lt;70,'Scénario référence'!$B$18*(32+38*(1-EXP(-0.0175*$A192))),70*'Scénario référence'!$B$18)</f>
        <v>70</v>
      </c>
      <c r="HL192" s="12">
        <f>IF($A192&gt;30,10,('Scénario référence'!$B$16+'Scénario référence'!$B$17+'Scénario référence'!$B$18+'Scénario référence'!$B$9+'Scénario référence'!$B$10)*$A192*10/30+('Scénario référence'!$F$8+'Scénario référence'!$F$9)*10)</f>
        <v>10</v>
      </c>
      <c r="HM192" s="12" t="e">
        <f>VLOOKUP($A192,'Données projet'!$A$304:$I$324,2,0)</f>
        <v>#N/A</v>
      </c>
      <c r="HN192" s="12" t="e">
        <f>VLOOKUP($A192,'Données projet'!$A$304:$I$324,9,0)</f>
        <v>#N/A</v>
      </c>
      <c r="HO192" s="12">
        <f t="array" ref="HO192">INDEX(HN:HN,MIN(IF(ISNUMBER(HN192:HN388),ROW(HN192:HN388),"")))</f>
        <v>0</v>
      </c>
      <c r="HP192" s="12">
        <f>IF('Données projet'!$A$304&gt;35,HP191+HO192-HX191,IF($A192&lt;'Données projet'!$A$304,$CQ$205^$A192,IF($A192='Données projet'!$A$304,'Données projet'!$B$304,HP191+HO192-HX191)))</f>
        <v>0</v>
      </c>
      <c r="HQ192" s="17">
        <f>HP192*VLOOKUP('Données projet'!$B$19,Paramètres!$A$1:$I$89,3,0)*VLOOKUP('Données projet'!$B$19,Paramètres!$A$1:$I$89,5,0)</f>
        <v>0</v>
      </c>
      <c r="HR192" s="13" t="e">
        <f t="shared" si="306"/>
        <v>#NUM!</v>
      </c>
      <c r="HS192" s="14" t="e">
        <f t="shared" si="254"/>
        <v>#NUM!</v>
      </c>
      <c r="HT192" s="59" t="e">
        <f t="shared" si="255"/>
        <v>#NUM!</v>
      </c>
      <c r="HU192" s="59">
        <f ca="1">AVERAGE(OFFSET(HT$3,0,0,'Données projet'!$E$19+1,1))-AVERAGE(OFFSET($H$3,0,0,'Données projet'!$E$19+1,1))</f>
        <v>91.60721429656013</v>
      </c>
      <c r="HV192" s="59">
        <f t="shared" si="307"/>
        <v>258.94957804210856</v>
      </c>
      <c r="HW192" s="15">
        <f>IF(ISNA(VLOOKUP($A192,'Données projet'!$A$304:$I$324,3,0)),0,VLOOKUP($A192,'Données projet'!$A$304:$I$324,3,0))</f>
        <v>0</v>
      </c>
      <c r="HX192" s="15">
        <f>IF(ISNA(VLOOKUP($A192,'Données projet'!$A$304:$I$324,4,0)),0,VLOOKUP($A192,'Données projet'!$A$304:$I$324,4,0))</f>
        <v>0</v>
      </c>
      <c r="HY192" s="16">
        <f>IF(ISNA(VLOOKUP($A192,'Données projet'!$A$304:$I$324,5,0)),0%,VLOOKUP($A192,'Données projet'!$A$304:$I$324,5,0)*VLOOKUP('Données projet'!$B$19,Paramètres!$A$1:$I$89,7,0))</f>
        <v>0</v>
      </c>
      <c r="HZ192" s="16">
        <f>IF(ISNA(VLOOKUP($A192,'Données projet'!$A$304:$I$324,6,0)),0%,VLOOKUP($A192,'Données projet'!$A$304:$I$324,6,0)*VLOOKUP('Données projet'!$B$19,Paramètres!$A$1:$I$89,7,0))</f>
        <v>0</v>
      </c>
      <c r="IA192" s="16">
        <f>IF(ISNA(VLOOKUP($A192,'Données projet'!$A$304:$I$324,7,0)),0%,VLOOKUP($A192,'Données projet'!$A$304:$I$324,7,0))</f>
        <v>0</v>
      </c>
      <c r="IB192" s="21">
        <f>EXP(-LN(2)/35)*IB191+(1-EXP(-LN(2)/35))/(LN(2)/35)*HX192*HY192*VLOOKUP('Données projet'!$B$19,Paramètres!$A$1:$I$89,3,0)*0.475*44/12</f>
        <v>2.1164044241562636</v>
      </c>
      <c r="IC192" s="21">
        <f>EXP(-LN(2)/25)*IC191+(1-EXP(-LN(2)/25))/(LN(2)/25)*Calculateur!HX192*Calculateur!HZ192*VLOOKUP('Données projet'!$B$19,Paramètres!$A$1:$I$89,3,0)*0.475*44/12</f>
        <v>0.11842968854166851</v>
      </c>
      <c r="ID192" s="21">
        <f>EXP(-LN(2)/2)*ID191+(1-EXP(-LN(2)/2))/(LN(2)/2)*HX192*IA192*VLOOKUP('Données projet'!$B$19,Paramètres!$A$1:$I$89,3,0)*0.475*44/12</f>
        <v>6.7012838617621817E-25</v>
      </c>
      <c r="IE192" s="22">
        <f t="shared" si="256"/>
        <v>2.2348341126979321</v>
      </c>
      <c r="IF192" s="74">
        <f>('Scénario référence'!$F$8+'Scénario référence'!$F$9+'Scénario référence'!$B$17+'Scénario référence'!$B$9+'Scénario référence'!$B$10)*70+IF((45+25*(1-EXP(-0.0175*$A192)))&lt;70,'Scénario référence'!$B$16*(45+25*(1-EXP(-0.0175*$A192))),70*'Scénario référence'!$B$16)+IF((32+38*(1-EXP(-0.0175*$A192)))&lt;70,'Scénario référence'!$B$18*(32+38*(1-EXP(-0.0175*$A192))),70*'Scénario référence'!$B$18)</f>
        <v>70</v>
      </c>
      <c r="IG192" s="12">
        <f>IF($A192&gt;30,10,('Scénario référence'!$B$16+'Scénario référence'!$B$17+'Scénario référence'!$B$18+'Scénario référence'!$B$9+'Scénario référence'!$B$10)*$A192*10/30+('Scénario référence'!$F$8+'Scénario référence'!$F$9)*10)</f>
        <v>10</v>
      </c>
      <c r="IH192" s="12" t="e">
        <f>VLOOKUP($A192,'Données projet'!$A$330:$I$350,2,0)</f>
        <v>#N/A</v>
      </c>
      <c r="II192" s="12" t="e">
        <f>VLOOKUP($A192,'Données projet'!$A$330:$I$350,9,0)</f>
        <v>#N/A</v>
      </c>
      <c r="IJ192" s="12">
        <f t="array" ref="IJ192">INDEX(II:II,MIN(IF(ISNUMBER(II192:II388),ROW(II192:II388),"")))</f>
        <v>0</v>
      </c>
      <c r="IK192" s="12">
        <f>IF('Données projet'!$A$330&gt;35,IK191+IJ192-IS191,IF($A192&lt;'Données projet'!$A$330,$CQ$205^$A192,IF($A192='Données projet'!$A$330,'Données projet'!$B$330,IK191+IJ192-IS191)))</f>
        <v>0</v>
      </c>
      <c r="IL192" s="17">
        <f>IK192*VLOOKUP('Données projet'!$B$20,Paramètres!$A$1:$I$89,3,0)*VLOOKUP('Données projet'!$B$20,Paramètres!$A$1:$I$89,5,0)</f>
        <v>0</v>
      </c>
      <c r="IM192" s="13" t="e">
        <f t="shared" si="308"/>
        <v>#NUM!</v>
      </c>
      <c r="IN192" s="20" t="e">
        <f t="shared" si="257"/>
        <v>#NUM!</v>
      </c>
      <c r="IO192" s="59" t="e">
        <f t="shared" si="258"/>
        <v>#NUM!</v>
      </c>
      <c r="IP192" s="59">
        <f ca="1">AVERAGE(OFFSET(IO$3,0,0,'Données projet'!$E$20+1,1))-AVERAGE(OFFSET($H$3,0,0,'Données projet'!$E$20+1,1))</f>
        <v>91.60721429656013</v>
      </c>
      <c r="IQ192" s="59">
        <f t="shared" si="309"/>
        <v>258.94957804210856</v>
      </c>
      <c r="IR192" s="15">
        <f>IF(ISNA(VLOOKUP($A192,'Données projet'!$A$330:$I$350,3,0)),0,VLOOKUP($A192,'Données projet'!$A$330:$I$350,3,0))</f>
        <v>0</v>
      </c>
      <c r="IS192" s="15">
        <f>IF(ISNA(VLOOKUP($A192,'Données projet'!$A$330:$I$350,4,0)),0,VLOOKUP($A192,'Données projet'!$A$330:$I$350,4,0))</f>
        <v>0</v>
      </c>
      <c r="IT192" s="16">
        <f>IF(ISNA(VLOOKUP($A192,'Données projet'!$A$330:$I$350,5,0)),0%,VLOOKUP($A192,'Données projet'!$A$330:$I$350,5,0)*VLOOKUP('Données projet'!$B$20,Paramètres!$A$1:$I$89,7,0))</f>
        <v>0</v>
      </c>
      <c r="IU192" s="16">
        <f>IF(ISNA(VLOOKUP($A192,'Données projet'!$A$330:$I$350,6,0)),0%,VLOOKUP($A192,'Données projet'!$A$330:$I$350,6,0)*VLOOKUP('Données projet'!$B$20,Paramètres!$A$1:$I$89,7,0))</f>
        <v>0</v>
      </c>
      <c r="IV192" s="16">
        <f>IF(ISNA(VLOOKUP($A192,'Données projet'!$A$330:$I$350,7,0)),0%,VLOOKUP($A192,'Données projet'!$A$330:$I$350,7,0))</f>
        <v>0</v>
      </c>
      <c r="IW192" s="21">
        <f>EXP(-LN(2)/35)*IW191+(1-EXP(-LN(2)/35))/(LN(2)/35)*IS192*IT192*VLOOKUP('Données projet'!$B$20,Paramètres!$A$1:$I$89,3,0)*0.475*44/12</f>
        <v>2.1164044241562636</v>
      </c>
      <c r="IX192" s="21">
        <f>EXP(-LN(2)/25)*IX191+(1-EXP(-LN(2)/25))/(LN(2)/25)*Calculateur!IS192*Calculateur!IU192*VLOOKUP('Données projet'!$B$20,Paramètres!$A$1:$I$89,3,0)*0.475*44/12</f>
        <v>0.11842968854166851</v>
      </c>
      <c r="IY192" s="21">
        <f>EXP(-LN(2)/2)*IY191+(1-EXP(-LN(2)/2))/(LN(2)/2)*IS192*IV192*VLOOKUP('Données projet'!$B$20,Paramètres!$A$1:$I$89,3,0)*0.475*44/12</f>
        <v>6.7012838617621817E-25</v>
      </c>
      <c r="IZ192" s="22">
        <f t="shared" si="259"/>
        <v>2.2348341126979321</v>
      </c>
      <c r="JA192" s="74">
        <f>('Scénario référence'!$F$8+'Scénario référence'!$F$9+'Scénario référence'!$B$17+'Scénario référence'!$B$9+'Scénario référence'!$B$10)*70+IF((45+25*(1-EXP(-0.0175*$A192)))&lt;70,'Scénario référence'!$B$16*(45+25*(1-EXP(-0.0175*$A192))),70*'Scénario référence'!$B$16)+IF((32+38*(1-EXP(-0.0175*$A192)))&lt;70,'Scénario référence'!$B$18*(32+38*(1-EXP(-0.0175*$A192))),70*'Scénario référence'!$B$18)</f>
        <v>70</v>
      </c>
      <c r="JB192" s="12">
        <f>IF($A192&gt;30,10,('Scénario référence'!$B$16+'Scénario référence'!$B$17+'Scénario référence'!$B$18+'Scénario référence'!$B$9+'Scénario référence'!$B$10)*$A192*10/30+('Scénario référence'!$F$8+'Scénario référence'!$F$9)*10)</f>
        <v>10</v>
      </c>
      <c r="JC192" s="12" t="e">
        <f>VLOOKUP($A192,'Données projet'!$A$356:$I$376,2,0)</f>
        <v>#N/A</v>
      </c>
      <c r="JD192" s="12" t="e">
        <f>VLOOKUP($A192,'Données projet'!$A$356:$I$376,9,0)</f>
        <v>#N/A</v>
      </c>
      <c r="JE192" s="12">
        <f t="array" ref="JE192">INDEX(JD:JD,MIN(IF(ISNUMBER(JD192:JD388),ROW(JD192:JD388),"")))</f>
        <v>0</v>
      </c>
      <c r="JF192" s="12">
        <f>IF('Données projet'!$A$356&gt;35,JF191+JE192-JN191,IF($A192&lt;'Données projet'!$A$356,$CQ$205^$A192,IF($A192='Données projet'!$A$356,'Données projet'!$B$356,JF191+JE192-JN191)))</f>
        <v>-1.3073986337985843E-12</v>
      </c>
      <c r="JG192" s="17">
        <f>JF192*VLOOKUP('Données projet'!$B$21,Paramètres!$A$1:$I$89,3,0)*VLOOKUP('Données projet'!$B$21,Paramètres!$A$1:$I$89,5,0)</f>
        <v>-1.0605617717374117E-12</v>
      </c>
      <c r="JH192" s="13" t="e">
        <f t="shared" si="310"/>
        <v>#NUM!</v>
      </c>
      <c r="JI192" s="20" t="e">
        <f t="shared" si="260"/>
        <v>#NUM!</v>
      </c>
      <c r="JJ192" s="59" t="e">
        <f t="shared" si="261"/>
        <v>#NUM!</v>
      </c>
      <c r="JK192" s="59">
        <f ca="1">AVERAGE(OFFSET($JJ$3,0,0,'Données projet'!$E$22+1,1))-AVERAGE(OFFSET($H$3,0,0,'Données projet'!$E$22+1,1))</f>
        <v>353.35574633294613</v>
      </c>
      <c r="JL192" s="59">
        <f t="shared" si="311"/>
        <v>170.36796666474726</v>
      </c>
      <c r="JM192" s="15">
        <f>IF(ISNA(VLOOKUP($A192,'Données projet'!$A$356:$I$376,3,0)),0,VLOOKUP($A192,'Données projet'!$A$356:$I$376,3,0))</f>
        <v>0</v>
      </c>
      <c r="JN192" s="15">
        <f>IF(ISNA(VLOOKUP($A192,'Données projet'!$A$356:$I$376,4,0)),0,VLOOKUP($A192,'Données projet'!$A$356:$I$376,4,0))</f>
        <v>0</v>
      </c>
      <c r="JO192" s="16">
        <f>IF(ISNA(VLOOKUP($A192,'Données projet'!$A$356:$I$376,5,0)),0%,VLOOKUP($A192,'Données projet'!$A$356:$I$376,5,0)*VLOOKUP('Données projet'!$B$21,Paramètres!$A$1:$I$89,7,0))</f>
        <v>0</v>
      </c>
      <c r="JP192" s="16">
        <f>IF(ISNA(VLOOKUP($A192,'Données projet'!$A$356:$I$376,6,0)),0%,VLOOKUP($A192,'Données projet'!$A$356:$I$376,6,0)*VLOOKUP('Données projet'!$B$21,Paramètres!$A$1:$I$89,7,0))</f>
        <v>0</v>
      </c>
      <c r="JQ192" s="16">
        <f>IF(ISNA(VLOOKUP($A192,'Données projet'!$A$356:$I$376,7,0)),0%,VLOOKUP($A192,'Données projet'!$A$356:$I$376,7,0))</f>
        <v>0</v>
      </c>
      <c r="JR192" s="21">
        <f>EXP(-LN(2)/35)*JR191+(1-EXP(-LN(2)/35))/(LN(2)/35)*JN192*JO192*VLOOKUP('Données projet'!$B$21,Paramètres!$A$1:$I$89,3,0)*0.475*44/12</f>
        <v>33.929118742994</v>
      </c>
      <c r="JS192" s="21">
        <f>EXP(-LN(2)/25)*JS191+(1-EXP(-LN(2)/25))/(LN(2)/25)*Calculateur!JN192*Calculateur!JP192*VLOOKUP('Données projet'!$B$21,Paramètres!$A$1:$I$89,3,0)*0.475*44/12</f>
        <v>25.920273690288791</v>
      </c>
      <c r="JT192" s="21">
        <f>EXP(-LN(2)/2)*JT191+(1-EXP(-LN(2)/2))/(LN(2)/2)*JN192*JQ192*VLOOKUP('Données projet'!$B$21,Paramètres!$A$1:$I$89,3,0)*0.475*44/12</f>
        <v>4.6248144058871991E-5</v>
      </c>
      <c r="JU192" s="18">
        <f t="shared" si="262"/>
        <v>59.849438681426847</v>
      </c>
      <c r="JV192" s="74">
        <f>('Scénario référence'!$F$8+'Scénario référence'!$F$9+'Scénario référence'!$B$17+'Scénario référence'!$B$9+'Scénario référence'!$B$10)*70+IF((45+25*(1-EXP(-0.0175*$A192)))&lt;70,'Scénario référence'!$B$16*(45+25*(1-EXP(-0.0175*$A192))),70*'Scénario référence'!$B$16)+IF((32+38*(1-EXP(-0.0175*$A192)))&lt;70,'Scénario référence'!$B$18*(32+38*(1-EXP(-0.0175*$A192))),70*'Scénario référence'!$B$18)</f>
        <v>70</v>
      </c>
      <c r="JW192" s="12">
        <f>IF($A192&gt;30,10,('Scénario référence'!$B$16+'Scénario référence'!$B$17+'Scénario référence'!$B$18+'Scénario référence'!$B$9+'Scénario référence'!$B$10)*$A192*10/30+('Scénario référence'!$F$8+'Scénario référence'!$F$9)*10)</f>
        <v>10</v>
      </c>
      <c r="JX192" s="12" t="e">
        <f>VLOOKUP($A192,'Données projet'!$A$382:$I$402,2,0)</f>
        <v>#N/A</v>
      </c>
      <c r="JY192" s="12" t="e">
        <f>VLOOKUP($A192,'Données projet'!$A$382:$I$402,9,0)</f>
        <v>#N/A</v>
      </c>
      <c r="JZ192" s="12">
        <f t="array" ref="JZ192">INDEX(JY:JY,MIN(IF(ISNUMBER(JY192:JY388),ROW(JY192:JY388),"")))</f>
        <v>0</v>
      </c>
      <c r="KA192" s="12">
        <f>IF('Données projet'!$A$382&gt;35,KA191+JZ192-KI191,IF($A192&lt;'Données projet'!$A$382,$CQ$205^$A192,IF($A192='Données projet'!$A$382,'Données projet'!$B$382,KA191+JZ192-KI191)))</f>
        <v>5.6843418860808015E-13</v>
      </c>
      <c r="KB192" s="17">
        <f>KA192*VLOOKUP('Données projet'!$B$22,Paramètres!$A$1:$I$89,3,0)*VLOOKUP('Données projet'!$B$22,Paramètres!$A$1:$I$89,5,0)</f>
        <v>3.8130565371830017E-13</v>
      </c>
      <c r="KC192" s="13">
        <f t="shared" si="312"/>
        <v>4.9019074112354236E-12</v>
      </c>
      <c r="KD192" s="20">
        <f t="shared" si="263"/>
        <v>9.2015960881277352E-12</v>
      </c>
      <c r="KE192" s="59">
        <f t="shared" si="264"/>
        <v>293.33333333334252</v>
      </c>
      <c r="KF192" s="59">
        <f ca="1">AVERAGE(OFFSET($KE$3,0,0,'Données projet'!$E$22+1,1))-AVERAGE(OFFSET($H$3,0,0,'Données projet'!$E$22+1,1))</f>
        <v>193.91714772848269</v>
      </c>
      <c r="KG192" s="59">
        <f t="shared" si="313"/>
        <v>159.20429420478047</v>
      </c>
      <c r="KH192" s="15">
        <f>IF(ISNA(VLOOKUP($A192,'Données projet'!$A$382:$I$402,3,0)),0,VLOOKUP($A192,'Données projet'!$A$382:$I$402,3,0))</f>
        <v>0</v>
      </c>
      <c r="KI192" s="15">
        <f>IF(ISNA(VLOOKUP($A192,'Données projet'!$A$382:$I$402,4,0)),0,VLOOKUP($A192,'Données projet'!$A$382:$I$402,4,0))</f>
        <v>0</v>
      </c>
      <c r="KJ192" s="16">
        <f>IF(ISNA(VLOOKUP($A192,'Données projet'!$A$382:$I$402,5,0)),0%,VLOOKUP($A192,'Données projet'!$A$382:$I$402,5,0)*VLOOKUP('Données projet'!$B$22,Paramètres!$A$1:$I$89,7,0))</f>
        <v>0</v>
      </c>
      <c r="KK192" s="16">
        <f>IF(ISNA(VLOOKUP($A192,'Données projet'!$A$382:$I$402,6,0)),0%,VLOOKUP($A192,'Données projet'!$A$382:$I$402,6,0)*VLOOKUP('Données projet'!$B$22,Paramètres!$A$1:$I$89,7,0))</f>
        <v>0</v>
      </c>
      <c r="KL192" s="16">
        <f>IF(ISNA(VLOOKUP($A192,'Données projet'!$A$382:$I$402,7,0)),0%,VLOOKUP($A192,'Données projet'!$A$382:$I$402,7,0))</f>
        <v>0</v>
      </c>
      <c r="KM192" s="21">
        <f>EXP(-LN(2)/35)*KM191+(1-EXP(-LN(2)/35))/(LN(2)/35)*KI192*KJ192*VLOOKUP('Données projet'!$B$22,Paramètres!$A$1:$I$89,3,0)*0.475*44/12</f>
        <v>49.540258094049769</v>
      </c>
      <c r="KN192" s="21">
        <f>EXP(-LN(2)/25)*KN191+(1-EXP(-LN(2)/25))/(LN(2)/25)*Calculateur!KI192*Calculateur!KK192*VLOOKUP('Données projet'!$B$22,Paramètres!$A$1:$I$89,3,0)*0.475*44/12</f>
        <v>0</v>
      </c>
      <c r="KO192" s="21">
        <f>EXP(-LN(2)/2)*KO191+(1-EXP(-LN(2)/2))/(LN(2)/2)*KI192*KL192*VLOOKUP('Données projet'!$B$22,Paramètres!$A$1:$I$89,3,0)*0.475*44/12</f>
        <v>0</v>
      </c>
      <c r="KP192" s="22">
        <f t="shared" si="265"/>
        <v>49.540258094049769</v>
      </c>
      <c r="KQ192" s="74">
        <f>('Scénario référence'!$F$8+'Scénario référence'!$F$9+'Scénario référence'!$B$17+'Scénario référence'!$B$9+'Scénario référence'!$B$10)*70+IF((45+25*(1-EXP(-0.0175*$A192)))&lt;70,'Scénario référence'!$B$16*(45+25*(1-EXP(-0.0175*$A192))),70*'Scénario référence'!$B$16)+IF((32+38*(1-EXP(-0.0175*$A192)))&lt;70,'Scénario référence'!$B$18*(32+38*(1-EXP(-0.0175*$A192))),70*'Scénario référence'!$B$18)</f>
        <v>70</v>
      </c>
      <c r="KR192" s="12">
        <f>IF($A192&gt;30,10,('Scénario référence'!$B$16+'Scénario référence'!$B$17+'Scénario référence'!$B$18+'Scénario référence'!$B$9+'Scénario référence'!$B$10)*$A192*10/30+('Scénario référence'!$F$8+'Scénario référence'!$F$9)*10)</f>
        <v>10</v>
      </c>
      <c r="KS192" s="12" t="e">
        <f>VLOOKUP($A192,'Données projet'!$A$408:$I$428,2,0)</f>
        <v>#N/A</v>
      </c>
      <c r="KT192" s="12" t="e">
        <f>VLOOKUP($A192,'Données projet'!$A$408:$I$428,9,0)</f>
        <v>#N/A</v>
      </c>
      <c r="KU192" s="12">
        <f t="array" ref="KU192">INDEX(KT:KT,MIN(IF(ISNUMBER(KT192:KT388),ROW(KT192:KT388),"")))</f>
        <v>0</v>
      </c>
      <c r="KV192" s="12">
        <f>IF('Données projet'!$A$408&gt;35,KV191+KU192-LD191,IF($A192&lt;'Données projet'!$A$408,$CQ$205^$A192,IF($A192='Données projet'!$A$408,'Données projet'!$B$408,KV191+KU192-LD191)))</f>
        <v>-1.1368683772161603E-13</v>
      </c>
      <c r="KW192" s="17">
        <f>KV192*VLOOKUP('Données projet'!$B$23,Paramètres!$A$1:$I$89,3,0)*VLOOKUP('Données projet'!$B$23,Paramètres!$A$1:$I$89,5,0)</f>
        <v>-9.9316821433603781E-14</v>
      </c>
      <c r="KX192" s="13" t="e">
        <f t="shared" si="314"/>
        <v>#NUM!</v>
      </c>
      <c r="KY192" s="14" t="e">
        <f t="shared" si="266"/>
        <v>#NUM!</v>
      </c>
      <c r="KZ192" s="59" t="e">
        <f t="shared" si="267"/>
        <v>#NUM!</v>
      </c>
      <c r="LA192" s="59">
        <f ca="1">AVERAGE(OFFSET($KZ$3,0,0,'Données projet'!$E$23+1,1))-AVERAGE(OFFSET($H$3,0,0,'Données projet'!$E$23+1,1))</f>
        <v>248.33596943633819</v>
      </c>
      <c r="LB192" s="59">
        <f t="shared" si="315"/>
        <v>242.34010522344573</v>
      </c>
      <c r="LC192" s="15">
        <f>IF(ISNA(VLOOKUP($A192,'Données projet'!$A$408:$I$428,3,0)),0,VLOOKUP($A192,'Données projet'!$A$408:$I$428,3,0))</f>
        <v>0</v>
      </c>
      <c r="LD192" s="15">
        <f>IF(ISNA(VLOOKUP($A192,'Données projet'!$A$408:$I$428,4,0)),0,VLOOKUP($A192,'Données projet'!$A$408:$I$428,4,0))</f>
        <v>0</v>
      </c>
      <c r="LE192" s="16">
        <f>IF(ISNA(VLOOKUP($A192,'Données projet'!$A$408:$I$428,5,0)),0%,VLOOKUP($A192,'Données projet'!$A$408:$I$428,5,0)*VLOOKUP('Données projet'!$B$23,Paramètres!$A$1:$I$89,7,0))</f>
        <v>0</v>
      </c>
      <c r="LF192" s="16">
        <f>IF(ISNA(VLOOKUP($A192,'Données projet'!$A$408:$I$428,6,0)),0%,VLOOKUP($A192,'Données projet'!$A$408:$I$428,6,0)*VLOOKUP('Données projet'!$B$23,Paramètres!$A$1:$I$89,7,0))</f>
        <v>0</v>
      </c>
      <c r="LG192" s="16">
        <f>IF(ISNA(VLOOKUP($A192,'Données projet'!$A$408:$I$428,7,0)),0%,VLOOKUP($A192,'Données projet'!$A$408:$I$428,7,0))</f>
        <v>0</v>
      </c>
      <c r="LH192" s="21">
        <f>EXP(-LN(2)/35)*LH191+(1-EXP(-LN(2)/35))/(LN(2)/35)*LD192*LE192*VLOOKUP('Données projet'!$B$23,Paramètres!$A$1:$I$89,3,0)*0.475*44/12</f>
        <v>14.229485839894698</v>
      </c>
      <c r="LI192" s="21">
        <f>EXP(-LN(2)/25)*LI191+(1-EXP(-LN(2)/25))/(LN(2)/25)*Calculateur!LD192*Calculateur!LF192*VLOOKUP('Données projet'!$B$23,Paramètres!$A$1:$I$89,3,0)*0.475*44/12</f>
        <v>1.0604969760232521</v>
      </c>
      <c r="LJ192" s="21">
        <f>EXP(-LN(2)/2)*LJ191+(1-EXP(-LN(2)/2))/(LN(2)/2)*LD192*LG192*VLOOKUP('Données projet'!$B$23,Paramètres!$A$1:$I$89,3,0)*0.475*44/12</f>
        <v>0</v>
      </c>
      <c r="LK192" s="22">
        <f t="shared" si="268"/>
        <v>15.28998281591795</v>
      </c>
      <c r="LL192" s="74">
        <f>('Scénario référence'!$F$8+'Scénario référence'!$F$9+'Scénario référence'!$B$17+'Scénario référence'!$B$9+'Scénario référence'!$B$10)*70+IF((45+25*(1-EXP(-0.0175*$A192)))&lt;70,'Scénario référence'!$B$16*(45+25*(1-EXP(-0.0175*$A192))),70*'Scénario référence'!$B$16)+IF((32+38*(1-EXP(-0.0175*$A192)))&lt;70,'Scénario référence'!$B$18*(32+38*(1-EXP(-0.0175*$A192))),70*'Scénario référence'!$B$18)</f>
        <v>70</v>
      </c>
      <c r="LM192" s="12">
        <f>IF($A192&gt;30,10,('Scénario référence'!$B$16+'Scénario référence'!$B$17+'Scénario référence'!$B$18+'Scénario référence'!$B$9+'Scénario référence'!$B$10)*$A192*10/30+('Scénario référence'!$F$8+'Scénario référence'!$F$9)*10)</f>
        <v>10</v>
      </c>
      <c r="LN192" s="12" t="e">
        <f>VLOOKUP($A192,'Données projet'!$A$434:$I$454,2,0)</f>
        <v>#N/A</v>
      </c>
      <c r="LO192" s="12" t="e">
        <f>VLOOKUP($A192,'Données projet'!$A$434:$I$454,9,0)</f>
        <v>#N/A</v>
      </c>
      <c r="LP192" s="12">
        <f t="array" ref="LP192">INDEX(LO:LO,MIN(IF(ISNUMBER(LO192:LO388),ROW(LO192:LO388),"")))</f>
        <v>0</v>
      </c>
      <c r="LQ192" s="12">
        <f>IF('Données projet'!$A$434&gt;35,LQ191+LP192-LY191,IF($A192&lt;'Données projet'!$A$434,$CQ$205^$A192,IF($A192='Données projet'!$A$434,'Données projet'!$B$434,LQ191+LP192-LY191)))</f>
        <v>-4.5474735088646412E-13</v>
      </c>
      <c r="LR192" s="17">
        <f>LQ192*VLOOKUP('Données projet'!$B$24,Paramètres!$A$1:$I$89,3,0)*VLOOKUP('Données projet'!$B$24,Paramètres!$A$1:$I$89,5,0)</f>
        <v>-4.6111381379887462E-13</v>
      </c>
      <c r="LS192" s="13" t="e">
        <f t="shared" si="316"/>
        <v>#NUM!</v>
      </c>
      <c r="LT192" s="14" t="e">
        <f t="shared" si="269"/>
        <v>#NUM!</v>
      </c>
      <c r="LU192" s="59" t="e">
        <f t="shared" si="270"/>
        <v>#NUM!</v>
      </c>
      <c r="LV192" s="59">
        <f ca="1">AVERAGE(OFFSET($LU$3,0,0,'Données projet'!$E$24+1,1))-AVERAGE(OFFSET($H$3,0,0,'Données projet'!$E$24+1,1))</f>
        <v>260.52627655062872</v>
      </c>
      <c r="LW192" s="59">
        <f t="shared" si="317"/>
        <v>159.20429420478047</v>
      </c>
      <c r="LX192" s="15">
        <f>IF(ISNA(VLOOKUP($A192,'Données projet'!$A$434:$I$454,3,0)),0,VLOOKUP($A192,'Données projet'!$A$434:$I$454,3,0))</f>
        <v>0</v>
      </c>
      <c r="LY192" s="15">
        <f>IF(ISNA(VLOOKUP($A192,'Données projet'!$A$434:$I$454,4,0)),0,VLOOKUP($A192,'Données projet'!$A$434:$I$454,4,0))</f>
        <v>0</v>
      </c>
      <c r="LZ192" s="16">
        <f>IF(ISNA(VLOOKUP($A192,'Données projet'!$A$434:$I$454,5,0)),0%,VLOOKUP($A192,'Données projet'!$A$434:$I$454,5,0)*VLOOKUP('Données projet'!$B$24,Paramètres!$A$1:$I$89,7,0))</f>
        <v>0</v>
      </c>
      <c r="MA192" s="16">
        <f>IF(ISNA(VLOOKUP($A192,'Données projet'!$A$434:$I$454,6,0)),0%,VLOOKUP($A192,'Données projet'!$A$434:$I$454,6,0)*VLOOKUP('Données projet'!$B$24,Paramètres!$A$1:$I$89,7,0))</f>
        <v>0</v>
      </c>
      <c r="MB192" s="16">
        <f>IF(ISNA(VLOOKUP($A192,'Données projet'!$A$434:$I$454,7,0)),0%,VLOOKUP($A192,'Données projet'!$A$434:$I$454,7,0))</f>
        <v>0</v>
      </c>
      <c r="MC192" s="21">
        <f>EXP(-LN(2)/35)*MC191+(1-EXP(-LN(2)/35))/(LN(2)/35)*LY192*LZ192*VLOOKUP('Données projet'!$B$24,Paramètres!$A$1:$I$89,3,0)*0.475*44/12</f>
        <v>91.490760789246607</v>
      </c>
      <c r="MD192" s="21">
        <f>EXP(-LN(2)/25)*MD191+(1-EXP(-LN(2)/25))/(LN(2)/25)*Calculateur!LY192*Calculateur!MA192*VLOOKUP('Données projet'!$B$24,Paramètres!$A$1:$I$89,3,0)*0.475*44/12</f>
        <v>0</v>
      </c>
      <c r="ME192" s="21">
        <f>EXP(-LN(2)/2)*ME191+(1-EXP(-LN(2)/2))/(LN(2)/2)*LY192*MB192*VLOOKUP('Données projet'!$B$24,Paramètres!$A$1:$I$89,3,0)*0.475*44/12</f>
        <v>0</v>
      </c>
      <c r="MF192" s="22">
        <f t="shared" si="271"/>
        <v>91.490760789246607</v>
      </c>
      <c r="MG192" s="74">
        <f>('Scénario référence'!$F$8+'Scénario référence'!$F$9+'Scénario référence'!$B$17+'Scénario référence'!$B$9+'Scénario référence'!$B$10)*70+IF((45+25*(1-EXP(-0.0175*$A192)))&lt;70,'Scénario référence'!$B$16*(45+25*(1-EXP(-0.0175*$A192))),70*'Scénario référence'!$B$16)+IF((32+38*(1-EXP(-0.0175*$A192)))&lt;70,'Scénario référence'!$B$18*(32+38*(1-EXP(-0.0175*$A192))),70*'Scénario référence'!$B$18)</f>
        <v>70</v>
      </c>
      <c r="MH192" s="12">
        <f>IF($A192&gt;30,10,('Scénario référence'!$B$16+'Scénario référence'!$B$17+'Scénario référence'!$B$18+'Scénario référence'!$B$9+'Scénario référence'!$B$10)*$A192*10/30+('Scénario référence'!$F$8+'Scénario référence'!$F$9)*10)</f>
        <v>10</v>
      </c>
      <c r="MI192" s="12" t="e">
        <f>VLOOKUP($A192,'Données projet'!$A$460:$I$480,2,0)</f>
        <v>#N/A</v>
      </c>
      <c r="MJ192" s="12" t="e">
        <f>VLOOKUP($A192,'Données projet'!$A$460:$I$480,9,0)</f>
        <v>#N/A</v>
      </c>
      <c r="MK192" s="12">
        <f t="array" ref="MK192">INDEX(MJ:MJ,MIN(IF(ISNUMBER(MJ192:MJ388),ROW(MJ192:MJ388),"")))</f>
        <v>0</v>
      </c>
      <c r="ML192" s="12">
        <f>IF('Données projet'!$A$460&gt;35,ML191+MK192-MT191,IF($A192&lt;'Données projet'!$A$460,$CQ$205^$A192,IF($A192='Données projet'!$A$460,'Données projet'!$B$460,ML191+MK192-MT191)))</f>
        <v>0</v>
      </c>
      <c r="MM192" s="17" t="e">
        <f>ML192*VLOOKUP('Données projet'!$B$25,Paramètres!$A$1:$I$89,3,0)*VLOOKUP('Données projet'!$B$25,Paramètres!$A$1:$I$89,5,0)</f>
        <v>#N/A</v>
      </c>
      <c r="MN192" s="13" t="e">
        <f t="shared" si="318"/>
        <v>#N/A</v>
      </c>
      <c r="MO192" s="14" t="e">
        <f t="shared" si="272"/>
        <v>#N/A</v>
      </c>
      <c r="MP192" s="59" t="e">
        <f t="shared" si="273"/>
        <v>#N/A</v>
      </c>
      <c r="MQ192" s="20" t="e">
        <f ca="1">AVERAGE(OFFSET($MP$3,0,0,'Données projet'!$E$25+1,1))-AVERAGE(OFFSET($H$3,0,0,'Données projet'!$E$25+1,1))</f>
        <v>#N/A</v>
      </c>
      <c r="MR192" s="59" t="e">
        <f t="shared" si="319"/>
        <v>#N/A</v>
      </c>
      <c r="MS192" s="15">
        <f>IF(ISNA(VLOOKUP($A192,'Données projet'!$A$460:$I$480,3,0)),0,VLOOKUP($A192,'Données projet'!$A$460:$I$480,3,0))</f>
        <v>0</v>
      </c>
      <c r="MT192" s="15">
        <f>IF(ISNA(VLOOKUP($A192,'Données projet'!$A$460:$I$480,4,0)),0,VLOOKUP($A192,'Données projet'!$A$460:$I$480,4,0))</f>
        <v>0</v>
      </c>
      <c r="MU192" s="16">
        <f>IF(ISNA(VLOOKUP($A192,'Données projet'!$A$460:$I$480,5,0)),0%,VLOOKUP($A192,'Données projet'!$A$460:$I$480,5,0)*VLOOKUP('Données projet'!$B$25,Paramètres!$A$1:$I$89,7,0))</f>
        <v>0</v>
      </c>
      <c r="MV192" s="16">
        <f>IF(ISNA(VLOOKUP($A192,'Données projet'!$A$460:$I$480,6,0)),0%,VLOOKUP($A192,'Données projet'!$A$460:$I$480,6,0)*VLOOKUP('Données projet'!$B$25,Paramètres!$A$1:$I$89,7,0))</f>
        <v>0</v>
      </c>
      <c r="MW192" s="16">
        <f>IF(ISNA(VLOOKUP($A192,'Données projet'!$A$460:$I$480,7,0)),0%,VLOOKUP($A192,'Données projet'!$A$460:$I$480,7,0))</f>
        <v>0</v>
      </c>
      <c r="MX192" s="21" t="e">
        <f>EXP(-LN(2)/35)*MX191+(1-EXP(-LN(2)/35))/(LN(2)/35)*MT192*MU192*VLOOKUP('Données projet'!$B$25,Paramètres!$A$1:$I$89,3,0)*0.475*44/12</f>
        <v>#N/A</v>
      </c>
      <c r="MY192" s="21" t="e">
        <f>EXP(-LN(2)/25)*MY191+(1-EXP(-LN(2)/25))/(LN(2)/25)*Calculateur!MT192*Calculateur!MV192*VLOOKUP('Données projet'!$B$25,Paramètres!$A$1:$I$89,3,0)*0.475*44/12</f>
        <v>#N/A</v>
      </c>
      <c r="MZ192" s="21" t="e">
        <f>EXP(-LN(2)/2)*MZ191+(1-EXP(-LN(2)/2))/(LN(2)/2)*MT192*MW192*VLOOKUP('Données projet'!$B$25,Paramètres!$A$1:$I$89,3,0)*0.475*44/12</f>
        <v>#N/A</v>
      </c>
      <c r="NA192" s="22" t="e">
        <f t="shared" si="274"/>
        <v>#N/A</v>
      </c>
      <c r="NB192" s="74">
        <f>('Scénario référence'!$F$8+'Scénario référence'!$F$9+'Scénario référence'!$B$17+'Scénario référence'!$B$9+'Scénario référence'!$B$10)*70+IF((45+25*(1-EXP(-0.0175*$A192)))&lt;70,'Scénario référence'!$B$16*(45+25*(1-EXP(-0.0175*$A192))),70*'Scénario référence'!$B$16)+IF((32+38*(1-EXP(-0.0175*$A192)))&lt;70,'Scénario référence'!$B$18*(32+38*(1-EXP(-0.0175*$A192))),70*'Scénario référence'!$B$18)</f>
        <v>70</v>
      </c>
      <c r="NC192" s="12">
        <f>IF($A192&gt;30,10,('Scénario référence'!$B$16+'Scénario référence'!$B$17+'Scénario référence'!$B$18+'Scénario référence'!$B$9+'Scénario référence'!$B$10)*$A192*10/30+('Scénario référence'!$F$8+'Scénario référence'!$F$9)*10)</f>
        <v>10</v>
      </c>
      <c r="ND192" s="12" t="e">
        <f>VLOOKUP($A192,'Données projet'!$A$486:$I$506,2,0)</f>
        <v>#N/A</v>
      </c>
      <c r="NE192" s="12" t="e">
        <f>VLOOKUP($A192,'Données projet'!$A$486:$I$506,9,0)</f>
        <v>#N/A</v>
      </c>
      <c r="NF192" s="12">
        <f t="array" ref="NF192">INDEX(NE:NE,MIN(IF(ISNUMBER(NE192:NE388),ROW(NE192:NE388),"")))</f>
        <v>0</v>
      </c>
      <c r="NG192" s="12">
        <f>IF('Données projet'!$A$486&gt;35,NG191+NF192-NO191,IF($A192&lt;'Données projet'!$A$486,$CQ$205^$A192,IF($A192='Données projet'!$A$486,'Données projet'!$B$486,NG191+NF192-NO191)))</f>
        <v>0</v>
      </c>
      <c r="NH192" s="17" t="e">
        <f>NG192*VLOOKUP('Données projet'!$B$26,Paramètres!$A$1:$I$89,3,0)*VLOOKUP('Données projet'!$B$26,Paramètres!$A$1:$I$89,5,0)</f>
        <v>#N/A</v>
      </c>
      <c r="NI192" s="13" t="e">
        <f t="shared" si="320"/>
        <v>#N/A</v>
      </c>
      <c r="NJ192" s="14" t="e">
        <f t="shared" si="275"/>
        <v>#N/A</v>
      </c>
      <c r="NK192" s="59" t="e">
        <f t="shared" si="276"/>
        <v>#N/A</v>
      </c>
      <c r="NL192" s="20" t="e">
        <f ca="1">AVERAGE(OFFSET($NK$3,0,0,'Données projet'!$E$26+1,1))-AVERAGE(OFFSET($H$3,0,0,'Données projet'!$E$26+1,1))</f>
        <v>#N/A</v>
      </c>
      <c r="NM192" s="59" t="e">
        <f t="shared" si="321"/>
        <v>#N/A</v>
      </c>
      <c r="NN192" s="15">
        <f>IF(ISNA(VLOOKUP($A192,'Données projet'!$A$486:$I$506,3,0)),0,VLOOKUP($A192,'Données projet'!$A$486:$I$506,3,0))</f>
        <v>0</v>
      </c>
      <c r="NO192" s="15">
        <f>IF(ISNA(VLOOKUP($A192,'Données projet'!$A$486:$I$506,4,0)),0,VLOOKUP($A192,'Données projet'!$A$486:$I$506,4,0))</f>
        <v>0</v>
      </c>
      <c r="NP192" s="16">
        <f>IF(ISNA(VLOOKUP($A192,'Données projet'!$A$486:$I$506,5,0)),0%,VLOOKUP($A192,'Données projet'!$A$486:$I$506,5,0)*VLOOKUP('Données projet'!$B$26,Paramètres!$A$1:$I$89,7,0))</f>
        <v>0</v>
      </c>
      <c r="NQ192" s="16">
        <f>IF(ISNA(VLOOKUP($A192,'Données projet'!$A$486:$I$506,6,0)),0%,VLOOKUP($A192,'Données projet'!$A$486:$I$506,6,0)*VLOOKUP('Données projet'!$B$26,Paramètres!$A$1:$I$89,7,0))</f>
        <v>0</v>
      </c>
      <c r="NR192" s="16">
        <f>IF(ISNA(VLOOKUP($A192,'Données projet'!$A$486:$I$506,7,0)),0%,VLOOKUP($A192,'Données projet'!$A$486:$I$506,7,0))</f>
        <v>0</v>
      </c>
      <c r="NS192" s="21" t="e">
        <f>EXP(-LN(2)/35)*NS191+(1-EXP(-LN(2)/35))/(LN(2)/35)*NO192*NP192*VLOOKUP('Données projet'!$B$26,Paramètres!$A$1:$I$89,3,0)*0.475*44/12</f>
        <v>#N/A</v>
      </c>
      <c r="NT192" s="21" t="e">
        <f>EXP(-LN(2)/25)*NT191+(1-EXP(-LN(2)/25))/(LN(2)/25)*Calculateur!NO192*Calculateur!NQ192*VLOOKUP('Données projet'!$B$26,Paramètres!$A$1:$I$89,3,0)*0.475*44/12</f>
        <v>#N/A</v>
      </c>
      <c r="NU192" s="21" t="e">
        <f>EXP(-LN(2)/2)*NU191+(1-EXP(-LN(2)/2))/(LN(2)/2)*NO192*NR192*VLOOKUP('Données projet'!$B$26,Paramètres!$A$1:$I$89,3,0)*0.475*44/12</f>
        <v>#N/A</v>
      </c>
      <c r="NV192" s="22" t="e">
        <f t="shared" si="277"/>
        <v>#N/A</v>
      </c>
      <c r="NW192" s="74">
        <f>('Scénario référence'!$F$8+'Scénario référence'!$F$9+'Scénario référence'!$B$17+'Scénario référence'!$B$9+'Scénario référence'!$B$10)*70+IF((45+25*(1-EXP(-0.0175*$A192)))&lt;70,'Scénario référence'!$B$16*(45+25*(1-EXP(-0.0175*$A192))),70*'Scénario référence'!$B$16)+IF((32+38*(1-EXP(-0.0175*$A192)))&lt;70,'Scénario référence'!$B$18*(32+38*(1-EXP(-0.0175*$A192))),70*'Scénario référence'!$B$18)</f>
        <v>70</v>
      </c>
      <c r="NX192" s="12">
        <f>IF($A192&gt;30,10,('Scénario référence'!$B$16+'Scénario référence'!$B$17+'Scénario référence'!$B$18+'Scénario référence'!$B$9+'Scénario référence'!$B$10)*$A192*10/30+('Scénario référence'!$F$8+'Scénario référence'!$F$9)*10)</f>
        <v>10</v>
      </c>
      <c r="NY192" s="12" t="e">
        <f>VLOOKUP($A192,'Données projet'!$A$512:$I$532,2,0)</f>
        <v>#N/A</v>
      </c>
      <c r="NZ192" s="12" t="e">
        <f>VLOOKUP($A192,'Données projet'!$A$512:$I$532,9,0)</f>
        <v>#N/A</v>
      </c>
      <c r="OA192" s="12">
        <f t="array" ref="OA192">INDEX(NZ:NZ,MIN(IF(ISNUMBER(NZ192:NZ388),ROW(NZ192:NZ388),"")))</f>
        <v>0</v>
      </c>
      <c r="OB192" s="12">
        <f>IF('Données projet'!$A$512&gt;35,OB191+OA192-OJ191,IF($A192&lt;'Données projet'!$A$512,$CQ$205^$A192,IF($A192='Données projet'!$A$512,'Données projet'!$B$512,OB191+OA192-OJ191)))</f>
        <v>0</v>
      </c>
      <c r="OC192" s="17" t="e">
        <f>OB192*VLOOKUP('Données projet'!$B$27,Paramètres!$A$1:$I$89,3,0)*VLOOKUP('Données projet'!$B$27,Paramètres!$A$1:$I$89,5,0)</f>
        <v>#N/A</v>
      </c>
      <c r="OD192" s="13" t="e">
        <f t="shared" si="322"/>
        <v>#N/A</v>
      </c>
      <c r="OE192" s="14" t="e">
        <f t="shared" si="278"/>
        <v>#N/A</v>
      </c>
      <c r="OF192" s="59" t="e">
        <f t="shared" si="279"/>
        <v>#N/A</v>
      </c>
      <c r="OG192" s="20" t="e">
        <f ca="1">AVERAGE(OFFSET($OF$3,0,0,'Données projet'!$E$27+1,1))-AVERAGE(OFFSET($H$3,0,0,'Données projet'!$E$27+1,1))</f>
        <v>#N/A</v>
      </c>
      <c r="OH192" s="59" t="e">
        <f t="shared" si="323"/>
        <v>#N/A</v>
      </c>
      <c r="OI192" s="15">
        <f>IF(ISNA(VLOOKUP($A192,'Données projet'!$A$512:$I$532,3,0)),0,VLOOKUP($A192,'Données projet'!$A$512:$I$532,3,0))</f>
        <v>0</v>
      </c>
      <c r="OJ192" s="15">
        <f>IF(ISNA(VLOOKUP($A192,'Données projet'!$A$512:$I$532,4,0)),0,VLOOKUP($A192,'Données projet'!$A$512:$I$532,4,0))</f>
        <v>0</v>
      </c>
      <c r="OK192" s="16">
        <f>IF(ISNA(VLOOKUP($A192,'Données projet'!$A$512:$I$532,5,0)),0%,VLOOKUP($A192,'Données projet'!$A$512:$I$532,5,0)*VLOOKUP('Données projet'!$B$27,Paramètres!$A$1:$I$89,7,0))</f>
        <v>0</v>
      </c>
      <c r="OL192" s="16">
        <f>IF(ISNA(VLOOKUP($A192,'Données projet'!$A$512:$I$532,6,0)),0%,VLOOKUP($A192,'Données projet'!$A$512:$I$532,6,0)*VLOOKUP('Données projet'!$B$27,Paramètres!$A$1:$I$89,7,0))</f>
        <v>0</v>
      </c>
      <c r="OM192" s="16">
        <f>IF(ISNA(VLOOKUP($A192,'Données projet'!$A$512:$I$532,7,0)),0%,VLOOKUP($A192,'Données projet'!$A$512:$I$532,7,0))</f>
        <v>0</v>
      </c>
      <c r="ON192" s="21" t="e">
        <f>EXP(-LN(2)/35)*ON191+(1-EXP(-LN(2)/35))/(LN(2)/35)*OJ192*OK192*VLOOKUP('Données projet'!$B$27,Paramètres!$A$1:$I$89,3,0)*0.475*44/12</f>
        <v>#N/A</v>
      </c>
      <c r="OO192" s="21" t="e">
        <f>EXP(-LN(2)/25)*OO191+(1-EXP(-LN(2)/25))/(LN(2)/25)*Calculateur!OJ192*Calculateur!OL192*VLOOKUP('Données projet'!$B$27,Paramètres!$A$1:$I$89,3,0)*0.475*44/12</f>
        <v>#N/A</v>
      </c>
      <c r="OP192" s="21" t="e">
        <f>EXP(-LN(2)/2)*OP191+(1-EXP(-LN(2)/2))/(LN(2)/2)*OJ192*OM192*VLOOKUP('Données projet'!$B$27,Paramètres!$A$1:$I$89,3,0)*0.475*44/12</f>
        <v>#N/A</v>
      </c>
      <c r="OQ192" s="22" t="e">
        <f t="shared" si="280"/>
        <v>#N/A</v>
      </c>
      <c r="OR192" s="74">
        <f>('Scénario référence'!$F$8+'Scénario référence'!$F$9+'Scénario référence'!$B$17+'Scénario référence'!$B$9+'Scénario référence'!$B$10)*70+IF((45+25*(1-EXP(-0.0175*$A192)))&lt;70,'Scénario référence'!$B$16*(45+25*(1-EXP(-0.0175*$A192))),70*'Scénario référence'!$B$16)+IF((32+38*(1-EXP(-0.0175*$A192)))&lt;70,'Scénario référence'!$B$18*(32+38*(1-EXP(-0.0175*$A192))),70*'Scénario référence'!$B$18)</f>
        <v>70</v>
      </c>
      <c r="OS192" s="12">
        <f>IF($A192&gt;30,10,('Scénario référence'!$B$16+'Scénario référence'!$B$17+'Scénario référence'!$B$18+'Scénario référence'!$B$9+'Scénario référence'!$B$10)*$A192*10/30+('Scénario référence'!$F$8+'Scénario référence'!$F$9)*10)</f>
        <v>10</v>
      </c>
      <c r="OT192" s="12" t="e">
        <f>VLOOKUP($A192,'Données projet'!$A$538:$I$558,2,0)</f>
        <v>#N/A</v>
      </c>
      <c r="OU192" s="12" t="e">
        <f>VLOOKUP($A192,'Données projet'!$A$538:$I$558,9,0)</f>
        <v>#N/A</v>
      </c>
      <c r="OV192" s="12">
        <f t="array" ref="OV192">INDEX(OU:OU,MIN(IF(ISNUMBER(OU192:OU388),ROW(OU192:OU388),"")))</f>
        <v>0</v>
      </c>
      <c r="OW192" s="12">
        <f>IF('Données projet'!$A$538&gt;35,OW191+OV192-PE191,IF($A192&lt;'Données projet'!$A$538,$CQ$205^$A192,IF($A192='Données projet'!$A$538,'Données projet'!$B$538,OW191+OV192-PE191)))</f>
        <v>0</v>
      </c>
      <c r="OX192" s="17" t="e">
        <f>OW192*VLOOKUP('Données projet'!$B$28,Paramètres!$A$1:$I$89,3,0)*VLOOKUP('Données projet'!$B$28,Paramètres!$A$1:$I$89,5,0)</f>
        <v>#N/A</v>
      </c>
      <c r="OY192" s="13" t="e">
        <f t="shared" si="324"/>
        <v>#N/A</v>
      </c>
      <c r="OZ192" s="14" t="e">
        <f t="shared" si="281"/>
        <v>#N/A</v>
      </c>
      <c r="PA192" s="59" t="e">
        <f t="shared" si="282"/>
        <v>#N/A</v>
      </c>
      <c r="PB192" s="20" t="e">
        <f ca="1">AVERAGE(OFFSET($PA$3,0,0,'Données projet'!$E$28+1,1))-AVERAGE(OFFSET($H$3,0,0,'Données projet'!$E$28+1,1))</f>
        <v>#N/A</v>
      </c>
      <c r="PC192" s="59" t="e">
        <f t="shared" si="325"/>
        <v>#N/A</v>
      </c>
      <c r="PD192" s="15">
        <f>IF(ISNA(VLOOKUP($A192,'Données projet'!$A$538:$I$558,3,0)),0,VLOOKUP($A192,'Données projet'!$A$538:$I$558,3,0))</f>
        <v>0</v>
      </c>
      <c r="PE192" s="15">
        <f>IF(ISNA(VLOOKUP($A192,'Données projet'!$A$538:$I$558,4,0)),0,VLOOKUP($A192,'Données projet'!$A$538:$I$558,4,0))</f>
        <v>0</v>
      </c>
      <c r="PF192" s="16">
        <f>IF(ISNA(VLOOKUP($A192,'Données projet'!$A$538:$I$558,5,0)),0%,VLOOKUP($A192,'Données projet'!$A$538:$I$558,5,0)*VLOOKUP('Données projet'!$B$28,Paramètres!$A$1:$I$89,7,0))</f>
        <v>0</v>
      </c>
      <c r="PG192" s="16">
        <f>IF(ISNA(VLOOKUP($A192,'Données projet'!$A$538:$I$558,6,0)),0%,VLOOKUP($A192,'Données projet'!$A$538:$I$558,6,0)*VLOOKUP('Données projet'!$B$28,Paramètres!$A$1:$I$89,7,0))</f>
        <v>0</v>
      </c>
      <c r="PH192" s="16">
        <f>IF(ISNA(VLOOKUP($A192,'Données projet'!$A$538:$I$558,7,0)),0%,VLOOKUP($A192,'Données projet'!$A$538:$I$558,7,0))</f>
        <v>0</v>
      </c>
      <c r="PI192" s="21" t="e">
        <f>EXP(-LN(2)/35)*PI191+(1-EXP(-LN(2)/35))/(LN(2)/35)*PE192*PF192*VLOOKUP('Données projet'!$B$28,Paramètres!$A$1:$I$89,3,0)*0.475*44/12</f>
        <v>#N/A</v>
      </c>
      <c r="PJ192" s="21" t="e">
        <f>EXP(-LN(2)/25)*PJ191+(1-EXP(-LN(2)/25))/(LN(2)/25)*Calculateur!PE192*Calculateur!PG192*VLOOKUP('Données projet'!$B$28,Paramètres!$A$1:$I$89,3,0)*0.475*44/12</f>
        <v>#N/A</v>
      </c>
      <c r="PK192" s="21" t="e">
        <f>EXP(-LN(2)/2)*PK191+(1-EXP(-LN(2)/2))/(LN(2)/2)*PE192*PH192*VLOOKUP('Données projet'!$B$28,Paramètres!$A$1:$I$89,3,0)*0.475*44/12</f>
        <v>#N/A</v>
      </c>
      <c r="PL192" s="22" t="e">
        <f t="shared" si="283"/>
        <v>#N/A</v>
      </c>
    </row>
    <row r="193" spans="1:428" x14ac:dyDescent="0.35">
      <c r="A193" s="10">
        <f t="shared" si="326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285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225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projet'!$A$45:$I$65,2,0)</f>
        <v>#N/A</v>
      </c>
      <c r="L193" s="12" t="e">
        <f>VLOOKUP(A193,'Données projet'!$A$45:$I$65,9,0)</f>
        <v>#N/A</v>
      </c>
      <c r="M193" s="12">
        <f t="array" ref="M193">INDEX(L:L,MIN(IF(ISNUMBER(L193:L389),ROW(L193:L389),"")))</f>
        <v>0</v>
      </c>
      <c r="N193" s="13">
        <f>IF('Données projet'!$A$46&gt;35,N192+M193-V192,IF(A193&lt;'Données projet'!$A$46,$K$205^A193,IF(A193='Données projet'!$A$46,'Données projet'!$B$46,N192+M193-V192)))</f>
        <v>-1.1368683772161603E-13</v>
      </c>
      <c r="O193" s="13">
        <f>N193*VLOOKUP('Données projet'!$B$9,Paramètres!$A$1:$I$89,3,0)*VLOOKUP('Données projet'!$B$9,Paramètres!$A$1:$I$89,5,0)</f>
        <v>-6.3550942286383367E-14</v>
      </c>
      <c r="P193" s="13" t="e">
        <f t="shared" si="286"/>
        <v>#NUM!</v>
      </c>
      <c r="Q193" s="20" t="e">
        <f t="shared" si="327"/>
        <v>#NUM!</v>
      </c>
      <c r="R193" s="59" t="e">
        <f t="shared" si="224"/>
        <v>#NUM!</v>
      </c>
      <c r="S193" s="59">
        <f ca="1">AVERAGE(OFFSET($R$3,0,0,'Données projet'!$E$9+1,1))-AVERAGE(OFFSET($H$3,0,0,'Données projet'!$E$9+1,1))</f>
        <v>274.57619581652199</v>
      </c>
      <c r="T193" s="59">
        <f t="shared" si="287"/>
        <v>366.15117322598775</v>
      </c>
      <c r="U193" s="15">
        <f>IF(ISNA(VLOOKUP(A193,'Données projet'!$A$45:$I$65,3,0)),0,VLOOKUP(A193,'Données projet'!$A$45:$I$65,3,0))</f>
        <v>0</v>
      </c>
      <c r="V193" s="15">
        <f>IF(ISNA(VLOOKUP(A193,'Données projet'!$A$45:$I$65,4,0)),0,VLOOKUP(A193,'Données projet'!$A$45:$I$65,4,0))</f>
        <v>0</v>
      </c>
      <c r="W193" s="16">
        <f>IF(ISNA(VLOOKUP(A193,'Données projet'!$A$45:$I$65,5,0)),0%,VLOOKUP(A193,'Données projet'!$A$45:$I$65,5,0)*VLOOKUP('Données projet'!$B$9,Paramètres!$A$1:$I$89,7,0))</f>
        <v>0</v>
      </c>
      <c r="X193" s="16">
        <f>IF(ISNA(VLOOKUP(A193,'Données projet'!$A$45:$I$65,6,0)),0%,VLOOKUP(A193,'Données projet'!$A$45:$I$65,6,0)*VLOOKUP('Données projet'!$B$9,Paramètres!$A$1:$I$89,7,0))</f>
        <v>0</v>
      </c>
      <c r="Y193" s="16">
        <f>IF(ISNA(VLOOKUP(A193,'Données projet'!$A$45:$I$65,7,0)),0%,VLOOKUP(A193,'Données projet'!$A$45:$I$65,7,0))</f>
        <v>0</v>
      </c>
      <c r="Z193" s="21">
        <f>EXP(-LN(2)/35)*Z192+(1-EXP(-LN(2)/35))/(LN(2)/35)*V193*W193*VLOOKUP('Données projet'!$B$9,Paramètres!$A$1:$I$89,3,0)*0.475*44/12</f>
        <v>15.640606712173314</v>
      </c>
      <c r="AA193" s="21">
        <f>EXP(-LN(2)/25)*AA192+(1-EXP(-LN(2)/25))/(LN(2)/25)*Calculateur!V193*Calculateur!X193*VLOOKUP('Données projet'!$B$9,Paramètres!$A$1:$I$89,3,0)*0.475*44/12</f>
        <v>1.3643268050420554</v>
      </c>
      <c r="AB193" s="21">
        <f>EXP(-LN(2)/2)*AB192+(1-EXP(-LN(2)/2))/(LN(2)/2)*V193*Y193*VLOOKUP('Données projet'!$B$9,Paramètres!$A$1:$I$89,3,0)*0.475*44/12</f>
        <v>1.6368532042132826E-19</v>
      </c>
      <c r="AC193" s="22">
        <f t="shared" si="328"/>
        <v>17.00493351721537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projet'!$A$71:$I$91,2,0)</f>
        <v>#N/A</v>
      </c>
      <c r="AG193" s="12" t="e">
        <f>VLOOKUP(A193,'Données projet'!$A$71:$I$91,9,0)</f>
        <v>#N/A</v>
      </c>
      <c r="AH193" s="12">
        <f t="array" ref="AH193">INDEX(AG:AG,MIN(IF(ISNUMBER(AG193:AG389),ROW(AG193:AG389),"")))</f>
        <v>0</v>
      </c>
      <c r="AI193" s="13">
        <f>IF('Données projet'!$A$72&gt;35,AI192+AH193-AQ192,IF(A193&lt;'Données projet'!$A$72,$AF$205^A193,IF(A193='Données projet'!$A$72,'Données projet'!$B$72,AI192+AH193-AQ192)))</f>
        <v>5.6843418860808015E-13</v>
      </c>
      <c r="AJ193" s="13">
        <f>AI193*VLOOKUP('Données projet'!$B$10,Paramètres!$A$1:$I$89,3,0)*VLOOKUP('Données projet'!$B$10,Paramètres!$A$1:$I$89,5,0)</f>
        <v>5.1431925385259092E-13</v>
      </c>
      <c r="AK193" s="13">
        <f t="shared" si="329"/>
        <v>6.3855359115685756E-12</v>
      </c>
      <c r="AL193" s="20">
        <f t="shared" si="330"/>
        <v>1.2017247746441865E-11</v>
      </c>
      <c r="AM193" s="59">
        <f t="shared" si="228"/>
        <v>293.33333333334531</v>
      </c>
      <c r="AN193" s="59">
        <f ca="1">AVERAGE(OFFSET($AM$3,0,0,'Données projet'!$E$10+1,1))-AVERAGE(OFFSET($H$3,0,0,'Données projet'!$E$10+1,1))</f>
        <v>270.87836509222456</v>
      </c>
      <c r="AO193" s="59">
        <f t="shared" si="289"/>
        <v>205.24998237949734</v>
      </c>
      <c r="AP193" s="15">
        <f>IF(ISNA(VLOOKUP(A193,'Données projet'!$A$71:$I$91,3,0)),0,VLOOKUP(A193,'Données projet'!$A$71:$I$91,3,0))</f>
        <v>0</v>
      </c>
      <c r="AQ193" s="15">
        <f>IF(ISNA(VLOOKUP(A193,'Données projet'!$A$71:$I$91,4,0)),0,VLOOKUP(A193,'Données projet'!$A$71:$I$91,4,0))</f>
        <v>0</v>
      </c>
      <c r="AR193" s="16">
        <f>IF(ISNA(VLOOKUP(A193,'Données projet'!$A$71:$I$91,5,0)),0%,VLOOKUP(A193,'Données projet'!$A$71:$I$91,5,0)*VLOOKUP('Données projet'!$B$10,Paramètres!$A$1:$I$89,7,0))</f>
        <v>0</v>
      </c>
      <c r="AS193" s="16">
        <f>IF(ISNA(VLOOKUP(A193,'Données projet'!$A$71:$I$91,6,0)),0%,VLOOKUP(A193,'Données projet'!$A$71:$I$91,6,0)*VLOOKUP('Données projet'!$B$10,Paramètres!$A$1:$I$89,7,0))</f>
        <v>0</v>
      </c>
      <c r="AT193" s="16">
        <f>IF(ISNA(VLOOKUP(A193,'Données projet'!$A$71:$I$91,7,0)),0%,VLOOKUP(A193,'Données projet'!$A$71:$I$91,7,0))</f>
        <v>0</v>
      </c>
      <c r="AU193" s="21">
        <f>EXP(-LN(2)/35)*AU192+(1-EXP(-LN(2)/35))/(LN(2)/35)*AQ193*AR193*VLOOKUP('Données projet'!$B$10,Paramètres!$A$1:$I$89,3,0)*0.475*44/12</f>
        <v>53.150766476701087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331"/>
        <v>53.150766476701087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projet'!$A$97:$I$117,2,0)</f>
        <v>#N/A</v>
      </c>
      <c r="BB193" s="12" t="e">
        <f>VLOOKUP(A193,'Données projet'!$A$97:$I$117,9,0)</f>
        <v>#N/A</v>
      </c>
      <c r="BC193" s="12">
        <f t="array" ref="BC193">INDEX(BB:BB,MIN(IF(ISNUMBER(BB193:BB389),ROW(BB193:BB389),"")))</f>
        <v>0</v>
      </c>
      <c r="BD193" s="12">
        <f>IF('Données projet'!$A$98&gt;35,BD192+BC193-BL192,IF(A193&lt;'Données projet'!$A$98,$BA$205^A193,IF(A193='Données projet'!$A$98,'Données projet'!$B$98,BD192+BC193-BL192)))</f>
        <v>-1.1368683772161603E-13</v>
      </c>
      <c r="BE193" s="13">
        <f>BD193*VLOOKUP('Données projet'!$B$11,Paramètres!$A$1:$I$89,3,0)*VLOOKUP('Données projet'!$B$11,Paramètres!$A$1:$I$89,5,0)</f>
        <v>-5.0249582272954292E-14</v>
      </c>
      <c r="BF193" s="13" t="e">
        <f t="shared" si="332"/>
        <v>#NUM!</v>
      </c>
      <c r="BG193" s="20" t="e">
        <f t="shared" si="333"/>
        <v>#NUM!</v>
      </c>
      <c r="BH193" s="59" t="e">
        <f t="shared" si="231"/>
        <v>#NUM!</v>
      </c>
      <c r="BI193" s="59">
        <f ca="1">AVERAGE(OFFSET($BH$3,0,0,'Données projet'!$E$11+1,1))-AVERAGE(OFFSET($H$3,0,0,'Données projet'!$E$11+1,1))</f>
        <v>211.31057120485542</v>
      </c>
      <c r="BJ193" s="59">
        <f t="shared" si="291"/>
        <v>283.33292006714777</v>
      </c>
      <c r="BK193" s="15">
        <f>IF(ISNA(VLOOKUP(A193,'Données projet'!$A$97:$I$117,3,0)),0,VLOOKUP(A193,'Données projet'!$A$97:$I$117,3,0))</f>
        <v>0</v>
      </c>
      <c r="BL193" s="15">
        <f>IF(ISNA(VLOOKUP(A193,'Données projet'!$A$97:$I$117,4,0)),0,VLOOKUP(A193,'Données projet'!$A$97:$I$117,4,0))</f>
        <v>0</v>
      </c>
      <c r="BM193" s="16">
        <f>IF(ISNA(VLOOKUP(A193,'Données projet'!$A$97:$I$117,5,0)),0%,VLOOKUP(A193,'Données projet'!$A$97:$I$117,5,0)*VLOOKUP('Données projet'!$B$11,Paramètres!$A$1:$I$89,7,0))</f>
        <v>0</v>
      </c>
      <c r="BN193" s="16">
        <f>IF(ISNA(VLOOKUP(A193,'Données projet'!$A$97:$I$117,6,0)),0%,VLOOKUP(A193,'Données projet'!$A$97:$I$117,6,0)*VLOOKUP('Données projet'!$B$11,Paramètres!$A$1:$I$89,7,0))</f>
        <v>0</v>
      </c>
      <c r="BO193" s="16">
        <f>IF(ISNA(VLOOKUP(A193,'Données projet'!$A$97:$I$117,7,0)),0%,VLOOKUP(A193,'Données projet'!$A$97:$I$117,7,0))</f>
        <v>0</v>
      </c>
      <c r="BP193" s="21">
        <f>EXP(-LN(2)/35)*BP192+(1-EXP(-LN(2)/35))/(LN(2)/35)*BL193*BM193*VLOOKUP('Données projet'!$B$11,Paramètres!$A$1:$I$89,3,0)*0.475*44/12</f>
        <v>12.366991353811468</v>
      </c>
      <c r="BQ193" s="21">
        <f>EXP(-LN(2)/25)*BQ192+(1-EXP(-LN(2)/25))/(LN(2)/25)*Calculateur!BL193*Calculateur!BN193*VLOOKUP('Données projet'!$B$11,Paramètres!$A$1:$I$89,3,0)*0.475*44/12</f>
        <v>1.0787700318937175</v>
      </c>
      <c r="BR193" s="21">
        <f>EXP(-LN(2)/2)*BR192+(1-EXP(-LN(2)/2))/(LN(2)/2)*BL193*BO193*VLOOKUP('Données projet'!$B$11,Paramètres!$A$1:$I$89,3,0)*0.475*44/12</f>
        <v>1.2942560219360836E-19</v>
      </c>
      <c r="BS193" s="22">
        <f t="shared" si="334"/>
        <v>13.445761385705186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projet'!$A$123:$I$143,2,0)</f>
        <v>#N/A</v>
      </c>
      <c r="BW193" s="12" t="e">
        <f>VLOOKUP(A193,'Données projet'!$A$123:$I$143,9,0)</f>
        <v>#N/A</v>
      </c>
      <c r="BX193" s="12">
        <f t="array" ref="BX193">INDEX(BW:BW,MIN(IF(ISNUMBER(BW193:BW389),ROW(BW193:BW389),"")))</f>
        <v>0</v>
      </c>
      <c r="BY193" s="12">
        <f>IF('Données projet'!$A$124&gt;35,BY192+BX193-CG192,IF(A193&lt;'Données projet'!$A$124,$BV$205^A193,IF(A193='Données projet'!$A$124,'Données projet'!$B$124,BY192+BX193-CG192)))</f>
        <v>0</v>
      </c>
      <c r="BZ193" s="13">
        <f>BY193*VLOOKUP('Données projet'!$B$12,Paramètres!$A$1:$I$89,3,0)*VLOOKUP('Données projet'!$B$12,Paramètres!$A$1:$I$89,5,0)</f>
        <v>0</v>
      </c>
      <c r="CA193" s="13" t="e">
        <f t="shared" si="335"/>
        <v>#NUM!</v>
      </c>
      <c r="CB193" s="20" t="e">
        <f t="shared" si="336"/>
        <v>#NUM!</v>
      </c>
      <c r="CC193" s="59" t="e">
        <f t="shared" si="234"/>
        <v>#NUM!</v>
      </c>
      <c r="CD193" s="59">
        <f ca="1">AVERAGE(OFFSET($CC$3,0,0,'Données projet'!$E$12+1,1))-AVERAGE(OFFSET($H$3,0,0,'Données projet'!$E$12+1,1))</f>
        <v>322.93502595881938</v>
      </c>
      <c r="CE193" s="59">
        <f t="shared" si="293"/>
        <v>302.67072119588164</v>
      </c>
      <c r="CF193" s="15">
        <f>IF(ISNA(VLOOKUP(A193,'Données projet'!$A$123:$I$143,3,0)),0,VLOOKUP(A193,'Données projet'!$A$123:$I$143,3,0))</f>
        <v>0</v>
      </c>
      <c r="CG193" s="15">
        <f>IF(ISNA(VLOOKUP(A193,'Données projet'!$A$123:$I$143,4,0)),0,VLOOKUP(A193,'Données projet'!$A$123:$I$143,4,0))</f>
        <v>0</v>
      </c>
      <c r="CH193" s="16">
        <f>IF(ISNA(VLOOKUP(A193,'Données projet'!$A$123:$I$143,5,0)),0%,VLOOKUP(A193,'Données projet'!$A$123:$I$143,5,0)*VLOOKUP('Données projet'!$B$12,Paramètres!$A$1:$I$89,7,0))</f>
        <v>0</v>
      </c>
      <c r="CI193" s="16">
        <f>IF(ISNA(VLOOKUP(A193,'Données projet'!$A$123:$I$143,6,0)),0%,VLOOKUP(A193,'Données projet'!$A$123:$I$143,6,0)*VLOOKUP('Données projet'!$B$12,Paramètres!$A$1:$I$89,7,0))</f>
        <v>0</v>
      </c>
      <c r="CJ193" s="16">
        <f>IF(ISNA(VLOOKUP(A193,'Données projet'!$A$123:$I$143,7,0)),0%,VLOOKUP(A193,'Données projet'!$A$123:$I$143,7,0))</f>
        <v>0</v>
      </c>
      <c r="CK193" s="21">
        <f>EXP(-LN(2)/35)*CK192+(1-EXP(-LN(2)/35))/(LN(2)/35)*CG193*CH193*VLOOKUP('Données projet'!$B$12,Paramètres!$A$1:$I$89,3,0)*0.475*44/12</f>
        <v>19.703605514834049</v>
      </c>
      <c r="CL193" s="21">
        <f>EXP(-LN(2)/25)*CL192+(1-EXP(-LN(2)/25))/(LN(2)/25)*Calculateur!CG193*Calculateur!CI193*VLOOKUP('Données projet'!$B$12,Paramètres!$A$1:$I$89,3,0)*0.475*44/12</f>
        <v>3.4527167999676687</v>
      </c>
      <c r="CM193" s="21">
        <f>EXP(-LN(2)/2)*CM192+(1-EXP(-LN(2)/2))/(LN(2)/2)*CG193*CJ193*VLOOKUP('Données projet'!$B$12,Paramètres!$A$1:$I$89,3,0)*0.475*44/12</f>
        <v>0</v>
      </c>
      <c r="CN193" s="22">
        <f t="shared" si="337"/>
        <v>23.156322314801717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projet'!$A$149:$I$169,2,0)</f>
        <v>#N/A</v>
      </c>
      <c r="CR193" s="12" t="e">
        <f>VLOOKUP(A193,'Données projet'!$A$149:$I$169,9,0)</f>
        <v>#N/A</v>
      </c>
      <c r="CS193" s="12">
        <f t="array" ref="CS193">INDEX(CR:CR,MIN(IF(ISNUMBER(CR193:CR389),ROW(CR193:CR389),"")))</f>
        <v>0</v>
      </c>
      <c r="CT193" s="12">
        <f>IF('Données projet'!$A$150&gt;35,CT192+CS193-DB192,IF(A193&lt;'Données projet'!$A$150,$CQ$205^A193,IF(A193='Données projet'!$A$150,'Données projet'!$B$150,CT192+CS193-DB192)))</f>
        <v>-4.5474735088646412E-13</v>
      </c>
      <c r="CU193" s="17">
        <f>CT193*VLOOKUP('Données projet'!$B$13,Paramètres!$A$1:$I$89,3,0)*VLOOKUP('Données projet'!$B$13,Paramètres!$A$1:$I$89,5,0)</f>
        <v>-4.6111381379887462E-13</v>
      </c>
      <c r="CV193" s="13" t="e">
        <f t="shared" si="338"/>
        <v>#NUM!</v>
      </c>
      <c r="CW193" s="20" t="e">
        <f t="shared" si="339"/>
        <v>#NUM!</v>
      </c>
      <c r="CX193" s="59" t="e">
        <f t="shared" si="237"/>
        <v>#NUM!</v>
      </c>
      <c r="CY193" s="59">
        <f ca="1">AVERAGE(OFFSET($CX$3,0,0,'Données projet'!$E$13+1,1))-AVERAGE(OFFSET($H$3,0,0,'Données projet'!$E$13+1,1))</f>
        <v>250.31277422753283</v>
      </c>
      <c r="CZ193" s="59">
        <f t="shared" si="295"/>
        <v>159.20429420478047</v>
      </c>
      <c r="DA193" s="15">
        <f>IF(ISNA(VLOOKUP(A193,'Données projet'!$A$149:$I$169,3,0)),0,VLOOKUP(A193,'Données projet'!$A$149:$I$169,3,0))</f>
        <v>0</v>
      </c>
      <c r="DB193" s="15">
        <f>IF(ISNA(VLOOKUP(A193,'Données projet'!$A$149:$I$169,4,0)),0,VLOOKUP(A193,'Données projet'!$A$149:$I$169,4,0))</f>
        <v>0</v>
      </c>
      <c r="DC193" s="16">
        <f>IF(ISNA(VLOOKUP(A193,'Données projet'!$A$149:$I$169,5,0)),0%,VLOOKUP(A193,'Données projet'!$A$149:$I$169,5,0)*VLOOKUP('Données projet'!$B$13,Paramètres!$A$1:$I$89,7,0))</f>
        <v>0</v>
      </c>
      <c r="DD193" s="16">
        <f>IF(ISNA(VLOOKUP(A193,'Données projet'!$A$149:$I$169,6,0)),0%,VLOOKUP(A193,'Données projet'!$A$149:$I$169,6,0)*VLOOKUP('Données projet'!$B$13,Paramètres!$A$1:$I$89,7,0))</f>
        <v>0</v>
      </c>
      <c r="DE193" s="16">
        <f>IF(ISNA(VLOOKUP(A193,'Données projet'!$A$149:$I$169,7,0)),0%,VLOOKUP(A193,'Données projet'!$A$149:$I$169,7,0))</f>
        <v>0</v>
      </c>
      <c r="DF193" s="21">
        <f>EXP(-LN(2)/35)*DF192+(1-EXP(-LN(2)/35))/(LN(2)/35)*DB193*DC193*VLOOKUP('Données projet'!$B$13,Paramètres!$A$1:$I$89,3,0)*0.475*44/12</f>
        <v>89.696682774023387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340"/>
        <v>89.696682774023387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projet'!$A$175:$I$195,2,0)</f>
        <v>#N/A</v>
      </c>
      <c r="DM193" s="12" t="e">
        <f>VLOOKUP(A193,'Données projet'!$A$175:$I$195,9,0)</f>
        <v>#N/A</v>
      </c>
      <c r="DN193" s="12">
        <f t="array" ref="DN193">INDEX(DM:DM,MIN(IF(ISNUMBER(DM193:DM389),ROW(DM193:DM389),"")))</f>
        <v>0</v>
      </c>
      <c r="DO193" s="12">
        <f>IF('Données projet'!$A$176&gt;35,DO192+DN193-DW192,IF(A193&lt;'Données projet'!$A$176,$DL$205^A193,IF(A193='Données projet'!$A$176,'Données projet'!$B$176,DO192+DN193-DW192)))</f>
        <v>-2.8421709430404007E-13</v>
      </c>
      <c r="DP193" s="17">
        <f>DO193*VLOOKUP('Données projet'!$B$14,Paramètres!$A$1:$I$89,3,0)*VLOOKUP('Données projet'!$B$14,Paramètres!$A$1:$I$89,5,0)</f>
        <v>-2.0838797354372215E-13</v>
      </c>
      <c r="DQ193" s="13" t="e">
        <f t="shared" si="341"/>
        <v>#NUM!</v>
      </c>
      <c r="DR193" s="20" t="e">
        <f t="shared" si="342"/>
        <v>#NUM!</v>
      </c>
      <c r="DS193" s="59" t="e">
        <f t="shared" si="240"/>
        <v>#NUM!</v>
      </c>
      <c r="DT193" s="59">
        <f ca="1">AVERAGE(OFFSET($DS$3,0,0,'Données projet'!$E$14+1,1))-AVERAGE(OFFSET($H$3,0,0,'Données projet'!$E$14+1,1))</f>
        <v>296.91321813251051</v>
      </c>
      <c r="DU193" s="59">
        <f t="shared" si="297"/>
        <v>291.0718079639509</v>
      </c>
      <c r="DV193" s="15">
        <f>IF(ISNA(VLOOKUP(A193,'Données projet'!$A$175:$I$195,3,0)),0,VLOOKUP(A193,'Données projet'!$A$175:$I$195,3,0))</f>
        <v>0</v>
      </c>
      <c r="DW193" s="15">
        <f>IF(ISNA(VLOOKUP(A193,'Données projet'!$A$175:$I$195,4,0)),0,VLOOKUP(A193,'Données projet'!$A$175:$I$195,4,0))</f>
        <v>0</v>
      </c>
      <c r="DX193" s="16">
        <f>IF(ISNA(VLOOKUP(A193,'Données projet'!$A$175:$I$195,5,0)),0%,VLOOKUP(A193,'Données projet'!$A$175:$I$195,5,0)*VLOOKUP('Données projet'!$B$14,Paramètres!$A$1:$I$89,7,0))</f>
        <v>0</v>
      </c>
      <c r="DY193" s="16">
        <f>IF(ISNA(VLOOKUP(A193,'Données projet'!$A$175:$I$195,6,0)),0%,VLOOKUP(A193,'Données projet'!$A$175:$I$195,6,0)*VLOOKUP('Données projet'!$B$14,Paramètres!$A$1:$I$89,7,0))</f>
        <v>0</v>
      </c>
      <c r="DZ193" s="16">
        <f>IF(ISNA(VLOOKUP(A193,'Données projet'!$A$175:$I$195,7,0)),0%,VLOOKUP(A193,'Données projet'!$A$175:$I$195,7,0))</f>
        <v>0</v>
      </c>
      <c r="EA193" s="21">
        <f>EXP(-LN(2)/35)*EA192+(1-EXP(-LN(2)/35))/(LN(2)/35)*DW193*DX193*VLOOKUP('Données projet'!$B$14,Paramètres!$A$1:$I$89,3,0)*0.475*44/12</f>
        <v>19.638168994715542</v>
      </c>
      <c r="EB193" s="21">
        <f>EXP(-LN(2)/25)*EB192+(1-EXP(-LN(2)/25))/(LN(2)/25)*Calculateur!DW193*Calculateur!DY193*VLOOKUP('Données projet'!$B$14,Paramètres!$A$1:$I$89,3,0)*0.475*44/12</f>
        <v>0.25363970755192722</v>
      </c>
      <c r="EC193" s="21">
        <f>EXP(-LN(2)/2)*EC192+(1-EXP(-LN(2)/2))/(LN(2)/2)*DW193*DZ193*VLOOKUP('Données projet'!$B$14,Paramètres!$A$1:$I$89,3,0)*0.475*44/12</f>
        <v>0</v>
      </c>
      <c r="ED193" s="22">
        <f t="shared" si="343"/>
        <v>19.891808702267468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projet'!$A$201:$I$221,2,0)</f>
        <v>#N/A</v>
      </c>
      <c r="EH193" s="12" t="e">
        <f>VLOOKUP(A193,'Données projet'!$A$201:$I$221,9,0)</f>
        <v>#N/A</v>
      </c>
      <c r="EI193" s="12">
        <f t="array" ref="EI193">INDEX(EH:EH,MIN(IF(ISNUMBER(EH193:EH389),ROW(EH193:EH389),"")))</f>
        <v>0</v>
      </c>
      <c r="EJ193" s="12">
        <f>IF('Données projet'!$A$202&gt;35,EJ192+EI193-ER192,IF(A193&lt;'Données projet'!$A$202,$EG$205^A193,IF(A193='Données projet'!$A$202,'Données projet'!$B$202,EJ192+EI193-ER192)))</f>
        <v>5.1159076974727213E-13</v>
      </c>
      <c r="EK193" s="17">
        <f>EJ193*VLOOKUP('Données projet'!$B$15,Paramètres!$A$1:$I$89,3,0)*VLOOKUP('Données projet'!$B$15,Paramètres!$A$1:$I$89,5,0)</f>
        <v>2.3942448024172334E-13</v>
      </c>
      <c r="EL193" s="13">
        <f t="shared" si="344"/>
        <v>3.2492669905861755E-12</v>
      </c>
      <c r="EM193" s="20">
        <f t="shared" si="345"/>
        <v>6.0761376450252565E-12</v>
      </c>
      <c r="EN193" s="59">
        <f t="shared" si="243"/>
        <v>293.3333333333394</v>
      </c>
      <c r="EO193" s="59">
        <f ca="1">AVERAGE(OFFSET($EN$3,0,0,'Données projet'!$E$15+1,1))-AVERAGE(OFFSET($H$3,0,0,'Données projet'!$E$15+1,1))</f>
        <v>147.64256291235483</v>
      </c>
      <c r="EP193" s="59">
        <f t="shared" si="299"/>
        <v>70.859031694091868</v>
      </c>
      <c r="EQ193" s="15">
        <f>IF(ISNA(VLOOKUP(A193,'Données projet'!$A$201:$I$221,3,0)),0,VLOOKUP(A193,'Données projet'!$A$201:$I$221,3,0))</f>
        <v>0</v>
      </c>
      <c r="ER193" s="15">
        <f>IF(ISNA(VLOOKUP(A193,'Données projet'!$A$201:$I$221,4,0)),0,VLOOKUP(A193,'Données projet'!$A$201:$I$221,4,0))</f>
        <v>0</v>
      </c>
      <c r="ES193" s="16">
        <f>IF(ISNA(VLOOKUP(A193,'Données projet'!$A$201:$I$221,5,0)),0%,VLOOKUP(A193,'Données projet'!$A$201:$I$221,5,0)*VLOOKUP('Données projet'!$B$15,Paramètres!$A$1:$I$89,7,0))</f>
        <v>0</v>
      </c>
      <c r="ET193" s="16">
        <f>IF(ISNA(VLOOKUP(A193,'Données projet'!$A$201:$I$221,6,0)),0%,VLOOKUP(A193,'Données projet'!$A$201:$I$221,6,0)*VLOOKUP('Données projet'!$B$15,Paramètres!$A$1:$I$89,7,0))</f>
        <v>0</v>
      </c>
      <c r="EU193" s="16">
        <f>IF(ISNA(VLOOKUP(A193,'Données projet'!$A$201:$I$221,7,0)),0%,VLOOKUP(A193,'Données projet'!$A$201:$I$221,7,0))</f>
        <v>0</v>
      </c>
      <c r="EV193" s="21">
        <f>EXP(-LN(2)/35)*EV192+(1-EXP(-LN(2)/35))/(LN(2)/35)*ER193*ES193*VLOOKUP('Données projet'!$B$15,Paramètres!$A$1:$I$89,3,0)*0.475*44/12</f>
        <v>26.884962907070246</v>
      </c>
      <c r="EW193" s="21">
        <f>EXP(-LN(2)/25)*EW192+(1-EXP(-LN(2)/25))/(LN(2)/25)*Calculateur!ER193*Calculateur!ET193*VLOOKUP('Données projet'!$B$15,Paramètres!$A$1:$I$89,3,0)*0.475*44/12</f>
        <v>3.5189954045965806</v>
      </c>
      <c r="EX193" s="21">
        <f>EXP(-LN(2)/2)*EX192+(1-EXP(-LN(2)/2))/(LN(2)/2)*ER193*EU193*VLOOKUP('Données projet'!$B$15,Paramètres!$A$1:$I$89,3,0)*0.475*44/12</f>
        <v>1.1800223226046027E-11</v>
      </c>
      <c r="EY193" s="22">
        <f t="shared" si="346"/>
        <v>30.403958311678625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projet'!$A$227:$I$247,2,0)</f>
        <v>#N/A</v>
      </c>
      <c r="FC193" s="12" t="e">
        <f>VLOOKUP(A193,'Données projet'!$A$227:$I$247,9,0)</f>
        <v>#N/A</v>
      </c>
      <c r="FD193" s="12">
        <f t="array" ref="FD193">INDEX(FC:FC,MIN(IF(ISNUMBER(FC193:FC389),ROW(FC193:FC389),"")))</f>
        <v>0</v>
      </c>
      <c r="FE193" s="12">
        <f>IF('Données projet'!$A$228&gt;35,FE192+FD193-FM192,IF(A193&lt;'Données projet'!$A$228,$FB$205^A193,IF(A193='Données projet'!$A$228,'Données projet'!$B$228,FE192+FD193-FM192)))</f>
        <v>8.5265128291212022E-14</v>
      </c>
      <c r="FF193" s="17">
        <f>FE193*VLOOKUP('Données projet'!$B$16,Paramètres!$A$1:$I$89,3,0)*VLOOKUP('Données projet'!$B$16,Paramètres!$A$1:$I$89,5,0)</f>
        <v>8.9119112089974823E-14</v>
      </c>
      <c r="FG193" s="13">
        <f t="shared" si="347"/>
        <v>1.3568952080113142E-12</v>
      </c>
      <c r="FH193" s="20">
        <f t="shared" si="348"/>
        <v>2.5184749408430782E-12</v>
      </c>
      <c r="FI193" s="59">
        <f t="shared" si="246"/>
        <v>293.33333333333582</v>
      </c>
      <c r="FJ193" s="59">
        <f ca="1">AVERAGE(OFFSET($FI$3,0,0,'Données projet'!$E$16+1,1))-AVERAGE(OFFSET($H$3,0,0,'Données projet'!$E$16+1,1))</f>
        <v>259.03906550253788</v>
      </c>
      <c r="FK193" s="59">
        <f t="shared" si="301"/>
        <v>235.54542903570831</v>
      </c>
      <c r="FL193" s="15">
        <f>IF(ISNA(VLOOKUP(A193,'Données projet'!$A$227:$I$247,3,0)),0,VLOOKUP(A193,'Données projet'!$A$227:$I$247,3,0))</f>
        <v>0</v>
      </c>
      <c r="FM193" s="15">
        <f>IF(ISNA(VLOOKUP(A193,'Données projet'!$A$227:$I$247,4,0)),0,VLOOKUP(A193,'Données projet'!$A$227:$I$247,4,0))</f>
        <v>0</v>
      </c>
      <c r="FN193" s="16">
        <f>IF(ISNA(VLOOKUP(A193,'Données projet'!$A$227:$I$247,5,0)),0%,VLOOKUP(A193,'Données projet'!$A$227:$I$247,5,0)*VLOOKUP('Données projet'!$B$16,Paramètres!$A$1:$I$89,7,0))</f>
        <v>0</v>
      </c>
      <c r="FO193" s="16">
        <f>IF(ISNA(VLOOKUP(A193,'Données projet'!$A$227:$I$247,6,0)),0%,VLOOKUP(A193,'Données projet'!$A$227:$I$247,6,0)*VLOOKUP('Données projet'!$B$16,Paramètres!$A$1:$I$89,7,0))</f>
        <v>0</v>
      </c>
      <c r="FP193" s="16">
        <f>IF(ISNA(VLOOKUP(A193,'Données projet'!$A$227:$I$247,7,0)),0%,VLOOKUP(A193,'Données projet'!$A$227:$I$247,7,0))</f>
        <v>0</v>
      </c>
      <c r="FQ193" s="21">
        <f>EXP(-LN(2)/35)*FQ192+(1-EXP(-LN(2)/35))/(LN(2)/35)*FM193*FN193*VLOOKUP('Données projet'!$B$16,Paramètres!$A$1:$I$89,3,0)*0.475*44/12</f>
        <v>11.866291977192377</v>
      </c>
      <c r="FR193" s="21">
        <f>EXP(-LN(2)/25)*FR192+(1-EXP(-LN(2)/25))/(LN(2)/25)*Calculateur!FM193*Calculateur!FO193*VLOOKUP('Données projet'!$B$16,Paramètres!$A$1:$I$89,3,0)*0.475*44/12</f>
        <v>4.8409927965219595</v>
      </c>
      <c r="FS193" s="21">
        <f>EXP(-LN(2)/2)*FS192+(1-EXP(-LN(2)/2))/(LN(2)/2)*FM193*FP193*VLOOKUP('Données projet'!$B$16,Paramètres!$A$1:$I$89,3,0)*0.475*44/12</f>
        <v>0</v>
      </c>
      <c r="FT193" s="22">
        <f t="shared" si="349"/>
        <v>16.707284773714335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projet'!$A$253:$I$273,2,0)</f>
        <v>#N/A</v>
      </c>
      <c r="FX193" s="12" t="e">
        <f>VLOOKUP(A193,'Données projet'!$A$253:$I$273,9,0)</f>
        <v>#N/A</v>
      </c>
      <c r="FY193" s="12">
        <f t="array" ref="FY193">INDEX(FX:FX,MIN(IF(ISNUMBER(FX193:FX389),ROW(FX193:FX389),"")))</f>
        <v>0</v>
      </c>
      <c r="FZ193" s="12">
        <f>IF('Données projet'!$A$254&gt;35,FZ192+FY193-GH192,IF(A193&lt;'Données projet'!$A$254,$FW$205^A193,IF(A193='Données projet'!$A$254,'Données projet'!$B$254,FZ192+FY193-GH192)))</f>
        <v>-1.7053025658242404E-13</v>
      </c>
      <c r="GA193" s="17">
        <f>FZ193*VLOOKUP('Données projet'!$B$17,Paramètres!$A$1:$I$89,3,0)*VLOOKUP('Données projet'!$B$17,Paramètres!$A$1:$I$89,5,0)</f>
        <v>-1.4897523215040567E-13</v>
      </c>
      <c r="GB193" s="13" t="e">
        <f t="shared" si="350"/>
        <v>#NUM!</v>
      </c>
      <c r="GC193" s="20" t="e">
        <f t="shared" si="351"/>
        <v>#NUM!</v>
      </c>
      <c r="GD193" s="59" t="e">
        <f t="shared" si="249"/>
        <v>#NUM!</v>
      </c>
      <c r="GE193" s="59">
        <f ca="1">AVERAGE(OFFSET($GD$3,0,0,'Données projet'!$E$17+1,1))-AVERAGE(OFFSET($H$3,0,0,'Données projet'!$E$17+1,1))</f>
        <v>245.1983232777614</v>
      </c>
      <c r="GF193" s="59">
        <f t="shared" si="303"/>
        <v>242.34010522344573</v>
      </c>
      <c r="GG193" s="15">
        <f>IF(ISNA(VLOOKUP(A193,'Données projet'!$A$253:$I$273,3,0)),0,VLOOKUP(A193,'Données projet'!$A$253:$I$273,3,0))</f>
        <v>0</v>
      </c>
      <c r="GH193" s="15">
        <f>IF(ISNA(VLOOKUP(A193,'Données projet'!$A$253:$I$273,4,0)),0,VLOOKUP(A193,'Données projet'!$A$253:$I$273,4,0))</f>
        <v>0</v>
      </c>
      <c r="GI193" s="16">
        <f>IF(ISNA(VLOOKUP(A193,'Données projet'!$A$253:$I$273,5,0)),0%,VLOOKUP(A193,'Données projet'!$A$253:$I$273,5,0)*VLOOKUP('Données projet'!$B$17,Paramètres!$A$1:$I$89,7,0))</f>
        <v>0</v>
      </c>
      <c r="GJ193" s="16">
        <f>IF(ISNA(VLOOKUP(A193,'Données projet'!$A$253:$I$273,6,0)),0%,VLOOKUP(A193,'Données projet'!$A$253:$I$273,6,0)*VLOOKUP('Données projet'!$B$17,Paramètres!$A$1:$I$89,7,0))</f>
        <v>0</v>
      </c>
      <c r="GK193" s="16">
        <f>IF(ISNA(VLOOKUP(A193,'Données projet'!$A$253:$I$273,7,0)),0%,VLOOKUP(A193,'Données projet'!$A$253:$I$273,7,0))</f>
        <v>0</v>
      </c>
      <c r="GL193" s="21">
        <f>EXP(-LN(2)/35)*GL192+(1-EXP(-LN(2)/35))/(LN(2)/35)*GH193*GI193*VLOOKUP('Données projet'!$B$17,Paramètres!$A$1:$I$89,3,0)*0.475*44/12</f>
        <v>13.950454301703733</v>
      </c>
      <c r="GM193" s="21">
        <f>EXP(-LN(2)/25)*GM192+(1-EXP(-LN(2)/25))/(LN(2)/25)*Calculateur!GH193*Calculateur!GJ193*VLOOKUP('Données projet'!$B$17,Paramètres!$A$1:$I$89,3,0)*0.475*44/12</f>
        <v>1.031497630444784</v>
      </c>
      <c r="GN193" s="21">
        <f>EXP(-LN(2)/2)*GN192+(1-EXP(-LN(2)/2))/(LN(2)/2)*GH193*GK193*VLOOKUP('Données projet'!$B$17,Paramètres!$A$1:$I$89,3,0)*0.475*44/12</f>
        <v>0</v>
      </c>
      <c r="GO193" s="21">
        <f t="shared" si="352"/>
        <v>14.981951932148517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projet'!$A$279:$I$299,2,0)</f>
        <v>#N/A</v>
      </c>
      <c r="GS193" s="12" t="e">
        <f>VLOOKUP(A193,'Données projet'!$A$279:$I$299,9,0)</f>
        <v>#N/A</v>
      </c>
      <c r="GT193" s="12">
        <f t="array" ref="GT193">INDEX(GS:GS,MIN(IF(ISNUMBER(GS193:GS389),ROW(GS193:GS389),"")))</f>
        <v>0</v>
      </c>
      <c r="GU193" s="12">
        <f>IF('Données projet'!$A$280&gt;35,GU192+GT193-HC192,IF(A193&lt;'Données projet'!$A$280,$GR$205^A193,IF(A193='Données projet'!$A$280,'Données projet'!$B$280,GU192+GT193-HC192)))</f>
        <v>-1.1368683772161603E-13</v>
      </c>
      <c r="GV193" s="17">
        <f>GU193*VLOOKUP('Données projet'!$B$18,Paramètres!$A$1:$I$89,3,0)*VLOOKUP('Données projet'!$B$18,Paramètres!$A$1:$I$89,5,0)</f>
        <v>-4.5815795601811263E-14</v>
      </c>
      <c r="GW193" s="13" t="e">
        <f t="shared" si="353"/>
        <v>#NUM!</v>
      </c>
      <c r="GX193" s="20" t="e">
        <f t="shared" si="354"/>
        <v>#NUM!</v>
      </c>
      <c r="GY193" s="59" t="e">
        <f t="shared" si="252"/>
        <v>#NUM!</v>
      </c>
      <c r="GZ193" s="59">
        <f ca="1">AVERAGE(OFFSET($GY$3,0,0,'Données projet'!$E$18+1,1))-AVERAGE(OFFSET($H$3,0,0,'Données projet'!$E$18+1,1))</f>
        <v>324.36162935850876</v>
      </c>
      <c r="HA193" s="59">
        <f t="shared" si="305"/>
        <v>265.23571072429735</v>
      </c>
      <c r="HB193" s="15">
        <f>IF(ISNA(VLOOKUP(A193,'Données projet'!$A$279:$I$299,3,0)),0,VLOOKUP(A193,'Données projet'!$A$279:$I$299,3,0))</f>
        <v>0</v>
      </c>
      <c r="HC193" s="15">
        <f>IF(ISNA(VLOOKUP(A193,'Données projet'!$A$279:$I$299,4,0)),0,VLOOKUP(A193,'Données projet'!$A$279:$I$299,4,0))</f>
        <v>0</v>
      </c>
      <c r="HD193" s="16">
        <f>IF(ISNA(VLOOKUP(A193,'Données projet'!$A$279:$I$299,5,0)),0%,VLOOKUP(A193,'Données projet'!$A$279:$I$299,5,0)*VLOOKUP('Données projet'!$B$18,Paramètres!$A$1:$I$89,7,0))</f>
        <v>0</v>
      </c>
      <c r="HE193" s="16">
        <f>IF(ISNA(VLOOKUP(A193,'Données projet'!$A$279:$I$299,6,0)),0%,VLOOKUP(A193,'Données projet'!$A$279:$I$299,6,0)*VLOOKUP('Données projet'!$B$18,Paramètres!$A$1:$I$89,7,0))</f>
        <v>0</v>
      </c>
      <c r="HF193" s="16">
        <f>IF(ISNA(VLOOKUP($A193,'Données projet'!$A$279:$I$299,7,0)),0%,VLOOKUP($A193,'Données projet'!$A$279:$I$299,7,0))</f>
        <v>0</v>
      </c>
      <c r="HG193" s="21">
        <f>EXP(-LN(2)/35)*HG192+(1-EXP(-LN(2)/35))/(LN(2)/35)*HC193*HD193*VLOOKUP('Données projet'!$B$18,Paramètres!$A$1:$I$89,3,0)*0.475*44/12</f>
        <v>26.732717353229074</v>
      </c>
      <c r="HH193" s="21">
        <f>EXP(-LN(2)/25)*HH192+(1-EXP(-LN(2)/25))/(LN(2)/25)*Calculateur!HC193*Calculateur!HE193*VLOOKUP('Données projet'!$B$18,Paramètres!$A$1:$I$89,3,0)*0.475*44/12</f>
        <v>1.1472098649660438</v>
      </c>
      <c r="HI193" s="21">
        <f>EXP(-LN(2)/2)*HI192+(1-EXP(-LN(2)/2))/(LN(2)/2)*HC193*HF193*VLOOKUP('Données projet'!$B$18,Paramètres!$A$1:$I$89,3,0)*0.475*44/12</f>
        <v>2.3723272539133221E-16</v>
      </c>
      <c r="HJ193" s="22">
        <f t="shared" si="355"/>
        <v>27.879927218195117</v>
      </c>
      <c r="HK193" s="74">
        <f>('Scénario référence'!$F$8+'Scénario référence'!$F$9+'Scénario référence'!$B$17+'Scénario référence'!$B$9+'Scénario référence'!$B$10)*70+IF((45+25*(1-EXP(-0.0175*$A193)))&lt;70,'Scénario référence'!$B$16*(45+25*(1-EXP(-0.0175*$A193))),70*'Scénario référence'!$B$16)+IF((32+38*(1-EXP(-0.0175*$A193)))&lt;70,'Scénario référence'!$B$18*(32+38*(1-EXP(-0.0175*$A193))),70*'Scénario référence'!$B$18)</f>
        <v>70</v>
      </c>
      <c r="HL193" s="12">
        <f>IF($A193&gt;30,10,('Scénario référence'!$B$16+'Scénario référence'!$B$17+'Scénario référence'!$B$18+'Scénario référence'!$B$9+'Scénario référence'!$B$10)*$A193*10/30+('Scénario référence'!$F$8+'Scénario référence'!$F$9)*10)</f>
        <v>10</v>
      </c>
      <c r="HM193" s="12" t="e">
        <f>VLOOKUP($A193,'Données projet'!$A$304:$I$324,2,0)</f>
        <v>#N/A</v>
      </c>
      <c r="HN193" s="12" t="e">
        <f>VLOOKUP($A193,'Données projet'!$A$304:$I$324,9,0)</f>
        <v>#N/A</v>
      </c>
      <c r="HO193" s="12">
        <f t="array" ref="HO193">INDEX(HN:HN,MIN(IF(ISNUMBER(HN193:HN389),ROW(HN193:HN389),"")))</f>
        <v>0</v>
      </c>
      <c r="HP193" s="12">
        <f>IF('Données projet'!$A$304&gt;35,HP192+HO193-HX192,IF($A193&lt;'Données projet'!$A$304,$CQ$205^$A193,IF($A193='Données projet'!$A$304,'Données projet'!$B$304,HP192+HO193-HX192)))</f>
        <v>0</v>
      </c>
      <c r="HQ193" s="17">
        <f>HP193*VLOOKUP('Données projet'!$B$19,Paramètres!$A$1:$I$89,3,0)*VLOOKUP('Données projet'!$B$19,Paramètres!$A$1:$I$89,5,0)</f>
        <v>0</v>
      </c>
      <c r="HR193" s="13" t="e">
        <f t="shared" si="306"/>
        <v>#NUM!</v>
      </c>
      <c r="HS193" s="14" t="e">
        <f t="shared" si="254"/>
        <v>#NUM!</v>
      </c>
      <c r="HT193" s="59" t="e">
        <f t="shared" si="255"/>
        <v>#NUM!</v>
      </c>
      <c r="HU193" s="59">
        <f ca="1">AVERAGE(OFFSET(HT$3,0,0,'Données projet'!$E$19+1,1))-AVERAGE(OFFSET($H$3,0,0,'Données projet'!$E$19+1,1))</f>
        <v>91.60721429656013</v>
      </c>
      <c r="HV193" s="59">
        <f t="shared" si="307"/>
        <v>258.94957804210856</v>
      </c>
      <c r="HW193" s="15">
        <f>IF(ISNA(VLOOKUP($A193,'Données projet'!$A$304:$I$324,3,0)),0,VLOOKUP($A193,'Données projet'!$A$304:$I$324,3,0))</f>
        <v>0</v>
      </c>
      <c r="HX193" s="15">
        <f>IF(ISNA(VLOOKUP($A193,'Données projet'!$A$304:$I$324,4,0)),0,VLOOKUP($A193,'Données projet'!$A$304:$I$324,4,0))</f>
        <v>0</v>
      </c>
      <c r="HY193" s="16">
        <f>IF(ISNA(VLOOKUP($A193,'Données projet'!$A$304:$I$324,5,0)),0%,VLOOKUP($A193,'Données projet'!$A$304:$I$324,5,0)*VLOOKUP('Données projet'!$B$19,Paramètres!$A$1:$I$89,7,0))</f>
        <v>0</v>
      </c>
      <c r="HZ193" s="16">
        <f>IF(ISNA(VLOOKUP($A193,'Données projet'!$A$304:$I$324,6,0)),0%,VLOOKUP($A193,'Données projet'!$A$304:$I$324,6,0)*VLOOKUP('Données projet'!$B$19,Paramètres!$A$1:$I$89,7,0))</f>
        <v>0</v>
      </c>
      <c r="IA193" s="16">
        <f>IF(ISNA(VLOOKUP($A193,'Données projet'!$A$304:$I$324,7,0)),0%,VLOOKUP($A193,'Données projet'!$A$304:$I$324,7,0))</f>
        <v>0</v>
      </c>
      <c r="IB193" s="21">
        <f>EXP(-LN(2)/35)*IB192+(1-EXP(-LN(2)/35))/(LN(2)/35)*HX193*HY193*VLOOKUP('Données projet'!$B$19,Paramètres!$A$1:$I$89,3,0)*0.475*44/12</f>
        <v>2.0749030242777944</v>
      </c>
      <c r="IC193" s="21">
        <f>EXP(-LN(2)/25)*IC192+(1-EXP(-LN(2)/25))/(LN(2)/25)*Calculateur!HX193*Calculateur!HZ193*VLOOKUP('Données projet'!$B$19,Paramètres!$A$1:$I$89,3,0)*0.475*44/12</f>
        <v>0.11519122248054993</v>
      </c>
      <c r="ID193" s="21">
        <f>EXP(-LN(2)/2)*ID192+(1-EXP(-LN(2)/2))/(LN(2)/2)*HX193*IA193*VLOOKUP('Données projet'!$B$19,Paramètres!$A$1:$I$89,3,0)*0.475*44/12</f>
        <v>4.7385232613080132E-25</v>
      </c>
      <c r="IE193" s="22">
        <f t="shared" si="256"/>
        <v>2.1900942467583442</v>
      </c>
      <c r="IF193" s="74">
        <f>('Scénario référence'!$F$8+'Scénario référence'!$F$9+'Scénario référence'!$B$17+'Scénario référence'!$B$9+'Scénario référence'!$B$10)*70+IF((45+25*(1-EXP(-0.0175*$A193)))&lt;70,'Scénario référence'!$B$16*(45+25*(1-EXP(-0.0175*$A193))),70*'Scénario référence'!$B$16)+IF((32+38*(1-EXP(-0.0175*$A193)))&lt;70,'Scénario référence'!$B$18*(32+38*(1-EXP(-0.0175*$A193))),70*'Scénario référence'!$B$18)</f>
        <v>70</v>
      </c>
      <c r="IG193" s="12">
        <f>IF($A193&gt;30,10,('Scénario référence'!$B$16+'Scénario référence'!$B$17+'Scénario référence'!$B$18+'Scénario référence'!$B$9+'Scénario référence'!$B$10)*$A193*10/30+('Scénario référence'!$F$8+'Scénario référence'!$F$9)*10)</f>
        <v>10</v>
      </c>
      <c r="IH193" s="12" t="e">
        <f>VLOOKUP($A193,'Données projet'!$A$330:$I$350,2,0)</f>
        <v>#N/A</v>
      </c>
      <c r="II193" s="12" t="e">
        <f>VLOOKUP($A193,'Données projet'!$A$330:$I$350,9,0)</f>
        <v>#N/A</v>
      </c>
      <c r="IJ193" s="12">
        <f t="array" ref="IJ193">INDEX(II:II,MIN(IF(ISNUMBER(II193:II389),ROW(II193:II389),"")))</f>
        <v>0</v>
      </c>
      <c r="IK193" s="12">
        <f>IF('Données projet'!$A$330&gt;35,IK192+IJ193-IS192,IF($A193&lt;'Données projet'!$A$330,$CQ$205^$A193,IF($A193='Données projet'!$A$330,'Données projet'!$B$330,IK192+IJ193-IS192)))</f>
        <v>0</v>
      </c>
      <c r="IL193" s="17">
        <f>IK193*VLOOKUP('Données projet'!$B$20,Paramètres!$A$1:$I$89,3,0)*VLOOKUP('Données projet'!$B$20,Paramètres!$A$1:$I$89,5,0)</f>
        <v>0</v>
      </c>
      <c r="IM193" s="13" t="e">
        <f t="shared" si="308"/>
        <v>#NUM!</v>
      </c>
      <c r="IN193" s="20" t="e">
        <f t="shared" si="257"/>
        <v>#NUM!</v>
      </c>
      <c r="IO193" s="59" t="e">
        <f t="shared" si="258"/>
        <v>#NUM!</v>
      </c>
      <c r="IP193" s="59">
        <f ca="1">AVERAGE(OFFSET(IO$3,0,0,'Données projet'!$E$20+1,1))-AVERAGE(OFFSET($H$3,0,0,'Données projet'!$E$20+1,1))</f>
        <v>91.60721429656013</v>
      </c>
      <c r="IQ193" s="59">
        <f t="shared" si="309"/>
        <v>258.94957804210856</v>
      </c>
      <c r="IR193" s="15">
        <f>IF(ISNA(VLOOKUP($A193,'Données projet'!$A$330:$I$350,3,0)),0,VLOOKUP($A193,'Données projet'!$A$330:$I$350,3,0))</f>
        <v>0</v>
      </c>
      <c r="IS193" s="15">
        <f>IF(ISNA(VLOOKUP($A193,'Données projet'!$A$330:$I$350,4,0)),0,VLOOKUP($A193,'Données projet'!$A$330:$I$350,4,0))</f>
        <v>0</v>
      </c>
      <c r="IT193" s="16">
        <f>IF(ISNA(VLOOKUP($A193,'Données projet'!$A$330:$I$350,5,0)),0%,VLOOKUP($A193,'Données projet'!$A$330:$I$350,5,0)*VLOOKUP('Données projet'!$B$20,Paramètres!$A$1:$I$89,7,0))</f>
        <v>0</v>
      </c>
      <c r="IU193" s="16">
        <f>IF(ISNA(VLOOKUP($A193,'Données projet'!$A$330:$I$350,6,0)),0%,VLOOKUP($A193,'Données projet'!$A$330:$I$350,6,0)*VLOOKUP('Données projet'!$B$20,Paramètres!$A$1:$I$89,7,0))</f>
        <v>0</v>
      </c>
      <c r="IV193" s="16">
        <f>IF(ISNA(VLOOKUP($A193,'Données projet'!$A$330:$I$350,7,0)),0%,VLOOKUP($A193,'Données projet'!$A$330:$I$350,7,0))</f>
        <v>0</v>
      </c>
      <c r="IW193" s="21">
        <f>EXP(-LN(2)/35)*IW192+(1-EXP(-LN(2)/35))/(LN(2)/35)*IS193*IT193*VLOOKUP('Données projet'!$B$20,Paramètres!$A$1:$I$89,3,0)*0.475*44/12</f>
        <v>2.0749030242777944</v>
      </c>
      <c r="IX193" s="21">
        <f>EXP(-LN(2)/25)*IX192+(1-EXP(-LN(2)/25))/(LN(2)/25)*Calculateur!IS193*Calculateur!IU193*VLOOKUP('Données projet'!$B$20,Paramètres!$A$1:$I$89,3,0)*0.475*44/12</f>
        <v>0.11519122248054993</v>
      </c>
      <c r="IY193" s="21">
        <f>EXP(-LN(2)/2)*IY192+(1-EXP(-LN(2)/2))/(LN(2)/2)*IS193*IV193*VLOOKUP('Données projet'!$B$20,Paramètres!$A$1:$I$89,3,0)*0.475*44/12</f>
        <v>4.7385232613080132E-25</v>
      </c>
      <c r="IZ193" s="22">
        <f t="shared" si="259"/>
        <v>2.1900942467583442</v>
      </c>
      <c r="JA193" s="74">
        <f>('Scénario référence'!$F$8+'Scénario référence'!$F$9+'Scénario référence'!$B$17+'Scénario référence'!$B$9+'Scénario référence'!$B$10)*70+IF((45+25*(1-EXP(-0.0175*$A193)))&lt;70,'Scénario référence'!$B$16*(45+25*(1-EXP(-0.0175*$A193))),70*'Scénario référence'!$B$16)+IF((32+38*(1-EXP(-0.0175*$A193)))&lt;70,'Scénario référence'!$B$18*(32+38*(1-EXP(-0.0175*$A193))),70*'Scénario référence'!$B$18)</f>
        <v>70</v>
      </c>
      <c r="JB193" s="12">
        <f>IF($A193&gt;30,10,('Scénario référence'!$B$16+'Scénario référence'!$B$17+'Scénario référence'!$B$18+'Scénario référence'!$B$9+'Scénario référence'!$B$10)*$A193*10/30+('Scénario référence'!$F$8+'Scénario référence'!$F$9)*10)</f>
        <v>10</v>
      </c>
      <c r="JC193" s="12" t="e">
        <f>VLOOKUP($A193,'Données projet'!$A$356:$I$376,2,0)</f>
        <v>#N/A</v>
      </c>
      <c r="JD193" s="12" t="e">
        <f>VLOOKUP($A193,'Données projet'!$A$356:$I$376,9,0)</f>
        <v>#N/A</v>
      </c>
      <c r="JE193" s="12">
        <f t="array" ref="JE193">INDEX(JD:JD,MIN(IF(ISNUMBER(JD193:JD389),ROW(JD193:JD389),"")))</f>
        <v>0</v>
      </c>
      <c r="JF193" s="12">
        <f>IF('Données projet'!$A$356&gt;35,JF192+JE193-JN192,IF($A193&lt;'Données projet'!$A$356,$CQ$205^$A193,IF($A193='Données projet'!$A$356,'Données projet'!$B$356,JF192+JE193-JN192)))</f>
        <v>-1.3073986337985843E-12</v>
      </c>
      <c r="JG193" s="17">
        <f>JF193*VLOOKUP('Données projet'!$B$21,Paramètres!$A$1:$I$89,3,0)*VLOOKUP('Données projet'!$B$21,Paramètres!$A$1:$I$89,5,0)</f>
        <v>-1.0605617717374117E-12</v>
      </c>
      <c r="JH193" s="13" t="e">
        <f t="shared" si="310"/>
        <v>#NUM!</v>
      </c>
      <c r="JI193" s="20" t="e">
        <f t="shared" si="260"/>
        <v>#NUM!</v>
      </c>
      <c r="JJ193" s="59" t="e">
        <f t="shared" si="261"/>
        <v>#NUM!</v>
      </c>
      <c r="JK193" s="59">
        <f ca="1">AVERAGE(OFFSET($JJ$3,0,0,'Données projet'!$E$22+1,1))-AVERAGE(OFFSET($H$3,0,0,'Données projet'!$E$22+1,1))</f>
        <v>353.35574633294613</v>
      </c>
      <c r="JL193" s="59">
        <f t="shared" si="311"/>
        <v>170.36796666474726</v>
      </c>
      <c r="JM193" s="15">
        <f>IF(ISNA(VLOOKUP($A193,'Données projet'!$A$356:$I$376,3,0)),0,VLOOKUP($A193,'Données projet'!$A$356:$I$376,3,0))</f>
        <v>0</v>
      </c>
      <c r="JN193" s="15">
        <f>IF(ISNA(VLOOKUP($A193,'Données projet'!$A$356:$I$376,4,0)),0,VLOOKUP($A193,'Données projet'!$A$356:$I$376,4,0))</f>
        <v>0</v>
      </c>
      <c r="JO193" s="16">
        <f>IF(ISNA(VLOOKUP($A193,'Données projet'!$A$356:$I$376,5,0)),0%,VLOOKUP($A193,'Données projet'!$A$356:$I$376,5,0)*VLOOKUP('Données projet'!$B$21,Paramètres!$A$1:$I$89,7,0))</f>
        <v>0</v>
      </c>
      <c r="JP193" s="16">
        <f>IF(ISNA(VLOOKUP($A193,'Données projet'!$A$356:$I$376,6,0)),0%,VLOOKUP($A193,'Données projet'!$A$356:$I$376,6,0)*VLOOKUP('Données projet'!$B$21,Paramètres!$A$1:$I$89,7,0))</f>
        <v>0</v>
      </c>
      <c r="JQ193" s="16">
        <f>IF(ISNA(VLOOKUP($A193,'Données projet'!$A$356:$I$376,7,0)),0%,VLOOKUP($A193,'Données projet'!$A$356:$I$376,7,0))</f>
        <v>0</v>
      </c>
      <c r="JR193" s="21">
        <f>EXP(-LN(2)/35)*JR192+(1-EXP(-LN(2)/35))/(LN(2)/35)*JN193*JO193*VLOOKUP('Données projet'!$B$21,Paramètres!$A$1:$I$89,3,0)*0.475*44/12</f>
        <v>33.263789419162883</v>
      </c>
      <c r="JS193" s="21">
        <f>EXP(-LN(2)/25)*JS192+(1-EXP(-LN(2)/25))/(LN(2)/25)*Calculateur!JN193*Calculateur!JP193*VLOOKUP('Données projet'!$B$21,Paramètres!$A$1:$I$89,3,0)*0.475*44/12</f>
        <v>25.211482443139893</v>
      </c>
      <c r="JT193" s="21">
        <f>EXP(-LN(2)/2)*JT192+(1-EXP(-LN(2)/2))/(LN(2)/2)*JN193*JQ193*VLOOKUP('Données projet'!$B$21,Paramètres!$A$1:$I$89,3,0)*0.475*44/12</f>
        <v>3.2702376281320724E-5</v>
      </c>
      <c r="JU193" s="18">
        <f t="shared" si="262"/>
        <v>58.475304564679057</v>
      </c>
      <c r="JV193" s="74">
        <f>('Scénario référence'!$F$8+'Scénario référence'!$F$9+'Scénario référence'!$B$17+'Scénario référence'!$B$9+'Scénario référence'!$B$10)*70+IF((45+25*(1-EXP(-0.0175*$A193)))&lt;70,'Scénario référence'!$B$16*(45+25*(1-EXP(-0.0175*$A193))),70*'Scénario référence'!$B$16)+IF((32+38*(1-EXP(-0.0175*$A193)))&lt;70,'Scénario référence'!$B$18*(32+38*(1-EXP(-0.0175*$A193))),70*'Scénario référence'!$B$18)</f>
        <v>70</v>
      </c>
      <c r="JW193" s="12">
        <f>IF($A193&gt;30,10,('Scénario référence'!$B$16+'Scénario référence'!$B$17+'Scénario référence'!$B$18+'Scénario référence'!$B$9+'Scénario référence'!$B$10)*$A193*10/30+('Scénario référence'!$F$8+'Scénario référence'!$F$9)*10)</f>
        <v>10</v>
      </c>
      <c r="JX193" s="12" t="e">
        <f>VLOOKUP($A193,'Données projet'!$A$382:$I$402,2,0)</f>
        <v>#N/A</v>
      </c>
      <c r="JY193" s="12" t="e">
        <f>VLOOKUP($A193,'Données projet'!$A$382:$I$402,9,0)</f>
        <v>#N/A</v>
      </c>
      <c r="JZ193" s="12">
        <f t="array" ref="JZ193">INDEX(JY:JY,MIN(IF(ISNUMBER(JY193:JY389),ROW(JY193:JY389),"")))</f>
        <v>0</v>
      </c>
      <c r="KA193" s="12">
        <f>IF('Données projet'!$A$382&gt;35,KA192+JZ193-KI192,IF($A193&lt;'Données projet'!$A$382,$CQ$205^$A193,IF($A193='Données projet'!$A$382,'Données projet'!$B$382,KA192+JZ193-KI192)))</f>
        <v>5.6843418860808015E-13</v>
      </c>
      <c r="KB193" s="17">
        <f>KA193*VLOOKUP('Données projet'!$B$22,Paramètres!$A$1:$I$89,3,0)*VLOOKUP('Données projet'!$B$22,Paramètres!$A$1:$I$89,5,0)</f>
        <v>3.8130565371830017E-13</v>
      </c>
      <c r="KC193" s="13">
        <f t="shared" si="312"/>
        <v>4.9019074112354236E-12</v>
      </c>
      <c r="KD193" s="20">
        <f t="shared" si="263"/>
        <v>9.2015960881277352E-12</v>
      </c>
      <c r="KE193" s="59">
        <f t="shared" si="264"/>
        <v>293.33333333334252</v>
      </c>
      <c r="KF193" s="59">
        <f ca="1">AVERAGE(OFFSET($KE$3,0,0,'Données projet'!$E$22+1,1))-AVERAGE(OFFSET($H$3,0,0,'Données projet'!$E$22+1,1))</f>
        <v>193.91714772848269</v>
      </c>
      <c r="KG193" s="59">
        <f t="shared" si="313"/>
        <v>159.20429420478047</v>
      </c>
      <c r="KH193" s="15">
        <f>IF(ISNA(VLOOKUP($A193,'Données projet'!$A$382:$I$402,3,0)),0,VLOOKUP($A193,'Données projet'!$A$382:$I$402,3,0))</f>
        <v>0</v>
      </c>
      <c r="KI193" s="15">
        <f>IF(ISNA(VLOOKUP($A193,'Données projet'!$A$382:$I$402,4,0)),0,VLOOKUP($A193,'Données projet'!$A$382:$I$402,4,0))</f>
        <v>0</v>
      </c>
      <c r="KJ193" s="16">
        <f>IF(ISNA(VLOOKUP($A193,'Données projet'!$A$382:$I$402,5,0)),0%,VLOOKUP($A193,'Données projet'!$A$382:$I$402,5,0)*VLOOKUP('Données projet'!$B$22,Paramètres!$A$1:$I$89,7,0))</f>
        <v>0</v>
      </c>
      <c r="KK193" s="16">
        <f>IF(ISNA(VLOOKUP($A193,'Données projet'!$A$382:$I$402,6,0)),0%,VLOOKUP($A193,'Données projet'!$A$382:$I$402,6,0)*VLOOKUP('Données projet'!$B$22,Paramètres!$A$1:$I$89,7,0))</f>
        <v>0</v>
      </c>
      <c r="KL193" s="16">
        <f>IF(ISNA(VLOOKUP($A193,'Données projet'!$A$382:$I$402,7,0)),0%,VLOOKUP($A193,'Données projet'!$A$382:$I$402,7,0))</f>
        <v>0</v>
      </c>
      <c r="KM193" s="21">
        <f>EXP(-LN(2)/35)*KM192+(1-EXP(-LN(2)/35))/(LN(2)/35)*KI193*KJ193*VLOOKUP('Données projet'!$B$22,Paramètres!$A$1:$I$89,3,0)*0.475*44/12</f>
        <v>48.568803849399252</v>
      </c>
      <c r="KN193" s="21">
        <f>EXP(-LN(2)/25)*KN192+(1-EXP(-LN(2)/25))/(LN(2)/25)*Calculateur!KI193*Calculateur!KK193*VLOOKUP('Données projet'!$B$22,Paramètres!$A$1:$I$89,3,0)*0.475*44/12</f>
        <v>0</v>
      </c>
      <c r="KO193" s="21">
        <f>EXP(-LN(2)/2)*KO192+(1-EXP(-LN(2)/2))/(LN(2)/2)*KI193*KL193*VLOOKUP('Données projet'!$B$22,Paramètres!$A$1:$I$89,3,0)*0.475*44/12</f>
        <v>0</v>
      </c>
      <c r="KP193" s="22">
        <f t="shared" si="265"/>
        <v>48.568803849399252</v>
      </c>
      <c r="KQ193" s="74">
        <f>('Scénario référence'!$F$8+'Scénario référence'!$F$9+'Scénario référence'!$B$17+'Scénario référence'!$B$9+'Scénario référence'!$B$10)*70+IF((45+25*(1-EXP(-0.0175*$A193)))&lt;70,'Scénario référence'!$B$16*(45+25*(1-EXP(-0.0175*$A193))),70*'Scénario référence'!$B$16)+IF((32+38*(1-EXP(-0.0175*$A193)))&lt;70,'Scénario référence'!$B$18*(32+38*(1-EXP(-0.0175*$A193))),70*'Scénario référence'!$B$18)</f>
        <v>70</v>
      </c>
      <c r="KR193" s="12">
        <f>IF($A193&gt;30,10,('Scénario référence'!$B$16+'Scénario référence'!$B$17+'Scénario référence'!$B$18+'Scénario référence'!$B$9+'Scénario référence'!$B$10)*$A193*10/30+('Scénario référence'!$F$8+'Scénario référence'!$F$9)*10)</f>
        <v>10</v>
      </c>
      <c r="KS193" s="12" t="e">
        <f>VLOOKUP($A193,'Données projet'!$A$408:$I$428,2,0)</f>
        <v>#N/A</v>
      </c>
      <c r="KT193" s="12" t="e">
        <f>VLOOKUP($A193,'Données projet'!$A$408:$I$428,9,0)</f>
        <v>#N/A</v>
      </c>
      <c r="KU193" s="12">
        <f t="array" ref="KU193">INDEX(KT:KT,MIN(IF(ISNUMBER(KT193:KT389),ROW(KT193:KT389),"")))</f>
        <v>0</v>
      </c>
      <c r="KV193" s="12">
        <f>IF('Données projet'!$A$408&gt;35,KV192+KU193-LD192,IF($A193&lt;'Données projet'!$A$408,$CQ$205^$A193,IF($A193='Données projet'!$A$408,'Données projet'!$B$408,KV192+KU193-LD192)))</f>
        <v>-1.1368683772161603E-13</v>
      </c>
      <c r="KW193" s="17">
        <f>KV193*VLOOKUP('Données projet'!$B$23,Paramètres!$A$1:$I$89,3,0)*VLOOKUP('Données projet'!$B$23,Paramètres!$A$1:$I$89,5,0)</f>
        <v>-9.9316821433603781E-14</v>
      </c>
      <c r="KX193" s="13" t="e">
        <f t="shared" si="314"/>
        <v>#NUM!</v>
      </c>
      <c r="KY193" s="14" t="e">
        <f t="shared" si="266"/>
        <v>#NUM!</v>
      </c>
      <c r="KZ193" s="59" t="e">
        <f t="shared" si="267"/>
        <v>#NUM!</v>
      </c>
      <c r="LA193" s="59">
        <f ca="1">AVERAGE(OFFSET($KZ$3,0,0,'Données projet'!$E$23+1,1))-AVERAGE(OFFSET($H$3,0,0,'Données projet'!$E$23+1,1))</f>
        <v>248.33596943633819</v>
      </c>
      <c r="LB193" s="59">
        <f t="shared" si="315"/>
        <v>242.34010522344573</v>
      </c>
      <c r="LC193" s="15">
        <f>IF(ISNA(VLOOKUP($A193,'Données projet'!$A$408:$I$428,3,0)),0,VLOOKUP($A193,'Données projet'!$A$408:$I$428,3,0))</f>
        <v>0</v>
      </c>
      <c r="LD193" s="15">
        <f>IF(ISNA(VLOOKUP($A193,'Données projet'!$A$408:$I$428,4,0)),0,VLOOKUP($A193,'Données projet'!$A$408:$I$428,4,0))</f>
        <v>0</v>
      </c>
      <c r="LE193" s="16">
        <f>IF(ISNA(VLOOKUP($A193,'Données projet'!$A$408:$I$428,5,0)),0%,VLOOKUP($A193,'Données projet'!$A$408:$I$428,5,0)*VLOOKUP('Données projet'!$B$23,Paramètres!$A$1:$I$89,7,0))</f>
        <v>0</v>
      </c>
      <c r="LF193" s="16">
        <f>IF(ISNA(VLOOKUP($A193,'Données projet'!$A$408:$I$428,6,0)),0%,VLOOKUP($A193,'Données projet'!$A$408:$I$428,6,0)*VLOOKUP('Données projet'!$B$23,Paramètres!$A$1:$I$89,7,0))</f>
        <v>0</v>
      </c>
      <c r="LG193" s="16">
        <f>IF(ISNA(VLOOKUP($A193,'Données projet'!$A$408:$I$428,7,0)),0%,VLOOKUP($A193,'Données projet'!$A$408:$I$428,7,0))</f>
        <v>0</v>
      </c>
      <c r="LH193" s="21">
        <f>EXP(-LN(2)/35)*LH192+(1-EXP(-LN(2)/35))/(LN(2)/35)*LD193*LE193*VLOOKUP('Données projet'!$B$23,Paramètres!$A$1:$I$89,3,0)*0.475*44/12</f>
        <v>13.950454301703733</v>
      </c>
      <c r="LI193" s="21">
        <f>EXP(-LN(2)/25)*LI192+(1-EXP(-LN(2)/25))/(LN(2)/25)*Calculateur!LD193*Calculateur!LF193*VLOOKUP('Données projet'!$B$23,Paramètres!$A$1:$I$89,3,0)*0.475*44/12</f>
        <v>1.031497630444784</v>
      </c>
      <c r="LJ193" s="21">
        <f>EXP(-LN(2)/2)*LJ192+(1-EXP(-LN(2)/2))/(LN(2)/2)*LD193*LG193*VLOOKUP('Données projet'!$B$23,Paramètres!$A$1:$I$89,3,0)*0.475*44/12</f>
        <v>0</v>
      </c>
      <c r="LK193" s="22">
        <f t="shared" si="268"/>
        <v>14.981951932148517</v>
      </c>
      <c r="LL193" s="74">
        <f>('Scénario référence'!$F$8+'Scénario référence'!$F$9+'Scénario référence'!$B$17+'Scénario référence'!$B$9+'Scénario référence'!$B$10)*70+IF((45+25*(1-EXP(-0.0175*$A193)))&lt;70,'Scénario référence'!$B$16*(45+25*(1-EXP(-0.0175*$A193))),70*'Scénario référence'!$B$16)+IF((32+38*(1-EXP(-0.0175*$A193)))&lt;70,'Scénario référence'!$B$18*(32+38*(1-EXP(-0.0175*$A193))),70*'Scénario référence'!$B$18)</f>
        <v>70</v>
      </c>
      <c r="LM193" s="12">
        <f>IF($A193&gt;30,10,('Scénario référence'!$B$16+'Scénario référence'!$B$17+'Scénario référence'!$B$18+'Scénario référence'!$B$9+'Scénario référence'!$B$10)*$A193*10/30+('Scénario référence'!$F$8+'Scénario référence'!$F$9)*10)</f>
        <v>10</v>
      </c>
      <c r="LN193" s="12" t="e">
        <f>VLOOKUP($A193,'Données projet'!$A$434:$I$454,2,0)</f>
        <v>#N/A</v>
      </c>
      <c r="LO193" s="12" t="e">
        <f>VLOOKUP($A193,'Données projet'!$A$434:$I$454,9,0)</f>
        <v>#N/A</v>
      </c>
      <c r="LP193" s="12">
        <f t="array" ref="LP193">INDEX(LO:LO,MIN(IF(ISNUMBER(LO193:LO389),ROW(LO193:LO389),"")))</f>
        <v>0</v>
      </c>
      <c r="LQ193" s="12">
        <f>IF('Données projet'!$A$434&gt;35,LQ192+LP193-LY192,IF($A193&lt;'Données projet'!$A$434,$CQ$205^$A193,IF($A193='Données projet'!$A$434,'Données projet'!$B$434,LQ192+LP193-LY192)))</f>
        <v>-4.5474735088646412E-13</v>
      </c>
      <c r="LR193" s="17">
        <f>LQ193*VLOOKUP('Données projet'!$B$24,Paramètres!$A$1:$I$89,3,0)*VLOOKUP('Données projet'!$B$24,Paramètres!$A$1:$I$89,5,0)</f>
        <v>-4.6111381379887462E-13</v>
      </c>
      <c r="LS193" s="13" t="e">
        <f t="shared" si="316"/>
        <v>#NUM!</v>
      </c>
      <c r="LT193" s="14" t="e">
        <f t="shared" si="269"/>
        <v>#NUM!</v>
      </c>
      <c r="LU193" s="59" t="e">
        <f t="shared" si="270"/>
        <v>#NUM!</v>
      </c>
      <c r="LV193" s="59">
        <f ca="1">AVERAGE(OFFSET($LU$3,0,0,'Données projet'!$E$24+1,1))-AVERAGE(OFFSET($H$3,0,0,'Données projet'!$E$24+1,1))</f>
        <v>260.52627655062872</v>
      </c>
      <c r="LW193" s="59">
        <f t="shared" si="317"/>
        <v>159.20429420478047</v>
      </c>
      <c r="LX193" s="15">
        <f>IF(ISNA(VLOOKUP($A193,'Données projet'!$A$434:$I$454,3,0)),0,VLOOKUP($A193,'Données projet'!$A$434:$I$454,3,0))</f>
        <v>0</v>
      </c>
      <c r="LY193" s="15">
        <f>IF(ISNA(VLOOKUP($A193,'Données projet'!$A$434:$I$454,4,0)),0,VLOOKUP($A193,'Données projet'!$A$434:$I$454,4,0))</f>
        <v>0</v>
      </c>
      <c r="LZ193" s="16">
        <f>IF(ISNA(VLOOKUP($A193,'Données projet'!$A$434:$I$454,5,0)),0%,VLOOKUP($A193,'Données projet'!$A$434:$I$454,5,0)*VLOOKUP('Données projet'!$B$24,Paramètres!$A$1:$I$89,7,0))</f>
        <v>0</v>
      </c>
      <c r="MA193" s="16">
        <f>IF(ISNA(VLOOKUP($A193,'Données projet'!$A$434:$I$454,6,0)),0%,VLOOKUP($A193,'Données projet'!$A$434:$I$454,6,0)*VLOOKUP('Données projet'!$B$24,Paramètres!$A$1:$I$89,7,0))</f>
        <v>0</v>
      </c>
      <c r="MB193" s="16">
        <f>IF(ISNA(VLOOKUP($A193,'Données projet'!$A$434:$I$454,7,0)),0%,VLOOKUP($A193,'Données projet'!$A$434:$I$454,7,0))</f>
        <v>0</v>
      </c>
      <c r="MC193" s="21">
        <f>EXP(-LN(2)/35)*MC192+(1-EXP(-LN(2)/35))/(LN(2)/35)*LY193*LZ193*VLOOKUP('Données projet'!$B$24,Paramètres!$A$1:$I$89,3,0)*0.475*44/12</f>
        <v>89.696682774023387</v>
      </c>
      <c r="MD193" s="21">
        <f>EXP(-LN(2)/25)*MD192+(1-EXP(-LN(2)/25))/(LN(2)/25)*Calculateur!LY193*Calculateur!MA193*VLOOKUP('Données projet'!$B$24,Paramètres!$A$1:$I$89,3,0)*0.475*44/12</f>
        <v>0</v>
      </c>
      <c r="ME193" s="21">
        <f>EXP(-LN(2)/2)*ME192+(1-EXP(-LN(2)/2))/(LN(2)/2)*LY193*MB193*VLOOKUP('Données projet'!$B$24,Paramètres!$A$1:$I$89,3,0)*0.475*44/12</f>
        <v>0</v>
      </c>
      <c r="MF193" s="22">
        <f t="shared" si="271"/>
        <v>89.696682774023387</v>
      </c>
      <c r="MG193" s="74">
        <f>('Scénario référence'!$F$8+'Scénario référence'!$F$9+'Scénario référence'!$B$17+'Scénario référence'!$B$9+'Scénario référence'!$B$10)*70+IF((45+25*(1-EXP(-0.0175*$A193)))&lt;70,'Scénario référence'!$B$16*(45+25*(1-EXP(-0.0175*$A193))),70*'Scénario référence'!$B$16)+IF((32+38*(1-EXP(-0.0175*$A193)))&lt;70,'Scénario référence'!$B$18*(32+38*(1-EXP(-0.0175*$A193))),70*'Scénario référence'!$B$18)</f>
        <v>70</v>
      </c>
      <c r="MH193" s="12">
        <f>IF($A193&gt;30,10,('Scénario référence'!$B$16+'Scénario référence'!$B$17+'Scénario référence'!$B$18+'Scénario référence'!$B$9+'Scénario référence'!$B$10)*$A193*10/30+('Scénario référence'!$F$8+'Scénario référence'!$F$9)*10)</f>
        <v>10</v>
      </c>
      <c r="MI193" s="12" t="e">
        <f>VLOOKUP($A193,'Données projet'!$A$460:$I$480,2,0)</f>
        <v>#N/A</v>
      </c>
      <c r="MJ193" s="12" t="e">
        <f>VLOOKUP($A193,'Données projet'!$A$460:$I$480,9,0)</f>
        <v>#N/A</v>
      </c>
      <c r="MK193" s="12">
        <f t="array" ref="MK193">INDEX(MJ:MJ,MIN(IF(ISNUMBER(MJ193:MJ389),ROW(MJ193:MJ389),"")))</f>
        <v>0</v>
      </c>
      <c r="ML193" s="12">
        <f>IF('Données projet'!$A$460&gt;35,ML192+MK193-MT192,IF($A193&lt;'Données projet'!$A$460,$CQ$205^$A193,IF($A193='Données projet'!$A$460,'Données projet'!$B$460,ML192+MK193-MT192)))</f>
        <v>0</v>
      </c>
      <c r="MM193" s="17" t="e">
        <f>ML193*VLOOKUP('Données projet'!$B$25,Paramètres!$A$1:$I$89,3,0)*VLOOKUP('Données projet'!$B$25,Paramètres!$A$1:$I$89,5,0)</f>
        <v>#N/A</v>
      </c>
      <c r="MN193" s="13" t="e">
        <f t="shared" si="318"/>
        <v>#N/A</v>
      </c>
      <c r="MO193" s="14" t="e">
        <f t="shared" si="272"/>
        <v>#N/A</v>
      </c>
      <c r="MP193" s="59" t="e">
        <f t="shared" si="273"/>
        <v>#N/A</v>
      </c>
      <c r="MQ193" s="20" t="e">
        <f ca="1">AVERAGE(OFFSET($MP$3,0,0,'Données projet'!$E$25+1,1))-AVERAGE(OFFSET($H$3,0,0,'Données projet'!$E$25+1,1))</f>
        <v>#N/A</v>
      </c>
      <c r="MR193" s="59" t="e">
        <f t="shared" si="319"/>
        <v>#N/A</v>
      </c>
      <c r="MS193" s="15">
        <f>IF(ISNA(VLOOKUP($A193,'Données projet'!$A$460:$I$480,3,0)),0,VLOOKUP($A193,'Données projet'!$A$460:$I$480,3,0))</f>
        <v>0</v>
      </c>
      <c r="MT193" s="15">
        <f>IF(ISNA(VLOOKUP($A193,'Données projet'!$A$460:$I$480,4,0)),0,VLOOKUP($A193,'Données projet'!$A$460:$I$480,4,0))</f>
        <v>0</v>
      </c>
      <c r="MU193" s="16">
        <f>IF(ISNA(VLOOKUP($A193,'Données projet'!$A$460:$I$480,5,0)),0%,VLOOKUP($A193,'Données projet'!$A$460:$I$480,5,0)*VLOOKUP('Données projet'!$B$25,Paramètres!$A$1:$I$89,7,0))</f>
        <v>0</v>
      </c>
      <c r="MV193" s="16">
        <f>IF(ISNA(VLOOKUP($A193,'Données projet'!$A$460:$I$480,6,0)),0%,VLOOKUP($A193,'Données projet'!$A$460:$I$480,6,0)*VLOOKUP('Données projet'!$B$25,Paramètres!$A$1:$I$89,7,0))</f>
        <v>0</v>
      </c>
      <c r="MW193" s="16">
        <f>IF(ISNA(VLOOKUP($A193,'Données projet'!$A$460:$I$480,7,0)),0%,VLOOKUP($A193,'Données projet'!$A$460:$I$480,7,0))</f>
        <v>0</v>
      </c>
      <c r="MX193" s="21" t="e">
        <f>EXP(-LN(2)/35)*MX192+(1-EXP(-LN(2)/35))/(LN(2)/35)*MT193*MU193*VLOOKUP('Données projet'!$B$25,Paramètres!$A$1:$I$89,3,0)*0.475*44/12</f>
        <v>#N/A</v>
      </c>
      <c r="MY193" s="21" t="e">
        <f>EXP(-LN(2)/25)*MY192+(1-EXP(-LN(2)/25))/(LN(2)/25)*Calculateur!MT193*Calculateur!MV193*VLOOKUP('Données projet'!$B$25,Paramètres!$A$1:$I$89,3,0)*0.475*44/12</f>
        <v>#N/A</v>
      </c>
      <c r="MZ193" s="21" t="e">
        <f>EXP(-LN(2)/2)*MZ192+(1-EXP(-LN(2)/2))/(LN(2)/2)*MT193*MW193*VLOOKUP('Données projet'!$B$25,Paramètres!$A$1:$I$89,3,0)*0.475*44/12</f>
        <v>#N/A</v>
      </c>
      <c r="NA193" s="22" t="e">
        <f t="shared" si="274"/>
        <v>#N/A</v>
      </c>
      <c r="NB193" s="74">
        <f>('Scénario référence'!$F$8+'Scénario référence'!$F$9+'Scénario référence'!$B$17+'Scénario référence'!$B$9+'Scénario référence'!$B$10)*70+IF((45+25*(1-EXP(-0.0175*$A193)))&lt;70,'Scénario référence'!$B$16*(45+25*(1-EXP(-0.0175*$A193))),70*'Scénario référence'!$B$16)+IF((32+38*(1-EXP(-0.0175*$A193)))&lt;70,'Scénario référence'!$B$18*(32+38*(1-EXP(-0.0175*$A193))),70*'Scénario référence'!$B$18)</f>
        <v>70</v>
      </c>
      <c r="NC193" s="12">
        <f>IF($A193&gt;30,10,('Scénario référence'!$B$16+'Scénario référence'!$B$17+'Scénario référence'!$B$18+'Scénario référence'!$B$9+'Scénario référence'!$B$10)*$A193*10/30+('Scénario référence'!$F$8+'Scénario référence'!$F$9)*10)</f>
        <v>10</v>
      </c>
      <c r="ND193" s="12" t="e">
        <f>VLOOKUP($A193,'Données projet'!$A$486:$I$506,2,0)</f>
        <v>#N/A</v>
      </c>
      <c r="NE193" s="12" t="e">
        <f>VLOOKUP($A193,'Données projet'!$A$486:$I$506,9,0)</f>
        <v>#N/A</v>
      </c>
      <c r="NF193" s="12">
        <f t="array" ref="NF193">INDEX(NE:NE,MIN(IF(ISNUMBER(NE193:NE389),ROW(NE193:NE389),"")))</f>
        <v>0</v>
      </c>
      <c r="NG193" s="12">
        <f>IF('Données projet'!$A$486&gt;35,NG192+NF193-NO192,IF($A193&lt;'Données projet'!$A$486,$CQ$205^$A193,IF($A193='Données projet'!$A$486,'Données projet'!$B$486,NG192+NF193-NO192)))</f>
        <v>0</v>
      </c>
      <c r="NH193" s="17" t="e">
        <f>NG193*VLOOKUP('Données projet'!$B$26,Paramètres!$A$1:$I$89,3,0)*VLOOKUP('Données projet'!$B$26,Paramètres!$A$1:$I$89,5,0)</f>
        <v>#N/A</v>
      </c>
      <c r="NI193" s="13" t="e">
        <f t="shared" si="320"/>
        <v>#N/A</v>
      </c>
      <c r="NJ193" s="14" t="e">
        <f t="shared" si="275"/>
        <v>#N/A</v>
      </c>
      <c r="NK193" s="59" t="e">
        <f t="shared" si="276"/>
        <v>#N/A</v>
      </c>
      <c r="NL193" s="20" t="e">
        <f ca="1">AVERAGE(OFFSET($NK$3,0,0,'Données projet'!$E$26+1,1))-AVERAGE(OFFSET($H$3,0,0,'Données projet'!$E$26+1,1))</f>
        <v>#N/A</v>
      </c>
      <c r="NM193" s="59" t="e">
        <f t="shared" si="321"/>
        <v>#N/A</v>
      </c>
      <c r="NN193" s="15">
        <f>IF(ISNA(VLOOKUP($A193,'Données projet'!$A$486:$I$506,3,0)),0,VLOOKUP($A193,'Données projet'!$A$486:$I$506,3,0))</f>
        <v>0</v>
      </c>
      <c r="NO193" s="15">
        <f>IF(ISNA(VLOOKUP($A193,'Données projet'!$A$486:$I$506,4,0)),0,VLOOKUP($A193,'Données projet'!$A$486:$I$506,4,0))</f>
        <v>0</v>
      </c>
      <c r="NP193" s="16">
        <f>IF(ISNA(VLOOKUP($A193,'Données projet'!$A$486:$I$506,5,0)),0%,VLOOKUP($A193,'Données projet'!$A$486:$I$506,5,0)*VLOOKUP('Données projet'!$B$26,Paramètres!$A$1:$I$89,7,0))</f>
        <v>0</v>
      </c>
      <c r="NQ193" s="16">
        <f>IF(ISNA(VLOOKUP($A193,'Données projet'!$A$486:$I$506,6,0)),0%,VLOOKUP($A193,'Données projet'!$A$486:$I$506,6,0)*VLOOKUP('Données projet'!$B$26,Paramètres!$A$1:$I$89,7,0))</f>
        <v>0</v>
      </c>
      <c r="NR193" s="16">
        <f>IF(ISNA(VLOOKUP($A193,'Données projet'!$A$486:$I$506,7,0)),0%,VLOOKUP($A193,'Données projet'!$A$486:$I$506,7,0))</f>
        <v>0</v>
      </c>
      <c r="NS193" s="21" t="e">
        <f>EXP(-LN(2)/35)*NS192+(1-EXP(-LN(2)/35))/(LN(2)/35)*NO193*NP193*VLOOKUP('Données projet'!$B$26,Paramètres!$A$1:$I$89,3,0)*0.475*44/12</f>
        <v>#N/A</v>
      </c>
      <c r="NT193" s="21" t="e">
        <f>EXP(-LN(2)/25)*NT192+(1-EXP(-LN(2)/25))/(LN(2)/25)*Calculateur!NO193*Calculateur!NQ193*VLOOKUP('Données projet'!$B$26,Paramètres!$A$1:$I$89,3,0)*0.475*44/12</f>
        <v>#N/A</v>
      </c>
      <c r="NU193" s="21" t="e">
        <f>EXP(-LN(2)/2)*NU192+(1-EXP(-LN(2)/2))/(LN(2)/2)*NO193*NR193*VLOOKUP('Données projet'!$B$26,Paramètres!$A$1:$I$89,3,0)*0.475*44/12</f>
        <v>#N/A</v>
      </c>
      <c r="NV193" s="22" t="e">
        <f t="shared" si="277"/>
        <v>#N/A</v>
      </c>
      <c r="NW193" s="74">
        <f>('Scénario référence'!$F$8+'Scénario référence'!$F$9+'Scénario référence'!$B$17+'Scénario référence'!$B$9+'Scénario référence'!$B$10)*70+IF((45+25*(1-EXP(-0.0175*$A193)))&lt;70,'Scénario référence'!$B$16*(45+25*(1-EXP(-0.0175*$A193))),70*'Scénario référence'!$B$16)+IF((32+38*(1-EXP(-0.0175*$A193)))&lt;70,'Scénario référence'!$B$18*(32+38*(1-EXP(-0.0175*$A193))),70*'Scénario référence'!$B$18)</f>
        <v>70</v>
      </c>
      <c r="NX193" s="12">
        <f>IF($A193&gt;30,10,('Scénario référence'!$B$16+'Scénario référence'!$B$17+'Scénario référence'!$B$18+'Scénario référence'!$B$9+'Scénario référence'!$B$10)*$A193*10/30+('Scénario référence'!$F$8+'Scénario référence'!$F$9)*10)</f>
        <v>10</v>
      </c>
      <c r="NY193" s="12" t="e">
        <f>VLOOKUP($A193,'Données projet'!$A$512:$I$532,2,0)</f>
        <v>#N/A</v>
      </c>
      <c r="NZ193" s="12" t="e">
        <f>VLOOKUP($A193,'Données projet'!$A$512:$I$532,9,0)</f>
        <v>#N/A</v>
      </c>
      <c r="OA193" s="12">
        <f t="array" ref="OA193">INDEX(NZ:NZ,MIN(IF(ISNUMBER(NZ193:NZ389),ROW(NZ193:NZ389),"")))</f>
        <v>0</v>
      </c>
      <c r="OB193" s="12">
        <f>IF('Données projet'!$A$512&gt;35,OB192+OA193-OJ192,IF($A193&lt;'Données projet'!$A$512,$CQ$205^$A193,IF($A193='Données projet'!$A$512,'Données projet'!$B$512,OB192+OA193-OJ192)))</f>
        <v>0</v>
      </c>
      <c r="OC193" s="17" t="e">
        <f>OB193*VLOOKUP('Données projet'!$B$27,Paramètres!$A$1:$I$89,3,0)*VLOOKUP('Données projet'!$B$27,Paramètres!$A$1:$I$89,5,0)</f>
        <v>#N/A</v>
      </c>
      <c r="OD193" s="13" t="e">
        <f t="shared" si="322"/>
        <v>#N/A</v>
      </c>
      <c r="OE193" s="14" t="e">
        <f t="shared" si="278"/>
        <v>#N/A</v>
      </c>
      <c r="OF193" s="59" t="e">
        <f t="shared" si="279"/>
        <v>#N/A</v>
      </c>
      <c r="OG193" s="20" t="e">
        <f ca="1">AVERAGE(OFFSET($OF$3,0,0,'Données projet'!$E$27+1,1))-AVERAGE(OFFSET($H$3,0,0,'Données projet'!$E$27+1,1))</f>
        <v>#N/A</v>
      </c>
      <c r="OH193" s="59" t="e">
        <f t="shared" si="323"/>
        <v>#N/A</v>
      </c>
      <c r="OI193" s="15">
        <f>IF(ISNA(VLOOKUP($A193,'Données projet'!$A$512:$I$532,3,0)),0,VLOOKUP($A193,'Données projet'!$A$512:$I$532,3,0))</f>
        <v>0</v>
      </c>
      <c r="OJ193" s="15">
        <f>IF(ISNA(VLOOKUP($A193,'Données projet'!$A$512:$I$532,4,0)),0,VLOOKUP($A193,'Données projet'!$A$512:$I$532,4,0))</f>
        <v>0</v>
      </c>
      <c r="OK193" s="16">
        <f>IF(ISNA(VLOOKUP($A193,'Données projet'!$A$512:$I$532,5,0)),0%,VLOOKUP($A193,'Données projet'!$A$512:$I$532,5,0)*VLOOKUP('Données projet'!$B$27,Paramètres!$A$1:$I$89,7,0))</f>
        <v>0</v>
      </c>
      <c r="OL193" s="16">
        <f>IF(ISNA(VLOOKUP($A193,'Données projet'!$A$512:$I$532,6,0)),0%,VLOOKUP($A193,'Données projet'!$A$512:$I$532,6,0)*VLOOKUP('Données projet'!$B$27,Paramètres!$A$1:$I$89,7,0))</f>
        <v>0</v>
      </c>
      <c r="OM193" s="16">
        <f>IF(ISNA(VLOOKUP($A193,'Données projet'!$A$512:$I$532,7,0)),0%,VLOOKUP($A193,'Données projet'!$A$512:$I$532,7,0))</f>
        <v>0</v>
      </c>
      <c r="ON193" s="21" t="e">
        <f>EXP(-LN(2)/35)*ON192+(1-EXP(-LN(2)/35))/(LN(2)/35)*OJ193*OK193*VLOOKUP('Données projet'!$B$27,Paramètres!$A$1:$I$89,3,0)*0.475*44/12</f>
        <v>#N/A</v>
      </c>
      <c r="OO193" s="21" t="e">
        <f>EXP(-LN(2)/25)*OO192+(1-EXP(-LN(2)/25))/(LN(2)/25)*Calculateur!OJ193*Calculateur!OL193*VLOOKUP('Données projet'!$B$27,Paramètres!$A$1:$I$89,3,0)*0.475*44/12</f>
        <v>#N/A</v>
      </c>
      <c r="OP193" s="21" t="e">
        <f>EXP(-LN(2)/2)*OP192+(1-EXP(-LN(2)/2))/(LN(2)/2)*OJ193*OM193*VLOOKUP('Données projet'!$B$27,Paramètres!$A$1:$I$89,3,0)*0.475*44/12</f>
        <v>#N/A</v>
      </c>
      <c r="OQ193" s="22" t="e">
        <f t="shared" si="280"/>
        <v>#N/A</v>
      </c>
      <c r="OR193" s="74">
        <f>('Scénario référence'!$F$8+'Scénario référence'!$F$9+'Scénario référence'!$B$17+'Scénario référence'!$B$9+'Scénario référence'!$B$10)*70+IF((45+25*(1-EXP(-0.0175*$A193)))&lt;70,'Scénario référence'!$B$16*(45+25*(1-EXP(-0.0175*$A193))),70*'Scénario référence'!$B$16)+IF((32+38*(1-EXP(-0.0175*$A193)))&lt;70,'Scénario référence'!$B$18*(32+38*(1-EXP(-0.0175*$A193))),70*'Scénario référence'!$B$18)</f>
        <v>70</v>
      </c>
      <c r="OS193" s="12">
        <f>IF($A193&gt;30,10,('Scénario référence'!$B$16+'Scénario référence'!$B$17+'Scénario référence'!$B$18+'Scénario référence'!$B$9+'Scénario référence'!$B$10)*$A193*10/30+('Scénario référence'!$F$8+'Scénario référence'!$F$9)*10)</f>
        <v>10</v>
      </c>
      <c r="OT193" s="12" t="e">
        <f>VLOOKUP($A193,'Données projet'!$A$538:$I$558,2,0)</f>
        <v>#N/A</v>
      </c>
      <c r="OU193" s="12" t="e">
        <f>VLOOKUP($A193,'Données projet'!$A$538:$I$558,9,0)</f>
        <v>#N/A</v>
      </c>
      <c r="OV193" s="12">
        <f t="array" ref="OV193">INDEX(OU:OU,MIN(IF(ISNUMBER(OU193:OU389),ROW(OU193:OU389),"")))</f>
        <v>0</v>
      </c>
      <c r="OW193" s="12">
        <f>IF('Données projet'!$A$538&gt;35,OW192+OV193-PE192,IF($A193&lt;'Données projet'!$A$538,$CQ$205^$A193,IF($A193='Données projet'!$A$538,'Données projet'!$B$538,OW192+OV193-PE192)))</f>
        <v>0</v>
      </c>
      <c r="OX193" s="17" t="e">
        <f>OW193*VLOOKUP('Données projet'!$B$28,Paramètres!$A$1:$I$89,3,0)*VLOOKUP('Données projet'!$B$28,Paramètres!$A$1:$I$89,5,0)</f>
        <v>#N/A</v>
      </c>
      <c r="OY193" s="13" t="e">
        <f t="shared" si="324"/>
        <v>#N/A</v>
      </c>
      <c r="OZ193" s="14" t="e">
        <f t="shared" si="281"/>
        <v>#N/A</v>
      </c>
      <c r="PA193" s="59" t="e">
        <f t="shared" si="282"/>
        <v>#N/A</v>
      </c>
      <c r="PB193" s="20" t="e">
        <f ca="1">AVERAGE(OFFSET($PA$3,0,0,'Données projet'!$E$28+1,1))-AVERAGE(OFFSET($H$3,0,0,'Données projet'!$E$28+1,1))</f>
        <v>#N/A</v>
      </c>
      <c r="PC193" s="59" t="e">
        <f t="shared" si="325"/>
        <v>#N/A</v>
      </c>
      <c r="PD193" s="15">
        <f>IF(ISNA(VLOOKUP($A193,'Données projet'!$A$538:$I$558,3,0)),0,VLOOKUP($A193,'Données projet'!$A$538:$I$558,3,0))</f>
        <v>0</v>
      </c>
      <c r="PE193" s="15">
        <f>IF(ISNA(VLOOKUP($A193,'Données projet'!$A$538:$I$558,4,0)),0,VLOOKUP($A193,'Données projet'!$A$538:$I$558,4,0))</f>
        <v>0</v>
      </c>
      <c r="PF193" s="16">
        <f>IF(ISNA(VLOOKUP($A193,'Données projet'!$A$538:$I$558,5,0)),0%,VLOOKUP($A193,'Données projet'!$A$538:$I$558,5,0)*VLOOKUP('Données projet'!$B$28,Paramètres!$A$1:$I$89,7,0))</f>
        <v>0</v>
      </c>
      <c r="PG193" s="16">
        <f>IF(ISNA(VLOOKUP($A193,'Données projet'!$A$538:$I$558,6,0)),0%,VLOOKUP($A193,'Données projet'!$A$538:$I$558,6,0)*VLOOKUP('Données projet'!$B$28,Paramètres!$A$1:$I$89,7,0))</f>
        <v>0</v>
      </c>
      <c r="PH193" s="16">
        <f>IF(ISNA(VLOOKUP($A193,'Données projet'!$A$538:$I$558,7,0)),0%,VLOOKUP($A193,'Données projet'!$A$538:$I$558,7,0))</f>
        <v>0</v>
      </c>
      <c r="PI193" s="21" t="e">
        <f>EXP(-LN(2)/35)*PI192+(1-EXP(-LN(2)/35))/(LN(2)/35)*PE193*PF193*VLOOKUP('Données projet'!$B$28,Paramètres!$A$1:$I$89,3,0)*0.475*44/12</f>
        <v>#N/A</v>
      </c>
      <c r="PJ193" s="21" t="e">
        <f>EXP(-LN(2)/25)*PJ192+(1-EXP(-LN(2)/25))/(LN(2)/25)*Calculateur!PE193*Calculateur!PG193*VLOOKUP('Données projet'!$B$28,Paramètres!$A$1:$I$89,3,0)*0.475*44/12</f>
        <v>#N/A</v>
      </c>
      <c r="PK193" s="21" t="e">
        <f>EXP(-LN(2)/2)*PK192+(1-EXP(-LN(2)/2))/(LN(2)/2)*PE193*PH193*VLOOKUP('Données projet'!$B$28,Paramètres!$A$1:$I$89,3,0)*0.475*44/12</f>
        <v>#N/A</v>
      </c>
      <c r="PL193" s="22" t="e">
        <f t="shared" si="283"/>
        <v>#N/A</v>
      </c>
    </row>
    <row r="194" spans="1:428" x14ac:dyDescent="0.35">
      <c r="A194" s="10">
        <f t="shared" si="326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285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225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projet'!$A$45:$I$65,2,0)</f>
        <v>#N/A</v>
      </c>
      <c r="L194" s="12" t="e">
        <f>VLOOKUP(A194,'Données projet'!$A$45:$I$65,9,0)</f>
        <v>#N/A</v>
      </c>
      <c r="M194" s="12">
        <f t="array" ref="M194">INDEX(L:L,MIN(IF(ISNUMBER(L194:L390),ROW(L194:L390),"")))</f>
        <v>0</v>
      </c>
      <c r="N194" s="13">
        <f>IF('Données projet'!$A$46&gt;35,N193+M194-V193,IF(A194&lt;'Données projet'!$A$46,$K$205^A194,IF(A194='Données projet'!$A$46,'Données projet'!$B$46,N193+M194-V193)))</f>
        <v>-1.1368683772161603E-13</v>
      </c>
      <c r="O194" s="13">
        <f>N194*VLOOKUP('Données projet'!$B$9,Paramètres!$A$1:$I$89,3,0)*VLOOKUP('Données projet'!$B$9,Paramètres!$A$1:$I$89,5,0)</f>
        <v>-6.3550942286383367E-14</v>
      </c>
      <c r="P194" s="13" t="e">
        <f t="shared" si="286"/>
        <v>#NUM!</v>
      </c>
      <c r="Q194" s="20" t="e">
        <f t="shared" si="327"/>
        <v>#NUM!</v>
      </c>
      <c r="R194" s="59" t="e">
        <f t="shared" si="224"/>
        <v>#NUM!</v>
      </c>
      <c r="S194" s="59">
        <f ca="1">AVERAGE(OFFSET($R$3,0,0,'Données projet'!$E$9+1,1))-AVERAGE(OFFSET($H$3,0,0,'Données projet'!$E$9+1,1))</f>
        <v>274.57619581652199</v>
      </c>
      <c r="T194" s="59">
        <f t="shared" si="287"/>
        <v>366.15117322598775</v>
      </c>
      <c r="U194" s="15">
        <f>IF(ISNA(VLOOKUP(A194,'Données projet'!$A$45:$I$65,3,0)),0,VLOOKUP(A194,'Données projet'!$A$45:$I$65,3,0))</f>
        <v>0</v>
      </c>
      <c r="V194" s="15">
        <f>IF(ISNA(VLOOKUP(A194,'Données projet'!$A$45:$I$65,4,0)),0,VLOOKUP(A194,'Données projet'!$A$45:$I$65,4,0))</f>
        <v>0</v>
      </c>
      <c r="W194" s="16">
        <f>IF(ISNA(VLOOKUP(A194,'Données projet'!$A$45:$I$65,5,0)),0%,VLOOKUP(A194,'Données projet'!$A$45:$I$65,5,0)*VLOOKUP('Données projet'!$B$9,Paramètres!$A$1:$I$89,7,0))</f>
        <v>0</v>
      </c>
      <c r="X194" s="16">
        <f>IF(ISNA(VLOOKUP(A194,'Données projet'!$A$45:$I$65,6,0)),0%,VLOOKUP(A194,'Données projet'!$A$45:$I$65,6,0)*VLOOKUP('Données projet'!$B$9,Paramètres!$A$1:$I$89,7,0))</f>
        <v>0</v>
      </c>
      <c r="Y194" s="16">
        <f>IF(ISNA(VLOOKUP(A194,'Données projet'!$A$45:$I$65,7,0)),0%,VLOOKUP(A194,'Données projet'!$A$45:$I$65,7,0))</f>
        <v>0</v>
      </c>
      <c r="Z194" s="21">
        <f>EXP(-LN(2)/35)*Z193+(1-EXP(-LN(2)/35))/(LN(2)/35)*V194*W194*VLOOKUP('Données projet'!$B$9,Paramètres!$A$1:$I$89,3,0)*0.475*44/12</f>
        <v>15.33390395437571</v>
      </c>
      <c r="AA194" s="21">
        <f>EXP(-LN(2)/25)*AA193+(1-EXP(-LN(2)/25))/(LN(2)/25)*Calculateur!V194*Calculateur!X194*VLOOKUP('Données projet'!$B$9,Paramètres!$A$1:$I$89,3,0)*0.475*44/12</f>
        <v>1.3270192168113519</v>
      </c>
      <c r="AB194" s="21">
        <f>EXP(-LN(2)/2)*AB193+(1-EXP(-LN(2)/2))/(LN(2)/2)*V194*Y194*VLOOKUP('Données projet'!$B$9,Paramètres!$A$1:$I$89,3,0)*0.475*44/12</f>
        <v>1.1574300005061408E-19</v>
      </c>
      <c r="AC194" s="22">
        <f t="shared" si="328"/>
        <v>16.660923171187061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projet'!$A$71:$I$91,2,0)</f>
        <v>#N/A</v>
      </c>
      <c r="AG194" s="12" t="e">
        <f>VLOOKUP(A194,'Données projet'!$A$71:$I$91,9,0)</f>
        <v>#N/A</v>
      </c>
      <c r="AH194" s="12">
        <f t="array" ref="AH194">INDEX(AG:AG,MIN(IF(ISNUMBER(AG194:AG390),ROW(AG194:AG390),"")))</f>
        <v>0</v>
      </c>
      <c r="AI194" s="13">
        <f>IF('Données projet'!$A$72&gt;35,AI193+AH194-AQ193,IF(A194&lt;'Données projet'!$A$72,$AF$205^A194,IF(A194='Données projet'!$A$72,'Données projet'!$B$72,AI193+AH194-AQ193)))</f>
        <v>5.6843418860808015E-13</v>
      </c>
      <c r="AJ194" s="13">
        <f>AI194*VLOOKUP('Données projet'!$B$10,Paramètres!$A$1:$I$89,3,0)*VLOOKUP('Données projet'!$B$10,Paramètres!$A$1:$I$89,5,0)</f>
        <v>5.1431925385259092E-13</v>
      </c>
      <c r="AK194" s="13">
        <f t="shared" si="329"/>
        <v>6.3855359115685756E-12</v>
      </c>
      <c r="AL194" s="20">
        <f t="shared" si="330"/>
        <v>1.2017247746441865E-11</v>
      </c>
      <c r="AM194" s="59">
        <f t="shared" si="228"/>
        <v>293.33333333334531</v>
      </c>
      <c r="AN194" s="59">
        <f ca="1">AVERAGE(OFFSET($AM$3,0,0,'Données projet'!$E$10+1,1))-AVERAGE(OFFSET($H$3,0,0,'Données projet'!$E$10+1,1))</f>
        <v>270.87836509222456</v>
      </c>
      <c r="AO194" s="59">
        <f t="shared" si="289"/>
        <v>205.24998237949734</v>
      </c>
      <c r="AP194" s="15">
        <f>IF(ISNA(VLOOKUP(A194,'Données projet'!$A$71:$I$91,3,0)),0,VLOOKUP(A194,'Données projet'!$A$71:$I$91,3,0))</f>
        <v>0</v>
      </c>
      <c r="AQ194" s="15">
        <f>IF(ISNA(VLOOKUP(A194,'Données projet'!$A$71:$I$91,4,0)),0,VLOOKUP(A194,'Données projet'!$A$71:$I$91,4,0))</f>
        <v>0</v>
      </c>
      <c r="AR194" s="16">
        <f>IF(ISNA(VLOOKUP(A194,'Données projet'!$A$71:$I$91,5,0)),0%,VLOOKUP(A194,'Données projet'!$A$71:$I$91,5,0)*VLOOKUP('Données projet'!$B$10,Paramètres!$A$1:$I$89,7,0))</f>
        <v>0</v>
      </c>
      <c r="AS194" s="16">
        <f>IF(ISNA(VLOOKUP(A194,'Données projet'!$A$71:$I$91,6,0)),0%,VLOOKUP(A194,'Données projet'!$A$71:$I$91,6,0)*VLOOKUP('Données projet'!$B$10,Paramètres!$A$1:$I$89,7,0))</f>
        <v>0</v>
      </c>
      <c r="AT194" s="16">
        <f>IF(ISNA(VLOOKUP(A194,'Données projet'!$A$71:$I$91,7,0)),0%,VLOOKUP(A194,'Données projet'!$A$71:$I$91,7,0))</f>
        <v>0</v>
      </c>
      <c r="AU194" s="21">
        <f>EXP(-LN(2)/35)*AU193+(1-EXP(-LN(2)/35))/(LN(2)/35)*AQ194*AR194*VLOOKUP('Données projet'!$B$10,Paramètres!$A$1:$I$89,3,0)*0.475*44/12</f>
        <v>52.108512364859443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331"/>
        <v>52.108512364859443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projet'!$A$97:$I$117,2,0)</f>
        <v>#N/A</v>
      </c>
      <c r="BB194" s="12" t="e">
        <f>VLOOKUP(A194,'Données projet'!$A$97:$I$117,9,0)</f>
        <v>#N/A</v>
      </c>
      <c r="BC194" s="12">
        <f t="array" ref="BC194">INDEX(BB:BB,MIN(IF(ISNUMBER(BB194:BB390),ROW(BB194:BB390),"")))</f>
        <v>0</v>
      </c>
      <c r="BD194" s="12">
        <f>IF('Données projet'!$A$98&gt;35,BD193+BC194-BL193,IF(A194&lt;'Données projet'!$A$98,$BA$205^A194,IF(A194='Données projet'!$A$98,'Données projet'!$B$98,BD193+BC194-BL193)))</f>
        <v>-1.1368683772161603E-13</v>
      </c>
      <c r="BE194" s="13">
        <f>BD194*VLOOKUP('Données projet'!$B$11,Paramètres!$A$1:$I$89,3,0)*VLOOKUP('Données projet'!$B$11,Paramètres!$A$1:$I$89,5,0)</f>
        <v>-5.0249582272954292E-14</v>
      </c>
      <c r="BF194" s="13" t="e">
        <f t="shared" si="332"/>
        <v>#NUM!</v>
      </c>
      <c r="BG194" s="20" t="e">
        <f t="shared" si="333"/>
        <v>#NUM!</v>
      </c>
      <c r="BH194" s="59" t="e">
        <f t="shared" si="231"/>
        <v>#NUM!</v>
      </c>
      <c r="BI194" s="59">
        <f ca="1">AVERAGE(OFFSET($BH$3,0,0,'Données projet'!$E$11+1,1))-AVERAGE(OFFSET($H$3,0,0,'Données projet'!$E$11+1,1))</f>
        <v>211.31057120485542</v>
      </c>
      <c r="BJ194" s="59">
        <f t="shared" si="291"/>
        <v>283.33292006714777</v>
      </c>
      <c r="BK194" s="15">
        <f>IF(ISNA(VLOOKUP(A194,'Données projet'!$A$97:$I$117,3,0)),0,VLOOKUP(A194,'Données projet'!$A$97:$I$117,3,0))</f>
        <v>0</v>
      </c>
      <c r="BL194" s="15">
        <f>IF(ISNA(VLOOKUP(A194,'Données projet'!$A$97:$I$117,4,0)),0,VLOOKUP(A194,'Données projet'!$A$97:$I$117,4,0))</f>
        <v>0</v>
      </c>
      <c r="BM194" s="16">
        <f>IF(ISNA(VLOOKUP(A194,'Données projet'!$A$97:$I$117,5,0)),0%,VLOOKUP(A194,'Données projet'!$A$97:$I$117,5,0)*VLOOKUP('Données projet'!$B$11,Paramètres!$A$1:$I$89,7,0))</f>
        <v>0</v>
      </c>
      <c r="BN194" s="16">
        <f>IF(ISNA(VLOOKUP(A194,'Données projet'!$A$97:$I$117,6,0)),0%,VLOOKUP(A194,'Données projet'!$A$97:$I$117,6,0)*VLOOKUP('Données projet'!$B$11,Paramètres!$A$1:$I$89,7,0))</f>
        <v>0</v>
      </c>
      <c r="BO194" s="16">
        <f>IF(ISNA(VLOOKUP(A194,'Données projet'!$A$97:$I$117,7,0)),0%,VLOOKUP(A194,'Données projet'!$A$97:$I$117,7,0))</f>
        <v>0</v>
      </c>
      <c r="BP194" s="21">
        <f>EXP(-LN(2)/35)*BP193+(1-EXP(-LN(2)/35))/(LN(2)/35)*BL194*BM194*VLOOKUP('Données projet'!$B$11,Paramètres!$A$1:$I$89,3,0)*0.475*44/12</f>
        <v>12.124482196483129</v>
      </c>
      <c r="BQ194" s="21">
        <f>EXP(-LN(2)/25)*BQ193+(1-EXP(-LN(2)/25))/(LN(2)/25)*Calculateur!BL194*Calculateur!BN194*VLOOKUP('Données projet'!$B$11,Paramètres!$A$1:$I$89,3,0)*0.475*44/12</f>
        <v>1.0492710086415333</v>
      </c>
      <c r="BR194" s="21">
        <f>EXP(-LN(2)/2)*BR193+(1-EXP(-LN(2)/2))/(LN(2)/2)*BL194*BO194*VLOOKUP('Données projet'!$B$11,Paramètres!$A$1:$I$89,3,0)*0.475*44/12</f>
        <v>9.1517720970252975E-20</v>
      </c>
      <c r="BS194" s="22">
        <f t="shared" si="334"/>
        <v>13.173753205124662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projet'!$A$123:$I$143,2,0)</f>
        <v>#N/A</v>
      </c>
      <c r="BW194" s="12" t="e">
        <f>VLOOKUP(A194,'Données projet'!$A$123:$I$143,9,0)</f>
        <v>#N/A</v>
      </c>
      <c r="BX194" s="12">
        <f t="array" ref="BX194">INDEX(BW:BW,MIN(IF(ISNUMBER(BW194:BW390),ROW(BW194:BW390),"")))</f>
        <v>0</v>
      </c>
      <c r="BY194" s="12">
        <f>IF('Données projet'!$A$124&gt;35,BY193+BX194-CG193,IF(A194&lt;'Données projet'!$A$124,$BV$205^A194,IF(A194='Données projet'!$A$124,'Données projet'!$B$124,BY193+BX194-CG193)))</f>
        <v>0</v>
      </c>
      <c r="BZ194" s="13">
        <f>BY194*VLOOKUP('Données projet'!$B$12,Paramètres!$A$1:$I$89,3,0)*VLOOKUP('Données projet'!$B$12,Paramètres!$A$1:$I$89,5,0)</f>
        <v>0</v>
      </c>
      <c r="CA194" s="13" t="e">
        <f t="shared" si="335"/>
        <v>#NUM!</v>
      </c>
      <c r="CB194" s="20" t="e">
        <f t="shared" si="336"/>
        <v>#NUM!</v>
      </c>
      <c r="CC194" s="59" t="e">
        <f t="shared" si="234"/>
        <v>#NUM!</v>
      </c>
      <c r="CD194" s="59">
        <f ca="1">AVERAGE(OFFSET($CC$3,0,0,'Données projet'!$E$12+1,1))-AVERAGE(OFFSET($H$3,0,0,'Données projet'!$E$12+1,1))</f>
        <v>322.93502595881938</v>
      </c>
      <c r="CE194" s="59">
        <f t="shared" si="293"/>
        <v>302.67072119588164</v>
      </c>
      <c r="CF194" s="15">
        <f>IF(ISNA(VLOOKUP(A194,'Données projet'!$A$123:$I$143,3,0)),0,VLOOKUP(A194,'Données projet'!$A$123:$I$143,3,0))</f>
        <v>0</v>
      </c>
      <c r="CG194" s="15">
        <f>IF(ISNA(VLOOKUP(A194,'Données projet'!$A$123:$I$143,4,0)),0,VLOOKUP(A194,'Données projet'!$A$123:$I$143,4,0))</f>
        <v>0</v>
      </c>
      <c r="CH194" s="16">
        <f>IF(ISNA(VLOOKUP(A194,'Données projet'!$A$123:$I$143,5,0)),0%,VLOOKUP(A194,'Données projet'!$A$123:$I$143,5,0)*VLOOKUP('Données projet'!$B$12,Paramètres!$A$1:$I$89,7,0))</f>
        <v>0</v>
      </c>
      <c r="CI194" s="16">
        <f>IF(ISNA(VLOOKUP(A194,'Données projet'!$A$123:$I$143,6,0)),0%,VLOOKUP(A194,'Données projet'!$A$123:$I$143,6,0)*VLOOKUP('Données projet'!$B$12,Paramètres!$A$1:$I$89,7,0))</f>
        <v>0</v>
      </c>
      <c r="CJ194" s="16">
        <f>IF(ISNA(VLOOKUP(A194,'Données projet'!$A$123:$I$143,7,0)),0%,VLOOKUP(A194,'Données projet'!$A$123:$I$143,7,0))</f>
        <v>0</v>
      </c>
      <c r="CK194" s="21">
        <f>EXP(-LN(2)/35)*CK193+(1-EXP(-LN(2)/35))/(LN(2)/35)*CG194*CH194*VLOOKUP('Données projet'!$B$12,Paramètres!$A$1:$I$89,3,0)*0.475*44/12</f>
        <v>19.317229828700835</v>
      </c>
      <c r="CL194" s="21">
        <f>EXP(-LN(2)/25)*CL193+(1-EXP(-LN(2)/25))/(LN(2)/25)*Calculateur!CG194*Calculateur!CI194*VLOOKUP('Données projet'!$B$12,Paramètres!$A$1:$I$89,3,0)*0.475*44/12</f>
        <v>3.3583020775020676</v>
      </c>
      <c r="CM194" s="21">
        <f>EXP(-LN(2)/2)*CM193+(1-EXP(-LN(2)/2))/(LN(2)/2)*CG194*CJ194*VLOOKUP('Données projet'!$B$12,Paramètres!$A$1:$I$89,3,0)*0.475*44/12</f>
        <v>0</v>
      </c>
      <c r="CN194" s="22">
        <f t="shared" si="337"/>
        <v>22.675531906202902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projet'!$A$149:$I$169,2,0)</f>
        <v>#N/A</v>
      </c>
      <c r="CR194" s="12" t="e">
        <f>VLOOKUP(A194,'Données projet'!$A$149:$I$169,9,0)</f>
        <v>#N/A</v>
      </c>
      <c r="CS194" s="12">
        <f t="array" ref="CS194">INDEX(CR:CR,MIN(IF(ISNUMBER(CR194:CR390),ROW(CR194:CR390),"")))</f>
        <v>0</v>
      </c>
      <c r="CT194" s="12">
        <f>IF('Données projet'!$A$150&gt;35,CT193+CS194-DB193,IF(A194&lt;'Données projet'!$A$150,$CQ$205^A194,IF(A194='Données projet'!$A$150,'Données projet'!$B$150,CT193+CS194-DB193)))</f>
        <v>-4.5474735088646412E-13</v>
      </c>
      <c r="CU194" s="17">
        <f>CT194*VLOOKUP('Données projet'!$B$13,Paramètres!$A$1:$I$89,3,0)*VLOOKUP('Données projet'!$B$13,Paramètres!$A$1:$I$89,5,0)</f>
        <v>-4.6111381379887462E-13</v>
      </c>
      <c r="CV194" s="13" t="e">
        <f t="shared" si="338"/>
        <v>#NUM!</v>
      </c>
      <c r="CW194" s="20" t="e">
        <f t="shared" si="339"/>
        <v>#NUM!</v>
      </c>
      <c r="CX194" s="59" t="e">
        <f t="shared" si="237"/>
        <v>#NUM!</v>
      </c>
      <c r="CY194" s="59">
        <f ca="1">AVERAGE(OFFSET($CX$3,0,0,'Données projet'!$E$13+1,1))-AVERAGE(OFFSET($H$3,0,0,'Données projet'!$E$13+1,1))</f>
        <v>250.31277422753283</v>
      </c>
      <c r="CZ194" s="59">
        <f t="shared" si="295"/>
        <v>159.20429420478047</v>
      </c>
      <c r="DA194" s="15">
        <f>IF(ISNA(VLOOKUP(A194,'Données projet'!$A$149:$I$169,3,0)),0,VLOOKUP(A194,'Données projet'!$A$149:$I$169,3,0))</f>
        <v>0</v>
      </c>
      <c r="DB194" s="15">
        <f>IF(ISNA(VLOOKUP(A194,'Données projet'!$A$149:$I$169,4,0)),0,VLOOKUP(A194,'Données projet'!$A$149:$I$169,4,0))</f>
        <v>0</v>
      </c>
      <c r="DC194" s="16">
        <f>IF(ISNA(VLOOKUP(A194,'Données projet'!$A$149:$I$169,5,0)),0%,VLOOKUP(A194,'Données projet'!$A$149:$I$169,5,0)*VLOOKUP('Données projet'!$B$13,Paramètres!$A$1:$I$89,7,0))</f>
        <v>0</v>
      </c>
      <c r="DD194" s="16">
        <f>IF(ISNA(VLOOKUP(A194,'Données projet'!$A$149:$I$169,6,0)),0%,VLOOKUP(A194,'Données projet'!$A$149:$I$169,6,0)*VLOOKUP('Données projet'!$B$13,Paramètres!$A$1:$I$89,7,0))</f>
        <v>0</v>
      </c>
      <c r="DE194" s="16">
        <f>IF(ISNA(VLOOKUP(A194,'Données projet'!$A$149:$I$169,7,0)),0%,VLOOKUP(A194,'Données projet'!$A$149:$I$169,7,0))</f>
        <v>0</v>
      </c>
      <c r="DF194" s="21">
        <f>EXP(-LN(2)/35)*DF193+(1-EXP(-LN(2)/35))/(LN(2)/35)*DB194*DC194*VLOOKUP('Données projet'!$B$13,Paramètres!$A$1:$I$89,3,0)*0.475*44/12</f>
        <v>87.937785534399154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340"/>
        <v>87.937785534399154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projet'!$A$175:$I$195,2,0)</f>
        <v>#N/A</v>
      </c>
      <c r="DM194" s="12" t="e">
        <f>VLOOKUP(A194,'Données projet'!$A$175:$I$195,9,0)</f>
        <v>#N/A</v>
      </c>
      <c r="DN194" s="12">
        <f t="array" ref="DN194">INDEX(DM:DM,MIN(IF(ISNUMBER(DM194:DM390),ROW(DM194:DM390),"")))</f>
        <v>0</v>
      </c>
      <c r="DO194" s="12">
        <f>IF('Données projet'!$A$176&gt;35,DO193+DN194-DW193,IF(A194&lt;'Données projet'!$A$176,$DL$205^A194,IF(A194='Données projet'!$A$176,'Données projet'!$B$176,DO193+DN194-DW193)))</f>
        <v>-2.8421709430404007E-13</v>
      </c>
      <c r="DP194" s="17">
        <f>DO194*VLOOKUP('Données projet'!$B$14,Paramètres!$A$1:$I$89,3,0)*VLOOKUP('Données projet'!$B$14,Paramètres!$A$1:$I$89,5,0)</f>
        <v>-2.0838797354372215E-13</v>
      </c>
      <c r="DQ194" s="13" t="e">
        <f t="shared" si="341"/>
        <v>#NUM!</v>
      </c>
      <c r="DR194" s="20" t="e">
        <f t="shared" si="342"/>
        <v>#NUM!</v>
      </c>
      <c r="DS194" s="59" t="e">
        <f t="shared" si="240"/>
        <v>#NUM!</v>
      </c>
      <c r="DT194" s="59">
        <f ca="1">AVERAGE(OFFSET($DS$3,0,0,'Données projet'!$E$14+1,1))-AVERAGE(OFFSET($H$3,0,0,'Données projet'!$E$14+1,1))</f>
        <v>296.91321813251051</v>
      </c>
      <c r="DU194" s="59">
        <f t="shared" si="297"/>
        <v>291.0718079639509</v>
      </c>
      <c r="DV194" s="15">
        <f>IF(ISNA(VLOOKUP(A194,'Données projet'!$A$175:$I$195,3,0)),0,VLOOKUP(A194,'Données projet'!$A$175:$I$195,3,0))</f>
        <v>0</v>
      </c>
      <c r="DW194" s="15">
        <f>IF(ISNA(VLOOKUP(A194,'Données projet'!$A$175:$I$195,4,0)),0,VLOOKUP(A194,'Données projet'!$A$175:$I$195,4,0))</f>
        <v>0</v>
      </c>
      <c r="DX194" s="16">
        <f>IF(ISNA(VLOOKUP(A194,'Données projet'!$A$175:$I$195,5,0)),0%,VLOOKUP(A194,'Données projet'!$A$175:$I$195,5,0)*VLOOKUP('Données projet'!$B$14,Paramètres!$A$1:$I$89,7,0))</f>
        <v>0</v>
      </c>
      <c r="DY194" s="16">
        <f>IF(ISNA(VLOOKUP(A194,'Données projet'!$A$175:$I$195,6,0)),0%,VLOOKUP(A194,'Données projet'!$A$175:$I$195,6,0)*VLOOKUP('Données projet'!$B$14,Paramètres!$A$1:$I$89,7,0))</f>
        <v>0</v>
      </c>
      <c r="DZ194" s="16">
        <f>IF(ISNA(VLOOKUP(A194,'Données projet'!$A$175:$I$195,7,0)),0%,VLOOKUP(A194,'Données projet'!$A$175:$I$195,7,0))</f>
        <v>0</v>
      </c>
      <c r="EA194" s="21">
        <f>EXP(-LN(2)/35)*EA193+(1-EXP(-LN(2)/35))/(LN(2)/35)*DW194*DX194*VLOOKUP('Données projet'!$B$14,Paramètres!$A$1:$I$89,3,0)*0.475*44/12</f>
        <v>19.253076478829517</v>
      </c>
      <c r="EB194" s="21">
        <f>EXP(-LN(2)/25)*EB193+(1-EXP(-LN(2)/25))/(LN(2)/25)*Calculateur!DW194*Calculateur!DY194*VLOOKUP('Données projet'!$B$14,Paramètres!$A$1:$I$89,3,0)*0.475*44/12</f>
        <v>0.24670391641058725</v>
      </c>
      <c r="EC194" s="21">
        <f>EXP(-LN(2)/2)*EC193+(1-EXP(-LN(2)/2))/(LN(2)/2)*DW194*DZ194*VLOOKUP('Données projet'!$B$14,Paramètres!$A$1:$I$89,3,0)*0.475*44/12</f>
        <v>0</v>
      </c>
      <c r="ED194" s="22">
        <f t="shared" si="343"/>
        <v>19.499780395240105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projet'!$A$201:$I$221,2,0)</f>
        <v>#N/A</v>
      </c>
      <c r="EH194" s="12" t="e">
        <f>VLOOKUP(A194,'Données projet'!$A$201:$I$221,9,0)</f>
        <v>#N/A</v>
      </c>
      <c r="EI194" s="12">
        <f t="array" ref="EI194">INDEX(EH:EH,MIN(IF(ISNUMBER(EH194:EH390),ROW(EH194:EH390),"")))</f>
        <v>0</v>
      </c>
      <c r="EJ194" s="12">
        <f>IF('Données projet'!$A$202&gt;35,EJ193+EI194-ER193,IF(A194&lt;'Données projet'!$A$202,$EG$205^A194,IF(A194='Données projet'!$A$202,'Données projet'!$B$202,EJ193+EI194-ER193)))</f>
        <v>5.1159076974727213E-13</v>
      </c>
      <c r="EK194" s="17">
        <f>EJ194*VLOOKUP('Données projet'!$B$15,Paramètres!$A$1:$I$89,3,0)*VLOOKUP('Données projet'!$B$15,Paramètres!$A$1:$I$89,5,0)</f>
        <v>2.3942448024172334E-13</v>
      </c>
      <c r="EL194" s="13">
        <f t="shared" si="344"/>
        <v>3.2492669905861755E-12</v>
      </c>
      <c r="EM194" s="20">
        <f t="shared" si="345"/>
        <v>6.0761376450252565E-12</v>
      </c>
      <c r="EN194" s="59">
        <f t="shared" si="243"/>
        <v>293.3333333333394</v>
      </c>
      <c r="EO194" s="59">
        <f ca="1">AVERAGE(OFFSET($EN$3,0,0,'Données projet'!$E$15+1,1))-AVERAGE(OFFSET($H$3,0,0,'Données projet'!$E$15+1,1))</f>
        <v>147.64256291235483</v>
      </c>
      <c r="EP194" s="59">
        <f t="shared" si="299"/>
        <v>70.859031694091868</v>
      </c>
      <c r="EQ194" s="15">
        <f>IF(ISNA(VLOOKUP(A194,'Données projet'!$A$201:$I$221,3,0)),0,VLOOKUP(A194,'Données projet'!$A$201:$I$221,3,0))</f>
        <v>0</v>
      </c>
      <c r="ER194" s="15">
        <f>IF(ISNA(VLOOKUP(A194,'Données projet'!$A$201:$I$221,4,0)),0,VLOOKUP(A194,'Données projet'!$A$201:$I$221,4,0))</f>
        <v>0</v>
      </c>
      <c r="ES194" s="16">
        <f>IF(ISNA(VLOOKUP(A194,'Données projet'!$A$201:$I$221,5,0)),0%,VLOOKUP(A194,'Données projet'!$A$201:$I$221,5,0)*VLOOKUP('Données projet'!$B$15,Paramètres!$A$1:$I$89,7,0))</f>
        <v>0</v>
      </c>
      <c r="ET194" s="16">
        <f>IF(ISNA(VLOOKUP(A194,'Données projet'!$A$201:$I$221,6,0)),0%,VLOOKUP(A194,'Données projet'!$A$201:$I$221,6,0)*VLOOKUP('Données projet'!$B$15,Paramètres!$A$1:$I$89,7,0))</f>
        <v>0</v>
      </c>
      <c r="EU194" s="16">
        <f>IF(ISNA(VLOOKUP(A194,'Données projet'!$A$201:$I$221,7,0)),0%,VLOOKUP(A194,'Données projet'!$A$201:$I$221,7,0))</f>
        <v>0</v>
      </c>
      <c r="EV194" s="21">
        <f>EXP(-LN(2)/35)*EV193+(1-EXP(-LN(2)/35))/(LN(2)/35)*ER194*ES194*VLOOKUP('Données projet'!$B$15,Paramètres!$A$1:$I$89,3,0)*0.475*44/12</f>
        <v>26.357765182670782</v>
      </c>
      <c r="EW194" s="21">
        <f>EXP(-LN(2)/25)*EW193+(1-EXP(-LN(2)/25))/(LN(2)/25)*Calculateur!ER194*Calculateur!ET194*VLOOKUP('Données projet'!$B$15,Paramètres!$A$1:$I$89,3,0)*0.475*44/12</f>
        <v>3.4227682902019616</v>
      </c>
      <c r="EX194" s="21">
        <f>EXP(-LN(2)/2)*EX193+(1-EXP(-LN(2)/2))/(LN(2)/2)*ER194*EU194*VLOOKUP('Données projet'!$B$15,Paramètres!$A$1:$I$89,3,0)*0.475*44/12</f>
        <v>8.3440178626521441E-12</v>
      </c>
      <c r="EY194" s="22">
        <f t="shared" si="346"/>
        <v>29.780533472881089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projet'!$A$227:$I$247,2,0)</f>
        <v>#N/A</v>
      </c>
      <c r="FC194" s="12" t="e">
        <f>VLOOKUP(A194,'Données projet'!$A$227:$I$247,9,0)</f>
        <v>#N/A</v>
      </c>
      <c r="FD194" s="12">
        <f t="array" ref="FD194">INDEX(FC:FC,MIN(IF(ISNUMBER(FC194:FC390),ROW(FC194:FC390),"")))</f>
        <v>0</v>
      </c>
      <c r="FE194" s="12">
        <f>IF('Données projet'!$A$228&gt;35,FE193+FD194-FM193,IF(A194&lt;'Données projet'!$A$228,$FB$205^A194,IF(A194='Données projet'!$A$228,'Données projet'!$B$228,FE193+FD194-FM193)))</f>
        <v>8.5265128291212022E-14</v>
      </c>
      <c r="FF194" s="17">
        <f>FE194*VLOOKUP('Données projet'!$B$16,Paramètres!$A$1:$I$89,3,0)*VLOOKUP('Données projet'!$B$16,Paramètres!$A$1:$I$89,5,0)</f>
        <v>8.9119112089974823E-14</v>
      </c>
      <c r="FG194" s="13">
        <f t="shared" si="347"/>
        <v>1.3568952080113142E-12</v>
      </c>
      <c r="FH194" s="20">
        <f t="shared" si="348"/>
        <v>2.5184749408430782E-12</v>
      </c>
      <c r="FI194" s="59">
        <f t="shared" si="246"/>
        <v>293.33333333333582</v>
      </c>
      <c r="FJ194" s="59">
        <f ca="1">AVERAGE(OFFSET($FI$3,0,0,'Données projet'!$E$16+1,1))-AVERAGE(OFFSET($H$3,0,0,'Données projet'!$E$16+1,1))</f>
        <v>259.03906550253788</v>
      </c>
      <c r="FK194" s="59">
        <f t="shared" si="301"/>
        <v>235.54542903570831</v>
      </c>
      <c r="FL194" s="15">
        <f>IF(ISNA(VLOOKUP(A194,'Données projet'!$A$227:$I$247,3,0)),0,VLOOKUP(A194,'Données projet'!$A$227:$I$247,3,0))</f>
        <v>0</v>
      </c>
      <c r="FM194" s="15">
        <f>IF(ISNA(VLOOKUP(A194,'Données projet'!$A$227:$I$247,4,0)),0,VLOOKUP(A194,'Données projet'!$A$227:$I$247,4,0))</f>
        <v>0</v>
      </c>
      <c r="FN194" s="16">
        <f>IF(ISNA(VLOOKUP(A194,'Données projet'!$A$227:$I$247,5,0)),0%,VLOOKUP(A194,'Données projet'!$A$227:$I$247,5,0)*VLOOKUP('Données projet'!$B$16,Paramètres!$A$1:$I$89,7,0))</f>
        <v>0</v>
      </c>
      <c r="FO194" s="16">
        <f>IF(ISNA(VLOOKUP(A194,'Données projet'!$A$227:$I$247,6,0)),0%,VLOOKUP(A194,'Données projet'!$A$227:$I$247,6,0)*VLOOKUP('Données projet'!$B$16,Paramètres!$A$1:$I$89,7,0))</f>
        <v>0</v>
      </c>
      <c r="FP194" s="16">
        <f>IF(ISNA(VLOOKUP(A194,'Données projet'!$A$227:$I$247,7,0)),0%,VLOOKUP(A194,'Données projet'!$A$227:$I$247,7,0))</f>
        <v>0</v>
      </c>
      <c r="FQ194" s="21">
        <f>EXP(-LN(2)/35)*FQ193+(1-EXP(-LN(2)/35))/(LN(2)/35)*FM194*FN194*VLOOKUP('Données projet'!$B$16,Paramètres!$A$1:$I$89,3,0)*0.475*44/12</f>
        <v>11.633601229243075</v>
      </c>
      <c r="FR194" s="21">
        <f>EXP(-LN(2)/25)*FR193+(1-EXP(-LN(2)/25))/(LN(2)/25)*Calculateur!FM194*Calculateur!FO194*VLOOKUP('Données projet'!$B$16,Paramètres!$A$1:$I$89,3,0)*0.475*44/12</f>
        <v>4.7086155939243195</v>
      </c>
      <c r="FS194" s="21">
        <f>EXP(-LN(2)/2)*FS193+(1-EXP(-LN(2)/2))/(LN(2)/2)*FM194*FP194*VLOOKUP('Données projet'!$B$16,Paramètres!$A$1:$I$89,3,0)*0.475*44/12</f>
        <v>0</v>
      </c>
      <c r="FT194" s="22">
        <f t="shared" si="349"/>
        <v>16.342216823167394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projet'!$A$253:$I$273,2,0)</f>
        <v>#N/A</v>
      </c>
      <c r="FX194" s="12" t="e">
        <f>VLOOKUP(A194,'Données projet'!$A$253:$I$273,9,0)</f>
        <v>#N/A</v>
      </c>
      <c r="FY194" s="12">
        <f t="array" ref="FY194">INDEX(FX:FX,MIN(IF(ISNUMBER(FX194:FX390),ROW(FX194:FX390),"")))</f>
        <v>0</v>
      </c>
      <c r="FZ194" s="12">
        <f>IF('Données projet'!$A$254&gt;35,FZ193+FY194-GH193,IF(A194&lt;'Données projet'!$A$254,$FW$205^A194,IF(A194='Données projet'!$A$254,'Données projet'!$B$254,FZ193+FY194-GH193)))</f>
        <v>-1.7053025658242404E-13</v>
      </c>
      <c r="GA194" s="17">
        <f>FZ194*VLOOKUP('Données projet'!$B$17,Paramètres!$A$1:$I$89,3,0)*VLOOKUP('Données projet'!$B$17,Paramètres!$A$1:$I$89,5,0)</f>
        <v>-1.4897523215040567E-13</v>
      </c>
      <c r="GB194" s="13" t="e">
        <f t="shared" si="350"/>
        <v>#NUM!</v>
      </c>
      <c r="GC194" s="20" t="e">
        <f t="shared" si="351"/>
        <v>#NUM!</v>
      </c>
      <c r="GD194" s="59" t="e">
        <f t="shared" si="249"/>
        <v>#NUM!</v>
      </c>
      <c r="GE194" s="59">
        <f ca="1">AVERAGE(OFFSET($GD$3,0,0,'Données projet'!$E$17+1,1))-AVERAGE(OFFSET($H$3,0,0,'Données projet'!$E$17+1,1))</f>
        <v>245.1983232777614</v>
      </c>
      <c r="GF194" s="59">
        <f t="shared" si="303"/>
        <v>242.34010522344573</v>
      </c>
      <c r="GG194" s="15">
        <f>IF(ISNA(VLOOKUP(A194,'Données projet'!$A$253:$I$273,3,0)),0,VLOOKUP(A194,'Données projet'!$A$253:$I$273,3,0))</f>
        <v>0</v>
      </c>
      <c r="GH194" s="15">
        <f>IF(ISNA(VLOOKUP(A194,'Données projet'!$A$253:$I$273,4,0)),0,VLOOKUP(A194,'Données projet'!$A$253:$I$273,4,0))</f>
        <v>0</v>
      </c>
      <c r="GI194" s="16">
        <f>IF(ISNA(VLOOKUP(A194,'Données projet'!$A$253:$I$273,5,0)),0%,VLOOKUP(A194,'Données projet'!$A$253:$I$273,5,0)*VLOOKUP('Données projet'!$B$17,Paramètres!$A$1:$I$89,7,0))</f>
        <v>0</v>
      </c>
      <c r="GJ194" s="16">
        <f>IF(ISNA(VLOOKUP(A194,'Données projet'!$A$253:$I$273,6,0)),0%,VLOOKUP(A194,'Données projet'!$A$253:$I$273,6,0)*VLOOKUP('Données projet'!$B$17,Paramètres!$A$1:$I$89,7,0))</f>
        <v>0</v>
      </c>
      <c r="GK194" s="16">
        <f>IF(ISNA(VLOOKUP(A194,'Données projet'!$A$253:$I$273,7,0)),0%,VLOOKUP(A194,'Données projet'!$A$253:$I$273,7,0))</f>
        <v>0</v>
      </c>
      <c r="GL194" s="21">
        <f>EXP(-LN(2)/35)*GL193+(1-EXP(-LN(2)/35))/(LN(2)/35)*GH194*GI194*VLOOKUP('Données projet'!$B$17,Paramètres!$A$1:$I$89,3,0)*0.475*44/12</f>
        <v>13.676894401784258</v>
      </c>
      <c r="GM194" s="21">
        <f>EXP(-LN(2)/25)*GM193+(1-EXP(-LN(2)/25))/(LN(2)/25)*Calculateur!GH194*Calculateur!GJ194*VLOOKUP('Données projet'!$B$17,Paramètres!$A$1:$I$89,3,0)*0.475*44/12</f>
        <v>1.0032912734961685</v>
      </c>
      <c r="GN194" s="21">
        <f>EXP(-LN(2)/2)*GN193+(1-EXP(-LN(2)/2))/(LN(2)/2)*GH194*GK194*VLOOKUP('Données projet'!$B$17,Paramètres!$A$1:$I$89,3,0)*0.475*44/12</f>
        <v>0</v>
      </c>
      <c r="GO194" s="21">
        <f t="shared" si="352"/>
        <v>14.680185675280427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projet'!$A$279:$I$299,2,0)</f>
        <v>#N/A</v>
      </c>
      <c r="GS194" s="12" t="e">
        <f>VLOOKUP(A194,'Données projet'!$A$279:$I$299,9,0)</f>
        <v>#N/A</v>
      </c>
      <c r="GT194" s="12">
        <f t="array" ref="GT194">INDEX(GS:GS,MIN(IF(ISNUMBER(GS194:GS390),ROW(GS194:GS390),"")))</f>
        <v>0</v>
      </c>
      <c r="GU194" s="12">
        <f>IF('Données projet'!$A$280&gt;35,GU193+GT194-HC193,IF(A194&lt;'Données projet'!$A$280,$GR$205^A194,IF(A194='Données projet'!$A$280,'Données projet'!$B$280,GU193+GT194-HC193)))</f>
        <v>-1.1368683772161603E-13</v>
      </c>
      <c r="GV194" s="17">
        <f>GU194*VLOOKUP('Données projet'!$B$18,Paramètres!$A$1:$I$89,3,0)*VLOOKUP('Données projet'!$B$18,Paramètres!$A$1:$I$89,5,0)</f>
        <v>-4.5815795601811263E-14</v>
      </c>
      <c r="GW194" s="13" t="e">
        <f t="shared" si="353"/>
        <v>#NUM!</v>
      </c>
      <c r="GX194" s="20" t="e">
        <f t="shared" si="354"/>
        <v>#NUM!</v>
      </c>
      <c r="GY194" s="59" t="e">
        <f t="shared" si="252"/>
        <v>#NUM!</v>
      </c>
      <c r="GZ194" s="59">
        <f ca="1">AVERAGE(OFFSET($GY$3,0,0,'Données projet'!$E$18+1,1))-AVERAGE(OFFSET($H$3,0,0,'Données projet'!$E$18+1,1))</f>
        <v>324.36162935850876</v>
      </c>
      <c r="HA194" s="59">
        <f t="shared" si="305"/>
        <v>265.23571072429735</v>
      </c>
      <c r="HB194" s="15">
        <f>IF(ISNA(VLOOKUP(A194,'Données projet'!$A$279:$I$299,3,0)),0,VLOOKUP(A194,'Données projet'!$A$279:$I$299,3,0))</f>
        <v>0</v>
      </c>
      <c r="HC194" s="15">
        <f>IF(ISNA(VLOOKUP(A194,'Données projet'!$A$279:$I$299,4,0)),0,VLOOKUP(A194,'Données projet'!$A$279:$I$299,4,0))</f>
        <v>0</v>
      </c>
      <c r="HD194" s="16">
        <f>IF(ISNA(VLOOKUP(A194,'Données projet'!$A$279:$I$299,5,0)),0%,VLOOKUP(A194,'Données projet'!$A$279:$I$299,5,0)*VLOOKUP('Données projet'!$B$18,Paramètres!$A$1:$I$89,7,0))</f>
        <v>0</v>
      </c>
      <c r="HE194" s="16">
        <f>IF(ISNA(VLOOKUP(A194,'Données projet'!$A$279:$I$299,6,0)),0%,VLOOKUP(A194,'Données projet'!$A$279:$I$299,6,0)*VLOOKUP('Données projet'!$B$18,Paramètres!$A$1:$I$89,7,0))</f>
        <v>0</v>
      </c>
      <c r="HF194" s="16">
        <f>IF(ISNA(VLOOKUP($A194,'Données projet'!$A$279:$I$299,7,0)),0%,VLOOKUP($A194,'Données projet'!$A$279:$I$299,7,0))</f>
        <v>0</v>
      </c>
      <c r="HG194" s="21">
        <f>EXP(-LN(2)/35)*HG193+(1-EXP(-LN(2)/35))/(LN(2)/35)*HC194*HD194*VLOOKUP('Données projet'!$B$18,Paramètres!$A$1:$I$89,3,0)*0.475*44/12</f>
        <v>26.208505071279816</v>
      </c>
      <c r="HH194" s="21">
        <f>EXP(-LN(2)/25)*HH193+(1-EXP(-LN(2)/25))/(LN(2)/25)*Calculateur!HC194*Calculateur!HE194*VLOOKUP('Données projet'!$B$18,Paramètres!$A$1:$I$89,3,0)*0.475*44/12</f>
        <v>1.1158393508794024</v>
      </c>
      <c r="HI194" s="21">
        <f>EXP(-LN(2)/2)*HI193+(1-EXP(-LN(2)/2))/(LN(2)/2)*HC194*HF194*VLOOKUP('Données projet'!$B$18,Paramètres!$A$1:$I$89,3,0)*0.475*44/12</f>
        <v>1.6774886884357707E-16</v>
      </c>
      <c r="HJ194" s="22">
        <f t="shared" si="355"/>
        <v>27.324344422159218</v>
      </c>
      <c r="HK194" s="74">
        <f>('Scénario référence'!$F$8+'Scénario référence'!$F$9+'Scénario référence'!$B$17+'Scénario référence'!$B$9+'Scénario référence'!$B$10)*70+IF((45+25*(1-EXP(-0.0175*$A194)))&lt;70,'Scénario référence'!$B$16*(45+25*(1-EXP(-0.0175*$A194))),70*'Scénario référence'!$B$16)+IF((32+38*(1-EXP(-0.0175*$A194)))&lt;70,'Scénario référence'!$B$18*(32+38*(1-EXP(-0.0175*$A194))),70*'Scénario référence'!$B$18)</f>
        <v>70</v>
      </c>
      <c r="HL194" s="12">
        <f>IF($A194&gt;30,10,('Scénario référence'!$B$16+'Scénario référence'!$B$17+'Scénario référence'!$B$18+'Scénario référence'!$B$9+'Scénario référence'!$B$10)*$A194*10/30+('Scénario référence'!$F$8+'Scénario référence'!$F$9)*10)</f>
        <v>10</v>
      </c>
      <c r="HM194" s="12" t="e">
        <f>VLOOKUP($A194,'Données projet'!$A$304:$I$324,2,0)</f>
        <v>#N/A</v>
      </c>
      <c r="HN194" s="12" t="e">
        <f>VLOOKUP($A194,'Données projet'!$A$304:$I$324,9,0)</f>
        <v>#N/A</v>
      </c>
      <c r="HO194" s="12">
        <f t="array" ref="HO194">INDEX(HN:HN,MIN(IF(ISNUMBER(HN194:HN390),ROW(HN194:HN390),"")))</f>
        <v>0</v>
      </c>
      <c r="HP194" s="12">
        <f>IF('Données projet'!$A$304&gt;35,HP193+HO194-HX193,IF($A194&lt;'Données projet'!$A$304,$CQ$205^$A194,IF($A194='Données projet'!$A$304,'Données projet'!$B$304,HP193+HO194-HX193)))</f>
        <v>0</v>
      </c>
      <c r="HQ194" s="17">
        <f>HP194*VLOOKUP('Données projet'!$B$19,Paramètres!$A$1:$I$89,3,0)*VLOOKUP('Données projet'!$B$19,Paramètres!$A$1:$I$89,5,0)</f>
        <v>0</v>
      </c>
      <c r="HR194" s="13" t="e">
        <f t="shared" si="306"/>
        <v>#NUM!</v>
      </c>
      <c r="HS194" s="14" t="e">
        <f t="shared" si="254"/>
        <v>#NUM!</v>
      </c>
      <c r="HT194" s="59" t="e">
        <f t="shared" si="255"/>
        <v>#NUM!</v>
      </c>
      <c r="HU194" s="59">
        <f ca="1">AVERAGE(OFFSET(HT$3,0,0,'Données projet'!$E$19+1,1))-AVERAGE(OFFSET($H$3,0,0,'Données projet'!$E$19+1,1))</f>
        <v>91.60721429656013</v>
      </c>
      <c r="HV194" s="59">
        <f t="shared" si="307"/>
        <v>258.94957804210856</v>
      </c>
      <c r="HW194" s="15">
        <f>IF(ISNA(VLOOKUP($A194,'Données projet'!$A$304:$I$324,3,0)),0,VLOOKUP($A194,'Données projet'!$A$304:$I$324,3,0))</f>
        <v>0</v>
      </c>
      <c r="HX194" s="15">
        <f>IF(ISNA(VLOOKUP($A194,'Données projet'!$A$304:$I$324,4,0)),0,VLOOKUP($A194,'Données projet'!$A$304:$I$324,4,0))</f>
        <v>0</v>
      </c>
      <c r="HY194" s="16">
        <f>IF(ISNA(VLOOKUP($A194,'Données projet'!$A$304:$I$324,5,0)),0%,VLOOKUP($A194,'Données projet'!$A$304:$I$324,5,0)*VLOOKUP('Données projet'!$B$19,Paramètres!$A$1:$I$89,7,0))</f>
        <v>0</v>
      </c>
      <c r="HZ194" s="16">
        <f>IF(ISNA(VLOOKUP($A194,'Données projet'!$A$304:$I$324,6,0)),0%,VLOOKUP($A194,'Données projet'!$A$304:$I$324,6,0)*VLOOKUP('Données projet'!$B$19,Paramètres!$A$1:$I$89,7,0))</f>
        <v>0</v>
      </c>
      <c r="IA194" s="16">
        <f>IF(ISNA(VLOOKUP($A194,'Données projet'!$A$304:$I$324,7,0)),0%,VLOOKUP($A194,'Données projet'!$A$304:$I$324,7,0))</f>
        <v>0</v>
      </c>
      <c r="IB194" s="21">
        <f>EXP(-LN(2)/35)*IB193+(1-EXP(-LN(2)/35))/(LN(2)/35)*HX194*HY194*VLOOKUP('Données projet'!$B$19,Paramètres!$A$1:$I$89,3,0)*0.475*44/12</f>
        <v>2.0342154415375875</v>
      </c>
      <c r="IC194" s="21">
        <f>EXP(-LN(2)/25)*IC193+(1-EXP(-LN(2)/25))/(LN(2)/25)*Calculateur!HX194*Calculateur!HZ194*VLOOKUP('Données projet'!$B$19,Paramètres!$A$1:$I$89,3,0)*0.475*44/12</f>
        <v>0.11204131244417617</v>
      </c>
      <c r="ID194" s="21">
        <f>EXP(-LN(2)/2)*ID193+(1-EXP(-LN(2)/2))/(LN(2)/2)*HX194*IA194*VLOOKUP('Données projet'!$B$19,Paramètres!$A$1:$I$89,3,0)*0.475*44/12</f>
        <v>3.3506419308810909E-25</v>
      </c>
      <c r="IE194" s="22">
        <f t="shared" si="256"/>
        <v>2.1462567539817639</v>
      </c>
      <c r="IF194" s="74">
        <f>('Scénario référence'!$F$8+'Scénario référence'!$F$9+'Scénario référence'!$B$17+'Scénario référence'!$B$9+'Scénario référence'!$B$10)*70+IF((45+25*(1-EXP(-0.0175*$A194)))&lt;70,'Scénario référence'!$B$16*(45+25*(1-EXP(-0.0175*$A194))),70*'Scénario référence'!$B$16)+IF((32+38*(1-EXP(-0.0175*$A194)))&lt;70,'Scénario référence'!$B$18*(32+38*(1-EXP(-0.0175*$A194))),70*'Scénario référence'!$B$18)</f>
        <v>70</v>
      </c>
      <c r="IG194" s="12">
        <f>IF($A194&gt;30,10,('Scénario référence'!$B$16+'Scénario référence'!$B$17+'Scénario référence'!$B$18+'Scénario référence'!$B$9+'Scénario référence'!$B$10)*$A194*10/30+('Scénario référence'!$F$8+'Scénario référence'!$F$9)*10)</f>
        <v>10</v>
      </c>
      <c r="IH194" s="12" t="e">
        <f>VLOOKUP($A194,'Données projet'!$A$330:$I$350,2,0)</f>
        <v>#N/A</v>
      </c>
      <c r="II194" s="12" t="e">
        <f>VLOOKUP($A194,'Données projet'!$A$330:$I$350,9,0)</f>
        <v>#N/A</v>
      </c>
      <c r="IJ194" s="12">
        <f t="array" ref="IJ194">INDEX(II:II,MIN(IF(ISNUMBER(II194:II390),ROW(II194:II390),"")))</f>
        <v>0</v>
      </c>
      <c r="IK194" s="12">
        <f>IF('Données projet'!$A$330&gt;35,IK193+IJ194-IS193,IF($A194&lt;'Données projet'!$A$330,$CQ$205^$A194,IF($A194='Données projet'!$A$330,'Données projet'!$B$330,IK193+IJ194-IS193)))</f>
        <v>0</v>
      </c>
      <c r="IL194" s="17">
        <f>IK194*VLOOKUP('Données projet'!$B$20,Paramètres!$A$1:$I$89,3,0)*VLOOKUP('Données projet'!$B$20,Paramètres!$A$1:$I$89,5,0)</f>
        <v>0</v>
      </c>
      <c r="IM194" s="13" t="e">
        <f t="shared" si="308"/>
        <v>#NUM!</v>
      </c>
      <c r="IN194" s="20" t="e">
        <f t="shared" si="257"/>
        <v>#NUM!</v>
      </c>
      <c r="IO194" s="59" t="e">
        <f t="shared" si="258"/>
        <v>#NUM!</v>
      </c>
      <c r="IP194" s="59">
        <f ca="1">AVERAGE(OFFSET(IO$3,0,0,'Données projet'!$E$20+1,1))-AVERAGE(OFFSET($H$3,0,0,'Données projet'!$E$20+1,1))</f>
        <v>91.60721429656013</v>
      </c>
      <c r="IQ194" s="59">
        <f t="shared" si="309"/>
        <v>258.94957804210856</v>
      </c>
      <c r="IR194" s="15">
        <f>IF(ISNA(VLOOKUP($A194,'Données projet'!$A$330:$I$350,3,0)),0,VLOOKUP($A194,'Données projet'!$A$330:$I$350,3,0))</f>
        <v>0</v>
      </c>
      <c r="IS194" s="15">
        <f>IF(ISNA(VLOOKUP($A194,'Données projet'!$A$330:$I$350,4,0)),0,VLOOKUP($A194,'Données projet'!$A$330:$I$350,4,0))</f>
        <v>0</v>
      </c>
      <c r="IT194" s="16">
        <f>IF(ISNA(VLOOKUP($A194,'Données projet'!$A$330:$I$350,5,0)),0%,VLOOKUP($A194,'Données projet'!$A$330:$I$350,5,0)*VLOOKUP('Données projet'!$B$20,Paramètres!$A$1:$I$89,7,0))</f>
        <v>0</v>
      </c>
      <c r="IU194" s="16">
        <f>IF(ISNA(VLOOKUP($A194,'Données projet'!$A$330:$I$350,6,0)),0%,VLOOKUP($A194,'Données projet'!$A$330:$I$350,6,0)*VLOOKUP('Données projet'!$B$20,Paramètres!$A$1:$I$89,7,0))</f>
        <v>0</v>
      </c>
      <c r="IV194" s="16">
        <f>IF(ISNA(VLOOKUP($A194,'Données projet'!$A$330:$I$350,7,0)),0%,VLOOKUP($A194,'Données projet'!$A$330:$I$350,7,0))</f>
        <v>0</v>
      </c>
      <c r="IW194" s="21">
        <f>EXP(-LN(2)/35)*IW193+(1-EXP(-LN(2)/35))/(LN(2)/35)*IS194*IT194*VLOOKUP('Données projet'!$B$20,Paramètres!$A$1:$I$89,3,0)*0.475*44/12</f>
        <v>2.0342154415375875</v>
      </c>
      <c r="IX194" s="21">
        <f>EXP(-LN(2)/25)*IX193+(1-EXP(-LN(2)/25))/(LN(2)/25)*Calculateur!IS194*Calculateur!IU194*VLOOKUP('Données projet'!$B$20,Paramètres!$A$1:$I$89,3,0)*0.475*44/12</f>
        <v>0.11204131244417617</v>
      </c>
      <c r="IY194" s="21">
        <f>EXP(-LN(2)/2)*IY193+(1-EXP(-LN(2)/2))/(LN(2)/2)*IS194*IV194*VLOOKUP('Données projet'!$B$20,Paramètres!$A$1:$I$89,3,0)*0.475*44/12</f>
        <v>3.3506419308810909E-25</v>
      </c>
      <c r="IZ194" s="22">
        <f t="shared" si="259"/>
        <v>2.1462567539817639</v>
      </c>
      <c r="JA194" s="74">
        <f>('Scénario référence'!$F$8+'Scénario référence'!$F$9+'Scénario référence'!$B$17+'Scénario référence'!$B$9+'Scénario référence'!$B$10)*70+IF((45+25*(1-EXP(-0.0175*$A194)))&lt;70,'Scénario référence'!$B$16*(45+25*(1-EXP(-0.0175*$A194))),70*'Scénario référence'!$B$16)+IF((32+38*(1-EXP(-0.0175*$A194)))&lt;70,'Scénario référence'!$B$18*(32+38*(1-EXP(-0.0175*$A194))),70*'Scénario référence'!$B$18)</f>
        <v>70</v>
      </c>
      <c r="JB194" s="12">
        <f>IF($A194&gt;30,10,('Scénario référence'!$B$16+'Scénario référence'!$B$17+'Scénario référence'!$B$18+'Scénario référence'!$B$9+'Scénario référence'!$B$10)*$A194*10/30+('Scénario référence'!$F$8+'Scénario référence'!$F$9)*10)</f>
        <v>10</v>
      </c>
      <c r="JC194" s="12" t="e">
        <f>VLOOKUP($A194,'Données projet'!$A$356:$I$376,2,0)</f>
        <v>#N/A</v>
      </c>
      <c r="JD194" s="12" t="e">
        <f>VLOOKUP($A194,'Données projet'!$A$356:$I$376,9,0)</f>
        <v>#N/A</v>
      </c>
      <c r="JE194" s="12">
        <f t="array" ref="JE194">INDEX(JD:JD,MIN(IF(ISNUMBER(JD194:JD390),ROW(JD194:JD390),"")))</f>
        <v>0</v>
      </c>
      <c r="JF194" s="12">
        <f>IF('Données projet'!$A$356&gt;35,JF193+JE194-JN193,IF($A194&lt;'Données projet'!$A$356,$CQ$205^$A194,IF($A194='Données projet'!$A$356,'Données projet'!$B$356,JF193+JE194-JN193)))</f>
        <v>-1.3073986337985843E-12</v>
      </c>
      <c r="JG194" s="17">
        <f>JF194*VLOOKUP('Données projet'!$B$21,Paramètres!$A$1:$I$89,3,0)*VLOOKUP('Données projet'!$B$21,Paramètres!$A$1:$I$89,5,0)</f>
        <v>-1.0605617717374117E-12</v>
      </c>
      <c r="JH194" s="13" t="e">
        <f t="shared" si="310"/>
        <v>#NUM!</v>
      </c>
      <c r="JI194" s="20" t="e">
        <f t="shared" si="260"/>
        <v>#NUM!</v>
      </c>
      <c r="JJ194" s="59" t="e">
        <f t="shared" si="261"/>
        <v>#NUM!</v>
      </c>
      <c r="JK194" s="59">
        <f ca="1">AVERAGE(OFFSET($JJ$3,0,0,'Données projet'!$E$22+1,1))-AVERAGE(OFFSET($H$3,0,0,'Données projet'!$E$22+1,1))</f>
        <v>353.35574633294613</v>
      </c>
      <c r="JL194" s="59">
        <f t="shared" si="311"/>
        <v>170.36796666474726</v>
      </c>
      <c r="JM194" s="15">
        <f>IF(ISNA(VLOOKUP($A194,'Données projet'!$A$356:$I$376,3,0)),0,VLOOKUP($A194,'Données projet'!$A$356:$I$376,3,0))</f>
        <v>0</v>
      </c>
      <c r="JN194" s="15">
        <f>IF(ISNA(VLOOKUP($A194,'Données projet'!$A$356:$I$376,4,0)),0,VLOOKUP($A194,'Données projet'!$A$356:$I$376,4,0))</f>
        <v>0</v>
      </c>
      <c r="JO194" s="16">
        <f>IF(ISNA(VLOOKUP($A194,'Données projet'!$A$356:$I$376,5,0)),0%,VLOOKUP($A194,'Données projet'!$A$356:$I$376,5,0)*VLOOKUP('Données projet'!$B$21,Paramètres!$A$1:$I$89,7,0))</f>
        <v>0</v>
      </c>
      <c r="JP194" s="16">
        <f>IF(ISNA(VLOOKUP($A194,'Données projet'!$A$356:$I$376,6,0)),0%,VLOOKUP($A194,'Données projet'!$A$356:$I$376,6,0)*VLOOKUP('Données projet'!$B$21,Paramètres!$A$1:$I$89,7,0))</f>
        <v>0</v>
      </c>
      <c r="JQ194" s="16">
        <f>IF(ISNA(VLOOKUP($A194,'Données projet'!$A$356:$I$376,7,0)),0%,VLOOKUP($A194,'Données projet'!$A$356:$I$376,7,0))</f>
        <v>0</v>
      </c>
      <c r="JR194" s="21">
        <f>EXP(-LN(2)/35)*JR193+(1-EXP(-LN(2)/35))/(LN(2)/35)*JN194*JO194*VLOOKUP('Données projet'!$B$21,Paramètres!$A$1:$I$89,3,0)*0.475*44/12</f>
        <v>32.611506797561283</v>
      </c>
      <c r="JS194" s="21">
        <f>EXP(-LN(2)/25)*JS193+(1-EXP(-LN(2)/25))/(LN(2)/25)*Calculateur!JN194*Calculateur!JP194*VLOOKUP('Données projet'!$B$21,Paramètres!$A$1:$I$89,3,0)*0.475*44/12</f>
        <v>24.522073129917992</v>
      </c>
      <c r="JT194" s="21">
        <f>EXP(-LN(2)/2)*JT193+(1-EXP(-LN(2)/2))/(LN(2)/2)*JN194*JQ194*VLOOKUP('Données projet'!$B$21,Paramètres!$A$1:$I$89,3,0)*0.475*44/12</f>
        <v>2.3124072029435995E-5</v>
      </c>
      <c r="JU194" s="18">
        <f t="shared" si="262"/>
        <v>57.133603051551304</v>
      </c>
      <c r="JV194" s="74">
        <f>('Scénario référence'!$F$8+'Scénario référence'!$F$9+'Scénario référence'!$B$17+'Scénario référence'!$B$9+'Scénario référence'!$B$10)*70+IF((45+25*(1-EXP(-0.0175*$A194)))&lt;70,'Scénario référence'!$B$16*(45+25*(1-EXP(-0.0175*$A194))),70*'Scénario référence'!$B$16)+IF((32+38*(1-EXP(-0.0175*$A194)))&lt;70,'Scénario référence'!$B$18*(32+38*(1-EXP(-0.0175*$A194))),70*'Scénario référence'!$B$18)</f>
        <v>70</v>
      </c>
      <c r="JW194" s="12">
        <f>IF($A194&gt;30,10,('Scénario référence'!$B$16+'Scénario référence'!$B$17+'Scénario référence'!$B$18+'Scénario référence'!$B$9+'Scénario référence'!$B$10)*$A194*10/30+('Scénario référence'!$F$8+'Scénario référence'!$F$9)*10)</f>
        <v>10</v>
      </c>
      <c r="JX194" s="12" t="e">
        <f>VLOOKUP($A194,'Données projet'!$A$382:$I$402,2,0)</f>
        <v>#N/A</v>
      </c>
      <c r="JY194" s="12" t="e">
        <f>VLOOKUP($A194,'Données projet'!$A$382:$I$402,9,0)</f>
        <v>#N/A</v>
      </c>
      <c r="JZ194" s="12">
        <f t="array" ref="JZ194">INDEX(JY:JY,MIN(IF(ISNUMBER(JY194:JY390),ROW(JY194:JY390),"")))</f>
        <v>0</v>
      </c>
      <c r="KA194" s="12">
        <f>IF('Données projet'!$A$382&gt;35,KA193+JZ194-KI193,IF($A194&lt;'Données projet'!$A$382,$CQ$205^$A194,IF($A194='Données projet'!$A$382,'Données projet'!$B$382,KA193+JZ194-KI193)))</f>
        <v>5.6843418860808015E-13</v>
      </c>
      <c r="KB194" s="17">
        <f>KA194*VLOOKUP('Données projet'!$B$22,Paramètres!$A$1:$I$89,3,0)*VLOOKUP('Données projet'!$B$22,Paramètres!$A$1:$I$89,5,0)</f>
        <v>3.8130565371830017E-13</v>
      </c>
      <c r="KC194" s="13">
        <f t="shared" si="312"/>
        <v>4.9019074112354236E-12</v>
      </c>
      <c r="KD194" s="20">
        <f t="shared" si="263"/>
        <v>9.2015960881277352E-12</v>
      </c>
      <c r="KE194" s="59">
        <f t="shared" si="264"/>
        <v>293.33333333334252</v>
      </c>
      <c r="KF194" s="59">
        <f ca="1">AVERAGE(OFFSET($KE$3,0,0,'Données projet'!$E$22+1,1))-AVERAGE(OFFSET($H$3,0,0,'Données projet'!$E$22+1,1))</f>
        <v>193.91714772848269</v>
      </c>
      <c r="KG194" s="59">
        <f t="shared" si="313"/>
        <v>159.20429420478047</v>
      </c>
      <c r="KH194" s="15">
        <f>IF(ISNA(VLOOKUP($A194,'Données projet'!$A$382:$I$402,3,0)),0,VLOOKUP($A194,'Données projet'!$A$382:$I$402,3,0))</f>
        <v>0</v>
      </c>
      <c r="KI194" s="15">
        <f>IF(ISNA(VLOOKUP($A194,'Données projet'!$A$382:$I$402,4,0)),0,VLOOKUP($A194,'Données projet'!$A$382:$I$402,4,0))</f>
        <v>0</v>
      </c>
      <c r="KJ194" s="16">
        <f>IF(ISNA(VLOOKUP($A194,'Données projet'!$A$382:$I$402,5,0)),0%,VLOOKUP($A194,'Données projet'!$A$382:$I$402,5,0)*VLOOKUP('Données projet'!$B$22,Paramètres!$A$1:$I$89,7,0))</f>
        <v>0</v>
      </c>
      <c r="KK194" s="16">
        <f>IF(ISNA(VLOOKUP($A194,'Données projet'!$A$382:$I$402,6,0)),0%,VLOOKUP($A194,'Données projet'!$A$382:$I$402,6,0)*VLOOKUP('Données projet'!$B$22,Paramètres!$A$1:$I$89,7,0))</f>
        <v>0</v>
      </c>
      <c r="KL194" s="16">
        <f>IF(ISNA(VLOOKUP($A194,'Données projet'!$A$382:$I$402,7,0)),0%,VLOOKUP($A194,'Données projet'!$A$382:$I$402,7,0))</f>
        <v>0</v>
      </c>
      <c r="KM194" s="21">
        <f>EXP(-LN(2)/35)*KM193+(1-EXP(-LN(2)/35))/(LN(2)/35)*KI194*KJ194*VLOOKUP('Données projet'!$B$22,Paramètres!$A$1:$I$89,3,0)*0.475*44/12</f>
        <v>47.61639922995775</v>
      </c>
      <c r="KN194" s="21">
        <f>EXP(-LN(2)/25)*KN193+(1-EXP(-LN(2)/25))/(LN(2)/25)*Calculateur!KI194*Calculateur!KK194*VLOOKUP('Données projet'!$B$22,Paramètres!$A$1:$I$89,3,0)*0.475*44/12</f>
        <v>0</v>
      </c>
      <c r="KO194" s="21">
        <f>EXP(-LN(2)/2)*KO193+(1-EXP(-LN(2)/2))/(LN(2)/2)*KI194*KL194*VLOOKUP('Données projet'!$B$22,Paramètres!$A$1:$I$89,3,0)*0.475*44/12</f>
        <v>0</v>
      </c>
      <c r="KP194" s="22">
        <f t="shared" si="265"/>
        <v>47.61639922995775</v>
      </c>
      <c r="KQ194" s="74">
        <f>('Scénario référence'!$F$8+'Scénario référence'!$F$9+'Scénario référence'!$B$17+'Scénario référence'!$B$9+'Scénario référence'!$B$10)*70+IF((45+25*(1-EXP(-0.0175*$A194)))&lt;70,'Scénario référence'!$B$16*(45+25*(1-EXP(-0.0175*$A194))),70*'Scénario référence'!$B$16)+IF((32+38*(1-EXP(-0.0175*$A194)))&lt;70,'Scénario référence'!$B$18*(32+38*(1-EXP(-0.0175*$A194))),70*'Scénario référence'!$B$18)</f>
        <v>70</v>
      </c>
      <c r="KR194" s="12">
        <f>IF($A194&gt;30,10,('Scénario référence'!$B$16+'Scénario référence'!$B$17+'Scénario référence'!$B$18+'Scénario référence'!$B$9+'Scénario référence'!$B$10)*$A194*10/30+('Scénario référence'!$F$8+'Scénario référence'!$F$9)*10)</f>
        <v>10</v>
      </c>
      <c r="KS194" s="12" t="e">
        <f>VLOOKUP($A194,'Données projet'!$A$408:$I$428,2,0)</f>
        <v>#N/A</v>
      </c>
      <c r="KT194" s="12" t="e">
        <f>VLOOKUP($A194,'Données projet'!$A$408:$I$428,9,0)</f>
        <v>#N/A</v>
      </c>
      <c r="KU194" s="12">
        <f t="array" ref="KU194">INDEX(KT:KT,MIN(IF(ISNUMBER(KT194:KT390),ROW(KT194:KT390),"")))</f>
        <v>0</v>
      </c>
      <c r="KV194" s="12">
        <f>IF('Données projet'!$A$408&gt;35,KV193+KU194-LD193,IF($A194&lt;'Données projet'!$A$408,$CQ$205^$A194,IF($A194='Données projet'!$A$408,'Données projet'!$B$408,KV193+KU194-LD193)))</f>
        <v>-1.1368683772161603E-13</v>
      </c>
      <c r="KW194" s="17">
        <f>KV194*VLOOKUP('Données projet'!$B$23,Paramètres!$A$1:$I$89,3,0)*VLOOKUP('Données projet'!$B$23,Paramètres!$A$1:$I$89,5,0)</f>
        <v>-9.9316821433603781E-14</v>
      </c>
      <c r="KX194" s="13" t="e">
        <f t="shared" si="314"/>
        <v>#NUM!</v>
      </c>
      <c r="KY194" s="14" t="e">
        <f t="shared" si="266"/>
        <v>#NUM!</v>
      </c>
      <c r="KZ194" s="59" t="e">
        <f t="shared" si="267"/>
        <v>#NUM!</v>
      </c>
      <c r="LA194" s="59">
        <f ca="1">AVERAGE(OFFSET($KZ$3,0,0,'Données projet'!$E$23+1,1))-AVERAGE(OFFSET($H$3,0,0,'Données projet'!$E$23+1,1))</f>
        <v>248.33596943633819</v>
      </c>
      <c r="LB194" s="59">
        <f t="shared" si="315"/>
        <v>242.34010522344573</v>
      </c>
      <c r="LC194" s="15">
        <f>IF(ISNA(VLOOKUP($A194,'Données projet'!$A$408:$I$428,3,0)),0,VLOOKUP($A194,'Données projet'!$A$408:$I$428,3,0))</f>
        <v>0</v>
      </c>
      <c r="LD194" s="15">
        <f>IF(ISNA(VLOOKUP($A194,'Données projet'!$A$408:$I$428,4,0)),0,VLOOKUP($A194,'Données projet'!$A$408:$I$428,4,0))</f>
        <v>0</v>
      </c>
      <c r="LE194" s="16">
        <f>IF(ISNA(VLOOKUP($A194,'Données projet'!$A$408:$I$428,5,0)),0%,VLOOKUP($A194,'Données projet'!$A$408:$I$428,5,0)*VLOOKUP('Données projet'!$B$23,Paramètres!$A$1:$I$89,7,0))</f>
        <v>0</v>
      </c>
      <c r="LF194" s="16">
        <f>IF(ISNA(VLOOKUP($A194,'Données projet'!$A$408:$I$428,6,0)),0%,VLOOKUP($A194,'Données projet'!$A$408:$I$428,6,0)*VLOOKUP('Données projet'!$B$23,Paramètres!$A$1:$I$89,7,0))</f>
        <v>0</v>
      </c>
      <c r="LG194" s="16">
        <f>IF(ISNA(VLOOKUP($A194,'Données projet'!$A$408:$I$428,7,0)),0%,VLOOKUP($A194,'Données projet'!$A$408:$I$428,7,0))</f>
        <v>0</v>
      </c>
      <c r="LH194" s="21">
        <f>EXP(-LN(2)/35)*LH193+(1-EXP(-LN(2)/35))/(LN(2)/35)*LD194*LE194*VLOOKUP('Données projet'!$B$23,Paramètres!$A$1:$I$89,3,0)*0.475*44/12</f>
        <v>13.676894401784258</v>
      </c>
      <c r="LI194" s="21">
        <f>EXP(-LN(2)/25)*LI193+(1-EXP(-LN(2)/25))/(LN(2)/25)*Calculateur!LD194*Calculateur!LF194*VLOOKUP('Données projet'!$B$23,Paramètres!$A$1:$I$89,3,0)*0.475*44/12</f>
        <v>1.0032912734961685</v>
      </c>
      <c r="LJ194" s="21">
        <f>EXP(-LN(2)/2)*LJ193+(1-EXP(-LN(2)/2))/(LN(2)/2)*LD194*LG194*VLOOKUP('Données projet'!$B$23,Paramètres!$A$1:$I$89,3,0)*0.475*44/12</f>
        <v>0</v>
      </c>
      <c r="LK194" s="22">
        <f t="shared" si="268"/>
        <v>14.680185675280427</v>
      </c>
      <c r="LL194" s="74">
        <f>('Scénario référence'!$F$8+'Scénario référence'!$F$9+'Scénario référence'!$B$17+'Scénario référence'!$B$9+'Scénario référence'!$B$10)*70+IF((45+25*(1-EXP(-0.0175*$A194)))&lt;70,'Scénario référence'!$B$16*(45+25*(1-EXP(-0.0175*$A194))),70*'Scénario référence'!$B$16)+IF((32+38*(1-EXP(-0.0175*$A194)))&lt;70,'Scénario référence'!$B$18*(32+38*(1-EXP(-0.0175*$A194))),70*'Scénario référence'!$B$18)</f>
        <v>70</v>
      </c>
      <c r="LM194" s="12">
        <f>IF($A194&gt;30,10,('Scénario référence'!$B$16+'Scénario référence'!$B$17+'Scénario référence'!$B$18+'Scénario référence'!$B$9+'Scénario référence'!$B$10)*$A194*10/30+('Scénario référence'!$F$8+'Scénario référence'!$F$9)*10)</f>
        <v>10</v>
      </c>
      <c r="LN194" s="12" t="e">
        <f>VLOOKUP($A194,'Données projet'!$A$434:$I$454,2,0)</f>
        <v>#N/A</v>
      </c>
      <c r="LO194" s="12" t="e">
        <f>VLOOKUP($A194,'Données projet'!$A$434:$I$454,9,0)</f>
        <v>#N/A</v>
      </c>
      <c r="LP194" s="12">
        <f t="array" ref="LP194">INDEX(LO:LO,MIN(IF(ISNUMBER(LO194:LO390),ROW(LO194:LO390),"")))</f>
        <v>0</v>
      </c>
      <c r="LQ194" s="12">
        <f>IF('Données projet'!$A$434&gt;35,LQ193+LP194-LY193,IF($A194&lt;'Données projet'!$A$434,$CQ$205^$A194,IF($A194='Données projet'!$A$434,'Données projet'!$B$434,LQ193+LP194-LY193)))</f>
        <v>-4.5474735088646412E-13</v>
      </c>
      <c r="LR194" s="17">
        <f>LQ194*VLOOKUP('Données projet'!$B$24,Paramètres!$A$1:$I$89,3,0)*VLOOKUP('Données projet'!$B$24,Paramètres!$A$1:$I$89,5,0)</f>
        <v>-4.6111381379887462E-13</v>
      </c>
      <c r="LS194" s="13" t="e">
        <f t="shared" si="316"/>
        <v>#NUM!</v>
      </c>
      <c r="LT194" s="14" t="e">
        <f t="shared" si="269"/>
        <v>#NUM!</v>
      </c>
      <c r="LU194" s="59" t="e">
        <f t="shared" si="270"/>
        <v>#NUM!</v>
      </c>
      <c r="LV194" s="59">
        <f ca="1">AVERAGE(OFFSET($LU$3,0,0,'Données projet'!$E$24+1,1))-AVERAGE(OFFSET($H$3,0,0,'Données projet'!$E$24+1,1))</f>
        <v>260.52627655062872</v>
      </c>
      <c r="LW194" s="59">
        <f t="shared" si="317"/>
        <v>159.20429420478047</v>
      </c>
      <c r="LX194" s="15">
        <f>IF(ISNA(VLOOKUP($A194,'Données projet'!$A$434:$I$454,3,0)),0,VLOOKUP($A194,'Données projet'!$A$434:$I$454,3,0))</f>
        <v>0</v>
      </c>
      <c r="LY194" s="15">
        <f>IF(ISNA(VLOOKUP($A194,'Données projet'!$A$434:$I$454,4,0)),0,VLOOKUP($A194,'Données projet'!$A$434:$I$454,4,0))</f>
        <v>0</v>
      </c>
      <c r="LZ194" s="16">
        <f>IF(ISNA(VLOOKUP($A194,'Données projet'!$A$434:$I$454,5,0)),0%,VLOOKUP($A194,'Données projet'!$A$434:$I$454,5,0)*VLOOKUP('Données projet'!$B$24,Paramètres!$A$1:$I$89,7,0))</f>
        <v>0</v>
      </c>
      <c r="MA194" s="16">
        <f>IF(ISNA(VLOOKUP($A194,'Données projet'!$A$434:$I$454,6,0)),0%,VLOOKUP($A194,'Données projet'!$A$434:$I$454,6,0)*VLOOKUP('Données projet'!$B$24,Paramètres!$A$1:$I$89,7,0))</f>
        <v>0</v>
      </c>
      <c r="MB194" s="16">
        <f>IF(ISNA(VLOOKUP($A194,'Données projet'!$A$434:$I$454,7,0)),0%,VLOOKUP($A194,'Données projet'!$A$434:$I$454,7,0))</f>
        <v>0</v>
      </c>
      <c r="MC194" s="21">
        <f>EXP(-LN(2)/35)*MC193+(1-EXP(-LN(2)/35))/(LN(2)/35)*LY194*LZ194*VLOOKUP('Données projet'!$B$24,Paramètres!$A$1:$I$89,3,0)*0.475*44/12</f>
        <v>87.937785534399154</v>
      </c>
      <c r="MD194" s="21">
        <f>EXP(-LN(2)/25)*MD193+(1-EXP(-LN(2)/25))/(LN(2)/25)*Calculateur!LY194*Calculateur!MA194*VLOOKUP('Données projet'!$B$24,Paramètres!$A$1:$I$89,3,0)*0.475*44/12</f>
        <v>0</v>
      </c>
      <c r="ME194" s="21">
        <f>EXP(-LN(2)/2)*ME193+(1-EXP(-LN(2)/2))/(LN(2)/2)*LY194*MB194*VLOOKUP('Données projet'!$B$24,Paramètres!$A$1:$I$89,3,0)*0.475*44/12</f>
        <v>0</v>
      </c>
      <c r="MF194" s="22">
        <f t="shared" si="271"/>
        <v>87.937785534399154</v>
      </c>
      <c r="MG194" s="74">
        <f>('Scénario référence'!$F$8+'Scénario référence'!$F$9+'Scénario référence'!$B$17+'Scénario référence'!$B$9+'Scénario référence'!$B$10)*70+IF((45+25*(1-EXP(-0.0175*$A194)))&lt;70,'Scénario référence'!$B$16*(45+25*(1-EXP(-0.0175*$A194))),70*'Scénario référence'!$B$16)+IF((32+38*(1-EXP(-0.0175*$A194)))&lt;70,'Scénario référence'!$B$18*(32+38*(1-EXP(-0.0175*$A194))),70*'Scénario référence'!$B$18)</f>
        <v>70</v>
      </c>
      <c r="MH194" s="12">
        <f>IF($A194&gt;30,10,('Scénario référence'!$B$16+'Scénario référence'!$B$17+'Scénario référence'!$B$18+'Scénario référence'!$B$9+'Scénario référence'!$B$10)*$A194*10/30+('Scénario référence'!$F$8+'Scénario référence'!$F$9)*10)</f>
        <v>10</v>
      </c>
      <c r="MI194" s="12" t="e">
        <f>VLOOKUP($A194,'Données projet'!$A$460:$I$480,2,0)</f>
        <v>#N/A</v>
      </c>
      <c r="MJ194" s="12" t="e">
        <f>VLOOKUP($A194,'Données projet'!$A$460:$I$480,9,0)</f>
        <v>#N/A</v>
      </c>
      <c r="MK194" s="12">
        <f t="array" ref="MK194">INDEX(MJ:MJ,MIN(IF(ISNUMBER(MJ194:MJ390),ROW(MJ194:MJ390),"")))</f>
        <v>0</v>
      </c>
      <c r="ML194" s="12">
        <f>IF('Données projet'!$A$460&gt;35,ML193+MK194-MT193,IF($A194&lt;'Données projet'!$A$460,$CQ$205^$A194,IF($A194='Données projet'!$A$460,'Données projet'!$B$460,ML193+MK194-MT193)))</f>
        <v>0</v>
      </c>
      <c r="MM194" s="17" t="e">
        <f>ML194*VLOOKUP('Données projet'!$B$25,Paramètres!$A$1:$I$89,3,0)*VLOOKUP('Données projet'!$B$25,Paramètres!$A$1:$I$89,5,0)</f>
        <v>#N/A</v>
      </c>
      <c r="MN194" s="13" t="e">
        <f t="shared" si="318"/>
        <v>#N/A</v>
      </c>
      <c r="MO194" s="14" t="e">
        <f t="shared" si="272"/>
        <v>#N/A</v>
      </c>
      <c r="MP194" s="59" t="e">
        <f t="shared" si="273"/>
        <v>#N/A</v>
      </c>
      <c r="MQ194" s="20" t="e">
        <f ca="1">AVERAGE(OFFSET($MP$3,0,0,'Données projet'!$E$25+1,1))-AVERAGE(OFFSET($H$3,0,0,'Données projet'!$E$25+1,1))</f>
        <v>#N/A</v>
      </c>
      <c r="MR194" s="59" t="e">
        <f t="shared" si="319"/>
        <v>#N/A</v>
      </c>
      <c r="MS194" s="15">
        <f>IF(ISNA(VLOOKUP($A194,'Données projet'!$A$460:$I$480,3,0)),0,VLOOKUP($A194,'Données projet'!$A$460:$I$480,3,0))</f>
        <v>0</v>
      </c>
      <c r="MT194" s="15">
        <f>IF(ISNA(VLOOKUP($A194,'Données projet'!$A$460:$I$480,4,0)),0,VLOOKUP($A194,'Données projet'!$A$460:$I$480,4,0))</f>
        <v>0</v>
      </c>
      <c r="MU194" s="16">
        <f>IF(ISNA(VLOOKUP($A194,'Données projet'!$A$460:$I$480,5,0)),0%,VLOOKUP($A194,'Données projet'!$A$460:$I$480,5,0)*VLOOKUP('Données projet'!$B$25,Paramètres!$A$1:$I$89,7,0))</f>
        <v>0</v>
      </c>
      <c r="MV194" s="16">
        <f>IF(ISNA(VLOOKUP($A194,'Données projet'!$A$460:$I$480,6,0)),0%,VLOOKUP($A194,'Données projet'!$A$460:$I$480,6,0)*VLOOKUP('Données projet'!$B$25,Paramètres!$A$1:$I$89,7,0))</f>
        <v>0</v>
      </c>
      <c r="MW194" s="16">
        <f>IF(ISNA(VLOOKUP($A194,'Données projet'!$A$460:$I$480,7,0)),0%,VLOOKUP($A194,'Données projet'!$A$460:$I$480,7,0))</f>
        <v>0</v>
      </c>
      <c r="MX194" s="21" t="e">
        <f>EXP(-LN(2)/35)*MX193+(1-EXP(-LN(2)/35))/(LN(2)/35)*MT194*MU194*VLOOKUP('Données projet'!$B$25,Paramètres!$A$1:$I$89,3,0)*0.475*44/12</f>
        <v>#N/A</v>
      </c>
      <c r="MY194" s="21" t="e">
        <f>EXP(-LN(2)/25)*MY193+(1-EXP(-LN(2)/25))/(LN(2)/25)*Calculateur!MT194*Calculateur!MV194*VLOOKUP('Données projet'!$B$25,Paramètres!$A$1:$I$89,3,0)*0.475*44/12</f>
        <v>#N/A</v>
      </c>
      <c r="MZ194" s="21" t="e">
        <f>EXP(-LN(2)/2)*MZ193+(1-EXP(-LN(2)/2))/(LN(2)/2)*MT194*MW194*VLOOKUP('Données projet'!$B$25,Paramètres!$A$1:$I$89,3,0)*0.475*44/12</f>
        <v>#N/A</v>
      </c>
      <c r="NA194" s="22" t="e">
        <f t="shared" si="274"/>
        <v>#N/A</v>
      </c>
      <c r="NB194" s="74">
        <f>('Scénario référence'!$F$8+'Scénario référence'!$F$9+'Scénario référence'!$B$17+'Scénario référence'!$B$9+'Scénario référence'!$B$10)*70+IF((45+25*(1-EXP(-0.0175*$A194)))&lt;70,'Scénario référence'!$B$16*(45+25*(1-EXP(-0.0175*$A194))),70*'Scénario référence'!$B$16)+IF((32+38*(1-EXP(-0.0175*$A194)))&lt;70,'Scénario référence'!$B$18*(32+38*(1-EXP(-0.0175*$A194))),70*'Scénario référence'!$B$18)</f>
        <v>70</v>
      </c>
      <c r="NC194" s="12">
        <f>IF($A194&gt;30,10,('Scénario référence'!$B$16+'Scénario référence'!$B$17+'Scénario référence'!$B$18+'Scénario référence'!$B$9+'Scénario référence'!$B$10)*$A194*10/30+('Scénario référence'!$F$8+'Scénario référence'!$F$9)*10)</f>
        <v>10</v>
      </c>
      <c r="ND194" s="12" t="e">
        <f>VLOOKUP($A194,'Données projet'!$A$486:$I$506,2,0)</f>
        <v>#N/A</v>
      </c>
      <c r="NE194" s="12" t="e">
        <f>VLOOKUP($A194,'Données projet'!$A$486:$I$506,9,0)</f>
        <v>#N/A</v>
      </c>
      <c r="NF194" s="12">
        <f t="array" ref="NF194">INDEX(NE:NE,MIN(IF(ISNUMBER(NE194:NE390),ROW(NE194:NE390),"")))</f>
        <v>0</v>
      </c>
      <c r="NG194" s="12">
        <f>IF('Données projet'!$A$486&gt;35,NG193+NF194-NO193,IF($A194&lt;'Données projet'!$A$486,$CQ$205^$A194,IF($A194='Données projet'!$A$486,'Données projet'!$B$486,NG193+NF194-NO193)))</f>
        <v>0</v>
      </c>
      <c r="NH194" s="17" t="e">
        <f>NG194*VLOOKUP('Données projet'!$B$26,Paramètres!$A$1:$I$89,3,0)*VLOOKUP('Données projet'!$B$26,Paramètres!$A$1:$I$89,5,0)</f>
        <v>#N/A</v>
      </c>
      <c r="NI194" s="13" t="e">
        <f t="shared" si="320"/>
        <v>#N/A</v>
      </c>
      <c r="NJ194" s="14" t="e">
        <f t="shared" si="275"/>
        <v>#N/A</v>
      </c>
      <c r="NK194" s="59" t="e">
        <f t="shared" si="276"/>
        <v>#N/A</v>
      </c>
      <c r="NL194" s="20" t="e">
        <f ca="1">AVERAGE(OFFSET($NK$3,0,0,'Données projet'!$E$26+1,1))-AVERAGE(OFFSET($H$3,0,0,'Données projet'!$E$26+1,1))</f>
        <v>#N/A</v>
      </c>
      <c r="NM194" s="59" t="e">
        <f t="shared" si="321"/>
        <v>#N/A</v>
      </c>
      <c r="NN194" s="15">
        <f>IF(ISNA(VLOOKUP($A194,'Données projet'!$A$486:$I$506,3,0)),0,VLOOKUP($A194,'Données projet'!$A$486:$I$506,3,0))</f>
        <v>0</v>
      </c>
      <c r="NO194" s="15">
        <f>IF(ISNA(VLOOKUP($A194,'Données projet'!$A$486:$I$506,4,0)),0,VLOOKUP($A194,'Données projet'!$A$486:$I$506,4,0))</f>
        <v>0</v>
      </c>
      <c r="NP194" s="16">
        <f>IF(ISNA(VLOOKUP($A194,'Données projet'!$A$486:$I$506,5,0)),0%,VLOOKUP($A194,'Données projet'!$A$486:$I$506,5,0)*VLOOKUP('Données projet'!$B$26,Paramètres!$A$1:$I$89,7,0))</f>
        <v>0</v>
      </c>
      <c r="NQ194" s="16">
        <f>IF(ISNA(VLOOKUP($A194,'Données projet'!$A$486:$I$506,6,0)),0%,VLOOKUP($A194,'Données projet'!$A$486:$I$506,6,0)*VLOOKUP('Données projet'!$B$26,Paramètres!$A$1:$I$89,7,0))</f>
        <v>0</v>
      </c>
      <c r="NR194" s="16">
        <f>IF(ISNA(VLOOKUP($A194,'Données projet'!$A$486:$I$506,7,0)),0%,VLOOKUP($A194,'Données projet'!$A$486:$I$506,7,0))</f>
        <v>0</v>
      </c>
      <c r="NS194" s="21" t="e">
        <f>EXP(-LN(2)/35)*NS193+(1-EXP(-LN(2)/35))/(LN(2)/35)*NO194*NP194*VLOOKUP('Données projet'!$B$26,Paramètres!$A$1:$I$89,3,0)*0.475*44/12</f>
        <v>#N/A</v>
      </c>
      <c r="NT194" s="21" t="e">
        <f>EXP(-LN(2)/25)*NT193+(1-EXP(-LN(2)/25))/(LN(2)/25)*Calculateur!NO194*Calculateur!NQ194*VLOOKUP('Données projet'!$B$26,Paramètres!$A$1:$I$89,3,0)*0.475*44/12</f>
        <v>#N/A</v>
      </c>
      <c r="NU194" s="21" t="e">
        <f>EXP(-LN(2)/2)*NU193+(1-EXP(-LN(2)/2))/(LN(2)/2)*NO194*NR194*VLOOKUP('Données projet'!$B$26,Paramètres!$A$1:$I$89,3,0)*0.475*44/12</f>
        <v>#N/A</v>
      </c>
      <c r="NV194" s="22" t="e">
        <f t="shared" si="277"/>
        <v>#N/A</v>
      </c>
      <c r="NW194" s="74">
        <f>('Scénario référence'!$F$8+'Scénario référence'!$F$9+'Scénario référence'!$B$17+'Scénario référence'!$B$9+'Scénario référence'!$B$10)*70+IF((45+25*(1-EXP(-0.0175*$A194)))&lt;70,'Scénario référence'!$B$16*(45+25*(1-EXP(-0.0175*$A194))),70*'Scénario référence'!$B$16)+IF((32+38*(1-EXP(-0.0175*$A194)))&lt;70,'Scénario référence'!$B$18*(32+38*(1-EXP(-0.0175*$A194))),70*'Scénario référence'!$B$18)</f>
        <v>70</v>
      </c>
      <c r="NX194" s="12">
        <f>IF($A194&gt;30,10,('Scénario référence'!$B$16+'Scénario référence'!$B$17+'Scénario référence'!$B$18+'Scénario référence'!$B$9+'Scénario référence'!$B$10)*$A194*10/30+('Scénario référence'!$F$8+'Scénario référence'!$F$9)*10)</f>
        <v>10</v>
      </c>
      <c r="NY194" s="12" t="e">
        <f>VLOOKUP($A194,'Données projet'!$A$512:$I$532,2,0)</f>
        <v>#N/A</v>
      </c>
      <c r="NZ194" s="12" t="e">
        <f>VLOOKUP($A194,'Données projet'!$A$512:$I$532,9,0)</f>
        <v>#N/A</v>
      </c>
      <c r="OA194" s="12">
        <f t="array" ref="OA194">INDEX(NZ:NZ,MIN(IF(ISNUMBER(NZ194:NZ390),ROW(NZ194:NZ390),"")))</f>
        <v>0</v>
      </c>
      <c r="OB194" s="12">
        <f>IF('Données projet'!$A$512&gt;35,OB193+OA194-OJ193,IF($A194&lt;'Données projet'!$A$512,$CQ$205^$A194,IF($A194='Données projet'!$A$512,'Données projet'!$B$512,OB193+OA194-OJ193)))</f>
        <v>0</v>
      </c>
      <c r="OC194" s="17" t="e">
        <f>OB194*VLOOKUP('Données projet'!$B$27,Paramètres!$A$1:$I$89,3,0)*VLOOKUP('Données projet'!$B$27,Paramètres!$A$1:$I$89,5,0)</f>
        <v>#N/A</v>
      </c>
      <c r="OD194" s="13" t="e">
        <f t="shared" si="322"/>
        <v>#N/A</v>
      </c>
      <c r="OE194" s="14" t="e">
        <f t="shared" si="278"/>
        <v>#N/A</v>
      </c>
      <c r="OF194" s="59" t="e">
        <f t="shared" si="279"/>
        <v>#N/A</v>
      </c>
      <c r="OG194" s="20" t="e">
        <f ca="1">AVERAGE(OFFSET($OF$3,0,0,'Données projet'!$E$27+1,1))-AVERAGE(OFFSET($H$3,0,0,'Données projet'!$E$27+1,1))</f>
        <v>#N/A</v>
      </c>
      <c r="OH194" s="59" t="e">
        <f t="shared" si="323"/>
        <v>#N/A</v>
      </c>
      <c r="OI194" s="15">
        <f>IF(ISNA(VLOOKUP($A194,'Données projet'!$A$512:$I$532,3,0)),0,VLOOKUP($A194,'Données projet'!$A$512:$I$532,3,0))</f>
        <v>0</v>
      </c>
      <c r="OJ194" s="15">
        <f>IF(ISNA(VLOOKUP($A194,'Données projet'!$A$512:$I$532,4,0)),0,VLOOKUP($A194,'Données projet'!$A$512:$I$532,4,0))</f>
        <v>0</v>
      </c>
      <c r="OK194" s="16">
        <f>IF(ISNA(VLOOKUP($A194,'Données projet'!$A$512:$I$532,5,0)),0%,VLOOKUP($A194,'Données projet'!$A$512:$I$532,5,0)*VLOOKUP('Données projet'!$B$27,Paramètres!$A$1:$I$89,7,0))</f>
        <v>0</v>
      </c>
      <c r="OL194" s="16">
        <f>IF(ISNA(VLOOKUP($A194,'Données projet'!$A$512:$I$532,6,0)),0%,VLOOKUP($A194,'Données projet'!$A$512:$I$532,6,0)*VLOOKUP('Données projet'!$B$27,Paramètres!$A$1:$I$89,7,0))</f>
        <v>0</v>
      </c>
      <c r="OM194" s="16">
        <f>IF(ISNA(VLOOKUP($A194,'Données projet'!$A$512:$I$532,7,0)),0%,VLOOKUP($A194,'Données projet'!$A$512:$I$532,7,0))</f>
        <v>0</v>
      </c>
      <c r="ON194" s="21" t="e">
        <f>EXP(-LN(2)/35)*ON193+(1-EXP(-LN(2)/35))/(LN(2)/35)*OJ194*OK194*VLOOKUP('Données projet'!$B$27,Paramètres!$A$1:$I$89,3,0)*0.475*44/12</f>
        <v>#N/A</v>
      </c>
      <c r="OO194" s="21" t="e">
        <f>EXP(-LN(2)/25)*OO193+(1-EXP(-LN(2)/25))/(LN(2)/25)*Calculateur!OJ194*Calculateur!OL194*VLOOKUP('Données projet'!$B$27,Paramètres!$A$1:$I$89,3,0)*0.475*44/12</f>
        <v>#N/A</v>
      </c>
      <c r="OP194" s="21" t="e">
        <f>EXP(-LN(2)/2)*OP193+(1-EXP(-LN(2)/2))/(LN(2)/2)*OJ194*OM194*VLOOKUP('Données projet'!$B$27,Paramètres!$A$1:$I$89,3,0)*0.475*44/12</f>
        <v>#N/A</v>
      </c>
      <c r="OQ194" s="22" t="e">
        <f t="shared" si="280"/>
        <v>#N/A</v>
      </c>
      <c r="OR194" s="74">
        <f>('Scénario référence'!$F$8+'Scénario référence'!$F$9+'Scénario référence'!$B$17+'Scénario référence'!$B$9+'Scénario référence'!$B$10)*70+IF((45+25*(1-EXP(-0.0175*$A194)))&lt;70,'Scénario référence'!$B$16*(45+25*(1-EXP(-0.0175*$A194))),70*'Scénario référence'!$B$16)+IF((32+38*(1-EXP(-0.0175*$A194)))&lt;70,'Scénario référence'!$B$18*(32+38*(1-EXP(-0.0175*$A194))),70*'Scénario référence'!$B$18)</f>
        <v>70</v>
      </c>
      <c r="OS194" s="12">
        <f>IF($A194&gt;30,10,('Scénario référence'!$B$16+'Scénario référence'!$B$17+'Scénario référence'!$B$18+'Scénario référence'!$B$9+'Scénario référence'!$B$10)*$A194*10/30+('Scénario référence'!$F$8+'Scénario référence'!$F$9)*10)</f>
        <v>10</v>
      </c>
      <c r="OT194" s="12" t="e">
        <f>VLOOKUP($A194,'Données projet'!$A$538:$I$558,2,0)</f>
        <v>#N/A</v>
      </c>
      <c r="OU194" s="12" t="e">
        <f>VLOOKUP($A194,'Données projet'!$A$538:$I$558,9,0)</f>
        <v>#N/A</v>
      </c>
      <c r="OV194" s="12">
        <f t="array" ref="OV194">INDEX(OU:OU,MIN(IF(ISNUMBER(OU194:OU390),ROW(OU194:OU390),"")))</f>
        <v>0</v>
      </c>
      <c r="OW194" s="12">
        <f>IF('Données projet'!$A$538&gt;35,OW193+OV194-PE193,IF($A194&lt;'Données projet'!$A$538,$CQ$205^$A194,IF($A194='Données projet'!$A$538,'Données projet'!$B$538,OW193+OV194-PE193)))</f>
        <v>0</v>
      </c>
      <c r="OX194" s="17" t="e">
        <f>OW194*VLOOKUP('Données projet'!$B$28,Paramètres!$A$1:$I$89,3,0)*VLOOKUP('Données projet'!$B$28,Paramètres!$A$1:$I$89,5,0)</f>
        <v>#N/A</v>
      </c>
      <c r="OY194" s="13" t="e">
        <f t="shared" si="324"/>
        <v>#N/A</v>
      </c>
      <c r="OZ194" s="14" t="e">
        <f t="shared" si="281"/>
        <v>#N/A</v>
      </c>
      <c r="PA194" s="59" t="e">
        <f t="shared" si="282"/>
        <v>#N/A</v>
      </c>
      <c r="PB194" s="20" t="e">
        <f ca="1">AVERAGE(OFFSET($PA$3,0,0,'Données projet'!$E$28+1,1))-AVERAGE(OFFSET($H$3,0,0,'Données projet'!$E$28+1,1))</f>
        <v>#N/A</v>
      </c>
      <c r="PC194" s="59" t="e">
        <f t="shared" si="325"/>
        <v>#N/A</v>
      </c>
      <c r="PD194" s="15">
        <f>IF(ISNA(VLOOKUP($A194,'Données projet'!$A$538:$I$558,3,0)),0,VLOOKUP($A194,'Données projet'!$A$538:$I$558,3,0))</f>
        <v>0</v>
      </c>
      <c r="PE194" s="15">
        <f>IF(ISNA(VLOOKUP($A194,'Données projet'!$A$538:$I$558,4,0)),0,VLOOKUP($A194,'Données projet'!$A$538:$I$558,4,0))</f>
        <v>0</v>
      </c>
      <c r="PF194" s="16">
        <f>IF(ISNA(VLOOKUP($A194,'Données projet'!$A$538:$I$558,5,0)),0%,VLOOKUP($A194,'Données projet'!$A$538:$I$558,5,0)*VLOOKUP('Données projet'!$B$28,Paramètres!$A$1:$I$89,7,0))</f>
        <v>0</v>
      </c>
      <c r="PG194" s="16">
        <f>IF(ISNA(VLOOKUP($A194,'Données projet'!$A$538:$I$558,6,0)),0%,VLOOKUP($A194,'Données projet'!$A$538:$I$558,6,0)*VLOOKUP('Données projet'!$B$28,Paramètres!$A$1:$I$89,7,0))</f>
        <v>0</v>
      </c>
      <c r="PH194" s="16">
        <f>IF(ISNA(VLOOKUP($A194,'Données projet'!$A$538:$I$558,7,0)),0%,VLOOKUP($A194,'Données projet'!$A$538:$I$558,7,0))</f>
        <v>0</v>
      </c>
      <c r="PI194" s="21" t="e">
        <f>EXP(-LN(2)/35)*PI193+(1-EXP(-LN(2)/35))/(LN(2)/35)*PE194*PF194*VLOOKUP('Données projet'!$B$28,Paramètres!$A$1:$I$89,3,0)*0.475*44/12</f>
        <v>#N/A</v>
      </c>
      <c r="PJ194" s="21" t="e">
        <f>EXP(-LN(2)/25)*PJ193+(1-EXP(-LN(2)/25))/(LN(2)/25)*Calculateur!PE194*Calculateur!PG194*VLOOKUP('Données projet'!$B$28,Paramètres!$A$1:$I$89,3,0)*0.475*44/12</f>
        <v>#N/A</v>
      </c>
      <c r="PK194" s="21" t="e">
        <f>EXP(-LN(2)/2)*PK193+(1-EXP(-LN(2)/2))/(LN(2)/2)*PE194*PH194*VLOOKUP('Données projet'!$B$28,Paramètres!$A$1:$I$89,3,0)*0.475*44/12</f>
        <v>#N/A</v>
      </c>
      <c r="PL194" s="22" t="e">
        <f t="shared" si="283"/>
        <v>#N/A</v>
      </c>
    </row>
    <row r="195" spans="1:428" x14ac:dyDescent="0.35">
      <c r="A195" s="10">
        <f t="shared" si="326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285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225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projet'!$A$45:$I$65,2,0)</f>
        <v>#N/A</v>
      </c>
      <c r="L195" s="12" t="e">
        <f>VLOOKUP(A195,'Données projet'!$A$45:$I$65,9,0)</f>
        <v>#N/A</v>
      </c>
      <c r="M195" s="12">
        <f t="array" ref="M195">INDEX(L:L,MIN(IF(ISNUMBER(L195:L391),ROW(L195:L391),"")))</f>
        <v>0</v>
      </c>
      <c r="N195" s="13">
        <f>IF('Données projet'!$A$46&gt;35,N194+M195-V194,IF(A195&lt;'Données projet'!$A$46,$K$205^A195,IF(A195='Données projet'!$A$46,'Données projet'!$B$46,N194+M195-V194)))</f>
        <v>-1.1368683772161603E-13</v>
      </c>
      <c r="O195" s="13">
        <f>N195*VLOOKUP('Données projet'!$B$9,Paramètres!$A$1:$I$89,3,0)*VLOOKUP('Données projet'!$B$9,Paramètres!$A$1:$I$89,5,0)</f>
        <v>-6.3550942286383367E-14</v>
      </c>
      <c r="P195" s="13" t="e">
        <f t="shared" si="286"/>
        <v>#NUM!</v>
      </c>
      <c r="Q195" s="20" t="e">
        <f t="shared" si="327"/>
        <v>#NUM!</v>
      </c>
      <c r="R195" s="59" t="e">
        <f t="shared" ref="R195:R203" si="356">Q195+(I195+J195)*44/12</f>
        <v>#NUM!</v>
      </c>
      <c r="S195" s="59">
        <f ca="1">AVERAGE(OFFSET($R$3,0,0,'Données projet'!$E$9+1,1))-AVERAGE(OFFSET($H$3,0,0,'Données projet'!$E$9+1,1))</f>
        <v>274.57619581652199</v>
      </c>
      <c r="T195" s="59">
        <f t="shared" si="287"/>
        <v>366.15117322598775</v>
      </c>
      <c r="U195" s="15">
        <f>IF(ISNA(VLOOKUP(A195,'Données projet'!$A$45:$I$65,3,0)),0,VLOOKUP(A195,'Données projet'!$A$45:$I$65,3,0))</f>
        <v>0</v>
      </c>
      <c r="V195" s="15">
        <f>IF(ISNA(VLOOKUP(A195,'Données projet'!$A$45:$I$65,4,0)),0,VLOOKUP(A195,'Données projet'!$A$45:$I$65,4,0))</f>
        <v>0</v>
      </c>
      <c r="W195" s="16">
        <f>IF(ISNA(VLOOKUP(A195,'Données projet'!$A$45:$I$65,5,0)),0%,VLOOKUP(A195,'Données projet'!$A$45:$I$65,5,0)*VLOOKUP('Données projet'!$B$9,Paramètres!$A$1:$I$89,7,0))</f>
        <v>0</v>
      </c>
      <c r="X195" s="16">
        <f>IF(ISNA(VLOOKUP(A195,'Données projet'!$A$45:$I$65,6,0)),0%,VLOOKUP(A195,'Données projet'!$A$45:$I$65,6,0)*VLOOKUP('Données projet'!$B$9,Paramètres!$A$1:$I$89,7,0))</f>
        <v>0</v>
      </c>
      <c r="Y195" s="16">
        <f>IF(ISNA(VLOOKUP(A195,'Données projet'!$A$45:$I$65,7,0)),0%,VLOOKUP(A195,'Données projet'!$A$45:$I$65,7,0))</f>
        <v>0</v>
      </c>
      <c r="Z195" s="21">
        <f>EXP(-LN(2)/35)*Z194+(1-EXP(-LN(2)/35))/(LN(2)/35)*V195*W195*VLOOKUP('Données projet'!$B$9,Paramètres!$A$1:$I$89,3,0)*0.475*44/12</f>
        <v>15.033215450588306</v>
      </c>
      <c r="AA195" s="21">
        <f>EXP(-LN(2)/25)*AA194+(1-EXP(-LN(2)/25))/(LN(2)/25)*Calculateur!V195*Calculateur!X195*VLOOKUP('Données projet'!$B$9,Paramètres!$A$1:$I$89,3,0)*0.475*44/12</f>
        <v>1.2907318065427378</v>
      </c>
      <c r="AB195" s="21">
        <f>EXP(-LN(2)/2)*AB194+(1-EXP(-LN(2)/2))/(LN(2)/2)*V195*Y195*VLOOKUP('Données projet'!$B$9,Paramètres!$A$1:$I$89,3,0)*0.475*44/12</f>
        <v>8.1842660210664128E-20</v>
      </c>
      <c r="AC195" s="22">
        <f t="shared" si="328"/>
        <v>16.323947257131046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projet'!$A$71:$I$91,2,0)</f>
        <v>#N/A</v>
      </c>
      <c r="AG195" s="12" t="e">
        <f>VLOOKUP(A195,'Données projet'!$A$71:$I$91,9,0)</f>
        <v>#N/A</v>
      </c>
      <c r="AH195" s="12">
        <f t="array" ref="AH195">INDEX(AG:AG,MIN(IF(ISNUMBER(AG195:AG391),ROW(AG195:AG391),"")))</f>
        <v>0</v>
      </c>
      <c r="AI195" s="13">
        <f>IF('Données projet'!$A$72&gt;35,AI194+AH195-AQ194,IF(A195&lt;'Données projet'!$A$72,$AF$205^A195,IF(A195='Données projet'!$A$72,'Données projet'!$B$72,AI194+AH195-AQ194)))</f>
        <v>5.6843418860808015E-13</v>
      </c>
      <c r="AJ195" s="13">
        <f>AI195*VLOOKUP('Données projet'!$B$10,Paramètres!$A$1:$I$89,3,0)*VLOOKUP('Données projet'!$B$10,Paramètres!$A$1:$I$89,5,0)</f>
        <v>5.1431925385259092E-13</v>
      </c>
      <c r="AK195" s="13">
        <f t="shared" si="329"/>
        <v>6.3855359115685756E-12</v>
      </c>
      <c r="AL195" s="20">
        <f t="shared" si="330"/>
        <v>1.2017247746441865E-11</v>
      </c>
      <c r="AM195" s="59">
        <f t="shared" si="228"/>
        <v>293.33333333334531</v>
      </c>
      <c r="AN195" s="59">
        <f ca="1">AVERAGE(OFFSET($AM$3,0,0,'Données projet'!$E$10+1,1))-AVERAGE(OFFSET($H$3,0,0,'Données projet'!$E$10+1,1))</f>
        <v>270.87836509222456</v>
      </c>
      <c r="AO195" s="59">
        <f t="shared" si="289"/>
        <v>205.24998237949734</v>
      </c>
      <c r="AP195" s="15">
        <f>IF(ISNA(VLOOKUP(A195,'Données projet'!$A$71:$I$91,3,0)),0,VLOOKUP(A195,'Données projet'!$A$71:$I$91,3,0))</f>
        <v>0</v>
      </c>
      <c r="AQ195" s="15">
        <f>IF(ISNA(VLOOKUP(A195,'Données projet'!$A$71:$I$91,4,0)),0,VLOOKUP(A195,'Données projet'!$A$71:$I$91,4,0))</f>
        <v>0</v>
      </c>
      <c r="AR195" s="16">
        <f>IF(ISNA(VLOOKUP(A195,'Données projet'!$A$71:$I$91,5,0)),0%,VLOOKUP(A195,'Données projet'!$A$71:$I$91,5,0)*VLOOKUP('Données projet'!$B$10,Paramètres!$A$1:$I$89,7,0))</f>
        <v>0</v>
      </c>
      <c r="AS195" s="16">
        <f>IF(ISNA(VLOOKUP(A195,'Données projet'!$A$71:$I$91,6,0)),0%,VLOOKUP(A195,'Données projet'!$A$71:$I$91,6,0)*VLOOKUP('Données projet'!$B$10,Paramètres!$A$1:$I$89,7,0))</f>
        <v>0</v>
      </c>
      <c r="AT195" s="16">
        <f>IF(ISNA(VLOOKUP(A195,'Données projet'!$A$71:$I$91,7,0)),0%,VLOOKUP(A195,'Données projet'!$A$71:$I$91,7,0))</f>
        <v>0</v>
      </c>
      <c r="AU195" s="21">
        <f>EXP(-LN(2)/35)*AU194+(1-EXP(-LN(2)/35))/(LN(2)/35)*AQ195*AR195*VLOOKUP('Données projet'!$B$10,Paramètres!$A$1:$I$89,3,0)*0.475*44/12</f>
        <v>51.086696220438775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331"/>
        <v>51.086696220438775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projet'!$A$97:$I$117,2,0)</f>
        <v>#N/A</v>
      </c>
      <c r="BB195" s="12" t="e">
        <f>VLOOKUP(A195,'Données projet'!$A$97:$I$117,9,0)</f>
        <v>#N/A</v>
      </c>
      <c r="BC195" s="12">
        <f t="array" ref="BC195">INDEX(BB:BB,MIN(IF(ISNUMBER(BB195:BB391),ROW(BB195:BB391),"")))</f>
        <v>0</v>
      </c>
      <c r="BD195" s="12">
        <f>IF('Données projet'!$A$98&gt;35,BD194+BC195-BL194,IF(A195&lt;'Données projet'!$A$98,$BA$205^A195,IF(A195='Données projet'!$A$98,'Données projet'!$B$98,BD194+BC195-BL194)))</f>
        <v>-1.1368683772161603E-13</v>
      </c>
      <c r="BE195" s="13">
        <f>BD195*VLOOKUP('Données projet'!$B$11,Paramètres!$A$1:$I$89,3,0)*VLOOKUP('Données projet'!$B$11,Paramètres!$A$1:$I$89,5,0)</f>
        <v>-5.0249582272954292E-14</v>
      </c>
      <c r="BF195" s="13" t="e">
        <f t="shared" si="332"/>
        <v>#NUM!</v>
      </c>
      <c r="BG195" s="20" t="e">
        <f t="shared" si="333"/>
        <v>#NUM!</v>
      </c>
      <c r="BH195" s="59" t="e">
        <f t="shared" si="231"/>
        <v>#NUM!</v>
      </c>
      <c r="BI195" s="59">
        <f ca="1">AVERAGE(OFFSET($BH$3,0,0,'Données projet'!$E$11+1,1))-AVERAGE(OFFSET($H$3,0,0,'Données projet'!$E$11+1,1))</f>
        <v>211.31057120485542</v>
      </c>
      <c r="BJ195" s="59">
        <f t="shared" si="291"/>
        <v>283.33292006714777</v>
      </c>
      <c r="BK195" s="15">
        <f>IF(ISNA(VLOOKUP(A195,'Données projet'!$A$97:$I$117,3,0)),0,VLOOKUP(A195,'Données projet'!$A$97:$I$117,3,0))</f>
        <v>0</v>
      </c>
      <c r="BL195" s="15">
        <f>IF(ISNA(VLOOKUP(A195,'Données projet'!$A$97:$I$117,4,0)),0,VLOOKUP(A195,'Données projet'!$A$97:$I$117,4,0))</f>
        <v>0</v>
      </c>
      <c r="BM195" s="16">
        <f>IF(ISNA(VLOOKUP(A195,'Données projet'!$A$97:$I$117,5,0)),0%,VLOOKUP(A195,'Données projet'!$A$97:$I$117,5,0)*VLOOKUP('Données projet'!$B$11,Paramètres!$A$1:$I$89,7,0))</f>
        <v>0</v>
      </c>
      <c r="BN195" s="16">
        <f>IF(ISNA(VLOOKUP(A195,'Données projet'!$A$97:$I$117,6,0)),0%,VLOOKUP(A195,'Données projet'!$A$97:$I$117,6,0)*VLOOKUP('Données projet'!$B$11,Paramètres!$A$1:$I$89,7,0))</f>
        <v>0</v>
      </c>
      <c r="BO195" s="16">
        <f>IF(ISNA(VLOOKUP(A195,'Données projet'!$A$97:$I$117,7,0)),0%,VLOOKUP(A195,'Données projet'!$A$97:$I$117,7,0))</f>
        <v>0</v>
      </c>
      <c r="BP195" s="21">
        <f>EXP(-LN(2)/35)*BP194+(1-EXP(-LN(2)/35))/(LN(2)/35)*BL195*BM195*VLOOKUP('Données projet'!$B$11,Paramètres!$A$1:$I$89,3,0)*0.475*44/12</f>
        <v>11.886728495814019</v>
      </c>
      <c r="BQ195" s="21">
        <f>EXP(-LN(2)/25)*BQ194+(1-EXP(-LN(2)/25))/(LN(2)/25)*Calculateur!BL195*Calculateur!BN195*VLOOKUP('Données projet'!$B$11,Paramètres!$A$1:$I$89,3,0)*0.475*44/12</f>
        <v>1.0205786377314665</v>
      </c>
      <c r="BR195" s="21">
        <f>EXP(-LN(2)/2)*BR194+(1-EXP(-LN(2)/2))/(LN(2)/2)*BL195*BO195*VLOOKUP('Données projet'!$B$11,Paramètres!$A$1:$I$89,3,0)*0.475*44/12</f>
        <v>6.4712801096804182E-20</v>
      </c>
      <c r="BS195" s="22">
        <f t="shared" si="334"/>
        <v>12.907307133545485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projet'!$A$123:$I$143,2,0)</f>
        <v>#N/A</v>
      </c>
      <c r="BW195" s="12" t="e">
        <f>VLOOKUP(A195,'Données projet'!$A$123:$I$143,9,0)</f>
        <v>#N/A</v>
      </c>
      <c r="BX195" s="12">
        <f t="array" ref="BX195">INDEX(BW:BW,MIN(IF(ISNUMBER(BW195:BW391),ROW(BW195:BW391),"")))</f>
        <v>0</v>
      </c>
      <c r="BY195" s="12">
        <f>IF('Données projet'!$A$124&gt;35,BY194+BX195-CG194,IF(A195&lt;'Données projet'!$A$124,$BV$205^A195,IF(A195='Données projet'!$A$124,'Données projet'!$B$124,BY194+BX195-CG194)))</f>
        <v>0</v>
      </c>
      <c r="BZ195" s="13">
        <f>BY195*VLOOKUP('Données projet'!$B$12,Paramètres!$A$1:$I$89,3,0)*VLOOKUP('Données projet'!$B$12,Paramètres!$A$1:$I$89,5,0)</f>
        <v>0</v>
      </c>
      <c r="CA195" s="13" t="e">
        <f t="shared" si="335"/>
        <v>#NUM!</v>
      </c>
      <c r="CB195" s="20" t="e">
        <f t="shared" si="336"/>
        <v>#NUM!</v>
      </c>
      <c r="CC195" s="59" t="e">
        <f t="shared" si="234"/>
        <v>#NUM!</v>
      </c>
      <c r="CD195" s="59">
        <f ca="1">AVERAGE(OFFSET($CC$3,0,0,'Données projet'!$E$12+1,1))-AVERAGE(OFFSET($H$3,0,0,'Données projet'!$E$12+1,1))</f>
        <v>322.93502595881938</v>
      </c>
      <c r="CE195" s="59">
        <f t="shared" si="293"/>
        <v>302.67072119588164</v>
      </c>
      <c r="CF195" s="15">
        <f>IF(ISNA(VLOOKUP(A195,'Données projet'!$A$123:$I$143,3,0)),0,VLOOKUP(A195,'Données projet'!$A$123:$I$143,3,0))</f>
        <v>0</v>
      </c>
      <c r="CG195" s="15">
        <f>IF(ISNA(VLOOKUP(A195,'Données projet'!$A$123:$I$143,4,0)),0,VLOOKUP(A195,'Données projet'!$A$123:$I$143,4,0))</f>
        <v>0</v>
      </c>
      <c r="CH195" s="16">
        <f>IF(ISNA(VLOOKUP(A195,'Données projet'!$A$123:$I$143,5,0)),0%,VLOOKUP(A195,'Données projet'!$A$123:$I$143,5,0)*VLOOKUP('Données projet'!$B$12,Paramètres!$A$1:$I$89,7,0))</f>
        <v>0</v>
      </c>
      <c r="CI195" s="16">
        <f>IF(ISNA(VLOOKUP(A195,'Données projet'!$A$123:$I$143,6,0)),0%,VLOOKUP(A195,'Données projet'!$A$123:$I$143,6,0)*VLOOKUP('Données projet'!$B$12,Paramètres!$A$1:$I$89,7,0))</f>
        <v>0</v>
      </c>
      <c r="CJ195" s="16">
        <f>IF(ISNA(VLOOKUP(A195,'Données projet'!$A$123:$I$143,7,0)),0%,VLOOKUP(A195,'Données projet'!$A$123:$I$143,7,0))</f>
        <v>0</v>
      </c>
      <c r="CK195" s="21">
        <f>EXP(-LN(2)/35)*CK194+(1-EXP(-LN(2)/35))/(LN(2)/35)*CG195*CH195*VLOOKUP('Données projet'!$B$12,Paramètres!$A$1:$I$89,3,0)*0.475*44/12</f>
        <v>18.938430734106799</v>
      </c>
      <c r="CL195" s="21">
        <f>EXP(-LN(2)/25)*CL194+(1-EXP(-LN(2)/25))/(LN(2)/25)*Calculateur!CG195*Calculateur!CI195*VLOOKUP('Données projet'!$B$12,Paramètres!$A$1:$I$89,3,0)*0.475*44/12</f>
        <v>3.2664691305873426</v>
      </c>
      <c r="CM195" s="21">
        <f>EXP(-LN(2)/2)*CM194+(1-EXP(-LN(2)/2))/(LN(2)/2)*CG195*CJ195*VLOOKUP('Données projet'!$B$12,Paramètres!$A$1:$I$89,3,0)*0.475*44/12</f>
        <v>0</v>
      </c>
      <c r="CN195" s="22">
        <f t="shared" si="337"/>
        <v>22.204899864694141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projet'!$A$149:$I$169,2,0)</f>
        <v>#N/A</v>
      </c>
      <c r="CR195" s="12" t="e">
        <f>VLOOKUP(A195,'Données projet'!$A$149:$I$169,9,0)</f>
        <v>#N/A</v>
      </c>
      <c r="CS195" s="12">
        <f t="array" ref="CS195">INDEX(CR:CR,MIN(IF(ISNUMBER(CR195:CR391),ROW(CR195:CR391),"")))</f>
        <v>0</v>
      </c>
      <c r="CT195" s="12">
        <f>IF('Données projet'!$A$150&gt;35,CT194+CS195-DB194,IF(A195&lt;'Données projet'!$A$150,$CQ$205^A195,IF(A195='Données projet'!$A$150,'Données projet'!$B$150,CT194+CS195-DB194)))</f>
        <v>-4.5474735088646412E-13</v>
      </c>
      <c r="CU195" s="17">
        <f>CT195*VLOOKUP('Données projet'!$B$13,Paramètres!$A$1:$I$89,3,0)*VLOOKUP('Données projet'!$B$13,Paramètres!$A$1:$I$89,5,0)</f>
        <v>-4.6111381379887462E-13</v>
      </c>
      <c r="CV195" s="13" t="e">
        <f t="shared" si="338"/>
        <v>#NUM!</v>
      </c>
      <c r="CW195" s="20" t="e">
        <f t="shared" si="339"/>
        <v>#NUM!</v>
      </c>
      <c r="CX195" s="59" t="e">
        <f t="shared" si="237"/>
        <v>#NUM!</v>
      </c>
      <c r="CY195" s="59">
        <f ca="1">AVERAGE(OFFSET($CX$3,0,0,'Données projet'!$E$13+1,1))-AVERAGE(OFFSET($H$3,0,0,'Données projet'!$E$13+1,1))</f>
        <v>250.31277422753283</v>
      </c>
      <c r="CZ195" s="59">
        <f t="shared" si="295"/>
        <v>159.20429420478047</v>
      </c>
      <c r="DA195" s="15">
        <f>IF(ISNA(VLOOKUP(A195,'Données projet'!$A$149:$I$169,3,0)),0,VLOOKUP(A195,'Données projet'!$A$149:$I$169,3,0))</f>
        <v>0</v>
      </c>
      <c r="DB195" s="15">
        <f>IF(ISNA(VLOOKUP(A195,'Données projet'!$A$149:$I$169,4,0)),0,VLOOKUP(A195,'Données projet'!$A$149:$I$169,4,0))</f>
        <v>0</v>
      </c>
      <c r="DC195" s="16">
        <f>IF(ISNA(VLOOKUP(A195,'Données projet'!$A$149:$I$169,5,0)),0%,VLOOKUP(A195,'Données projet'!$A$149:$I$169,5,0)*VLOOKUP('Données projet'!$B$13,Paramètres!$A$1:$I$89,7,0))</f>
        <v>0</v>
      </c>
      <c r="DD195" s="16">
        <f>IF(ISNA(VLOOKUP(A195,'Données projet'!$A$149:$I$169,6,0)),0%,VLOOKUP(A195,'Données projet'!$A$149:$I$169,6,0)*VLOOKUP('Données projet'!$B$13,Paramètres!$A$1:$I$89,7,0))</f>
        <v>0</v>
      </c>
      <c r="DE195" s="16">
        <f>IF(ISNA(VLOOKUP(A195,'Données projet'!$A$149:$I$169,7,0)),0%,VLOOKUP(A195,'Données projet'!$A$149:$I$169,7,0))</f>
        <v>0</v>
      </c>
      <c r="DF195" s="21">
        <f>EXP(-LN(2)/35)*DF194+(1-EXP(-LN(2)/35))/(LN(2)/35)*DB195*DC195*VLOOKUP('Données projet'!$B$13,Paramètres!$A$1:$I$89,3,0)*0.475*44/12</f>
        <v>86.213379196822572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340"/>
        <v>86.213379196822572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projet'!$A$175:$I$195,2,0)</f>
        <v>#N/A</v>
      </c>
      <c r="DM195" s="12" t="e">
        <f>VLOOKUP(A195,'Données projet'!$A$175:$I$195,9,0)</f>
        <v>#N/A</v>
      </c>
      <c r="DN195" s="12">
        <f t="array" ref="DN195">INDEX(DM:DM,MIN(IF(ISNUMBER(DM195:DM391),ROW(DM195:DM391),"")))</f>
        <v>0</v>
      </c>
      <c r="DO195" s="12">
        <f>IF('Données projet'!$A$176&gt;35,DO194+DN195-DW194,IF(A195&lt;'Données projet'!$A$176,$DL$205^A195,IF(A195='Données projet'!$A$176,'Données projet'!$B$176,DO194+DN195-DW194)))</f>
        <v>-2.8421709430404007E-13</v>
      </c>
      <c r="DP195" s="17">
        <f>DO195*VLOOKUP('Données projet'!$B$14,Paramètres!$A$1:$I$89,3,0)*VLOOKUP('Données projet'!$B$14,Paramètres!$A$1:$I$89,5,0)</f>
        <v>-2.0838797354372215E-13</v>
      </c>
      <c r="DQ195" s="13" t="e">
        <f t="shared" si="341"/>
        <v>#NUM!</v>
      </c>
      <c r="DR195" s="20" t="e">
        <f t="shared" si="342"/>
        <v>#NUM!</v>
      </c>
      <c r="DS195" s="59" t="e">
        <f t="shared" si="240"/>
        <v>#NUM!</v>
      </c>
      <c r="DT195" s="59">
        <f ca="1">AVERAGE(OFFSET($DS$3,0,0,'Données projet'!$E$14+1,1))-AVERAGE(OFFSET($H$3,0,0,'Données projet'!$E$14+1,1))</f>
        <v>296.91321813251051</v>
      </c>
      <c r="DU195" s="59">
        <f t="shared" si="297"/>
        <v>291.0718079639509</v>
      </c>
      <c r="DV195" s="15">
        <f>IF(ISNA(VLOOKUP(A195,'Données projet'!$A$175:$I$195,3,0)),0,VLOOKUP(A195,'Données projet'!$A$175:$I$195,3,0))</f>
        <v>0</v>
      </c>
      <c r="DW195" s="15">
        <f>IF(ISNA(VLOOKUP(A195,'Données projet'!$A$175:$I$195,4,0)),0,VLOOKUP(A195,'Données projet'!$A$175:$I$195,4,0))</f>
        <v>0</v>
      </c>
      <c r="DX195" s="16">
        <f>IF(ISNA(VLOOKUP(A195,'Données projet'!$A$175:$I$195,5,0)),0%,VLOOKUP(A195,'Données projet'!$A$175:$I$195,5,0)*VLOOKUP('Données projet'!$B$14,Paramètres!$A$1:$I$89,7,0))</f>
        <v>0</v>
      </c>
      <c r="DY195" s="16">
        <f>IF(ISNA(VLOOKUP(A195,'Données projet'!$A$175:$I$195,6,0)),0%,VLOOKUP(A195,'Données projet'!$A$175:$I$195,6,0)*VLOOKUP('Données projet'!$B$14,Paramètres!$A$1:$I$89,7,0))</f>
        <v>0</v>
      </c>
      <c r="DZ195" s="16">
        <f>IF(ISNA(VLOOKUP(A195,'Données projet'!$A$175:$I$195,7,0)),0%,VLOOKUP(A195,'Données projet'!$A$175:$I$195,7,0))</f>
        <v>0</v>
      </c>
      <c r="EA195" s="21">
        <f>EXP(-LN(2)/35)*EA194+(1-EXP(-LN(2)/35))/(LN(2)/35)*DW195*DX195*VLOOKUP('Données projet'!$B$14,Paramètres!$A$1:$I$89,3,0)*0.475*44/12</f>
        <v>18.875535392296776</v>
      </c>
      <c r="EB195" s="21">
        <f>EXP(-LN(2)/25)*EB194+(1-EXP(-LN(2)/25))/(LN(2)/25)*Calculateur!DW195*Calculateur!DY195*VLOOKUP('Données projet'!$B$14,Paramètres!$A$1:$I$89,3,0)*0.475*44/12</f>
        <v>0.23995778484274463</v>
      </c>
      <c r="EC195" s="21">
        <f>EXP(-LN(2)/2)*EC194+(1-EXP(-LN(2)/2))/(LN(2)/2)*DW195*DZ195*VLOOKUP('Données projet'!$B$14,Paramètres!$A$1:$I$89,3,0)*0.475*44/12</f>
        <v>0</v>
      </c>
      <c r="ED195" s="22">
        <f t="shared" si="343"/>
        <v>19.11549317713952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projet'!$A$201:$I$221,2,0)</f>
        <v>#N/A</v>
      </c>
      <c r="EH195" s="12" t="e">
        <f>VLOOKUP(A195,'Données projet'!$A$201:$I$221,9,0)</f>
        <v>#N/A</v>
      </c>
      <c r="EI195" s="12">
        <f t="array" ref="EI195">INDEX(EH:EH,MIN(IF(ISNUMBER(EH195:EH391),ROW(EH195:EH391),"")))</f>
        <v>0</v>
      </c>
      <c r="EJ195" s="12">
        <f>IF('Données projet'!$A$202&gt;35,EJ194+EI195-ER194,IF(A195&lt;'Données projet'!$A$202,$EG$205^A195,IF(A195='Données projet'!$A$202,'Données projet'!$B$202,EJ194+EI195-ER194)))</f>
        <v>5.1159076974727213E-13</v>
      </c>
      <c r="EK195" s="17">
        <f>EJ195*VLOOKUP('Données projet'!$B$15,Paramètres!$A$1:$I$89,3,0)*VLOOKUP('Données projet'!$B$15,Paramètres!$A$1:$I$89,5,0)</f>
        <v>2.3942448024172334E-13</v>
      </c>
      <c r="EL195" s="13">
        <f t="shared" si="344"/>
        <v>3.2492669905861755E-12</v>
      </c>
      <c r="EM195" s="20">
        <f t="shared" si="345"/>
        <v>6.0761376450252565E-12</v>
      </c>
      <c r="EN195" s="59">
        <f t="shared" si="243"/>
        <v>293.3333333333394</v>
      </c>
      <c r="EO195" s="59">
        <f ca="1">AVERAGE(OFFSET($EN$3,0,0,'Données projet'!$E$15+1,1))-AVERAGE(OFFSET($H$3,0,0,'Données projet'!$E$15+1,1))</f>
        <v>147.64256291235483</v>
      </c>
      <c r="EP195" s="59">
        <f t="shared" si="299"/>
        <v>70.859031694091868</v>
      </c>
      <c r="EQ195" s="15">
        <f>IF(ISNA(VLOOKUP(A195,'Données projet'!$A$201:$I$221,3,0)),0,VLOOKUP(A195,'Données projet'!$A$201:$I$221,3,0))</f>
        <v>0</v>
      </c>
      <c r="ER195" s="15">
        <f>IF(ISNA(VLOOKUP(A195,'Données projet'!$A$201:$I$221,4,0)),0,VLOOKUP(A195,'Données projet'!$A$201:$I$221,4,0))</f>
        <v>0</v>
      </c>
      <c r="ES195" s="16">
        <f>IF(ISNA(VLOOKUP(A195,'Données projet'!$A$201:$I$221,5,0)),0%,VLOOKUP(A195,'Données projet'!$A$201:$I$221,5,0)*VLOOKUP('Données projet'!$B$15,Paramètres!$A$1:$I$89,7,0))</f>
        <v>0</v>
      </c>
      <c r="ET195" s="16">
        <f>IF(ISNA(VLOOKUP(A195,'Données projet'!$A$201:$I$221,6,0)),0%,VLOOKUP(A195,'Données projet'!$A$201:$I$221,6,0)*VLOOKUP('Données projet'!$B$15,Paramètres!$A$1:$I$89,7,0))</f>
        <v>0</v>
      </c>
      <c r="EU195" s="16">
        <f>IF(ISNA(VLOOKUP(A195,'Données projet'!$A$201:$I$221,7,0)),0%,VLOOKUP(A195,'Données projet'!$A$201:$I$221,7,0))</f>
        <v>0</v>
      </c>
      <c r="EV195" s="21">
        <f>EXP(-LN(2)/35)*EV194+(1-EXP(-LN(2)/35))/(LN(2)/35)*ER195*ES195*VLOOKUP('Données projet'!$B$15,Paramètres!$A$1:$I$89,3,0)*0.475*44/12</f>
        <v>25.840905484087934</v>
      </c>
      <c r="EW195" s="21">
        <f>EXP(-LN(2)/25)*EW194+(1-EXP(-LN(2)/25))/(LN(2)/25)*Calculateur!ER195*Calculateur!ET195*VLOOKUP('Données projet'!$B$15,Paramètres!$A$1:$I$89,3,0)*0.475*44/12</f>
        <v>3.3291725113108273</v>
      </c>
      <c r="EX195" s="21">
        <f>EXP(-LN(2)/2)*EX194+(1-EXP(-LN(2)/2))/(LN(2)/2)*ER195*EU195*VLOOKUP('Données projet'!$B$15,Paramètres!$A$1:$I$89,3,0)*0.475*44/12</f>
        <v>5.9001116130230137E-12</v>
      </c>
      <c r="EY195" s="22">
        <f t="shared" si="346"/>
        <v>29.170077995404661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projet'!$A$227:$I$247,2,0)</f>
        <v>#N/A</v>
      </c>
      <c r="FC195" s="12" t="e">
        <f>VLOOKUP(A195,'Données projet'!$A$227:$I$247,9,0)</f>
        <v>#N/A</v>
      </c>
      <c r="FD195" s="12">
        <f t="array" ref="FD195">INDEX(FC:FC,MIN(IF(ISNUMBER(FC195:FC391),ROW(FC195:FC391),"")))</f>
        <v>0</v>
      </c>
      <c r="FE195" s="12">
        <f>IF('Données projet'!$A$228&gt;35,FE194+FD195-FM194,IF(A195&lt;'Données projet'!$A$228,$FB$205^A195,IF(A195='Données projet'!$A$228,'Données projet'!$B$228,FE194+FD195-FM194)))</f>
        <v>8.5265128291212022E-14</v>
      </c>
      <c r="FF195" s="17">
        <f>FE195*VLOOKUP('Données projet'!$B$16,Paramètres!$A$1:$I$89,3,0)*VLOOKUP('Données projet'!$B$16,Paramètres!$A$1:$I$89,5,0)</f>
        <v>8.9119112089974823E-14</v>
      </c>
      <c r="FG195" s="13">
        <f t="shared" si="347"/>
        <v>1.3568952080113142E-12</v>
      </c>
      <c r="FH195" s="20">
        <f t="shared" si="348"/>
        <v>2.5184749408430782E-12</v>
      </c>
      <c r="FI195" s="59">
        <f t="shared" si="246"/>
        <v>293.33333333333582</v>
      </c>
      <c r="FJ195" s="59">
        <f ca="1">AVERAGE(OFFSET($FI$3,0,0,'Données projet'!$E$16+1,1))-AVERAGE(OFFSET($H$3,0,0,'Données projet'!$E$16+1,1))</f>
        <v>259.03906550253788</v>
      </c>
      <c r="FK195" s="59">
        <f t="shared" si="301"/>
        <v>235.54542903570831</v>
      </c>
      <c r="FL195" s="15">
        <f>IF(ISNA(VLOOKUP(A195,'Données projet'!$A$227:$I$247,3,0)),0,VLOOKUP(A195,'Données projet'!$A$227:$I$247,3,0))</f>
        <v>0</v>
      </c>
      <c r="FM195" s="15">
        <f>IF(ISNA(VLOOKUP(A195,'Données projet'!$A$227:$I$247,4,0)),0,VLOOKUP(A195,'Données projet'!$A$227:$I$247,4,0))</f>
        <v>0</v>
      </c>
      <c r="FN195" s="16">
        <f>IF(ISNA(VLOOKUP(A195,'Données projet'!$A$227:$I$247,5,0)),0%,VLOOKUP(A195,'Données projet'!$A$227:$I$247,5,0)*VLOOKUP('Données projet'!$B$16,Paramètres!$A$1:$I$89,7,0))</f>
        <v>0</v>
      </c>
      <c r="FO195" s="16">
        <f>IF(ISNA(VLOOKUP(A195,'Données projet'!$A$227:$I$247,6,0)),0%,VLOOKUP(A195,'Données projet'!$A$227:$I$247,6,0)*VLOOKUP('Données projet'!$B$16,Paramètres!$A$1:$I$89,7,0))</f>
        <v>0</v>
      </c>
      <c r="FP195" s="16">
        <f>IF(ISNA(VLOOKUP(A195,'Données projet'!$A$227:$I$247,7,0)),0%,VLOOKUP(A195,'Données projet'!$A$227:$I$247,7,0))</f>
        <v>0</v>
      </c>
      <c r="FQ195" s="21">
        <f>EXP(-LN(2)/35)*FQ194+(1-EXP(-LN(2)/35))/(LN(2)/35)*FM195*FN195*VLOOKUP('Données projet'!$B$16,Paramètres!$A$1:$I$89,3,0)*0.475*44/12</f>
        <v>11.405473404933716</v>
      </c>
      <c r="FR195" s="21">
        <f>EXP(-LN(2)/25)*FR194+(1-EXP(-LN(2)/25))/(LN(2)/25)*Calculateur!FM195*Calculateur!FO195*VLOOKUP('Données projet'!$B$16,Paramètres!$A$1:$I$89,3,0)*0.475*44/12</f>
        <v>4.5798582528931266</v>
      </c>
      <c r="FS195" s="21">
        <f>EXP(-LN(2)/2)*FS194+(1-EXP(-LN(2)/2))/(LN(2)/2)*FM195*FP195*VLOOKUP('Données projet'!$B$16,Paramètres!$A$1:$I$89,3,0)*0.475*44/12</f>
        <v>0</v>
      </c>
      <c r="FT195" s="22">
        <f t="shared" si="349"/>
        <v>15.985331657826842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projet'!$A$253:$I$273,2,0)</f>
        <v>#N/A</v>
      </c>
      <c r="FX195" s="12" t="e">
        <f>VLOOKUP(A195,'Données projet'!$A$253:$I$273,9,0)</f>
        <v>#N/A</v>
      </c>
      <c r="FY195" s="12">
        <f t="array" ref="FY195">INDEX(FX:FX,MIN(IF(ISNUMBER(FX195:FX391),ROW(FX195:FX391),"")))</f>
        <v>0</v>
      </c>
      <c r="FZ195" s="12">
        <f>IF('Données projet'!$A$254&gt;35,FZ194+FY195-GH194,IF(A195&lt;'Données projet'!$A$254,$FW$205^A195,IF(A195='Données projet'!$A$254,'Données projet'!$B$254,FZ194+FY195-GH194)))</f>
        <v>-1.7053025658242404E-13</v>
      </c>
      <c r="GA195" s="17">
        <f>FZ195*VLOOKUP('Données projet'!$B$17,Paramètres!$A$1:$I$89,3,0)*VLOOKUP('Données projet'!$B$17,Paramètres!$A$1:$I$89,5,0)</f>
        <v>-1.4897523215040567E-13</v>
      </c>
      <c r="GB195" s="13" t="e">
        <f t="shared" si="350"/>
        <v>#NUM!</v>
      </c>
      <c r="GC195" s="20" t="e">
        <f t="shared" si="351"/>
        <v>#NUM!</v>
      </c>
      <c r="GD195" s="59" t="e">
        <f t="shared" si="249"/>
        <v>#NUM!</v>
      </c>
      <c r="GE195" s="59">
        <f ca="1">AVERAGE(OFFSET($GD$3,0,0,'Données projet'!$E$17+1,1))-AVERAGE(OFFSET($H$3,0,0,'Données projet'!$E$17+1,1))</f>
        <v>245.1983232777614</v>
      </c>
      <c r="GF195" s="59">
        <f t="shared" si="303"/>
        <v>242.34010522344573</v>
      </c>
      <c r="GG195" s="15">
        <f>IF(ISNA(VLOOKUP(A195,'Données projet'!$A$253:$I$273,3,0)),0,VLOOKUP(A195,'Données projet'!$A$253:$I$273,3,0))</f>
        <v>0</v>
      </c>
      <c r="GH195" s="15">
        <f>IF(ISNA(VLOOKUP(A195,'Données projet'!$A$253:$I$273,4,0)),0,VLOOKUP(A195,'Données projet'!$A$253:$I$273,4,0))</f>
        <v>0</v>
      </c>
      <c r="GI195" s="16">
        <f>IF(ISNA(VLOOKUP(A195,'Données projet'!$A$253:$I$273,5,0)),0%,VLOOKUP(A195,'Données projet'!$A$253:$I$273,5,0)*VLOOKUP('Données projet'!$B$17,Paramètres!$A$1:$I$89,7,0))</f>
        <v>0</v>
      </c>
      <c r="GJ195" s="16">
        <f>IF(ISNA(VLOOKUP(A195,'Données projet'!$A$253:$I$273,6,0)),0%,VLOOKUP(A195,'Données projet'!$A$253:$I$273,6,0)*VLOOKUP('Données projet'!$B$17,Paramètres!$A$1:$I$89,7,0))</f>
        <v>0</v>
      </c>
      <c r="GK195" s="16">
        <f>IF(ISNA(VLOOKUP(A195,'Données projet'!$A$253:$I$273,7,0)),0%,VLOOKUP(A195,'Données projet'!$A$253:$I$273,7,0))</f>
        <v>0</v>
      </c>
      <c r="GL195" s="21">
        <f>EXP(-LN(2)/35)*GL194+(1-EXP(-LN(2)/35))/(LN(2)/35)*GH195*GI195*VLOOKUP('Données projet'!$B$17,Paramètres!$A$1:$I$89,3,0)*0.475*44/12</f>
        <v>13.408698844647143</v>
      </c>
      <c r="GM195" s="21">
        <f>EXP(-LN(2)/25)*GM194+(1-EXP(-LN(2)/25))/(LN(2)/25)*Calculateur!GH195*Calculateur!GJ195*VLOOKUP('Données projet'!$B$17,Paramètres!$A$1:$I$89,3,0)*0.475*44/12</f>
        <v>0.97585622086162083</v>
      </c>
      <c r="GN195" s="21">
        <f>EXP(-LN(2)/2)*GN194+(1-EXP(-LN(2)/2))/(LN(2)/2)*GH195*GK195*VLOOKUP('Données projet'!$B$17,Paramètres!$A$1:$I$89,3,0)*0.475*44/12</f>
        <v>0</v>
      </c>
      <c r="GO195" s="21">
        <f t="shared" si="352"/>
        <v>14.384555065508764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projet'!$A$279:$I$299,2,0)</f>
        <v>#N/A</v>
      </c>
      <c r="GS195" s="12" t="e">
        <f>VLOOKUP(A195,'Données projet'!$A$279:$I$299,9,0)</f>
        <v>#N/A</v>
      </c>
      <c r="GT195" s="12">
        <f t="array" ref="GT195">INDEX(GS:GS,MIN(IF(ISNUMBER(GS195:GS391),ROW(GS195:GS391),"")))</f>
        <v>0</v>
      </c>
      <c r="GU195" s="12">
        <f>IF('Données projet'!$A$280&gt;35,GU194+GT195-HC194,IF(A195&lt;'Données projet'!$A$280,$GR$205^A195,IF(A195='Données projet'!$A$280,'Données projet'!$B$280,GU194+GT195-HC194)))</f>
        <v>-1.1368683772161603E-13</v>
      </c>
      <c r="GV195" s="17">
        <f>GU195*VLOOKUP('Données projet'!$B$18,Paramètres!$A$1:$I$89,3,0)*VLOOKUP('Données projet'!$B$18,Paramètres!$A$1:$I$89,5,0)</f>
        <v>-4.5815795601811263E-14</v>
      </c>
      <c r="GW195" s="13" t="e">
        <f t="shared" si="353"/>
        <v>#NUM!</v>
      </c>
      <c r="GX195" s="20" t="e">
        <f t="shared" si="354"/>
        <v>#NUM!</v>
      </c>
      <c r="GY195" s="59" t="e">
        <f t="shared" si="252"/>
        <v>#NUM!</v>
      </c>
      <c r="GZ195" s="59">
        <f ca="1">AVERAGE(OFFSET($GY$3,0,0,'Données projet'!$E$18+1,1))-AVERAGE(OFFSET($H$3,0,0,'Données projet'!$E$18+1,1))</f>
        <v>324.36162935850876</v>
      </c>
      <c r="HA195" s="59">
        <f t="shared" si="305"/>
        <v>265.23571072429735</v>
      </c>
      <c r="HB195" s="15">
        <f>IF(ISNA(VLOOKUP(A195,'Données projet'!$A$279:$I$299,3,0)),0,VLOOKUP(A195,'Données projet'!$A$279:$I$299,3,0))</f>
        <v>0</v>
      </c>
      <c r="HC195" s="15">
        <f>IF(ISNA(VLOOKUP(A195,'Données projet'!$A$279:$I$299,4,0)),0,VLOOKUP(A195,'Données projet'!$A$279:$I$299,4,0))</f>
        <v>0</v>
      </c>
      <c r="HD195" s="16">
        <f>IF(ISNA(VLOOKUP(A195,'Données projet'!$A$279:$I$299,5,0)),0%,VLOOKUP(A195,'Données projet'!$A$279:$I$299,5,0)*VLOOKUP('Données projet'!$B$18,Paramètres!$A$1:$I$89,7,0))</f>
        <v>0</v>
      </c>
      <c r="HE195" s="16">
        <f>IF(ISNA(VLOOKUP(A195,'Données projet'!$A$279:$I$299,6,0)),0%,VLOOKUP(A195,'Données projet'!$A$279:$I$299,6,0)*VLOOKUP('Données projet'!$B$18,Paramètres!$A$1:$I$89,7,0))</f>
        <v>0</v>
      </c>
      <c r="HF195" s="16">
        <f>IF(ISNA(VLOOKUP($A195,'Données projet'!$A$279:$I$299,7,0)),0%,VLOOKUP($A195,'Données projet'!$A$279:$I$299,7,0))</f>
        <v>0</v>
      </c>
      <c r="HG195" s="21">
        <f>EXP(-LN(2)/35)*HG194+(1-EXP(-LN(2)/35))/(LN(2)/35)*HC195*HD195*VLOOKUP('Données projet'!$B$18,Paramètres!$A$1:$I$89,3,0)*0.475*44/12</f>
        <v>25.694572272441665</v>
      </c>
      <c r="HH195" s="21">
        <f>EXP(-LN(2)/25)*HH194+(1-EXP(-LN(2)/25))/(LN(2)/25)*Calculateur!HC195*Calculateur!HE195*VLOOKUP('Données projet'!$B$18,Paramètres!$A$1:$I$89,3,0)*0.475*44/12</f>
        <v>1.0853266651501641</v>
      </c>
      <c r="HI195" s="21">
        <f>EXP(-LN(2)/2)*HI194+(1-EXP(-LN(2)/2))/(LN(2)/2)*HC195*HF195*VLOOKUP('Données projet'!$B$18,Paramètres!$A$1:$I$89,3,0)*0.475*44/12</f>
        <v>1.1861636269566611E-16</v>
      </c>
      <c r="HJ195" s="22">
        <f t="shared" si="355"/>
        <v>26.779898937591827</v>
      </c>
      <c r="HK195" s="74">
        <f>('Scénario référence'!$F$8+'Scénario référence'!$F$9+'Scénario référence'!$B$17+'Scénario référence'!$B$9+'Scénario référence'!$B$10)*70+IF((45+25*(1-EXP(-0.0175*$A195)))&lt;70,'Scénario référence'!$B$16*(45+25*(1-EXP(-0.0175*$A195))),70*'Scénario référence'!$B$16)+IF((32+38*(1-EXP(-0.0175*$A195)))&lt;70,'Scénario référence'!$B$18*(32+38*(1-EXP(-0.0175*$A195))),70*'Scénario référence'!$B$18)</f>
        <v>70</v>
      </c>
      <c r="HL195" s="12">
        <f>IF($A195&gt;30,10,('Scénario référence'!$B$16+'Scénario référence'!$B$17+'Scénario référence'!$B$18+'Scénario référence'!$B$9+'Scénario référence'!$B$10)*$A195*10/30+('Scénario référence'!$F$8+'Scénario référence'!$F$9)*10)</f>
        <v>10</v>
      </c>
      <c r="HM195" s="12" t="e">
        <f>VLOOKUP($A195,'Données projet'!$A$304:$I$324,2,0)</f>
        <v>#N/A</v>
      </c>
      <c r="HN195" s="12" t="e">
        <f>VLOOKUP($A195,'Données projet'!$A$304:$I$324,9,0)</f>
        <v>#N/A</v>
      </c>
      <c r="HO195" s="12">
        <f t="array" ref="HO195">INDEX(HN:HN,MIN(IF(ISNUMBER(HN195:HN391),ROW(HN195:HN391),"")))</f>
        <v>0</v>
      </c>
      <c r="HP195" s="12">
        <f>IF('Données projet'!$A$304&gt;35,HP194+HO195-HX194,IF($A195&lt;'Données projet'!$A$304,$CQ$205^$A195,IF($A195='Données projet'!$A$304,'Données projet'!$B$304,HP194+HO195-HX194)))</f>
        <v>0</v>
      </c>
      <c r="HQ195" s="17">
        <f>HP195*VLOOKUP('Données projet'!$B$19,Paramètres!$A$1:$I$89,3,0)*VLOOKUP('Données projet'!$B$19,Paramètres!$A$1:$I$89,5,0)</f>
        <v>0</v>
      </c>
      <c r="HR195" s="13" t="e">
        <f t="shared" si="306"/>
        <v>#NUM!</v>
      </c>
      <c r="HS195" s="14" t="e">
        <f t="shared" si="254"/>
        <v>#NUM!</v>
      </c>
      <c r="HT195" s="59" t="e">
        <f t="shared" si="255"/>
        <v>#NUM!</v>
      </c>
      <c r="HU195" s="59">
        <f ca="1">AVERAGE(OFFSET(HT$3,0,0,'Données projet'!$E$19+1,1))-AVERAGE(OFFSET($H$3,0,0,'Données projet'!$E$19+1,1))</f>
        <v>91.60721429656013</v>
      </c>
      <c r="HV195" s="59">
        <f t="shared" si="307"/>
        <v>258.94957804210856</v>
      </c>
      <c r="HW195" s="15">
        <f>IF(ISNA(VLOOKUP($A195,'Données projet'!$A$304:$I$324,3,0)),0,VLOOKUP($A195,'Données projet'!$A$304:$I$324,3,0))</f>
        <v>0</v>
      </c>
      <c r="HX195" s="15">
        <f>IF(ISNA(VLOOKUP($A195,'Données projet'!$A$304:$I$324,4,0)),0,VLOOKUP($A195,'Données projet'!$A$304:$I$324,4,0))</f>
        <v>0</v>
      </c>
      <c r="HY195" s="16">
        <f>IF(ISNA(VLOOKUP($A195,'Données projet'!$A$304:$I$324,5,0)),0%,VLOOKUP($A195,'Données projet'!$A$304:$I$324,5,0)*VLOOKUP('Données projet'!$B$19,Paramètres!$A$1:$I$89,7,0))</f>
        <v>0</v>
      </c>
      <c r="HZ195" s="16">
        <f>IF(ISNA(VLOOKUP($A195,'Données projet'!$A$304:$I$324,6,0)),0%,VLOOKUP($A195,'Données projet'!$A$304:$I$324,6,0)*VLOOKUP('Données projet'!$B$19,Paramètres!$A$1:$I$89,7,0))</f>
        <v>0</v>
      </c>
      <c r="IA195" s="16">
        <f>IF(ISNA(VLOOKUP($A195,'Données projet'!$A$304:$I$324,7,0)),0%,VLOOKUP($A195,'Données projet'!$A$304:$I$324,7,0))</f>
        <v>0</v>
      </c>
      <c r="IB195" s="21">
        <f>EXP(-LN(2)/35)*IB194+(1-EXP(-LN(2)/35))/(LN(2)/35)*HX195*HY195*VLOOKUP('Données projet'!$B$19,Paramètres!$A$1:$I$89,3,0)*0.475*44/12</f>
        <v>1.994325717477941</v>
      </c>
      <c r="IC195" s="21">
        <f>EXP(-LN(2)/25)*IC194+(1-EXP(-LN(2)/25))/(LN(2)/25)*Calculateur!HX195*Calculateur!HZ195*VLOOKUP('Données projet'!$B$19,Paramètres!$A$1:$I$89,3,0)*0.475*44/12</f>
        <v>0.10897753686339362</v>
      </c>
      <c r="ID195" s="21">
        <f>EXP(-LN(2)/2)*ID194+(1-EXP(-LN(2)/2))/(LN(2)/2)*HX195*IA195*VLOOKUP('Données projet'!$B$19,Paramètres!$A$1:$I$89,3,0)*0.475*44/12</f>
        <v>2.3692616306540066E-25</v>
      </c>
      <c r="IE195" s="22">
        <f t="shared" si="256"/>
        <v>2.1033032543413346</v>
      </c>
      <c r="IF195" s="74">
        <f>('Scénario référence'!$F$8+'Scénario référence'!$F$9+'Scénario référence'!$B$17+'Scénario référence'!$B$9+'Scénario référence'!$B$10)*70+IF((45+25*(1-EXP(-0.0175*$A195)))&lt;70,'Scénario référence'!$B$16*(45+25*(1-EXP(-0.0175*$A195))),70*'Scénario référence'!$B$16)+IF((32+38*(1-EXP(-0.0175*$A195)))&lt;70,'Scénario référence'!$B$18*(32+38*(1-EXP(-0.0175*$A195))),70*'Scénario référence'!$B$18)</f>
        <v>70</v>
      </c>
      <c r="IG195" s="12">
        <f>IF($A195&gt;30,10,('Scénario référence'!$B$16+'Scénario référence'!$B$17+'Scénario référence'!$B$18+'Scénario référence'!$B$9+'Scénario référence'!$B$10)*$A195*10/30+('Scénario référence'!$F$8+'Scénario référence'!$F$9)*10)</f>
        <v>10</v>
      </c>
      <c r="IH195" s="12" t="e">
        <f>VLOOKUP($A195,'Données projet'!$A$330:$I$350,2,0)</f>
        <v>#N/A</v>
      </c>
      <c r="II195" s="12" t="e">
        <f>VLOOKUP($A195,'Données projet'!$A$330:$I$350,9,0)</f>
        <v>#N/A</v>
      </c>
      <c r="IJ195" s="12">
        <f t="array" ref="IJ195">INDEX(II:II,MIN(IF(ISNUMBER(II195:II391),ROW(II195:II391),"")))</f>
        <v>0</v>
      </c>
      <c r="IK195" s="12">
        <f>IF('Données projet'!$A$330&gt;35,IK194+IJ195-IS194,IF($A195&lt;'Données projet'!$A$330,$CQ$205^$A195,IF($A195='Données projet'!$A$330,'Données projet'!$B$330,IK194+IJ195-IS194)))</f>
        <v>0</v>
      </c>
      <c r="IL195" s="17">
        <f>IK195*VLOOKUP('Données projet'!$B$20,Paramètres!$A$1:$I$89,3,0)*VLOOKUP('Données projet'!$B$20,Paramètres!$A$1:$I$89,5,0)</f>
        <v>0</v>
      </c>
      <c r="IM195" s="13" t="e">
        <f t="shared" si="308"/>
        <v>#NUM!</v>
      </c>
      <c r="IN195" s="20" t="e">
        <f t="shared" si="257"/>
        <v>#NUM!</v>
      </c>
      <c r="IO195" s="59" t="e">
        <f t="shared" si="258"/>
        <v>#NUM!</v>
      </c>
      <c r="IP195" s="59">
        <f ca="1">AVERAGE(OFFSET(IO$3,0,0,'Données projet'!$E$20+1,1))-AVERAGE(OFFSET($H$3,0,0,'Données projet'!$E$20+1,1))</f>
        <v>91.60721429656013</v>
      </c>
      <c r="IQ195" s="59">
        <f t="shared" si="309"/>
        <v>258.94957804210856</v>
      </c>
      <c r="IR195" s="15">
        <f>IF(ISNA(VLOOKUP($A195,'Données projet'!$A$330:$I$350,3,0)),0,VLOOKUP($A195,'Données projet'!$A$330:$I$350,3,0))</f>
        <v>0</v>
      </c>
      <c r="IS195" s="15">
        <f>IF(ISNA(VLOOKUP($A195,'Données projet'!$A$330:$I$350,4,0)),0,VLOOKUP($A195,'Données projet'!$A$330:$I$350,4,0))</f>
        <v>0</v>
      </c>
      <c r="IT195" s="16">
        <f>IF(ISNA(VLOOKUP($A195,'Données projet'!$A$330:$I$350,5,0)),0%,VLOOKUP($A195,'Données projet'!$A$330:$I$350,5,0)*VLOOKUP('Données projet'!$B$20,Paramètres!$A$1:$I$89,7,0))</f>
        <v>0</v>
      </c>
      <c r="IU195" s="16">
        <f>IF(ISNA(VLOOKUP($A195,'Données projet'!$A$330:$I$350,6,0)),0%,VLOOKUP($A195,'Données projet'!$A$330:$I$350,6,0)*VLOOKUP('Données projet'!$B$20,Paramètres!$A$1:$I$89,7,0))</f>
        <v>0</v>
      </c>
      <c r="IV195" s="16">
        <f>IF(ISNA(VLOOKUP($A195,'Données projet'!$A$330:$I$350,7,0)),0%,VLOOKUP($A195,'Données projet'!$A$330:$I$350,7,0))</f>
        <v>0</v>
      </c>
      <c r="IW195" s="21">
        <f>EXP(-LN(2)/35)*IW194+(1-EXP(-LN(2)/35))/(LN(2)/35)*IS195*IT195*VLOOKUP('Données projet'!$B$20,Paramètres!$A$1:$I$89,3,0)*0.475*44/12</f>
        <v>1.994325717477941</v>
      </c>
      <c r="IX195" s="21">
        <f>EXP(-LN(2)/25)*IX194+(1-EXP(-LN(2)/25))/(LN(2)/25)*Calculateur!IS195*Calculateur!IU195*VLOOKUP('Données projet'!$B$20,Paramètres!$A$1:$I$89,3,0)*0.475*44/12</f>
        <v>0.10897753686339362</v>
      </c>
      <c r="IY195" s="21">
        <f>EXP(-LN(2)/2)*IY194+(1-EXP(-LN(2)/2))/(LN(2)/2)*IS195*IV195*VLOOKUP('Données projet'!$B$20,Paramètres!$A$1:$I$89,3,0)*0.475*44/12</f>
        <v>2.3692616306540066E-25</v>
      </c>
      <c r="IZ195" s="22">
        <f t="shared" si="259"/>
        <v>2.1033032543413346</v>
      </c>
      <c r="JA195" s="74">
        <f>('Scénario référence'!$F$8+'Scénario référence'!$F$9+'Scénario référence'!$B$17+'Scénario référence'!$B$9+'Scénario référence'!$B$10)*70+IF((45+25*(1-EXP(-0.0175*$A195)))&lt;70,'Scénario référence'!$B$16*(45+25*(1-EXP(-0.0175*$A195))),70*'Scénario référence'!$B$16)+IF((32+38*(1-EXP(-0.0175*$A195)))&lt;70,'Scénario référence'!$B$18*(32+38*(1-EXP(-0.0175*$A195))),70*'Scénario référence'!$B$18)</f>
        <v>70</v>
      </c>
      <c r="JB195" s="12">
        <f>IF($A195&gt;30,10,('Scénario référence'!$B$16+'Scénario référence'!$B$17+'Scénario référence'!$B$18+'Scénario référence'!$B$9+'Scénario référence'!$B$10)*$A195*10/30+('Scénario référence'!$F$8+'Scénario référence'!$F$9)*10)</f>
        <v>10</v>
      </c>
      <c r="JC195" s="12" t="e">
        <f>VLOOKUP($A195,'Données projet'!$A$356:$I$376,2,0)</f>
        <v>#N/A</v>
      </c>
      <c r="JD195" s="12" t="e">
        <f>VLOOKUP($A195,'Données projet'!$A$356:$I$376,9,0)</f>
        <v>#N/A</v>
      </c>
      <c r="JE195" s="12">
        <f t="array" ref="JE195">INDEX(JD:JD,MIN(IF(ISNUMBER(JD195:JD391),ROW(JD195:JD391),"")))</f>
        <v>0</v>
      </c>
      <c r="JF195" s="12">
        <f>IF('Données projet'!$A$356&gt;35,JF194+JE195-JN194,IF($A195&lt;'Données projet'!$A$356,$CQ$205^$A195,IF($A195='Données projet'!$A$356,'Données projet'!$B$356,JF194+JE195-JN194)))</f>
        <v>-1.3073986337985843E-12</v>
      </c>
      <c r="JG195" s="17">
        <f>JF195*VLOOKUP('Données projet'!$B$21,Paramètres!$A$1:$I$89,3,0)*VLOOKUP('Données projet'!$B$21,Paramètres!$A$1:$I$89,5,0)</f>
        <v>-1.0605617717374117E-12</v>
      </c>
      <c r="JH195" s="13" t="e">
        <f t="shared" si="310"/>
        <v>#NUM!</v>
      </c>
      <c r="JI195" s="20" t="e">
        <f t="shared" si="260"/>
        <v>#NUM!</v>
      </c>
      <c r="JJ195" s="59" t="e">
        <f t="shared" si="261"/>
        <v>#NUM!</v>
      </c>
      <c r="JK195" s="59">
        <f ca="1">AVERAGE(OFFSET($JJ$3,0,0,'Données projet'!$E$22+1,1))-AVERAGE(OFFSET($H$3,0,0,'Données projet'!$E$22+1,1))</f>
        <v>353.35574633294613</v>
      </c>
      <c r="JL195" s="59">
        <f t="shared" si="311"/>
        <v>170.36796666474726</v>
      </c>
      <c r="JM195" s="15">
        <f>IF(ISNA(VLOOKUP($A195,'Données projet'!$A$356:$I$376,3,0)),0,VLOOKUP($A195,'Données projet'!$A$356:$I$376,3,0))</f>
        <v>0</v>
      </c>
      <c r="JN195" s="15">
        <f>IF(ISNA(VLOOKUP($A195,'Données projet'!$A$356:$I$376,4,0)),0,VLOOKUP($A195,'Données projet'!$A$356:$I$376,4,0))</f>
        <v>0</v>
      </c>
      <c r="JO195" s="16">
        <f>IF(ISNA(VLOOKUP($A195,'Données projet'!$A$356:$I$376,5,0)),0%,VLOOKUP($A195,'Données projet'!$A$356:$I$376,5,0)*VLOOKUP('Données projet'!$B$21,Paramètres!$A$1:$I$89,7,0))</f>
        <v>0</v>
      </c>
      <c r="JP195" s="16">
        <f>IF(ISNA(VLOOKUP($A195,'Données projet'!$A$356:$I$376,6,0)),0%,VLOOKUP($A195,'Données projet'!$A$356:$I$376,6,0)*VLOOKUP('Données projet'!$B$21,Paramètres!$A$1:$I$89,7,0))</f>
        <v>0</v>
      </c>
      <c r="JQ195" s="16">
        <f>IF(ISNA(VLOOKUP($A195,'Données projet'!$A$356:$I$376,7,0)),0%,VLOOKUP($A195,'Données projet'!$A$356:$I$376,7,0))</f>
        <v>0</v>
      </c>
      <c r="JR195" s="21">
        <f>EXP(-LN(2)/35)*JR194+(1-EXP(-LN(2)/35))/(LN(2)/35)*JN195*JO195*VLOOKUP('Données projet'!$B$21,Paramètres!$A$1:$I$89,3,0)*0.475*44/12</f>
        <v>31.972015040316176</v>
      </c>
      <c r="JS195" s="21">
        <f>EXP(-LN(2)/25)*JS194+(1-EXP(-LN(2)/25))/(LN(2)/25)*Calculateur!JN195*Calculateur!JP195*VLOOKUP('Données projet'!$B$21,Paramètres!$A$1:$I$89,3,0)*0.475*44/12</f>
        <v>23.851515750620603</v>
      </c>
      <c r="JT195" s="21">
        <f>EXP(-LN(2)/2)*JT194+(1-EXP(-LN(2)/2))/(LN(2)/2)*JN195*JQ195*VLOOKUP('Données projet'!$B$21,Paramètres!$A$1:$I$89,3,0)*0.475*44/12</f>
        <v>1.6351188140660362E-5</v>
      </c>
      <c r="JU195" s="18">
        <f t="shared" si="262"/>
        <v>55.823547142124923</v>
      </c>
      <c r="JV195" s="74">
        <f>('Scénario référence'!$F$8+'Scénario référence'!$F$9+'Scénario référence'!$B$17+'Scénario référence'!$B$9+'Scénario référence'!$B$10)*70+IF((45+25*(1-EXP(-0.0175*$A195)))&lt;70,'Scénario référence'!$B$16*(45+25*(1-EXP(-0.0175*$A195))),70*'Scénario référence'!$B$16)+IF((32+38*(1-EXP(-0.0175*$A195)))&lt;70,'Scénario référence'!$B$18*(32+38*(1-EXP(-0.0175*$A195))),70*'Scénario référence'!$B$18)</f>
        <v>70</v>
      </c>
      <c r="JW195" s="12">
        <f>IF($A195&gt;30,10,('Scénario référence'!$B$16+'Scénario référence'!$B$17+'Scénario référence'!$B$18+'Scénario référence'!$B$9+'Scénario référence'!$B$10)*$A195*10/30+('Scénario référence'!$F$8+'Scénario référence'!$F$9)*10)</f>
        <v>10</v>
      </c>
      <c r="JX195" s="12" t="e">
        <f>VLOOKUP($A195,'Données projet'!$A$382:$I$402,2,0)</f>
        <v>#N/A</v>
      </c>
      <c r="JY195" s="12" t="e">
        <f>VLOOKUP($A195,'Données projet'!$A$382:$I$402,9,0)</f>
        <v>#N/A</v>
      </c>
      <c r="JZ195" s="12">
        <f t="array" ref="JZ195">INDEX(JY:JY,MIN(IF(ISNUMBER(JY195:JY391),ROW(JY195:JY391),"")))</f>
        <v>0</v>
      </c>
      <c r="KA195" s="12">
        <f>IF('Données projet'!$A$382&gt;35,KA194+JZ195-KI194,IF($A195&lt;'Données projet'!$A$382,$CQ$205^$A195,IF($A195='Données projet'!$A$382,'Données projet'!$B$382,KA194+JZ195-KI194)))</f>
        <v>5.6843418860808015E-13</v>
      </c>
      <c r="KB195" s="17">
        <f>KA195*VLOOKUP('Données projet'!$B$22,Paramètres!$A$1:$I$89,3,0)*VLOOKUP('Données projet'!$B$22,Paramètres!$A$1:$I$89,5,0)</f>
        <v>3.8130565371830017E-13</v>
      </c>
      <c r="KC195" s="13">
        <f t="shared" si="312"/>
        <v>4.9019074112354236E-12</v>
      </c>
      <c r="KD195" s="20">
        <f t="shared" si="263"/>
        <v>9.2015960881277352E-12</v>
      </c>
      <c r="KE195" s="59">
        <f t="shared" si="264"/>
        <v>293.33333333334252</v>
      </c>
      <c r="KF195" s="59">
        <f ca="1">AVERAGE(OFFSET($KE$3,0,0,'Données projet'!$E$22+1,1))-AVERAGE(OFFSET($H$3,0,0,'Données projet'!$E$22+1,1))</f>
        <v>193.91714772848269</v>
      </c>
      <c r="KG195" s="59">
        <f t="shared" si="313"/>
        <v>159.20429420478047</v>
      </c>
      <c r="KH195" s="15">
        <f>IF(ISNA(VLOOKUP($A195,'Données projet'!$A$382:$I$402,3,0)),0,VLOOKUP($A195,'Données projet'!$A$382:$I$402,3,0))</f>
        <v>0</v>
      </c>
      <c r="KI195" s="15">
        <f>IF(ISNA(VLOOKUP($A195,'Données projet'!$A$382:$I$402,4,0)),0,VLOOKUP($A195,'Données projet'!$A$382:$I$402,4,0))</f>
        <v>0</v>
      </c>
      <c r="KJ195" s="16">
        <f>IF(ISNA(VLOOKUP($A195,'Données projet'!$A$382:$I$402,5,0)),0%,VLOOKUP($A195,'Données projet'!$A$382:$I$402,5,0)*VLOOKUP('Données projet'!$B$22,Paramètres!$A$1:$I$89,7,0))</f>
        <v>0</v>
      </c>
      <c r="KK195" s="16">
        <f>IF(ISNA(VLOOKUP($A195,'Données projet'!$A$382:$I$402,6,0)),0%,VLOOKUP($A195,'Données projet'!$A$382:$I$402,6,0)*VLOOKUP('Données projet'!$B$22,Paramètres!$A$1:$I$89,7,0))</f>
        <v>0</v>
      </c>
      <c r="KL195" s="16">
        <f>IF(ISNA(VLOOKUP($A195,'Données projet'!$A$382:$I$402,7,0)),0%,VLOOKUP($A195,'Données projet'!$A$382:$I$402,7,0))</f>
        <v>0</v>
      </c>
      <c r="KM195" s="21">
        <f>EXP(-LN(2)/35)*KM194+(1-EXP(-LN(2)/35))/(LN(2)/35)*KI195*KJ195*VLOOKUP('Données projet'!$B$22,Paramètres!$A$1:$I$89,3,0)*0.475*44/12</f>
        <v>46.682670684194036</v>
      </c>
      <c r="KN195" s="21">
        <f>EXP(-LN(2)/25)*KN194+(1-EXP(-LN(2)/25))/(LN(2)/25)*Calculateur!KI195*Calculateur!KK195*VLOOKUP('Données projet'!$B$22,Paramètres!$A$1:$I$89,3,0)*0.475*44/12</f>
        <v>0</v>
      </c>
      <c r="KO195" s="21">
        <f>EXP(-LN(2)/2)*KO194+(1-EXP(-LN(2)/2))/(LN(2)/2)*KI195*KL195*VLOOKUP('Données projet'!$B$22,Paramètres!$A$1:$I$89,3,0)*0.475*44/12</f>
        <v>0</v>
      </c>
      <c r="KP195" s="22">
        <f t="shared" si="265"/>
        <v>46.682670684194036</v>
      </c>
      <c r="KQ195" s="74">
        <f>('Scénario référence'!$F$8+'Scénario référence'!$F$9+'Scénario référence'!$B$17+'Scénario référence'!$B$9+'Scénario référence'!$B$10)*70+IF((45+25*(1-EXP(-0.0175*$A195)))&lt;70,'Scénario référence'!$B$16*(45+25*(1-EXP(-0.0175*$A195))),70*'Scénario référence'!$B$16)+IF((32+38*(1-EXP(-0.0175*$A195)))&lt;70,'Scénario référence'!$B$18*(32+38*(1-EXP(-0.0175*$A195))),70*'Scénario référence'!$B$18)</f>
        <v>70</v>
      </c>
      <c r="KR195" s="12">
        <f>IF($A195&gt;30,10,('Scénario référence'!$B$16+'Scénario référence'!$B$17+'Scénario référence'!$B$18+'Scénario référence'!$B$9+'Scénario référence'!$B$10)*$A195*10/30+('Scénario référence'!$F$8+'Scénario référence'!$F$9)*10)</f>
        <v>10</v>
      </c>
      <c r="KS195" s="12" t="e">
        <f>VLOOKUP($A195,'Données projet'!$A$408:$I$428,2,0)</f>
        <v>#N/A</v>
      </c>
      <c r="KT195" s="12" t="e">
        <f>VLOOKUP($A195,'Données projet'!$A$408:$I$428,9,0)</f>
        <v>#N/A</v>
      </c>
      <c r="KU195" s="12">
        <f t="array" ref="KU195">INDEX(KT:KT,MIN(IF(ISNUMBER(KT195:KT391),ROW(KT195:KT391),"")))</f>
        <v>0</v>
      </c>
      <c r="KV195" s="12">
        <f>IF('Données projet'!$A$408&gt;35,KV194+KU195-LD194,IF($A195&lt;'Données projet'!$A$408,$CQ$205^$A195,IF($A195='Données projet'!$A$408,'Données projet'!$B$408,KV194+KU195-LD194)))</f>
        <v>-1.1368683772161603E-13</v>
      </c>
      <c r="KW195" s="17">
        <f>KV195*VLOOKUP('Données projet'!$B$23,Paramètres!$A$1:$I$89,3,0)*VLOOKUP('Données projet'!$B$23,Paramètres!$A$1:$I$89,5,0)</f>
        <v>-9.9316821433603781E-14</v>
      </c>
      <c r="KX195" s="13" t="e">
        <f t="shared" si="314"/>
        <v>#NUM!</v>
      </c>
      <c r="KY195" s="14" t="e">
        <f t="shared" si="266"/>
        <v>#NUM!</v>
      </c>
      <c r="KZ195" s="59" t="e">
        <f t="shared" si="267"/>
        <v>#NUM!</v>
      </c>
      <c r="LA195" s="59">
        <f ca="1">AVERAGE(OFFSET($KZ$3,0,0,'Données projet'!$E$23+1,1))-AVERAGE(OFFSET($H$3,0,0,'Données projet'!$E$23+1,1))</f>
        <v>248.33596943633819</v>
      </c>
      <c r="LB195" s="59">
        <f t="shared" si="315"/>
        <v>242.34010522344573</v>
      </c>
      <c r="LC195" s="15">
        <f>IF(ISNA(VLOOKUP($A195,'Données projet'!$A$408:$I$428,3,0)),0,VLOOKUP($A195,'Données projet'!$A$408:$I$428,3,0))</f>
        <v>0</v>
      </c>
      <c r="LD195" s="15">
        <f>IF(ISNA(VLOOKUP($A195,'Données projet'!$A$408:$I$428,4,0)),0,VLOOKUP($A195,'Données projet'!$A$408:$I$428,4,0))</f>
        <v>0</v>
      </c>
      <c r="LE195" s="16">
        <f>IF(ISNA(VLOOKUP($A195,'Données projet'!$A$408:$I$428,5,0)),0%,VLOOKUP($A195,'Données projet'!$A$408:$I$428,5,0)*VLOOKUP('Données projet'!$B$23,Paramètres!$A$1:$I$89,7,0))</f>
        <v>0</v>
      </c>
      <c r="LF195" s="16">
        <f>IF(ISNA(VLOOKUP($A195,'Données projet'!$A$408:$I$428,6,0)),0%,VLOOKUP($A195,'Données projet'!$A$408:$I$428,6,0)*VLOOKUP('Données projet'!$B$23,Paramètres!$A$1:$I$89,7,0))</f>
        <v>0</v>
      </c>
      <c r="LG195" s="16">
        <f>IF(ISNA(VLOOKUP($A195,'Données projet'!$A$408:$I$428,7,0)),0%,VLOOKUP($A195,'Données projet'!$A$408:$I$428,7,0))</f>
        <v>0</v>
      </c>
      <c r="LH195" s="21">
        <f>EXP(-LN(2)/35)*LH194+(1-EXP(-LN(2)/35))/(LN(2)/35)*LD195*LE195*VLOOKUP('Données projet'!$B$23,Paramètres!$A$1:$I$89,3,0)*0.475*44/12</f>
        <v>13.408698844647143</v>
      </c>
      <c r="LI195" s="21">
        <f>EXP(-LN(2)/25)*LI194+(1-EXP(-LN(2)/25))/(LN(2)/25)*Calculateur!LD195*Calculateur!LF195*VLOOKUP('Données projet'!$B$23,Paramètres!$A$1:$I$89,3,0)*0.475*44/12</f>
        <v>0.97585622086162083</v>
      </c>
      <c r="LJ195" s="21">
        <f>EXP(-LN(2)/2)*LJ194+(1-EXP(-LN(2)/2))/(LN(2)/2)*LD195*LG195*VLOOKUP('Données projet'!$B$23,Paramètres!$A$1:$I$89,3,0)*0.475*44/12</f>
        <v>0</v>
      </c>
      <c r="LK195" s="22">
        <f t="shared" si="268"/>
        <v>14.384555065508764</v>
      </c>
      <c r="LL195" s="74">
        <f>('Scénario référence'!$F$8+'Scénario référence'!$F$9+'Scénario référence'!$B$17+'Scénario référence'!$B$9+'Scénario référence'!$B$10)*70+IF((45+25*(1-EXP(-0.0175*$A195)))&lt;70,'Scénario référence'!$B$16*(45+25*(1-EXP(-0.0175*$A195))),70*'Scénario référence'!$B$16)+IF((32+38*(1-EXP(-0.0175*$A195)))&lt;70,'Scénario référence'!$B$18*(32+38*(1-EXP(-0.0175*$A195))),70*'Scénario référence'!$B$18)</f>
        <v>70</v>
      </c>
      <c r="LM195" s="12">
        <f>IF($A195&gt;30,10,('Scénario référence'!$B$16+'Scénario référence'!$B$17+'Scénario référence'!$B$18+'Scénario référence'!$B$9+'Scénario référence'!$B$10)*$A195*10/30+('Scénario référence'!$F$8+'Scénario référence'!$F$9)*10)</f>
        <v>10</v>
      </c>
      <c r="LN195" s="12" t="e">
        <f>VLOOKUP($A195,'Données projet'!$A$434:$I$454,2,0)</f>
        <v>#N/A</v>
      </c>
      <c r="LO195" s="12" t="e">
        <f>VLOOKUP($A195,'Données projet'!$A$434:$I$454,9,0)</f>
        <v>#N/A</v>
      </c>
      <c r="LP195" s="12">
        <f t="array" ref="LP195">INDEX(LO:LO,MIN(IF(ISNUMBER(LO195:LO391),ROW(LO195:LO391),"")))</f>
        <v>0</v>
      </c>
      <c r="LQ195" s="12">
        <f>IF('Données projet'!$A$434&gt;35,LQ194+LP195-LY194,IF($A195&lt;'Données projet'!$A$434,$CQ$205^$A195,IF($A195='Données projet'!$A$434,'Données projet'!$B$434,LQ194+LP195-LY194)))</f>
        <v>-4.5474735088646412E-13</v>
      </c>
      <c r="LR195" s="17">
        <f>LQ195*VLOOKUP('Données projet'!$B$24,Paramètres!$A$1:$I$89,3,0)*VLOOKUP('Données projet'!$B$24,Paramètres!$A$1:$I$89,5,0)</f>
        <v>-4.6111381379887462E-13</v>
      </c>
      <c r="LS195" s="13" t="e">
        <f t="shared" si="316"/>
        <v>#NUM!</v>
      </c>
      <c r="LT195" s="14" t="e">
        <f t="shared" si="269"/>
        <v>#NUM!</v>
      </c>
      <c r="LU195" s="59" t="e">
        <f t="shared" si="270"/>
        <v>#NUM!</v>
      </c>
      <c r="LV195" s="59">
        <f ca="1">AVERAGE(OFFSET($LU$3,0,0,'Données projet'!$E$24+1,1))-AVERAGE(OFFSET($H$3,0,0,'Données projet'!$E$24+1,1))</f>
        <v>260.52627655062872</v>
      </c>
      <c r="LW195" s="59">
        <f t="shared" si="317"/>
        <v>159.20429420478047</v>
      </c>
      <c r="LX195" s="15">
        <f>IF(ISNA(VLOOKUP($A195,'Données projet'!$A$434:$I$454,3,0)),0,VLOOKUP($A195,'Données projet'!$A$434:$I$454,3,0))</f>
        <v>0</v>
      </c>
      <c r="LY195" s="15">
        <f>IF(ISNA(VLOOKUP($A195,'Données projet'!$A$434:$I$454,4,0)),0,VLOOKUP($A195,'Données projet'!$A$434:$I$454,4,0))</f>
        <v>0</v>
      </c>
      <c r="LZ195" s="16">
        <f>IF(ISNA(VLOOKUP($A195,'Données projet'!$A$434:$I$454,5,0)),0%,VLOOKUP($A195,'Données projet'!$A$434:$I$454,5,0)*VLOOKUP('Données projet'!$B$24,Paramètres!$A$1:$I$89,7,0))</f>
        <v>0</v>
      </c>
      <c r="MA195" s="16">
        <f>IF(ISNA(VLOOKUP($A195,'Données projet'!$A$434:$I$454,6,0)),0%,VLOOKUP($A195,'Données projet'!$A$434:$I$454,6,0)*VLOOKUP('Données projet'!$B$24,Paramètres!$A$1:$I$89,7,0))</f>
        <v>0</v>
      </c>
      <c r="MB195" s="16">
        <f>IF(ISNA(VLOOKUP($A195,'Données projet'!$A$434:$I$454,7,0)),0%,VLOOKUP($A195,'Données projet'!$A$434:$I$454,7,0))</f>
        <v>0</v>
      </c>
      <c r="MC195" s="21">
        <f>EXP(-LN(2)/35)*MC194+(1-EXP(-LN(2)/35))/(LN(2)/35)*LY195*LZ195*VLOOKUP('Données projet'!$B$24,Paramètres!$A$1:$I$89,3,0)*0.475*44/12</f>
        <v>86.213379196822572</v>
      </c>
      <c r="MD195" s="21">
        <f>EXP(-LN(2)/25)*MD194+(1-EXP(-LN(2)/25))/(LN(2)/25)*Calculateur!LY195*Calculateur!MA195*VLOOKUP('Données projet'!$B$24,Paramètres!$A$1:$I$89,3,0)*0.475*44/12</f>
        <v>0</v>
      </c>
      <c r="ME195" s="21">
        <f>EXP(-LN(2)/2)*ME194+(1-EXP(-LN(2)/2))/(LN(2)/2)*LY195*MB195*VLOOKUP('Données projet'!$B$24,Paramètres!$A$1:$I$89,3,0)*0.475*44/12</f>
        <v>0</v>
      </c>
      <c r="MF195" s="22">
        <f t="shared" si="271"/>
        <v>86.213379196822572</v>
      </c>
      <c r="MG195" s="74">
        <f>('Scénario référence'!$F$8+'Scénario référence'!$F$9+'Scénario référence'!$B$17+'Scénario référence'!$B$9+'Scénario référence'!$B$10)*70+IF((45+25*(1-EXP(-0.0175*$A195)))&lt;70,'Scénario référence'!$B$16*(45+25*(1-EXP(-0.0175*$A195))),70*'Scénario référence'!$B$16)+IF((32+38*(1-EXP(-0.0175*$A195)))&lt;70,'Scénario référence'!$B$18*(32+38*(1-EXP(-0.0175*$A195))),70*'Scénario référence'!$B$18)</f>
        <v>70</v>
      </c>
      <c r="MH195" s="12">
        <f>IF($A195&gt;30,10,('Scénario référence'!$B$16+'Scénario référence'!$B$17+'Scénario référence'!$B$18+'Scénario référence'!$B$9+'Scénario référence'!$B$10)*$A195*10/30+('Scénario référence'!$F$8+'Scénario référence'!$F$9)*10)</f>
        <v>10</v>
      </c>
      <c r="MI195" s="12" t="e">
        <f>VLOOKUP($A195,'Données projet'!$A$460:$I$480,2,0)</f>
        <v>#N/A</v>
      </c>
      <c r="MJ195" s="12" t="e">
        <f>VLOOKUP($A195,'Données projet'!$A$460:$I$480,9,0)</f>
        <v>#N/A</v>
      </c>
      <c r="MK195" s="12">
        <f t="array" ref="MK195">INDEX(MJ:MJ,MIN(IF(ISNUMBER(MJ195:MJ391),ROW(MJ195:MJ391),"")))</f>
        <v>0</v>
      </c>
      <c r="ML195" s="12">
        <f>IF('Données projet'!$A$460&gt;35,ML194+MK195-MT194,IF($A195&lt;'Données projet'!$A$460,$CQ$205^$A195,IF($A195='Données projet'!$A$460,'Données projet'!$B$460,ML194+MK195-MT194)))</f>
        <v>0</v>
      </c>
      <c r="MM195" s="17" t="e">
        <f>ML195*VLOOKUP('Données projet'!$B$25,Paramètres!$A$1:$I$89,3,0)*VLOOKUP('Données projet'!$B$25,Paramètres!$A$1:$I$89,5,0)</f>
        <v>#N/A</v>
      </c>
      <c r="MN195" s="13" t="e">
        <f t="shared" si="318"/>
        <v>#N/A</v>
      </c>
      <c r="MO195" s="14" t="e">
        <f t="shared" si="272"/>
        <v>#N/A</v>
      </c>
      <c r="MP195" s="59" t="e">
        <f t="shared" si="273"/>
        <v>#N/A</v>
      </c>
      <c r="MQ195" s="20" t="e">
        <f ca="1">AVERAGE(OFFSET($MP$3,0,0,'Données projet'!$E$25+1,1))-AVERAGE(OFFSET($H$3,0,0,'Données projet'!$E$25+1,1))</f>
        <v>#N/A</v>
      </c>
      <c r="MR195" s="59" t="e">
        <f t="shared" si="319"/>
        <v>#N/A</v>
      </c>
      <c r="MS195" s="15">
        <f>IF(ISNA(VLOOKUP($A195,'Données projet'!$A$460:$I$480,3,0)),0,VLOOKUP($A195,'Données projet'!$A$460:$I$480,3,0))</f>
        <v>0</v>
      </c>
      <c r="MT195" s="15">
        <f>IF(ISNA(VLOOKUP($A195,'Données projet'!$A$460:$I$480,4,0)),0,VLOOKUP($A195,'Données projet'!$A$460:$I$480,4,0))</f>
        <v>0</v>
      </c>
      <c r="MU195" s="16">
        <f>IF(ISNA(VLOOKUP($A195,'Données projet'!$A$460:$I$480,5,0)),0%,VLOOKUP($A195,'Données projet'!$A$460:$I$480,5,0)*VLOOKUP('Données projet'!$B$25,Paramètres!$A$1:$I$89,7,0))</f>
        <v>0</v>
      </c>
      <c r="MV195" s="16">
        <f>IF(ISNA(VLOOKUP($A195,'Données projet'!$A$460:$I$480,6,0)),0%,VLOOKUP($A195,'Données projet'!$A$460:$I$480,6,0)*VLOOKUP('Données projet'!$B$25,Paramètres!$A$1:$I$89,7,0))</f>
        <v>0</v>
      </c>
      <c r="MW195" s="16">
        <f>IF(ISNA(VLOOKUP($A195,'Données projet'!$A$460:$I$480,7,0)),0%,VLOOKUP($A195,'Données projet'!$A$460:$I$480,7,0))</f>
        <v>0</v>
      </c>
      <c r="MX195" s="21" t="e">
        <f>EXP(-LN(2)/35)*MX194+(1-EXP(-LN(2)/35))/(LN(2)/35)*MT195*MU195*VLOOKUP('Données projet'!$B$25,Paramètres!$A$1:$I$89,3,0)*0.475*44/12</f>
        <v>#N/A</v>
      </c>
      <c r="MY195" s="21" t="e">
        <f>EXP(-LN(2)/25)*MY194+(1-EXP(-LN(2)/25))/(LN(2)/25)*Calculateur!MT195*Calculateur!MV195*VLOOKUP('Données projet'!$B$25,Paramètres!$A$1:$I$89,3,0)*0.475*44/12</f>
        <v>#N/A</v>
      </c>
      <c r="MZ195" s="21" t="e">
        <f>EXP(-LN(2)/2)*MZ194+(1-EXP(-LN(2)/2))/(LN(2)/2)*MT195*MW195*VLOOKUP('Données projet'!$B$25,Paramètres!$A$1:$I$89,3,0)*0.475*44/12</f>
        <v>#N/A</v>
      </c>
      <c r="NA195" s="22" t="e">
        <f t="shared" si="274"/>
        <v>#N/A</v>
      </c>
      <c r="NB195" s="74">
        <f>('Scénario référence'!$F$8+'Scénario référence'!$F$9+'Scénario référence'!$B$17+'Scénario référence'!$B$9+'Scénario référence'!$B$10)*70+IF((45+25*(1-EXP(-0.0175*$A195)))&lt;70,'Scénario référence'!$B$16*(45+25*(1-EXP(-0.0175*$A195))),70*'Scénario référence'!$B$16)+IF((32+38*(1-EXP(-0.0175*$A195)))&lt;70,'Scénario référence'!$B$18*(32+38*(1-EXP(-0.0175*$A195))),70*'Scénario référence'!$B$18)</f>
        <v>70</v>
      </c>
      <c r="NC195" s="12">
        <f>IF($A195&gt;30,10,('Scénario référence'!$B$16+'Scénario référence'!$B$17+'Scénario référence'!$B$18+'Scénario référence'!$B$9+'Scénario référence'!$B$10)*$A195*10/30+('Scénario référence'!$F$8+'Scénario référence'!$F$9)*10)</f>
        <v>10</v>
      </c>
      <c r="ND195" s="12" t="e">
        <f>VLOOKUP($A195,'Données projet'!$A$486:$I$506,2,0)</f>
        <v>#N/A</v>
      </c>
      <c r="NE195" s="12" t="e">
        <f>VLOOKUP($A195,'Données projet'!$A$486:$I$506,9,0)</f>
        <v>#N/A</v>
      </c>
      <c r="NF195" s="12">
        <f t="array" ref="NF195">INDEX(NE:NE,MIN(IF(ISNUMBER(NE195:NE391),ROW(NE195:NE391),"")))</f>
        <v>0</v>
      </c>
      <c r="NG195" s="12">
        <f>IF('Données projet'!$A$486&gt;35,NG194+NF195-NO194,IF($A195&lt;'Données projet'!$A$486,$CQ$205^$A195,IF($A195='Données projet'!$A$486,'Données projet'!$B$486,NG194+NF195-NO194)))</f>
        <v>0</v>
      </c>
      <c r="NH195" s="17" t="e">
        <f>NG195*VLOOKUP('Données projet'!$B$26,Paramètres!$A$1:$I$89,3,0)*VLOOKUP('Données projet'!$B$26,Paramètres!$A$1:$I$89,5,0)</f>
        <v>#N/A</v>
      </c>
      <c r="NI195" s="13" t="e">
        <f t="shared" si="320"/>
        <v>#N/A</v>
      </c>
      <c r="NJ195" s="14" t="e">
        <f t="shared" si="275"/>
        <v>#N/A</v>
      </c>
      <c r="NK195" s="59" t="e">
        <f t="shared" si="276"/>
        <v>#N/A</v>
      </c>
      <c r="NL195" s="20" t="e">
        <f ca="1">AVERAGE(OFFSET($NK$3,0,0,'Données projet'!$E$26+1,1))-AVERAGE(OFFSET($H$3,0,0,'Données projet'!$E$26+1,1))</f>
        <v>#N/A</v>
      </c>
      <c r="NM195" s="59" t="e">
        <f t="shared" si="321"/>
        <v>#N/A</v>
      </c>
      <c r="NN195" s="15">
        <f>IF(ISNA(VLOOKUP($A195,'Données projet'!$A$486:$I$506,3,0)),0,VLOOKUP($A195,'Données projet'!$A$486:$I$506,3,0))</f>
        <v>0</v>
      </c>
      <c r="NO195" s="15">
        <f>IF(ISNA(VLOOKUP($A195,'Données projet'!$A$486:$I$506,4,0)),0,VLOOKUP($A195,'Données projet'!$A$486:$I$506,4,0))</f>
        <v>0</v>
      </c>
      <c r="NP195" s="16">
        <f>IF(ISNA(VLOOKUP($A195,'Données projet'!$A$486:$I$506,5,0)),0%,VLOOKUP($A195,'Données projet'!$A$486:$I$506,5,0)*VLOOKUP('Données projet'!$B$26,Paramètres!$A$1:$I$89,7,0))</f>
        <v>0</v>
      </c>
      <c r="NQ195" s="16">
        <f>IF(ISNA(VLOOKUP($A195,'Données projet'!$A$486:$I$506,6,0)),0%,VLOOKUP($A195,'Données projet'!$A$486:$I$506,6,0)*VLOOKUP('Données projet'!$B$26,Paramètres!$A$1:$I$89,7,0))</f>
        <v>0</v>
      </c>
      <c r="NR195" s="16">
        <f>IF(ISNA(VLOOKUP($A195,'Données projet'!$A$486:$I$506,7,0)),0%,VLOOKUP($A195,'Données projet'!$A$486:$I$506,7,0))</f>
        <v>0</v>
      </c>
      <c r="NS195" s="21" t="e">
        <f>EXP(-LN(2)/35)*NS194+(1-EXP(-LN(2)/35))/(LN(2)/35)*NO195*NP195*VLOOKUP('Données projet'!$B$26,Paramètres!$A$1:$I$89,3,0)*0.475*44/12</f>
        <v>#N/A</v>
      </c>
      <c r="NT195" s="21" t="e">
        <f>EXP(-LN(2)/25)*NT194+(1-EXP(-LN(2)/25))/(LN(2)/25)*Calculateur!NO195*Calculateur!NQ195*VLOOKUP('Données projet'!$B$26,Paramètres!$A$1:$I$89,3,0)*0.475*44/12</f>
        <v>#N/A</v>
      </c>
      <c r="NU195" s="21" t="e">
        <f>EXP(-LN(2)/2)*NU194+(1-EXP(-LN(2)/2))/(LN(2)/2)*NO195*NR195*VLOOKUP('Données projet'!$B$26,Paramètres!$A$1:$I$89,3,0)*0.475*44/12</f>
        <v>#N/A</v>
      </c>
      <c r="NV195" s="22" t="e">
        <f t="shared" si="277"/>
        <v>#N/A</v>
      </c>
      <c r="NW195" s="74">
        <f>('Scénario référence'!$F$8+'Scénario référence'!$F$9+'Scénario référence'!$B$17+'Scénario référence'!$B$9+'Scénario référence'!$B$10)*70+IF((45+25*(1-EXP(-0.0175*$A195)))&lt;70,'Scénario référence'!$B$16*(45+25*(1-EXP(-0.0175*$A195))),70*'Scénario référence'!$B$16)+IF((32+38*(1-EXP(-0.0175*$A195)))&lt;70,'Scénario référence'!$B$18*(32+38*(1-EXP(-0.0175*$A195))),70*'Scénario référence'!$B$18)</f>
        <v>70</v>
      </c>
      <c r="NX195" s="12">
        <f>IF($A195&gt;30,10,('Scénario référence'!$B$16+'Scénario référence'!$B$17+'Scénario référence'!$B$18+'Scénario référence'!$B$9+'Scénario référence'!$B$10)*$A195*10/30+('Scénario référence'!$F$8+'Scénario référence'!$F$9)*10)</f>
        <v>10</v>
      </c>
      <c r="NY195" s="12" t="e">
        <f>VLOOKUP($A195,'Données projet'!$A$512:$I$532,2,0)</f>
        <v>#N/A</v>
      </c>
      <c r="NZ195" s="12" t="e">
        <f>VLOOKUP($A195,'Données projet'!$A$512:$I$532,9,0)</f>
        <v>#N/A</v>
      </c>
      <c r="OA195" s="12">
        <f t="array" ref="OA195">INDEX(NZ:NZ,MIN(IF(ISNUMBER(NZ195:NZ391),ROW(NZ195:NZ391),"")))</f>
        <v>0</v>
      </c>
      <c r="OB195" s="12">
        <f>IF('Données projet'!$A$512&gt;35,OB194+OA195-OJ194,IF($A195&lt;'Données projet'!$A$512,$CQ$205^$A195,IF($A195='Données projet'!$A$512,'Données projet'!$B$512,OB194+OA195-OJ194)))</f>
        <v>0</v>
      </c>
      <c r="OC195" s="17" t="e">
        <f>OB195*VLOOKUP('Données projet'!$B$27,Paramètres!$A$1:$I$89,3,0)*VLOOKUP('Données projet'!$B$27,Paramètres!$A$1:$I$89,5,0)</f>
        <v>#N/A</v>
      </c>
      <c r="OD195" s="13" t="e">
        <f t="shared" si="322"/>
        <v>#N/A</v>
      </c>
      <c r="OE195" s="14" t="e">
        <f t="shared" si="278"/>
        <v>#N/A</v>
      </c>
      <c r="OF195" s="59" t="e">
        <f t="shared" si="279"/>
        <v>#N/A</v>
      </c>
      <c r="OG195" s="20" t="e">
        <f ca="1">AVERAGE(OFFSET($OF$3,0,0,'Données projet'!$E$27+1,1))-AVERAGE(OFFSET($H$3,0,0,'Données projet'!$E$27+1,1))</f>
        <v>#N/A</v>
      </c>
      <c r="OH195" s="59" t="e">
        <f t="shared" si="323"/>
        <v>#N/A</v>
      </c>
      <c r="OI195" s="15">
        <f>IF(ISNA(VLOOKUP($A195,'Données projet'!$A$512:$I$532,3,0)),0,VLOOKUP($A195,'Données projet'!$A$512:$I$532,3,0))</f>
        <v>0</v>
      </c>
      <c r="OJ195" s="15">
        <f>IF(ISNA(VLOOKUP($A195,'Données projet'!$A$512:$I$532,4,0)),0,VLOOKUP($A195,'Données projet'!$A$512:$I$532,4,0))</f>
        <v>0</v>
      </c>
      <c r="OK195" s="16">
        <f>IF(ISNA(VLOOKUP($A195,'Données projet'!$A$512:$I$532,5,0)),0%,VLOOKUP($A195,'Données projet'!$A$512:$I$532,5,0)*VLOOKUP('Données projet'!$B$27,Paramètres!$A$1:$I$89,7,0))</f>
        <v>0</v>
      </c>
      <c r="OL195" s="16">
        <f>IF(ISNA(VLOOKUP($A195,'Données projet'!$A$512:$I$532,6,0)),0%,VLOOKUP($A195,'Données projet'!$A$512:$I$532,6,0)*VLOOKUP('Données projet'!$B$27,Paramètres!$A$1:$I$89,7,0))</f>
        <v>0</v>
      </c>
      <c r="OM195" s="16">
        <f>IF(ISNA(VLOOKUP($A195,'Données projet'!$A$512:$I$532,7,0)),0%,VLOOKUP($A195,'Données projet'!$A$512:$I$532,7,0))</f>
        <v>0</v>
      </c>
      <c r="ON195" s="21" t="e">
        <f>EXP(-LN(2)/35)*ON194+(1-EXP(-LN(2)/35))/(LN(2)/35)*OJ195*OK195*VLOOKUP('Données projet'!$B$27,Paramètres!$A$1:$I$89,3,0)*0.475*44/12</f>
        <v>#N/A</v>
      </c>
      <c r="OO195" s="21" t="e">
        <f>EXP(-LN(2)/25)*OO194+(1-EXP(-LN(2)/25))/(LN(2)/25)*Calculateur!OJ195*Calculateur!OL195*VLOOKUP('Données projet'!$B$27,Paramètres!$A$1:$I$89,3,0)*0.475*44/12</f>
        <v>#N/A</v>
      </c>
      <c r="OP195" s="21" t="e">
        <f>EXP(-LN(2)/2)*OP194+(1-EXP(-LN(2)/2))/(LN(2)/2)*OJ195*OM195*VLOOKUP('Données projet'!$B$27,Paramètres!$A$1:$I$89,3,0)*0.475*44/12</f>
        <v>#N/A</v>
      </c>
      <c r="OQ195" s="22" t="e">
        <f t="shared" si="280"/>
        <v>#N/A</v>
      </c>
      <c r="OR195" s="74">
        <f>('Scénario référence'!$F$8+'Scénario référence'!$F$9+'Scénario référence'!$B$17+'Scénario référence'!$B$9+'Scénario référence'!$B$10)*70+IF((45+25*(1-EXP(-0.0175*$A195)))&lt;70,'Scénario référence'!$B$16*(45+25*(1-EXP(-0.0175*$A195))),70*'Scénario référence'!$B$16)+IF((32+38*(1-EXP(-0.0175*$A195)))&lt;70,'Scénario référence'!$B$18*(32+38*(1-EXP(-0.0175*$A195))),70*'Scénario référence'!$B$18)</f>
        <v>70</v>
      </c>
      <c r="OS195" s="12">
        <f>IF($A195&gt;30,10,('Scénario référence'!$B$16+'Scénario référence'!$B$17+'Scénario référence'!$B$18+'Scénario référence'!$B$9+'Scénario référence'!$B$10)*$A195*10/30+('Scénario référence'!$F$8+'Scénario référence'!$F$9)*10)</f>
        <v>10</v>
      </c>
      <c r="OT195" s="12" t="e">
        <f>VLOOKUP($A195,'Données projet'!$A$538:$I$558,2,0)</f>
        <v>#N/A</v>
      </c>
      <c r="OU195" s="12" t="e">
        <f>VLOOKUP($A195,'Données projet'!$A$538:$I$558,9,0)</f>
        <v>#N/A</v>
      </c>
      <c r="OV195" s="12">
        <f t="array" ref="OV195">INDEX(OU:OU,MIN(IF(ISNUMBER(OU195:OU391),ROW(OU195:OU391),"")))</f>
        <v>0</v>
      </c>
      <c r="OW195" s="12">
        <f>IF('Données projet'!$A$538&gt;35,OW194+OV195-PE194,IF($A195&lt;'Données projet'!$A$538,$CQ$205^$A195,IF($A195='Données projet'!$A$538,'Données projet'!$B$538,OW194+OV195-PE194)))</f>
        <v>0</v>
      </c>
      <c r="OX195" s="17" t="e">
        <f>OW195*VLOOKUP('Données projet'!$B$28,Paramètres!$A$1:$I$89,3,0)*VLOOKUP('Données projet'!$B$28,Paramètres!$A$1:$I$89,5,0)</f>
        <v>#N/A</v>
      </c>
      <c r="OY195" s="13" t="e">
        <f t="shared" si="324"/>
        <v>#N/A</v>
      </c>
      <c r="OZ195" s="14" t="e">
        <f t="shared" si="281"/>
        <v>#N/A</v>
      </c>
      <c r="PA195" s="59" t="e">
        <f t="shared" si="282"/>
        <v>#N/A</v>
      </c>
      <c r="PB195" s="20" t="e">
        <f ca="1">AVERAGE(OFFSET($PA$3,0,0,'Données projet'!$E$28+1,1))-AVERAGE(OFFSET($H$3,0,0,'Données projet'!$E$28+1,1))</f>
        <v>#N/A</v>
      </c>
      <c r="PC195" s="59" t="e">
        <f t="shared" si="325"/>
        <v>#N/A</v>
      </c>
      <c r="PD195" s="15">
        <f>IF(ISNA(VLOOKUP($A195,'Données projet'!$A$538:$I$558,3,0)),0,VLOOKUP($A195,'Données projet'!$A$538:$I$558,3,0))</f>
        <v>0</v>
      </c>
      <c r="PE195" s="15">
        <f>IF(ISNA(VLOOKUP($A195,'Données projet'!$A$538:$I$558,4,0)),0,VLOOKUP($A195,'Données projet'!$A$538:$I$558,4,0))</f>
        <v>0</v>
      </c>
      <c r="PF195" s="16">
        <f>IF(ISNA(VLOOKUP($A195,'Données projet'!$A$538:$I$558,5,0)),0%,VLOOKUP($A195,'Données projet'!$A$538:$I$558,5,0)*VLOOKUP('Données projet'!$B$28,Paramètres!$A$1:$I$89,7,0))</f>
        <v>0</v>
      </c>
      <c r="PG195" s="16">
        <f>IF(ISNA(VLOOKUP($A195,'Données projet'!$A$538:$I$558,6,0)),0%,VLOOKUP($A195,'Données projet'!$A$538:$I$558,6,0)*VLOOKUP('Données projet'!$B$28,Paramètres!$A$1:$I$89,7,0))</f>
        <v>0</v>
      </c>
      <c r="PH195" s="16">
        <f>IF(ISNA(VLOOKUP($A195,'Données projet'!$A$538:$I$558,7,0)),0%,VLOOKUP($A195,'Données projet'!$A$538:$I$558,7,0))</f>
        <v>0</v>
      </c>
      <c r="PI195" s="21" t="e">
        <f>EXP(-LN(2)/35)*PI194+(1-EXP(-LN(2)/35))/(LN(2)/35)*PE195*PF195*VLOOKUP('Données projet'!$B$28,Paramètres!$A$1:$I$89,3,0)*0.475*44/12</f>
        <v>#N/A</v>
      </c>
      <c r="PJ195" s="21" t="e">
        <f>EXP(-LN(2)/25)*PJ194+(1-EXP(-LN(2)/25))/(LN(2)/25)*Calculateur!PE195*Calculateur!PG195*VLOOKUP('Données projet'!$B$28,Paramètres!$A$1:$I$89,3,0)*0.475*44/12</f>
        <v>#N/A</v>
      </c>
      <c r="PK195" s="21" t="e">
        <f>EXP(-LN(2)/2)*PK194+(1-EXP(-LN(2)/2))/(LN(2)/2)*PE195*PH195*VLOOKUP('Données projet'!$B$28,Paramètres!$A$1:$I$89,3,0)*0.475*44/12</f>
        <v>#N/A</v>
      </c>
      <c r="PL195" s="22" t="e">
        <f t="shared" si="283"/>
        <v>#N/A</v>
      </c>
    </row>
    <row r="196" spans="1:428" x14ac:dyDescent="0.35">
      <c r="A196" s="10">
        <f t="shared" si="326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285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357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projet'!$A$45:$I$65,2,0)</f>
        <v>#N/A</v>
      </c>
      <c r="L196" s="12" t="e">
        <f>VLOOKUP(A196,'Données projet'!$A$45:$I$65,9,0)</f>
        <v>#N/A</v>
      </c>
      <c r="M196" s="12">
        <f t="array" ref="M196">INDEX(L:L,MIN(IF(ISNUMBER(L196:L392),ROW(L196:L392),"")))</f>
        <v>0</v>
      </c>
      <c r="N196" s="13">
        <f>IF('Données projet'!$A$46&gt;35,N195+M196-V195,IF(A196&lt;'Données projet'!$A$46,$K$205^A196,IF(A196='Données projet'!$A$46,'Données projet'!$B$46,N195+M196-V195)))</f>
        <v>-1.1368683772161603E-13</v>
      </c>
      <c r="O196" s="13">
        <f>N196*VLOOKUP('Données projet'!$B$9,Paramètres!$A$1:$I$89,3,0)*VLOOKUP('Données projet'!$B$9,Paramètres!$A$1:$I$89,5,0)</f>
        <v>-6.3550942286383367E-14</v>
      </c>
      <c r="P196" s="13" t="e">
        <f t="shared" si="286"/>
        <v>#NUM!</v>
      </c>
      <c r="Q196" s="20" t="e">
        <f t="shared" si="327"/>
        <v>#NUM!</v>
      </c>
      <c r="R196" s="59" t="e">
        <f t="shared" si="356"/>
        <v>#NUM!</v>
      </c>
      <c r="S196" s="59">
        <f ca="1">AVERAGE(OFFSET($R$3,0,0,'Données projet'!$E$9+1,1))-AVERAGE(OFFSET($H$3,0,0,'Données projet'!$E$9+1,1))</f>
        <v>274.57619581652199</v>
      </c>
      <c r="T196" s="59">
        <f t="shared" si="287"/>
        <v>366.15117322598775</v>
      </c>
      <c r="U196" s="15">
        <f>IF(ISNA(VLOOKUP(A196,'Données projet'!$A$45:$I$65,3,0)),0,VLOOKUP(A196,'Données projet'!$A$45:$I$65,3,0))</f>
        <v>0</v>
      </c>
      <c r="V196" s="15">
        <f>IF(ISNA(VLOOKUP(A196,'Données projet'!$A$45:$I$65,4,0)),0,VLOOKUP(A196,'Données projet'!$A$45:$I$65,4,0))</f>
        <v>0</v>
      </c>
      <c r="W196" s="16">
        <f>IF(ISNA(VLOOKUP(A196,'Données projet'!$A$45:$I$65,5,0)),0%,VLOOKUP(A196,'Données projet'!$A$45:$I$65,5,0)*VLOOKUP('Données projet'!$B$9,Paramètres!$A$1:$I$89,7,0))</f>
        <v>0</v>
      </c>
      <c r="X196" s="16">
        <f>IF(ISNA(VLOOKUP(A196,'Données projet'!$A$45:$I$65,6,0)),0%,VLOOKUP(A196,'Données projet'!$A$45:$I$65,6,0)*VLOOKUP('Données projet'!$B$9,Paramètres!$A$1:$I$89,7,0))</f>
        <v>0</v>
      </c>
      <c r="Y196" s="16">
        <f>IF(ISNA(VLOOKUP(A196,'Données projet'!$A$45:$I$65,7,0)),0%,VLOOKUP(A196,'Données projet'!$A$45:$I$65,7,0))</f>
        <v>0</v>
      </c>
      <c r="Z196" s="21">
        <f>EXP(-LN(2)/35)*Z195+(1-EXP(-LN(2)/35))/(LN(2)/35)*V196*W196*VLOOKUP('Données projet'!$B$9,Paramètres!$A$1:$I$89,3,0)*0.475*44/12</f>
        <v>14.738423264958296</v>
      </c>
      <c r="AA196" s="21">
        <f>EXP(-LN(2)/25)*AA195+(1-EXP(-LN(2)/25))/(LN(2)/25)*Calculateur!V196*Calculateur!X196*VLOOKUP('Données projet'!$B$9,Paramètres!$A$1:$I$89,3,0)*0.475*44/12</f>
        <v>1.2554366774161909</v>
      </c>
      <c r="AB196" s="21">
        <f>EXP(-LN(2)/2)*AB195+(1-EXP(-LN(2)/2))/(LN(2)/2)*V196*Y196*VLOOKUP('Données projet'!$B$9,Paramètres!$A$1:$I$89,3,0)*0.475*44/12</f>
        <v>5.7871500025307039E-20</v>
      </c>
      <c r="AC196" s="22">
        <f t="shared" si="328"/>
        <v>15.993859942374486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projet'!$A$71:$I$91,2,0)</f>
        <v>#N/A</v>
      </c>
      <c r="AG196" s="12" t="e">
        <f>VLOOKUP(A196,'Données projet'!$A$71:$I$91,9,0)</f>
        <v>#N/A</v>
      </c>
      <c r="AH196" s="12">
        <f t="array" ref="AH196">INDEX(AG:AG,MIN(IF(ISNUMBER(AG196:AG392),ROW(AG196:AG392),"")))</f>
        <v>0</v>
      </c>
      <c r="AI196" s="13">
        <f>IF('Données projet'!$A$72&gt;35,AI195+AH196-AQ195,IF(A196&lt;'Données projet'!$A$72,$AF$205^A196,IF(A196='Données projet'!$A$72,'Données projet'!$B$72,AI195+AH196-AQ195)))</f>
        <v>5.6843418860808015E-13</v>
      </c>
      <c r="AJ196" s="13">
        <f>AI196*VLOOKUP('Données projet'!$B$10,Paramètres!$A$1:$I$89,3,0)*VLOOKUP('Données projet'!$B$10,Paramètres!$A$1:$I$89,5,0)</f>
        <v>5.1431925385259092E-13</v>
      </c>
      <c r="AK196" s="13">
        <f t="shared" si="329"/>
        <v>6.3855359115685756E-12</v>
      </c>
      <c r="AL196" s="20">
        <f t="shared" si="330"/>
        <v>1.2017247746441865E-11</v>
      </c>
      <c r="AM196" s="59">
        <f t="shared" ref="AM196:AM203" si="358">AL196+(AD196+AE196)*44/12</f>
        <v>293.33333333334531</v>
      </c>
      <c r="AN196" s="59">
        <f ca="1">AVERAGE(OFFSET($AM$3,0,0,'Données projet'!$E$10+1,1))-AVERAGE(OFFSET($H$3,0,0,'Données projet'!$E$10+1,1))</f>
        <v>270.87836509222456</v>
      </c>
      <c r="AO196" s="59">
        <f t="shared" si="289"/>
        <v>205.24998237949734</v>
      </c>
      <c r="AP196" s="15">
        <f>IF(ISNA(VLOOKUP(A196,'Données projet'!$A$71:$I$91,3,0)),0,VLOOKUP(A196,'Données projet'!$A$71:$I$91,3,0))</f>
        <v>0</v>
      </c>
      <c r="AQ196" s="15">
        <f>IF(ISNA(VLOOKUP(A196,'Données projet'!$A$71:$I$91,4,0)),0,VLOOKUP(A196,'Données projet'!$A$71:$I$91,4,0))</f>
        <v>0</v>
      </c>
      <c r="AR196" s="16">
        <f>IF(ISNA(VLOOKUP(A196,'Données projet'!$A$71:$I$91,5,0)),0%,VLOOKUP(A196,'Données projet'!$A$71:$I$91,5,0)*VLOOKUP('Données projet'!$B$10,Paramètres!$A$1:$I$89,7,0))</f>
        <v>0</v>
      </c>
      <c r="AS196" s="16">
        <f>IF(ISNA(VLOOKUP(A196,'Données projet'!$A$71:$I$91,6,0)),0%,VLOOKUP(A196,'Données projet'!$A$71:$I$91,6,0)*VLOOKUP('Données projet'!$B$10,Paramètres!$A$1:$I$89,7,0))</f>
        <v>0</v>
      </c>
      <c r="AT196" s="16">
        <f>IF(ISNA(VLOOKUP(A196,'Données projet'!$A$71:$I$91,7,0)),0%,VLOOKUP(A196,'Données projet'!$A$71:$I$91,7,0))</f>
        <v>0</v>
      </c>
      <c r="AU196" s="21">
        <f>EXP(-LN(2)/35)*AU195+(1-EXP(-LN(2)/35))/(LN(2)/35)*AQ196*AR196*VLOOKUP('Données projet'!$B$10,Paramètres!$A$1:$I$89,3,0)*0.475*44/12</f>
        <v>50.084917267363892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331"/>
        <v>50.084917267363892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projet'!$A$97:$I$117,2,0)</f>
        <v>#N/A</v>
      </c>
      <c r="BB196" s="12" t="e">
        <f>VLOOKUP(A196,'Données projet'!$A$97:$I$117,9,0)</f>
        <v>#N/A</v>
      </c>
      <c r="BC196" s="12">
        <f t="array" ref="BC196">INDEX(BB:BB,MIN(IF(ISNUMBER(BB196:BB392),ROW(BB196:BB392),"")))</f>
        <v>0</v>
      </c>
      <c r="BD196" s="12">
        <f>IF('Données projet'!$A$98&gt;35,BD195+BC196-BL195,IF(A196&lt;'Données projet'!$A$98,$BA$205^A196,IF(A196='Données projet'!$A$98,'Données projet'!$B$98,BD195+BC196-BL195)))</f>
        <v>-1.1368683772161603E-13</v>
      </c>
      <c r="BE196" s="13">
        <f>BD196*VLOOKUP('Données projet'!$B$11,Paramètres!$A$1:$I$89,3,0)*VLOOKUP('Données projet'!$B$11,Paramètres!$A$1:$I$89,5,0)</f>
        <v>-5.0249582272954292E-14</v>
      </c>
      <c r="BF196" s="13" t="e">
        <f t="shared" si="332"/>
        <v>#NUM!</v>
      </c>
      <c r="BG196" s="20" t="e">
        <f t="shared" si="333"/>
        <v>#NUM!</v>
      </c>
      <c r="BH196" s="59" t="e">
        <f t="shared" ref="BH196:BH203" si="359">BG196+(AY196+AZ196)*44/12</f>
        <v>#NUM!</v>
      </c>
      <c r="BI196" s="59">
        <f ca="1">AVERAGE(OFFSET($BH$3,0,0,'Données projet'!$E$11+1,1))-AVERAGE(OFFSET($H$3,0,0,'Données projet'!$E$11+1,1))</f>
        <v>211.31057120485542</v>
      </c>
      <c r="BJ196" s="59">
        <f t="shared" si="291"/>
        <v>283.33292006714777</v>
      </c>
      <c r="BK196" s="15">
        <f>IF(ISNA(VLOOKUP(A196,'Données projet'!$A$97:$I$117,3,0)),0,VLOOKUP(A196,'Données projet'!$A$97:$I$117,3,0))</f>
        <v>0</v>
      </c>
      <c r="BL196" s="15">
        <f>IF(ISNA(VLOOKUP(A196,'Données projet'!$A$97:$I$117,4,0)),0,VLOOKUP(A196,'Données projet'!$A$97:$I$117,4,0))</f>
        <v>0</v>
      </c>
      <c r="BM196" s="16">
        <f>IF(ISNA(VLOOKUP(A196,'Données projet'!$A$97:$I$117,5,0)),0%,VLOOKUP(A196,'Données projet'!$A$97:$I$117,5,0)*VLOOKUP('Données projet'!$B$11,Paramètres!$A$1:$I$89,7,0))</f>
        <v>0</v>
      </c>
      <c r="BN196" s="16">
        <f>IF(ISNA(VLOOKUP(A196,'Données projet'!$A$97:$I$117,6,0)),0%,VLOOKUP(A196,'Données projet'!$A$97:$I$117,6,0)*VLOOKUP('Données projet'!$B$11,Paramètres!$A$1:$I$89,7,0))</f>
        <v>0</v>
      </c>
      <c r="BO196" s="16">
        <f>IF(ISNA(VLOOKUP(A196,'Données projet'!$A$97:$I$117,7,0)),0%,VLOOKUP(A196,'Données projet'!$A$97:$I$117,7,0))</f>
        <v>0</v>
      </c>
      <c r="BP196" s="21">
        <f>EXP(-LN(2)/35)*BP195+(1-EXP(-LN(2)/35))/(LN(2)/35)*BL196*BM196*VLOOKUP('Données projet'!$B$11,Paramètres!$A$1:$I$89,3,0)*0.475*44/12</f>
        <v>11.653637000199591</v>
      </c>
      <c r="BQ196" s="21">
        <f>EXP(-LN(2)/25)*BQ195+(1-EXP(-LN(2)/25))/(LN(2)/25)*Calculateur!BL196*Calculateur!BN196*VLOOKUP('Données projet'!$B$11,Paramètres!$A$1:$I$89,3,0)*0.475*44/12</f>
        <v>0.99267086121280157</v>
      </c>
      <c r="BR196" s="21">
        <f>EXP(-LN(2)/2)*BR195+(1-EXP(-LN(2)/2))/(LN(2)/2)*BL196*BO196*VLOOKUP('Données projet'!$B$11,Paramètres!$A$1:$I$89,3,0)*0.475*44/12</f>
        <v>4.5758860485126487E-20</v>
      </c>
      <c r="BS196" s="22">
        <f t="shared" si="334"/>
        <v>12.646307861412392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projet'!$A$123:$I$143,2,0)</f>
        <v>#N/A</v>
      </c>
      <c r="BW196" s="12" t="e">
        <f>VLOOKUP(A196,'Données projet'!$A$123:$I$143,9,0)</f>
        <v>#N/A</v>
      </c>
      <c r="BX196" s="12">
        <f t="array" ref="BX196">INDEX(BW:BW,MIN(IF(ISNUMBER(BW196:BW392),ROW(BW196:BW392),"")))</f>
        <v>0</v>
      </c>
      <c r="BY196" s="12">
        <f>IF('Données projet'!$A$124&gt;35,BY195+BX196-CG195,IF(A196&lt;'Données projet'!$A$124,$BV$205^A196,IF(A196='Données projet'!$A$124,'Données projet'!$B$124,BY195+BX196-CG195)))</f>
        <v>0</v>
      </c>
      <c r="BZ196" s="13">
        <f>BY196*VLOOKUP('Données projet'!$B$12,Paramètres!$A$1:$I$89,3,0)*VLOOKUP('Données projet'!$B$12,Paramètres!$A$1:$I$89,5,0)</f>
        <v>0</v>
      </c>
      <c r="CA196" s="13" t="e">
        <f t="shared" si="335"/>
        <v>#NUM!</v>
      </c>
      <c r="CB196" s="20" t="e">
        <f t="shared" si="336"/>
        <v>#NUM!</v>
      </c>
      <c r="CC196" s="59" t="e">
        <f t="shared" ref="CC196:CC203" si="360">CB196+(BT196+BU196)*44/12</f>
        <v>#NUM!</v>
      </c>
      <c r="CD196" s="59">
        <f ca="1">AVERAGE(OFFSET($CC$3,0,0,'Données projet'!$E$12+1,1))-AVERAGE(OFFSET($H$3,0,0,'Données projet'!$E$12+1,1))</f>
        <v>322.93502595881938</v>
      </c>
      <c r="CE196" s="59">
        <f t="shared" si="293"/>
        <v>302.67072119588164</v>
      </c>
      <c r="CF196" s="15">
        <f>IF(ISNA(VLOOKUP(A196,'Données projet'!$A$123:$I$143,3,0)),0,VLOOKUP(A196,'Données projet'!$A$123:$I$143,3,0))</f>
        <v>0</v>
      </c>
      <c r="CG196" s="15">
        <f>IF(ISNA(VLOOKUP(A196,'Données projet'!$A$123:$I$143,4,0)),0,VLOOKUP(A196,'Données projet'!$A$123:$I$143,4,0))</f>
        <v>0</v>
      </c>
      <c r="CH196" s="16">
        <f>IF(ISNA(VLOOKUP(A196,'Données projet'!$A$123:$I$143,5,0)),0%,VLOOKUP(A196,'Données projet'!$A$123:$I$143,5,0)*VLOOKUP('Données projet'!$B$12,Paramètres!$A$1:$I$89,7,0))</f>
        <v>0</v>
      </c>
      <c r="CI196" s="16">
        <f>IF(ISNA(VLOOKUP(A196,'Données projet'!$A$123:$I$143,6,0)),0%,VLOOKUP(A196,'Données projet'!$A$123:$I$143,6,0)*VLOOKUP('Données projet'!$B$12,Paramètres!$A$1:$I$89,7,0))</f>
        <v>0</v>
      </c>
      <c r="CJ196" s="16">
        <f>IF(ISNA(VLOOKUP(A196,'Données projet'!$A$123:$I$143,7,0)),0%,VLOOKUP(A196,'Données projet'!$A$123:$I$143,7,0))</f>
        <v>0</v>
      </c>
      <c r="CK196" s="21">
        <f>EXP(-LN(2)/35)*CK195+(1-EXP(-LN(2)/35))/(LN(2)/35)*CG196*CH196*VLOOKUP('Données projet'!$B$12,Paramètres!$A$1:$I$89,3,0)*0.475*44/12</f>
        <v>18.567059658713116</v>
      </c>
      <c r="CL196" s="21">
        <f>EXP(-LN(2)/25)*CL195+(1-EXP(-LN(2)/25))/(LN(2)/25)*Calculateur!CG196*Calculateur!CI196*VLOOKUP('Données projet'!$B$12,Paramètres!$A$1:$I$89,3,0)*0.475*44/12</f>
        <v>3.1771473604352858</v>
      </c>
      <c r="CM196" s="21">
        <f>EXP(-LN(2)/2)*CM195+(1-EXP(-LN(2)/2))/(LN(2)/2)*CG196*CJ196*VLOOKUP('Données projet'!$B$12,Paramètres!$A$1:$I$89,3,0)*0.475*44/12</f>
        <v>0</v>
      </c>
      <c r="CN196" s="22">
        <f t="shared" si="337"/>
        <v>21.744207019148401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projet'!$A$149:$I$169,2,0)</f>
        <v>#N/A</v>
      </c>
      <c r="CR196" s="12" t="e">
        <f>VLOOKUP(A196,'Données projet'!$A$149:$I$169,9,0)</f>
        <v>#N/A</v>
      </c>
      <c r="CS196" s="12">
        <f t="array" ref="CS196">INDEX(CR:CR,MIN(IF(ISNUMBER(CR196:CR392),ROW(CR196:CR392),"")))</f>
        <v>0</v>
      </c>
      <c r="CT196" s="12">
        <f>IF('Données projet'!$A$150&gt;35,CT195+CS196-DB195,IF(A196&lt;'Données projet'!$A$150,$CQ$205^A196,IF(A196='Données projet'!$A$150,'Données projet'!$B$150,CT195+CS196-DB195)))</f>
        <v>-4.5474735088646412E-13</v>
      </c>
      <c r="CU196" s="17">
        <f>CT196*VLOOKUP('Données projet'!$B$13,Paramètres!$A$1:$I$89,3,0)*VLOOKUP('Données projet'!$B$13,Paramètres!$A$1:$I$89,5,0)</f>
        <v>-4.6111381379887462E-13</v>
      </c>
      <c r="CV196" s="13" t="e">
        <f t="shared" si="338"/>
        <v>#NUM!</v>
      </c>
      <c r="CW196" s="20" t="e">
        <f t="shared" si="339"/>
        <v>#NUM!</v>
      </c>
      <c r="CX196" s="59" t="e">
        <f t="shared" ref="CX196:CX203" si="361">CW196+(CO196+CP196)*44/12</f>
        <v>#NUM!</v>
      </c>
      <c r="CY196" s="59">
        <f ca="1">AVERAGE(OFFSET($CX$3,0,0,'Données projet'!$E$13+1,1))-AVERAGE(OFFSET($H$3,0,0,'Données projet'!$E$13+1,1))</f>
        <v>250.31277422753283</v>
      </c>
      <c r="CZ196" s="59">
        <f t="shared" si="295"/>
        <v>159.20429420478047</v>
      </c>
      <c r="DA196" s="15">
        <f>IF(ISNA(VLOOKUP(A196,'Données projet'!$A$149:$I$169,3,0)),0,VLOOKUP(A196,'Données projet'!$A$149:$I$169,3,0))</f>
        <v>0</v>
      </c>
      <c r="DB196" s="15">
        <f>IF(ISNA(VLOOKUP(A196,'Données projet'!$A$149:$I$169,4,0)),0,VLOOKUP(A196,'Données projet'!$A$149:$I$169,4,0))</f>
        <v>0</v>
      </c>
      <c r="DC196" s="16">
        <f>IF(ISNA(VLOOKUP(A196,'Données projet'!$A$149:$I$169,5,0)),0%,VLOOKUP(A196,'Données projet'!$A$149:$I$169,5,0)*VLOOKUP('Données projet'!$B$13,Paramètres!$A$1:$I$89,7,0))</f>
        <v>0</v>
      </c>
      <c r="DD196" s="16">
        <f>IF(ISNA(VLOOKUP(A196,'Données projet'!$A$149:$I$169,6,0)),0%,VLOOKUP(A196,'Données projet'!$A$149:$I$169,6,0)*VLOOKUP('Données projet'!$B$13,Paramètres!$A$1:$I$89,7,0))</f>
        <v>0</v>
      </c>
      <c r="DE196" s="16">
        <f>IF(ISNA(VLOOKUP(A196,'Données projet'!$A$149:$I$169,7,0)),0%,VLOOKUP(A196,'Données projet'!$A$149:$I$169,7,0))</f>
        <v>0</v>
      </c>
      <c r="DF196" s="21">
        <f>EXP(-LN(2)/35)*DF195+(1-EXP(-LN(2)/35))/(LN(2)/35)*DB196*DC196*VLOOKUP('Données projet'!$B$13,Paramètres!$A$1:$I$89,3,0)*0.475*44/12</f>
        <v>84.52278741574186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340"/>
        <v>84.52278741574186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projet'!$A$175:$I$195,2,0)</f>
        <v>#N/A</v>
      </c>
      <c r="DM196" s="12" t="e">
        <f>VLOOKUP(A196,'Données projet'!$A$175:$I$195,9,0)</f>
        <v>#N/A</v>
      </c>
      <c r="DN196" s="12">
        <f t="array" ref="DN196">INDEX(DM:DM,MIN(IF(ISNUMBER(DM196:DM392),ROW(DM196:DM392),"")))</f>
        <v>0</v>
      </c>
      <c r="DO196" s="12">
        <f>IF('Données projet'!$A$176&gt;35,DO195+DN196-DW195,IF(A196&lt;'Données projet'!$A$176,$DL$205^A196,IF(A196='Données projet'!$A$176,'Données projet'!$B$176,DO195+DN196-DW195)))</f>
        <v>-2.8421709430404007E-13</v>
      </c>
      <c r="DP196" s="17">
        <f>DO196*VLOOKUP('Données projet'!$B$14,Paramètres!$A$1:$I$89,3,0)*VLOOKUP('Données projet'!$B$14,Paramètres!$A$1:$I$89,5,0)</f>
        <v>-2.0838797354372215E-13</v>
      </c>
      <c r="DQ196" s="13" t="e">
        <f t="shared" si="341"/>
        <v>#NUM!</v>
      </c>
      <c r="DR196" s="20" t="e">
        <f t="shared" si="342"/>
        <v>#NUM!</v>
      </c>
      <c r="DS196" s="59" t="e">
        <f t="shared" ref="DS196:DS203" si="362">DR196+(DJ196+DK196)*44/12</f>
        <v>#NUM!</v>
      </c>
      <c r="DT196" s="59">
        <f ca="1">AVERAGE(OFFSET($DS$3,0,0,'Données projet'!$E$14+1,1))-AVERAGE(OFFSET($H$3,0,0,'Données projet'!$E$14+1,1))</f>
        <v>296.91321813251051</v>
      </c>
      <c r="DU196" s="59">
        <f t="shared" si="297"/>
        <v>291.0718079639509</v>
      </c>
      <c r="DV196" s="15">
        <f>IF(ISNA(VLOOKUP(A196,'Données projet'!$A$175:$I$195,3,0)),0,VLOOKUP(A196,'Données projet'!$A$175:$I$195,3,0))</f>
        <v>0</v>
      </c>
      <c r="DW196" s="15">
        <f>IF(ISNA(VLOOKUP(A196,'Données projet'!$A$175:$I$195,4,0)),0,VLOOKUP(A196,'Données projet'!$A$175:$I$195,4,0))</f>
        <v>0</v>
      </c>
      <c r="DX196" s="16">
        <f>IF(ISNA(VLOOKUP(A196,'Données projet'!$A$175:$I$195,5,0)),0%,VLOOKUP(A196,'Données projet'!$A$175:$I$195,5,0)*VLOOKUP('Données projet'!$B$14,Paramètres!$A$1:$I$89,7,0))</f>
        <v>0</v>
      </c>
      <c r="DY196" s="16">
        <f>IF(ISNA(VLOOKUP(A196,'Données projet'!$A$175:$I$195,6,0)),0%,VLOOKUP(A196,'Données projet'!$A$175:$I$195,6,0)*VLOOKUP('Données projet'!$B$14,Paramètres!$A$1:$I$89,7,0))</f>
        <v>0</v>
      </c>
      <c r="DZ196" s="16">
        <f>IF(ISNA(VLOOKUP(A196,'Données projet'!$A$175:$I$195,7,0)),0%,VLOOKUP(A196,'Données projet'!$A$175:$I$195,7,0))</f>
        <v>0</v>
      </c>
      <c r="EA196" s="21">
        <f>EXP(-LN(2)/35)*EA195+(1-EXP(-LN(2)/35))/(LN(2)/35)*DW196*DX196*VLOOKUP('Données projet'!$B$14,Paramètres!$A$1:$I$89,3,0)*0.475*44/12</f>
        <v>18.505397656193615</v>
      </c>
      <c r="EB196" s="21">
        <f>EXP(-LN(2)/25)*EB195+(1-EXP(-LN(2)/25))/(LN(2)/25)*Calculateur!DW196*Calculateur!DY196*VLOOKUP('Données projet'!$B$14,Paramètres!$A$1:$I$89,3,0)*0.475*44/12</f>
        <v>0.23339612659738831</v>
      </c>
      <c r="EC196" s="21">
        <f>EXP(-LN(2)/2)*EC195+(1-EXP(-LN(2)/2))/(LN(2)/2)*DW196*DZ196*VLOOKUP('Données projet'!$B$14,Paramètres!$A$1:$I$89,3,0)*0.475*44/12</f>
        <v>0</v>
      </c>
      <c r="ED196" s="22">
        <f t="shared" si="343"/>
        <v>18.738793782791003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projet'!$A$201:$I$221,2,0)</f>
        <v>#N/A</v>
      </c>
      <c r="EH196" s="12" t="e">
        <f>VLOOKUP(A196,'Données projet'!$A$201:$I$221,9,0)</f>
        <v>#N/A</v>
      </c>
      <c r="EI196" s="12">
        <f t="array" ref="EI196">INDEX(EH:EH,MIN(IF(ISNUMBER(EH196:EH392),ROW(EH196:EH392),"")))</f>
        <v>0</v>
      </c>
      <c r="EJ196" s="12">
        <f>IF('Données projet'!$A$202&gt;35,EJ195+EI196-ER195,IF(A196&lt;'Données projet'!$A$202,$EG$205^A196,IF(A196='Données projet'!$A$202,'Données projet'!$B$202,EJ195+EI196-ER195)))</f>
        <v>5.1159076974727213E-13</v>
      </c>
      <c r="EK196" s="17">
        <f>EJ196*VLOOKUP('Données projet'!$B$15,Paramètres!$A$1:$I$89,3,0)*VLOOKUP('Données projet'!$B$15,Paramètres!$A$1:$I$89,5,0)</f>
        <v>2.3942448024172334E-13</v>
      </c>
      <c r="EL196" s="13">
        <f t="shared" si="344"/>
        <v>3.2492669905861755E-12</v>
      </c>
      <c r="EM196" s="20">
        <f t="shared" si="345"/>
        <v>6.0761376450252565E-12</v>
      </c>
      <c r="EN196" s="59">
        <f t="shared" ref="EN196:EN203" si="363">EM196+(EE196+EF196)*44/12</f>
        <v>293.3333333333394</v>
      </c>
      <c r="EO196" s="59">
        <f ca="1">AVERAGE(OFFSET($EN$3,0,0,'Données projet'!$E$15+1,1))-AVERAGE(OFFSET($H$3,0,0,'Données projet'!$E$15+1,1))</f>
        <v>147.64256291235483</v>
      </c>
      <c r="EP196" s="59">
        <f t="shared" si="299"/>
        <v>70.859031694091868</v>
      </c>
      <c r="EQ196" s="15">
        <f>IF(ISNA(VLOOKUP(A196,'Données projet'!$A$201:$I$221,3,0)),0,VLOOKUP(A196,'Données projet'!$A$201:$I$221,3,0))</f>
        <v>0</v>
      </c>
      <c r="ER196" s="15">
        <f>IF(ISNA(VLOOKUP(A196,'Données projet'!$A$201:$I$221,4,0)),0,VLOOKUP(A196,'Données projet'!$A$201:$I$221,4,0))</f>
        <v>0</v>
      </c>
      <c r="ES196" s="16">
        <f>IF(ISNA(VLOOKUP(A196,'Données projet'!$A$201:$I$221,5,0)),0%,VLOOKUP(A196,'Données projet'!$A$201:$I$221,5,0)*VLOOKUP('Données projet'!$B$15,Paramètres!$A$1:$I$89,7,0))</f>
        <v>0</v>
      </c>
      <c r="ET196" s="16">
        <f>IF(ISNA(VLOOKUP(A196,'Données projet'!$A$201:$I$221,6,0)),0%,VLOOKUP(A196,'Données projet'!$A$201:$I$221,6,0)*VLOOKUP('Données projet'!$B$15,Paramètres!$A$1:$I$89,7,0))</f>
        <v>0</v>
      </c>
      <c r="EU196" s="16">
        <f>IF(ISNA(VLOOKUP(A196,'Données projet'!$A$201:$I$221,7,0)),0%,VLOOKUP(A196,'Données projet'!$A$201:$I$221,7,0))</f>
        <v>0</v>
      </c>
      <c r="EV196" s="21">
        <f>EXP(-LN(2)/35)*EV195+(1-EXP(-LN(2)/35))/(LN(2)/35)*ER196*ES196*VLOOKUP('Données projet'!$B$15,Paramètres!$A$1:$I$89,3,0)*0.475*44/12</f>
        <v>25.334181088941005</v>
      </c>
      <c r="EW196" s="21">
        <f>EXP(-LN(2)/25)*EW195+(1-EXP(-LN(2)/25))/(LN(2)/25)*Calculateur!ER196*Calculateur!ET196*VLOOKUP('Données projet'!$B$15,Paramètres!$A$1:$I$89,3,0)*0.475*44/12</f>
        <v>3.2381361139154592</v>
      </c>
      <c r="EX196" s="21">
        <f>EXP(-LN(2)/2)*EX195+(1-EXP(-LN(2)/2))/(LN(2)/2)*ER196*EU196*VLOOKUP('Données projet'!$B$15,Paramètres!$A$1:$I$89,3,0)*0.475*44/12</f>
        <v>4.172008931326072E-12</v>
      </c>
      <c r="EY196" s="22">
        <f t="shared" si="346"/>
        <v>28.572317202860635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projet'!$A$227:$I$247,2,0)</f>
        <v>#N/A</v>
      </c>
      <c r="FC196" s="12" t="e">
        <f>VLOOKUP(A196,'Données projet'!$A$227:$I$247,9,0)</f>
        <v>#N/A</v>
      </c>
      <c r="FD196" s="12">
        <f t="array" ref="FD196">INDEX(FC:FC,MIN(IF(ISNUMBER(FC196:FC392),ROW(FC196:FC392),"")))</f>
        <v>0</v>
      </c>
      <c r="FE196" s="12">
        <f>IF('Données projet'!$A$228&gt;35,FE195+FD196-FM195,IF(A196&lt;'Données projet'!$A$228,$FB$205^A196,IF(A196='Données projet'!$A$228,'Données projet'!$B$228,FE195+FD196-FM195)))</f>
        <v>8.5265128291212022E-14</v>
      </c>
      <c r="FF196" s="17">
        <f>FE196*VLOOKUP('Données projet'!$B$16,Paramètres!$A$1:$I$89,3,0)*VLOOKUP('Données projet'!$B$16,Paramètres!$A$1:$I$89,5,0)</f>
        <v>8.9119112089974823E-14</v>
      </c>
      <c r="FG196" s="13">
        <f t="shared" si="347"/>
        <v>1.3568952080113142E-12</v>
      </c>
      <c r="FH196" s="20">
        <f t="shared" si="348"/>
        <v>2.5184749408430782E-12</v>
      </c>
      <c r="FI196" s="59">
        <f t="shared" ref="FI196:FI203" si="364">FH196+(EZ196+FA196)*44/12</f>
        <v>293.33333333333582</v>
      </c>
      <c r="FJ196" s="59">
        <f ca="1">AVERAGE(OFFSET($FI$3,0,0,'Données projet'!$E$16+1,1))-AVERAGE(OFFSET($H$3,0,0,'Données projet'!$E$16+1,1))</f>
        <v>259.03906550253788</v>
      </c>
      <c r="FK196" s="59">
        <f t="shared" si="301"/>
        <v>235.54542903570831</v>
      </c>
      <c r="FL196" s="15">
        <f>IF(ISNA(VLOOKUP(A196,'Données projet'!$A$227:$I$247,3,0)),0,VLOOKUP(A196,'Données projet'!$A$227:$I$247,3,0))</f>
        <v>0</v>
      </c>
      <c r="FM196" s="15">
        <f>IF(ISNA(VLOOKUP(A196,'Données projet'!$A$227:$I$247,4,0)),0,VLOOKUP(A196,'Données projet'!$A$227:$I$247,4,0))</f>
        <v>0</v>
      </c>
      <c r="FN196" s="16">
        <f>IF(ISNA(VLOOKUP(A196,'Données projet'!$A$227:$I$247,5,0)),0%,VLOOKUP(A196,'Données projet'!$A$227:$I$247,5,0)*VLOOKUP('Données projet'!$B$16,Paramètres!$A$1:$I$89,7,0))</f>
        <v>0</v>
      </c>
      <c r="FO196" s="16">
        <f>IF(ISNA(VLOOKUP(A196,'Données projet'!$A$227:$I$247,6,0)),0%,VLOOKUP(A196,'Données projet'!$A$227:$I$247,6,0)*VLOOKUP('Données projet'!$B$16,Paramètres!$A$1:$I$89,7,0))</f>
        <v>0</v>
      </c>
      <c r="FP196" s="16">
        <f>IF(ISNA(VLOOKUP(A196,'Données projet'!$A$227:$I$247,7,0)),0%,VLOOKUP(A196,'Données projet'!$A$227:$I$247,7,0))</f>
        <v>0</v>
      </c>
      <c r="FQ196" s="21">
        <f>EXP(-LN(2)/35)*FQ195+(1-EXP(-LN(2)/35))/(LN(2)/35)*FM196*FN196*VLOOKUP('Données projet'!$B$16,Paramètres!$A$1:$I$89,3,0)*0.475*44/12</f>
        <v>11.18181902811483</v>
      </c>
      <c r="FR196" s="21">
        <f>EXP(-LN(2)/25)*FR195+(1-EXP(-LN(2)/25))/(LN(2)/25)*Calculateur!FM196*Calculateur!FO196*VLOOKUP('Données projet'!$B$16,Paramètres!$A$1:$I$89,3,0)*0.475*44/12</f>
        <v>4.454621788123486</v>
      </c>
      <c r="FS196" s="21">
        <f>EXP(-LN(2)/2)*FS195+(1-EXP(-LN(2)/2))/(LN(2)/2)*FM196*FP196*VLOOKUP('Données projet'!$B$16,Paramètres!$A$1:$I$89,3,0)*0.475*44/12</f>
        <v>0</v>
      </c>
      <c r="FT196" s="22">
        <f t="shared" si="349"/>
        <v>15.636440816238316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projet'!$A$253:$I$273,2,0)</f>
        <v>#N/A</v>
      </c>
      <c r="FX196" s="12" t="e">
        <f>VLOOKUP(A196,'Données projet'!$A$253:$I$273,9,0)</f>
        <v>#N/A</v>
      </c>
      <c r="FY196" s="12">
        <f t="array" ref="FY196">INDEX(FX:FX,MIN(IF(ISNUMBER(FX196:FX392),ROW(FX196:FX392),"")))</f>
        <v>0</v>
      </c>
      <c r="FZ196" s="12">
        <f>IF('Données projet'!$A$254&gt;35,FZ195+FY196-GH195,IF(A196&lt;'Données projet'!$A$254,$FW$205^A196,IF(A196='Données projet'!$A$254,'Données projet'!$B$254,FZ195+FY196-GH195)))</f>
        <v>-1.7053025658242404E-13</v>
      </c>
      <c r="GA196" s="17">
        <f>FZ196*VLOOKUP('Données projet'!$B$17,Paramètres!$A$1:$I$89,3,0)*VLOOKUP('Données projet'!$B$17,Paramètres!$A$1:$I$89,5,0)</f>
        <v>-1.4897523215040567E-13</v>
      </c>
      <c r="GB196" s="13" t="e">
        <f t="shared" si="350"/>
        <v>#NUM!</v>
      </c>
      <c r="GC196" s="20" t="e">
        <f t="shared" si="351"/>
        <v>#NUM!</v>
      </c>
      <c r="GD196" s="59" t="e">
        <f t="shared" ref="GD196:GD203" si="365">GC196+(FU196+FV196)*44/12</f>
        <v>#NUM!</v>
      </c>
      <c r="GE196" s="59">
        <f ca="1">AVERAGE(OFFSET($GD$3,0,0,'Données projet'!$E$17+1,1))-AVERAGE(OFFSET($H$3,0,0,'Données projet'!$E$17+1,1))</f>
        <v>245.1983232777614</v>
      </c>
      <c r="GF196" s="59">
        <f t="shared" si="303"/>
        <v>242.34010522344573</v>
      </c>
      <c r="GG196" s="15">
        <f>IF(ISNA(VLOOKUP(A196,'Données projet'!$A$253:$I$273,3,0)),0,VLOOKUP(A196,'Données projet'!$A$253:$I$273,3,0))</f>
        <v>0</v>
      </c>
      <c r="GH196" s="15">
        <f>IF(ISNA(VLOOKUP(A196,'Données projet'!$A$253:$I$273,4,0)),0,VLOOKUP(A196,'Données projet'!$A$253:$I$273,4,0))</f>
        <v>0</v>
      </c>
      <c r="GI196" s="16">
        <f>IF(ISNA(VLOOKUP(A196,'Données projet'!$A$253:$I$273,5,0)),0%,VLOOKUP(A196,'Données projet'!$A$253:$I$273,5,0)*VLOOKUP('Données projet'!$B$17,Paramètres!$A$1:$I$89,7,0))</f>
        <v>0</v>
      </c>
      <c r="GJ196" s="16">
        <f>IF(ISNA(VLOOKUP(A196,'Données projet'!$A$253:$I$273,6,0)),0%,VLOOKUP(A196,'Données projet'!$A$253:$I$273,6,0)*VLOOKUP('Données projet'!$B$17,Paramètres!$A$1:$I$89,7,0))</f>
        <v>0</v>
      </c>
      <c r="GK196" s="16">
        <f>IF(ISNA(VLOOKUP(A196,'Données projet'!$A$253:$I$273,7,0)),0%,VLOOKUP(A196,'Données projet'!$A$253:$I$273,7,0))</f>
        <v>0</v>
      </c>
      <c r="GL196" s="21">
        <f>EXP(-LN(2)/35)*GL195+(1-EXP(-LN(2)/35))/(LN(2)/35)*GH196*GI196*VLOOKUP('Données projet'!$B$17,Paramètres!$A$1:$I$89,3,0)*0.475*44/12</f>
        <v>13.145762438802349</v>
      </c>
      <c r="GM196" s="21">
        <f>EXP(-LN(2)/25)*GM195+(1-EXP(-LN(2)/25))/(LN(2)/25)*Calculateur!GH196*Calculateur!GJ196*VLOOKUP('Données projet'!$B$17,Paramètres!$A$1:$I$89,3,0)*0.475*44/12</f>
        <v>0.94917138118411148</v>
      </c>
      <c r="GN196" s="21">
        <f>EXP(-LN(2)/2)*GN195+(1-EXP(-LN(2)/2))/(LN(2)/2)*GH196*GK196*VLOOKUP('Données projet'!$B$17,Paramètres!$A$1:$I$89,3,0)*0.475*44/12</f>
        <v>0</v>
      </c>
      <c r="GO196" s="21">
        <f t="shared" si="352"/>
        <v>14.09493381998646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projet'!$A$279:$I$299,2,0)</f>
        <v>#N/A</v>
      </c>
      <c r="GS196" s="12" t="e">
        <f>VLOOKUP(A196,'Données projet'!$A$279:$I$299,9,0)</f>
        <v>#N/A</v>
      </c>
      <c r="GT196" s="12">
        <f t="array" ref="GT196">INDEX(GS:GS,MIN(IF(ISNUMBER(GS196:GS392),ROW(GS196:GS392),"")))</f>
        <v>0</v>
      </c>
      <c r="GU196" s="12">
        <f>IF('Données projet'!$A$280&gt;35,GU195+GT196-HC195,IF(A196&lt;'Données projet'!$A$280,$GR$205^A196,IF(A196='Données projet'!$A$280,'Données projet'!$B$280,GU195+GT196-HC195)))</f>
        <v>-1.1368683772161603E-13</v>
      </c>
      <c r="GV196" s="17">
        <f>GU196*VLOOKUP('Données projet'!$B$18,Paramètres!$A$1:$I$89,3,0)*VLOOKUP('Données projet'!$B$18,Paramètres!$A$1:$I$89,5,0)</f>
        <v>-4.5815795601811263E-14</v>
      </c>
      <c r="GW196" s="13" t="e">
        <f t="shared" si="353"/>
        <v>#NUM!</v>
      </c>
      <c r="GX196" s="20" t="e">
        <f t="shared" si="354"/>
        <v>#NUM!</v>
      </c>
      <c r="GY196" s="59" t="e">
        <f t="shared" ref="GY196:GY203" si="366">GX196+(GP196+GQ196)*44/12</f>
        <v>#NUM!</v>
      </c>
      <c r="GZ196" s="59">
        <f ca="1">AVERAGE(OFFSET($GY$3,0,0,'Données projet'!$E$18+1,1))-AVERAGE(OFFSET($H$3,0,0,'Données projet'!$E$18+1,1))</f>
        <v>324.36162935850876</v>
      </c>
      <c r="HA196" s="59">
        <f t="shared" si="305"/>
        <v>265.23571072429735</v>
      </c>
      <c r="HB196" s="15">
        <f>IF(ISNA(VLOOKUP(A196,'Données projet'!$A$279:$I$299,3,0)),0,VLOOKUP(A196,'Données projet'!$A$279:$I$299,3,0))</f>
        <v>0</v>
      </c>
      <c r="HC196" s="15">
        <f>IF(ISNA(VLOOKUP(A196,'Données projet'!$A$279:$I$299,4,0)),0,VLOOKUP(A196,'Données projet'!$A$279:$I$299,4,0))</f>
        <v>0</v>
      </c>
      <c r="HD196" s="16">
        <f>IF(ISNA(VLOOKUP(A196,'Données projet'!$A$279:$I$299,5,0)),0%,VLOOKUP(A196,'Données projet'!$A$279:$I$299,5,0)*VLOOKUP('Données projet'!$B$18,Paramètres!$A$1:$I$89,7,0))</f>
        <v>0</v>
      </c>
      <c r="HE196" s="16">
        <f>IF(ISNA(VLOOKUP(A196,'Données projet'!$A$279:$I$299,6,0)),0%,VLOOKUP(A196,'Données projet'!$A$279:$I$299,6,0)*VLOOKUP('Données projet'!$B$18,Paramètres!$A$1:$I$89,7,0))</f>
        <v>0</v>
      </c>
      <c r="HF196" s="16">
        <f>IF(ISNA(VLOOKUP($A196,'Données projet'!$A$279:$I$299,7,0)),0%,VLOOKUP($A196,'Données projet'!$A$279:$I$299,7,0))</f>
        <v>0</v>
      </c>
      <c r="HG196" s="21">
        <f>EXP(-LN(2)/35)*HG195+(1-EXP(-LN(2)/35))/(LN(2)/35)*HC196*HD196*VLOOKUP('Données projet'!$B$18,Paramètres!$A$1:$I$89,3,0)*0.475*44/12</f>
        <v>25.190717382320674</v>
      </c>
      <c r="HH196" s="21">
        <f>EXP(-LN(2)/25)*HH195+(1-EXP(-LN(2)/25))/(LN(2)/25)*Calculateur!HC196*Calculateur!HE196*VLOOKUP('Données projet'!$B$18,Paramètres!$A$1:$I$89,3,0)*0.475*44/12</f>
        <v>1.055648350416784</v>
      </c>
      <c r="HI196" s="21">
        <f>EXP(-LN(2)/2)*HI195+(1-EXP(-LN(2)/2))/(LN(2)/2)*HC196*HF196*VLOOKUP('Données projet'!$B$18,Paramètres!$A$1:$I$89,3,0)*0.475*44/12</f>
        <v>8.3874434421788534E-17</v>
      </c>
      <c r="HJ196" s="22">
        <f t="shared" si="355"/>
        <v>26.246365732737459</v>
      </c>
      <c r="HK196" s="74">
        <f>('Scénario référence'!$F$8+'Scénario référence'!$F$9+'Scénario référence'!$B$17+'Scénario référence'!$B$9+'Scénario référence'!$B$10)*70+IF((45+25*(1-EXP(-0.0175*$A196)))&lt;70,'Scénario référence'!$B$16*(45+25*(1-EXP(-0.0175*$A196))),70*'Scénario référence'!$B$16)+IF((32+38*(1-EXP(-0.0175*$A196)))&lt;70,'Scénario référence'!$B$18*(32+38*(1-EXP(-0.0175*$A196))),70*'Scénario référence'!$B$18)</f>
        <v>70</v>
      </c>
      <c r="HL196" s="12">
        <f>IF($A196&gt;30,10,('Scénario référence'!$B$16+'Scénario référence'!$B$17+'Scénario référence'!$B$18+'Scénario référence'!$B$9+'Scénario référence'!$B$10)*$A196*10/30+('Scénario référence'!$F$8+'Scénario référence'!$F$9)*10)</f>
        <v>10</v>
      </c>
      <c r="HM196" s="12" t="e">
        <f>VLOOKUP($A196,'Données projet'!$A$304:$I$324,2,0)</f>
        <v>#N/A</v>
      </c>
      <c r="HN196" s="12" t="e">
        <f>VLOOKUP($A196,'Données projet'!$A$304:$I$324,9,0)</f>
        <v>#N/A</v>
      </c>
      <c r="HO196" s="12">
        <f t="array" ref="HO196">INDEX(HN:HN,MIN(IF(ISNUMBER(HN196:HN392),ROW(HN196:HN392),"")))</f>
        <v>0</v>
      </c>
      <c r="HP196" s="12">
        <f>IF('Données projet'!$A$304&gt;35,HP195+HO196-HX195,IF($A196&lt;'Données projet'!$A$304,$CQ$205^$A196,IF($A196='Données projet'!$A$304,'Données projet'!$B$304,HP195+HO196-HX195)))</f>
        <v>0</v>
      </c>
      <c r="HQ196" s="17">
        <f>HP196*VLOOKUP('Données projet'!$B$19,Paramètres!$A$1:$I$89,3,0)*VLOOKUP('Données projet'!$B$19,Paramètres!$A$1:$I$89,5,0)</f>
        <v>0</v>
      </c>
      <c r="HR196" s="13" t="e">
        <f t="shared" si="306"/>
        <v>#NUM!</v>
      </c>
      <c r="HS196" s="14" t="e">
        <f t="shared" ref="HS196:HS203" si="367">(HQ196+HR196)*0.475*44/12</f>
        <v>#NUM!</v>
      </c>
      <c r="HT196" s="59" t="e">
        <f t="shared" ref="HT196:HT203" si="368">HS196+(HK196+HL196)*44/12</f>
        <v>#NUM!</v>
      </c>
      <c r="HU196" s="59">
        <f ca="1">AVERAGE(OFFSET(HT$3,0,0,'Données projet'!$E$19+1,1))-AVERAGE(OFFSET($H$3,0,0,'Données projet'!$E$19+1,1))</f>
        <v>91.60721429656013</v>
      </c>
      <c r="HV196" s="59">
        <f t="shared" si="307"/>
        <v>258.94957804210856</v>
      </c>
      <c r="HW196" s="15">
        <f>IF(ISNA(VLOOKUP($A196,'Données projet'!$A$304:$I$324,3,0)),0,VLOOKUP($A196,'Données projet'!$A$304:$I$324,3,0))</f>
        <v>0</v>
      </c>
      <c r="HX196" s="15">
        <f>IF(ISNA(VLOOKUP($A196,'Données projet'!$A$304:$I$324,4,0)),0,VLOOKUP($A196,'Données projet'!$A$304:$I$324,4,0))</f>
        <v>0</v>
      </c>
      <c r="HY196" s="16">
        <f>IF(ISNA(VLOOKUP($A196,'Données projet'!$A$304:$I$324,5,0)),0%,VLOOKUP($A196,'Données projet'!$A$304:$I$324,5,0)*VLOOKUP('Données projet'!$B$19,Paramètres!$A$1:$I$89,7,0))</f>
        <v>0</v>
      </c>
      <c r="HZ196" s="16">
        <f>IF(ISNA(VLOOKUP($A196,'Données projet'!$A$304:$I$324,6,0)),0%,VLOOKUP($A196,'Données projet'!$A$304:$I$324,6,0)*VLOOKUP('Données projet'!$B$19,Paramètres!$A$1:$I$89,7,0))</f>
        <v>0</v>
      </c>
      <c r="IA196" s="16">
        <f>IF(ISNA(VLOOKUP($A196,'Données projet'!$A$304:$I$324,7,0)),0%,VLOOKUP($A196,'Données projet'!$A$304:$I$324,7,0))</f>
        <v>0</v>
      </c>
      <c r="IB196" s="21">
        <f>EXP(-LN(2)/35)*IB195+(1-EXP(-LN(2)/35))/(LN(2)/35)*HX196*HY196*VLOOKUP('Données projet'!$B$19,Paramètres!$A$1:$I$89,3,0)*0.475*44/12</f>
        <v>1.9552182065767749</v>
      </c>
      <c r="IC196" s="21">
        <f>EXP(-LN(2)/25)*IC195+(1-EXP(-LN(2)/25))/(LN(2)/25)*Calculateur!HX196*Calculateur!HZ196*VLOOKUP('Données projet'!$B$19,Paramètres!$A$1:$I$89,3,0)*0.475*44/12</f>
        <v>0.10599754038698453</v>
      </c>
      <c r="ID196" s="21">
        <f>EXP(-LN(2)/2)*ID195+(1-EXP(-LN(2)/2))/(LN(2)/2)*HX196*IA196*VLOOKUP('Données projet'!$B$19,Paramètres!$A$1:$I$89,3,0)*0.475*44/12</f>
        <v>1.6753209654405454E-25</v>
      </c>
      <c r="IE196" s="22">
        <f t="shared" ref="IE196:IE203" si="369">SUM(IB196:ID196)</f>
        <v>2.0612157469637595</v>
      </c>
      <c r="IF196" s="74">
        <f>('Scénario référence'!$F$8+'Scénario référence'!$F$9+'Scénario référence'!$B$17+'Scénario référence'!$B$9+'Scénario référence'!$B$10)*70+IF((45+25*(1-EXP(-0.0175*$A196)))&lt;70,'Scénario référence'!$B$16*(45+25*(1-EXP(-0.0175*$A196))),70*'Scénario référence'!$B$16)+IF((32+38*(1-EXP(-0.0175*$A196)))&lt;70,'Scénario référence'!$B$18*(32+38*(1-EXP(-0.0175*$A196))),70*'Scénario référence'!$B$18)</f>
        <v>70</v>
      </c>
      <c r="IG196" s="12">
        <f>IF($A196&gt;30,10,('Scénario référence'!$B$16+'Scénario référence'!$B$17+'Scénario référence'!$B$18+'Scénario référence'!$B$9+'Scénario référence'!$B$10)*$A196*10/30+('Scénario référence'!$F$8+'Scénario référence'!$F$9)*10)</f>
        <v>10</v>
      </c>
      <c r="IH196" s="12" t="e">
        <f>VLOOKUP($A196,'Données projet'!$A$330:$I$350,2,0)</f>
        <v>#N/A</v>
      </c>
      <c r="II196" s="12" t="e">
        <f>VLOOKUP($A196,'Données projet'!$A$330:$I$350,9,0)</f>
        <v>#N/A</v>
      </c>
      <c r="IJ196" s="12">
        <f t="array" ref="IJ196">INDEX(II:II,MIN(IF(ISNUMBER(II196:II392),ROW(II196:II392),"")))</f>
        <v>0</v>
      </c>
      <c r="IK196" s="12">
        <f>IF('Données projet'!$A$330&gt;35,IK195+IJ196-IS195,IF($A196&lt;'Données projet'!$A$330,$CQ$205^$A196,IF($A196='Données projet'!$A$330,'Données projet'!$B$330,IK195+IJ196-IS195)))</f>
        <v>0</v>
      </c>
      <c r="IL196" s="17">
        <f>IK196*VLOOKUP('Données projet'!$B$20,Paramètres!$A$1:$I$89,3,0)*VLOOKUP('Données projet'!$B$20,Paramètres!$A$1:$I$89,5,0)</f>
        <v>0</v>
      </c>
      <c r="IM196" s="13" t="e">
        <f t="shared" si="308"/>
        <v>#NUM!</v>
      </c>
      <c r="IN196" s="20" t="e">
        <f t="shared" ref="IN196:IN203" si="370">(IL196+IM196)*0.475*44/12</f>
        <v>#NUM!</v>
      </c>
      <c r="IO196" s="59" t="e">
        <f t="shared" ref="IO196:IO203" si="371">IN196+(IF196+IG196)*44/12</f>
        <v>#NUM!</v>
      </c>
      <c r="IP196" s="59">
        <f ca="1">AVERAGE(OFFSET(IO$3,0,0,'Données projet'!$E$20+1,1))-AVERAGE(OFFSET($H$3,0,0,'Données projet'!$E$20+1,1))</f>
        <v>91.60721429656013</v>
      </c>
      <c r="IQ196" s="59">
        <f t="shared" si="309"/>
        <v>258.94957804210856</v>
      </c>
      <c r="IR196" s="15">
        <f>IF(ISNA(VLOOKUP($A196,'Données projet'!$A$330:$I$350,3,0)),0,VLOOKUP($A196,'Données projet'!$A$330:$I$350,3,0))</f>
        <v>0</v>
      </c>
      <c r="IS196" s="15">
        <f>IF(ISNA(VLOOKUP($A196,'Données projet'!$A$330:$I$350,4,0)),0,VLOOKUP($A196,'Données projet'!$A$330:$I$350,4,0))</f>
        <v>0</v>
      </c>
      <c r="IT196" s="16">
        <f>IF(ISNA(VLOOKUP($A196,'Données projet'!$A$330:$I$350,5,0)),0%,VLOOKUP($A196,'Données projet'!$A$330:$I$350,5,0)*VLOOKUP('Données projet'!$B$20,Paramètres!$A$1:$I$89,7,0))</f>
        <v>0</v>
      </c>
      <c r="IU196" s="16">
        <f>IF(ISNA(VLOOKUP($A196,'Données projet'!$A$330:$I$350,6,0)),0%,VLOOKUP($A196,'Données projet'!$A$330:$I$350,6,0)*VLOOKUP('Données projet'!$B$20,Paramètres!$A$1:$I$89,7,0))</f>
        <v>0</v>
      </c>
      <c r="IV196" s="16">
        <f>IF(ISNA(VLOOKUP($A196,'Données projet'!$A$330:$I$350,7,0)),0%,VLOOKUP($A196,'Données projet'!$A$330:$I$350,7,0))</f>
        <v>0</v>
      </c>
      <c r="IW196" s="21">
        <f>EXP(-LN(2)/35)*IW195+(1-EXP(-LN(2)/35))/(LN(2)/35)*IS196*IT196*VLOOKUP('Données projet'!$B$20,Paramètres!$A$1:$I$89,3,0)*0.475*44/12</f>
        <v>1.9552182065767749</v>
      </c>
      <c r="IX196" s="21">
        <f>EXP(-LN(2)/25)*IX195+(1-EXP(-LN(2)/25))/(LN(2)/25)*Calculateur!IS196*Calculateur!IU196*VLOOKUP('Données projet'!$B$20,Paramètres!$A$1:$I$89,3,0)*0.475*44/12</f>
        <v>0.10599754038698453</v>
      </c>
      <c r="IY196" s="21">
        <f>EXP(-LN(2)/2)*IY195+(1-EXP(-LN(2)/2))/(LN(2)/2)*IS196*IV196*VLOOKUP('Données projet'!$B$20,Paramètres!$A$1:$I$89,3,0)*0.475*44/12</f>
        <v>1.6753209654405454E-25</v>
      </c>
      <c r="IZ196" s="22">
        <f t="shared" ref="IZ196:IZ203" si="372">SUM(IW196:IY196)</f>
        <v>2.0612157469637595</v>
      </c>
      <c r="JA196" s="74">
        <f>('Scénario référence'!$F$8+'Scénario référence'!$F$9+'Scénario référence'!$B$17+'Scénario référence'!$B$9+'Scénario référence'!$B$10)*70+IF((45+25*(1-EXP(-0.0175*$A196)))&lt;70,'Scénario référence'!$B$16*(45+25*(1-EXP(-0.0175*$A196))),70*'Scénario référence'!$B$16)+IF((32+38*(1-EXP(-0.0175*$A196)))&lt;70,'Scénario référence'!$B$18*(32+38*(1-EXP(-0.0175*$A196))),70*'Scénario référence'!$B$18)</f>
        <v>70</v>
      </c>
      <c r="JB196" s="12">
        <f>IF($A196&gt;30,10,('Scénario référence'!$B$16+'Scénario référence'!$B$17+'Scénario référence'!$B$18+'Scénario référence'!$B$9+'Scénario référence'!$B$10)*$A196*10/30+('Scénario référence'!$F$8+'Scénario référence'!$F$9)*10)</f>
        <v>10</v>
      </c>
      <c r="JC196" s="12" t="e">
        <f>VLOOKUP($A196,'Données projet'!$A$356:$I$376,2,0)</f>
        <v>#N/A</v>
      </c>
      <c r="JD196" s="12" t="e">
        <f>VLOOKUP($A196,'Données projet'!$A$356:$I$376,9,0)</f>
        <v>#N/A</v>
      </c>
      <c r="JE196" s="12">
        <f t="array" ref="JE196">INDEX(JD:JD,MIN(IF(ISNUMBER(JD196:JD392),ROW(JD196:JD392),"")))</f>
        <v>0</v>
      </c>
      <c r="JF196" s="12">
        <f>IF('Données projet'!$A$356&gt;35,JF195+JE196-JN195,IF($A196&lt;'Données projet'!$A$356,$CQ$205^$A196,IF($A196='Données projet'!$A$356,'Données projet'!$B$356,JF195+JE196-JN195)))</f>
        <v>-1.3073986337985843E-12</v>
      </c>
      <c r="JG196" s="17">
        <f>JF196*VLOOKUP('Données projet'!$B$21,Paramètres!$A$1:$I$89,3,0)*VLOOKUP('Données projet'!$B$21,Paramètres!$A$1:$I$89,5,0)</f>
        <v>-1.0605617717374117E-12</v>
      </c>
      <c r="JH196" s="13" t="e">
        <f t="shared" si="310"/>
        <v>#NUM!</v>
      </c>
      <c r="JI196" s="20" t="e">
        <f t="shared" ref="JI196:JI203" si="373">(JG196+JH196)*0.475*44/12</f>
        <v>#NUM!</v>
      </c>
      <c r="JJ196" s="59" t="e">
        <f t="shared" ref="JJ196:JJ203" si="374">JI196+(JA196+JB196)*44/12</f>
        <v>#NUM!</v>
      </c>
      <c r="JK196" s="59">
        <f ca="1">AVERAGE(OFFSET($JJ$3,0,0,'Données projet'!$E$22+1,1))-AVERAGE(OFFSET($H$3,0,0,'Données projet'!$E$22+1,1))</f>
        <v>353.35574633294613</v>
      </c>
      <c r="JL196" s="59">
        <f t="shared" si="311"/>
        <v>170.36796666474726</v>
      </c>
      <c r="JM196" s="15">
        <f>IF(ISNA(VLOOKUP($A196,'Données projet'!$A$356:$I$376,3,0)),0,VLOOKUP($A196,'Données projet'!$A$356:$I$376,3,0))</f>
        <v>0</v>
      </c>
      <c r="JN196" s="15">
        <f>IF(ISNA(VLOOKUP($A196,'Données projet'!$A$356:$I$376,4,0)),0,VLOOKUP($A196,'Données projet'!$A$356:$I$376,4,0))</f>
        <v>0</v>
      </c>
      <c r="JO196" s="16">
        <f>IF(ISNA(VLOOKUP($A196,'Données projet'!$A$356:$I$376,5,0)),0%,VLOOKUP($A196,'Données projet'!$A$356:$I$376,5,0)*VLOOKUP('Données projet'!$B$21,Paramètres!$A$1:$I$89,7,0))</f>
        <v>0</v>
      </c>
      <c r="JP196" s="16">
        <f>IF(ISNA(VLOOKUP($A196,'Données projet'!$A$356:$I$376,6,0)),0%,VLOOKUP($A196,'Données projet'!$A$356:$I$376,6,0)*VLOOKUP('Données projet'!$B$21,Paramètres!$A$1:$I$89,7,0))</f>
        <v>0</v>
      </c>
      <c r="JQ196" s="16">
        <f>IF(ISNA(VLOOKUP($A196,'Données projet'!$A$356:$I$376,7,0)),0%,VLOOKUP($A196,'Données projet'!$A$356:$I$376,7,0))</f>
        <v>0</v>
      </c>
      <c r="JR196" s="21">
        <f>EXP(-LN(2)/35)*JR195+(1-EXP(-LN(2)/35))/(LN(2)/35)*JN196*JO196*VLOOKUP('Données projet'!$B$21,Paramètres!$A$1:$I$89,3,0)*0.475*44/12</f>
        <v>31.345063326379186</v>
      </c>
      <c r="JS196" s="21">
        <f>EXP(-LN(2)/25)*JS195+(1-EXP(-LN(2)/25))/(LN(2)/25)*Calculateur!JN196*Calculateur!JP196*VLOOKUP('Données projet'!$B$21,Paramètres!$A$1:$I$89,3,0)*0.475*44/12</f>
        <v>23.199294798123184</v>
      </c>
      <c r="JT196" s="21">
        <f>EXP(-LN(2)/2)*JT195+(1-EXP(-LN(2)/2))/(LN(2)/2)*JN196*JQ196*VLOOKUP('Données projet'!$B$21,Paramètres!$A$1:$I$89,3,0)*0.475*44/12</f>
        <v>1.1562036014717998E-5</v>
      </c>
      <c r="JU196" s="18">
        <f t="shared" ref="JU196:JU203" si="375">SUM(JR196:JT196)</f>
        <v>54.544369686538381</v>
      </c>
      <c r="JV196" s="74">
        <f>('Scénario référence'!$F$8+'Scénario référence'!$F$9+'Scénario référence'!$B$17+'Scénario référence'!$B$9+'Scénario référence'!$B$10)*70+IF((45+25*(1-EXP(-0.0175*$A196)))&lt;70,'Scénario référence'!$B$16*(45+25*(1-EXP(-0.0175*$A196))),70*'Scénario référence'!$B$16)+IF((32+38*(1-EXP(-0.0175*$A196)))&lt;70,'Scénario référence'!$B$18*(32+38*(1-EXP(-0.0175*$A196))),70*'Scénario référence'!$B$18)</f>
        <v>70</v>
      </c>
      <c r="JW196" s="12">
        <f>IF($A196&gt;30,10,('Scénario référence'!$B$16+'Scénario référence'!$B$17+'Scénario référence'!$B$18+'Scénario référence'!$B$9+'Scénario référence'!$B$10)*$A196*10/30+('Scénario référence'!$F$8+'Scénario référence'!$F$9)*10)</f>
        <v>10</v>
      </c>
      <c r="JX196" s="12" t="e">
        <f>VLOOKUP($A196,'Données projet'!$A$382:$I$402,2,0)</f>
        <v>#N/A</v>
      </c>
      <c r="JY196" s="12" t="e">
        <f>VLOOKUP($A196,'Données projet'!$A$382:$I$402,9,0)</f>
        <v>#N/A</v>
      </c>
      <c r="JZ196" s="12">
        <f t="array" ref="JZ196">INDEX(JY:JY,MIN(IF(ISNUMBER(JY196:JY392),ROW(JY196:JY392),"")))</f>
        <v>0</v>
      </c>
      <c r="KA196" s="12">
        <f>IF('Données projet'!$A$382&gt;35,KA195+JZ196-KI195,IF($A196&lt;'Données projet'!$A$382,$CQ$205^$A196,IF($A196='Données projet'!$A$382,'Données projet'!$B$382,KA195+JZ196-KI195)))</f>
        <v>5.6843418860808015E-13</v>
      </c>
      <c r="KB196" s="17">
        <f>KA196*VLOOKUP('Données projet'!$B$22,Paramètres!$A$1:$I$89,3,0)*VLOOKUP('Données projet'!$B$22,Paramètres!$A$1:$I$89,5,0)</f>
        <v>3.8130565371830017E-13</v>
      </c>
      <c r="KC196" s="13">
        <f t="shared" si="312"/>
        <v>4.9019074112354236E-12</v>
      </c>
      <c r="KD196" s="20">
        <f t="shared" ref="KD196:KD203" si="376">(KB196+KC196)*0.475*44/12</f>
        <v>9.2015960881277352E-12</v>
      </c>
      <c r="KE196" s="59">
        <f t="shared" ref="KE196:KE203" si="377">KD196+(JV196+JW196)*44/12</f>
        <v>293.33333333334252</v>
      </c>
      <c r="KF196" s="59">
        <f ca="1">AVERAGE(OFFSET($KE$3,0,0,'Données projet'!$E$22+1,1))-AVERAGE(OFFSET($H$3,0,0,'Données projet'!$E$22+1,1))</f>
        <v>193.91714772848269</v>
      </c>
      <c r="KG196" s="59">
        <f t="shared" si="313"/>
        <v>159.20429420478047</v>
      </c>
      <c r="KH196" s="15">
        <f>IF(ISNA(VLOOKUP($A196,'Données projet'!$A$382:$I$402,3,0)),0,VLOOKUP($A196,'Données projet'!$A$382:$I$402,3,0))</f>
        <v>0</v>
      </c>
      <c r="KI196" s="15">
        <f>IF(ISNA(VLOOKUP($A196,'Données projet'!$A$382:$I$402,4,0)),0,VLOOKUP($A196,'Données projet'!$A$382:$I$402,4,0))</f>
        <v>0</v>
      </c>
      <c r="KJ196" s="16">
        <f>IF(ISNA(VLOOKUP($A196,'Données projet'!$A$382:$I$402,5,0)),0%,VLOOKUP($A196,'Données projet'!$A$382:$I$402,5,0)*VLOOKUP('Données projet'!$B$22,Paramètres!$A$1:$I$89,7,0))</f>
        <v>0</v>
      </c>
      <c r="KK196" s="16">
        <f>IF(ISNA(VLOOKUP($A196,'Données projet'!$A$382:$I$402,6,0)),0%,VLOOKUP($A196,'Données projet'!$A$382:$I$402,6,0)*VLOOKUP('Données projet'!$B$22,Paramètres!$A$1:$I$89,7,0))</f>
        <v>0</v>
      </c>
      <c r="KL196" s="16">
        <f>IF(ISNA(VLOOKUP($A196,'Données projet'!$A$382:$I$402,7,0)),0%,VLOOKUP($A196,'Données projet'!$A$382:$I$402,7,0))</f>
        <v>0</v>
      </c>
      <c r="KM196" s="21">
        <f>EXP(-LN(2)/35)*KM195+(1-EXP(-LN(2)/35))/(LN(2)/35)*KI196*KJ196*VLOOKUP('Données projet'!$B$22,Paramètres!$A$1:$I$89,3,0)*0.475*44/12</f>
        <v>45.767251985694571</v>
      </c>
      <c r="KN196" s="21">
        <f>EXP(-LN(2)/25)*KN195+(1-EXP(-LN(2)/25))/(LN(2)/25)*Calculateur!KI196*Calculateur!KK196*VLOOKUP('Données projet'!$B$22,Paramètres!$A$1:$I$89,3,0)*0.475*44/12</f>
        <v>0</v>
      </c>
      <c r="KO196" s="21">
        <f>EXP(-LN(2)/2)*KO195+(1-EXP(-LN(2)/2))/(LN(2)/2)*KI196*KL196*VLOOKUP('Données projet'!$B$22,Paramètres!$A$1:$I$89,3,0)*0.475*44/12</f>
        <v>0</v>
      </c>
      <c r="KP196" s="22">
        <f t="shared" ref="KP196:KP203" si="378">SUM(KM196:KO196)</f>
        <v>45.767251985694571</v>
      </c>
      <c r="KQ196" s="74">
        <f>('Scénario référence'!$F$8+'Scénario référence'!$F$9+'Scénario référence'!$B$17+'Scénario référence'!$B$9+'Scénario référence'!$B$10)*70+IF((45+25*(1-EXP(-0.0175*$A196)))&lt;70,'Scénario référence'!$B$16*(45+25*(1-EXP(-0.0175*$A196))),70*'Scénario référence'!$B$16)+IF((32+38*(1-EXP(-0.0175*$A196)))&lt;70,'Scénario référence'!$B$18*(32+38*(1-EXP(-0.0175*$A196))),70*'Scénario référence'!$B$18)</f>
        <v>70</v>
      </c>
      <c r="KR196" s="12">
        <f>IF($A196&gt;30,10,('Scénario référence'!$B$16+'Scénario référence'!$B$17+'Scénario référence'!$B$18+'Scénario référence'!$B$9+'Scénario référence'!$B$10)*$A196*10/30+('Scénario référence'!$F$8+'Scénario référence'!$F$9)*10)</f>
        <v>10</v>
      </c>
      <c r="KS196" s="12" t="e">
        <f>VLOOKUP($A196,'Données projet'!$A$408:$I$428,2,0)</f>
        <v>#N/A</v>
      </c>
      <c r="KT196" s="12" t="e">
        <f>VLOOKUP($A196,'Données projet'!$A$408:$I$428,9,0)</f>
        <v>#N/A</v>
      </c>
      <c r="KU196" s="12">
        <f t="array" ref="KU196">INDEX(KT:KT,MIN(IF(ISNUMBER(KT196:KT392),ROW(KT196:KT392),"")))</f>
        <v>0</v>
      </c>
      <c r="KV196" s="12">
        <f>IF('Données projet'!$A$408&gt;35,KV195+KU196-LD195,IF($A196&lt;'Données projet'!$A$408,$CQ$205^$A196,IF($A196='Données projet'!$A$408,'Données projet'!$B$408,KV195+KU196-LD195)))</f>
        <v>-1.1368683772161603E-13</v>
      </c>
      <c r="KW196" s="17">
        <f>KV196*VLOOKUP('Données projet'!$B$23,Paramètres!$A$1:$I$89,3,0)*VLOOKUP('Données projet'!$B$23,Paramètres!$A$1:$I$89,5,0)</f>
        <v>-9.9316821433603781E-14</v>
      </c>
      <c r="KX196" s="13" t="e">
        <f t="shared" si="314"/>
        <v>#NUM!</v>
      </c>
      <c r="KY196" s="14" t="e">
        <f t="shared" ref="KY196:KY203" si="379">(KW196+KX196)*0.475*44/12</f>
        <v>#NUM!</v>
      </c>
      <c r="KZ196" s="59" t="e">
        <f t="shared" ref="KZ196:KZ203" si="380">KY196+(KQ196+KR196)*44/12</f>
        <v>#NUM!</v>
      </c>
      <c r="LA196" s="59">
        <f ca="1">AVERAGE(OFFSET($KZ$3,0,0,'Données projet'!$E$23+1,1))-AVERAGE(OFFSET($H$3,0,0,'Données projet'!$E$23+1,1))</f>
        <v>248.33596943633819</v>
      </c>
      <c r="LB196" s="59">
        <f t="shared" si="315"/>
        <v>242.34010522344573</v>
      </c>
      <c r="LC196" s="15">
        <f>IF(ISNA(VLOOKUP($A196,'Données projet'!$A$408:$I$428,3,0)),0,VLOOKUP($A196,'Données projet'!$A$408:$I$428,3,0))</f>
        <v>0</v>
      </c>
      <c r="LD196" s="15">
        <f>IF(ISNA(VLOOKUP($A196,'Données projet'!$A$408:$I$428,4,0)),0,VLOOKUP($A196,'Données projet'!$A$408:$I$428,4,0))</f>
        <v>0</v>
      </c>
      <c r="LE196" s="16">
        <f>IF(ISNA(VLOOKUP($A196,'Données projet'!$A$408:$I$428,5,0)),0%,VLOOKUP($A196,'Données projet'!$A$408:$I$428,5,0)*VLOOKUP('Données projet'!$B$23,Paramètres!$A$1:$I$89,7,0))</f>
        <v>0</v>
      </c>
      <c r="LF196" s="16">
        <f>IF(ISNA(VLOOKUP($A196,'Données projet'!$A$408:$I$428,6,0)),0%,VLOOKUP($A196,'Données projet'!$A$408:$I$428,6,0)*VLOOKUP('Données projet'!$B$23,Paramètres!$A$1:$I$89,7,0))</f>
        <v>0</v>
      </c>
      <c r="LG196" s="16">
        <f>IF(ISNA(VLOOKUP($A196,'Données projet'!$A$408:$I$428,7,0)),0%,VLOOKUP($A196,'Données projet'!$A$408:$I$428,7,0))</f>
        <v>0</v>
      </c>
      <c r="LH196" s="21">
        <f>EXP(-LN(2)/35)*LH195+(1-EXP(-LN(2)/35))/(LN(2)/35)*LD196*LE196*VLOOKUP('Données projet'!$B$23,Paramètres!$A$1:$I$89,3,0)*0.475*44/12</f>
        <v>13.145762438802349</v>
      </c>
      <c r="LI196" s="21">
        <f>EXP(-LN(2)/25)*LI195+(1-EXP(-LN(2)/25))/(LN(2)/25)*Calculateur!LD196*Calculateur!LF196*VLOOKUP('Données projet'!$B$23,Paramètres!$A$1:$I$89,3,0)*0.475*44/12</f>
        <v>0.94917138118411148</v>
      </c>
      <c r="LJ196" s="21">
        <f>EXP(-LN(2)/2)*LJ195+(1-EXP(-LN(2)/2))/(LN(2)/2)*LD196*LG196*VLOOKUP('Données projet'!$B$23,Paramètres!$A$1:$I$89,3,0)*0.475*44/12</f>
        <v>0</v>
      </c>
      <c r="LK196" s="22">
        <f t="shared" ref="LK196:LK203" si="381">SUM(LH196:LJ196)</f>
        <v>14.09493381998646</v>
      </c>
      <c r="LL196" s="74">
        <f>('Scénario référence'!$F$8+'Scénario référence'!$F$9+'Scénario référence'!$B$17+'Scénario référence'!$B$9+'Scénario référence'!$B$10)*70+IF((45+25*(1-EXP(-0.0175*$A196)))&lt;70,'Scénario référence'!$B$16*(45+25*(1-EXP(-0.0175*$A196))),70*'Scénario référence'!$B$16)+IF((32+38*(1-EXP(-0.0175*$A196)))&lt;70,'Scénario référence'!$B$18*(32+38*(1-EXP(-0.0175*$A196))),70*'Scénario référence'!$B$18)</f>
        <v>70</v>
      </c>
      <c r="LM196" s="12">
        <f>IF($A196&gt;30,10,('Scénario référence'!$B$16+'Scénario référence'!$B$17+'Scénario référence'!$B$18+'Scénario référence'!$B$9+'Scénario référence'!$B$10)*$A196*10/30+('Scénario référence'!$F$8+'Scénario référence'!$F$9)*10)</f>
        <v>10</v>
      </c>
      <c r="LN196" s="12" t="e">
        <f>VLOOKUP($A196,'Données projet'!$A$434:$I$454,2,0)</f>
        <v>#N/A</v>
      </c>
      <c r="LO196" s="12" t="e">
        <f>VLOOKUP($A196,'Données projet'!$A$434:$I$454,9,0)</f>
        <v>#N/A</v>
      </c>
      <c r="LP196" s="12">
        <f t="array" ref="LP196">INDEX(LO:LO,MIN(IF(ISNUMBER(LO196:LO392),ROW(LO196:LO392),"")))</f>
        <v>0</v>
      </c>
      <c r="LQ196" s="12">
        <f>IF('Données projet'!$A$434&gt;35,LQ195+LP196-LY195,IF($A196&lt;'Données projet'!$A$434,$CQ$205^$A196,IF($A196='Données projet'!$A$434,'Données projet'!$B$434,LQ195+LP196-LY195)))</f>
        <v>-4.5474735088646412E-13</v>
      </c>
      <c r="LR196" s="17">
        <f>LQ196*VLOOKUP('Données projet'!$B$24,Paramètres!$A$1:$I$89,3,0)*VLOOKUP('Données projet'!$B$24,Paramètres!$A$1:$I$89,5,0)</f>
        <v>-4.6111381379887462E-13</v>
      </c>
      <c r="LS196" s="13" t="e">
        <f t="shared" si="316"/>
        <v>#NUM!</v>
      </c>
      <c r="LT196" s="14" t="e">
        <f t="shared" ref="LT196:LT203" si="382">(LR196+LS196)*0.475*44/12</f>
        <v>#NUM!</v>
      </c>
      <c r="LU196" s="59" t="e">
        <f t="shared" ref="LU196:LU203" si="383">LT196+(LL196+LM196)*44/12</f>
        <v>#NUM!</v>
      </c>
      <c r="LV196" s="59">
        <f ca="1">AVERAGE(OFFSET($LU$3,0,0,'Données projet'!$E$24+1,1))-AVERAGE(OFFSET($H$3,0,0,'Données projet'!$E$24+1,1))</f>
        <v>260.52627655062872</v>
      </c>
      <c r="LW196" s="59">
        <f t="shared" si="317"/>
        <v>159.20429420478047</v>
      </c>
      <c r="LX196" s="15">
        <f>IF(ISNA(VLOOKUP($A196,'Données projet'!$A$434:$I$454,3,0)),0,VLOOKUP($A196,'Données projet'!$A$434:$I$454,3,0))</f>
        <v>0</v>
      </c>
      <c r="LY196" s="15">
        <f>IF(ISNA(VLOOKUP($A196,'Données projet'!$A$434:$I$454,4,0)),0,VLOOKUP($A196,'Données projet'!$A$434:$I$454,4,0))</f>
        <v>0</v>
      </c>
      <c r="LZ196" s="16">
        <f>IF(ISNA(VLOOKUP($A196,'Données projet'!$A$434:$I$454,5,0)),0%,VLOOKUP($A196,'Données projet'!$A$434:$I$454,5,0)*VLOOKUP('Données projet'!$B$24,Paramètres!$A$1:$I$89,7,0))</f>
        <v>0</v>
      </c>
      <c r="MA196" s="16">
        <f>IF(ISNA(VLOOKUP($A196,'Données projet'!$A$434:$I$454,6,0)),0%,VLOOKUP($A196,'Données projet'!$A$434:$I$454,6,0)*VLOOKUP('Données projet'!$B$24,Paramètres!$A$1:$I$89,7,0))</f>
        <v>0</v>
      </c>
      <c r="MB196" s="16">
        <f>IF(ISNA(VLOOKUP($A196,'Données projet'!$A$434:$I$454,7,0)),0%,VLOOKUP($A196,'Données projet'!$A$434:$I$454,7,0))</f>
        <v>0</v>
      </c>
      <c r="MC196" s="21">
        <f>EXP(-LN(2)/35)*MC195+(1-EXP(-LN(2)/35))/(LN(2)/35)*LY196*LZ196*VLOOKUP('Données projet'!$B$24,Paramètres!$A$1:$I$89,3,0)*0.475*44/12</f>
        <v>84.52278741574186</v>
      </c>
      <c r="MD196" s="21">
        <f>EXP(-LN(2)/25)*MD195+(1-EXP(-LN(2)/25))/(LN(2)/25)*Calculateur!LY196*Calculateur!MA196*VLOOKUP('Données projet'!$B$24,Paramètres!$A$1:$I$89,3,0)*0.475*44/12</f>
        <v>0</v>
      </c>
      <c r="ME196" s="21">
        <f>EXP(-LN(2)/2)*ME195+(1-EXP(-LN(2)/2))/(LN(2)/2)*LY196*MB196*VLOOKUP('Données projet'!$B$24,Paramètres!$A$1:$I$89,3,0)*0.475*44/12</f>
        <v>0</v>
      </c>
      <c r="MF196" s="22">
        <f t="shared" ref="MF196:MF203" si="384">SUM(MC196:ME196)</f>
        <v>84.52278741574186</v>
      </c>
      <c r="MG196" s="74">
        <f>('Scénario référence'!$F$8+'Scénario référence'!$F$9+'Scénario référence'!$B$17+'Scénario référence'!$B$9+'Scénario référence'!$B$10)*70+IF((45+25*(1-EXP(-0.0175*$A196)))&lt;70,'Scénario référence'!$B$16*(45+25*(1-EXP(-0.0175*$A196))),70*'Scénario référence'!$B$16)+IF((32+38*(1-EXP(-0.0175*$A196)))&lt;70,'Scénario référence'!$B$18*(32+38*(1-EXP(-0.0175*$A196))),70*'Scénario référence'!$B$18)</f>
        <v>70</v>
      </c>
      <c r="MH196" s="12">
        <f>IF($A196&gt;30,10,('Scénario référence'!$B$16+'Scénario référence'!$B$17+'Scénario référence'!$B$18+'Scénario référence'!$B$9+'Scénario référence'!$B$10)*$A196*10/30+('Scénario référence'!$F$8+'Scénario référence'!$F$9)*10)</f>
        <v>10</v>
      </c>
      <c r="MI196" s="12" t="e">
        <f>VLOOKUP($A196,'Données projet'!$A$460:$I$480,2,0)</f>
        <v>#N/A</v>
      </c>
      <c r="MJ196" s="12" t="e">
        <f>VLOOKUP($A196,'Données projet'!$A$460:$I$480,9,0)</f>
        <v>#N/A</v>
      </c>
      <c r="MK196" s="12">
        <f t="array" ref="MK196">INDEX(MJ:MJ,MIN(IF(ISNUMBER(MJ196:MJ392),ROW(MJ196:MJ392),"")))</f>
        <v>0</v>
      </c>
      <c r="ML196" s="12">
        <f>IF('Données projet'!$A$460&gt;35,ML195+MK196-MT195,IF($A196&lt;'Données projet'!$A$460,$CQ$205^$A196,IF($A196='Données projet'!$A$460,'Données projet'!$B$460,ML195+MK196-MT195)))</f>
        <v>0</v>
      </c>
      <c r="MM196" s="17" t="e">
        <f>ML196*VLOOKUP('Données projet'!$B$25,Paramètres!$A$1:$I$89,3,0)*VLOOKUP('Données projet'!$B$25,Paramètres!$A$1:$I$89,5,0)</f>
        <v>#N/A</v>
      </c>
      <c r="MN196" s="13" t="e">
        <f t="shared" si="318"/>
        <v>#N/A</v>
      </c>
      <c r="MO196" s="14" t="e">
        <f t="shared" ref="MO196:MO203" si="385">(MM196+MN196)*0.475*44/12</f>
        <v>#N/A</v>
      </c>
      <c r="MP196" s="59" t="e">
        <f t="shared" ref="MP196:MP203" si="386">MO196+(MG196+MH196)*44/12</f>
        <v>#N/A</v>
      </c>
      <c r="MQ196" s="20" t="e">
        <f ca="1">AVERAGE(OFFSET($MP$3,0,0,'Données projet'!$E$25+1,1))-AVERAGE(OFFSET($H$3,0,0,'Données projet'!$E$25+1,1))</f>
        <v>#N/A</v>
      </c>
      <c r="MR196" s="59" t="e">
        <f t="shared" si="319"/>
        <v>#N/A</v>
      </c>
      <c r="MS196" s="15">
        <f>IF(ISNA(VLOOKUP($A196,'Données projet'!$A$460:$I$480,3,0)),0,VLOOKUP($A196,'Données projet'!$A$460:$I$480,3,0))</f>
        <v>0</v>
      </c>
      <c r="MT196" s="15">
        <f>IF(ISNA(VLOOKUP($A196,'Données projet'!$A$460:$I$480,4,0)),0,VLOOKUP($A196,'Données projet'!$A$460:$I$480,4,0))</f>
        <v>0</v>
      </c>
      <c r="MU196" s="16">
        <f>IF(ISNA(VLOOKUP($A196,'Données projet'!$A$460:$I$480,5,0)),0%,VLOOKUP($A196,'Données projet'!$A$460:$I$480,5,0)*VLOOKUP('Données projet'!$B$25,Paramètres!$A$1:$I$89,7,0))</f>
        <v>0</v>
      </c>
      <c r="MV196" s="16">
        <f>IF(ISNA(VLOOKUP($A196,'Données projet'!$A$460:$I$480,6,0)),0%,VLOOKUP($A196,'Données projet'!$A$460:$I$480,6,0)*VLOOKUP('Données projet'!$B$25,Paramètres!$A$1:$I$89,7,0))</f>
        <v>0</v>
      </c>
      <c r="MW196" s="16">
        <f>IF(ISNA(VLOOKUP($A196,'Données projet'!$A$460:$I$480,7,0)),0%,VLOOKUP($A196,'Données projet'!$A$460:$I$480,7,0))</f>
        <v>0</v>
      </c>
      <c r="MX196" s="21" t="e">
        <f>EXP(-LN(2)/35)*MX195+(1-EXP(-LN(2)/35))/(LN(2)/35)*MT196*MU196*VLOOKUP('Données projet'!$B$25,Paramètres!$A$1:$I$89,3,0)*0.475*44/12</f>
        <v>#N/A</v>
      </c>
      <c r="MY196" s="21" t="e">
        <f>EXP(-LN(2)/25)*MY195+(1-EXP(-LN(2)/25))/(LN(2)/25)*Calculateur!MT196*Calculateur!MV196*VLOOKUP('Données projet'!$B$25,Paramètres!$A$1:$I$89,3,0)*0.475*44/12</f>
        <v>#N/A</v>
      </c>
      <c r="MZ196" s="21" t="e">
        <f>EXP(-LN(2)/2)*MZ195+(1-EXP(-LN(2)/2))/(LN(2)/2)*MT196*MW196*VLOOKUP('Données projet'!$B$25,Paramètres!$A$1:$I$89,3,0)*0.475*44/12</f>
        <v>#N/A</v>
      </c>
      <c r="NA196" s="22" t="e">
        <f t="shared" ref="NA196:NA203" si="387">SUM(MX196:MZ196)</f>
        <v>#N/A</v>
      </c>
      <c r="NB196" s="74">
        <f>('Scénario référence'!$F$8+'Scénario référence'!$F$9+'Scénario référence'!$B$17+'Scénario référence'!$B$9+'Scénario référence'!$B$10)*70+IF((45+25*(1-EXP(-0.0175*$A196)))&lt;70,'Scénario référence'!$B$16*(45+25*(1-EXP(-0.0175*$A196))),70*'Scénario référence'!$B$16)+IF((32+38*(1-EXP(-0.0175*$A196)))&lt;70,'Scénario référence'!$B$18*(32+38*(1-EXP(-0.0175*$A196))),70*'Scénario référence'!$B$18)</f>
        <v>70</v>
      </c>
      <c r="NC196" s="12">
        <f>IF($A196&gt;30,10,('Scénario référence'!$B$16+'Scénario référence'!$B$17+'Scénario référence'!$B$18+'Scénario référence'!$B$9+'Scénario référence'!$B$10)*$A196*10/30+('Scénario référence'!$F$8+'Scénario référence'!$F$9)*10)</f>
        <v>10</v>
      </c>
      <c r="ND196" s="12" t="e">
        <f>VLOOKUP($A196,'Données projet'!$A$486:$I$506,2,0)</f>
        <v>#N/A</v>
      </c>
      <c r="NE196" s="12" t="e">
        <f>VLOOKUP($A196,'Données projet'!$A$486:$I$506,9,0)</f>
        <v>#N/A</v>
      </c>
      <c r="NF196" s="12">
        <f t="array" ref="NF196">INDEX(NE:NE,MIN(IF(ISNUMBER(NE196:NE392),ROW(NE196:NE392),"")))</f>
        <v>0</v>
      </c>
      <c r="NG196" s="12">
        <f>IF('Données projet'!$A$486&gt;35,NG195+NF196-NO195,IF($A196&lt;'Données projet'!$A$486,$CQ$205^$A196,IF($A196='Données projet'!$A$486,'Données projet'!$B$486,NG195+NF196-NO195)))</f>
        <v>0</v>
      </c>
      <c r="NH196" s="17" t="e">
        <f>NG196*VLOOKUP('Données projet'!$B$26,Paramètres!$A$1:$I$89,3,0)*VLOOKUP('Données projet'!$B$26,Paramètres!$A$1:$I$89,5,0)</f>
        <v>#N/A</v>
      </c>
      <c r="NI196" s="13" t="e">
        <f t="shared" si="320"/>
        <v>#N/A</v>
      </c>
      <c r="NJ196" s="14" t="e">
        <f t="shared" ref="NJ196:NJ203" si="388">(NH196+NI196)*0.475*44/12</f>
        <v>#N/A</v>
      </c>
      <c r="NK196" s="59" t="e">
        <f t="shared" ref="NK196:NK203" si="389">NJ196+(NB196+NC196)*44/12</f>
        <v>#N/A</v>
      </c>
      <c r="NL196" s="20" t="e">
        <f ca="1">AVERAGE(OFFSET($NK$3,0,0,'Données projet'!$E$26+1,1))-AVERAGE(OFFSET($H$3,0,0,'Données projet'!$E$26+1,1))</f>
        <v>#N/A</v>
      </c>
      <c r="NM196" s="59" t="e">
        <f t="shared" si="321"/>
        <v>#N/A</v>
      </c>
      <c r="NN196" s="15">
        <f>IF(ISNA(VLOOKUP($A196,'Données projet'!$A$486:$I$506,3,0)),0,VLOOKUP($A196,'Données projet'!$A$486:$I$506,3,0))</f>
        <v>0</v>
      </c>
      <c r="NO196" s="15">
        <f>IF(ISNA(VLOOKUP($A196,'Données projet'!$A$486:$I$506,4,0)),0,VLOOKUP($A196,'Données projet'!$A$486:$I$506,4,0))</f>
        <v>0</v>
      </c>
      <c r="NP196" s="16">
        <f>IF(ISNA(VLOOKUP($A196,'Données projet'!$A$486:$I$506,5,0)),0%,VLOOKUP($A196,'Données projet'!$A$486:$I$506,5,0)*VLOOKUP('Données projet'!$B$26,Paramètres!$A$1:$I$89,7,0))</f>
        <v>0</v>
      </c>
      <c r="NQ196" s="16">
        <f>IF(ISNA(VLOOKUP($A196,'Données projet'!$A$486:$I$506,6,0)),0%,VLOOKUP($A196,'Données projet'!$A$486:$I$506,6,0)*VLOOKUP('Données projet'!$B$26,Paramètres!$A$1:$I$89,7,0))</f>
        <v>0</v>
      </c>
      <c r="NR196" s="16">
        <f>IF(ISNA(VLOOKUP($A196,'Données projet'!$A$486:$I$506,7,0)),0%,VLOOKUP($A196,'Données projet'!$A$486:$I$506,7,0))</f>
        <v>0</v>
      </c>
      <c r="NS196" s="21" t="e">
        <f>EXP(-LN(2)/35)*NS195+(1-EXP(-LN(2)/35))/(LN(2)/35)*NO196*NP196*VLOOKUP('Données projet'!$B$26,Paramètres!$A$1:$I$89,3,0)*0.475*44/12</f>
        <v>#N/A</v>
      </c>
      <c r="NT196" s="21" t="e">
        <f>EXP(-LN(2)/25)*NT195+(1-EXP(-LN(2)/25))/(LN(2)/25)*Calculateur!NO196*Calculateur!NQ196*VLOOKUP('Données projet'!$B$26,Paramètres!$A$1:$I$89,3,0)*0.475*44/12</f>
        <v>#N/A</v>
      </c>
      <c r="NU196" s="21" t="e">
        <f>EXP(-LN(2)/2)*NU195+(1-EXP(-LN(2)/2))/(LN(2)/2)*NO196*NR196*VLOOKUP('Données projet'!$B$26,Paramètres!$A$1:$I$89,3,0)*0.475*44/12</f>
        <v>#N/A</v>
      </c>
      <c r="NV196" s="22" t="e">
        <f t="shared" ref="NV196:NV203" si="390">SUM(NS196:NU196)</f>
        <v>#N/A</v>
      </c>
      <c r="NW196" s="74">
        <f>('Scénario référence'!$F$8+'Scénario référence'!$F$9+'Scénario référence'!$B$17+'Scénario référence'!$B$9+'Scénario référence'!$B$10)*70+IF((45+25*(1-EXP(-0.0175*$A196)))&lt;70,'Scénario référence'!$B$16*(45+25*(1-EXP(-0.0175*$A196))),70*'Scénario référence'!$B$16)+IF((32+38*(1-EXP(-0.0175*$A196)))&lt;70,'Scénario référence'!$B$18*(32+38*(1-EXP(-0.0175*$A196))),70*'Scénario référence'!$B$18)</f>
        <v>70</v>
      </c>
      <c r="NX196" s="12">
        <f>IF($A196&gt;30,10,('Scénario référence'!$B$16+'Scénario référence'!$B$17+'Scénario référence'!$B$18+'Scénario référence'!$B$9+'Scénario référence'!$B$10)*$A196*10/30+('Scénario référence'!$F$8+'Scénario référence'!$F$9)*10)</f>
        <v>10</v>
      </c>
      <c r="NY196" s="12" t="e">
        <f>VLOOKUP($A196,'Données projet'!$A$512:$I$532,2,0)</f>
        <v>#N/A</v>
      </c>
      <c r="NZ196" s="12" t="e">
        <f>VLOOKUP($A196,'Données projet'!$A$512:$I$532,9,0)</f>
        <v>#N/A</v>
      </c>
      <c r="OA196" s="12">
        <f t="array" ref="OA196">INDEX(NZ:NZ,MIN(IF(ISNUMBER(NZ196:NZ392),ROW(NZ196:NZ392),"")))</f>
        <v>0</v>
      </c>
      <c r="OB196" s="12">
        <f>IF('Données projet'!$A$512&gt;35,OB195+OA196-OJ195,IF($A196&lt;'Données projet'!$A$512,$CQ$205^$A196,IF($A196='Données projet'!$A$512,'Données projet'!$B$512,OB195+OA196-OJ195)))</f>
        <v>0</v>
      </c>
      <c r="OC196" s="17" t="e">
        <f>OB196*VLOOKUP('Données projet'!$B$27,Paramètres!$A$1:$I$89,3,0)*VLOOKUP('Données projet'!$B$27,Paramètres!$A$1:$I$89,5,0)</f>
        <v>#N/A</v>
      </c>
      <c r="OD196" s="13" t="e">
        <f t="shared" si="322"/>
        <v>#N/A</v>
      </c>
      <c r="OE196" s="14" t="e">
        <f t="shared" ref="OE196:OE203" si="391">(OC196+OD196)*0.475*44/12</f>
        <v>#N/A</v>
      </c>
      <c r="OF196" s="59" t="e">
        <f t="shared" ref="OF196:OF203" si="392">OE196+(NW196+NX196)*44/12</f>
        <v>#N/A</v>
      </c>
      <c r="OG196" s="20" t="e">
        <f ca="1">AVERAGE(OFFSET($OF$3,0,0,'Données projet'!$E$27+1,1))-AVERAGE(OFFSET($H$3,0,0,'Données projet'!$E$27+1,1))</f>
        <v>#N/A</v>
      </c>
      <c r="OH196" s="59" t="e">
        <f t="shared" si="323"/>
        <v>#N/A</v>
      </c>
      <c r="OI196" s="15">
        <f>IF(ISNA(VLOOKUP($A196,'Données projet'!$A$512:$I$532,3,0)),0,VLOOKUP($A196,'Données projet'!$A$512:$I$532,3,0))</f>
        <v>0</v>
      </c>
      <c r="OJ196" s="15">
        <f>IF(ISNA(VLOOKUP($A196,'Données projet'!$A$512:$I$532,4,0)),0,VLOOKUP($A196,'Données projet'!$A$512:$I$532,4,0))</f>
        <v>0</v>
      </c>
      <c r="OK196" s="16">
        <f>IF(ISNA(VLOOKUP($A196,'Données projet'!$A$512:$I$532,5,0)),0%,VLOOKUP($A196,'Données projet'!$A$512:$I$532,5,0)*VLOOKUP('Données projet'!$B$27,Paramètres!$A$1:$I$89,7,0))</f>
        <v>0</v>
      </c>
      <c r="OL196" s="16">
        <f>IF(ISNA(VLOOKUP($A196,'Données projet'!$A$512:$I$532,6,0)),0%,VLOOKUP($A196,'Données projet'!$A$512:$I$532,6,0)*VLOOKUP('Données projet'!$B$27,Paramètres!$A$1:$I$89,7,0))</f>
        <v>0</v>
      </c>
      <c r="OM196" s="16">
        <f>IF(ISNA(VLOOKUP($A196,'Données projet'!$A$512:$I$532,7,0)),0%,VLOOKUP($A196,'Données projet'!$A$512:$I$532,7,0))</f>
        <v>0</v>
      </c>
      <c r="ON196" s="21" t="e">
        <f>EXP(-LN(2)/35)*ON195+(1-EXP(-LN(2)/35))/(LN(2)/35)*OJ196*OK196*VLOOKUP('Données projet'!$B$27,Paramètres!$A$1:$I$89,3,0)*0.475*44/12</f>
        <v>#N/A</v>
      </c>
      <c r="OO196" s="21" t="e">
        <f>EXP(-LN(2)/25)*OO195+(1-EXP(-LN(2)/25))/(LN(2)/25)*Calculateur!OJ196*Calculateur!OL196*VLOOKUP('Données projet'!$B$27,Paramètres!$A$1:$I$89,3,0)*0.475*44/12</f>
        <v>#N/A</v>
      </c>
      <c r="OP196" s="21" t="e">
        <f>EXP(-LN(2)/2)*OP195+(1-EXP(-LN(2)/2))/(LN(2)/2)*OJ196*OM196*VLOOKUP('Données projet'!$B$27,Paramètres!$A$1:$I$89,3,0)*0.475*44/12</f>
        <v>#N/A</v>
      </c>
      <c r="OQ196" s="22" t="e">
        <f t="shared" ref="OQ196:OQ203" si="393">SUM(ON196:OP196)</f>
        <v>#N/A</v>
      </c>
      <c r="OR196" s="74">
        <f>('Scénario référence'!$F$8+'Scénario référence'!$F$9+'Scénario référence'!$B$17+'Scénario référence'!$B$9+'Scénario référence'!$B$10)*70+IF((45+25*(1-EXP(-0.0175*$A196)))&lt;70,'Scénario référence'!$B$16*(45+25*(1-EXP(-0.0175*$A196))),70*'Scénario référence'!$B$16)+IF((32+38*(1-EXP(-0.0175*$A196)))&lt;70,'Scénario référence'!$B$18*(32+38*(1-EXP(-0.0175*$A196))),70*'Scénario référence'!$B$18)</f>
        <v>70</v>
      </c>
      <c r="OS196" s="12">
        <f>IF($A196&gt;30,10,('Scénario référence'!$B$16+'Scénario référence'!$B$17+'Scénario référence'!$B$18+'Scénario référence'!$B$9+'Scénario référence'!$B$10)*$A196*10/30+('Scénario référence'!$F$8+'Scénario référence'!$F$9)*10)</f>
        <v>10</v>
      </c>
      <c r="OT196" s="12" t="e">
        <f>VLOOKUP($A196,'Données projet'!$A$538:$I$558,2,0)</f>
        <v>#N/A</v>
      </c>
      <c r="OU196" s="12" t="e">
        <f>VLOOKUP($A196,'Données projet'!$A$538:$I$558,9,0)</f>
        <v>#N/A</v>
      </c>
      <c r="OV196" s="12">
        <f t="array" ref="OV196">INDEX(OU:OU,MIN(IF(ISNUMBER(OU196:OU392),ROW(OU196:OU392),"")))</f>
        <v>0</v>
      </c>
      <c r="OW196" s="12">
        <f>IF('Données projet'!$A$538&gt;35,OW195+OV196-PE195,IF($A196&lt;'Données projet'!$A$538,$CQ$205^$A196,IF($A196='Données projet'!$A$538,'Données projet'!$B$538,OW195+OV196-PE195)))</f>
        <v>0</v>
      </c>
      <c r="OX196" s="17" t="e">
        <f>OW196*VLOOKUP('Données projet'!$B$28,Paramètres!$A$1:$I$89,3,0)*VLOOKUP('Données projet'!$B$28,Paramètres!$A$1:$I$89,5,0)</f>
        <v>#N/A</v>
      </c>
      <c r="OY196" s="13" t="e">
        <f t="shared" si="324"/>
        <v>#N/A</v>
      </c>
      <c r="OZ196" s="14" t="e">
        <f t="shared" ref="OZ196:OZ203" si="394">(OX196+OY196)*0.475*44/12</f>
        <v>#N/A</v>
      </c>
      <c r="PA196" s="59" t="e">
        <f t="shared" ref="PA196:PA203" si="395">OZ196+(OR196+OS196)*44/12</f>
        <v>#N/A</v>
      </c>
      <c r="PB196" s="20" t="e">
        <f ca="1">AVERAGE(OFFSET($PA$3,0,0,'Données projet'!$E$28+1,1))-AVERAGE(OFFSET($H$3,0,0,'Données projet'!$E$28+1,1))</f>
        <v>#N/A</v>
      </c>
      <c r="PC196" s="59" t="e">
        <f t="shared" si="325"/>
        <v>#N/A</v>
      </c>
      <c r="PD196" s="15">
        <f>IF(ISNA(VLOOKUP($A196,'Données projet'!$A$538:$I$558,3,0)),0,VLOOKUP($A196,'Données projet'!$A$538:$I$558,3,0))</f>
        <v>0</v>
      </c>
      <c r="PE196" s="15">
        <f>IF(ISNA(VLOOKUP($A196,'Données projet'!$A$538:$I$558,4,0)),0,VLOOKUP($A196,'Données projet'!$A$538:$I$558,4,0))</f>
        <v>0</v>
      </c>
      <c r="PF196" s="16">
        <f>IF(ISNA(VLOOKUP($A196,'Données projet'!$A$538:$I$558,5,0)),0%,VLOOKUP($A196,'Données projet'!$A$538:$I$558,5,0)*VLOOKUP('Données projet'!$B$28,Paramètres!$A$1:$I$89,7,0))</f>
        <v>0</v>
      </c>
      <c r="PG196" s="16">
        <f>IF(ISNA(VLOOKUP($A196,'Données projet'!$A$538:$I$558,6,0)),0%,VLOOKUP($A196,'Données projet'!$A$538:$I$558,6,0)*VLOOKUP('Données projet'!$B$28,Paramètres!$A$1:$I$89,7,0))</f>
        <v>0</v>
      </c>
      <c r="PH196" s="16">
        <f>IF(ISNA(VLOOKUP($A196,'Données projet'!$A$538:$I$558,7,0)),0%,VLOOKUP($A196,'Données projet'!$A$538:$I$558,7,0))</f>
        <v>0</v>
      </c>
      <c r="PI196" s="21" t="e">
        <f>EXP(-LN(2)/35)*PI195+(1-EXP(-LN(2)/35))/(LN(2)/35)*PE196*PF196*VLOOKUP('Données projet'!$B$28,Paramètres!$A$1:$I$89,3,0)*0.475*44/12</f>
        <v>#N/A</v>
      </c>
      <c r="PJ196" s="21" t="e">
        <f>EXP(-LN(2)/25)*PJ195+(1-EXP(-LN(2)/25))/(LN(2)/25)*Calculateur!PE196*Calculateur!PG196*VLOOKUP('Données projet'!$B$28,Paramètres!$A$1:$I$89,3,0)*0.475*44/12</f>
        <v>#N/A</v>
      </c>
      <c r="PK196" s="21" t="e">
        <f>EXP(-LN(2)/2)*PK195+(1-EXP(-LN(2)/2))/(LN(2)/2)*PE196*PH196*VLOOKUP('Données projet'!$B$28,Paramètres!$A$1:$I$89,3,0)*0.475*44/12</f>
        <v>#N/A</v>
      </c>
      <c r="PL196" s="22" t="e">
        <f t="shared" ref="PL196:PL203" si="396">SUM(PI196:PK196)</f>
        <v>#N/A</v>
      </c>
    </row>
    <row r="197" spans="1:428" x14ac:dyDescent="0.35">
      <c r="A197" s="10">
        <f t="shared" si="326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397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357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projet'!$A$45:$I$65,2,0)</f>
        <v>#N/A</v>
      </c>
      <c r="L197" s="12" t="e">
        <f>VLOOKUP(A197,'Données projet'!$A$45:$I$65,9,0)</f>
        <v>#N/A</v>
      </c>
      <c r="M197" s="12">
        <f t="array" ref="M197">INDEX(L:L,MIN(IF(ISNUMBER(L197:L393),ROW(L197:L393),"")))</f>
        <v>0</v>
      </c>
      <c r="N197" s="13">
        <f>IF('Données projet'!$A$46&gt;35,N196+M197-V196,IF(A197&lt;'Données projet'!$A$46,$K$205^A197,IF(A197='Données projet'!$A$46,'Données projet'!$B$46,N196+M197-V196)))</f>
        <v>-1.1368683772161603E-13</v>
      </c>
      <c r="O197" s="13">
        <f>N197*VLOOKUP('Données projet'!$B$9,Paramètres!$A$1:$I$89,3,0)*VLOOKUP('Données projet'!$B$9,Paramètres!$A$1:$I$89,5,0)</f>
        <v>-6.3550942286383367E-14</v>
      </c>
      <c r="P197" s="13" t="e">
        <f t="shared" ref="P197:P203" si="398">EXP(-1.0587+0.8836*LN(O197)+0.284)</f>
        <v>#NUM!</v>
      </c>
      <c r="Q197" s="20" t="e">
        <f t="shared" si="327"/>
        <v>#NUM!</v>
      </c>
      <c r="R197" s="59" t="e">
        <f t="shared" si="356"/>
        <v>#NUM!</v>
      </c>
      <c r="S197" s="59">
        <f ca="1">AVERAGE(OFFSET($R$3,0,0,'Données projet'!$E$9+1,1))-AVERAGE(OFFSET($H$3,0,0,'Données projet'!$E$9+1,1))</f>
        <v>274.57619581652199</v>
      </c>
      <c r="T197" s="59">
        <f t="shared" ref="T197:T203" si="399">$T$3</f>
        <v>366.15117322598775</v>
      </c>
      <c r="U197" s="15">
        <f>IF(ISNA(VLOOKUP(A197,'Données projet'!$A$45:$I$65,3,0)),0,VLOOKUP(A197,'Données projet'!$A$45:$I$65,3,0))</f>
        <v>0</v>
      </c>
      <c r="V197" s="15">
        <f>IF(ISNA(VLOOKUP(A197,'Données projet'!$A$45:$I$65,4,0)),0,VLOOKUP(A197,'Données projet'!$A$45:$I$65,4,0))</f>
        <v>0</v>
      </c>
      <c r="W197" s="16">
        <f>IF(ISNA(VLOOKUP(A197,'Données projet'!$A$45:$I$65,5,0)),0%,VLOOKUP(A197,'Données projet'!$A$45:$I$65,5,0)*VLOOKUP('Données projet'!$B$9,Paramètres!$A$1:$I$89,7,0))</f>
        <v>0</v>
      </c>
      <c r="X197" s="16">
        <f>IF(ISNA(VLOOKUP(A197,'Données projet'!$A$45:$I$65,6,0)),0%,VLOOKUP(A197,'Données projet'!$A$45:$I$65,6,0)*VLOOKUP('Données projet'!$B$9,Paramètres!$A$1:$I$89,7,0))</f>
        <v>0</v>
      </c>
      <c r="Y197" s="16">
        <f>IF(ISNA(VLOOKUP(A197,'Données projet'!$A$45:$I$65,7,0)),0%,VLOOKUP(A197,'Données projet'!$A$45:$I$65,7,0))</f>
        <v>0</v>
      </c>
      <c r="Z197" s="21">
        <f>EXP(-LN(2)/35)*Z196+(1-EXP(-LN(2)/35))/(LN(2)/35)*V197*W197*VLOOKUP('Données projet'!$B$9,Paramètres!$A$1:$I$89,3,0)*0.475*44/12</f>
        <v>14.449411774283011</v>
      </c>
      <c r="AA197" s="21">
        <f>EXP(-LN(2)/25)*AA196+(1-EXP(-LN(2)/25))/(LN(2)/25)*Calculateur!V197*Calculateur!X197*VLOOKUP('Données projet'!$B$9,Paramètres!$A$1:$I$89,3,0)*0.475*44/12</f>
        <v>1.2211066954516996</v>
      </c>
      <c r="AB197" s="21">
        <f>EXP(-LN(2)/2)*AB196+(1-EXP(-LN(2)/2))/(LN(2)/2)*V197*Y197*VLOOKUP('Données projet'!$B$9,Paramètres!$A$1:$I$89,3,0)*0.475*44/12</f>
        <v>4.0921330105332064E-20</v>
      </c>
      <c r="AC197" s="22">
        <f t="shared" si="328"/>
        <v>15.670518469734709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projet'!$A$71:$I$91,2,0)</f>
        <v>#N/A</v>
      </c>
      <c r="AG197" s="12" t="e">
        <f>VLOOKUP(A197,'Données projet'!$A$71:$I$91,9,0)</f>
        <v>#N/A</v>
      </c>
      <c r="AH197" s="12">
        <f t="array" ref="AH197">INDEX(AG:AG,MIN(IF(ISNUMBER(AG197:AG393),ROW(AG197:AG393),"")))</f>
        <v>0</v>
      </c>
      <c r="AI197" s="13">
        <f>IF('Données projet'!$A$72&gt;35,AI196+AH197-AQ196,IF(A197&lt;'Données projet'!$A$72,$AF$205^A197,IF(A197='Données projet'!$A$72,'Données projet'!$B$72,AI196+AH197-AQ196)))</f>
        <v>5.6843418860808015E-13</v>
      </c>
      <c r="AJ197" s="13">
        <f>AI197*VLOOKUP('Données projet'!$B$10,Paramètres!$A$1:$I$89,3,0)*VLOOKUP('Données projet'!$B$10,Paramètres!$A$1:$I$89,5,0)</f>
        <v>5.1431925385259092E-13</v>
      </c>
      <c r="AK197" s="13">
        <f t="shared" si="329"/>
        <v>6.3855359115685756E-12</v>
      </c>
      <c r="AL197" s="20">
        <f t="shared" si="330"/>
        <v>1.2017247746441865E-11</v>
      </c>
      <c r="AM197" s="59">
        <f t="shared" si="358"/>
        <v>293.33333333334531</v>
      </c>
      <c r="AN197" s="59">
        <f ca="1">AVERAGE(OFFSET($AM$3,0,0,'Données projet'!$E$10+1,1))-AVERAGE(OFFSET($H$3,0,0,'Données projet'!$E$10+1,1))</f>
        <v>270.87836509222456</v>
      </c>
      <c r="AO197" s="59">
        <f t="shared" ref="AO197:AO203" si="400">$AO$3</f>
        <v>205.24998237949734</v>
      </c>
      <c r="AP197" s="15">
        <f>IF(ISNA(VLOOKUP(A197,'Données projet'!$A$71:$I$91,3,0)),0,VLOOKUP(A197,'Données projet'!$A$71:$I$91,3,0))</f>
        <v>0</v>
      </c>
      <c r="AQ197" s="15">
        <f>IF(ISNA(VLOOKUP(A197,'Données projet'!$A$71:$I$91,4,0)),0,VLOOKUP(A197,'Données projet'!$A$71:$I$91,4,0))</f>
        <v>0</v>
      </c>
      <c r="AR197" s="16">
        <f>IF(ISNA(VLOOKUP(A197,'Données projet'!$A$71:$I$91,5,0)),0%,VLOOKUP(A197,'Données projet'!$A$71:$I$91,5,0)*VLOOKUP('Données projet'!$B$10,Paramètres!$A$1:$I$89,7,0))</f>
        <v>0</v>
      </c>
      <c r="AS197" s="16">
        <f>IF(ISNA(VLOOKUP(A197,'Données projet'!$A$71:$I$91,6,0)),0%,VLOOKUP(A197,'Données projet'!$A$71:$I$91,6,0)*VLOOKUP('Données projet'!$B$10,Paramètres!$A$1:$I$89,7,0))</f>
        <v>0</v>
      </c>
      <c r="AT197" s="16">
        <f>IF(ISNA(VLOOKUP(A197,'Données projet'!$A$71:$I$91,7,0)),0%,VLOOKUP(A197,'Données projet'!$A$71:$I$91,7,0))</f>
        <v>0</v>
      </c>
      <c r="AU197" s="21">
        <f>EXP(-LN(2)/35)*AU196+(1-EXP(-LN(2)/35))/(LN(2)/35)*AQ197*AR197*VLOOKUP('Données projet'!$B$10,Paramètres!$A$1:$I$89,3,0)*0.475*44/12</f>
        <v>49.102782588533977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331"/>
        <v>49.102782588533977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projet'!$A$97:$I$117,2,0)</f>
        <v>#N/A</v>
      </c>
      <c r="BB197" s="12" t="e">
        <f>VLOOKUP(A197,'Données projet'!$A$97:$I$117,9,0)</f>
        <v>#N/A</v>
      </c>
      <c r="BC197" s="12">
        <f t="array" ref="BC197">INDEX(BB:BB,MIN(IF(ISNUMBER(BB197:BB393),ROW(BB197:BB393),"")))</f>
        <v>0</v>
      </c>
      <c r="BD197" s="12">
        <f>IF('Données projet'!$A$98&gt;35,BD196+BC197-BL196,IF(A197&lt;'Données projet'!$A$98,$BA$205^A197,IF(A197='Données projet'!$A$98,'Données projet'!$B$98,BD196+BC197-BL196)))</f>
        <v>-1.1368683772161603E-13</v>
      </c>
      <c r="BE197" s="13">
        <f>BD197*VLOOKUP('Données projet'!$B$11,Paramètres!$A$1:$I$89,3,0)*VLOOKUP('Données projet'!$B$11,Paramètres!$A$1:$I$89,5,0)</f>
        <v>-5.0249582272954292E-14</v>
      </c>
      <c r="BF197" s="13" t="e">
        <f t="shared" si="332"/>
        <v>#NUM!</v>
      </c>
      <c r="BG197" s="20" t="e">
        <f t="shared" si="333"/>
        <v>#NUM!</v>
      </c>
      <c r="BH197" s="59" t="e">
        <f t="shared" si="359"/>
        <v>#NUM!</v>
      </c>
      <c r="BI197" s="59">
        <f ca="1">AVERAGE(OFFSET($BH$3,0,0,'Données projet'!$E$11+1,1))-AVERAGE(OFFSET($H$3,0,0,'Données projet'!$E$11+1,1))</f>
        <v>211.31057120485542</v>
      </c>
      <c r="BJ197" s="59">
        <f t="shared" ref="BJ197:BJ203" si="401">$BJ$3</f>
        <v>283.33292006714777</v>
      </c>
      <c r="BK197" s="15">
        <f>IF(ISNA(VLOOKUP(A197,'Données projet'!$A$97:$I$117,3,0)),0,VLOOKUP(A197,'Données projet'!$A$97:$I$117,3,0))</f>
        <v>0</v>
      </c>
      <c r="BL197" s="15">
        <f>IF(ISNA(VLOOKUP(A197,'Données projet'!$A$97:$I$117,4,0)),0,VLOOKUP(A197,'Données projet'!$A$97:$I$117,4,0))</f>
        <v>0</v>
      </c>
      <c r="BM197" s="16">
        <f>IF(ISNA(VLOOKUP(A197,'Données projet'!$A$97:$I$117,5,0)),0%,VLOOKUP(A197,'Données projet'!$A$97:$I$117,5,0)*VLOOKUP('Données projet'!$B$11,Paramètres!$A$1:$I$89,7,0))</f>
        <v>0</v>
      </c>
      <c r="BN197" s="16">
        <f>IF(ISNA(VLOOKUP(A197,'Données projet'!$A$97:$I$117,6,0)),0%,VLOOKUP(A197,'Données projet'!$A$97:$I$117,6,0)*VLOOKUP('Données projet'!$B$11,Paramètres!$A$1:$I$89,7,0))</f>
        <v>0</v>
      </c>
      <c r="BO197" s="16">
        <f>IF(ISNA(VLOOKUP(A197,'Données projet'!$A$97:$I$117,7,0)),0%,VLOOKUP(A197,'Données projet'!$A$97:$I$117,7,0))</f>
        <v>0</v>
      </c>
      <c r="BP197" s="21">
        <f>EXP(-LN(2)/35)*BP196+(1-EXP(-LN(2)/35))/(LN(2)/35)*BL197*BM197*VLOOKUP('Données projet'!$B$11,Paramètres!$A$1:$I$89,3,0)*0.475*44/12</f>
        <v>11.425116286642389</v>
      </c>
      <c r="BQ197" s="21">
        <f>EXP(-LN(2)/25)*BQ196+(1-EXP(-LN(2)/25))/(LN(2)/25)*Calculateur!BL197*Calculateur!BN197*VLOOKUP('Données projet'!$B$11,Paramètres!$A$1:$I$89,3,0)*0.475*44/12</f>
        <v>0.96552622431064572</v>
      </c>
      <c r="BR197" s="21">
        <f>EXP(-LN(2)/2)*BR196+(1-EXP(-LN(2)/2))/(LN(2)/2)*BL197*BO197*VLOOKUP('Données projet'!$B$11,Paramètres!$A$1:$I$89,3,0)*0.475*44/12</f>
        <v>3.2356400548402091E-20</v>
      </c>
      <c r="BS197" s="22">
        <f t="shared" si="334"/>
        <v>12.390642510953034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projet'!$A$123:$I$143,2,0)</f>
        <v>#N/A</v>
      </c>
      <c r="BW197" s="12" t="e">
        <f>VLOOKUP(A197,'Données projet'!$A$123:$I$143,9,0)</f>
        <v>#N/A</v>
      </c>
      <c r="BX197" s="12">
        <f t="array" ref="BX197">INDEX(BW:BW,MIN(IF(ISNUMBER(BW197:BW393),ROW(BW197:BW393),"")))</f>
        <v>0</v>
      </c>
      <c r="BY197" s="12">
        <f>IF('Données projet'!$A$124&gt;35,BY196+BX197-CG196,IF(A197&lt;'Données projet'!$A$124,$BV$205^A197,IF(A197='Données projet'!$A$124,'Données projet'!$B$124,BY196+BX197-CG196)))</f>
        <v>0</v>
      </c>
      <c r="BZ197" s="13">
        <f>BY197*VLOOKUP('Données projet'!$B$12,Paramètres!$A$1:$I$89,3,0)*VLOOKUP('Données projet'!$B$12,Paramètres!$A$1:$I$89,5,0)</f>
        <v>0</v>
      </c>
      <c r="CA197" s="13" t="e">
        <f t="shared" si="335"/>
        <v>#NUM!</v>
      </c>
      <c r="CB197" s="20" t="e">
        <f t="shared" si="336"/>
        <v>#NUM!</v>
      </c>
      <c r="CC197" s="59" t="e">
        <f t="shared" si="360"/>
        <v>#NUM!</v>
      </c>
      <c r="CD197" s="59">
        <f ca="1">AVERAGE(OFFSET($CC$3,0,0,'Données projet'!$E$12+1,1))-AVERAGE(OFFSET($H$3,0,0,'Données projet'!$E$12+1,1))</f>
        <v>322.93502595881938</v>
      </c>
      <c r="CE197" s="59">
        <f t="shared" ref="CE197:CE203" si="402">$CE$3</f>
        <v>302.67072119588164</v>
      </c>
      <c r="CF197" s="15">
        <f>IF(ISNA(VLOOKUP(A197,'Données projet'!$A$123:$I$143,3,0)),0,VLOOKUP(A197,'Données projet'!$A$123:$I$143,3,0))</f>
        <v>0</v>
      </c>
      <c r="CG197" s="15">
        <f>IF(ISNA(VLOOKUP(A197,'Données projet'!$A$123:$I$143,4,0)),0,VLOOKUP(A197,'Données projet'!$A$123:$I$143,4,0))</f>
        <v>0</v>
      </c>
      <c r="CH197" s="16">
        <f>IF(ISNA(VLOOKUP(A197,'Données projet'!$A$123:$I$143,5,0)),0%,VLOOKUP(A197,'Données projet'!$A$123:$I$143,5,0)*VLOOKUP('Données projet'!$B$12,Paramètres!$A$1:$I$89,7,0))</f>
        <v>0</v>
      </c>
      <c r="CI197" s="16">
        <f>IF(ISNA(VLOOKUP(A197,'Données projet'!$A$123:$I$143,6,0)),0%,VLOOKUP(A197,'Données projet'!$A$123:$I$143,6,0)*VLOOKUP('Données projet'!$B$12,Paramètres!$A$1:$I$89,7,0))</f>
        <v>0</v>
      </c>
      <c r="CJ197" s="16">
        <f>IF(ISNA(VLOOKUP(A197,'Données projet'!$A$123:$I$143,7,0)),0%,VLOOKUP(A197,'Données projet'!$A$123:$I$143,7,0))</f>
        <v>0</v>
      </c>
      <c r="CK197" s="21">
        <f>EXP(-LN(2)/35)*CK196+(1-EXP(-LN(2)/35))/(LN(2)/35)*CG197*CH197*VLOOKUP('Données projet'!$B$12,Paramètres!$A$1:$I$89,3,0)*0.475*44/12</f>
        <v>18.202970943593915</v>
      </c>
      <c r="CL197" s="21">
        <f>EXP(-LN(2)/25)*CL196+(1-EXP(-LN(2)/25))/(LN(2)/25)*Calculateur!CG197*Calculateur!CI197*VLOOKUP('Données projet'!$B$12,Paramètres!$A$1:$I$89,3,0)*0.475*44/12</f>
        <v>3.0902680987852649</v>
      </c>
      <c r="CM197" s="21">
        <f>EXP(-LN(2)/2)*CM196+(1-EXP(-LN(2)/2))/(LN(2)/2)*CG197*CJ197*VLOOKUP('Données projet'!$B$12,Paramètres!$A$1:$I$89,3,0)*0.475*44/12</f>
        <v>0</v>
      </c>
      <c r="CN197" s="22">
        <f t="shared" si="337"/>
        <v>21.293239042379181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projet'!$A$149:$I$169,2,0)</f>
        <v>#N/A</v>
      </c>
      <c r="CR197" s="12" t="e">
        <f>VLOOKUP(A197,'Données projet'!$A$149:$I$169,9,0)</f>
        <v>#N/A</v>
      </c>
      <c r="CS197" s="12">
        <f t="array" ref="CS197">INDEX(CR:CR,MIN(IF(ISNUMBER(CR197:CR393),ROW(CR197:CR393),"")))</f>
        <v>0</v>
      </c>
      <c r="CT197" s="12">
        <f>IF('Données projet'!$A$150&gt;35,CT196+CS197-DB196,IF(A197&lt;'Données projet'!$A$150,$CQ$205^A197,IF(A197='Données projet'!$A$150,'Données projet'!$B$150,CT196+CS197-DB196)))</f>
        <v>-4.5474735088646412E-13</v>
      </c>
      <c r="CU197" s="17">
        <f>CT197*VLOOKUP('Données projet'!$B$13,Paramètres!$A$1:$I$89,3,0)*VLOOKUP('Données projet'!$B$13,Paramètres!$A$1:$I$89,5,0)</f>
        <v>-4.6111381379887462E-13</v>
      </c>
      <c r="CV197" s="13" t="e">
        <f t="shared" si="338"/>
        <v>#NUM!</v>
      </c>
      <c r="CW197" s="20" t="e">
        <f t="shared" si="339"/>
        <v>#NUM!</v>
      </c>
      <c r="CX197" s="59" t="e">
        <f t="shared" si="361"/>
        <v>#NUM!</v>
      </c>
      <c r="CY197" s="59">
        <f ca="1">AVERAGE(OFFSET($CX$3,0,0,'Données projet'!$E$13+1,1))-AVERAGE(OFFSET($H$3,0,0,'Données projet'!$E$13+1,1))</f>
        <v>250.31277422753283</v>
      </c>
      <c r="CZ197" s="59">
        <f t="shared" ref="CZ197:CZ203" si="403">$CZ$3</f>
        <v>159.20429420478047</v>
      </c>
      <c r="DA197" s="15">
        <f>IF(ISNA(VLOOKUP(A197,'Données projet'!$A$149:$I$169,3,0)),0,VLOOKUP(A197,'Données projet'!$A$149:$I$169,3,0))</f>
        <v>0</v>
      </c>
      <c r="DB197" s="15">
        <f>IF(ISNA(VLOOKUP(A197,'Données projet'!$A$149:$I$169,4,0)),0,VLOOKUP(A197,'Données projet'!$A$149:$I$169,4,0))</f>
        <v>0</v>
      </c>
      <c r="DC197" s="16">
        <f>IF(ISNA(VLOOKUP(A197,'Données projet'!$A$149:$I$169,5,0)),0%,VLOOKUP(A197,'Données projet'!$A$149:$I$169,5,0)*VLOOKUP('Données projet'!$B$13,Paramètres!$A$1:$I$89,7,0))</f>
        <v>0</v>
      </c>
      <c r="DD197" s="16">
        <f>IF(ISNA(VLOOKUP(A197,'Données projet'!$A$149:$I$169,6,0)),0%,VLOOKUP(A197,'Données projet'!$A$149:$I$169,6,0)*VLOOKUP('Données projet'!$B$13,Paramètres!$A$1:$I$89,7,0))</f>
        <v>0</v>
      </c>
      <c r="DE197" s="16">
        <f>IF(ISNA(VLOOKUP(A197,'Données projet'!$A$149:$I$169,7,0)),0%,VLOOKUP(A197,'Données projet'!$A$149:$I$169,7,0))</f>
        <v>0</v>
      </c>
      <c r="DF197" s="21">
        <f>EXP(-LN(2)/35)*DF196+(1-EXP(-LN(2)/35))/(LN(2)/35)*DB197*DC197*VLOOKUP('Données projet'!$B$13,Paramètres!$A$1:$I$89,3,0)*0.475*44/12</f>
        <v>82.865347108328976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340"/>
        <v>82.865347108328976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projet'!$A$175:$I$195,2,0)</f>
        <v>#N/A</v>
      </c>
      <c r="DM197" s="12" t="e">
        <f>VLOOKUP(A197,'Données projet'!$A$175:$I$195,9,0)</f>
        <v>#N/A</v>
      </c>
      <c r="DN197" s="12">
        <f t="array" ref="DN197">INDEX(DM:DM,MIN(IF(ISNUMBER(DM197:DM393),ROW(DM197:DM393),"")))</f>
        <v>0</v>
      </c>
      <c r="DO197" s="12">
        <f>IF('Données projet'!$A$176&gt;35,DO196+DN197-DW196,IF(A197&lt;'Données projet'!$A$176,$DL$205^A197,IF(A197='Données projet'!$A$176,'Données projet'!$B$176,DO196+DN197-DW196)))</f>
        <v>-2.8421709430404007E-13</v>
      </c>
      <c r="DP197" s="17">
        <f>DO197*VLOOKUP('Données projet'!$B$14,Paramètres!$A$1:$I$89,3,0)*VLOOKUP('Données projet'!$B$14,Paramètres!$A$1:$I$89,5,0)</f>
        <v>-2.0838797354372215E-13</v>
      </c>
      <c r="DQ197" s="13" t="e">
        <f t="shared" si="341"/>
        <v>#NUM!</v>
      </c>
      <c r="DR197" s="20" t="e">
        <f t="shared" si="342"/>
        <v>#NUM!</v>
      </c>
      <c r="DS197" s="59" t="e">
        <f t="shared" si="362"/>
        <v>#NUM!</v>
      </c>
      <c r="DT197" s="59">
        <f ca="1">AVERAGE(OFFSET($DS$3,0,0,'Données projet'!$E$14+1,1))-AVERAGE(OFFSET($H$3,0,0,'Données projet'!$E$14+1,1))</f>
        <v>296.91321813251051</v>
      </c>
      <c r="DU197" s="59">
        <f t="shared" ref="DU197:DU203" si="404">$DU$3</f>
        <v>291.0718079639509</v>
      </c>
      <c r="DV197" s="15">
        <f>IF(ISNA(VLOOKUP(A197,'Données projet'!$A$175:$I$195,3,0)),0,VLOOKUP(A197,'Données projet'!$A$175:$I$195,3,0))</f>
        <v>0</v>
      </c>
      <c r="DW197" s="15">
        <f>IF(ISNA(VLOOKUP(A197,'Données projet'!$A$175:$I$195,4,0)),0,VLOOKUP(A197,'Données projet'!$A$175:$I$195,4,0))</f>
        <v>0</v>
      </c>
      <c r="DX197" s="16">
        <f>IF(ISNA(VLOOKUP(A197,'Données projet'!$A$175:$I$195,5,0)),0%,VLOOKUP(A197,'Données projet'!$A$175:$I$195,5,0)*VLOOKUP('Données projet'!$B$14,Paramètres!$A$1:$I$89,7,0))</f>
        <v>0</v>
      </c>
      <c r="DY197" s="16">
        <f>IF(ISNA(VLOOKUP(A197,'Données projet'!$A$175:$I$195,6,0)),0%,VLOOKUP(A197,'Données projet'!$A$175:$I$195,6,0)*VLOOKUP('Données projet'!$B$14,Paramètres!$A$1:$I$89,7,0))</f>
        <v>0</v>
      </c>
      <c r="DZ197" s="16">
        <f>IF(ISNA(VLOOKUP(A197,'Données projet'!$A$175:$I$195,7,0)),0%,VLOOKUP(A197,'Données projet'!$A$175:$I$195,7,0))</f>
        <v>0</v>
      </c>
      <c r="EA197" s="21">
        <f>EXP(-LN(2)/35)*EA196+(1-EXP(-LN(2)/35))/(LN(2)/35)*DW197*DX197*VLOOKUP('Données projet'!$B$14,Paramètres!$A$1:$I$89,3,0)*0.475*44/12</f>
        <v>18.142518095333713</v>
      </c>
      <c r="EB197" s="21">
        <f>EXP(-LN(2)/25)*EB196+(1-EXP(-LN(2)/25))/(LN(2)/25)*Calculateur!DW197*Calculateur!DY197*VLOOKUP('Données projet'!$B$14,Paramètres!$A$1:$I$89,3,0)*0.475*44/12</f>
        <v>0.22701389724181387</v>
      </c>
      <c r="EC197" s="21">
        <f>EXP(-LN(2)/2)*EC196+(1-EXP(-LN(2)/2))/(LN(2)/2)*DW197*DZ197*VLOOKUP('Données projet'!$B$14,Paramètres!$A$1:$I$89,3,0)*0.475*44/12</f>
        <v>0</v>
      </c>
      <c r="ED197" s="22">
        <f t="shared" si="343"/>
        <v>18.369531992575528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projet'!$A$201:$I$221,2,0)</f>
        <v>#N/A</v>
      </c>
      <c r="EH197" s="12" t="e">
        <f>VLOOKUP(A197,'Données projet'!$A$201:$I$221,9,0)</f>
        <v>#N/A</v>
      </c>
      <c r="EI197" s="12">
        <f t="array" ref="EI197">INDEX(EH:EH,MIN(IF(ISNUMBER(EH197:EH393),ROW(EH197:EH393),"")))</f>
        <v>0</v>
      </c>
      <c r="EJ197" s="12">
        <f>IF('Données projet'!$A$202&gt;35,EJ196+EI197-ER196,IF(A197&lt;'Données projet'!$A$202,$EG$205^A197,IF(A197='Données projet'!$A$202,'Données projet'!$B$202,EJ196+EI197-ER196)))</f>
        <v>5.1159076974727213E-13</v>
      </c>
      <c r="EK197" s="17">
        <f>EJ197*VLOOKUP('Données projet'!$B$15,Paramètres!$A$1:$I$89,3,0)*VLOOKUP('Données projet'!$B$15,Paramètres!$A$1:$I$89,5,0)</f>
        <v>2.3942448024172334E-13</v>
      </c>
      <c r="EL197" s="13">
        <f t="shared" si="344"/>
        <v>3.2492669905861755E-12</v>
      </c>
      <c r="EM197" s="20">
        <f t="shared" si="345"/>
        <v>6.0761376450252565E-12</v>
      </c>
      <c r="EN197" s="59">
        <f t="shared" si="363"/>
        <v>293.3333333333394</v>
      </c>
      <c r="EO197" s="59">
        <f ca="1">AVERAGE(OFFSET($EN$3,0,0,'Données projet'!$E$15+1,1))-AVERAGE(OFFSET($H$3,0,0,'Données projet'!$E$15+1,1))</f>
        <v>147.64256291235483</v>
      </c>
      <c r="EP197" s="59">
        <f t="shared" ref="EP197:EP203" si="405">$EP$3</f>
        <v>70.859031694091868</v>
      </c>
      <c r="EQ197" s="15">
        <f>IF(ISNA(VLOOKUP(A197,'Données projet'!$A$201:$I$221,3,0)),0,VLOOKUP(A197,'Données projet'!$A$201:$I$221,3,0))</f>
        <v>0</v>
      </c>
      <c r="ER197" s="15">
        <f>IF(ISNA(VLOOKUP(A197,'Données projet'!$A$201:$I$221,4,0)),0,VLOOKUP(A197,'Données projet'!$A$201:$I$221,4,0))</f>
        <v>0</v>
      </c>
      <c r="ES197" s="16">
        <f>IF(ISNA(VLOOKUP(A197,'Données projet'!$A$201:$I$221,5,0)),0%,VLOOKUP(A197,'Données projet'!$A$201:$I$221,5,0)*VLOOKUP('Données projet'!$B$15,Paramètres!$A$1:$I$89,7,0))</f>
        <v>0</v>
      </c>
      <c r="ET197" s="16">
        <f>IF(ISNA(VLOOKUP(A197,'Données projet'!$A$201:$I$221,6,0)),0%,VLOOKUP(A197,'Données projet'!$A$201:$I$221,6,0)*VLOOKUP('Données projet'!$B$15,Paramètres!$A$1:$I$89,7,0))</f>
        <v>0</v>
      </c>
      <c r="EU197" s="16">
        <f>IF(ISNA(VLOOKUP(A197,'Données projet'!$A$201:$I$221,7,0)),0%,VLOOKUP(A197,'Données projet'!$A$201:$I$221,7,0))</f>
        <v>0</v>
      </c>
      <c r="EV197" s="21">
        <f>EXP(-LN(2)/35)*EV196+(1-EXP(-LN(2)/35))/(LN(2)/35)*ER197*ES197*VLOOKUP('Données projet'!$B$15,Paramètres!$A$1:$I$89,3,0)*0.475*44/12</f>
        <v>24.837393250111546</v>
      </c>
      <c r="EW197" s="21">
        <f>EXP(-LN(2)/25)*EW196+(1-EXP(-LN(2)/25))/(LN(2)/25)*Calculateur!ER197*Calculateur!ET197*VLOOKUP('Données projet'!$B$15,Paramètres!$A$1:$I$89,3,0)*0.475*44/12</f>
        <v>3.1495891115942638</v>
      </c>
      <c r="EX197" s="21">
        <f>EXP(-LN(2)/2)*EX196+(1-EXP(-LN(2)/2))/(LN(2)/2)*ER197*EU197*VLOOKUP('Données projet'!$B$15,Paramètres!$A$1:$I$89,3,0)*0.475*44/12</f>
        <v>2.9500558065115069E-12</v>
      </c>
      <c r="EY197" s="22">
        <f t="shared" si="346"/>
        <v>27.986982361708758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projet'!$A$227:$I$247,2,0)</f>
        <v>#N/A</v>
      </c>
      <c r="FC197" s="12" t="e">
        <f>VLOOKUP(A197,'Données projet'!$A$227:$I$247,9,0)</f>
        <v>#N/A</v>
      </c>
      <c r="FD197" s="12">
        <f t="array" ref="FD197">INDEX(FC:FC,MIN(IF(ISNUMBER(FC197:FC393),ROW(FC197:FC393),"")))</f>
        <v>0</v>
      </c>
      <c r="FE197" s="12">
        <f>IF('Données projet'!$A$228&gt;35,FE196+FD197-FM196,IF(A197&lt;'Données projet'!$A$228,$FB$205^A197,IF(A197='Données projet'!$A$228,'Données projet'!$B$228,FE196+FD197-FM196)))</f>
        <v>8.5265128291212022E-14</v>
      </c>
      <c r="FF197" s="17">
        <f>FE197*VLOOKUP('Données projet'!$B$16,Paramètres!$A$1:$I$89,3,0)*VLOOKUP('Données projet'!$B$16,Paramètres!$A$1:$I$89,5,0)</f>
        <v>8.9119112089974823E-14</v>
      </c>
      <c r="FG197" s="13">
        <f t="shared" si="347"/>
        <v>1.3568952080113142E-12</v>
      </c>
      <c r="FH197" s="20">
        <f t="shared" si="348"/>
        <v>2.5184749408430782E-12</v>
      </c>
      <c r="FI197" s="59">
        <f t="shared" si="364"/>
        <v>293.33333333333582</v>
      </c>
      <c r="FJ197" s="59">
        <f ca="1">AVERAGE(OFFSET($FI$3,0,0,'Données projet'!$E$16+1,1))-AVERAGE(OFFSET($H$3,0,0,'Données projet'!$E$16+1,1))</f>
        <v>259.03906550253788</v>
      </c>
      <c r="FK197" s="59">
        <f t="shared" ref="FK197:FK203" si="406">$FK$3</f>
        <v>235.54542903570831</v>
      </c>
      <c r="FL197" s="15">
        <f>IF(ISNA(VLOOKUP(A197,'Données projet'!$A$227:$I$247,3,0)),0,VLOOKUP(A197,'Données projet'!$A$227:$I$247,3,0))</f>
        <v>0</v>
      </c>
      <c r="FM197" s="15">
        <f>IF(ISNA(VLOOKUP(A197,'Données projet'!$A$227:$I$247,4,0)),0,VLOOKUP(A197,'Données projet'!$A$227:$I$247,4,0))</f>
        <v>0</v>
      </c>
      <c r="FN197" s="16">
        <f>IF(ISNA(VLOOKUP(A197,'Données projet'!$A$227:$I$247,5,0)),0%,VLOOKUP(A197,'Données projet'!$A$227:$I$247,5,0)*VLOOKUP('Données projet'!$B$16,Paramètres!$A$1:$I$89,7,0))</f>
        <v>0</v>
      </c>
      <c r="FO197" s="16">
        <f>IF(ISNA(VLOOKUP(A197,'Données projet'!$A$227:$I$247,6,0)),0%,VLOOKUP(A197,'Données projet'!$A$227:$I$247,6,0)*VLOOKUP('Données projet'!$B$16,Paramètres!$A$1:$I$89,7,0))</f>
        <v>0</v>
      </c>
      <c r="FP197" s="16">
        <f>IF(ISNA(VLOOKUP(A197,'Données projet'!$A$227:$I$247,7,0)),0%,VLOOKUP(A197,'Données projet'!$A$227:$I$247,7,0))</f>
        <v>0</v>
      </c>
      <c r="FQ197" s="21">
        <f>EXP(-LN(2)/35)*FQ196+(1-EXP(-LN(2)/35))/(LN(2)/35)*FM197*FN197*VLOOKUP('Données projet'!$B$16,Paramètres!$A$1:$I$89,3,0)*0.475*44/12</f>
        <v>10.962550377209663</v>
      </c>
      <c r="FR197" s="21">
        <f>EXP(-LN(2)/25)*FR196+(1-EXP(-LN(2)/25))/(LN(2)/25)*Calculateur!FM197*Calculateur!FO197*VLOOKUP('Données projet'!$B$16,Paramètres!$A$1:$I$89,3,0)*0.475*44/12</f>
        <v>4.3328099210688702</v>
      </c>
      <c r="FS197" s="21">
        <f>EXP(-LN(2)/2)*FS196+(1-EXP(-LN(2)/2))/(LN(2)/2)*FM197*FP197*VLOOKUP('Données projet'!$B$16,Paramètres!$A$1:$I$89,3,0)*0.475*44/12</f>
        <v>0</v>
      </c>
      <c r="FT197" s="22">
        <f t="shared" si="349"/>
        <v>15.295360298278533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projet'!$A$253:$I$273,2,0)</f>
        <v>#N/A</v>
      </c>
      <c r="FX197" s="12" t="e">
        <f>VLOOKUP(A197,'Données projet'!$A$253:$I$273,9,0)</f>
        <v>#N/A</v>
      </c>
      <c r="FY197" s="12">
        <f t="array" ref="FY197">INDEX(FX:FX,MIN(IF(ISNUMBER(FX197:FX393),ROW(FX197:FX393),"")))</f>
        <v>0</v>
      </c>
      <c r="FZ197" s="12">
        <f>IF('Données projet'!$A$254&gt;35,FZ196+FY197-GH196,IF(A197&lt;'Données projet'!$A$254,$FW$205^A197,IF(A197='Données projet'!$A$254,'Données projet'!$B$254,FZ196+FY197-GH196)))</f>
        <v>-1.7053025658242404E-13</v>
      </c>
      <c r="GA197" s="17">
        <f>FZ197*VLOOKUP('Données projet'!$B$17,Paramètres!$A$1:$I$89,3,0)*VLOOKUP('Données projet'!$B$17,Paramètres!$A$1:$I$89,5,0)</f>
        <v>-1.4897523215040567E-13</v>
      </c>
      <c r="GB197" s="13" t="e">
        <f t="shared" si="350"/>
        <v>#NUM!</v>
      </c>
      <c r="GC197" s="20" t="e">
        <f t="shared" si="351"/>
        <v>#NUM!</v>
      </c>
      <c r="GD197" s="59" t="e">
        <f t="shared" si="365"/>
        <v>#NUM!</v>
      </c>
      <c r="GE197" s="59">
        <f ca="1">AVERAGE(OFFSET($GD$3,0,0,'Données projet'!$E$17+1,1))-AVERAGE(OFFSET($H$3,0,0,'Données projet'!$E$17+1,1))</f>
        <v>245.1983232777614</v>
      </c>
      <c r="GF197" s="59">
        <f t="shared" ref="GF197:GF203" si="407">$GF$3</f>
        <v>242.34010522344573</v>
      </c>
      <c r="GG197" s="15">
        <f>IF(ISNA(VLOOKUP(A197,'Données projet'!$A$253:$I$273,3,0)),0,VLOOKUP(A197,'Données projet'!$A$253:$I$273,3,0))</f>
        <v>0</v>
      </c>
      <c r="GH197" s="15">
        <f>IF(ISNA(VLOOKUP(A197,'Données projet'!$A$253:$I$273,4,0)),0,VLOOKUP(A197,'Données projet'!$A$253:$I$273,4,0))</f>
        <v>0</v>
      </c>
      <c r="GI197" s="16">
        <f>IF(ISNA(VLOOKUP(A197,'Données projet'!$A$253:$I$273,5,0)),0%,VLOOKUP(A197,'Données projet'!$A$253:$I$273,5,0)*VLOOKUP('Données projet'!$B$17,Paramètres!$A$1:$I$89,7,0))</f>
        <v>0</v>
      </c>
      <c r="GJ197" s="16">
        <f>IF(ISNA(VLOOKUP(A197,'Données projet'!$A$253:$I$273,6,0)),0%,VLOOKUP(A197,'Données projet'!$A$253:$I$273,6,0)*VLOOKUP('Données projet'!$B$17,Paramètres!$A$1:$I$89,7,0))</f>
        <v>0</v>
      </c>
      <c r="GK197" s="16">
        <f>IF(ISNA(VLOOKUP(A197,'Données projet'!$A$253:$I$273,7,0)),0%,VLOOKUP(A197,'Données projet'!$A$253:$I$273,7,0))</f>
        <v>0</v>
      </c>
      <c r="GL197" s="21">
        <f>EXP(-LN(2)/35)*GL196+(1-EXP(-LN(2)/35))/(LN(2)/35)*GH197*GI197*VLOOKUP('Données projet'!$B$17,Paramètres!$A$1:$I$89,3,0)*0.475*44/12</f>
        <v>12.887982055500798</v>
      </c>
      <c r="GM197" s="21">
        <f>EXP(-LN(2)/25)*GM196+(1-EXP(-LN(2)/25))/(LN(2)/25)*Calculateur!GH197*Calculateur!GJ197*VLOOKUP('Données projet'!$B$17,Paramètres!$A$1:$I$89,3,0)*0.475*44/12</f>
        <v>0.92321623985087842</v>
      </c>
      <c r="GN197" s="21">
        <f>EXP(-LN(2)/2)*GN196+(1-EXP(-LN(2)/2))/(LN(2)/2)*GH197*GK197*VLOOKUP('Données projet'!$B$17,Paramètres!$A$1:$I$89,3,0)*0.475*44/12</f>
        <v>0</v>
      </c>
      <c r="GO197" s="21">
        <f t="shared" si="352"/>
        <v>13.811198295351677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projet'!$A$279:$I$299,2,0)</f>
        <v>#N/A</v>
      </c>
      <c r="GS197" s="12" t="e">
        <f>VLOOKUP(A197,'Données projet'!$A$279:$I$299,9,0)</f>
        <v>#N/A</v>
      </c>
      <c r="GT197" s="12">
        <f t="array" ref="GT197">INDEX(GS:GS,MIN(IF(ISNUMBER(GS197:GS393),ROW(GS197:GS393),"")))</f>
        <v>0</v>
      </c>
      <c r="GU197" s="12">
        <f>IF('Données projet'!$A$280&gt;35,GU196+GT197-HC196,IF(A197&lt;'Données projet'!$A$280,$GR$205^A197,IF(A197='Données projet'!$A$280,'Données projet'!$B$280,GU196+GT197-HC196)))</f>
        <v>-1.1368683772161603E-13</v>
      </c>
      <c r="GV197" s="17">
        <f>GU197*VLOOKUP('Données projet'!$B$18,Paramètres!$A$1:$I$89,3,0)*VLOOKUP('Données projet'!$B$18,Paramètres!$A$1:$I$89,5,0)</f>
        <v>-4.5815795601811263E-14</v>
      </c>
      <c r="GW197" s="13" t="e">
        <f t="shared" si="353"/>
        <v>#NUM!</v>
      </c>
      <c r="GX197" s="20" t="e">
        <f t="shared" si="354"/>
        <v>#NUM!</v>
      </c>
      <c r="GY197" s="59" t="e">
        <f t="shared" si="366"/>
        <v>#NUM!</v>
      </c>
      <c r="GZ197" s="59">
        <f ca="1">AVERAGE(OFFSET($GY$3,0,0,'Données projet'!$E$18+1,1))-AVERAGE(OFFSET($H$3,0,0,'Données projet'!$E$18+1,1))</f>
        <v>324.36162935850876</v>
      </c>
      <c r="HA197" s="59">
        <f t="shared" ref="HA197:HA203" si="408">$HA$3</f>
        <v>265.23571072429735</v>
      </c>
      <c r="HB197" s="15">
        <f>IF(ISNA(VLOOKUP(A197,'Données projet'!$A$279:$I$299,3,0)),0,VLOOKUP(A197,'Données projet'!$A$279:$I$299,3,0))</f>
        <v>0</v>
      </c>
      <c r="HC197" s="15">
        <f>IF(ISNA(VLOOKUP(A197,'Données projet'!$A$279:$I$299,4,0)),0,VLOOKUP(A197,'Données projet'!$A$279:$I$299,4,0))</f>
        <v>0</v>
      </c>
      <c r="HD197" s="16">
        <f>IF(ISNA(VLOOKUP(A197,'Données projet'!$A$279:$I$299,5,0)),0%,VLOOKUP(A197,'Données projet'!$A$279:$I$299,5,0)*VLOOKUP('Données projet'!$B$18,Paramètres!$A$1:$I$89,7,0))</f>
        <v>0</v>
      </c>
      <c r="HE197" s="16">
        <f>IF(ISNA(VLOOKUP(A197,'Données projet'!$A$279:$I$299,6,0)),0%,VLOOKUP(A197,'Données projet'!$A$279:$I$299,6,0)*VLOOKUP('Données projet'!$B$18,Paramètres!$A$1:$I$89,7,0))</f>
        <v>0</v>
      </c>
      <c r="HF197" s="16">
        <f>IF(ISNA(VLOOKUP($A197,'Données projet'!$A$279:$I$299,7,0)),0%,VLOOKUP($A197,'Données projet'!$A$279:$I$299,7,0))</f>
        <v>0</v>
      </c>
      <c r="HG197" s="21">
        <f>EXP(-LN(2)/35)*HG196+(1-EXP(-LN(2)/35))/(LN(2)/35)*HC197*HD197*VLOOKUP('Données projet'!$B$18,Paramètres!$A$1:$I$89,3,0)*0.475*44/12</f>
        <v>24.696742779273819</v>
      </c>
      <c r="HH197" s="21">
        <f>EXP(-LN(2)/25)*HH196+(1-EXP(-LN(2)/25))/(LN(2)/25)*Calculateur!HC197*Calculateur!HE197*VLOOKUP('Données projet'!$B$18,Paramètres!$A$1:$I$89,3,0)*0.475*44/12</f>
        <v>1.0267815907605029</v>
      </c>
      <c r="HI197" s="21">
        <f>EXP(-LN(2)/2)*HI196+(1-EXP(-LN(2)/2))/(LN(2)/2)*HC197*HF197*VLOOKUP('Données projet'!$B$18,Paramètres!$A$1:$I$89,3,0)*0.475*44/12</f>
        <v>5.9308181347833054E-17</v>
      </c>
      <c r="HJ197" s="22">
        <f t="shared" si="355"/>
        <v>25.723524370034323</v>
      </c>
      <c r="HK197" s="74">
        <f>('Scénario référence'!$F$8+'Scénario référence'!$F$9+'Scénario référence'!$B$17+'Scénario référence'!$B$9+'Scénario référence'!$B$10)*70+IF((45+25*(1-EXP(-0.0175*$A197)))&lt;70,'Scénario référence'!$B$16*(45+25*(1-EXP(-0.0175*$A197))),70*'Scénario référence'!$B$16)+IF((32+38*(1-EXP(-0.0175*$A197)))&lt;70,'Scénario référence'!$B$18*(32+38*(1-EXP(-0.0175*$A197))),70*'Scénario référence'!$B$18)</f>
        <v>70</v>
      </c>
      <c r="HL197" s="12">
        <f>IF($A197&gt;30,10,('Scénario référence'!$B$16+'Scénario référence'!$B$17+'Scénario référence'!$B$18+'Scénario référence'!$B$9+'Scénario référence'!$B$10)*$A197*10/30+('Scénario référence'!$F$8+'Scénario référence'!$F$9)*10)</f>
        <v>10</v>
      </c>
      <c r="HM197" s="12" t="e">
        <f>VLOOKUP($A197,'Données projet'!$A$304:$I$324,2,0)</f>
        <v>#N/A</v>
      </c>
      <c r="HN197" s="12" t="e">
        <f>VLOOKUP($A197,'Données projet'!$A$304:$I$324,9,0)</f>
        <v>#N/A</v>
      </c>
      <c r="HO197" s="12">
        <f t="array" ref="HO197">INDEX(HN:HN,MIN(IF(ISNUMBER(HN197:HN393),ROW(HN197:HN393),"")))</f>
        <v>0</v>
      </c>
      <c r="HP197" s="12">
        <f>IF('Données projet'!$A$304&gt;35,HP196+HO197-HX196,IF($A197&lt;'Données projet'!$A$304,$CQ$205^$A197,IF($A197='Données projet'!$A$304,'Données projet'!$B$304,HP196+HO197-HX196)))</f>
        <v>0</v>
      </c>
      <c r="HQ197" s="17">
        <f>HP197*VLOOKUP('Données projet'!$B$19,Paramètres!$A$1:$I$89,3,0)*VLOOKUP('Données projet'!$B$19,Paramètres!$A$1:$I$89,5,0)</f>
        <v>0</v>
      </c>
      <c r="HR197" s="13" t="e">
        <f t="shared" ref="HR197:HR203" si="409">EXP(-1.0587+0.8836*LN(HQ197)+0.284)</f>
        <v>#NUM!</v>
      </c>
      <c r="HS197" s="14" t="e">
        <f t="shared" si="367"/>
        <v>#NUM!</v>
      </c>
      <c r="HT197" s="59" t="e">
        <f t="shared" si="368"/>
        <v>#NUM!</v>
      </c>
      <c r="HU197" s="59">
        <f ca="1">AVERAGE(OFFSET(HT$3,0,0,'Données projet'!$E$19+1,1))-AVERAGE(OFFSET($H$3,0,0,'Données projet'!$E$19+1,1))</f>
        <v>91.60721429656013</v>
      </c>
      <c r="HV197" s="59">
        <f t="shared" ref="HV197:HV203" si="410">$HV$3</f>
        <v>258.94957804210856</v>
      </c>
      <c r="HW197" s="15">
        <f>IF(ISNA(VLOOKUP($A197,'Données projet'!$A$304:$I$324,3,0)),0,VLOOKUP($A197,'Données projet'!$A$304:$I$324,3,0))</f>
        <v>0</v>
      </c>
      <c r="HX197" s="15">
        <f>IF(ISNA(VLOOKUP($A197,'Données projet'!$A$304:$I$324,4,0)),0,VLOOKUP($A197,'Données projet'!$A$304:$I$324,4,0))</f>
        <v>0</v>
      </c>
      <c r="HY197" s="16">
        <f>IF(ISNA(VLOOKUP($A197,'Données projet'!$A$304:$I$324,5,0)),0%,VLOOKUP($A197,'Données projet'!$A$304:$I$324,5,0)*VLOOKUP('Données projet'!$B$19,Paramètres!$A$1:$I$89,7,0))</f>
        <v>0</v>
      </c>
      <c r="HZ197" s="16">
        <f>IF(ISNA(VLOOKUP($A197,'Données projet'!$A$304:$I$324,6,0)),0%,VLOOKUP($A197,'Données projet'!$A$304:$I$324,6,0)*VLOOKUP('Données projet'!$B$19,Paramètres!$A$1:$I$89,7,0))</f>
        <v>0</v>
      </c>
      <c r="IA197" s="16">
        <f>IF(ISNA(VLOOKUP($A197,'Données projet'!$A$304:$I$324,7,0)),0%,VLOOKUP($A197,'Données projet'!$A$304:$I$324,7,0))</f>
        <v>0</v>
      </c>
      <c r="IB197" s="21">
        <f>EXP(-LN(2)/35)*IB196+(1-EXP(-LN(2)/35))/(LN(2)/35)*HX197*HY197*VLOOKUP('Données projet'!$B$19,Paramètres!$A$1:$I$89,3,0)*0.475*44/12</f>
        <v>1.9168775701111542</v>
      </c>
      <c r="IC197" s="21">
        <f>EXP(-LN(2)/25)*IC196+(1-EXP(-LN(2)/25))/(LN(2)/25)*Calculateur!HX197*Calculateur!HZ197*VLOOKUP('Données projet'!$B$19,Paramètres!$A$1:$I$89,3,0)*0.475*44/12</f>
        <v>0.10309903207093404</v>
      </c>
      <c r="ID197" s="21">
        <f>EXP(-LN(2)/2)*ID196+(1-EXP(-LN(2)/2))/(LN(2)/2)*HX197*IA197*VLOOKUP('Données projet'!$B$19,Paramètres!$A$1:$I$89,3,0)*0.475*44/12</f>
        <v>1.1846308153270033E-25</v>
      </c>
      <c r="IE197" s="22">
        <f t="shared" si="369"/>
        <v>2.0199766021820884</v>
      </c>
      <c r="IF197" s="74">
        <f>('Scénario référence'!$F$8+'Scénario référence'!$F$9+'Scénario référence'!$B$17+'Scénario référence'!$B$9+'Scénario référence'!$B$10)*70+IF((45+25*(1-EXP(-0.0175*$A197)))&lt;70,'Scénario référence'!$B$16*(45+25*(1-EXP(-0.0175*$A197))),70*'Scénario référence'!$B$16)+IF((32+38*(1-EXP(-0.0175*$A197)))&lt;70,'Scénario référence'!$B$18*(32+38*(1-EXP(-0.0175*$A197))),70*'Scénario référence'!$B$18)</f>
        <v>70</v>
      </c>
      <c r="IG197" s="12">
        <f>IF($A197&gt;30,10,('Scénario référence'!$B$16+'Scénario référence'!$B$17+'Scénario référence'!$B$18+'Scénario référence'!$B$9+'Scénario référence'!$B$10)*$A197*10/30+('Scénario référence'!$F$8+'Scénario référence'!$F$9)*10)</f>
        <v>10</v>
      </c>
      <c r="IH197" s="12" t="e">
        <f>VLOOKUP($A197,'Données projet'!$A$330:$I$350,2,0)</f>
        <v>#N/A</v>
      </c>
      <c r="II197" s="12" t="e">
        <f>VLOOKUP($A197,'Données projet'!$A$330:$I$350,9,0)</f>
        <v>#N/A</v>
      </c>
      <c r="IJ197" s="12">
        <f t="array" ref="IJ197">INDEX(II:II,MIN(IF(ISNUMBER(II197:II393),ROW(II197:II393),"")))</f>
        <v>0</v>
      </c>
      <c r="IK197" s="12">
        <f>IF('Données projet'!$A$330&gt;35,IK196+IJ197-IS196,IF($A197&lt;'Données projet'!$A$330,$CQ$205^$A197,IF($A197='Données projet'!$A$330,'Données projet'!$B$330,IK196+IJ197-IS196)))</f>
        <v>0</v>
      </c>
      <c r="IL197" s="17">
        <f>IK197*VLOOKUP('Données projet'!$B$20,Paramètres!$A$1:$I$89,3,0)*VLOOKUP('Données projet'!$B$20,Paramètres!$A$1:$I$89,5,0)</f>
        <v>0</v>
      </c>
      <c r="IM197" s="13" t="e">
        <f t="shared" ref="IM197:IM203" si="411">EXP(-1.0587+0.8836*LN(IL197)+0.284)</f>
        <v>#NUM!</v>
      </c>
      <c r="IN197" s="20" t="e">
        <f t="shared" si="370"/>
        <v>#NUM!</v>
      </c>
      <c r="IO197" s="59" t="e">
        <f t="shared" si="371"/>
        <v>#NUM!</v>
      </c>
      <c r="IP197" s="59">
        <f ca="1">AVERAGE(OFFSET(IO$3,0,0,'Données projet'!$E$20+1,1))-AVERAGE(OFFSET($H$3,0,0,'Données projet'!$E$20+1,1))</f>
        <v>91.60721429656013</v>
      </c>
      <c r="IQ197" s="59">
        <f t="shared" ref="IQ197:IQ203" si="412">HV$3</f>
        <v>258.94957804210856</v>
      </c>
      <c r="IR197" s="15">
        <f>IF(ISNA(VLOOKUP($A197,'Données projet'!$A$330:$I$350,3,0)),0,VLOOKUP($A197,'Données projet'!$A$330:$I$350,3,0))</f>
        <v>0</v>
      </c>
      <c r="IS197" s="15">
        <f>IF(ISNA(VLOOKUP($A197,'Données projet'!$A$330:$I$350,4,0)),0,VLOOKUP($A197,'Données projet'!$A$330:$I$350,4,0))</f>
        <v>0</v>
      </c>
      <c r="IT197" s="16">
        <f>IF(ISNA(VLOOKUP($A197,'Données projet'!$A$330:$I$350,5,0)),0%,VLOOKUP($A197,'Données projet'!$A$330:$I$350,5,0)*VLOOKUP('Données projet'!$B$20,Paramètres!$A$1:$I$89,7,0))</f>
        <v>0</v>
      </c>
      <c r="IU197" s="16">
        <f>IF(ISNA(VLOOKUP($A197,'Données projet'!$A$330:$I$350,6,0)),0%,VLOOKUP($A197,'Données projet'!$A$330:$I$350,6,0)*VLOOKUP('Données projet'!$B$20,Paramètres!$A$1:$I$89,7,0))</f>
        <v>0</v>
      </c>
      <c r="IV197" s="16">
        <f>IF(ISNA(VLOOKUP($A197,'Données projet'!$A$330:$I$350,7,0)),0%,VLOOKUP($A197,'Données projet'!$A$330:$I$350,7,0))</f>
        <v>0</v>
      </c>
      <c r="IW197" s="21">
        <f>EXP(-LN(2)/35)*IW196+(1-EXP(-LN(2)/35))/(LN(2)/35)*IS197*IT197*VLOOKUP('Données projet'!$B$20,Paramètres!$A$1:$I$89,3,0)*0.475*44/12</f>
        <v>1.9168775701111542</v>
      </c>
      <c r="IX197" s="21">
        <f>EXP(-LN(2)/25)*IX196+(1-EXP(-LN(2)/25))/(LN(2)/25)*Calculateur!IS197*Calculateur!IU197*VLOOKUP('Données projet'!$B$20,Paramètres!$A$1:$I$89,3,0)*0.475*44/12</f>
        <v>0.10309903207093404</v>
      </c>
      <c r="IY197" s="21">
        <f>EXP(-LN(2)/2)*IY196+(1-EXP(-LN(2)/2))/(LN(2)/2)*IS197*IV197*VLOOKUP('Données projet'!$B$20,Paramètres!$A$1:$I$89,3,0)*0.475*44/12</f>
        <v>1.1846308153270033E-25</v>
      </c>
      <c r="IZ197" s="22">
        <f t="shared" si="372"/>
        <v>2.0199766021820884</v>
      </c>
      <c r="JA197" s="74">
        <f>('Scénario référence'!$F$8+'Scénario référence'!$F$9+'Scénario référence'!$B$17+'Scénario référence'!$B$9+'Scénario référence'!$B$10)*70+IF((45+25*(1-EXP(-0.0175*$A197)))&lt;70,'Scénario référence'!$B$16*(45+25*(1-EXP(-0.0175*$A197))),70*'Scénario référence'!$B$16)+IF((32+38*(1-EXP(-0.0175*$A197)))&lt;70,'Scénario référence'!$B$18*(32+38*(1-EXP(-0.0175*$A197))),70*'Scénario référence'!$B$18)</f>
        <v>70</v>
      </c>
      <c r="JB197" s="12">
        <f>IF($A197&gt;30,10,('Scénario référence'!$B$16+'Scénario référence'!$B$17+'Scénario référence'!$B$18+'Scénario référence'!$B$9+'Scénario référence'!$B$10)*$A197*10/30+('Scénario référence'!$F$8+'Scénario référence'!$F$9)*10)</f>
        <v>10</v>
      </c>
      <c r="JC197" s="12" t="e">
        <f>VLOOKUP($A197,'Données projet'!$A$356:$I$376,2,0)</f>
        <v>#N/A</v>
      </c>
      <c r="JD197" s="12" t="e">
        <f>VLOOKUP($A197,'Données projet'!$A$356:$I$376,9,0)</f>
        <v>#N/A</v>
      </c>
      <c r="JE197" s="12">
        <f t="array" ref="JE197">INDEX(JD:JD,MIN(IF(ISNUMBER(JD197:JD393),ROW(JD197:JD393),"")))</f>
        <v>0</v>
      </c>
      <c r="JF197" s="12">
        <f>IF('Données projet'!$A$356&gt;35,JF196+JE197-JN196,IF($A197&lt;'Données projet'!$A$356,$CQ$205^$A197,IF($A197='Données projet'!$A$356,'Données projet'!$B$356,JF196+JE197-JN196)))</f>
        <v>-1.3073986337985843E-12</v>
      </c>
      <c r="JG197" s="17">
        <f>JF197*VLOOKUP('Données projet'!$B$21,Paramètres!$A$1:$I$89,3,0)*VLOOKUP('Données projet'!$B$21,Paramètres!$A$1:$I$89,5,0)</f>
        <v>-1.0605617717374117E-12</v>
      </c>
      <c r="JH197" s="13" t="e">
        <f t="shared" ref="JH197:JH203" si="413">EXP(-1.0587+0.8836*LN(JG197)+0.284)</f>
        <v>#NUM!</v>
      </c>
      <c r="JI197" s="20" t="e">
        <f t="shared" si="373"/>
        <v>#NUM!</v>
      </c>
      <c r="JJ197" s="59" t="e">
        <f t="shared" si="374"/>
        <v>#NUM!</v>
      </c>
      <c r="JK197" s="59">
        <f ca="1">AVERAGE(OFFSET($JJ$3,0,0,'Données projet'!$E$22+1,1))-AVERAGE(OFFSET($H$3,0,0,'Données projet'!$E$22+1,1))</f>
        <v>353.35574633294613</v>
      </c>
      <c r="JL197" s="59">
        <f t="shared" ref="JL197:JL203" si="414">JL$3</f>
        <v>170.36796666474726</v>
      </c>
      <c r="JM197" s="15">
        <f>IF(ISNA(VLOOKUP($A197,'Données projet'!$A$356:$I$376,3,0)),0,VLOOKUP($A197,'Données projet'!$A$356:$I$376,3,0))</f>
        <v>0</v>
      </c>
      <c r="JN197" s="15">
        <f>IF(ISNA(VLOOKUP($A197,'Données projet'!$A$356:$I$376,4,0)),0,VLOOKUP($A197,'Données projet'!$A$356:$I$376,4,0))</f>
        <v>0</v>
      </c>
      <c r="JO197" s="16">
        <f>IF(ISNA(VLOOKUP($A197,'Données projet'!$A$356:$I$376,5,0)),0%,VLOOKUP($A197,'Données projet'!$A$356:$I$376,5,0)*VLOOKUP('Données projet'!$B$21,Paramètres!$A$1:$I$89,7,0))</f>
        <v>0</v>
      </c>
      <c r="JP197" s="16">
        <f>IF(ISNA(VLOOKUP($A197,'Données projet'!$A$356:$I$376,6,0)),0%,VLOOKUP($A197,'Données projet'!$A$356:$I$376,6,0)*VLOOKUP('Données projet'!$B$21,Paramètres!$A$1:$I$89,7,0))</f>
        <v>0</v>
      </c>
      <c r="JQ197" s="16">
        <f>IF(ISNA(VLOOKUP($A197,'Données projet'!$A$356:$I$376,7,0)),0%,VLOOKUP($A197,'Données projet'!$A$356:$I$376,7,0))</f>
        <v>0</v>
      </c>
      <c r="JR197" s="21">
        <f>EXP(-LN(2)/35)*JR196+(1-EXP(-LN(2)/35))/(LN(2)/35)*JN197*JO197*VLOOKUP('Données projet'!$B$21,Paramètres!$A$1:$I$89,3,0)*0.475*44/12</f>
        <v>30.730405753149714</v>
      </c>
      <c r="JS197" s="21">
        <f>EXP(-LN(2)/25)*JS196+(1-EXP(-LN(2)/25))/(LN(2)/25)*Calculateur!JN197*Calculateur!JP197*VLOOKUP('Données projet'!$B$21,Paramètres!$A$1:$I$89,3,0)*0.475*44/12</f>
        <v>22.564908861870613</v>
      </c>
      <c r="JT197" s="21">
        <f>EXP(-LN(2)/2)*JT196+(1-EXP(-LN(2)/2))/(LN(2)/2)*JN197*JQ197*VLOOKUP('Données projet'!$B$21,Paramètres!$A$1:$I$89,3,0)*0.475*44/12</f>
        <v>8.1755940703301811E-6</v>
      </c>
      <c r="JU197" s="18">
        <f t="shared" si="375"/>
        <v>53.295322790614399</v>
      </c>
      <c r="JV197" s="74">
        <f>('Scénario référence'!$F$8+'Scénario référence'!$F$9+'Scénario référence'!$B$17+'Scénario référence'!$B$9+'Scénario référence'!$B$10)*70+IF((45+25*(1-EXP(-0.0175*$A197)))&lt;70,'Scénario référence'!$B$16*(45+25*(1-EXP(-0.0175*$A197))),70*'Scénario référence'!$B$16)+IF((32+38*(1-EXP(-0.0175*$A197)))&lt;70,'Scénario référence'!$B$18*(32+38*(1-EXP(-0.0175*$A197))),70*'Scénario référence'!$B$18)</f>
        <v>70</v>
      </c>
      <c r="JW197" s="12">
        <f>IF($A197&gt;30,10,('Scénario référence'!$B$16+'Scénario référence'!$B$17+'Scénario référence'!$B$18+'Scénario référence'!$B$9+'Scénario référence'!$B$10)*$A197*10/30+('Scénario référence'!$F$8+'Scénario référence'!$F$9)*10)</f>
        <v>10</v>
      </c>
      <c r="JX197" s="12" t="e">
        <f>VLOOKUP($A197,'Données projet'!$A$382:$I$402,2,0)</f>
        <v>#N/A</v>
      </c>
      <c r="JY197" s="12" t="e">
        <f>VLOOKUP($A197,'Données projet'!$A$382:$I$402,9,0)</f>
        <v>#N/A</v>
      </c>
      <c r="JZ197" s="12">
        <f t="array" ref="JZ197">INDEX(JY:JY,MIN(IF(ISNUMBER(JY197:JY393),ROW(JY197:JY393),"")))</f>
        <v>0</v>
      </c>
      <c r="KA197" s="12">
        <f>IF('Données projet'!$A$382&gt;35,KA196+JZ197-KI196,IF($A197&lt;'Données projet'!$A$382,$CQ$205^$A197,IF($A197='Données projet'!$A$382,'Données projet'!$B$382,KA196+JZ197-KI196)))</f>
        <v>5.6843418860808015E-13</v>
      </c>
      <c r="KB197" s="17">
        <f>KA197*VLOOKUP('Données projet'!$B$22,Paramètres!$A$1:$I$89,3,0)*VLOOKUP('Données projet'!$B$22,Paramètres!$A$1:$I$89,5,0)</f>
        <v>3.8130565371830017E-13</v>
      </c>
      <c r="KC197" s="13">
        <f t="shared" ref="KC197:KC203" si="415">EXP(-1.0587+0.8836*LN(KB197)+0.284)</f>
        <v>4.9019074112354236E-12</v>
      </c>
      <c r="KD197" s="20">
        <f t="shared" si="376"/>
        <v>9.2015960881277352E-12</v>
      </c>
      <c r="KE197" s="59">
        <f t="shared" si="377"/>
        <v>293.33333333334252</v>
      </c>
      <c r="KF197" s="59">
        <f ca="1">AVERAGE(OFFSET($KE$3,0,0,'Données projet'!$E$22+1,1))-AVERAGE(OFFSET($H$3,0,0,'Données projet'!$E$22+1,1))</f>
        <v>193.91714772848269</v>
      </c>
      <c r="KG197" s="59">
        <f t="shared" ref="KG197:KG203" si="416">$CZ$3</f>
        <v>159.20429420478047</v>
      </c>
      <c r="KH197" s="15">
        <f>IF(ISNA(VLOOKUP($A197,'Données projet'!$A$382:$I$402,3,0)),0,VLOOKUP($A197,'Données projet'!$A$382:$I$402,3,0))</f>
        <v>0</v>
      </c>
      <c r="KI197" s="15">
        <f>IF(ISNA(VLOOKUP($A197,'Données projet'!$A$382:$I$402,4,0)),0,VLOOKUP($A197,'Données projet'!$A$382:$I$402,4,0))</f>
        <v>0</v>
      </c>
      <c r="KJ197" s="16">
        <f>IF(ISNA(VLOOKUP($A197,'Données projet'!$A$382:$I$402,5,0)),0%,VLOOKUP($A197,'Données projet'!$A$382:$I$402,5,0)*VLOOKUP('Données projet'!$B$22,Paramètres!$A$1:$I$89,7,0))</f>
        <v>0</v>
      </c>
      <c r="KK197" s="16">
        <f>IF(ISNA(VLOOKUP($A197,'Données projet'!$A$382:$I$402,6,0)),0%,VLOOKUP($A197,'Données projet'!$A$382:$I$402,6,0)*VLOOKUP('Données projet'!$B$22,Paramètres!$A$1:$I$89,7,0))</f>
        <v>0</v>
      </c>
      <c r="KL197" s="16">
        <f>IF(ISNA(VLOOKUP($A197,'Données projet'!$A$382:$I$402,7,0)),0%,VLOOKUP($A197,'Données projet'!$A$382:$I$402,7,0))</f>
        <v>0</v>
      </c>
      <c r="KM197" s="21">
        <f>EXP(-LN(2)/35)*KM196+(1-EXP(-LN(2)/35))/(LN(2)/35)*KI197*KJ197*VLOOKUP('Données projet'!$B$22,Paramètres!$A$1:$I$89,3,0)*0.475*44/12</f>
        <v>44.869784089522405</v>
      </c>
      <c r="KN197" s="21">
        <f>EXP(-LN(2)/25)*KN196+(1-EXP(-LN(2)/25))/(LN(2)/25)*Calculateur!KI197*Calculateur!KK197*VLOOKUP('Données projet'!$B$22,Paramètres!$A$1:$I$89,3,0)*0.475*44/12</f>
        <v>0</v>
      </c>
      <c r="KO197" s="21">
        <f>EXP(-LN(2)/2)*KO196+(1-EXP(-LN(2)/2))/(LN(2)/2)*KI197*KL197*VLOOKUP('Données projet'!$B$22,Paramètres!$A$1:$I$89,3,0)*0.475*44/12</f>
        <v>0</v>
      </c>
      <c r="KP197" s="22">
        <f t="shared" si="378"/>
        <v>44.869784089522405</v>
      </c>
      <c r="KQ197" s="74">
        <f>('Scénario référence'!$F$8+'Scénario référence'!$F$9+'Scénario référence'!$B$17+'Scénario référence'!$B$9+'Scénario référence'!$B$10)*70+IF((45+25*(1-EXP(-0.0175*$A197)))&lt;70,'Scénario référence'!$B$16*(45+25*(1-EXP(-0.0175*$A197))),70*'Scénario référence'!$B$16)+IF((32+38*(1-EXP(-0.0175*$A197)))&lt;70,'Scénario référence'!$B$18*(32+38*(1-EXP(-0.0175*$A197))),70*'Scénario référence'!$B$18)</f>
        <v>70</v>
      </c>
      <c r="KR197" s="12">
        <f>IF($A197&gt;30,10,('Scénario référence'!$B$16+'Scénario référence'!$B$17+'Scénario référence'!$B$18+'Scénario référence'!$B$9+'Scénario référence'!$B$10)*$A197*10/30+('Scénario référence'!$F$8+'Scénario référence'!$F$9)*10)</f>
        <v>10</v>
      </c>
      <c r="KS197" s="12" t="e">
        <f>VLOOKUP($A197,'Données projet'!$A$408:$I$428,2,0)</f>
        <v>#N/A</v>
      </c>
      <c r="KT197" s="12" t="e">
        <f>VLOOKUP($A197,'Données projet'!$A$408:$I$428,9,0)</f>
        <v>#N/A</v>
      </c>
      <c r="KU197" s="12">
        <f t="array" ref="KU197">INDEX(KT:KT,MIN(IF(ISNUMBER(KT197:KT393),ROW(KT197:KT393),"")))</f>
        <v>0</v>
      </c>
      <c r="KV197" s="12">
        <f>IF('Données projet'!$A$408&gt;35,KV196+KU197-LD196,IF($A197&lt;'Données projet'!$A$408,$CQ$205^$A197,IF($A197='Données projet'!$A$408,'Données projet'!$B$408,KV196+KU197-LD196)))</f>
        <v>-1.1368683772161603E-13</v>
      </c>
      <c r="KW197" s="17">
        <f>KV197*VLOOKUP('Données projet'!$B$23,Paramètres!$A$1:$I$89,3,0)*VLOOKUP('Données projet'!$B$23,Paramètres!$A$1:$I$89,5,0)</f>
        <v>-9.9316821433603781E-14</v>
      </c>
      <c r="KX197" s="13" t="e">
        <f t="shared" ref="KX197:KX203" si="417">EXP(-1.0587+0.8836*LN(KW197)+0.284)</f>
        <v>#NUM!</v>
      </c>
      <c r="KY197" s="14" t="e">
        <f t="shared" si="379"/>
        <v>#NUM!</v>
      </c>
      <c r="KZ197" s="59" t="e">
        <f t="shared" si="380"/>
        <v>#NUM!</v>
      </c>
      <c r="LA197" s="59">
        <f ca="1">AVERAGE(OFFSET($KZ$3,0,0,'Données projet'!$E$23+1,1))-AVERAGE(OFFSET($H$3,0,0,'Données projet'!$E$23+1,1))</f>
        <v>248.33596943633819</v>
      </c>
      <c r="LB197" s="59">
        <f t="shared" ref="LB197:LB203" si="418">LB$3</f>
        <v>242.34010522344573</v>
      </c>
      <c r="LC197" s="15">
        <f>IF(ISNA(VLOOKUP($A197,'Données projet'!$A$408:$I$428,3,0)),0,VLOOKUP($A197,'Données projet'!$A$408:$I$428,3,0))</f>
        <v>0</v>
      </c>
      <c r="LD197" s="15">
        <f>IF(ISNA(VLOOKUP($A197,'Données projet'!$A$408:$I$428,4,0)),0,VLOOKUP($A197,'Données projet'!$A$408:$I$428,4,0))</f>
        <v>0</v>
      </c>
      <c r="LE197" s="16">
        <f>IF(ISNA(VLOOKUP($A197,'Données projet'!$A$408:$I$428,5,0)),0%,VLOOKUP($A197,'Données projet'!$A$408:$I$428,5,0)*VLOOKUP('Données projet'!$B$23,Paramètres!$A$1:$I$89,7,0))</f>
        <v>0</v>
      </c>
      <c r="LF197" s="16">
        <f>IF(ISNA(VLOOKUP($A197,'Données projet'!$A$408:$I$428,6,0)),0%,VLOOKUP($A197,'Données projet'!$A$408:$I$428,6,0)*VLOOKUP('Données projet'!$B$23,Paramètres!$A$1:$I$89,7,0))</f>
        <v>0</v>
      </c>
      <c r="LG197" s="16">
        <f>IF(ISNA(VLOOKUP($A197,'Données projet'!$A$408:$I$428,7,0)),0%,VLOOKUP($A197,'Données projet'!$A$408:$I$428,7,0))</f>
        <v>0</v>
      </c>
      <c r="LH197" s="21">
        <f>EXP(-LN(2)/35)*LH196+(1-EXP(-LN(2)/35))/(LN(2)/35)*LD197*LE197*VLOOKUP('Données projet'!$B$23,Paramètres!$A$1:$I$89,3,0)*0.475*44/12</f>
        <v>12.887982055500798</v>
      </c>
      <c r="LI197" s="21">
        <f>EXP(-LN(2)/25)*LI196+(1-EXP(-LN(2)/25))/(LN(2)/25)*Calculateur!LD197*Calculateur!LF197*VLOOKUP('Données projet'!$B$23,Paramètres!$A$1:$I$89,3,0)*0.475*44/12</f>
        <v>0.92321623985087842</v>
      </c>
      <c r="LJ197" s="21">
        <f>EXP(-LN(2)/2)*LJ196+(1-EXP(-LN(2)/2))/(LN(2)/2)*LD197*LG197*VLOOKUP('Données projet'!$B$23,Paramètres!$A$1:$I$89,3,0)*0.475*44/12</f>
        <v>0</v>
      </c>
      <c r="LK197" s="22">
        <f t="shared" si="381"/>
        <v>13.811198295351677</v>
      </c>
      <c r="LL197" s="74">
        <f>('Scénario référence'!$F$8+'Scénario référence'!$F$9+'Scénario référence'!$B$17+'Scénario référence'!$B$9+'Scénario référence'!$B$10)*70+IF((45+25*(1-EXP(-0.0175*$A197)))&lt;70,'Scénario référence'!$B$16*(45+25*(1-EXP(-0.0175*$A197))),70*'Scénario référence'!$B$16)+IF((32+38*(1-EXP(-0.0175*$A197)))&lt;70,'Scénario référence'!$B$18*(32+38*(1-EXP(-0.0175*$A197))),70*'Scénario référence'!$B$18)</f>
        <v>70</v>
      </c>
      <c r="LM197" s="12">
        <f>IF($A197&gt;30,10,('Scénario référence'!$B$16+'Scénario référence'!$B$17+'Scénario référence'!$B$18+'Scénario référence'!$B$9+'Scénario référence'!$B$10)*$A197*10/30+('Scénario référence'!$F$8+'Scénario référence'!$F$9)*10)</f>
        <v>10</v>
      </c>
      <c r="LN197" s="12" t="e">
        <f>VLOOKUP($A197,'Données projet'!$A$434:$I$454,2,0)</f>
        <v>#N/A</v>
      </c>
      <c r="LO197" s="12" t="e">
        <f>VLOOKUP($A197,'Données projet'!$A$434:$I$454,9,0)</f>
        <v>#N/A</v>
      </c>
      <c r="LP197" s="12">
        <f t="array" ref="LP197">INDEX(LO:LO,MIN(IF(ISNUMBER(LO197:LO393),ROW(LO197:LO393),"")))</f>
        <v>0</v>
      </c>
      <c r="LQ197" s="12">
        <f>IF('Données projet'!$A$434&gt;35,LQ196+LP197-LY196,IF($A197&lt;'Données projet'!$A$434,$CQ$205^$A197,IF($A197='Données projet'!$A$434,'Données projet'!$B$434,LQ196+LP197-LY196)))</f>
        <v>-4.5474735088646412E-13</v>
      </c>
      <c r="LR197" s="17">
        <f>LQ197*VLOOKUP('Données projet'!$B$24,Paramètres!$A$1:$I$89,3,0)*VLOOKUP('Données projet'!$B$24,Paramètres!$A$1:$I$89,5,0)</f>
        <v>-4.6111381379887462E-13</v>
      </c>
      <c r="LS197" s="13" t="e">
        <f t="shared" ref="LS197:LS203" si="419">EXP(-1.0587+0.8836*LN(LR197)+0.284)</f>
        <v>#NUM!</v>
      </c>
      <c r="LT197" s="14" t="e">
        <f t="shared" si="382"/>
        <v>#NUM!</v>
      </c>
      <c r="LU197" s="59" t="e">
        <f t="shared" si="383"/>
        <v>#NUM!</v>
      </c>
      <c r="LV197" s="59">
        <f ca="1">AVERAGE(OFFSET($LU$3,0,0,'Données projet'!$E$24+1,1))-AVERAGE(OFFSET($H$3,0,0,'Données projet'!$E$24+1,1))</f>
        <v>260.52627655062872</v>
      </c>
      <c r="LW197" s="59">
        <f t="shared" ref="LW197:LW203" si="420">LW$3</f>
        <v>159.20429420478047</v>
      </c>
      <c r="LX197" s="15">
        <f>IF(ISNA(VLOOKUP($A197,'Données projet'!$A$434:$I$454,3,0)),0,VLOOKUP($A197,'Données projet'!$A$434:$I$454,3,0))</f>
        <v>0</v>
      </c>
      <c r="LY197" s="15">
        <f>IF(ISNA(VLOOKUP($A197,'Données projet'!$A$434:$I$454,4,0)),0,VLOOKUP($A197,'Données projet'!$A$434:$I$454,4,0))</f>
        <v>0</v>
      </c>
      <c r="LZ197" s="16">
        <f>IF(ISNA(VLOOKUP($A197,'Données projet'!$A$434:$I$454,5,0)),0%,VLOOKUP($A197,'Données projet'!$A$434:$I$454,5,0)*VLOOKUP('Données projet'!$B$24,Paramètres!$A$1:$I$89,7,0))</f>
        <v>0</v>
      </c>
      <c r="MA197" s="16">
        <f>IF(ISNA(VLOOKUP($A197,'Données projet'!$A$434:$I$454,6,0)),0%,VLOOKUP($A197,'Données projet'!$A$434:$I$454,6,0)*VLOOKUP('Données projet'!$B$24,Paramètres!$A$1:$I$89,7,0))</f>
        <v>0</v>
      </c>
      <c r="MB197" s="16">
        <f>IF(ISNA(VLOOKUP($A197,'Données projet'!$A$434:$I$454,7,0)),0%,VLOOKUP($A197,'Données projet'!$A$434:$I$454,7,0))</f>
        <v>0</v>
      </c>
      <c r="MC197" s="21">
        <f>EXP(-LN(2)/35)*MC196+(1-EXP(-LN(2)/35))/(LN(2)/35)*LY197*LZ197*VLOOKUP('Données projet'!$B$24,Paramètres!$A$1:$I$89,3,0)*0.475*44/12</f>
        <v>82.865347108328976</v>
      </c>
      <c r="MD197" s="21">
        <f>EXP(-LN(2)/25)*MD196+(1-EXP(-LN(2)/25))/(LN(2)/25)*Calculateur!LY197*Calculateur!MA197*VLOOKUP('Données projet'!$B$24,Paramètres!$A$1:$I$89,3,0)*0.475*44/12</f>
        <v>0</v>
      </c>
      <c r="ME197" s="21">
        <f>EXP(-LN(2)/2)*ME196+(1-EXP(-LN(2)/2))/(LN(2)/2)*LY197*MB197*VLOOKUP('Données projet'!$B$24,Paramètres!$A$1:$I$89,3,0)*0.475*44/12</f>
        <v>0</v>
      </c>
      <c r="MF197" s="22">
        <f t="shared" si="384"/>
        <v>82.865347108328976</v>
      </c>
      <c r="MG197" s="74">
        <f>('Scénario référence'!$F$8+'Scénario référence'!$F$9+'Scénario référence'!$B$17+'Scénario référence'!$B$9+'Scénario référence'!$B$10)*70+IF((45+25*(1-EXP(-0.0175*$A197)))&lt;70,'Scénario référence'!$B$16*(45+25*(1-EXP(-0.0175*$A197))),70*'Scénario référence'!$B$16)+IF((32+38*(1-EXP(-0.0175*$A197)))&lt;70,'Scénario référence'!$B$18*(32+38*(1-EXP(-0.0175*$A197))),70*'Scénario référence'!$B$18)</f>
        <v>70</v>
      </c>
      <c r="MH197" s="12">
        <f>IF($A197&gt;30,10,('Scénario référence'!$B$16+'Scénario référence'!$B$17+'Scénario référence'!$B$18+'Scénario référence'!$B$9+'Scénario référence'!$B$10)*$A197*10/30+('Scénario référence'!$F$8+'Scénario référence'!$F$9)*10)</f>
        <v>10</v>
      </c>
      <c r="MI197" s="12" t="e">
        <f>VLOOKUP($A197,'Données projet'!$A$460:$I$480,2,0)</f>
        <v>#N/A</v>
      </c>
      <c r="MJ197" s="12" t="e">
        <f>VLOOKUP($A197,'Données projet'!$A$460:$I$480,9,0)</f>
        <v>#N/A</v>
      </c>
      <c r="MK197" s="12">
        <f t="array" ref="MK197">INDEX(MJ:MJ,MIN(IF(ISNUMBER(MJ197:MJ393),ROW(MJ197:MJ393),"")))</f>
        <v>0</v>
      </c>
      <c r="ML197" s="12">
        <f>IF('Données projet'!$A$460&gt;35,ML196+MK197-MT196,IF($A197&lt;'Données projet'!$A$460,$CQ$205^$A197,IF($A197='Données projet'!$A$460,'Données projet'!$B$460,ML196+MK197-MT196)))</f>
        <v>0</v>
      </c>
      <c r="MM197" s="17" t="e">
        <f>ML197*VLOOKUP('Données projet'!$B$25,Paramètres!$A$1:$I$89,3,0)*VLOOKUP('Données projet'!$B$25,Paramètres!$A$1:$I$89,5,0)</f>
        <v>#N/A</v>
      </c>
      <c r="MN197" s="13" t="e">
        <f t="shared" ref="MN197:MN203" si="421">EXP(-1.0587+0.8836*LN(MM197)+0.284)</f>
        <v>#N/A</v>
      </c>
      <c r="MO197" s="14" t="e">
        <f t="shared" si="385"/>
        <v>#N/A</v>
      </c>
      <c r="MP197" s="59" t="e">
        <f t="shared" si="386"/>
        <v>#N/A</v>
      </c>
      <c r="MQ197" s="20" t="e">
        <f ca="1">AVERAGE(OFFSET($MP$3,0,0,'Données projet'!$E$25+1,1))-AVERAGE(OFFSET($H$3,0,0,'Données projet'!$E$25+1,1))</f>
        <v>#N/A</v>
      </c>
      <c r="MR197" s="59" t="e">
        <f t="shared" ref="MR197:MR203" si="422">MR$3</f>
        <v>#N/A</v>
      </c>
      <c r="MS197" s="15">
        <f>IF(ISNA(VLOOKUP($A197,'Données projet'!$A$460:$I$480,3,0)),0,VLOOKUP($A197,'Données projet'!$A$460:$I$480,3,0))</f>
        <v>0</v>
      </c>
      <c r="MT197" s="15">
        <f>IF(ISNA(VLOOKUP($A197,'Données projet'!$A$460:$I$480,4,0)),0,VLOOKUP($A197,'Données projet'!$A$460:$I$480,4,0))</f>
        <v>0</v>
      </c>
      <c r="MU197" s="16">
        <f>IF(ISNA(VLOOKUP($A197,'Données projet'!$A$460:$I$480,5,0)),0%,VLOOKUP($A197,'Données projet'!$A$460:$I$480,5,0)*VLOOKUP('Données projet'!$B$25,Paramètres!$A$1:$I$89,7,0))</f>
        <v>0</v>
      </c>
      <c r="MV197" s="16">
        <f>IF(ISNA(VLOOKUP($A197,'Données projet'!$A$460:$I$480,6,0)),0%,VLOOKUP($A197,'Données projet'!$A$460:$I$480,6,0)*VLOOKUP('Données projet'!$B$25,Paramètres!$A$1:$I$89,7,0))</f>
        <v>0</v>
      </c>
      <c r="MW197" s="16">
        <f>IF(ISNA(VLOOKUP($A197,'Données projet'!$A$460:$I$480,7,0)),0%,VLOOKUP($A197,'Données projet'!$A$460:$I$480,7,0))</f>
        <v>0</v>
      </c>
      <c r="MX197" s="21" t="e">
        <f>EXP(-LN(2)/35)*MX196+(1-EXP(-LN(2)/35))/(LN(2)/35)*MT197*MU197*VLOOKUP('Données projet'!$B$25,Paramètres!$A$1:$I$89,3,0)*0.475*44/12</f>
        <v>#N/A</v>
      </c>
      <c r="MY197" s="21" t="e">
        <f>EXP(-LN(2)/25)*MY196+(1-EXP(-LN(2)/25))/(LN(2)/25)*Calculateur!MT197*Calculateur!MV197*VLOOKUP('Données projet'!$B$25,Paramètres!$A$1:$I$89,3,0)*0.475*44/12</f>
        <v>#N/A</v>
      </c>
      <c r="MZ197" s="21" t="e">
        <f>EXP(-LN(2)/2)*MZ196+(1-EXP(-LN(2)/2))/(LN(2)/2)*MT197*MW197*VLOOKUP('Données projet'!$B$25,Paramètres!$A$1:$I$89,3,0)*0.475*44/12</f>
        <v>#N/A</v>
      </c>
      <c r="NA197" s="22" t="e">
        <f t="shared" si="387"/>
        <v>#N/A</v>
      </c>
      <c r="NB197" s="74">
        <f>('Scénario référence'!$F$8+'Scénario référence'!$F$9+'Scénario référence'!$B$17+'Scénario référence'!$B$9+'Scénario référence'!$B$10)*70+IF((45+25*(1-EXP(-0.0175*$A197)))&lt;70,'Scénario référence'!$B$16*(45+25*(1-EXP(-0.0175*$A197))),70*'Scénario référence'!$B$16)+IF((32+38*(1-EXP(-0.0175*$A197)))&lt;70,'Scénario référence'!$B$18*(32+38*(1-EXP(-0.0175*$A197))),70*'Scénario référence'!$B$18)</f>
        <v>70</v>
      </c>
      <c r="NC197" s="12">
        <f>IF($A197&gt;30,10,('Scénario référence'!$B$16+'Scénario référence'!$B$17+'Scénario référence'!$B$18+'Scénario référence'!$B$9+'Scénario référence'!$B$10)*$A197*10/30+('Scénario référence'!$F$8+'Scénario référence'!$F$9)*10)</f>
        <v>10</v>
      </c>
      <c r="ND197" s="12" t="e">
        <f>VLOOKUP($A197,'Données projet'!$A$486:$I$506,2,0)</f>
        <v>#N/A</v>
      </c>
      <c r="NE197" s="12" t="e">
        <f>VLOOKUP($A197,'Données projet'!$A$486:$I$506,9,0)</f>
        <v>#N/A</v>
      </c>
      <c r="NF197" s="12">
        <f t="array" ref="NF197">INDEX(NE:NE,MIN(IF(ISNUMBER(NE197:NE393),ROW(NE197:NE393),"")))</f>
        <v>0</v>
      </c>
      <c r="NG197" s="12">
        <f>IF('Données projet'!$A$486&gt;35,NG196+NF197-NO196,IF($A197&lt;'Données projet'!$A$486,$CQ$205^$A197,IF($A197='Données projet'!$A$486,'Données projet'!$B$486,NG196+NF197-NO196)))</f>
        <v>0</v>
      </c>
      <c r="NH197" s="17" t="e">
        <f>NG197*VLOOKUP('Données projet'!$B$26,Paramètres!$A$1:$I$89,3,0)*VLOOKUP('Données projet'!$B$26,Paramètres!$A$1:$I$89,5,0)</f>
        <v>#N/A</v>
      </c>
      <c r="NI197" s="13" t="e">
        <f t="shared" ref="NI197:NI203" si="423">EXP(-1.0587+0.8836*LN(NH197)+0.284)</f>
        <v>#N/A</v>
      </c>
      <c r="NJ197" s="14" t="e">
        <f t="shared" si="388"/>
        <v>#N/A</v>
      </c>
      <c r="NK197" s="59" t="e">
        <f t="shared" si="389"/>
        <v>#N/A</v>
      </c>
      <c r="NL197" s="20" t="e">
        <f ca="1">AVERAGE(OFFSET($NK$3,0,0,'Données projet'!$E$26+1,1))-AVERAGE(OFFSET($H$3,0,0,'Données projet'!$E$26+1,1))</f>
        <v>#N/A</v>
      </c>
      <c r="NM197" s="59" t="e">
        <f t="shared" ref="NM197:NM203" si="424">NM$3</f>
        <v>#N/A</v>
      </c>
      <c r="NN197" s="15">
        <f>IF(ISNA(VLOOKUP($A197,'Données projet'!$A$486:$I$506,3,0)),0,VLOOKUP($A197,'Données projet'!$A$486:$I$506,3,0))</f>
        <v>0</v>
      </c>
      <c r="NO197" s="15">
        <f>IF(ISNA(VLOOKUP($A197,'Données projet'!$A$486:$I$506,4,0)),0,VLOOKUP($A197,'Données projet'!$A$486:$I$506,4,0))</f>
        <v>0</v>
      </c>
      <c r="NP197" s="16">
        <f>IF(ISNA(VLOOKUP($A197,'Données projet'!$A$486:$I$506,5,0)),0%,VLOOKUP($A197,'Données projet'!$A$486:$I$506,5,0)*VLOOKUP('Données projet'!$B$26,Paramètres!$A$1:$I$89,7,0))</f>
        <v>0</v>
      </c>
      <c r="NQ197" s="16">
        <f>IF(ISNA(VLOOKUP($A197,'Données projet'!$A$486:$I$506,6,0)),0%,VLOOKUP($A197,'Données projet'!$A$486:$I$506,6,0)*VLOOKUP('Données projet'!$B$26,Paramètres!$A$1:$I$89,7,0))</f>
        <v>0</v>
      </c>
      <c r="NR197" s="16">
        <f>IF(ISNA(VLOOKUP($A197,'Données projet'!$A$486:$I$506,7,0)),0%,VLOOKUP($A197,'Données projet'!$A$486:$I$506,7,0))</f>
        <v>0</v>
      </c>
      <c r="NS197" s="21" t="e">
        <f>EXP(-LN(2)/35)*NS196+(1-EXP(-LN(2)/35))/(LN(2)/35)*NO197*NP197*VLOOKUP('Données projet'!$B$26,Paramètres!$A$1:$I$89,3,0)*0.475*44/12</f>
        <v>#N/A</v>
      </c>
      <c r="NT197" s="21" t="e">
        <f>EXP(-LN(2)/25)*NT196+(1-EXP(-LN(2)/25))/(LN(2)/25)*Calculateur!NO197*Calculateur!NQ197*VLOOKUP('Données projet'!$B$26,Paramètres!$A$1:$I$89,3,0)*0.475*44/12</f>
        <v>#N/A</v>
      </c>
      <c r="NU197" s="21" t="e">
        <f>EXP(-LN(2)/2)*NU196+(1-EXP(-LN(2)/2))/(LN(2)/2)*NO197*NR197*VLOOKUP('Données projet'!$B$26,Paramètres!$A$1:$I$89,3,0)*0.475*44/12</f>
        <v>#N/A</v>
      </c>
      <c r="NV197" s="22" t="e">
        <f t="shared" si="390"/>
        <v>#N/A</v>
      </c>
      <c r="NW197" s="74">
        <f>('Scénario référence'!$F$8+'Scénario référence'!$F$9+'Scénario référence'!$B$17+'Scénario référence'!$B$9+'Scénario référence'!$B$10)*70+IF((45+25*(1-EXP(-0.0175*$A197)))&lt;70,'Scénario référence'!$B$16*(45+25*(1-EXP(-0.0175*$A197))),70*'Scénario référence'!$B$16)+IF((32+38*(1-EXP(-0.0175*$A197)))&lt;70,'Scénario référence'!$B$18*(32+38*(1-EXP(-0.0175*$A197))),70*'Scénario référence'!$B$18)</f>
        <v>70</v>
      </c>
      <c r="NX197" s="12">
        <f>IF($A197&gt;30,10,('Scénario référence'!$B$16+'Scénario référence'!$B$17+'Scénario référence'!$B$18+'Scénario référence'!$B$9+'Scénario référence'!$B$10)*$A197*10/30+('Scénario référence'!$F$8+'Scénario référence'!$F$9)*10)</f>
        <v>10</v>
      </c>
      <c r="NY197" s="12" t="e">
        <f>VLOOKUP($A197,'Données projet'!$A$512:$I$532,2,0)</f>
        <v>#N/A</v>
      </c>
      <c r="NZ197" s="12" t="e">
        <f>VLOOKUP($A197,'Données projet'!$A$512:$I$532,9,0)</f>
        <v>#N/A</v>
      </c>
      <c r="OA197" s="12">
        <f t="array" ref="OA197">INDEX(NZ:NZ,MIN(IF(ISNUMBER(NZ197:NZ393),ROW(NZ197:NZ393),"")))</f>
        <v>0</v>
      </c>
      <c r="OB197" s="12">
        <f>IF('Données projet'!$A$512&gt;35,OB196+OA197-OJ196,IF($A197&lt;'Données projet'!$A$512,$CQ$205^$A197,IF($A197='Données projet'!$A$512,'Données projet'!$B$512,OB196+OA197-OJ196)))</f>
        <v>0</v>
      </c>
      <c r="OC197" s="17" t="e">
        <f>OB197*VLOOKUP('Données projet'!$B$27,Paramètres!$A$1:$I$89,3,0)*VLOOKUP('Données projet'!$B$27,Paramètres!$A$1:$I$89,5,0)</f>
        <v>#N/A</v>
      </c>
      <c r="OD197" s="13" t="e">
        <f t="shared" ref="OD197:OD203" si="425">EXP(-1.0587+0.8836*LN(OC197)+0.284)</f>
        <v>#N/A</v>
      </c>
      <c r="OE197" s="14" t="e">
        <f t="shared" si="391"/>
        <v>#N/A</v>
      </c>
      <c r="OF197" s="59" t="e">
        <f t="shared" si="392"/>
        <v>#N/A</v>
      </c>
      <c r="OG197" s="20" t="e">
        <f ca="1">AVERAGE(OFFSET($OF$3,0,0,'Données projet'!$E$27+1,1))-AVERAGE(OFFSET($H$3,0,0,'Données projet'!$E$27+1,1))</f>
        <v>#N/A</v>
      </c>
      <c r="OH197" s="59" t="e">
        <f t="shared" ref="OH197:OH203" si="426">OH$3</f>
        <v>#N/A</v>
      </c>
      <c r="OI197" s="15">
        <f>IF(ISNA(VLOOKUP($A197,'Données projet'!$A$512:$I$532,3,0)),0,VLOOKUP($A197,'Données projet'!$A$512:$I$532,3,0))</f>
        <v>0</v>
      </c>
      <c r="OJ197" s="15">
        <f>IF(ISNA(VLOOKUP($A197,'Données projet'!$A$512:$I$532,4,0)),0,VLOOKUP($A197,'Données projet'!$A$512:$I$532,4,0))</f>
        <v>0</v>
      </c>
      <c r="OK197" s="16">
        <f>IF(ISNA(VLOOKUP($A197,'Données projet'!$A$512:$I$532,5,0)),0%,VLOOKUP($A197,'Données projet'!$A$512:$I$532,5,0)*VLOOKUP('Données projet'!$B$27,Paramètres!$A$1:$I$89,7,0))</f>
        <v>0</v>
      </c>
      <c r="OL197" s="16">
        <f>IF(ISNA(VLOOKUP($A197,'Données projet'!$A$512:$I$532,6,0)),0%,VLOOKUP($A197,'Données projet'!$A$512:$I$532,6,0)*VLOOKUP('Données projet'!$B$27,Paramètres!$A$1:$I$89,7,0))</f>
        <v>0</v>
      </c>
      <c r="OM197" s="16">
        <f>IF(ISNA(VLOOKUP($A197,'Données projet'!$A$512:$I$532,7,0)),0%,VLOOKUP($A197,'Données projet'!$A$512:$I$532,7,0))</f>
        <v>0</v>
      </c>
      <c r="ON197" s="21" t="e">
        <f>EXP(-LN(2)/35)*ON196+(1-EXP(-LN(2)/35))/(LN(2)/35)*OJ197*OK197*VLOOKUP('Données projet'!$B$27,Paramètres!$A$1:$I$89,3,0)*0.475*44/12</f>
        <v>#N/A</v>
      </c>
      <c r="OO197" s="21" t="e">
        <f>EXP(-LN(2)/25)*OO196+(1-EXP(-LN(2)/25))/(LN(2)/25)*Calculateur!OJ197*Calculateur!OL197*VLOOKUP('Données projet'!$B$27,Paramètres!$A$1:$I$89,3,0)*0.475*44/12</f>
        <v>#N/A</v>
      </c>
      <c r="OP197" s="21" t="e">
        <f>EXP(-LN(2)/2)*OP196+(1-EXP(-LN(2)/2))/(LN(2)/2)*OJ197*OM197*VLOOKUP('Données projet'!$B$27,Paramètres!$A$1:$I$89,3,0)*0.475*44/12</f>
        <v>#N/A</v>
      </c>
      <c r="OQ197" s="22" t="e">
        <f t="shared" si="393"/>
        <v>#N/A</v>
      </c>
      <c r="OR197" s="74">
        <f>('Scénario référence'!$F$8+'Scénario référence'!$F$9+'Scénario référence'!$B$17+'Scénario référence'!$B$9+'Scénario référence'!$B$10)*70+IF((45+25*(1-EXP(-0.0175*$A197)))&lt;70,'Scénario référence'!$B$16*(45+25*(1-EXP(-0.0175*$A197))),70*'Scénario référence'!$B$16)+IF((32+38*(1-EXP(-0.0175*$A197)))&lt;70,'Scénario référence'!$B$18*(32+38*(1-EXP(-0.0175*$A197))),70*'Scénario référence'!$B$18)</f>
        <v>70</v>
      </c>
      <c r="OS197" s="12">
        <f>IF($A197&gt;30,10,('Scénario référence'!$B$16+'Scénario référence'!$B$17+'Scénario référence'!$B$18+'Scénario référence'!$B$9+'Scénario référence'!$B$10)*$A197*10/30+('Scénario référence'!$F$8+'Scénario référence'!$F$9)*10)</f>
        <v>10</v>
      </c>
      <c r="OT197" s="12" t="e">
        <f>VLOOKUP($A197,'Données projet'!$A$538:$I$558,2,0)</f>
        <v>#N/A</v>
      </c>
      <c r="OU197" s="12" t="e">
        <f>VLOOKUP($A197,'Données projet'!$A$538:$I$558,9,0)</f>
        <v>#N/A</v>
      </c>
      <c r="OV197" s="12">
        <f t="array" ref="OV197">INDEX(OU:OU,MIN(IF(ISNUMBER(OU197:OU393),ROW(OU197:OU393),"")))</f>
        <v>0</v>
      </c>
      <c r="OW197" s="12">
        <f>IF('Données projet'!$A$538&gt;35,OW196+OV197-PE196,IF($A197&lt;'Données projet'!$A$538,$CQ$205^$A197,IF($A197='Données projet'!$A$538,'Données projet'!$B$538,OW196+OV197-PE196)))</f>
        <v>0</v>
      </c>
      <c r="OX197" s="17" t="e">
        <f>OW197*VLOOKUP('Données projet'!$B$28,Paramètres!$A$1:$I$89,3,0)*VLOOKUP('Données projet'!$B$28,Paramètres!$A$1:$I$89,5,0)</f>
        <v>#N/A</v>
      </c>
      <c r="OY197" s="13" t="e">
        <f t="shared" ref="OY197:OY203" si="427">EXP(-1.0587+0.8836*LN(OX197)+0.284)</f>
        <v>#N/A</v>
      </c>
      <c r="OZ197" s="14" t="e">
        <f t="shared" si="394"/>
        <v>#N/A</v>
      </c>
      <c r="PA197" s="59" t="e">
        <f t="shared" si="395"/>
        <v>#N/A</v>
      </c>
      <c r="PB197" s="20" t="e">
        <f ca="1">AVERAGE(OFFSET($PA$3,0,0,'Données projet'!$E$28+1,1))-AVERAGE(OFFSET($H$3,0,0,'Données projet'!$E$28+1,1))</f>
        <v>#N/A</v>
      </c>
      <c r="PC197" s="59" t="e">
        <f t="shared" ref="PC197:PC203" si="428">PC$3</f>
        <v>#N/A</v>
      </c>
      <c r="PD197" s="15">
        <f>IF(ISNA(VLOOKUP($A197,'Données projet'!$A$538:$I$558,3,0)),0,VLOOKUP($A197,'Données projet'!$A$538:$I$558,3,0))</f>
        <v>0</v>
      </c>
      <c r="PE197" s="15">
        <f>IF(ISNA(VLOOKUP($A197,'Données projet'!$A$538:$I$558,4,0)),0,VLOOKUP($A197,'Données projet'!$A$538:$I$558,4,0))</f>
        <v>0</v>
      </c>
      <c r="PF197" s="16">
        <f>IF(ISNA(VLOOKUP($A197,'Données projet'!$A$538:$I$558,5,0)),0%,VLOOKUP($A197,'Données projet'!$A$538:$I$558,5,0)*VLOOKUP('Données projet'!$B$28,Paramètres!$A$1:$I$89,7,0))</f>
        <v>0</v>
      </c>
      <c r="PG197" s="16">
        <f>IF(ISNA(VLOOKUP($A197,'Données projet'!$A$538:$I$558,6,0)),0%,VLOOKUP($A197,'Données projet'!$A$538:$I$558,6,0)*VLOOKUP('Données projet'!$B$28,Paramètres!$A$1:$I$89,7,0))</f>
        <v>0</v>
      </c>
      <c r="PH197" s="16">
        <f>IF(ISNA(VLOOKUP($A197,'Données projet'!$A$538:$I$558,7,0)),0%,VLOOKUP($A197,'Données projet'!$A$538:$I$558,7,0))</f>
        <v>0</v>
      </c>
      <c r="PI197" s="21" t="e">
        <f>EXP(-LN(2)/35)*PI196+(1-EXP(-LN(2)/35))/(LN(2)/35)*PE197*PF197*VLOOKUP('Données projet'!$B$28,Paramètres!$A$1:$I$89,3,0)*0.475*44/12</f>
        <v>#N/A</v>
      </c>
      <c r="PJ197" s="21" t="e">
        <f>EXP(-LN(2)/25)*PJ196+(1-EXP(-LN(2)/25))/(LN(2)/25)*Calculateur!PE197*Calculateur!PG197*VLOOKUP('Données projet'!$B$28,Paramètres!$A$1:$I$89,3,0)*0.475*44/12</f>
        <v>#N/A</v>
      </c>
      <c r="PK197" s="21" t="e">
        <f>EXP(-LN(2)/2)*PK196+(1-EXP(-LN(2)/2))/(LN(2)/2)*PE197*PH197*VLOOKUP('Données projet'!$B$28,Paramètres!$A$1:$I$89,3,0)*0.475*44/12</f>
        <v>#N/A</v>
      </c>
      <c r="PL197" s="22" t="e">
        <f t="shared" si="396"/>
        <v>#N/A</v>
      </c>
    </row>
    <row r="198" spans="1:428" x14ac:dyDescent="0.35">
      <c r="A198" s="10">
        <f t="shared" si="326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397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357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projet'!$A$45:$I$65,2,0)</f>
        <v>#N/A</v>
      </c>
      <c r="L198" s="12" t="e">
        <f>VLOOKUP(A198,'Données projet'!$A$45:$I$65,9,0)</f>
        <v>#N/A</v>
      </c>
      <c r="M198" s="12">
        <f t="array" ref="M198">INDEX(L:L,MIN(IF(ISNUMBER(L198:L394),ROW(L198:L394),"")))</f>
        <v>0</v>
      </c>
      <c r="N198" s="13">
        <f>IF('Données projet'!$A$46&gt;35,N197+M198-V197,IF(A198&lt;'Données projet'!$A$46,$K$205^A198,IF(A198='Données projet'!$A$46,'Données projet'!$B$46,N197+M198-V197)))</f>
        <v>-1.1368683772161603E-13</v>
      </c>
      <c r="O198" s="13">
        <f>N198*VLOOKUP('Données projet'!$B$9,Paramètres!$A$1:$I$89,3,0)*VLOOKUP('Données projet'!$B$9,Paramètres!$A$1:$I$89,5,0)</f>
        <v>-6.3550942286383367E-14</v>
      </c>
      <c r="P198" s="13" t="e">
        <f t="shared" si="398"/>
        <v>#NUM!</v>
      </c>
      <c r="Q198" s="20" t="e">
        <f t="shared" si="327"/>
        <v>#NUM!</v>
      </c>
      <c r="R198" s="59" t="e">
        <f t="shared" si="356"/>
        <v>#NUM!</v>
      </c>
      <c r="S198" s="59">
        <f ca="1">AVERAGE(OFFSET($R$3,0,0,'Données projet'!$E$9+1,1))-AVERAGE(OFFSET($H$3,0,0,'Données projet'!$E$9+1,1))</f>
        <v>274.57619581652199</v>
      </c>
      <c r="T198" s="59">
        <f t="shared" si="399"/>
        <v>366.15117322598775</v>
      </c>
      <c r="U198" s="15">
        <f>IF(ISNA(VLOOKUP(A198,'Données projet'!$A$45:$I$65,3,0)),0,VLOOKUP(A198,'Données projet'!$A$45:$I$65,3,0))</f>
        <v>0</v>
      </c>
      <c r="V198" s="15">
        <f>IF(ISNA(VLOOKUP(A198,'Données projet'!$A$45:$I$65,4,0)),0,VLOOKUP(A198,'Données projet'!$A$45:$I$65,4,0))</f>
        <v>0</v>
      </c>
      <c r="W198" s="16">
        <f>IF(ISNA(VLOOKUP(A198,'Données projet'!$A$45:$I$65,5,0)),0%,VLOOKUP(A198,'Données projet'!$A$45:$I$65,5,0)*VLOOKUP('Données projet'!$B$9,Paramètres!$A$1:$I$89,7,0))</f>
        <v>0</v>
      </c>
      <c r="X198" s="16">
        <f>IF(ISNA(VLOOKUP(A198,'Données projet'!$A$45:$I$65,6,0)),0%,VLOOKUP(A198,'Données projet'!$A$45:$I$65,6,0)*VLOOKUP('Données projet'!$B$9,Paramètres!$A$1:$I$89,7,0))</f>
        <v>0</v>
      </c>
      <c r="Y198" s="16">
        <f>IF(ISNA(VLOOKUP(A198,'Données projet'!$A$45:$I$65,7,0)),0%,VLOOKUP(A198,'Données projet'!$A$45:$I$65,7,0))</f>
        <v>0</v>
      </c>
      <c r="Z198" s="21">
        <f>EXP(-LN(2)/35)*Z197+(1-EXP(-LN(2)/35))/(LN(2)/35)*V198*W198*VLOOKUP('Données projet'!$B$9,Paramètres!$A$1:$I$89,3,0)*0.475*44/12</f>
        <v>14.166067622660265</v>
      </c>
      <c r="AA198" s="21">
        <f>EXP(-LN(2)/25)*AA197+(1-EXP(-LN(2)/25))/(LN(2)/25)*Calculateur!V198*Calculateur!X198*VLOOKUP('Données projet'!$B$9,Paramètres!$A$1:$I$89,3,0)*0.475*44/12</f>
        <v>1.1877154686493627</v>
      </c>
      <c r="AB198" s="21">
        <f>EXP(-LN(2)/2)*AB197+(1-EXP(-LN(2)/2))/(LN(2)/2)*V198*Y198*VLOOKUP('Données projet'!$B$9,Paramètres!$A$1:$I$89,3,0)*0.475*44/12</f>
        <v>2.893575001265352E-20</v>
      </c>
      <c r="AC198" s="22">
        <f t="shared" si="328"/>
        <v>15.353783091309626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projet'!$A$71:$I$91,2,0)</f>
        <v>#N/A</v>
      </c>
      <c r="AG198" s="12" t="e">
        <f>VLOOKUP(A198,'Données projet'!$A$71:$I$91,9,0)</f>
        <v>#N/A</v>
      </c>
      <c r="AH198" s="12">
        <f t="array" ref="AH198">INDEX(AG:AG,MIN(IF(ISNUMBER(AG198:AG394),ROW(AG198:AG394),"")))</f>
        <v>0</v>
      </c>
      <c r="AI198" s="13">
        <f>IF('Données projet'!$A$72&gt;35,AI197+AH198-AQ197,IF(A198&lt;'Données projet'!$A$72,$AF$205^A198,IF(A198='Données projet'!$A$72,'Données projet'!$B$72,AI197+AH198-AQ197)))</f>
        <v>5.6843418860808015E-13</v>
      </c>
      <c r="AJ198" s="13">
        <f>AI198*VLOOKUP('Données projet'!$B$10,Paramètres!$A$1:$I$89,3,0)*VLOOKUP('Données projet'!$B$10,Paramètres!$A$1:$I$89,5,0)</f>
        <v>5.1431925385259092E-13</v>
      </c>
      <c r="AK198" s="13">
        <f t="shared" si="329"/>
        <v>6.3855359115685756E-12</v>
      </c>
      <c r="AL198" s="20">
        <f t="shared" si="330"/>
        <v>1.2017247746441865E-11</v>
      </c>
      <c r="AM198" s="59">
        <f t="shared" si="358"/>
        <v>293.33333333334531</v>
      </c>
      <c r="AN198" s="59">
        <f ca="1">AVERAGE(OFFSET($AM$3,0,0,'Données projet'!$E$10+1,1))-AVERAGE(OFFSET($H$3,0,0,'Données projet'!$E$10+1,1))</f>
        <v>270.87836509222456</v>
      </c>
      <c r="AO198" s="59">
        <f t="shared" si="400"/>
        <v>205.24998237949734</v>
      </c>
      <c r="AP198" s="15">
        <f>IF(ISNA(VLOOKUP(A198,'Données projet'!$A$71:$I$91,3,0)),0,VLOOKUP(A198,'Données projet'!$A$71:$I$91,3,0))</f>
        <v>0</v>
      </c>
      <c r="AQ198" s="15">
        <f>IF(ISNA(VLOOKUP(A198,'Données projet'!$A$71:$I$91,4,0)),0,VLOOKUP(A198,'Données projet'!$A$71:$I$91,4,0))</f>
        <v>0</v>
      </c>
      <c r="AR198" s="16">
        <f>IF(ISNA(VLOOKUP(A198,'Données projet'!$A$71:$I$91,5,0)),0%,VLOOKUP(A198,'Données projet'!$A$71:$I$91,5,0)*VLOOKUP('Données projet'!$B$10,Paramètres!$A$1:$I$89,7,0))</f>
        <v>0</v>
      </c>
      <c r="AS198" s="16">
        <f>IF(ISNA(VLOOKUP(A198,'Données projet'!$A$71:$I$91,6,0)),0%,VLOOKUP(A198,'Données projet'!$A$71:$I$91,6,0)*VLOOKUP('Données projet'!$B$10,Paramètres!$A$1:$I$89,7,0))</f>
        <v>0</v>
      </c>
      <c r="AT198" s="16">
        <f>IF(ISNA(VLOOKUP(A198,'Données projet'!$A$71:$I$91,7,0)),0%,VLOOKUP(A198,'Données projet'!$A$71:$I$91,7,0))</f>
        <v>0</v>
      </c>
      <c r="AU198" s="21">
        <f>EXP(-LN(2)/35)*AU197+(1-EXP(-LN(2)/35))/(LN(2)/35)*AQ198*AR198*VLOOKUP('Données projet'!$B$10,Paramètres!$A$1:$I$89,3,0)*0.475*44/12</f>
        <v>48.139906971712911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331"/>
        <v>48.139906971712911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projet'!$A$97:$I$117,2,0)</f>
        <v>#N/A</v>
      </c>
      <c r="BB198" s="12" t="e">
        <f>VLOOKUP(A198,'Données projet'!$A$97:$I$117,9,0)</f>
        <v>#N/A</v>
      </c>
      <c r="BC198" s="12">
        <f t="array" ref="BC198">INDEX(BB:BB,MIN(IF(ISNUMBER(BB198:BB394),ROW(BB198:BB394),"")))</f>
        <v>0</v>
      </c>
      <c r="BD198" s="12">
        <f>IF('Données projet'!$A$98&gt;35,BD197+BC198-BL197,IF(A198&lt;'Données projet'!$A$98,$BA$205^A198,IF(A198='Données projet'!$A$98,'Données projet'!$B$98,BD197+BC198-BL197)))</f>
        <v>-1.1368683772161603E-13</v>
      </c>
      <c r="BE198" s="13">
        <f>BD198*VLOOKUP('Données projet'!$B$11,Paramètres!$A$1:$I$89,3,0)*VLOOKUP('Données projet'!$B$11,Paramètres!$A$1:$I$89,5,0)</f>
        <v>-5.0249582272954292E-14</v>
      </c>
      <c r="BF198" s="13" t="e">
        <f t="shared" si="332"/>
        <v>#NUM!</v>
      </c>
      <c r="BG198" s="20" t="e">
        <f t="shared" si="333"/>
        <v>#NUM!</v>
      </c>
      <c r="BH198" s="59" t="e">
        <f t="shared" si="359"/>
        <v>#NUM!</v>
      </c>
      <c r="BI198" s="59">
        <f ca="1">AVERAGE(OFFSET($BH$3,0,0,'Données projet'!$E$11+1,1))-AVERAGE(OFFSET($H$3,0,0,'Données projet'!$E$11+1,1))</f>
        <v>211.31057120485542</v>
      </c>
      <c r="BJ198" s="59">
        <f t="shared" si="401"/>
        <v>283.33292006714777</v>
      </c>
      <c r="BK198" s="15">
        <f>IF(ISNA(VLOOKUP(A198,'Données projet'!$A$97:$I$117,3,0)),0,VLOOKUP(A198,'Données projet'!$A$97:$I$117,3,0))</f>
        <v>0</v>
      </c>
      <c r="BL198" s="15">
        <f>IF(ISNA(VLOOKUP(A198,'Données projet'!$A$97:$I$117,4,0)),0,VLOOKUP(A198,'Données projet'!$A$97:$I$117,4,0))</f>
        <v>0</v>
      </c>
      <c r="BM198" s="16">
        <f>IF(ISNA(VLOOKUP(A198,'Données projet'!$A$97:$I$117,5,0)),0%,VLOOKUP(A198,'Données projet'!$A$97:$I$117,5,0)*VLOOKUP('Données projet'!$B$11,Paramètres!$A$1:$I$89,7,0))</f>
        <v>0</v>
      </c>
      <c r="BN198" s="16">
        <f>IF(ISNA(VLOOKUP(A198,'Données projet'!$A$97:$I$117,6,0)),0%,VLOOKUP(A198,'Données projet'!$A$97:$I$117,6,0)*VLOOKUP('Données projet'!$B$11,Paramètres!$A$1:$I$89,7,0))</f>
        <v>0</v>
      </c>
      <c r="BO198" s="16">
        <f>IF(ISNA(VLOOKUP(A198,'Données projet'!$A$97:$I$117,7,0)),0%,VLOOKUP(A198,'Données projet'!$A$97:$I$117,7,0))</f>
        <v>0</v>
      </c>
      <c r="BP198" s="21">
        <f>EXP(-LN(2)/35)*BP197+(1-EXP(-LN(2)/35))/(LN(2)/35)*BL198*BM198*VLOOKUP('Données projet'!$B$11,Paramètres!$A$1:$I$89,3,0)*0.475*44/12</f>
        <v>11.201076724894172</v>
      </c>
      <c r="BQ198" s="21">
        <f>EXP(-LN(2)/25)*BQ197+(1-EXP(-LN(2)/25))/(LN(2)/25)*Calculateur!BL198*Calculateur!BN198*VLOOKUP('Données projet'!$B$11,Paramètres!$A$1:$I$89,3,0)*0.475*44/12</f>
        <v>0.93912385893205375</v>
      </c>
      <c r="BR198" s="21">
        <f>EXP(-LN(2)/2)*BR197+(1-EXP(-LN(2)/2))/(LN(2)/2)*BL198*BO198*VLOOKUP('Données projet'!$B$11,Paramètres!$A$1:$I$89,3,0)*0.475*44/12</f>
        <v>2.2879430242563244E-20</v>
      </c>
      <c r="BS198" s="22">
        <f t="shared" si="334"/>
        <v>12.140200583826225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projet'!$A$123:$I$143,2,0)</f>
        <v>#N/A</v>
      </c>
      <c r="BW198" s="12" t="e">
        <f>VLOOKUP(A198,'Données projet'!$A$123:$I$143,9,0)</f>
        <v>#N/A</v>
      </c>
      <c r="BX198" s="12">
        <f t="array" ref="BX198">INDEX(BW:BW,MIN(IF(ISNUMBER(BW198:BW394),ROW(BW198:BW394),"")))</f>
        <v>0</v>
      </c>
      <c r="BY198" s="12">
        <f>IF('Données projet'!$A$124&gt;35,BY197+BX198-CG197,IF(A198&lt;'Données projet'!$A$124,$BV$205^A198,IF(A198='Données projet'!$A$124,'Données projet'!$B$124,BY197+BX198-CG197)))</f>
        <v>0</v>
      </c>
      <c r="BZ198" s="13">
        <f>BY198*VLOOKUP('Données projet'!$B$12,Paramètres!$A$1:$I$89,3,0)*VLOOKUP('Données projet'!$B$12,Paramètres!$A$1:$I$89,5,0)</f>
        <v>0</v>
      </c>
      <c r="CA198" s="13" t="e">
        <f t="shared" si="335"/>
        <v>#NUM!</v>
      </c>
      <c r="CB198" s="20" t="e">
        <f t="shared" si="336"/>
        <v>#NUM!</v>
      </c>
      <c r="CC198" s="59" t="e">
        <f t="shared" si="360"/>
        <v>#NUM!</v>
      </c>
      <c r="CD198" s="59">
        <f ca="1">AVERAGE(OFFSET($CC$3,0,0,'Données projet'!$E$12+1,1))-AVERAGE(OFFSET($H$3,0,0,'Données projet'!$E$12+1,1))</f>
        <v>322.93502595881938</v>
      </c>
      <c r="CE198" s="59">
        <f t="shared" si="402"/>
        <v>302.67072119588164</v>
      </c>
      <c r="CF198" s="15">
        <f>IF(ISNA(VLOOKUP(A198,'Données projet'!$A$123:$I$143,3,0)),0,VLOOKUP(A198,'Données projet'!$A$123:$I$143,3,0))</f>
        <v>0</v>
      </c>
      <c r="CG198" s="15">
        <f>IF(ISNA(VLOOKUP(A198,'Données projet'!$A$123:$I$143,4,0)),0,VLOOKUP(A198,'Données projet'!$A$123:$I$143,4,0))</f>
        <v>0</v>
      </c>
      <c r="CH198" s="16">
        <f>IF(ISNA(VLOOKUP(A198,'Données projet'!$A$123:$I$143,5,0)),0%,VLOOKUP(A198,'Données projet'!$A$123:$I$143,5,0)*VLOOKUP('Données projet'!$B$12,Paramètres!$A$1:$I$89,7,0))</f>
        <v>0</v>
      </c>
      <c r="CI198" s="16">
        <f>IF(ISNA(VLOOKUP(A198,'Données projet'!$A$123:$I$143,6,0)),0%,VLOOKUP(A198,'Données projet'!$A$123:$I$143,6,0)*VLOOKUP('Données projet'!$B$12,Paramètres!$A$1:$I$89,7,0))</f>
        <v>0</v>
      </c>
      <c r="CJ198" s="16">
        <f>IF(ISNA(VLOOKUP(A198,'Données projet'!$A$123:$I$143,7,0)),0%,VLOOKUP(A198,'Données projet'!$A$123:$I$143,7,0))</f>
        <v>0</v>
      </c>
      <c r="CK198" s="21">
        <f>EXP(-LN(2)/35)*CK197+(1-EXP(-LN(2)/35))/(LN(2)/35)*CG198*CH198*VLOOKUP('Données projet'!$B$12,Paramètres!$A$1:$I$89,3,0)*0.475*44/12</f>
        <v>17.846021786106011</v>
      </c>
      <c r="CL198" s="21">
        <f>EXP(-LN(2)/25)*CL197+(1-EXP(-LN(2)/25))/(LN(2)/25)*Calculateur!CG198*Calculateur!CI198*VLOOKUP('Données projet'!$B$12,Paramètres!$A$1:$I$89,3,0)*0.475*44/12</f>
        <v>3.0057645551138452</v>
      </c>
      <c r="CM198" s="21">
        <f>EXP(-LN(2)/2)*CM197+(1-EXP(-LN(2)/2))/(LN(2)/2)*CG198*CJ198*VLOOKUP('Données projet'!$B$12,Paramètres!$A$1:$I$89,3,0)*0.475*44/12</f>
        <v>0</v>
      </c>
      <c r="CN198" s="22">
        <f t="shared" si="337"/>
        <v>20.851786341219857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projet'!$A$149:$I$169,2,0)</f>
        <v>#N/A</v>
      </c>
      <c r="CR198" s="12" t="e">
        <f>VLOOKUP(A198,'Données projet'!$A$149:$I$169,9,0)</f>
        <v>#N/A</v>
      </c>
      <c r="CS198" s="12">
        <f t="array" ref="CS198">INDEX(CR:CR,MIN(IF(ISNUMBER(CR198:CR394),ROW(CR198:CR394),"")))</f>
        <v>0</v>
      </c>
      <c r="CT198" s="12">
        <f>IF('Données projet'!$A$150&gt;35,CT197+CS198-DB197,IF(A198&lt;'Données projet'!$A$150,$CQ$205^A198,IF(A198='Données projet'!$A$150,'Données projet'!$B$150,CT197+CS198-DB197)))</f>
        <v>-4.5474735088646412E-13</v>
      </c>
      <c r="CU198" s="17">
        <f>CT198*VLOOKUP('Données projet'!$B$13,Paramètres!$A$1:$I$89,3,0)*VLOOKUP('Données projet'!$B$13,Paramètres!$A$1:$I$89,5,0)</f>
        <v>-4.6111381379887462E-13</v>
      </c>
      <c r="CV198" s="13" t="e">
        <f t="shared" si="338"/>
        <v>#NUM!</v>
      </c>
      <c r="CW198" s="20" t="e">
        <f t="shared" si="339"/>
        <v>#NUM!</v>
      </c>
      <c r="CX198" s="59" t="e">
        <f t="shared" si="361"/>
        <v>#NUM!</v>
      </c>
      <c r="CY198" s="59">
        <f ca="1">AVERAGE(OFFSET($CX$3,0,0,'Données projet'!$E$13+1,1))-AVERAGE(OFFSET($H$3,0,0,'Données projet'!$E$13+1,1))</f>
        <v>250.31277422753283</v>
      </c>
      <c r="CZ198" s="59">
        <f t="shared" si="403"/>
        <v>159.20429420478047</v>
      </c>
      <c r="DA198" s="15">
        <f>IF(ISNA(VLOOKUP(A198,'Données projet'!$A$149:$I$169,3,0)),0,VLOOKUP(A198,'Données projet'!$A$149:$I$169,3,0))</f>
        <v>0</v>
      </c>
      <c r="DB198" s="15">
        <f>IF(ISNA(VLOOKUP(A198,'Données projet'!$A$149:$I$169,4,0)),0,VLOOKUP(A198,'Données projet'!$A$149:$I$169,4,0))</f>
        <v>0</v>
      </c>
      <c r="DC198" s="16">
        <f>IF(ISNA(VLOOKUP(A198,'Données projet'!$A$149:$I$169,5,0)),0%,VLOOKUP(A198,'Données projet'!$A$149:$I$169,5,0)*VLOOKUP('Données projet'!$B$13,Paramètres!$A$1:$I$89,7,0))</f>
        <v>0</v>
      </c>
      <c r="DD198" s="16">
        <f>IF(ISNA(VLOOKUP(A198,'Données projet'!$A$149:$I$169,6,0)),0%,VLOOKUP(A198,'Données projet'!$A$149:$I$169,6,0)*VLOOKUP('Données projet'!$B$13,Paramètres!$A$1:$I$89,7,0))</f>
        <v>0</v>
      </c>
      <c r="DE198" s="16">
        <f>IF(ISNA(VLOOKUP(A198,'Données projet'!$A$149:$I$169,7,0)),0%,VLOOKUP(A198,'Données projet'!$A$149:$I$169,7,0))</f>
        <v>0</v>
      </c>
      <c r="DF198" s="21">
        <f>EXP(-LN(2)/35)*DF197+(1-EXP(-LN(2)/35))/(LN(2)/35)*DB198*DC198*VLOOKUP('Données projet'!$B$13,Paramètres!$A$1:$I$89,3,0)*0.475*44/12</f>
        <v>81.240408194405688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340"/>
        <v>81.240408194405688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projet'!$A$175:$I$195,2,0)</f>
        <v>#N/A</v>
      </c>
      <c r="DM198" s="12" t="e">
        <f>VLOOKUP(A198,'Données projet'!$A$175:$I$195,9,0)</f>
        <v>#N/A</v>
      </c>
      <c r="DN198" s="12">
        <f t="array" ref="DN198">INDEX(DM:DM,MIN(IF(ISNUMBER(DM198:DM394),ROW(DM198:DM394),"")))</f>
        <v>0</v>
      </c>
      <c r="DO198" s="12">
        <f>IF('Données projet'!$A$176&gt;35,DO197+DN198-DW197,IF(A198&lt;'Données projet'!$A$176,$DL$205^A198,IF(A198='Données projet'!$A$176,'Données projet'!$B$176,DO197+DN198-DW197)))</f>
        <v>-2.8421709430404007E-13</v>
      </c>
      <c r="DP198" s="17">
        <f>DO198*VLOOKUP('Données projet'!$B$14,Paramètres!$A$1:$I$89,3,0)*VLOOKUP('Données projet'!$B$14,Paramètres!$A$1:$I$89,5,0)</f>
        <v>-2.0838797354372215E-13</v>
      </c>
      <c r="DQ198" s="13" t="e">
        <f t="shared" si="341"/>
        <v>#NUM!</v>
      </c>
      <c r="DR198" s="20" t="e">
        <f t="shared" si="342"/>
        <v>#NUM!</v>
      </c>
      <c r="DS198" s="59" t="e">
        <f t="shared" si="362"/>
        <v>#NUM!</v>
      </c>
      <c r="DT198" s="59">
        <f ca="1">AVERAGE(OFFSET($DS$3,0,0,'Données projet'!$E$14+1,1))-AVERAGE(OFFSET($H$3,0,0,'Données projet'!$E$14+1,1))</f>
        <v>296.91321813251051</v>
      </c>
      <c r="DU198" s="59">
        <f t="shared" si="404"/>
        <v>291.0718079639509</v>
      </c>
      <c r="DV198" s="15">
        <f>IF(ISNA(VLOOKUP(A198,'Données projet'!$A$175:$I$195,3,0)),0,VLOOKUP(A198,'Données projet'!$A$175:$I$195,3,0))</f>
        <v>0</v>
      </c>
      <c r="DW198" s="15">
        <f>IF(ISNA(VLOOKUP(A198,'Données projet'!$A$175:$I$195,4,0)),0,VLOOKUP(A198,'Données projet'!$A$175:$I$195,4,0))</f>
        <v>0</v>
      </c>
      <c r="DX198" s="16">
        <f>IF(ISNA(VLOOKUP(A198,'Données projet'!$A$175:$I$195,5,0)),0%,VLOOKUP(A198,'Données projet'!$A$175:$I$195,5,0)*VLOOKUP('Données projet'!$B$14,Paramètres!$A$1:$I$89,7,0))</f>
        <v>0</v>
      </c>
      <c r="DY198" s="16">
        <f>IF(ISNA(VLOOKUP(A198,'Données projet'!$A$175:$I$195,6,0)),0%,VLOOKUP(A198,'Données projet'!$A$175:$I$195,6,0)*VLOOKUP('Données projet'!$B$14,Paramètres!$A$1:$I$89,7,0))</f>
        <v>0</v>
      </c>
      <c r="DZ198" s="16">
        <f>IF(ISNA(VLOOKUP(A198,'Données projet'!$A$175:$I$195,7,0)),0%,VLOOKUP(A198,'Données projet'!$A$175:$I$195,7,0))</f>
        <v>0</v>
      </c>
      <c r="EA198" s="21">
        <f>EXP(-LN(2)/35)*EA197+(1-EXP(-LN(2)/35))/(LN(2)/35)*DW198*DX198*VLOOKUP('Données projet'!$B$14,Paramètres!$A$1:$I$89,3,0)*0.475*44/12</f>
        <v>17.786754381327597</v>
      </c>
      <c r="EB198" s="21">
        <f>EXP(-LN(2)/25)*EB197+(1-EXP(-LN(2)/25))/(LN(2)/25)*Calculateur!DW198*Calculateur!DY198*VLOOKUP('Données projet'!$B$14,Paramètres!$A$1:$I$89,3,0)*0.475*44/12</f>
        <v>0.22080619028359447</v>
      </c>
      <c r="EC198" s="21">
        <f>EXP(-LN(2)/2)*EC197+(1-EXP(-LN(2)/2))/(LN(2)/2)*DW198*DZ198*VLOOKUP('Données projet'!$B$14,Paramètres!$A$1:$I$89,3,0)*0.475*44/12</f>
        <v>0</v>
      </c>
      <c r="ED198" s="22">
        <f t="shared" si="343"/>
        <v>18.00756057161119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projet'!$A$201:$I$221,2,0)</f>
        <v>#N/A</v>
      </c>
      <c r="EH198" s="12" t="e">
        <f>VLOOKUP(A198,'Données projet'!$A$201:$I$221,9,0)</f>
        <v>#N/A</v>
      </c>
      <c r="EI198" s="12">
        <f t="array" ref="EI198">INDEX(EH:EH,MIN(IF(ISNUMBER(EH198:EH394),ROW(EH198:EH394),"")))</f>
        <v>0</v>
      </c>
      <c r="EJ198" s="12">
        <f>IF('Données projet'!$A$202&gt;35,EJ197+EI198-ER197,IF(A198&lt;'Données projet'!$A$202,$EG$205^A198,IF(A198='Données projet'!$A$202,'Données projet'!$B$202,EJ197+EI198-ER197)))</f>
        <v>5.1159076974727213E-13</v>
      </c>
      <c r="EK198" s="17">
        <f>EJ198*VLOOKUP('Données projet'!$B$15,Paramètres!$A$1:$I$89,3,0)*VLOOKUP('Données projet'!$B$15,Paramètres!$A$1:$I$89,5,0)</f>
        <v>2.3942448024172334E-13</v>
      </c>
      <c r="EL198" s="13">
        <f t="shared" si="344"/>
        <v>3.2492669905861755E-12</v>
      </c>
      <c r="EM198" s="20">
        <f t="shared" si="345"/>
        <v>6.0761376450252565E-12</v>
      </c>
      <c r="EN198" s="59">
        <f t="shared" si="363"/>
        <v>293.3333333333394</v>
      </c>
      <c r="EO198" s="59">
        <f ca="1">AVERAGE(OFFSET($EN$3,0,0,'Données projet'!$E$15+1,1))-AVERAGE(OFFSET($H$3,0,0,'Données projet'!$E$15+1,1))</f>
        <v>147.64256291235483</v>
      </c>
      <c r="EP198" s="59">
        <f t="shared" si="405"/>
        <v>70.859031694091868</v>
      </c>
      <c r="EQ198" s="15">
        <f>IF(ISNA(VLOOKUP(A198,'Données projet'!$A$201:$I$221,3,0)),0,VLOOKUP(A198,'Données projet'!$A$201:$I$221,3,0))</f>
        <v>0</v>
      </c>
      <c r="ER198" s="15">
        <f>IF(ISNA(VLOOKUP(A198,'Données projet'!$A$201:$I$221,4,0)),0,VLOOKUP(A198,'Données projet'!$A$201:$I$221,4,0))</f>
        <v>0</v>
      </c>
      <c r="ES198" s="16">
        <f>IF(ISNA(VLOOKUP(A198,'Données projet'!$A$201:$I$221,5,0)),0%,VLOOKUP(A198,'Données projet'!$A$201:$I$221,5,0)*VLOOKUP('Données projet'!$B$15,Paramètres!$A$1:$I$89,7,0))</f>
        <v>0</v>
      </c>
      <c r="ET198" s="16">
        <f>IF(ISNA(VLOOKUP(A198,'Données projet'!$A$201:$I$221,6,0)),0%,VLOOKUP(A198,'Données projet'!$A$201:$I$221,6,0)*VLOOKUP('Données projet'!$B$15,Paramètres!$A$1:$I$89,7,0))</f>
        <v>0</v>
      </c>
      <c r="EU198" s="16">
        <f>IF(ISNA(VLOOKUP(A198,'Données projet'!$A$201:$I$221,7,0)),0%,VLOOKUP(A198,'Données projet'!$A$201:$I$221,7,0))</f>
        <v>0</v>
      </c>
      <c r="EV198" s="21">
        <f>EXP(-LN(2)/35)*EV197+(1-EXP(-LN(2)/35))/(LN(2)/35)*ER198*ES198*VLOOKUP('Données projet'!$B$15,Paramètres!$A$1:$I$89,3,0)*0.475*44/12</f>
        <v>24.350347117790871</v>
      </c>
      <c r="EW198" s="21">
        <f>EXP(-LN(2)/25)*EW197+(1-EXP(-LN(2)/25))/(LN(2)/25)*Calculateur!ER198*Calculateur!ET198*VLOOKUP('Données projet'!$B$15,Paramètres!$A$1:$I$89,3,0)*0.475*44/12</f>
        <v>3.0634634317080258</v>
      </c>
      <c r="EX198" s="21">
        <f>EXP(-LN(2)/2)*EX197+(1-EXP(-LN(2)/2))/(LN(2)/2)*ER198*EU198*VLOOKUP('Données projet'!$B$15,Paramètres!$A$1:$I$89,3,0)*0.475*44/12</f>
        <v>2.086004465663036E-12</v>
      </c>
      <c r="EY198" s="22">
        <f t="shared" si="346"/>
        <v>27.413810549500983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projet'!$A$227:$I$247,2,0)</f>
        <v>#N/A</v>
      </c>
      <c r="FC198" s="12" t="e">
        <f>VLOOKUP(A198,'Données projet'!$A$227:$I$247,9,0)</f>
        <v>#N/A</v>
      </c>
      <c r="FD198" s="12">
        <f t="array" ref="FD198">INDEX(FC:FC,MIN(IF(ISNUMBER(FC198:FC394),ROW(FC198:FC394),"")))</f>
        <v>0</v>
      </c>
      <c r="FE198" s="12">
        <f>IF('Données projet'!$A$228&gt;35,FE197+FD198-FM197,IF(A198&lt;'Données projet'!$A$228,$FB$205^A198,IF(A198='Données projet'!$A$228,'Données projet'!$B$228,FE197+FD198-FM197)))</f>
        <v>8.5265128291212022E-14</v>
      </c>
      <c r="FF198" s="17">
        <f>FE198*VLOOKUP('Données projet'!$B$16,Paramètres!$A$1:$I$89,3,0)*VLOOKUP('Données projet'!$B$16,Paramètres!$A$1:$I$89,5,0)</f>
        <v>8.9119112089974823E-14</v>
      </c>
      <c r="FG198" s="13">
        <f t="shared" si="347"/>
        <v>1.3568952080113142E-12</v>
      </c>
      <c r="FH198" s="20">
        <f t="shared" si="348"/>
        <v>2.5184749408430782E-12</v>
      </c>
      <c r="FI198" s="59">
        <f t="shared" si="364"/>
        <v>293.33333333333582</v>
      </c>
      <c r="FJ198" s="59">
        <f ca="1">AVERAGE(OFFSET($FI$3,0,0,'Données projet'!$E$16+1,1))-AVERAGE(OFFSET($H$3,0,0,'Données projet'!$E$16+1,1))</f>
        <v>259.03906550253788</v>
      </c>
      <c r="FK198" s="59">
        <f t="shared" si="406"/>
        <v>235.54542903570831</v>
      </c>
      <c r="FL198" s="15">
        <f>IF(ISNA(VLOOKUP(A198,'Données projet'!$A$227:$I$247,3,0)),0,VLOOKUP(A198,'Données projet'!$A$227:$I$247,3,0))</f>
        <v>0</v>
      </c>
      <c r="FM198" s="15">
        <f>IF(ISNA(VLOOKUP(A198,'Données projet'!$A$227:$I$247,4,0)),0,VLOOKUP(A198,'Données projet'!$A$227:$I$247,4,0))</f>
        <v>0</v>
      </c>
      <c r="FN198" s="16">
        <f>IF(ISNA(VLOOKUP(A198,'Données projet'!$A$227:$I$247,5,0)),0%,VLOOKUP(A198,'Données projet'!$A$227:$I$247,5,0)*VLOOKUP('Données projet'!$B$16,Paramètres!$A$1:$I$89,7,0))</f>
        <v>0</v>
      </c>
      <c r="FO198" s="16">
        <f>IF(ISNA(VLOOKUP(A198,'Données projet'!$A$227:$I$247,6,0)),0%,VLOOKUP(A198,'Données projet'!$A$227:$I$247,6,0)*VLOOKUP('Données projet'!$B$16,Paramètres!$A$1:$I$89,7,0))</f>
        <v>0</v>
      </c>
      <c r="FP198" s="16">
        <f>IF(ISNA(VLOOKUP(A198,'Données projet'!$A$227:$I$247,7,0)),0%,VLOOKUP(A198,'Données projet'!$A$227:$I$247,7,0))</f>
        <v>0</v>
      </c>
      <c r="FQ198" s="21">
        <f>EXP(-LN(2)/35)*FQ197+(1-EXP(-LN(2)/35))/(LN(2)/35)*FM198*FN198*VLOOKUP('Données projet'!$B$16,Paramètres!$A$1:$I$89,3,0)*0.475*44/12</f>
        <v>10.747581450808076</v>
      </c>
      <c r="FR198" s="21">
        <f>EXP(-LN(2)/25)*FR197+(1-EXP(-LN(2)/25))/(LN(2)/25)*Calculateur!FM198*Calculateur!FO198*VLOOKUP('Données projet'!$B$16,Paramètres!$A$1:$I$89,3,0)*0.475*44/12</f>
        <v>4.2143290059246707</v>
      </c>
      <c r="FS198" s="21">
        <f>EXP(-LN(2)/2)*FS197+(1-EXP(-LN(2)/2))/(LN(2)/2)*FM198*FP198*VLOOKUP('Données projet'!$B$16,Paramètres!$A$1:$I$89,3,0)*0.475*44/12</f>
        <v>0</v>
      </c>
      <c r="FT198" s="22">
        <f t="shared" si="349"/>
        <v>14.961910456732745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projet'!$A$253:$I$273,2,0)</f>
        <v>#N/A</v>
      </c>
      <c r="FX198" s="12" t="e">
        <f>VLOOKUP(A198,'Données projet'!$A$253:$I$273,9,0)</f>
        <v>#N/A</v>
      </c>
      <c r="FY198" s="12">
        <f t="array" ref="FY198">INDEX(FX:FX,MIN(IF(ISNUMBER(FX198:FX394),ROW(FX198:FX394),"")))</f>
        <v>0</v>
      </c>
      <c r="FZ198" s="12">
        <f>IF('Données projet'!$A$254&gt;35,FZ197+FY198-GH197,IF(A198&lt;'Données projet'!$A$254,$FW$205^A198,IF(A198='Données projet'!$A$254,'Données projet'!$B$254,FZ197+FY198-GH197)))</f>
        <v>-1.7053025658242404E-13</v>
      </c>
      <c r="GA198" s="17">
        <f>FZ198*VLOOKUP('Données projet'!$B$17,Paramètres!$A$1:$I$89,3,0)*VLOOKUP('Données projet'!$B$17,Paramètres!$A$1:$I$89,5,0)</f>
        <v>-1.4897523215040567E-13</v>
      </c>
      <c r="GB198" s="13" t="e">
        <f t="shared" si="350"/>
        <v>#NUM!</v>
      </c>
      <c r="GC198" s="20" t="e">
        <f t="shared" si="351"/>
        <v>#NUM!</v>
      </c>
      <c r="GD198" s="59" t="e">
        <f t="shared" si="365"/>
        <v>#NUM!</v>
      </c>
      <c r="GE198" s="59">
        <f ca="1">AVERAGE(OFFSET($GD$3,0,0,'Données projet'!$E$17+1,1))-AVERAGE(OFFSET($H$3,0,0,'Données projet'!$E$17+1,1))</f>
        <v>245.1983232777614</v>
      </c>
      <c r="GF198" s="59">
        <f t="shared" si="407"/>
        <v>242.34010522344573</v>
      </c>
      <c r="GG198" s="15">
        <f>IF(ISNA(VLOOKUP(A198,'Données projet'!$A$253:$I$273,3,0)),0,VLOOKUP(A198,'Données projet'!$A$253:$I$273,3,0))</f>
        <v>0</v>
      </c>
      <c r="GH198" s="15">
        <f>IF(ISNA(VLOOKUP(A198,'Données projet'!$A$253:$I$273,4,0)),0,VLOOKUP(A198,'Données projet'!$A$253:$I$273,4,0))</f>
        <v>0</v>
      </c>
      <c r="GI198" s="16">
        <f>IF(ISNA(VLOOKUP(A198,'Données projet'!$A$253:$I$273,5,0)),0%,VLOOKUP(A198,'Données projet'!$A$253:$I$273,5,0)*VLOOKUP('Données projet'!$B$17,Paramètres!$A$1:$I$89,7,0))</f>
        <v>0</v>
      </c>
      <c r="GJ198" s="16">
        <f>IF(ISNA(VLOOKUP(A198,'Données projet'!$A$253:$I$273,6,0)),0%,VLOOKUP(A198,'Données projet'!$A$253:$I$273,6,0)*VLOOKUP('Données projet'!$B$17,Paramètres!$A$1:$I$89,7,0))</f>
        <v>0</v>
      </c>
      <c r="GK198" s="16">
        <f>IF(ISNA(VLOOKUP(A198,'Données projet'!$A$253:$I$273,7,0)),0%,VLOOKUP(A198,'Données projet'!$A$253:$I$273,7,0))</f>
        <v>0</v>
      </c>
      <c r="GL198" s="21">
        <f>EXP(-LN(2)/35)*GL197+(1-EXP(-LN(2)/35))/(LN(2)/35)*GH198*GI198*VLOOKUP('Données projet'!$B$17,Paramètres!$A$1:$I$89,3,0)*0.475*44/12</f>
        <v>12.635256588285282</v>
      </c>
      <c r="GM198" s="21">
        <f>EXP(-LN(2)/25)*GM197+(1-EXP(-LN(2)/25))/(LN(2)/25)*Calculateur!GH198*Calculateur!GJ198*VLOOKUP('Données projet'!$B$17,Paramètres!$A$1:$I$89,3,0)*0.475*44/12</f>
        <v>0.89797084322232412</v>
      </c>
      <c r="GN198" s="21">
        <f>EXP(-LN(2)/2)*GN197+(1-EXP(-LN(2)/2))/(LN(2)/2)*GH198*GK198*VLOOKUP('Données projet'!$B$17,Paramètres!$A$1:$I$89,3,0)*0.475*44/12</f>
        <v>0</v>
      </c>
      <c r="GO198" s="21">
        <f t="shared" si="352"/>
        <v>13.533227431507607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projet'!$A$279:$I$299,2,0)</f>
        <v>#N/A</v>
      </c>
      <c r="GS198" s="12" t="e">
        <f>VLOOKUP(A198,'Données projet'!$A$279:$I$299,9,0)</f>
        <v>#N/A</v>
      </c>
      <c r="GT198" s="12">
        <f t="array" ref="GT198">INDEX(GS:GS,MIN(IF(ISNUMBER(GS198:GS394),ROW(GS198:GS394),"")))</f>
        <v>0</v>
      </c>
      <c r="GU198" s="12">
        <f>IF('Données projet'!$A$280&gt;35,GU197+GT198-HC197,IF(A198&lt;'Données projet'!$A$280,$GR$205^A198,IF(A198='Données projet'!$A$280,'Données projet'!$B$280,GU197+GT198-HC197)))</f>
        <v>-1.1368683772161603E-13</v>
      </c>
      <c r="GV198" s="17">
        <f>GU198*VLOOKUP('Données projet'!$B$18,Paramètres!$A$1:$I$89,3,0)*VLOOKUP('Données projet'!$B$18,Paramètres!$A$1:$I$89,5,0)</f>
        <v>-4.5815795601811263E-14</v>
      </c>
      <c r="GW198" s="13" t="e">
        <f t="shared" si="353"/>
        <v>#NUM!</v>
      </c>
      <c r="GX198" s="20" t="e">
        <f t="shared" si="354"/>
        <v>#NUM!</v>
      </c>
      <c r="GY198" s="59" t="e">
        <f t="shared" si="366"/>
        <v>#NUM!</v>
      </c>
      <c r="GZ198" s="59">
        <f ca="1">AVERAGE(OFFSET($GY$3,0,0,'Données projet'!$E$18+1,1))-AVERAGE(OFFSET($H$3,0,0,'Données projet'!$E$18+1,1))</f>
        <v>324.36162935850876</v>
      </c>
      <c r="HA198" s="59">
        <f t="shared" si="408"/>
        <v>265.23571072429735</v>
      </c>
      <c r="HB198" s="15">
        <f>IF(ISNA(VLOOKUP(A198,'Données projet'!$A$279:$I$299,3,0)),0,VLOOKUP(A198,'Données projet'!$A$279:$I$299,3,0))</f>
        <v>0</v>
      </c>
      <c r="HC198" s="15">
        <f>IF(ISNA(VLOOKUP(A198,'Données projet'!$A$279:$I$299,4,0)),0,VLOOKUP(A198,'Données projet'!$A$279:$I$299,4,0))</f>
        <v>0</v>
      </c>
      <c r="HD198" s="16">
        <f>IF(ISNA(VLOOKUP(A198,'Données projet'!$A$279:$I$299,5,0)),0%,VLOOKUP(A198,'Données projet'!$A$279:$I$299,5,0)*VLOOKUP('Données projet'!$B$18,Paramètres!$A$1:$I$89,7,0))</f>
        <v>0</v>
      </c>
      <c r="HE198" s="16">
        <f>IF(ISNA(VLOOKUP(A198,'Données projet'!$A$279:$I$299,6,0)),0%,VLOOKUP(A198,'Données projet'!$A$279:$I$299,6,0)*VLOOKUP('Données projet'!$B$18,Paramètres!$A$1:$I$89,7,0))</f>
        <v>0</v>
      </c>
      <c r="HF198" s="16">
        <f>IF(ISNA(VLOOKUP($A198,'Données projet'!$A$279:$I$299,7,0)),0%,VLOOKUP($A198,'Données projet'!$A$279:$I$299,7,0))</f>
        <v>0</v>
      </c>
      <c r="HG198" s="21">
        <f>EXP(-LN(2)/35)*HG197+(1-EXP(-LN(2)/35))/(LN(2)/35)*HC198*HD198*VLOOKUP('Données projet'!$B$18,Paramètres!$A$1:$I$89,3,0)*0.475*44/12</f>
        <v>24.212454716897955</v>
      </c>
      <c r="HH198" s="21">
        <f>EXP(-LN(2)/25)*HH197+(1-EXP(-LN(2)/25))/(LN(2)/25)*Calculateur!HC198*Calculateur!HE198*VLOOKUP('Données projet'!$B$18,Paramètres!$A$1:$I$89,3,0)*0.475*44/12</f>
        <v>0.99870419416505984</v>
      </c>
      <c r="HI198" s="21">
        <f>EXP(-LN(2)/2)*HI197+(1-EXP(-LN(2)/2))/(LN(2)/2)*HC198*HF198*VLOOKUP('Données projet'!$B$18,Paramètres!$A$1:$I$89,3,0)*0.475*44/12</f>
        <v>4.1937217210894267E-17</v>
      </c>
      <c r="HJ198" s="22">
        <f t="shared" si="355"/>
        <v>25.211158911063016</v>
      </c>
      <c r="HK198" s="74">
        <f>('Scénario référence'!$F$8+'Scénario référence'!$F$9+'Scénario référence'!$B$17+'Scénario référence'!$B$9+'Scénario référence'!$B$10)*70+IF((45+25*(1-EXP(-0.0175*$A198)))&lt;70,'Scénario référence'!$B$16*(45+25*(1-EXP(-0.0175*$A198))),70*'Scénario référence'!$B$16)+IF((32+38*(1-EXP(-0.0175*$A198)))&lt;70,'Scénario référence'!$B$18*(32+38*(1-EXP(-0.0175*$A198))),70*'Scénario référence'!$B$18)</f>
        <v>70</v>
      </c>
      <c r="HL198" s="12">
        <f>IF($A198&gt;30,10,('Scénario référence'!$B$16+'Scénario référence'!$B$17+'Scénario référence'!$B$18+'Scénario référence'!$B$9+'Scénario référence'!$B$10)*$A198*10/30+('Scénario référence'!$F$8+'Scénario référence'!$F$9)*10)</f>
        <v>10</v>
      </c>
      <c r="HM198" s="12" t="e">
        <f>VLOOKUP($A198,'Données projet'!$A$304:$I$324,2,0)</f>
        <v>#N/A</v>
      </c>
      <c r="HN198" s="12" t="e">
        <f>VLOOKUP($A198,'Données projet'!$A$304:$I$324,9,0)</f>
        <v>#N/A</v>
      </c>
      <c r="HO198" s="12">
        <f t="array" ref="HO198">INDEX(HN:HN,MIN(IF(ISNUMBER(HN198:HN394),ROW(HN198:HN394),"")))</f>
        <v>0</v>
      </c>
      <c r="HP198" s="12">
        <f>IF('Données projet'!$A$304&gt;35,HP197+HO198-HX197,IF($A198&lt;'Données projet'!$A$304,$CQ$205^$A198,IF($A198='Données projet'!$A$304,'Données projet'!$B$304,HP197+HO198-HX197)))</f>
        <v>0</v>
      </c>
      <c r="HQ198" s="17">
        <f>HP198*VLOOKUP('Données projet'!$B$19,Paramètres!$A$1:$I$89,3,0)*VLOOKUP('Données projet'!$B$19,Paramètres!$A$1:$I$89,5,0)</f>
        <v>0</v>
      </c>
      <c r="HR198" s="13" t="e">
        <f t="shared" si="409"/>
        <v>#NUM!</v>
      </c>
      <c r="HS198" s="14" t="e">
        <f t="shared" si="367"/>
        <v>#NUM!</v>
      </c>
      <c r="HT198" s="59" t="e">
        <f t="shared" si="368"/>
        <v>#NUM!</v>
      </c>
      <c r="HU198" s="59">
        <f ca="1">AVERAGE(OFFSET(HT$3,0,0,'Données projet'!$E$19+1,1))-AVERAGE(OFFSET($H$3,0,0,'Données projet'!$E$19+1,1))</f>
        <v>91.60721429656013</v>
      </c>
      <c r="HV198" s="59">
        <f t="shared" si="410"/>
        <v>258.94957804210856</v>
      </c>
      <c r="HW198" s="15">
        <f>IF(ISNA(VLOOKUP($A198,'Données projet'!$A$304:$I$324,3,0)),0,VLOOKUP($A198,'Données projet'!$A$304:$I$324,3,0))</f>
        <v>0</v>
      </c>
      <c r="HX198" s="15">
        <f>IF(ISNA(VLOOKUP($A198,'Données projet'!$A$304:$I$324,4,0)),0,VLOOKUP($A198,'Données projet'!$A$304:$I$324,4,0))</f>
        <v>0</v>
      </c>
      <c r="HY198" s="16">
        <f>IF(ISNA(VLOOKUP($A198,'Données projet'!$A$304:$I$324,5,0)),0%,VLOOKUP($A198,'Données projet'!$A$304:$I$324,5,0)*VLOOKUP('Données projet'!$B$19,Paramètres!$A$1:$I$89,7,0))</f>
        <v>0</v>
      </c>
      <c r="HZ198" s="16">
        <f>IF(ISNA(VLOOKUP($A198,'Données projet'!$A$304:$I$324,6,0)),0%,VLOOKUP($A198,'Données projet'!$A$304:$I$324,6,0)*VLOOKUP('Données projet'!$B$19,Paramètres!$A$1:$I$89,7,0))</f>
        <v>0</v>
      </c>
      <c r="IA198" s="16">
        <f>IF(ISNA(VLOOKUP($A198,'Données projet'!$A$304:$I$324,7,0)),0%,VLOOKUP($A198,'Données projet'!$A$304:$I$324,7,0))</f>
        <v>0</v>
      </c>
      <c r="IB198" s="21">
        <f>EXP(-LN(2)/35)*IB197+(1-EXP(-LN(2)/35))/(LN(2)/35)*HX198*HY198*VLOOKUP('Données projet'!$B$19,Paramètres!$A$1:$I$89,3,0)*0.475*44/12</f>
        <v>1.8792887701411454</v>
      </c>
      <c r="IC198" s="21">
        <f>EXP(-LN(2)/25)*IC197+(1-EXP(-LN(2)/25))/(LN(2)/25)*Calculateur!HX198*Calculateur!HZ198*VLOOKUP('Données projet'!$B$19,Paramètres!$A$1:$I$89,3,0)*0.475*44/12</f>
        <v>0.10027978361721189</v>
      </c>
      <c r="ID198" s="21">
        <f>EXP(-LN(2)/2)*ID197+(1-EXP(-LN(2)/2))/(LN(2)/2)*HX198*IA198*VLOOKUP('Données projet'!$B$19,Paramètres!$A$1:$I$89,3,0)*0.475*44/12</f>
        <v>8.3766048272027271E-26</v>
      </c>
      <c r="IE198" s="22">
        <f t="shared" si="369"/>
        <v>1.9795685537583572</v>
      </c>
      <c r="IF198" s="74">
        <f>('Scénario référence'!$F$8+'Scénario référence'!$F$9+'Scénario référence'!$B$17+'Scénario référence'!$B$9+'Scénario référence'!$B$10)*70+IF((45+25*(1-EXP(-0.0175*$A198)))&lt;70,'Scénario référence'!$B$16*(45+25*(1-EXP(-0.0175*$A198))),70*'Scénario référence'!$B$16)+IF((32+38*(1-EXP(-0.0175*$A198)))&lt;70,'Scénario référence'!$B$18*(32+38*(1-EXP(-0.0175*$A198))),70*'Scénario référence'!$B$18)</f>
        <v>70</v>
      </c>
      <c r="IG198" s="12">
        <f>IF($A198&gt;30,10,('Scénario référence'!$B$16+'Scénario référence'!$B$17+'Scénario référence'!$B$18+'Scénario référence'!$B$9+'Scénario référence'!$B$10)*$A198*10/30+('Scénario référence'!$F$8+'Scénario référence'!$F$9)*10)</f>
        <v>10</v>
      </c>
      <c r="IH198" s="12" t="e">
        <f>VLOOKUP($A198,'Données projet'!$A$330:$I$350,2,0)</f>
        <v>#N/A</v>
      </c>
      <c r="II198" s="12" t="e">
        <f>VLOOKUP($A198,'Données projet'!$A$330:$I$350,9,0)</f>
        <v>#N/A</v>
      </c>
      <c r="IJ198" s="12">
        <f t="array" ref="IJ198">INDEX(II:II,MIN(IF(ISNUMBER(II198:II394),ROW(II198:II394),"")))</f>
        <v>0</v>
      </c>
      <c r="IK198" s="12">
        <f>IF('Données projet'!$A$330&gt;35,IK197+IJ198-IS197,IF($A198&lt;'Données projet'!$A$330,$CQ$205^$A198,IF($A198='Données projet'!$A$330,'Données projet'!$B$330,IK197+IJ198-IS197)))</f>
        <v>0</v>
      </c>
      <c r="IL198" s="17">
        <f>IK198*VLOOKUP('Données projet'!$B$20,Paramètres!$A$1:$I$89,3,0)*VLOOKUP('Données projet'!$B$20,Paramètres!$A$1:$I$89,5,0)</f>
        <v>0</v>
      </c>
      <c r="IM198" s="13" t="e">
        <f t="shared" si="411"/>
        <v>#NUM!</v>
      </c>
      <c r="IN198" s="20" t="e">
        <f t="shared" si="370"/>
        <v>#NUM!</v>
      </c>
      <c r="IO198" s="59" t="e">
        <f t="shared" si="371"/>
        <v>#NUM!</v>
      </c>
      <c r="IP198" s="59">
        <f ca="1">AVERAGE(OFFSET(IO$3,0,0,'Données projet'!$E$20+1,1))-AVERAGE(OFFSET($H$3,0,0,'Données projet'!$E$20+1,1))</f>
        <v>91.60721429656013</v>
      </c>
      <c r="IQ198" s="59">
        <f t="shared" si="412"/>
        <v>258.94957804210856</v>
      </c>
      <c r="IR198" s="15">
        <f>IF(ISNA(VLOOKUP($A198,'Données projet'!$A$330:$I$350,3,0)),0,VLOOKUP($A198,'Données projet'!$A$330:$I$350,3,0))</f>
        <v>0</v>
      </c>
      <c r="IS198" s="15">
        <f>IF(ISNA(VLOOKUP($A198,'Données projet'!$A$330:$I$350,4,0)),0,VLOOKUP($A198,'Données projet'!$A$330:$I$350,4,0))</f>
        <v>0</v>
      </c>
      <c r="IT198" s="16">
        <f>IF(ISNA(VLOOKUP($A198,'Données projet'!$A$330:$I$350,5,0)),0%,VLOOKUP($A198,'Données projet'!$A$330:$I$350,5,0)*VLOOKUP('Données projet'!$B$20,Paramètres!$A$1:$I$89,7,0))</f>
        <v>0</v>
      </c>
      <c r="IU198" s="16">
        <f>IF(ISNA(VLOOKUP($A198,'Données projet'!$A$330:$I$350,6,0)),0%,VLOOKUP($A198,'Données projet'!$A$330:$I$350,6,0)*VLOOKUP('Données projet'!$B$20,Paramètres!$A$1:$I$89,7,0))</f>
        <v>0</v>
      </c>
      <c r="IV198" s="16">
        <f>IF(ISNA(VLOOKUP($A198,'Données projet'!$A$330:$I$350,7,0)),0%,VLOOKUP($A198,'Données projet'!$A$330:$I$350,7,0))</f>
        <v>0</v>
      </c>
      <c r="IW198" s="21">
        <f>EXP(-LN(2)/35)*IW197+(1-EXP(-LN(2)/35))/(LN(2)/35)*IS198*IT198*VLOOKUP('Données projet'!$B$20,Paramètres!$A$1:$I$89,3,0)*0.475*44/12</f>
        <v>1.8792887701411454</v>
      </c>
      <c r="IX198" s="21">
        <f>EXP(-LN(2)/25)*IX197+(1-EXP(-LN(2)/25))/(LN(2)/25)*Calculateur!IS198*Calculateur!IU198*VLOOKUP('Données projet'!$B$20,Paramètres!$A$1:$I$89,3,0)*0.475*44/12</f>
        <v>0.10027978361721189</v>
      </c>
      <c r="IY198" s="21">
        <f>EXP(-LN(2)/2)*IY197+(1-EXP(-LN(2)/2))/(LN(2)/2)*IS198*IV198*VLOOKUP('Données projet'!$B$20,Paramètres!$A$1:$I$89,3,0)*0.475*44/12</f>
        <v>8.3766048272027271E-26</v>
      </c>
      <c r="IZ198" s="22">
        <f t="shared" si="372"/>
        <v>1.9795685537583572</v>
      </c>
      <c r="JA198" s="74">
        <f>('Scénario référence'!$F$8+'Scénario référence'!$F$9+'Scénario référence'!$B$17+'Scénario référence'!$B$9+'Scénario référence'!$B$10)*70+IF((45+25*(1-EXP(-0.0175*$A198)))&lt;70,'Scénario référence'!$B$16*(45+25*(1-EXP(-0.0175*$A198))),70*'Scénario référence'!$B$16)+IF((32+38*(1-EXP(-0.0175*$A198)))&lt;70,'Scénario référence'!$B$18*(32+38*(1-EXP(-0.0175*$A198))),70*'Scénario référence'!$B$18)</f>
        <v>70</v>
      </c>
      <c r="JB198" s="12">
        <f>IF($A198&gt;30,10,('Scénario référence'!$B$16+'Scénario référence'!$B$17+'Scénario référence'!$B$18+'Scénario référence'!$B$9+'Scénario référence'!$B$10)*$A198*10/30+('Scénario référence'!$F$8+'Scénario référence'!$F$9)*10)</f>
        <v>10</v>
      </c>
      <c r="JC198" s="12" t="e">
        <f>VLOOKUP($A198,'Données projet'!$A$356:$I$376,2,0)</f>
        <v>#N/A</v>
      </c>
      <c r="JD198" s="12" t="e">
        <f>VLOOKUP($A198,'Données projet'!$A$356:$I$376,9,0)</f>
        <v>#N/A</v>
      </c>
      <c r="JE198" s="12">
        <f t="array" ref="JE198">INDEX(JD:JD,MIN(IF(ISNUMBER(JD198:JD394),ROW(JD198:JD394),"")))</f>
        <v>0</v>
      </c>
      <c r="JF198" s="12">
        <f>IF('Données projet'!$A$356&gt;35,JF197+JE198-JN197,IF($A198&lt;'Données projet'!$A$356,$CQ$205^$A198,IF($A198='Données projet'!$A$356,'Données projet'!$B$356,JF197+JE198-JN197)))</f>
        <v>-1.3073986337985843E-12</v>
      </c>
      <c r="JG198" s="17">
        <f>JF198*VLOOKUP('Données projet'!$B$21,Paramètres!$A$1:$I$89,3,0)*VLOOKUP('Données projet'!$B$21,Paramètres!$A$1:$I$89,5,0)</f>
        <v>-1.0605617717374117E-12</v>
      </c>
      <c r="JH198" s="13" t="e">
        <f t="shared" si="413"/>
        <v>#NUM!</v>
      </c>
      <c r="JI198" s="20" t="e">
        <f t="shared" si="373"/>
        <v>#NUM!</v>
      </c>
      <c r="JJ198" s="59" t="e">
        <f t="shared" si="374"/>
        <v>#NUM!</v>
      </c>
      <c r="JK198" s="59">
        <f ca="1">AVERAGE(OFFSET($JJ$3,0,0,'Données projet'!$E$22+1,1))-AVERAGE(OFFSET($H$3,0,0,'Données projet'!$E$22+1,1))</f>
        <v>353.35574633294613</v>
      </c>
      <c r="JL198" s="59">
        <f t="shared" si="414"/>
        <v>170.36796666474726</v>
      </c>
      <c r="JM198" s="15">
        <f>IF(ISNA(VLOOKUP($A198,'Données projet'!$A$356:$I$376,3,0)),0,VLOOKUP($A198,'Données projet'!$A$356:$I$376,3,0))</f>
        <v>0</v>
      </c>
      <c r="JN198" s="15">
        <f>IF(ISNA(VLOOKUP($A198,'Données projet'!$A$356:$I$376,4,0)),0,VLOOKUP($A198,'Données projet'!$A$356:$I$376,4,0))</f>
        <v>0</v>
      </c>
      <c r="JO198" s="16">
        <f>IF(ISNA(VLOOKUP($A198,'Données projet'!$A$356:$I$376,5,0)),0%,VLOOKUP($A198,'Données projet'!$A$356:$I$376,5,0)*VLOOKUP('Données projet'!$B$21,Paramètres!$A$1:$I$89,7,0))</f>
        <v>0</v>
      </c>
      <c r="JP198" s="16">
        <f>IF(ISNA(VLOOKUP($A198,'Données projet'!$A$356:$I$376,6,0)),0%,VLOOKUP($A198,'Données projet'!$A$356:$I$376,6,0)*VLOOKUP('Données projet'!$B$21,Paramètres!$A$1:$I$89,7,0))</f>
        <v>0</v>
      </c>
      <c r="JQ198" s="16">
        <f>IF(ISNA(VLOOKUP($A198,'Données projet'!$A$356:$I$376,7,0)),0%,VLOOKUP($A198,'Données projet'!$A$356:$I$376,7,0))</f>
        <v>0</v>
      </c>
      <c r="JR198" s="21">
        <f>EXP(-LN(2)/35)*JR197+(1-EXP(-LN(2)/35))/(LN(2)/35)*JN198*JO198*VLOOKUP('Données projet'!$B$21,Paramètres!$A$1:$I$89,3,0)*0.475*44/12</f>
        <v>30.127801240027171</v>
      </c>
      <c r="JS198" s="21">
        <f>EXP(-LN(2)/25)*JS197+(1-EXP(-LN(2)/25))/(LN(2)/25)*Calculateur!JN198*Calculateur!JP198*VLOOKUP('Données projet'!$B$21,Paramètres!$A$1:$I$89,3,0)*0.475*44/12</f>
        <v>21.947870242405777</v>
      </c>
      <c r="JT198" s="21">
        <f>EXP(-LN(2)/2)*JT197+(1-EXP(-LN(2)/2))/(LN(2)/2)*JN198*JQ198*VLOOKUP('Données projet'!$B$21,Paramètres!$A$1:$I$89,3,0)*0.475*44/12</f>
        <v>5.7810180073589988E-6</v>
      </c>
      <c r="JU198" s="18">
        <f t="shared" si="375"/>
        <v>52.075677263450956</v>
      </c>
      <c r="JV198" s="74">
        <f>('Scénario référence'!$F$8+'Scénario référence'!$F$9+'Scénario référence'!$B$17+'Scénario référence'!$B$9+'Scénario référence'!$B$10)*70+IF((45+25*(1-EXP(-0.0175*$A198)))&lt;70,'Scénario référence'!$B$16*(45+25*(1-EXP(-0.0175*$A198))),70*'Scénario référence'!$B$16)+IF((32+38*(1-EXP(-0.0175*$A198)))&lt;70,'Scénario référence'!$B$18*(32+38*(1-EXP(-0.0175*$A198))),70*'Scénario référence'!$B$18)</f>
        <v>70</v>
      </c>
      <c r="JW198" s="12">
        <f>IF($A198&gt;30,10,('Scénario référence'!$B$16+'Scénario référence'!$B$17+'Scénario référence'!$B$18+'Scénario référence'!$B$9+'Scénario référence'!$B$10)*$A198*10/30+('Scénario référence'!$F$8+'Scénario référence'!$F$9)*10)</f>
        <v>10</v>
      </c>
      <c r="JX198" s="12" t="e">
        <f>VLOOKUP($A198,'Données projet'!$A$382:$I$402,2,0)</f>
        <v>#N/A</v>
      </c>
      <c r="JY198" s="12" t="e">
        <f>VLOOKUP($A198,'Données projet'!$A$382:$I$402,9,0)</f>
        <v>#N/A</v>
      </c>
      <c r="JZ198" s="12">
        <f t="array" ref="JZ198">INDEX(JY:JY,MIN(IF(ISNUMBER(JY198:JY394),ROW(JY198:JY394),"")))</f>
        <v>0</v>
      </c>
      <c r="KA198" s="12">
        <f>IF('Données projet'!$A$382&gt;35,KA197+JZ198-KI197,IF($A198&lt;'Données projet'!$A$382,$CQ$205^$A198,IF($A198='Données projet'!$A$382,'Données projet'!$B$382,KA197+JZ198-KI197)))</f>
        <v>5.6843418860808015E-13</v>
      </c>
      <c r="KB198" s="17">
        <f>KA198*VLOOKUP('Données projet'!$B$22,Paramètres!$A$1:$I$89,3,0)*VLOOKUP('Données projet'!$B$22,Paramètres!$A$1:$I$89,5,0)</f>
        <v>3.8130565371830017E-13</v>
      </c>
      <c r="KC198" s="13">
        <f t="shared" si="415"/>
        <v>4.9019074112354236E-12</v>
      </c>
      <c r="KD198" s="20">
        <f t="shared" si="376"/>
        <v>9.2015960881277352E-12</v>
      </c>
      <c r="KE198" s="59">
        <f t="shared" si="377"/>
        <v>293.33333333334252</v>
      </c>
      <c r="KF198" s="59">
        <f ca="1">AVERAGE(OFFSET($KE$3,0,0,'Données projet'!$E$22+1,1))-AVERAGE(OFFSET($H$3,0,0,'Données projet'!$E$22+1,1))</f>
        <v>193.91714772848269</v>
      </c>
      <c r="KG198" s="59">
        <f t="shared" si="416"/>
        <v>159.20429420478047</v>
      </c>
      <c r="KH198" s="15">
        <f>IF(ISNA(VLOOKUP($A198,'Données projet'!$A$382:$I$402,3,0)),0,VLOOKUP($A198,'Données projet'!$A$382:$I$402,3,0))</f>
        <v>0</v>
      </c>
      <c r="KI198" s="15">
        <f>IF(ISNA(VLOOKUP($A198,'Données projet'!$A$382:$I$402,4,0)),0,VLOOKUP($A198,'Données projet'!$A$382:$I$402,4,0))</f>
        <v>0</v>
      </c>
      <c r="KJ198" s="16">
        <f>IF(ISNA(VLOOKUP($A198,'Données projet'!$A$382:$I$402,5,0)),0%,VLOOKUP($A198,'Données projet'!$A$382:$I$402,5,0)*VLOOKUP('Données projet'!$B$22,Paramètres!$A$1:$I$89,7,0))</f>
        <v>0</v>
      </c>
      <c r="KK198" s="16">
        <f>IF(ISNA(VLOOKUP($A198,'Données projet'!$A$382:$I$402,6,0)),0%,VLOOKUP($A198,'Données projet'!$A$382:$I$402,6,0)*VLOOKUP('Données projet'!$B$22,Paramètres!$A$1:$I$89,7,0))</f>
        <v>0</v>
      </c>
      <c r="KL198" s="16">
        <f>IF(ISNA(VLOOKUP($A198,'Données projet'!$A$382:$I$402,7,0)),0%,VLOOKUP($A198,'Données projet'!$A$382:$I$402,7,0))</f>
        <v>0</v>
      </c>
      <c r="KM198" s="21">
        <f>EXP(-LN(2)/35)*KM197+(1-EXP(-LN(2)/35))/(LN(2)/35)*KI198*KJ198*VLOOKUP('Données projet'!$B$22,Paramètres!$A$1:$I$89,3,0)*0.475*44/12</f>
        <v>43.989914991392816</v>
      </c>
      <c r="KN198" s="21">
        <f>EXP(-LN(2)/25)*KN197+(1-EXP(-LN(2)/25))/(LN(2)/25)*Calculateur!KI198*Calculateur!KK198*VLOOKUP('Données projet'!$B$22,Paramètres!$A$1:$I$89,3,0)*0.475*44/12</f>
        <v>0</v>
      </c>
      <c r="KO198" s="21">
        <f>EXP(-LN(2)/2)*KO197+(1-EXP(-LN(2)/2))/(LN(2)/2)*KI198*KL198*VLOOKUP('Données projet'!$B$22,Paramètres!$A$1:$I$89,3,0)*0.475*44/12</f>
        <v>0</v>
      </c>
      <c r="KP198" s="22">
        <f t="shared" si="378"/>
        <v>43.989914991392816</v>
      </c>
      <c r="KQ198" s="74">
        <f>('Scénario référence'!$F$8+'Scénario référence'!$F$9+'Scénario référence'!$B$17+'Scénario référence'!$B$9+'Scénario référence'!$B$10)*70+IF((45+25*(1-EXP(-0.0175*$A198)))&lt;70,'Scénario référence'!$B$16*(45+25*(1-EXP(-0.0175*$A198))),70*'Scénario référence'!$B$16)+IF((32+38*(1-EXP(-0.0175*$A198)))&lt;70,'Scénario référence'!$B$18*(32+38*(1-EXP(-0.0175*$A198))),70*'Scénario référence'!$B$18)</f>
        <v>70</v>
      </c>
      <c r="KR198" s="12">
        <f>IF($A198&gt;30,10,('Scénario référence'!$B$16+'Scénario référence'!$B$17+'Scénario référence'!$B$18+'Scénario référence'!$B$9+'Scénario référence'!$B$10)*$A198*10/30+('Scénario référence'!$F$8+'Scénario référence'!$F$9)*10)</f>
        <v>10</v>
      </c>
      <c r="KS198" s="12" t="e">
        <f>VLOOKUP($A198,'Données projet'!$A$408:$I$428,2,0)</f>
        <v>#N/A</v>
      </c>
      <c r="KT198" s="12" t="e">
        <f>VLOOKUP($A198,'Données projet'!$A$408:$I$428,9,0)</f>
        <v>#N/A</v>
      </c>
      <c r="KU198" s="12">
        <f t="array" ref="KU198">INDEX(KT:KT,MIN(IF(ISNUMBER(KT198:KT394),ROW(KT198:KT394),"")))</f>
        <v>0</v>
      </c>
      <c r="KV198" s="12">
        <f>IF('Données projet'!$A$408&gt;35,KV197+KU198-LD197,IF($A198&lt;'Données projet'!$A$408,$CQ$205^$A198,IF($A198='Données projet'!$A$408,'Données projet'!$B$408,KV197+KU198-LD197)))</f>
        <v>-1.1368683772161603E-13</v>
      </c>
      <c r="KW198" s="17">
        <f>KV198*VLOOKUP('Données projet'!$B$23,Paramètres!$A$1:$I$89,3,0)*VLOOKUP('Données projet'!$B$23,Paramètres!$A$1:$I$89,5,0)</f>
        <v>-9.9316821433603781E-14</v>
      </c>
      <c r="KX198" s="13" t="e">
        <f t="shared" si="417"/>
        <v>#NUM!</v>
      </c>
      <c r="KY198" s="14" t="e">
        <f t="shared" si="379"/>
        <v>#NUM!</v>
      </c>
      <c r="KZ198" s="59" t="e">
        <f t="shared" si="380"/>
        <v>#NUM!</v>
      </c>
      <c r="LA198" s="59">
        <f ca="1">AVERAGE(OFFSET($KZ$3,0,0,'Données projet'!$E$23+1,1))-AVERAGE(OFFSET($H$3,0,0,'Données projet'!$E$23+1,1))</f>
        <v>248.33596943633819</v>
      </c>
      <c r="LB198" s="59">
        <f t="shared" si="418"/>
        <v>242.34010522344573</v>
      </c>
      <c r="LC198" s="15">
        <f>IF(ISNA(VLOOKUP($A198,'Données projet'!$A$408:$I$428,3,0)),0,VLOOKUP($A198,'Données projet'!$A$408:$I$428,3,0))</f>
        <v>0</v>
      </c>
      <c r="LD198" s="15">
        <f>IF(ISNA(VLOOKUP($A198,'Données projet'!$A$408:$I$428,4,0)),0,VLOOKUP($A198,'Données projet'!$A$408:$I$428,4,0))</f>
        <v>0</v>
      </c>
      <c r="LE198" s="16">
        <f>IF(ISNA(VLOOKUP($A198,'Données projet'!$A$408:$I$428,5,0)),0%,VLOOKUP($A198,'Données projet'!$A$408:$I$428,5,0)*VLOOKUP('Données projet'!$B$23,Paramètres!$A$1:$I$89,7,0))</f>
        <v>0</v>
      </c>
      <c r="LF198" s="16">
        <f>IF(ISNA(VLOOKUP($A198,'Données projet'!$A$408:$I$428,6,0)),0%,VLOOKUP($A198,'Données projet'!$A$408:$I$428,6,0)*VLOOKUP('Données projet'!$B$23,Paramètres!$A$1:$I$89,7,0))</f>
        <v>0</v>
      </c>
      <c r="LG198" s="16">
        <f>IF(ISNA(VLOOKUP($A198,'Données projet'!$A$408:$I$428,7,0)),0%,VLOOKUP($A198,'Données projet'!$A$408:$I$428,7,0))</f>
        <v>0</v>
      </c>
      <c r="LH198" s="21">
        <f>EXP(-LN(2)/35)*LH197+(1-EXP(-LN(2)/35))/(LN(2)/35)*LD198*LE198*VLOOKUP('Données projet'!$B$23,Paramètres!$A$1:$I$89,3,0)*0.475*44/12</f>
        <v>12.635256588285282</v>
      </c>
      <c r="LI198" s="21">
        <f>EXP(-LN(2)/25)*LI197+(1-EXP(-LN(2)/25))/(LN(2)/25)*Calculateur!LD198*Calculateur!LF198*VLOOKUP('Données projet'!$B$23,Paramètres!$A$1:$I$89,3,0)*0.475*44/12</f>
        <v>0.89797084322232412</v>
      </c>
      <c r="LJ198" s="21">
        <f>EXP(-LN(2)/2)*LJ197+(1-EXP(-LN(2)/2))/(LN(2)/2)*LD198*LG198*VLOOKUP('Données projet'!$B$23,Paramètres!$A$1:$I$89,3,0)*0.475*44/12</f>
        <v>0</v>
      </c>
      <c r="LK198" s="22">
        <f t="shared" si="381"/>
        <v>13.533227431507607</v>
      </c>
      <c r="LL198" s="74">
        <f>('Scénario référence'!$F$8+'Scénario référence'!$F$9+'Scénario référence'!$B$17+'Scénario référence'!$B$9+'Scénario référence'!$B$10)*70+IF((45+25*(1-EXP(-0.0175*$A198)))&lt;70,'Scénario référence'!$B$16*(45+25*(1-EXP(-0.0175*$A198))),70*'Scénario référence'!$B$16)+IF((32+38*(1-EXP(-0.0175*$A198)))&lt;70,'Scénario référence'!$B$18*(32+38*(1-EXP(-0.0175*$A198))),70*'Scénario référence'!$B$18)</f>
        <v>70</v>
      </c>
      <c r="LM198" s="12">
        <f>IF($A198&gt;30,10,('Scénario référence'!$B$16+'Scénario référence'!$B$17+'Scénario référence'!$B$18+'Scénario référence'!$B$9+'Scénario référence'!$B$10)*$A198*10/30+('Scénario référence'!$F$8+'Scénario référence'!$F$9)*10)</f>
        <v>10</v>
      </c>
      <c r="LN198" s="12" t="e">
        <f>VLOOKUP($A198,'Données projet'!$A$434:$I$454,2,0)</f>
        <v>#N/A</v>
      </c>
      <c r="LO198" s="12" t="e">
        <f>VLOOKUP($A198,'Données projet'!$A$434:$I$454,9,0)</f>
        <v>#N/A</v>
      </c>
      <c r="LP198" s="12">
        <f t="array" ref="LP198">INDEX(LO:LO,MIN(IF(ISNUMBER(LO198:LO394),ROW(LO198:LO394),"")))</f>
        <v>0</v>
      </c>
      <c r="LQ198" s="12">
        <f>IF('Données projet'!$A$434&gt;35,LQ197+LP198-LY197,IF($A198&lt;'Données projet'!$A$434,$CQ$205^$A198,IF($A198='Données projet'!$A$434,'Données projet'!$B$434,LQ197+LP198-LY197)))</f>
        <v>-4.5474735088646412E-13</v>
      </c>
      <c r="LR198" s="17">
        <f>LQ198*VLOOKUP('Données projet'!$B$24,Paramètres!$A$1:$I$89,3,0)*VLOOKUP('Données projet'!$B$24,Paramètres!$A$1:$I$89,5,0)</f>
        <v>-4.6111381379887462E-13</v>
      </c>
      <c r="LS198" s="13" t="e">
        <f t="shared" si="419"/>
        <v>#NUM!</v>
      </c>
      <c r="LT198" s="14" t="e">
        <f t="shared" si="382"/>
        <v>#NUM!</v>
      </c>
      <c r="LU198" s="59" t="e">
        <f t="shared" si="383"/>
        <v>#NUM!</v>
      </c>
      <c r="LV198" s="59">
        <f ca="1">AVERAGE(OFFSET($LU$3,0,0,'Données projet'!$E$24+1,1))-AVERAGE(OFFSET($H$3,0,0,'Données projet'!$E$24+1,1))</f>
        <v>260.52627655062872</v>
      </c>
      <c r="LW198" s="59">
        <f t="shared" si="420"/>
        <v>159.20429420478047</v>
      </c>
      <c r="LX198" s="15">
        <f>IF(ISNA(VLOOKUP($A198,'Données projet'!$A$434:$I$454,3,0)),0,VLOOKUP($A198,'Données projet'!$A$434:$I$454,3,0))</f>
        <v>0</v>
      </c>
      <c r="LY198" s="15">
        <f>IF(ISNA(VLOOKUP($A198,'Données projet'!$A$434:$I$454,4,0)),0,VLOOKUP($A198,'Données projet'!$A$434:$I$454,4,0))</f>
        <v>0</v>
      </c>
      <c r="LZ198" s="16">
        <f>IF(ISNA(VLOOKUP($A198,'Données projet'!$A$434:$I$454,5,0)),0%,VLOOKUP($A198,'Données projet'!$A$434:$I$454,5,0)*VLOOKUP('Données projet'!$B$24,Paramètres!$A$1:$I$89,7,0))</f>
        <v>0</v>
      </c>
      <c r="MA198" s="16">
        <f>IF(ISNA(VLOOKUP($A198,'Données projet'!$A$434:$I$454,6,0)),0%,VLOOKUP($A198,'Données projet'!$A$434:$I$454,6,0)*VLOOKUP('Données projet'!$B$24,Paramètres!$A$1:$I$89,7,0))</f>
        <v>0</v>
      </c>
      <c r="MB198" s="16">
        <f>IF(ISNA(VLOOKUP($A198,'Données projet'!$A$434:$I$454,7,0)),0%,VLOOKUP($A198,'Données projet'!$A$434:$I$454,7,0))</f>
        <v>0</v>
      </c>
      <c r="MC198" s="21">
        <f>EXP(-LN(2)/35)*MC197+(1-EXP(-LN(2)/35))/(LN(2)/35)*LY198*LZ198*VLOOKUP('Données projet'!$B$24,Paramètres!$A$1:$I$89,3,0)*0.475*44/12</f>
        <v>81.240408194405688</v>
      </c>
      <c r="MD198" s="21">
        <f>EXP(-LN(2)/25)*MD197+(1-EXP(-LN(2)/25))/(LN(2)/25)*Calculateur!LY198*Calculateur!MA198*VLOOKUP('Données projet'!$B$24,Paramètres!$A$1:$I$89,3,0)*0.475*44/12</f>
        <v>0</v>
      </c>
      <c r="ME198" s="21">
        <f>EXP(-LN(2)/2)*ME197+(1-EXP(-LN(2)/2))/(LN(2)/2)*LY198*MB198*VLOOKUP('Données projet'!$B$24,Paramètres!$A$1:$I$89,3,0)*0.475*44/12</f>
        <v>0</v>
      </c>
      <c r="MF198" s="22">
        <f t="shared" si="384"/>
        <v>81.240408194405688</v>
      </c>
      <c r="MG198" s="74">
        <f>('Scénario référence'!$F$8+'Scénario référence'!$F$9+'Scénario référence'!$B$17+'Scénario référence'!$B$9+'Scénario référence'!$B$10)*70+IF((45+25*(1-EXP(-0.0175*$A198)))&lt;70,'Scénario référence'!$B$16*(45+25*(1-EXP(-0.0175*$A198))),70*'Scénario référence'!$B$16)+IF((32+38*(1-EXP(-0.0175*$A198)))&lt;70,'Scénario référence'!$B$18*(32+38*(1-EXP(-0.0175*$A198))),70*'Scénario référence'!$B$18)</f>
        <v>70</v>
      </c>
      <c r="MH198" s="12">
        <f>IF($A198&gt;30,10,('Scénario référence'!$B$16+'Scénario référence'!$B$17+'Scénario référence'!$B$18+'Scénario référence'!$B$9+'Scénario référence'!$B$10)*$A198*10/30+('Scénario référence'!$F$8+'Scénario référence'!$F$9)*10)</f>
        <v>10</v>
      </c>
      <c r="MI198" s="12" t="e">
        <f>VLOOKUP($A198,'Données projet'!$A$460:$I$480,2,0)</f>
        <v>#N/A</v>
      </c>
      <c r="MJ198" s="12" t="e">
        <f>VLOOKUP($A198,'Données projet'!$A$460:$I$480,9,0)</f>
        <v>#N/A</v>
      </c>
      <c r="MK198" s="12">
        <f t="array" ref="MK198">INDEX(MJ:MJ,MIN(IF(ISNUMBER(MJ198:MJ394),ROW(MJ198:MJ394),"")))</f>
        <v>0</v>
      </c>
      <c r="ML198" s="12">
        <f>IF('Données projet'!$A$460&gt;35,ML197+MK198-MT197,IF($A198&lt;'Données projet'!$A$460,$CQ$205^$A198,IF($A198='Données projet'!$A$460,'Données projet'!$B$460,ML197+MK198-MT197)))</f>
        <v>0</v>
      </c>
      <c r="MM198" s="17" t="e">
        <f>ML198*VLOOKUP('Données projet'!$B$25,Paramètres!$A$1:$I$89,3,0)*VLOOKUP('Données projet'!$B$25,Paramètres!$A$1:$I$89,5,0)</f>
        <v>#N/A</v>
      </c>
      <c r="MN198" s="13" t="e">
        <f t="shared" si="421"/>
        <v>#N/A</v>
      </c>
      <c r="MO198" s="14" t="e">
        <f t="shared" si="385"/>
        <v>#N/A</v>
      </c>
      <c r="MP198" s="59" t="e">
        <f t="shared" si="386"/>
        <v>#N/A</v>
      </c>
      <c r="MQ198" s="20" t="e">
        <f ca="1">AVERAGE(OFFSET($MP$3,0,0,'Données projet'!$E$25+1,1))-AVERAGE(OFFSET($H$3,0,0,'Données projet'!$E$25+1,1))</f>
        <v>#N/A</v>
      </c>
      <c r="MR198" s="59" t="e">
        <f t="shared" si="422"/>
        <v>#N/A</v>
      </c>
      <c r="MS198" s="15">
        <f>IF(ISNA(VLOOKUP($A198,'Données projet'!$A$460:$I$480,3,0)),0,VLOOKUP($A198,'Données projet'!$A$460:$I$480,3,0))</f>
        <v>0</v>
      </c>
      <c r="MT198" s="15">
        <f>IF(ISNA(VLOOKUP($A198,'Données projet'!$A$460:$I$480,4,0)),0,VLOOKUP($A198,'Données projet'!$A$460:$I$480,4,0))</f>
        <v>0</v>
      </c>
      <c r="MU198" s="16">
        <f>IF(ISNA(VLOOKUP($A198,'Données projet'!$A$460:$I$480,5,0)),0%,VLOOKUP($A198,'Données projet'!$A$460:$I$480,5,0)*VLOOKUP('Données projet'!$B$25,Paramètres!$A$1:$I$89,7,0))</f>
        <v>0</v>
      </c>
      <c r="MV198" s="16">
        <f>IF(ISNA(VLOOKUP($A198,'Données projet'!$A$460:$I$480,6,0)),0%,VLOOKUP($A198,'Données projet'!$A$460:$I$480,6,0)*VLOOKUP('Données projet'!$B$25,Paramètres!$A$1:$I$89,7,0))</f>
        <v>0</v>
      </c>
      <c r="MW198" s="16">
        <f>IF(ISNA(VLOOKUP($A198,'Données projet'!$A$460:$I$480,7,0)),0%,VLOOKUP($A198,'Données projet'!$A$460:$I$480,7,0))</f>
        <v>0</v>
      </c>
      <c r="MX198" s="21" t="e">
        <f>EXP(-LN(2)/35)*MX197+(1-EXP(-LN(2)/35))/(LN(2)/35)*MT198*MU198*VLOOKUP('Données projet'!$B$25,Paramètres!$A$1:$I$89,3,0)*0.475*44/12</f>
        <v>#N/A</v>
      </c>
      <c r="MY198" s="21" t="e">
        <f>EXP(-LN(2)/25)*MY197+(1-EXP(-LN(2)/25))/(LN(2)/25)*Calculateur!MT198*Calculateur!MV198*VLOOKUP('Données projet'!$B$25,Paramètres!$A$1:$I$89,3,0)*0.475*44/12</f>
        <v>#N/A</v>
      </c>
      <c r="MZ198" s="21" t="e">
        <f>EXP(-LN(2)/2)*MZ197+(1-EXP(-LN(2)/2))/(LN(2)/2)*MT198*MW198*VLOOKUP('Données projet'!$B$25,Paramètres!$A$1:$I$89,3,0)*0.475*44/12</f>
        <v>#N/A</v>
      </c>
      <c r="NA198" s="22" t="e">
        <f t="shared" si="387"/>
        <v>#N/A</v>
      </c>
      <c r="NB198" s="74">
        <f>('Scénario référence'!$F$8+'Scénario référence'!$F$9+'Scénario référence'!$B$17+'Scénario référence'!$B$9+'Scénario référence'!$B$10)*70+IF((45+25*(1-EXP(-0.0175*$A198)))&lt;70,'Scénario référence'!$B$16*(45+25*(1-EXP(-0.0175*$A198))),70*'Scénario référence'!$B$16)+IF((32+38*(1-EXP(-0.0175*$A198)))&lt;70,'Scénario référence'!$B$18*(32+38*(1-EXP(-0.0175*$A198))),70*'Scénario référence'!$B$18)</f>
        <v>70</v>
      </c>
      <c r="NC198" s="12">
        <f>IF($A198&gt;30,10,('Scénario référence'!$B$16+'Scénario référence'!$B$17+'Scénario référence'!$B$18+'Scénario référence'!$B$9+'Scénario référence'!$B$10)*$A198*10/30+('Scénario référence'!$F$8+'Scénario référence'!$F$9)*10)</f>
        <v>10</v>
      </c>
      <c r="ND198" s="12" t="e">
        <f>VLOOKUP($A198,'Données projet'!$A$486:$I$506,2,0)</f>
        <v>#N/A</v>
      </c>
      <c r="NE198" s="12" t="e">
        <f>VLOOKUP($A198,'Données projet'!$A$486:$I$506,9,0)</f>
        <v>#N/A</v>
      </c>
      <c r="NF198" s="12">
        <f t="array" ref="NF198">INDEX(NE:NE,MIN(IF(ISNUMBER(NE198:NE394),ROW(NE198:NE394),"")))</f>
        <v>0</v>
      </c>
      <c r="NG198" s="12">
        <f>IF('Données projet'!$A$486&gt;35,NG197+NF198-NO197,IF($A198&lt;'Données projet'!$A$486,$CQ$205^$A198,IF($A198='Données projet'!$A$486,'Données projet'!$B$486,NG197+NF198-NO197)))</f>
        <v>0</v>
      </c>
      <c r="NH198" s="17" t="e">
        <f>NG198*VLOOKUP('Données projet'!$B$26,Paramètres!$A$1:$I$89,3,0)*VLOOKUP('Données projet'!$B$26,Paramètres!$A$1:$I$89,5,0)</f>
        <v>#N/A</v>
      </c>
      <c r="NI198" s="13" t="e">
        <f t="shared" si="423"/>
        <v>#N/A</v>
      </c>
      <c r="NJ198" s="14" t="e">
        <f t="shared" si="388"/>
        <v>#N/A</v>
      </c>
      <c r="NK198" s="59" t="e">
        <f t="shared" si="389"/>
        <v>#N/A</v>
      </c>
      <c r="NL198" s="20" t="e">
        <f ca="1">AVERAGE(OFFSET($NK$3,0,0,'Données projet'!$E$26+1,1))-AVERAGE(OFFSET($H$3,0,0,'Données projet'!$E$26+1,1))</f>
        <v>#N/A</v>
      </c>
      <c r="NM198" s="59" t="e">
        <f t="shared" si="424"/>
        <v>#N/A</v>
      </c>
      <c r="NN198" s="15">
        <f>IF(ISNA(VLOOKUP($A198,'Données projet'!$A$486:$I$506,3,0)),0,VLOOKUP($A198,'Données projet'!$A$486:$I$506,3,0))</f>
        <v>0</v>
      </c>
      <c r="NO198" s="15">
        <f>IF(ISNA(VLOOKUP($A198,'Données projet'!$A$486:$I$506,4,0)),0,VLOOKUP($A198,'Données projet'!$A$486:$I$506,4,0))</f>
        <v>0</v>
      </c>
      <c r="NP198" s="16">
        <f>IF(ISNA(VLOOKUP($A198,'Données projet'!$A$486:$I$506,5,0)),0%,VLOOKUP($A198,'Données projet'!$A$486:$I$506,5,0)*VLOOKUP('Données projet'!$B$26,Paramètres!$A$1:$I$89,7,0))</f>
        <v>0</v>
      </c>
      <c r="NQ198" s="16">
        <f>IF(ISNA(VLOOKUP($A198,'Données projet'!$A$486:$I$506,6,0)),0%,VLOOKUP($A198,'Données projet'!$A$486:$I$506,6,0)*VLOOKUP('Données projet'!$B$26,Paramètres!$A$1:$I$89,7,0))</f>
        <v>0</v>
      </c>
      <c r="NR198" s="16">
        <f>IF(ISNA(VLOOKUP($A198,'Données projet'!$A$486:$I$506,7,0)),0%,VLOOKUP($A198,'Données projet'!$A$486:$I$506,7,0))</f>
        <v>0</v>
      </c>
      <c r="NS198" s="21" t="e">
        <f>EXP(-LN(2)/35)*NS197+(1-EXP(-LN(2)/35))/(LN(2)/35)*NO198*NP198*VLOOKUP('Données projet'!$B$26,Paramètres!$A$1:$I$89,3,0)*0.475*44/12</f>
        <v>#N/A</v>
      </c>
      <c r="NT198" s="21" t="e">
        <f>EXP(-LN(2)/25)*NT197+(1-EXP(-LN(2)/25))/(LN(2)/25)*Calculateur!NO198*Calculateur!NQ198*VLOOKUP('Données projet'!$B$26,Paramètres!$A$1:$I$89,3,0)*0.475*44/12</f>
        <v>#N/A</v>
      </c>
      <c r="NU198" s="21" t="e">
        <f>EXP(-LN(2)/2)*NU197+(1-EXP(-LN(2)/2))/(LN(2)/2)*NO198*NR198*VLOOKUP('Données projet'!$B$26,Paramètres!$A$1:$I$89,3,0)*0.475*44/12</f>
        <v>#N/A</v>
      </c>
      <c r="NV198" s="22" t="e">
        <f t="shared" si="390"/>
        <v>#N/A</v>
      </c>
      <c r="NW198" s="74">
        <f>('Scénario référence'!$F$8+'Scénario référence'!$F$9+'Scénario référence'!$B$17+'Scénario référence'!$B$9+'Scénario référence'!$B$10)*70+IF((45+25*(1-EXP(-0.0175*$A198)))&lt;70,'Scénario référence'!$B$16*(45+25*(1-EXP(-0.0175*$A198))),70*'Scénario référence'!$B$16)+IF((32+38*(1-EXP(-0.0175*$A198)))&lt;70,'Scénario référence'!$B$18*(32+38*(1-EXP(-0.0175*$A198))),70*'Scénario référence'!$B$18)</f>
        <v>70</v>
      </c>
      <c r="NX198" s="12">
        <f>IF($A198&gt;30,10,('Scénario référence'!$B$16+'Scénario référence'!$B$17+'Scénario référence'!$B$18+'Scénario référence'!$B$9+'Scénario référence'!$B$10)*$A198*10/30+('Scénario référence'!$F$8+'Scénario référence'!$F$9)*10)</f>
        <v>10</v>
      </c>
      <c r="NY198" s="12" t="e">
        <f>VLOOKUP($A198,'Données projet'!$A$512:$I$532,2,0)</f>
        <v>#N/A</v>
      </c>
      <c r="NZ198" s="12" t="e">
        <f>VLOOKUP($A198,'Données projet'!$A$512:$I$532,9,0)</f>
        <v>#N/A</v>
      </c>
      <c r="OA198" s="12">
        <f t="array" ref="OA198">INDEX(NZ:NZ,MIN(IF(ISNUMBER(NZ198:NZ394),ROW(NZ198:NZ394),"")))</f>
        <v>0</v>
      </c>
      <c r="OB198" s="12">
        <f>IF('Données projet'!$A$512&gt;35,OB197+OA198-OJ197,IF($A198&lt;'Données projet'!$A$512,$CQ$205^$A198,IF($A198='Données projet'!$A$512,'Données projet'!$B$512,OB197+OA198-OJ197)))</f>
        <v>0</v>
      </c>
      <c r="OC198" s="17" t="e">
        <f>OB198*VLOOKUP('Données projet'!$B$27,Paramètres!$A$1:$I$89,3,0)*VLOOKUP('Données projet'!$B$27,Paramètres!$A$1:$I$89,5,0)</f>
        <v>#N/A</v>
      </c>
      <c r="OD198" s="13" t="e">
        <f t="shared" si="425"/>
        <v>#N/A</v>
      </c>
      <c r="OE198" s="14" t="e">
        <f t="shared" si="391"/>
        <v>#N/A</v>
      </c>
      <c r="OF198" s="59" t="e">
        <f t="shared" si="392"/>
        <v>#N/A</v>
      </c>
      <c r="OG198" s="20" t="e">
        <f ca="1">AVERAGE(OFFSET($OF$3,0,0,'Données projet'!$E$27+1,1))-AVERAGE(OFFSET($H$3,0,0,'Données projet'!$E$27+1,1))</f>
        <v>#N/A</v>
      </c>
      <c r="OH198" s="59" t="e">
        <f t="shared" si="426"/>
        <v>#N/A</v>
      </c>
      <c r="OI198" s="15">
        <f>IF(ISNA(VLOOKUP($A198,'Données projet'!$A$512:$I$532,3,0)),0,VLOOKUP($A198,'Données projet'!$A$512:$I$532,3,0))</f>
        <v>0</v>
      </c>
      <c r="OJ198" s="15">
        <f>IF(ISNA(VLOOKUP($A198,'Données projet'!$A$512:$I$532,4,0)),0,VLOOKUP($A198,'Données projet'!$A$512:$I$532,4,0))</f>
        <v>0</v>
      </c>
      <c r="OK198" s="16">
        <f>IF(ISNA(VLOOKUP($A198,'Données projet'!$A$512:$I$532,5,0)),0%,VLOOKUP($A198,'Données projet'!$A$512:$I$532,5,0)*VLOOKUP('Données projet'!$B$27,Paramètres!$A$1:$I$89,7,0))</f>
        <v>0</v>
      </c>
      <c r="OL198" s="16">
        <f>IF(ISNA(VLOOKUP($A198,'Données projet'!$A$512:$I$532,6,0)),0%,VLOOKUP($A198,'Données projet'!$A$512:$I$532,6,0)*VLOOKUP('Données projet'!$B$27,Paramètres!$A$1:$I$89,7,0))</f>
        <v>0</v>
      </c>
      <c r="OM198" s="16">
        <f>IF(ISNA(VLOOKUP($A198,'Données projet'!$A$512:$I$532,7,0)),0%,VLOOKUP($A198,'Données projet'!$A$512:$I$532,7,0))</f>
        <v>0</v>
      </c>
      <c r="ON198" s="21" t="e">
        <f>EXP(-LN(2)/35)*ON197+(1-EXP(-LN(2)/35))/(LN(2)/35)*OJ198*OK198*VLOOKUP('Données projet'!$B$27,Paramètres!$A$1:$I$89,3,0)*0.475*44/12</f>
        <v>#N/A</v>
      </c>
      <c r="OO198" s="21" t="e">
        <f>EXP(-LN(2)/25)*OO197+(1-EXP(-LN(2)/25))/(LN(2)/25)*Calculateur!OJ198*Calculateur!OL198*VLOOKUP('Données projet'!$B$27,Paramètres!$A$1:$I$89,3,0)*0.475*44/12</f>
        <v>#N/A</v>
      </c>
      <c r="OP198" s="21" t="e">
        <f>EXP(-LN(2)/2)*OP197+(1-EXP(-LN(2)/2))/(LN(2)/2)*OJ198*OM198*VLOOKUP('Données projet'!$B$27,Paramètres!$A$1:$I$89,3,0)*0.475*44/12</f>
        <v>#N/A</v>
      </c>
      <c r="OQ198" s="22" t="e">
        <f t="shared" si="393"/>
        <v>#N/A</v>
      </c>
      <c r="OR198" s="74">
        <f>('Scénario référence'!$F$8+'Scénario référence'!$F$9+'Scénario référence'!$B$17+'Scénario référence'!$B$9+'Scénario référence'!$B$10)*70+IF((45+25*(1-EXP(-0.0175*$A198)))&lt;70,'Scénario référence'!$B$16*(45+25*(1-EXP(-0.0175*$A198))),70*'Scénario référence'!$B$16)+IF((32+38*(1-EXP(-0.0175*$A198)))&lt;70,'Scénario référence'!$B$18*(32+38*(1-EXP(-0.0175*$A198))),70*'Scénario référence'!$B$18)</f>
        <v>70</v>
      </c>
      <c r="OS198" s="12">
        <f>IF($A198&gt;30,10,('Scénario référence'!$B$16+'Scénario référence'!$B$17+'Scénario référence'!$B$18+'Scénario référence'!$B$9+'Scénario référence'!$B$10)*$A198*10/30+('Scénario référence'!$F$8+'Scénario référence'!$F$9)*10)</f>
        <v>10</v>
      </c>
      <c r="OT198" s="12" t="e">
        <f>VLOOKUP($A198,'Données projet'!$A$538:$I$558,2,0)</f>
        <v>#N/A</v>
      </c>
      <c r="OU198" s="12" t="e">
        <f>VLOOKUP($A198,'Données projet'!$A$538:$I$558,9,0)</f>
        <v>#N/A</v>
      </c>
      <c r="OV198" s="12">
        <f t="array" ref="OV198">INDEX(OU:OU,MIN(IF(ISNUMBER(OU198:OU394),ROW(OU198:OU394),"")))</f>
        <v>0</v>
      </c>
      <c r="OW198" s="12">
        <f>IF('Données projet'!$A$538&gt;35,OW197+OV198-PE197,IF($A198&lt;'Données projet'!$A$538,$CQ$205^$A198,IF($A198='Données projet'!$A$538,'Données projet'!$B$538,OW197+OV198-PE197)))</f>
        <v>0</v>
      </c>
      <c r="OX198" s="17" t="e">
        <f>OW198*VLOOKUP('Données projet'!$B$28,Paramètres!$A$1:$I$89,3,0)*VLOOKUP('Données projet'!$B$28,Paramètres!$A$1:$I$89,5,0)</f>
        <v>#N/A</v>
      </c>
      <c r="OY198" s="13" t="e">
        <f t="shared" si="427"/>
        <v>#N/A</v>
      </c>
      <c r="OZ198" s="14" t="e">
        <f t="shared" si="394"/>
        <v>#N/A</v>
      </c>
      <c r="PA198" s="59" t="e">
        <f t="shared" si="395"/>
        <v>#N/A</v>
      </c>
      <c r="PB198" s="20" t="e">
        <f ca="1">AVERAGE(OFFSET($PA$3,0,0,'Données projet'!$E$28+1,1))-AVERAGE(OFFSET($H$3,0,0,'Données projet'!$E$28+1,1))</f>
        <v>#N/A</v>
      </c>
      <c r="PC198" s="59" t="e">
        <f t="shared" si="428"/>
        <v>#N/A</v>
      </c>
      <c r="PD198" s="15">
        <f>IF(ISNA(VLOOKUP($A198,'Données projet'!$A$538:$I$558,3,0)),0,VLOOKUP($A198,'Données projet'!$A$538:$I$558,3,0))</f>
        <v>0</v>
      </c>
      <c r="PE198" s="15">
        <f>IF(ISNA(VLOOKUP($A198,'Données projet'!$A$538:$I$558,4,0)),0,VLOOKUP($A198,'Données projet'!$A$538:$I$558,4,0))</f>
        <v>0</v>
      </c>
      <c r="PF198" s="16">
        <f>IF(ISNA(VLOOKUP($A198,'Données projet'!$A$538:$I$558,5,0)),0%,VLOOKUP($A198,'Données projet'!$A$538:$I$558,5,0)*VLOOKUP('Données projet'!$B$28,Paramètres!$A$1:$I$89,7,0))</f>
        <v>0</v>
      </c>
      <c r="PG198" s="16">
        <f>IF(ISNA(VLOOKUP($A198,'Données projet'!$A$538:$I$558,6,0)),0%,VLOOKUP($A198,'Données projet'!$A$538:$I$558,6,0)*VLOOKUP('Données projet'!$B$28,Paramètres!$A$1:$I$89,7,0))</f>
        <v>0</v>
      </c>
      <c r="PH198" s="16">
        <f>IF(ISNA(VLOOKUP($A198,'Données projet'!$A$538:$I$558,7,0)),0%,VLOOKUP($A198,'Données projet'!$A$538:$I$558,7,0))</f>
        <v>0</v>
      </c>
      <c r="PI198" s="21" t="e">
        <f>EXP(-LN(2)/35)*PI197+(1-EXP(-LN(2)/35))/(LN(2)/35)*PE198*PF198*VLOOKUP('Données projet'!$B$28,Paramètres!$A$1:$I$89,3,0)*0.475*44/12</f>
        <v>#N/A</v>
      </c>
      <c r="PJ198" s="21" t="e">
        <f>EXP(-LN(2)/25)*PJ197+(1-EXP(-LN(2)/25))/(LN(2)/25)*Calculateur!PE198*Calculateur!PG198*VLOOKUP('Données projet'!$B$28,Paramètres!$A$1:$I$89,3,0)*0.475*44/12</f>
        <v>#N/A</v>
      </c>
      <c r="PK198" s="21" t="e">
        <f>EXP(-LN(2)/2)*PK197+(1-EXP(-LN(2)/2))/(LN(2)/2)*PE198*PH198*VLOOKUP('Données projet'!$B$28,Paramètres!$A$1:$I$89,3,0)*0.475*44/12</f>
        <v>#N/A</v>
      </c>
      <c r="PL198" s="22" t="e">
        <f t="shared" si="396"/>
        <v>#N/A</v>
      </c>
    </row>
    <row r="199" spans="1:428" x14ac:dyDescent="0.35">
      <c r="A199" s="10">
        <f t="shared" si="326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397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357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projet'!$A$45:$I$65,2,0)</f>
        <v>#N/A</v>
      </c>
      <c r="L199" s="12" t="e">
        <f>VLOOKUP(A199,'Données projet'!$A$45:$I$65,9,0)</f>
        <v>#N/A</v>
      </c>
      <c r="M199" s="12">
        <f t="array" ref="M199">INDEX(L:L,MIN(IF(ISNUMBER(L199:L395),ROW(L199:L395),"")))</f>
        <v>0</v>
      </c>
      <c r="N199" s="13">
        <f>IF('Données projet'!$A$46&gt;35,N198+M199-V198,IF(A199&lt;'Données projet'!$A$46,$K$205^A199,IF(A199='Données projet'!$A$46,'Données projet'!$B$46,N198+M199-V198)))</f>
        <v>-1.1368683772161603E-13</v>
      </c>
      <c r="O199" s="13">
        <f>N199*VLOOKUP('Données projet'!$B$9,Paramètres!$A$1:$I$89,3,0)*VLOOKUP('Données projet'!$B$9,Paramètres!$A$1:$I$89,5,0)</f>
        <v>-6.3550942286383367E-14</v>
      </c>
      <c r="P199" s="13" t="e">
        <f t="shared" si="398"/>
        <v>#NUM!</v>
      </c>
      <c r="Q199" s="20" t="e">
        <f t="shared" si="327"/>
        <v>#NUM!</v>
      </c>
      <c r="R199" s="59" t="e">
        <f t="shared" si="356"/>
        <v>#NUM!</v>
      </c>
      <c r="S199" s="59">
        <f ca="1">AVERAGE(OFFSET($R$3,0,0,'Données projet'!$E$9+1,1))-AVERAGE(OFFSET($H$3,0,0,'Données projet'!$E$9+1,1))</f>
        <v>274.57619581652199</v>
      </c>
      <c r="T199" s="59">
        <f t="shared" si="399"/>
        <v>366.15117322598775</v>
      </c>
      <c r="U199" s="15">
        <f>IF(ISNA(VLOOKUP(A199,'Données projet'!$A$45:$I$65,3,0)),0,VLOOKUP(A199,'Données projet'!$A$45:$I$65,3,0))</f>
        <v>0</v>
      </c>
      <c r="V199" s="15">
        <f>IF(ISNA(VLOOKUP(A199,'Données projet'!$A$45:$I$65,4,0)),0,VLOOKUP(A199,'Données projet'!$A$45:$I$65,4,0))</f>
        <v>0</v>
      </c>
      <c r="W199" s="16">
        <f>IF(ISNA(VLOOKUP(A199,'Données projet'!$A$45:$I$65,5,0)),0%,VLOOKUP(A199,'Données projet'!$A$45:$I$65,5,0)*VLOOKUP('Données projet'!$B$9,Paramètres!$A$1:$I$89,7,0))</f>
        <v>0</v>
      </c>
      <c r="X199" s="16">
        <f>IF(ISNA(VLOOKUP(A199,'Données projet'!$A$45:$I$65,6,0)),0%,VLOOKUP(A199,'Données projet'!$A$45:$I$65,6,0)*VLOOKUP('Données projet'!$B$9,Paramètres!$A$1:$I$89,7,0))</f>
        <v>0</v>
      </c>
      <c r="Y199" s="16">
        <f>IF(ISNA(VLOOKUP(A199,'Données projet'!$A$45:$I$65,7,0)),0%,VLOOKUP(A199,'Données projet'!$A$45:$I$65,7,0))</f>
        <v>0</v>
      </c>
      <c r="Z199" s="21">
        <f>EXP(-LN(2)/35)*Z198+(1-EXP(-LN(2)/35))/(LN(2)/35)*V199*W199*VLOOKUP('Données projet'!$B$9,Paramètres!$A$1:$I$89,3,0)*0.475*44/12</f>
        <v>13.888279677027974</v>
      </c>
      <c r="AA199" s="21">
        <f>EXP(-LN(2)/25)*AA198+(1-EXP(-LN(2)/25))/(LN(2)/25)*Calculateur!V199*Calculateur!X199*VLOOKUP('Données projet'!$B$9,Paramètres!$A$1:$I$89,3,0)*0.475*44/12</f>
        <v>1.1552373266999039</v>
      </c>
      <c r="AB199" s="21">
        <f>EXP(-LN(2)/2)*AB198+(1-EXP(-LN(2)/2))/(LN(2)/2)*V199*Y199*VLOOKUP('Données projet'!$B$9,Paramètres!$A$1:$I$89,3,0)*0.475*44/12</f>
        <v>2.0460665052666032E-20</v>
      </c>
      <c r="AC199" s="22">
        <f t="shared" si="328"/>
        <v>15.043517003727878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projet'!$A$71:$I$91,2,0)</f>
        <v>#N/A</v>
      </c>
      <c r="AG199" s="12" t="e">
        <f>VLOOKUP(A199,'Données projet'!$A$71:$I$91,9,0)</f>
        <v>#N/A</v>
      </c>
      <c r="AH199" s="12">
        <f t="array" ref="AH199">INDEX(AG:AG,MIN(IF(ISNUMBER(AG199:AG395),ROW(AG199:AG395),"")))</f>
        <v>0</v>
      </c>
      <c r="AI199" s="13">
        <f>IF('Données projet'!$A$72&gt;35,AI198+AH199-AQ198,IF(A199&lt;'Données projet'!$A$72,$AF$205^A199,IF(A199='Données projet'!$A$72,'Données projet'!$B$72,AI198+AH199-AQ198)))</f>
        <v>5.6843418860808015E-13</v>
      </c>
      <c r="AJ199" s="13">
        <f>AI199*VLOOKUP('Données projet'!$B$10,Paramètres!$A$1:$I$89,3,0)*VLOOKUP('Données projet'!$B$10,Paramètres!$A$1:$I$89,5,0)</f>
        <v>5.1431925385259092E-13</v>
      </c>
      <c r="AK199" s="13">
        <f t="shared" si="329"/>
        <v>6.3855359115685756E-12</v>
      </c>
      <c r="AL199" s="20">
        <f t="shared" si="330"/>
        <v>1.2017247746441865E-11</v>
      </c>
      <c r="AM199" s="59">
        <f t="shared" si="358"/>
        <v>293.33333333334531</v>
      </c>
      <c r="AN199" s="59">
        <f ca="1">AVERAGE(OFFSET($AM$3,0,0,'Données projet'!$E$10+1,1))-AVERAGE(OFFSET($H$3,0,0,'Données projet'!$E$10+1,1))</f>
        <v>270.87836509222456</v>
      </c>
      <c r="AO199" s="59">
        <f t="shared" si="400"/>
        <v>205.24998237949734</v>
      </c>
      <c r="AP199" s="15">
        <f>IF(ISNA(VLOOKUP(A199,'Données projet'!$A$71:$I$91,3,0)),0,VLOOKUP(A199,'Données projet'!$A$71:$I$91,3,0))</f>
        <v>0</v>
      </c>
      <c r="AQ199" s="15">
        <f>IF(ISNA(VLOOKUP(A199,'Données projet'!$A$71:$I$91,4,0)),0,VLOOKUP(A199,'Données projet'!$A$71:$I$91,4,0))</f>
        <v>0</v>
      </c>
      <c r="AR199" s="16">
        <f>IF(ISNA(VLOOKUP(A199,'Données projet'!$A$71:$I$91,5,0)),0%,VLOOKUP(A199,'Données projet'!$A$71:$I$91,5,0)*VLOOKUP('Données projet'!$B$10,Paramètres!$A$1:$I$89,7,0))</f>
        <v>0</v>
      </c>
      <c r="AS199" s="16">
        <f>IF(ISNA(VLOOKUP(A199,'Données projet'!$A$71:$I$91,6,0)),0%,VLOOKUP(A199,'Données projet'!$A$71:$I$91,6,0)*VLOOKUP('Données projet'!$B$10,Paramètres!$A$1:$I$89,7,0))</f>
        <v>0</v>
      </c>
      <c r="AT199" s="16">
        <f>IF(ISNA(VLOOKUP(A199,'Données projet'!$A$71:$I$91,7,0)),0%,VLOOKUP(A199,'Données projet'!$A$71:$I$91,7,0))</f>
        <v>0</v>
      </c>
      <c r="AU199" s="21">
        <f>EXP(-LN(2)/35)*AU198+(1-EXP(-LN(2)/35))/(LN(2)/35)*AQ199*AR199*VLOOKUP('Données projet'!$B$10,Paramètres!$A$1:$I$89,3,0)*0.475*44/12</f>
        <v>47.195912758441573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331"/>
        <v>47.195912758441573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projet'!$A$97:$I$117,2,0)</f>
        <v>#N/A</v>
      </c>
      <c r="BB199" s="12" t="e">
        <f>VLOOKUP(A199,'Données projet'!$A$97:$I$117,9,0)</f>
        <v>#N/A</v>
      </c>
      <c r="BC199" s="12">
        <f t="array" ref="BC199">INDEX(BB:BB,MIN(IF(ISNUMBER(BB199:BB395),ROW(BB199:BB395),"")))</f>
        <v>0</v>
      </c>
      <c r="BD199" s="12">
        <f>IF('Données projet'!$A$98&gt;35,BD198+BC199-BL198,IF(A199&lt;'Données projet'!$A$98,$BA$205^A199,IF(A199='Données projet'!$A$98,'Données projet'!$B$98,BD198+BC199-BL198)))</f>
        <v>-1.1368683772161603E-13</v>
      </c>
      <c r="BE199" s="13">
        <f>BD199*VLOOKUP('Données projet'!$B$11,Paramètres!$A$1:$I$89,3,0)*VLOOKUP('Données projet'!$B$11,Paramètres!$A$1:$I$89,5,0)</f>
        <v>-5.0249582272954292E-14</v>
      </c>
      <c r="BF199" s="13" t="e">
        <f t="shared" si="332"/>
        <v>#NUM!</v>
      </c>
      <c r="BG199" s="20" t="e">
        <f t="shared" si="333"/>
        <v>#NUM!</v>
      </c>
      <c r="BH199" s="59" t="e">
        <f t="shared" si="359"/>
        <v>#NUM!</v>
      </c>
      <c r="BI199" s="59">
        <f ca="1">AVERAGE(OFFSET($BH$3,0,0,'Données projet'!$E$11+1,1))-AVERAGE(OFFSET($H$3,0,0,'Données projet'!$E$11+1,1))</f>
        <v>211.31057120485542</v>
      </c>
      <c r="BJ199" s="59">
        <f t="shared" si="401"/>
        <v>283.33292006714777</v>
      </c>
      <c r="BK199" s="15">
        <f>IF(ISNA(VLOOKUP(A199,'Données projet'!$A$97:$I$117,3,0)),0,VLOOKUP(A199,'Données projet'!$A$97:$I$117,3,0))</f>
        <v>0</v>
      </c>
      <c r="BL199" s="15">
        <f>IF(ISNA(VLOOKUP(A199,'Données projet'!$A$97:$I$117,4,0)),0,VLOOKUP(A199,'Données projet'!$A$97:$I$117,4,0))</f>
        <v>0</v>
      </c>
      <c r="BM199" s="16">
        <f>IF(ISNA(VLOOKUP(A199,'Données projet'!$A$97:$I$117,5,0)),0%,VLOOKUP(A199,'Données projet'!$A$97:$I$117,5,0)*VLOOKUP('Données projet'!$B$11,Paramètres!$A$1:$I$89,7,0))</f>
        <v>0</v>
      </c>
      <c r="BN199" s="16">
        <f>IF(ISNA(VLOOKUP(A199,'Données projet'!$A$97:$I$117,6,0)),0%,VLOOKUP(A199,'Données projet'!$A$97:$I$117,6,0)*VLOOKUP('Données projet'!$B$11,Paramètres!$A$1:$I$89,7,0))</f>
        <v>0</v>
      </c>
      <c r="BO199" s="16">
        <f>IF(ISNA(VLOOKUP(A199,'Données projet'!$A$97:$I$117,7,0)),0%,VLOOKUP(A199,'Données projet'!$A$97:$I$117,7,0))</f>
        <v>0</v>
      </c>
      <c r="BP199" s="21">
        <f>EXP(-LN(2)/35)*BP198+(1-EXP(-LN(2)/35))/(LN(2)/35)*BL199*BM199*VLOOKUP('Données projet'!$B$11,Paramètres!$A$1:$I$89,3,0)*0.475*44/12</f>
        <v>10.981430442301198</v>
      </c>
      <c r="BQ199" s="21">
        <f>EXP(-LN(2)/25)*BQ198+(1-EXP(-LN(2)/25))/(LN(2)/25)*Calculateur!BL199*Calculateur!BN199*VLOOKUP('Données projet'!$B$11,Paramètres!$A$1:$I$89,3,0)*0.475*44/12</f>
        <v>0.91344346762317941</v>
      </c>
      <c r="BR199" s="21">
        <f>EXP(-LN(2)/2)*BR198+(1-EXP(-LN(2)/2))/(LN(2)/2)*BL199*BO199*VLOOKUP('Données projet'!$B$11,Paramètres!$A$1:$I$89,3,0)*0.475*44/12</f>
        <v>1.6178200274201045E-20</v>
      </c>
      <c r="BS199" s="22">
        <f t="shared" si="334"/>
        <v>11.894873909924378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projet'!$A$123:$I$143,2,0)</f>
        <v>#N/A</v>
      </c>
      <c r="BW199" s="12" t="e">
        <f>VLOOKUP(A199,'Données projet'!$A$123:$I$143,9,0)</f>
        <v>#N/A</v>
      </c>
      <c r="BX199" s="12">
        <f t="array" ref="BX199">INDEX(BW:BW,MIN(IF(ISNUMBER(BW199:BW395),ROW(BW199:BW395),"")))</f>
        <v>0</v>
      </c>
      <c r="BY199" s="12">
        <f>IF('Données projet'!$A$124&gt;35,BY198+BX199-CG198,IF(A199&lt;'Données projet'!$A$124,$BV$205^A199,IF(A199='Données projet'!$A$124,'Données projet'!$B$124,BY198+BX199-CG198)))</f>
        <v>0</v>
      </c>
      <c r="BZ199" s="13">
        <f>BY199*VLOOKUP('Données projet'!$B$12,Paramètres!$A$1:$I$89,3,0)*VLOOKUP('Données projet'!$B$12,Paramètres!$A$1:$I$89,5,0)</f>
        <v>0</v>
      </c>
      <c r="CA199" s="13" t="e">
        <f t="shared" si="335"/>
        <v>#NUM!</v>
      </c>
      <c r="CB199" s="20" t="e">
        <f t="shared" si="336"/>
        <v>#NUM!</v>
      </c>
      <c r="CC199" s="59" t="e">
        <f t="shared" si="360"/>
        <v>#NUM!</v>
      </c>
      <c r="CD199" s="59">
        <f ca="1">AVERAGE(OFFSET($CC$3,0,0,'Données projet'!$E$12+1,1))-AVERAGE(OFFSET($H$3,0,0,'Données projet'!$E$12+1,1))</f>
        <v>322.93502595881938</v>
      </c>
      <c r="CE199" s="59">
        <f t="shared" si="402"/>
        <v>302.67072119588164</v>
      </c>
      <c r="CF199" s="15">
        <f>IF(ISNA(VLOOKUP(A199,'Données projet'!$A$123:$I$143,3,0)),0,VLOOKUP(A199,'Données projet'!$A$123:$I$143,3,0))</f>
        <v>0</v>
      </c>
      <c r="CG199" s="15">
        <f>IF(ISNA(VLOOKUP(A199,'Données projet'!$A$123:$I$143,4,0)),0,VLOOKUP(A199,'Données projet'!$A$123:$I$143,4,0))</f>
        <v>0</v>
      </c>
      <c r="CH199" s="16">
        <f>IF(ISNA(VLOOKUP(A199,'Données projet'!$A$123:$I$143,5,0)),0%,VLOOKUP(A199,'Données projet'!$A$123:$I$143,5,0)*VLOOKUP('Données projet'!$B$12,Paramètres!$A$1:$I$89,7,0))</f>
        <v>0</v>
      </c>
      <c r="CI199" s="16">
        <f>IF(ISNA(VLOOKUP(A199,'Données projet'!$A$123:$I$143,6,0)),0%,VLOOKUP(A199,'Données projet'!$A$123:$I$143,6,0)*VLOOKUP('Données projet'!$B$12,Paramètres!$A$1:$I$89,7,0))</f>
        <v>0</v>
      </c>
      <c r="CJ199" s="16">
        <f>IF(ISNA(VLOOKUP(A199,'Données projet'!$A$123:$I$143,7,0)),0%,VLOOKUP(A199,'Données projet'!$A$123:$I$143,7,0))</f>
        <v>0</v>
      </c>
      <c r="CK199" s="21">
        <f>EXP(-LN(2)/35)*CK198+(1-EXP(-LN(2)/35))/(LN(2)/35)*CG199*CH199*VLOOKUP('Données projet'!$B$12,Paramètres!$A$1:$I$89,3,0)*0.475*44/12</f>
        <v>17.496072183878958</v>
      </c>
      <c r="CL199" s="21">
        <f>EXP(-LN(2)/25)*CL198+(1-EXP(-LN(2)/25))/(LN(2)/25)*Calculateur!CG199*Calculateur!CI199*VLOOKUP('Données projet'!$B$12,Paramètres!$A$1:$I$89,3,0)*0.475*44/12</f>
        <v>2.9235717652879689</v>
      </c>
      <c r="CM199" s="21">
        <f>EXP(-LN(2)/2)*CM198+(1-EXP(-LN(2)/2))/(LN(2)/2)*CG199*CJ199*VLOOKUP('Données projet'!$B$12,Paramètres!$A$1:$I$89,3,0)*0.475*44/12</f>
        <v>0</v>
      </c>
      <c r="CN199" s="22">
        <f t="shared" si="337"/>
        <v>20.419643949166925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projet'!$A$149:$I$169,2,0)</f>
        <v>#N/A</v>
      </c>
      <c r="CR199" s="12" t="e">
        <f>VLOOKUP(A199,'Données projet'!$A$149:$I$169,9,0)</f>
        <v>#N/A</v>
      </c>
      <c r="CS199" s="12">
        <f t="array" ref="CS199">INDEX(CR:CR,MIN(IF(ISNUMBER(CR199:CR395),ROW(CR199:CR395),"")))</f>
        <v>0</v>
      </c>
      <c r="CT199" s="12">
        <f>IF('Données projet'!$A$150&gt;35,CT198+CS199-DB198,IF(A199&lt;'Données projet'!$A$150,$CQ$205^A199,IF(A199='Données projet'!$A$150,'Données projet'!$B$150,CT198+CS199-DB198)))</f>
        <v>-4.5474735088646412E-13</v>
      </c>
      <c r="CU199" s="17">
        <f>CT199*VLOOKUP('Données projet'!$B$13,Paramètres!$A$1:$I$89,3,0)*VLOOKUP('Données projet'!$B$13,Paramètres!$A$1:$I$89,5,0)</f>
        <v>-4.6111381379887462E-13</v>
      </c>
      <c r="CV199" s="13" t="e">
        <f t="shared" si="338"/>
        <v>#NUM!</v>
      </c>
      <c r="CW199" s="20" t="e">
        <f t="shared" si="339"/>
        <v>#NUM!</v>
      </c>
      <c r="CX199" s="59" t="e">
        <f t="shared" si="361"/>
        <v>#NUM!</v>
      </c>
      <c r="CY199" s="59">
        <f ca="1">AVERAGE(OFFSET($CX$3,0,0,'Données projet'!$E$13+1,1))-AVERAGE(OFFSET($H$3,0,0,'Données projet'!$E$13+1,1))</f>
        <v>250.31277422753283</v>
      </c>
      <c r="CZ199" s="59">
        <f t="shared" si="403"/>
        <v>159.20429420478047</v>
      </c>
      <c r="DA199" s="15">
        <f>IF(ISNA(VLOOKUP(A199,'Données projet'!$A$149:$I$169,3,0)),0,VLOOKUP(A199,'Données projet'!$A$149:$I$169,3,0))</f>
        <v>0</v>
      </c>
      <c r="DB199" s="15">
        <f>IF(ISNA(VLOOKUP(A199,'Données projet'!$A$149:$I$169,4,0)),0,VLOOKUP(A199,'Données projet'!$A$149:$I$169,4,0))</f>
        <v>0</v>
      </c>
      <c r="DC199" s="16">
        <f>IF(ISNA(VLOOKUP(A199,'Données projet'!$A$149:$I$169,5,0)),0%,VLOOKUP(A199,'Données projet'!$A$149:$I$169,5,0)*VLOOKUP('Données projet'!$B$13,Paramètres!$A$1:$I$89,7,0))</f>
        <v>0</v>
      </c>
      <c r="DD199" s="16">
        <f>IF(ISNA(VLOOKUP(A199,'Données projet'!$A$149:$I$169,6,0)),0%,VLOOKUP(A199,'Données projet'!$A$149:$I$169,6,0)*VLOOKUP('Données projet'!$B$13,Paramètres!$A$1:$I$89,7,0))</f>
        <v>0</v>
      </c>
      <c r="DE199" s="16">
        <f>IF(ISNA(VLOOKUP(A199,'Données projet'!$A$149:$I$169,7,0)),0%,VLOOKUP(A199,'Données projet'!$A$149:$I$169,7,0))</f>
        <v>0</v>
      </c>
      <c r="DF199" s="21">
        <f>EXP(-LN(2)/35)*DF198+(1-EXP(-LN(2)/35))/(LN(2)/35)*DB199*DC199*VLOOKUP('Données projet'!$B$13,Paramètres!$A$1:$I$89,3,0)*0.475*44/12</f>
        <v>79.647333341469562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340"/>
        <v>79.647333341469562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projet'!$A$175:$I$195,2,0)</f>
        <v>#N/A</v>
      </c>
      <c r="DM199" s="12" t="e">
        <f>VLOOKUP(A199,'Données projet'!$A$175:$I$195,9,0)</f>
        <v>#N/A</v>
      </c>
      <c r="DN199" s="12">
        <f t="array" ref="DN199">INDEX(DM:DM,MIN(IF(ISNUMBER(DM199:DM395),ROW(DM199:DM395),"")))</f>
        <v>0</v>
      </c>
      <c r="DO199" s="12">
        <f>IF('Données projet'!$A$176&gt;35,DO198+DN199-DW198,IF(A199&lt;'Données projet'!$A$176,$DL$205^A199,IF(A199='Données projet'!$A$176,'Données projet'!$B$176,DO198+DN199-DW198)))</f>
        <v>-2.8421709430404007E-13</v>
      </c>
      <c r="DP199" s="17">
        <f>DO199*VLOOKUP('Données projet'!$B$14,Paramètres!$A$1:$I$89,3,0)*VLOOKUP('Données projet'!$B$14,Paramètres!$A$1:$I$89,5,0)</f>
        <v>-2.0838797354372215E-13</v>
      </c>
      <c r="DQ199" s="13" t="e">
        <f t="shared" si="341"/>
        <v>#NUM!</v>
      </c>
      <c r="DR199" s="20" t="e">
        <f t="shared" si="342"/>
        <v>#NUM!</v>
      </c>
      <c r="DS199" s="59" t="e">
        <f t="shared" si="362"/>
        <v>#NUM!</v>
      </c>
      <c r="DT199" s="59">
        <f ca="1">AVERAGE(OFFSET($DS$3,0,0,'Données projet'!$E$14+1,1))-AVERAGE(OFFSET($H$3,0,0,'Données projet'!$E$14+1,1))</f>
        <v>296.91321813251051</v>
      </c>
      <c r="DU199" s="59">
        <f t="shared" si="404"/>
        <v>291.0718079639509</v>
      </c>
      <c r="DV199" s="15">
        <f>IF(ISNA(VLOOKUP(A199,'Données projet'!$A$175:$I$195,3,0)),0,VLOOKUP(A199,'Données projet'!$A$175:$I$195,3,0))</f>
        <v>0</v>
      </c>
      <c r="DW199" s="15">
        <f>IF(ISNA(VLOOKUP(A199,'Données projet'!$A$175:$I$195,4,0)),0,VLOOKUP(A199,'Données projet'!$A$175:$I$195,4,0))</f>
        <v>0</v>
      </c>
      <c r="DX199" s="16">
        <f>IF(ISNA(VLOOKUP(A199,'Données projet'!$A$175:$I$195,5,0)),0%,VLOOKUP(A199,'Données projet'!$A$175:$I$195,5,0)*VLOOKUP('Données projet'!$B$14,Paramètres!$A$1:$I$89,7,0))</f>
        <v>0</v>
      </c>
      <c r="DY199" s="16">
        <f>IF(ISNA(VLOOKUP(A199,'Données projet'!$A$175:$I$195,6,0)),0%,VLOOKUP(A199,'Données projet'!$A$175:$I$195,6,0)*VLOOKUP('Données projet'!$B$14,Paramètres!$A$1:$I$89,7,0))</f>
        <v>0</v>
      </c>
      <c r="DZ199" s="16">
        <f>IF(ISNA(VLOOKUP(A199,'Données projet'!$A$175:$I$195,7,0)),0%,VLOOKUP(A199,'Données projet'!$A$175:$I$195,7,0))</f>
        <v>0</v>
      </c>
      <c r="EA199" s="21">
        <f>EXP(-LN(2)/35)*EA198+(1-EXP(-LN(2)/35))/(LN(2)/35)*DW199*DX199*VLOOKUP('Données projet'!$B$14,Paramètres!$A$1:$I$89,3,0)*0.475*44/12</f>
        <v>17.437966976758702</v>
      </c>
      <c r="EB199" s="21">
        <f>EXP(-LN(2)/25)*EB198+(1-EXP(-LN(2)/25))/(LN(2)/25)*Calculateur!DW199*Calculateur!DY199*VLOOKUP('Données projet'!$B$14,Paramètres!$A$1:$I$89,3,0)*0.475*44/12</f>
        <v>0.21476823339859669</v>
      </c>
      <c r="EC199" s="21">
        <f>EXP(-LN(2)/2)*EC198+(1-EXP(-LN(2)/2))/(LN(2)/2)*DW199*DZ199*VLOOKUP('Données projet'!$B$14,Paramètres!$A$1:$I$89,3,0)*0.475*44/12</f>
        <v>0</v>
      </c>
      <c r="ED199" s="22">
        <f t="shared" si="343"/>
        <v>17.652735210157299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projet'!$A$201:$I$221,2,0)</f>
        <v>#N/A</v>
      </c>
      <c r="EH199" s="12" t="e">
        <f>VLOOKUP(A199,'Données projet'!$A$201:$I$221,9,0)</f>
        <v>#N/A</v>
      </c>
      <c r="EI199" s="12">
        <f t="array" ref="EI199">INDEX(EH:EH,MIN(IF(ISNUMBER(EH199:EH395),ROW(EH199:EH395),"")))</f>
        <v>0</v>
      </c>
      <c r="EJ199" s="12">
        <f>IF('Données projet'!$A$202&gt;35,EJ198+EI199-ER198,IF(A199&lt;'Données projet'!$A$202,$EG$205^A199,IF(A199='Données projet'!$A$202,'Données projet'!$B$202,EJ198+EI199-ER198)))</f>
        <v>5.1159076974727213E-13</v>
      </c>
      <c r="EK199" s="17">
        <f>EJ199*VLOOKUP('Données projet'!$B$15,Paramètres!$A$1:$I$89,3,0)*VLOOKUP('Données projet'!$B$15,Paramètres!$A$1:$I$89,5,0)</f>
        <v>2.3942448024172334E-13</v>
      </c>
      <c r="EL199" s="13">
        <f t="shared" si="344"/>
        <v>3.2492669905861755E-12</v>
      </c>
      <c r="EM199" s="20">
        <f t="shared" si="345"/>
        <v>6.0761376450252565E-12</v>
      </c>
      <c r="EN199" s="59">
        <f t="shared" si="363"/>
        <v>293.3333333333394</v>
      </c>
      <c r="EO199" s="59">
        <f ca="1">AVERAGE(OFFSET($EN$3,0,0,'Données projet'!$E$15+1,1))-AVERAGE(OFFSET($H$3,0,0,'Données projet'!$E$15+1,1))</f>
        <v>147.64256291235483</v>
      </c>
      <c r="EP199" s="59">
        <f t="shared" si="405"/>
        <v>70.859031694091868</v>
      </c>
      <c r="EQ199" s="15">
        <f>IF(ISNA(VLOOKUP(A199,'Données projet'!$A$201:$I$221,3,0)),0,VLOOKUP(A199,'Données projet'!$A$201:$I$221,3,0))</f>
        <v>0</v>
      </c>
      <c r="ER199" s="15">
        <f>IF(ISNA(VLOOKUP(A199,'Données projet'!$A$201:$I$221,4,0)),0,VLOOKUP(A199,'Données projet'!$A$201:$I$221,4,0))</f>
        <v>0</v>
      </c>
      <c r="ES199" s="16">
        <f>IF(ISNA(VLOOKUP(A199,'Données projet'!$A$201:$I$221,5,0)),0%,VLOOKUP(A199,'Données projet'!$A$201:$I$221,5,0)*VLOOKUP('Données projet'!$B$15,Paramètres!$A$1:$I$89,7,0))</f>
        <v>0</v>
      </c>
      <c r="ET199" s="16">
        <f>IF(ISNA(VLOOKUP(A199,'Données projet'!$A$201:$I$221,6,0)),0%,VLOOKUP(A199,'Données projet'!$A$201:$I$221,6,0)*VLOOKUP('Données projet'!$B$15,Paramètres!$A$1:$I$89,7,0))</f>
        <v>0</v>
      </c>
      <c r="EU199" s="16">
        <f>IF(ISNA(VLOOKUP(A199,'Données projet'!$A$201:$I$221,7,0)),0%,VLOOKUP(A199,'Données projet'!$A$201:$I$221,7,0))</f>
        <v>0</v>
      </c>
      <c r="EV199" s="21">
        <f>EXP(-LN(2)/35)*EV198+(1-EXP(-LN(2)/35))/(LN(2)/35)*ER199*ES199*VLOOKUP('Données projet'!$B$15,Paramètres!$A$1:$I$89,3,0)*0.475*44/12</f>
        <v>23.872851663056196</v>
      </c>
      <c r="EW199" s="21">
        <f>EXP(-LN(2)/25)*EW198+(1-EXP(-LN(2)/25))/(LN(2)/25)*Calculateur!ER199*Calculateur!ET199*VLOOKUP('Données projet'!$B$15,Paramètres!$A$1:$I$89,3,0)*0.475*44/12</f>
        <v>2.9796928630674295</v>
      </c>
      <c r="EX199" s="21">
        <f>EXP(-LN(2)/2)*EX198+(1-EXP(-LN(2)/2))/(LN(2)/2)*ER199*EU199*VLOOKUP('Données projet'!$B$15,Paramètres!$A$1:$I$89,3,0)*0.475*44/12</f>
        <v>1.4750279032557534E-12</v>
      </c>
      <c r="EY199" s="22">
        <f t="shared" si="346"/>
        <v>26.852544526125101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projet'!$A$227:$I$247,2,0)</f>
        <v>#N/A</v>
      </c>
      <c r="FC199" s="12" t="e">
        <f>VLOOKUP(A199,'Données projet'!$A$227:$I$247,9,0)</f>
        <v>#N/A</v>
      </c>
      <c r="FD199" s="12">
        <f t="array" ref="FD199">INDEX(FC:FC,MIN(IF(ISNUMBER(FC199:FC395),ROW(FC199:FC395),"")))</f>
        <v>0</v>
      </c>
      <c r="FE199" s="12">
        <f>IF('Données projet'!$A$228&gt;35,FE198+FD199-FM198,IF(A199&lt;'Données projet'!$A$228,$FB$205^A199,IF(A199='Données projet'!$A$228,'Données projet'!$B$228,FE198+FD199-FM198)))</f>
        <v>8.5265128291212022E-14</v>
      </c>
      <c r="FF199" s="17">
        <f>FE199*VLOOKUP('Données projet'!$B$16,Paramètres!$A$1:$I$89,3,0)*VLOOKUP('Données projet'!$B$16,Paramètres!$A$1:$I$89,5,0)</f>
        <v>8.9119112089974823E-14</v>
      </c>
      <c r="FG199" s="13">
        <f t="shared" si="347"/>
        <v>1.3568952080113142E-12</v>
      </c>
      <c r="FH199" s="20">
        <f t="shared" si="348"/>
        <v>2.5184749408430782E-12</v>
      </c>
      <c r="FI199" s="59">
        <f t="shared" si="364"/>
        <v>293.33333333333582</v>
      </c>
      <c r="FJ199" s="59">
        <f ca="1">AVERAGE(OFFSET($FI$3,0,0,'Données projet'!$E$16+1,1))-AVERAGE(OFFSET($H$3,0,0,'Données projet'!$E$16+1,1))</f>
        <v>259.03906550253788</v>
      </c>
      <c r="FK199" s="59">
        <f t="shared" si="406"/>
        <v>235.54542903570831</v>
      </c>
      <c r="FL199" s="15">
        <f>IF(ISNA(VLOOKUP(A199,'Données projet'!$A$227:$I$247,3,0)),0,VLOOKUP(A199,'Données projet'!$A$227:$I$247,3,0))</f>
        <v>0</v>
      </c>
      <c r="FM199" s="15">
        <f>IF(ISNA(VLOOKUP(A199,'Données projet'!$A$227:$I$247,4,0)),0,VLOOKUP(A199,'Données projet'!$A$227:$I$247,4,0))</f>
        <v>0</v>
      </c>
      <c r="FN199" s="16">
        <f>IF(ISNA(VLOOKUP(A199,'Données projet'!$A$227:$I$247,5,0)),0%,VLOOKUP(A199,'Données projet'!$A$227:$I$247,5,0)*VLOOKUP('Données projet'!$B$16,Paramètres!$A$1:$I$89,7,0))</f>
        <v>0</v>
      </c>
      <c r="FO199" s="16">
        <f>IF(ISNA(VLOOKUP(A199,'Données projet'!$A$227:$I$247,6,0)),0%,VLOOKUP(A199,'Données projet'!$A$227:$I$247,6,0)*VLOOKUP('Données projet'!$B$16,Paramètres!$A$1:$I$89,7,0))</f>
        <v>0</v>
      </c>
      <c r="FP199" s="16">
        <f>IF(ISNA(VLOOKUP(A199,'Données projet'!$A$227:$I$247,7,0)),0%,VLOOKUP(A199,'Données projet'!$A$227:$I$247,7,0))</f>
        <v>0</v>
      </c>
      <c r="FQ199" s="21">
        <f>EXP(-LN(2)/35)*FQ198+(1-EXP(-LN(2)/35))/(LN(2)/35)*FM199*FN199*VLOOKUP('Données projet'!$B$16,Paramètres!$A$1:$I$89,3,0)*0.475*44/12</f>
        <v>10.536827933935124</v>
      </c>
      <c r="FR199" s="21">
        <f>EXP(-LN(2)/25)*FR198+(1-EXP(-LN(2)/25))/(LN(2)/25)*Calculateur!FM199*Calculateur!FO199*VLOOKUP('Données projet'!$B$16,Paramètres!$A$1:$I$89,3,0)*0.475*44/12</f>
        <v>4.0990879576357298</v>
      </c>
      <c r="FS199" s="21">
        <f>EXP(-LN(2)/2)*FS198+(1-EXP(-LN(2)/2))/(LN(2)/2)*FM199*FP199*VLOOKUP('Données projet'!$B$16,Paramètres!$A$1:$I$89,3,0)*0.475*44/12</f>
        <v>0</v>
      </c>
      <c r="FT199" s="22">
        <f t="shared" si="349"/>
        <v>14.635915891570853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projet'!$A$253:$I$273,2,0)</f>
        <v>#N/A</v>
      </c>
      <c r="FX199" s="12" t="e">
        <f>VLOOKUP(A199,'Données projet'!$A$253:$I$273,9,0)</f>
        <v>#N/A</v>
      </c>
      <c r="FY199" s="12">
        <f t="array" ref="FY199">INDEX(FX:FX,MIN(IF(ISNUMBER(FX199:FX395),ROW(FX199:FX395),"")))</f>
        <v>0</v>
      </c>
      <c r="FZ199" s="12">
        <f>IF('Données projet'!$A$254&gt;35,FZ198+FY199-GH198,IF(A199&lt;'Données projet'!$A$254,$FW$205^A199,IF(A199='Données projet'!$A$254,'Données projet'!$B$254,FZ198+FY199-GH198)))</f>
        <v>-1.7053025658242404E-13</v>
      </c>
      <c r="GA199" s="17">
        <f>FZ199*VLOOKUP('Données projet'!$B$17,Paramètres!$A$1:$I$89,3,0)*VLOOKUP('Données projet'!$B$17,Paramètres!$A$1:$I$89,5,0)</f>
        <v>-1.4897523215040567E-13</v>
      </c>
      <c r="GB199" s="13" t="e">
        <f t="shared" si="350"/>
        <v>#NUM!</v>
      </c>
      <c r="GC199" s="20" t="e">
        <f t="shared" si="351"/>
        <v>#NUM!</v>
      </c>
      <c r="GD199" s="59" t="e">
        <f t="shared" si="365"/>
        <v>#NUM!</v>
      </c>
      <c r="GE199" s="59">
        <f ca="1">AVERAGE(OFFSET($GD$3,0,0,'Données projet'!$E$17+1,1))-AVERAGE(OFFSET($H$3,0,0,'Données projet'!$E$17+1,1))</f>
        <v>245.1983232777614</v>
      </c>
      <c r="GF199" s="59">
        <f t="shared" si="407"/>
        <v>242.34010522344573</v>
      </c>
      <c r="GG199" s="15">
        <f>IF(ISNA(VLOOKUP(A199,'Données projet'!$A$253:$I$273,3,0)),0,VLOOKUP(A199,'Données projet'!$A$253:$I$273,3,0))</f>
        <v>0</v>
      </c>
      <c r="GH199" s="15">
        <f>IF(ISNA(VLOOKUP(A199,'Données projet'!$A$253:$I$273,4,0)),0,VLOOKUP(A199,'Données projet'!$A$253:$I$273,4,0))</f>
        <v>0</v>
      </c>
      <c r="GI199" s="16">
        <f>IF(ISNA(VLOOKUP(A199,'Données projet'!$A$253:$I$273,5,0)),0%,VLOOKUP(A199,'Données projet'!$A$253:$I$273,5,0)*VLOOKUP('Données projet'!$B$17,Paramètres!$A$1:$I$89,7,0))</f>
        <v>0</v>
      </c>
      <c r="GJ199" s="16">
        <f>IF(ISNA(VLOOKUP(A199,'Données projet'!$A$253:$I$273,6,0)),0%,VLOOKUP(A199,'Données projet'!$A$253:$I$273,6,0)*VLOOKUP('Données projet'!$B$17,Paramètres!$A$1:$I$89,7,0))</f>
        <v>0</v>
      </c>
      <c r="GK199" s="16">
        <f>IF(ISNA(VLOOKUP(A199,'Données projet'!$A$253:$I$273,7,0)),0%,VLOOKUP(A199,'Données projet'!$A$253:$I$273,7,0))</f>
        <v>0</v>
      </c>
      <c r="GL199" s="21">
        <f>EXP(-LN(2)/35)*GL198+(1-EXP(-LN(2)/35))/(LN(2)/35)*GH199*GI199*VLOOKUP('Données projet'!$B$17,Paramètres!$A$1:$I$89,3,0)*0.475*44/12</f>
        <v>12.387486913334548</v>
      </c>
      <c r="GM199" s="21">
        <f>EXP(-LN(2)/25)*GM198+(1-EXP(-LN(2)/25))/(LN(2)/25)*Calculateur!GH199*Calculateur!GJ199*VLOOKUP('Données projet'!$B$17,Paramètres!$A$1:$I$89,3,0)*0.475*44/12</f>
        <v>0.8734157832921754</v>
      </c>
      <c r="GN199" s="21">
        <f>EXP(-LN(2)/2)*GN198+(1-EXP(-LN(2)/2))/(LN(2)/2)*GH199*GK199*VLOOKUP('Données projet'!$B$17,Paramètres!$A$1:$I$89,3,0)*0.475*44/12</f>
        <v>0</v>
      </c>
      <c r="GO199" s="21">
        <f t="shared" si="352"/>
        <v>13.260902696626724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projet'!$A$279:$I$299,2,0)</f>
        <v>#N/A</v>
      </c>
      <c r="GS199" s="12" t="e">
        <f>VLOOKUP(A199,'Données projet'!$A$279:$I$299,9,0)</f>
        <v>#N/A</v>
      </c>
      <c r="GT199" s="12">
        <f t="array" ref="GT199">INDEX(GS:GS,MIN(IF(ISNUMBER(GS199:GS395),ROW(GS199:GS395),"")))</f>
        <v>0</v>
      </c>
      <c r="GU199" s="12">
        <f>IF('Données projet'!$A$280&gt;35,GU198+GT199-HC198,IF(A199&lt;'Données projet'!$A$280,$GR$205^A199,IF(A199='Données projet'!$A$280,'Données projet'!$B$280,GU198+GT199-HC198)))</f>
        <v>-1.1368683772161603E-13</v>
      </c>
      <c r="GV199" s="17">
        <f>GU199*VLOOKUP('Données projet'!$B$18,Paramètres!$A$1:$I$89,3,0)*VLOOKUP('Données projet'!$B$18,Paramètres!$A$1:$I$89,5,0)</f>
        <v>-4.5815795601811263E-14</v>
      </c>
      <c r="GW199" s="13" t="e">
        <f t="shared" si="353"/>
        <v>#NUM!</v>
      </c>
      <c r="GX199" s="20" t="e">
        <f t="shared" si="354"/>
        <v>#NUM!</v>
      </c>
      <c r="GY199" s="59" t="e">
        <f t="shared" si="366"/>
        <v>#NUM!</v>
      </c>
      <c r="GZ199" s="59">
        <f ca="1">AVERAGE(OFFSET($GY$3,0,0,'Données projet'!$E$18+1,1))-AVERAGE(OFFSET($H$3,0,0,'Données projet'!$E$18+1,1))</f>
        <v>324.36162935850876</v>
      </c>
      <c r="HA199" s="59">
        <f t="shared" si="408"/>
        <v>265.23571072429735</v>
      </c>
      <c r="HB199" s="15">
        <f>IF(ISNA(VLOOKUP(A199,'Données projet'!$A$279:$I$299,3,0)),0,VLOOKUP(A199,'Données projet'!$A$279:$I$299,3,0))</f>
        <v>0</v>
      </c>
      <c r="HC199" s="15">
        <f>IF(ISNA(VLOOKUP(A199,'Données projet'!$A$279:$I$299,4,0)),0,VLOOKUP(A199,'Données projet'!$A$279:$I$299,4,0))</f>
        <v>0</v>
      </c>
      <c r="HD199" s="16">
        <f>IF(ISNA(VLOOKUP(A199,'Données projet'!$A$279:$I$299,5,0)),0%,VLOOKUP(A199,'Données projet'!$A$279:$I$299,5,0)*VLOOKUP('Données projet'!$B$18,Paramètres!$A$1:$I$89,7,0))</f>
        <v>0</v>
      </c>
      <c r="HE199" s="16">
        <f>IF(ISNA(VLOOKUP(A199,'Données projet'!$A$279:$I$299,6,0)),0%,VLOOKUP(A199,'Données projet'!$A$279:$I$299,6,0)*VLOOKUP('Données projet'!$B$18,Paramètres!$A$1:$I$89,7,0))</f>
        <v>0</v>
      </c>
      <c r="HF199" s="16">
        <f>IF(ISNA(VLOOKUP($A199,'Données projet'!$A$279:$I$299,7,0)),0%,VLOOKUP($A199,'Données projet'!$A$279:$I$299,7,0))</f>
        <v>0</v>
      </c>
      <c r="HG199" s="21">
        <f>EXP(-LN(2)/35)*HG198+(1-EXP(-LN(2)/35))/(LN(2)/35)*HC199*HD199*VLOOKUP('Données projet'!$B$18,Paramètres!$A$1:$I$89,3,0)*0.475*44/12</f>
        <v>23.737663248038732</v>
      </c>
      <c r="HH199" s="21">
        <f>EXP(-LN(2)/25)*HH198+(1-EXP(-LN(2)/25))/(LN(2)/25)*Calculateur!HC199*Calculateur!HE199*VLOOKUP('Données projet'!$B$18,Paramètres!$A$1:$I$89,3,0)*0.475*44/12</f>
        <v>0.97139457545604524</v>
      </c>
      <c r="HI199" s="21">
        <f>EXP(-LN(2)/2)*HI198+(1-EXP(-LN(2)/2))/(LN(2)/2)*HC199*HF199*VLOOKUP('Données projet'!$B$18,Paramètres!$A$1:$I$89,3,0)*0.475*44/12</f>
        <v>2.9654090673916527E-17</v>
      </c>
      <c r="HJ199" s="22">
        <f t="shared" si="355"/>
        <v>24.709057823494778</v>
      </c>
      <c r="HK199" s="74">
        <f>('Scénario référence'!$F$8+'Scénario référence'!$F$9+'Scénario référence'!$B$17+'Scénario référence'!$B$9+'Scénario référence'!$B$10)*70+IF((45+25*(1-EXP(-0.0175*$A199)))&lt;70,'Scénario référence'!$B$16*(45+25*(1-EXP(-0.0175*$A199))),70*'Scénario référence'!$B$16)+IF((32+38*(1-EXP(-0.0175*$A199)))&lt;70,'Scénario référence'!$B$18*(32+38*(1-EXP(-0.0175*$A199))),70*'Scénario référence'!$B$18)</f>
        <v>70</v>
      </c>
      <c r="HL199" s="12">
        <f>IF($A199&gt;30,10,('Scénario référence'!$B$16+'Scénario référence'!$B$17+'Scénario référence'!$B$18+'Scénario référence'!$B$9+'Scénario référence'!$B$10)*$A199*10/30+('Scénario référence'!$F$8+'Scénario référence'!$F$9)*10)</f>
        <v>10</v>
      </c>
      <c r="HM199" s="12" t="e">
        <f>VLOOKUP($A199,'Données projet'!$A$304:$I$324,2,0)</f>
        <v>#N/A</v>
      </c>
      <c r="HN199" s="12" t="e">
        <f>VLOOKUP($A199,'Données projet'!$A$304:$I$324,9,0)</f>
        <v>#N/A</v>
      </c>
      <c r="HO199" s="12">
        <f t="array" ref="HO199">INDEX(HN:HN,MIN(IF(ISNUMBER(HN199:HN395),ROW(HN199:HN395),"")))</f>
        <v>0</v>
      </c>
      <c r="HP199" s="12">
        <f>IF('Données projet'!$A$304&gt;35,HP198+HO199-HX198,IF($A199&lt;'Données projet'!$A$304,$CQ$205^$A199,IF($A199='Données projet'!$A$304,'Données projet'!$B$304,HP198+HO199-HX198)))</f>
        <v>0</v>
      </c>
      <c r="HQ199" s="17">
        <f>HP199*VLOOKUP('Données projet'!$B$19,Paramètres!$A$1:$I$89,3,0)*VLOOKUP('Données projet'!$B$19,Paramètres!$A$1:$I$89,5,0)</f>
        <v>0</v>
      </c>
      <c r="HR199" s="13" t="e">
        <f t="shared" si="409"/>
        <v>#NUM!</v>
      </c>
      <c r="HS199" s="14" t="e">
        <f t="shared" si="367"/>
        <v>#NUM!</v>
      </c>
      <c r="HT199" s="59" t="e">
        <f t="shared" si="368"/>
        <v>#NUM!</v>
      </c>
      <c r="HU199" s="59">
        <f ca="1">AVERAGE(OFFSET(HT$3,0,0,'Données projet'!$E$19+1,1))-AVERAGE(OFFSET($H$3,0,0,'Données projet'!$E$19+1,1))</f>
        <v>91.60721429656013</v>
      </c>
      <c r="HV199" s="59">
        <f t="shared" si="410"/>
        <v>258.94957804210856</v>
      </c>
      <c r="HW199" s="15">
        <f>IF(ISNA(VLOOKUP($A199,'Données projet'!$A$304:$I$324,3,0)),0,VLOOKUP($A199,'Données projet'!$A$304:$I$324,3,0))</f>
        <v>0</v>
      </c>
      <c r="HX199" s="15">
        <f>IF(ISNA(VLOOKUP($A199,'Données projet'!$A$304:$I$324,4,0)),0,VLOOKUP($A199,'Données projet'!$A$304:$I$324,4,0))</f>
        <v>0</v>
      </c>
      <c r="HY199" s="16">
        <f>IF(ISNA(VLOOKUP($A199,'Données projet'!$A$304:$I$324,5,0)),0%,VLOOKUP($A199,'Données projet'!$A$304:$I$324,5,0)*VLOOKUP('Données projet'!$B$19,Paramètres!$A$1:$I$89,7,0))</f>
        <v>0</v>
      </c>
      <c r="HZ199" s="16">
        <f>IF(ISNA(VLOOKUP($A199,'Données projet'!$A$304:$I$324,6,0)),0%,VLOOKUP($A199,'Données projet'!$A$304:$I$324,6,0)*VLOOKUP('Données projet'!$B$19,Paramètres!$A$1:$I$89,7,0))</f>
        <v>0</v>
      </c>
      <c r="IA199" s="16">
        <f>IF(ISNA(VLOOKUP($A199,'Données projet'!$A$304:$I$324,7,0)),0%,VLOOKUP($A199,'Données projet'!$A$304:$I$324,7,0))</f>
        <v>0</v>
      </c>
      <c r="IB199" s="21">
        <f>EXP(-LN(2)/35)*IB198+(1-EXP(-LN(2)/35))/(LN(2)/35)*HX199*HY199*VLOOKUP('Données projet'!$B$19,Paramètres!$A$1:$I$89,3,0)*0.475*44/12</f>
        <v>1.8424370636116443</v>
      </c>
      <c r="IC199" s="21">
        <f>EXP(-LN(2)/25)*IC198+(1-EXP(-LN(2)/25))/(LN(2)/25)*Calculateur!HX199*Calculateur!HZ199*VLOOKUP('Données projet'!$B$19,Paramètres!$A$1:$I$89,3,0)*0.475*44/12</f>
        <v>9.753762766071461E-2</v>
      </c>
      <c r="ID199" s="21">
        <f>EXP(-LN(2)/2)*ID198+(1-EXP(-LN(2)/2))/(LN(2)/2)*HX199*IA199*VLOOKUP('Données projet'!$B$19,Paramètres!$A$1:$I$89,3,0)*0.475*44/12</f>
        <v>5.9231540766350165E-26</v>
      </c>
      <c r="IE199" s="22">
        <f t="shared" si="369"/>
        <v>1.9399746912723588</v>
      </c>
      <c r="IF199" s="74">
        <f>('Scénario référence'!$F$8+'Scénario référence'!$F$9+'Scénario référence'!$B$17+'Scénario référence'!$B$9+'Scénario référence'!$B$10)*70+IF((45+25*(1-EXP(-0.0175*$A199)))&lt;70,'Scénario référence'!$B$16*(45+25*(1-EXP(-0.0175*$A199))),70*'Scénario référence'!$B$16)+IF((32+38*(1-EXP(-0.0175*$A199)))&lt;70,'Scénario référence'!$B$18*(32+38*(1-EXP(-0.0175*$A199))),70*'Scénario référence'!$B$18)</f>
        <v>70</v>
      </c>
      <c r="IG199" s="12">
        <f>IF($A199&gt;30,10,('Scénario référence'!$B$16+'Scénario référence'!$B$17+'Scénario référence'!$B$18+'Scénario référence'!$B$9+'Scénario référence'!$B$10)*$A199*10/30+('Scénario référence'!$F$8+'Scénario référence'!$F$9)*10)</f>
        <v>10</v>
      </c>
      <c r="IH199" s="12" t="e">
        <f>VLOOKUP($A199,'Données projet'!$A$330:$I$350,2,0)</f>
        <v>#N/A</v>
      </c>
      <c r="II199" s="12" t="e">
        <f>VLOOKUP($A199,'Données projet'!$A$330:$I$350,9,0)</f>
        <v>#N/A</v>
      </c>
      <c r="IJ199" s="12">
        <f t="array" ref="IJ199">INDEX(II:II,MIN(IF(ISNUMBER(II199:II395),ROW(II199:II395),"")))</f>
        <v>0</v>
      </c>
      <c r="IK199" s="12">
        <f>IF('Données projet'!$A$330&gt;35,IK198+IJ199-IS198,IF($A199&lt;'Données projet'!$A$330,$CQ$205^$A199,IF($A199='Données projet'!$A$330,'Données projet'!$B$330,IK198+IJ199-IS198)))</f>
        <v>0</v>
      </c>
      <c r="IL199" s="17">
        <f>IK199*VLOOKUP('Données projet'!$B$20,Paramètres!$A$1:$I$89,3,0)*VLOOKUP('Données projet'!$B$20,Paramètres!$A$1:$I$89,5,0)</f>
        <v>0</v>
      </c>
      <c r="IM199" s="13" t="e">
        <f t="shared" si="411"/>
        <v>#NUM!</v>
      </c>
      <c r="IN199" s="20" t="e">
        <f t="shared" si="370"/>
        <v>#NUM!</v>
      </c>
      <c r="IO199" s="59" t="e">
        <f t="shared" si="371"/>
        <v>#NUM!</v>
      </c>
      <c r="IP199" s="59">
        <f ca="1">AVERAGE(OFFSET(IO$3,0,0,'Données projet'!$E$20+1,1))-AVERAGE(OFFSET($H$3,0,0,'Données projet'!$E$20+1,1))</f>
        <v>91.60721429656013</v>
      </c>
      <c r="IQ199" s="59">
        <f t="shared" si="412"/>
        <v>258.94957804210856</v>
      </c>
      <c r="IR199" s="15">
        <f>IF(ISNA(VLOOKUP($A199,'Données projet'!$A$330:$I$350,3,0)),0,VLOOKUP($A199,'Données projet'!$A$330:$I$350,3,0))</f>
        <v>0</v>
      </c>
      <c r="IS199" s="15">
        <f>IF(ISNA(VLOOKUP($A199,'Données projet'!$A$330:$I$350,4,0)),0,VLOOKUP($A199,'Données projet'!$A$330:$I$350,4,0))</f>
        <v>0</v>
      </c>
      <c r="IT199" s="16">
        <f>IF(ISNA(VLOOKUP($A199,'Données projet'!$A$330:$I$350,5,0)),0%,VLOOKUP($A199,'Données projet'!$A$330:$I$350,5,0)*VLOOKUP('Données projet'!$B$20,Paramètres!$A$1:$I$89,7,0))</f>
        <v>0</v>
      </c>
      <c r="IU199" s="16">
        <f>IF(ISNA(VLOOKUP($A199,'Données projet'!$A$330:$I$350,6,0)),0%,VLOOKUP($A199,'Données projet'!$A$330:$I$350,6,0)*VLOOKUP('Données projet'!$B$20,Paramètres!$A$1:$I$89,7,0))</f>
        <v>0</v>
      </c>
      <c r="IV199" s="16">
        <f>IF(ISNA(VLOOKUP($A199,'Données projet'!$A$330:$I$350,7,0)),0%,VLOOKUP($A199,'Données projet'!$A$330:$I$350,7,0))</f>
        <v>0</v>
      </c>
      <c r="IW199" s="21">
        <f>EXP(-LN(2)/35)*IW198+(1-EXP(-LN(2)/35))/(LN(2)/35)*IS199*IT199*VLOOKUP('Données projet'!$B$20,Paramètres!$A$1:$I$89,3,0)*0.475*44/12</f>
        <v>1.8424370636116443</v>
      </c>
      <c r="IX199" s="21">
        <f>EXP(-LN(2)/25)*IX198+(1-EXP(-LN(2)/25))/(LN(2)/25)*Calculateur!IS199*Calculateur!IU199*VLOOKUP('Données projet'!$B$20,Paramètres!$A$1:$I$89,3,0)*0.475*44/12</f>
        <v>9.753762766071461E-2</v>
      </c>
      <c r="IY199" s="21">
        <f>EXP(-LN(2)/2)*IY198+(1-EXP(-LN(2)/2))/(LN(2)/2)*IS199*IV199*VLOOKUP('Données projet'!$B$20,Paramètres!$A$1:$I$89,3,0)*0.475*44/12</f>
        <v>5.9231540766350165E-26</v>
      </c>
      <c r="IZ199" s="22">
        <f t="shared" si="372"/>
        <v>1.9399746912723588</v>
      </c>
      <c r="JA199" s="74">
        <f>('Scénario référence'!$F$8+'Scénario référence'!$F$9+'Scénario référence'!$B$17+'Scénario référence'!$B$9+'Scénario référence'!$B$10)*70+IF((45+25*(1-EXP(-0.0175*$A199)))&lt;70,'Scénario référence'!$B$16*(45+25*(1-EXP(-0.0175*$A199))),70*'Scénario référence'!$B$16)+IF((32+38*(1-EXP(-0.0175*$A199)))&lt;70,'Scénario référence'!$B$18*(32+38*(1-EXP(-0.0175*$A199))),70*'Scénario référence'!$B$18)</f>
        <v>70</v>
      </c>
      <c r="JB199" s="12">
        <f>IF($A199&gt;30,10,('Scénario référence'!$B$16+'Scénario référence'!$B$17+'Scénario référence'!$B$18+'Scénario référence'!$B$9+'Scénario référence'!$B$10)*$A199*10/30+('Scénario référence'!$F$8+'Scénario référence'!$F$9)*10)</f>
        <v>10</v>
      </c>
      <c r="JC199" s="12" t="e">
        <f>VLOOKUP($A199,'Données projet'!$A$356:$I$376,2,0)</f>
        <v>#N/A</v>
      </c>
      <c r="JD199" s="12" t="e">
        <f>VLOOKUP($A199,'Données projet'!$A$356:$I$376,9,0)</f>
        <v>#N/A</v>
      </c>
      <c r="JE199" s="12">
        <f t="array" ref="JE199">INDEX(JD:JD,MIN(IF(ISNUMBER(JD199:JD395),ROW(JD199:JD395),"")))</f>
        <v>0</v>
      </c>
      <c r="JF199" s="12">
        <f>IF('Données projet'!$A$356&gt;35,JF198+JE199-JN198,IF($A199&lt;'Données projet'!$A$356,$CQ$205^$A199,IF($A199='Données projet'!$A$356,'Données projet'!$B$356,JF198+JE199-JN198)))</f>
        <v>-1.3073986337985843E-12</v>
      </c>
      <c r="JG199" s="17">
        <f>JF199*VLOOKUP('Données projet'!$B$21,Paramètres!$A$1:$I$89,3,0)*VLOOKUP('Données projet'!$B$21,Paramètres!$A$1:$I$89,5,0)</f>
        <v>-1.0605617717374117E-12</v>
      </c>
      <c r="JH199" s="13" t="e">
        <f t="shared" si="413"/>
        <v>#NUM!</v>
      </c>
      <c r="JI199" s="20" t="e">
        <f t="shared" si="373"/>
        <v>#NUM!</v>
      </c>
      <c r="JJ199" s="59" t="e">
        <f t="shared" si="374"/>
        <v>#NUM!</v>
      </c>
      <c r="JK199" s="59">
        <f ca="1">AVERAGE(OFFSET($JJ$3,0,0,'Données projet'!$E$22+1,1))-AVERAGE(OFFSET($H$3,0,0,'Données projet'!$E$22+1,1))</f>
        <v>353.35574633294613</v>
      </c>
      <c r="JL199" s="59">
        <f t="shared" si="414"/>
        <v>170.36796666474726</v>
      </c>
      <c r="JM199" s="15">
        <f>IF(ISNA(VLOOKUP($A199,'Données projet'!$A$356:$I$376,3,0)),0,VLOOKUP($A199,'Données projet'!$A$356:$I$376,3,0))</f>
        <v>0</v>
      </c>
      <c r="JN199" s="15">
        <f>IF(ISNA(VLOOKUP($A199,'Données projet'!$A$356:$I$376,4,0)),0,VLOOKUP($A199,'Données projet'!$A$356:$I$376,4,0))</f>
        <v>0</v>
      </c>
      <c r="JO199" s="16">
        <f>IF(ISNA(VLOOKUP($A199,'Données projet'!$A$356:$I$376,5,0)),0%,VLOOKUP($A199,'Données projet'!$A$356:$I$376,5,0)*VLOOKUP('Données projet'!$B$21,Paramètres!$A$1:$I$89,7,0))</f>
        <v>0</v>
      </c>
      <c r="JP199" s="16">
        <f>IF(ISNA(VLOOKUP($A199,'Données projet'!$A$356:$I$376,6,0)),0%,VLOOKUP($A199,'Données projet'!$A$356:$I$376,6,0)*VLOOKUP('Données projet'!$B$21,Paramètres!$A$1:$I$89,7,0))</f>
        <v>0</v>
      </c>
      <c r="JQ199" s="16">
        <f>IF(ISNA(VLOOKUP($A199,'Données projet'!$A$356:$I$376,7,0)),0%,VLOOKUP($A199,'Données projet'!$A$356:$I$376,7,0))</f>
        <v>0</v>
      </c>
      <c r="JR199" s="21">
        <f>EXP(-LN(2)/35)*JR198+(1-EXP(-LN(2)/35))/(LN(2)/35)*JN199*JO199*VLOOKUP('Données projet'!$B$21,Paramètres!$A$1:$I$89,3,0)*0.475*44/12</f>
        <v>29.537013433854501</v>
      </c>
      <c r="JS199" s="21">
        <f>EXP(-LN(2)/25)*JS198+(1-EXP(-LN(2)/25))/(LN(2)/25)*Calculateur!JN199*Calculateur!JP199*VLOOKUP('Données projet'!$B$21,Paramètres!$A$1:$I$89,3,0)*0.475*44/12</f>
        <v>21.347704576438858</v>
      </c>
      <c r="JT199" s="21">
        <f>EXP(-LN(2)/2)*JT198+(1-EXP(-LN(2)/2))/(LN(2)/2)*JN199*JQ199*VLOOKUP('Données projet'!$B$21,Paramètres!$A$1:$I$89,3,0)*0.475*44/12</f>
        <v>4.0877970351650905E-6</v>
      </c>
      <c r="JU199" s="18">
        <f t="shared" si="375"/>
        <v>50.884722098090393</v>
      </c>
      <c r="JV199" s="74">
        <f>('Scénario référence'!$F$8+'Scénario référence'!$F$9+'Scénario référence'!$B$17+'Scénario référence'!$B$9+'Scénario référence'!$B$10)*70+IF((45+25*(1-EXP(-0.0175*$A199)))&lt;70,'Scénario référence'!$B$16*(45+25*(1-EXP(-0.0175*$A199))),70*'Scénario référence'!$B$16)+IF((32+38*(1-EXP(-0.0175*$A199)))&lt;70,'Scénario référence'!$B$18*(32+38*(1-EXP(-0.0175*$A199))),70*'Scénario référence'!$B$18)</f>
        <v>70</v>
      </c>
      <c r="JW199" s="12">
        <f>IF($A199&gt;30,10,('Scénario référence'!$B$16+'Scénario référence'!$B$17+'Scénario référence'!$B$18+'Scénario référence'!$B$9+'Scénario référence'!$B$10)*$A199*10/30+('Scénario référence'!$F$8+'Scénario référence'!$F$9)*10)</f>
        <v>10</v>
      </c>
      <c r="JX199" s="12" t="e">
        <f>VLOOKUP($A199,'Données projet'!$A$382:$I$402,2,0)</f>
        <v>#N/A</v>
      </c>
      <c r="JY199" s="12" t="e">
        <f>VLOOKUP($A199,'Données projet'!$A$382:$I$402,9,0)</f>
        <v>#N/A</v>
      </c>
      <c r="JZ199" s="12">
        <f t="array" ref="JZ199">INDEX(JY:JY,MIN(IF(ISNUMBER(JY199:JY395),ROW(JY199:JY395),"")))</f>
        <v>0</v>
      </c>
      <c r="KA199" s="12">
        <f>IF('Données projet'!$A$382&gt;35,KA198+JZ199-KI198,IF($A199&lt;'Données projet'!$A$382,$CQ$205^$A199,IF($A199='Données projet'!$A$382,'Données projet'!$B$382,KA198+JZ199-KI198)))</f>
        <v>5.6843418860808015E-13</v>
      </c>
      <c r="KB199" s="17">
        <f>KA199*VLOOKUP('Données projet'!$B$22,Paramètres!$A$1:$I$89,3,0)*VLOOKUP('Données projet'!$B$22,Paramètres!$A$1:$I$89,5,0)</f>
        <v>3.8130565371830017E-13</v>
      </c>
      <c r="KC199" s="13">
        <f t="shared" si="415"/>
        <v>4.9019074112354236E-12</v>
      </c>
      <c r="KD199" s="20">
        <f t="shared" si="376"/>
        <v>9.2015960881277352E-12</v>
      </c>
      <c r="KE199" s="59">
        <f t="shared" si="377"/>
        <v>293.33333333334252</v>
      </c>
      <c r="KF199" s="59">
        <f ca="1">AVERAGE(OFFSET($KE$3,0,0,'Données projet'!$E$22+1,1))-AVERAGE(OFFSET($H$3,0,0,'Données projet'!$E$22+1,1))</f>
        <v>193.91714772848269</v>
      </c>
      <c r="KG199" s="59">
        <f t="shared" si="416"/>
        <v>159.20429420478047</v>
      </c>
      <c r="KH199" s="15">
        <f>IF(ISNA(VLOOKUP($A199,'Données projet'!$A$382:$I$402,3,0)),0,VLOOKUP($A199,'Données projet'!$A$382:$I$402,3,0))</f>
        <v>0</v>
      </c>
      <c r="KI199" s="15">
        <f>IF(ISNA(VLOOKUP($A199,'Données projet'!$A$382:$I$402,4,0)),0,VLOOKUP($A199,'Données projet'!$A$382:$I$402,4,0))</f>
        <v>0</v>
      </c>
      <c r="KJ199" s="16">
        <f>IF(ISNA(VLOOKUP($A199,'Données projet'!$A$382:$I$402,5,0)),0%,VLOOKUP($A199,'Données projet'!$A$382:$I$402,5,0)*VLOOKUP('Données projet'!$B$22,Paramètres!$A$1:$I$89,7,0))</f>
        <v>0</v>
      </c>
      <c r="KK199" s="16">
        <f>IF(ISNA(VLOOKUP($A199,'Données projet'!$A$382:$I$402,6,0)),0%,VLOOKUP($A199,'Données projet'!$A$382:$I$402,6,0)*VLOOKUP('Données projet'!$B$22,Paramètres!$A$1:$I$89,7,0))</f>
        <v>0</v>
      </c>
      <c r="KL199" s="16">
        <f>IF(ISNA(VLOOKUP($A199,'Données projet'!$A$382:$I$402,7,0)),0%,VLOOKUP($A199,'Données projet'!$A$382:$I$402,7,0))</f>
        <v>0</v>
      </c>
      <c r="KM199" s="21">
        <f>EXP(-LN(2)/35)*KM198+(1-EXP(-LN(2)/35))/(LN(2)/35)*KI199*KJ199*VLOOKUP('Données projet'!$B$22,Paramètres!$A$1:$I$89,3,0)*0.475*44/12</f>
        <v>43.127299589610388</v>
      </c>
      <c r="KN199" s="21">
        <f>EXP(-LN(2)/25)*KN198+(1-EXP(-LN(2)/25))/(LN(2)/25)*Calculateur!KI199*Calculateur!KK199*VLOOKUP('Données projet'!$B$22,Paramètres!$A$1:$I$89,3,0)*0.475*44/12</f>
        <v>0</v>
      </c>
      <c r="KO199" s="21">
        <f>EXP(-LN(2)/2)*KO198+(1-EXP(-LN(2)/2))/(LN(2)/2)*KI199*KL199*VLOOKUP('Données projet'!$B$22,Paramètres!$A$1:$I$89,3,0)*0.475*44/12</f>
        <v>0</v>
      </c>
      <c r="KP199" s="22">
        <f t="shared" si="378"/>
        <v>43.127299589610388</v>
      </c>
      <c r="KQ199" s="74">
        <f>('Scénario référence'!$F$8+'Scénario référence'!$F$9+'Scénario référence'!$B$17+'Scénario référence'!$B$9+'Scénario référence'!$B$10)*70+IF((45+25*(1-EXP(-0.0175*$A199)))&lt;70,'Scénario référence'!$B$16*(45+25*(1-EXP(-0.0175*$A199))),70*'Scénario référence'!$B$16)+IF((32+38*(1-EXP(-0.0175*$A199)))&lt;70,'Scénario référence'!$B$18*(32+38*(1-EXP(-0.0175*$A199))),70*'Scénario référence'!$B$18)</f>
        <v>70</v>
      </c>
      <c r="KR199" s="12">
        <f>IF($A199&gt;30,10,('Scénario référence'!$B$16+'Scénario référence'!$B$17+'Scénario référence'!$B$18+'Scénario référence'!$B$9+'Scénario référence'!$B$10)*$A199*10/30+('Scénario référence'!$F$8+'Scénario référence'!$F$9)*10)</f>
        <v>10</v>
      </c>
      <c r="KS199" s="12" t="e">
        <f>VLOOKUP($A199,'Données projet'!$A$408:$I$428,2,0)</f>
        <v>#N/A</v>
      </c>
      <c r="KT199" s="12" t="e">
        <f>VLOOKUP($A199,'Données projet'!$A$408:$I$428,9,0)</f>
        <v>#N/A</v>
      </c>
      <c r="KU199" s="12">
        <f t="array" ref="KU199">INDEX(KT:KT,MIN(IF(ISNUMBER(KT199:KT395),ROW(KT199:KT395),"")))</f>
        <v>0</v>
      </c>
      <c r="KV199" s="12">
        <f>IF('Données projet'!$A$408&gt;35,KV198+KU199-LD198,IF($A199&lt;'Données projet'!$A$408,$CQ$205^$A199,IF($A199='Données projet'!$A$408,'Données projet'!$B$408,KV198+KU199-LD198)))</f>
        <v>-1.1368683772161603E-13</v>
      </c>
      <c r="KW199" s="17">
        <f>KV199*VLOOKUP('Données projet'!$B$23,Paramètres!$A$1:$I$89,3,0)*VLOOKUP('Données projet'!$B$23,Paramètres!$A$1:$I$89,5,0)</f>
        <v>-9.9316821433603781E-14</v>
      </c>
      <c r="KX199" s="13" t="e">
        <f t="shared" si="417"/>
        <v>#NUM!</v>
      </c>
      <c r="KY199" s="14" t="e">
        <f t="shared" si="379"/>
        <v>#NUM!</v>
      </c>
      <c r="KZ199" s="59" t="e">
        <f t="shared" si="380"/>
        <v>#NUM!</v>
      </c>
      <c r="LA199" s="59">
        <f ca="1">AVERAGE(OFFSET($KZ$3,0,0,'Données projet'!$E$23+1,1))-AVERAGE(OFFSET($H$3,0,0,'Données projet'!$E$23+1,1))</f>
        <v>248.33596943633819</v>
      </c>
      <c r="LB199" s="59">
        <f t="shared" si="418"/>
        <v>242.34010522344573</v>
      </c>
      <c r="LC199" s="15">
        <f>IF(ISNA(VLOOKUP($A199,'Données projet'!$A$408:$I$428,3,0)),0,VLOOKUP($A199,'Données projet'!$A$408:$I$428,3,0))</f>
        <v>0</v>
      </c>
      <c r="LD199" s="15">
        <f>IF(ISNA(VLOOKUP($A199,'Données projet'!$A$408:$I$428,4,0)),0,VLOOKUP($A199,'Données projet'!$A$408:$I$428,4,0))</f>
        <v>0</v>
      </c>
      <c r="LE199" s="16">
        <f>IF(ISNA(VLOOKUP($A199,'Données projet'!$A$408:$I$428,5,0)),0%,VLOOKUP($A199,'Données projet'!$A$408:$I$428,5,0)*VLOOKUP('Données projet'!$B$23,Paramètres!$A$1:$I$89,7,0))</f>
        <v>0</v>
      </c>
      <c r="LF199" s="16">
        <f>IF(ISNA(VLOOKUP($A199,'Données projet'!$A$408:$I$428,6,0)),0%,VLOOKUP($A199,'Données projet'!$A$408:$I$428,6,0)*VLOOKUP('Données projet'!$B$23,Paramètres!$A$1:$I$89,7,0))</f>
        <v>0</v>
      </c>
      <c r="LG199" s="16">
        <f>IF(ISNA(VLOOKUP($A199,'Données projet'!$A$408:$I$428,7,0)),0%,VLOOKUP($A199,'Données projet'!$A$408:$I$428,7,0))</f>
        <v>0</v>
      </c>
      <c r="LH199" s="21">
        <f>EXP(-LN(2)/35)*LH198+(1-EXP(-LN(2)/35))/(LN(2)/35)*LD199*LE199*VLOOKUP('Données projet'!$B$23,Paramètres!$A$1:$I$89,3,0)*0.475*44/12</f>
        <v>12.387486913334548</v>
      </c>
      <c r="LI199" s="21">
        <f>EXP(-LN(2)/25)*LI198+(1-EXP(-LN(2)/25))/(LN(2)/25)*Calculateur!LD199*Calculateur!LF199*VLOOKUP('Données projet'!$B$23,Paramètres!$A$1:$I$89,3,0)*0.475*44/12</f>
        <v>0.8734157832921754</v>
      </c>
      <c r="LJ199" s="21">
        <f>EXP(-LN(2)/2)*LJ198+(1-EXP(-LN(2)/2))/(LN(2)/2)*LD199*LG199*VLOOKUP('Données projet'!$B$23,Paramètres!$A$1:$I$89,3,0)*0.475*44/12</f>
        <v>0</v>
      </c>
      <c r="LK199" s="22">
        <f t="shared" si="381"/>
        <v>13.260902696626724</v>
      </c>
      <c r="LL199" s="74">
        <f>('Scénario référence'!$F$8+'Scénario référence'!$F$9+'Scénario référence'!$B$17+'Scénario référence'!$B$9+'Scénario référence'!$B$10)*70+IF((45+25*(1-EXP(-0.0175*$A199)))&lt;70,'Scénario référence'!$B$16*(45+25*(1-EXP(-0.0175*$A199))),70*'Scénario référence'!$B$16)+IF((32+38*(1-EXP(-0.0175*$A199)))&lt;70,'Scénario référence'!$B$18*(32+38*(1-EXP(-0.0175*$A199))),70*'Scénario référence'!$B$18)</f>
        <v>70</v>
      </c>
      <c r="LM199" s="12">
        <f>IF($A199&gt;30,10,('Scénario référence'!$B$16+'Scénario référence'!$B$17+'Scénario référence'!$B$18+'Scénario référence'!$B$9+'Scénario référence'!$B$10)*$A199*10/30+('Scénario référence'!$F$8+'Scénario référence'!$F$9)*10)</f>
        <v>10</v>
      </c>
      <c r="LN199" s="12" t="e">
        <f>VLOOKUP($A199,'Données projet'!$A$434:$I$454,2,0)</f>
        <v>#N/A</v>
      </c>
      <c r="LO199" s="12" t="e">
        <f>VLOOKUP($A199,'Données projet'!$A$434:$I$454,9,0)</f>
        <v>#N/A</v>
      </c>
      <c r="LP199" s="12">
        <f t="array" ref="LP199">INDEX(LO:LO,MIN(IF(ISNUMBER(LO199:LO395),ROW(LO199:LO395),"")))</f>
        <v>0</v>
      </c>
      <c r="LQ199" s="12">
        <f>IF('Données projet'!$A$434&gt;35,LQ198+LP199-LY198,IF($A199&lt;'Données projet'!$A$434,$CQ$205^$A199,IF($A199='Données projet'!$A$434,'Données projet'!$B$434,LQ198+LP199-LY198)))</f>
        <v>-4.5474735088646412E-13</v>
      </c>
      <c r="LR199" s="17">
        <f>LQ199*VLOOKUP('Données projet'!$B$24,Paramètres!$A$1:$I$89,3,0)*VLOOKUP('Données projet'!$B$24,Paramètres!$A$1:$I$89,5,0)</f>
        <v>-4.6111381379887462E-13</v>
      </c>
      <c r="LS199" s="13" t="e">
        <f t="shared" si="419"/>
        <v>#NUM!</v>
      </c>
      <c r="LT199" s="14" t="e">
        <f t="shared" si="382"/>
        <v>#NUM!</v>
      </c>
      <c r="LU199" s="59" t="e">
        <f t="shared" si="383"/>
        <v>#NUM!</v>
      </c>
      <c r="LV199" s="59">
        <f ca="1">AVERAGE(OFFSET($LU$3,0,0,'Données projet'!$E$24+1,1))-AVERAGE(OFFSET($H$3,0,0,'Données projet'!$E$24+1,1))</f>
        <v>260.52627655062872</v>
      </c>
      <c r="LW199" s="59">
        <f t="shared" si="420"/>
        <v>159.20429420478047</v>
      </c>
      <c r="LX199" s="15">
        <f>IF(ISNA(VLOOKUP($A199,'Données projet'!$A$434:$I$454,3,0)),0,VLOOKUP($A199,'Données projet'!$A$434:$I$454,3,0))</f>
        <v>0</v>
      </c>
      <c r="LY199" s="15">
        <f>IF(ISNA(VLOOKUP($A199,'Données projet'!$A$434:$I$454,4,0)),0,VLOOKUP($A199,'Données projet'!$A$434:$I$454,4,0))</f>
        <v>0</v>
      </c>
      <c r="LZ199" s="16">
        <f>IF(ISNA(VLOOKUP($A199,'Données projet'!$A$434:$I$454,5,0)),0%,VLOOKUP($A199,'Données projet'!$A$434:$I$454,5,0)*VLOOKUP('Données projet'!$B$24,Paramètres!$A$1:$I$89,7,0))</f>
        <v>0</v>
      </c>
      <c r="MA199" s="16">
        <f>IF(ISNA(VLOOKUP($A199,'Données projet'!$A$434:$I$454,6,0)),0%,VLOOKUP($A199,'Données projet'!$A$434:$I$454,6,0)*VLOOKUP('Données projet'!$B$24,Paramètres!$A$1:$I$89,7,0))</f>
        <v>0</v>
      </c>
      <c r="MB199" s="16">
        <f>IF(ISNA(VLOOKUP($A199,'Données projet'!$A$434:$I$454,7,0)),0%,VLOOKUP($A199,'Données projet'!$A$434:$I$454,7,0))</f>
        <v>0</v>
      </c>
      <c r="MC199" s="21">
        <f>EXP(-LN(2)/35)*MC198+(1-EXP(-LN(2)/35))/(LN(2)/35)*LY199*LZ199*VLOOKUP('Données projet'!$B$24,Paramètres!$A$1:$I$89,3,0)*0.475*44/12</f>
        <v>79.647333341469562</v>
      </c>
      <c r="MD199" s="21">
        <f>EXP(-LN(2)/25)*MD198+(1-EXP(-LN(2)/25))/(LN(2)/25)*Calculateur!LY199*Calculateur!MA199*VLOOKUP('Données projet'!$B$24,Paramètres!$A$1:$I$89,3,0)*0.475*44/12</f>
        <v>0</v>
      </c>
      <c r="ME199" s="21">
        <f>EXP(-LN(2)/2)*ME198+(1-EXP(-LN(2)/2))/(LN(2)/2)*LY199*MB199*VLOOKUP('Données projet'!$B$24,Paramètres!$A$1:$I$89,3,0)*0.475*44/12</f>
        <v>0</v>
      </c>
      <c r="MF199" s="22">
        <f t="shared" si="384"/>
        <v>79.647333341469562</v>
      </c>
      <c r="MG199" s="74">
        <f>('Scénario référence'!$F$8+'Scénario référence'!$F$9+'Scénario référence'!$B$17+'Scénario référence'!$B$9+'Scénario référence'!$B$10)*70+IF((45+25*(1-EXP(-0.0175*$A199)))&lt;70,'Scénario référence'!$B$16*(45+25*(1-EXP(-0.0175*$A199))),70*'Scénario référence'!$B$16)+IF((32+38*(1-EXP(-0.0175*$A199)))&lt;70,'Scénario référence'!$B$18*(32+38*(1-EXP(-0.0175*$A199))),70*'Scénario référence'!$B$18)</f>
        <v>70</v>
      </c>
      <c r="MH199" s="12">
        <f>IF($A199&gt;30,10,('Scénario référence'!$B$16+'Scénario référence'!$B$17+'Scénario référence'!$B$18+'Scénario référence'!$B$9+'Scénario référence'!$B$10)*$A199*10/30+('Scénario référence'!$F$8+'Scénario référence'!$F$9)*10)</f>
        <v>10</v>
      </c>
      <c r="MI199" s="12" t="e">
        <f>VLOOKUP($A199,'Données projet'!$A$460:$I$480,2,0)</f>
        <v>#N/A</v>
      </c>
      <c r="MJ199" s="12" t="e">
        <f>VLOOKUP($A199,'Données projet'!$A$460:$I$480,9,0)</f>
        <v>#N/A</v>
      </c>
      <c r="MK199" s="12">
        <f t="array" ref="MK199">INDEX(MJ:MJ,MIN(IF(ISNUMBER(MJ199:MJ395),ROW(MJ199:MJ395),"")))</f>
        <v>0</v>
      </c>
      <c r="ML199" s="12">
        <f>IF('Données projet'!$A$460&gt;35,ML198+MK199-MT198,IF($A199&lt;'Données projet'!$A$460,$CQ$205^$A199,IF($A199='Données projet'!$A$460,'Données projet'!$B$460,ML198+MK199-MT198)))</f>
        <v>0</v>
      </c>
      <c r="MM199" s="17" t="e">
        <f>ML199*VLOOKUP('Données projet'!$B$25,Paramètres!$A$1:$I$89,3,0)*VLOOKUP('Données projet'!$B$25,Paramètres!$A$1:$I$89,5,0)</f>
        <v>#N/A</v>
      </c>
      <c r="MN199" s="13" t="e">
        <f t="shared" si="421"/>
        <v>#N/A</v>
      </c>
      <c r="MO199" s="14" t="e">
        <f t="shared" si="385"/>
        <v>#N/A</v>
      </c>
      <c r="MP199" s="59" t="e">
        <f t="shared" si="386"/>
        <v>#N/A</v>
      </c>
      <c r="MQ199" s="20" t="e">
        <f ca="1">AVERAGE(OFFSET($MP$3,0,0,'Données projet'!$E$25+1,1))-AVERAGE(OFFSET($H$3,0,0,'Données projet'!$E$25+1,1))</f>
        <v>#N/A</v>
      </c>
      <c r="MR199" s="59" t="e">
        <f t="shared" si="422"/>
        <v>#N/A</v>
      </c>
      <c r="MS199" s="15">
        <f>IF(ISNA(VLOOKUP($A199,'Données projet'!$A$460:$I$480,3,0)),0,VLOOKUP($A199,'Données projet'!$A$460:$I$480,3,0))</f>
        <v>0</v>
      </c>
      <c r="MT199" s="15">
        <f>IF(ISNA(VLOOKUP($A199,'Données projet'!$A$460:$I$480,4,0)),0,VLOOKUP($A199,'Données projet'!$A$460:$I$480,4,0))</f>
        <v>0</v>
      </c>
      <c r="MU199" s="16">
        <f>IF(ISNA(VLOOKUP($A199,'Données projet'!$A$460:$I$480,5,0)),0%,VLOOKUP($A199,'Données projet'!$A$460:$I$480,5,0)*VLOOKUP('Données projet'!$B$25,Paramètres!$A$1:$I$89,7,0))</f>
        <v>0</v>
      </c>
      <c r="MV199" s="16">
        <f>IF(ISNA(VLOOKUP($A199,'Données projet'!$A$460:$I$480,6,0)),0%,VLOOKUP($A199,'Données projet'!$A$460:$I$480,6,0)*VLOOKUP('Données projet'!$B$25,Paramètres!$A$1:$I$89,7,0))</f>
        <v>0</v>
      </c>
      <c r="MW199" s="16">
        <f>IF(ISNA(VLOOKUP($A199,'Données projet'!$A$460:$I$480,7,0)),0%,VLOOKUP($A199,'Données projet'!$A$460:$I$480,7,0))</f>
        <v>0</v>
      </c>
      <c r="MX199" s="21" t="e">
        <f>EXP(-LN(2)/35)*MX198+(1-EXP(-LN(2)/35))/(LN(2)/35)*MT199*MU199*VLOOKUP('Données projet'!$B$25,Paramètres!$A$1:$I$89,3,0)*0.475*44/12</f>
        <v>#N/A</v>
      </c>
      <c r="MY199" s="21" t="e">
        <f>EXP(-LN(2)/25)*MY198+(1-EXP(-LN(2)/25))/(LN(2)/25)*Calculateur!MT199*Calculateur!MV199*VLOOKUP('Données projet'!$B$25,Paramètres!$A$1:$I$89,3,0)*0.475*44/12</f>
        <v>#N/A</v>
      </c>
      <c r="MZ199" s="21" t="e">
        <f>EXP(-LN(2)/2)*MZ198+(1-EXP(-LN(2)/2))/(LN(2)/2)*MT199*MW199*VLOOKUP('Données projet'!$B$25,Paramètres!$A$1:$I$89,3,0)*0.475*44/12</f>
        <v>#N/A</v>
      </c>
      <c r="NA199" s="22" t="e">
        <f t="shared" si="387"/>
        <v>#N/A</v>
      </c>
      <c r="NB199" s="74">
        <f>('Scénario référence'!$F$8+'Scénario référence'!$F$9+'Scénario référence'!$B$17+'Scénario référence'!$B$9+'Scénario référence'!$B$10)*70+IF((45+25*(1-EXP(-0.0175*$A199)))&lt;70,'Scénario référence'!$B$16*(45+25*(1-EXP(-0.0175*$A199))),70*'Scénario référence'!$B$16)+IF((32+38*(1-EXP(-0.0175*$A199)))&lt;70,'Scénario référence'!$B$18*(32+38*(1-EXP(-0.0175*$A199))),70*'Scénario référence'!$B$18)</f>
        <v>70</v>
      </c>
      <c r="NC199" s="12">
        <f>IF($A199&gt;30,10,('Scénario référence'!$B$16+'Scénario référence'!$B$17+'Scénario référence'!$B$18+'Scénario référence'!$B$9+'Scénario référence'!$B$10)*$A199*10/30+('Scénario référence'!$F$8+'Scénario référence'!$F$9)*10)</f>
        <v>10</v>
      </c>
      <c r="ND199" s="12" t="e">
        <f>VLOOKUP($A199,'Données projet'!$A$486:$I$506,2,0)</f>
        <v>#N/A</v>
      </c>
      <c r="NE199" s="12" t="e">
        <f>VLOOKUP($A199,'Données projet'!$A$486:$I$506,9,0)</f>
        <v>#N/A</v>
      </c>
      <c r="NF199" s="12">
        <f t="array" ref="NF199">INDEX(NE:NE,MIN(IF(ISNUMBER(NE199:NE395),ROW(NE199:NE395),"")))</f>
        <v>0</v>
      </c>
      <c r="NG199" s="12">
        <f>IF('Données projet'!$A$486&gt;35,NG198+NF199-NO198,IF($A199&lt;'Données projet'!$A$486,$CQ$205^$A199,IF($A199='Données projet'!$A$486,'Données projet'!$B$486,NG198+NF199-NO198)))</f>
        <v>0</v>
      </c>
      <c r="NH199" s="17" t="e">
        <f>NG199*VLOOKUP('Données projet'!$B$26,Paramètres!$A$1:$I$89,3,0)*VLOOKUP('Données projet'!$B$26,Paramètres!$A$1:$I$89,5,0)</f>
        <v>#N/A</v>
      </c>
      <c r="NI199" s="13" t="e">
        <f t="shared" si="423"/>
        <v>#N/A</v>
      </c>
      <c r="NJ199" s="14" t="e">
        <f t="shared" si="388"/>
        <v>#N/A</v>
      </c>
      <c r="NK199" s="59" t="e">
        <f t="shared" si="389"/>
        <v>#N/A</v>
      </c>
      <c r="NL199" s="20" t="e">
        <f ca="1">AVERAGE(OFFSET($NK$3,0,0,'Données projet'!$E$26+1,1))-AVERAGE(OFFSET($H$3,0,0,'Données projet'!$E$26+1,1))</f>
        <v>#N/A</v>
      </c>
      <c r="NM199" s="59" t="e">
        <f t="shared" si="424"/>
        <v>#N/A</v>
      </c>
      <c r="NN199" s="15">
        <f>IF(ISNA(VLOOKUP($A199,'Données projet'!$A$486:$I$506,3,0)),0,VLOOKUP($A199,'Données projet'!$A$486:$I$506,3,0))</f>
        <v>0</v>
      </c>
      <c r="NO199" s="15">
        <f>IF(ISNA(VLOOKUP($A199,'Données projet'!$A$486:$I$506,4,0)),0,VLOOKUP($A199,'Données projet'!$A$486:$I$506,4,0))</f>
        <v>0</v>
      </c>
      <c r="NP199" s="16">
        <f>IF(ISNA(VLOOKUP($A199,'Données projet'!$A$486:$I$506,5,0)),0%,VLOOKUP($A199,'Données projet'!$A$486:$I$506,5,0)*VLOOKUP('Données projet'!$B$26,Paramètres!$A$1:$I$89,7,0))</f>
        <v>0</v>
      </c>
      <c r="NQ199" s="16">
        <f>IF(ISNA(VLOOKUP($A199,'Données projet'!$A$486:$I$506,6,0)),0%,VLOOKUP($A199,'Données projet'!$A$486:$I$506,6,0)*VLOOKUP('Données projet'!$B$26,Paramètres!$A$1:$I$89,7,0))</f>
        <v>0</v>
      </c>
      <c r="NR199" s="16">
        <f>IF(ISNA(VLOOKUP($A199,'Données projet'!$A$486:$I$506,7,0)),0%,VLOOKUP($A199,'Données projet'!$A$486:$I$506,7,0))</f>
        <v>0</v>
      </c>
      <c r="NS199" s="21" t="e">
        <f>EXP(-LN(2)/35)*NS198+(1-EXP(-LN(2)/35))/(LN(2)/35)*NO199*NP199*VLOOKUP('Données projet'!$B$26,Paramètres!$A$1:$I$89,3,0)*0.475*44/12</f>
        <v>#N/A</v>
      </c>
      <c r="NT199" s="21" t="e">
        <f>EXP(-LN(2)/25)*NT198+(1-EXP(-LN(2)/25))/(LN(2)/25)*Calculateur!NO199*Calculateur!NQ199*VLOOKUP('Données projet'!$B$26,Paramètres!$A$1:$I$89,3,0)*0.475*44/12</f>
        <v>#N/A</v>
      </c>
      <c r="NU199" s="21" t="e">
        <f>EXP(-LN(2)/2)*NU198+(1-EXP(-LN(2)/2))/(LN(2)/2)*NO199*NR199*VLOOKUP('Données projet'!$B$26,Paramètres!$A$1:$I$89,3,0)*0.475*44/12</f>
        <v>#N/A</v>
      </c>
      <c r="NV199" s="22" t="e">
        <f t="shared" si="390"/>
        <v>#N/A</v>
      </c>
      <c r="NW199" s="74">
        <f>('Scénario référence'!$F$8+'Scénario référence'!$F$9+'Scénario référence'!$B$17+'Scénario référence'!$B$9+'Scénario référence'!$B$10)*70+IF((45+25*(1-EXP(-0.0175*$A199)))&lt;70,'Scénario référence'!$B$16*(45+25*(1-EXP(-0.0175*$A199))),70*'Scénario référence'!$B$16)+IF((32+38*(1-EXP(-0.0175*$A199)))&lt;70,'Scénario référence'!$B$18*(32+38*(1-EXP(-0.0175*$A199))),70*'Scénario référence'!$B$18)</f>
        <v>70</v>
      </c>
      <c r="NX199" s="12">
        <f>IF($A199&gt;30,10,('Scénario référence'!$B$16+'Scénario référence'!$B$17+'Scénario référence'!$B$18+'Scénario référence'!$B$9+'Scénario référence'!$B$10)*$A199*10/30+('Scénario référence'!$F$8+'Scénario référence'!$F$9)*10)</f>
        <v>10</v>
      </c>
      <c r="NY199" s="12" t="e">
        <f>VLOOKUP($A199,'Données projet'!$A$512:$I$532,2,0)</f>
        <v>#N/A</v>
      </c>
      <c r="NZ199" s="12" t="e">
        <f>VLOOKUP($A199,'Données projet'!$A$512:$I$532,9,0)</f>
        <v>#N/A</v>
      </c>
      <c r="OA199" s="12">
        <f t="array" ref="OA199">INDEX(NZ:NZ,MIN(IF(ISNUMBER(NZ199:NZ395),ROW(NZ199:NZ395),"")))</f>
        <v>0</v>
      </c>
      <c r="OB199" s="12">
        <f>IF('Données projet'!$A$512&gt;35,OB198+OA199-OJ198,IF($A199&lt;'Données projet'!$A$512,$CQ$205^$A199,IF($A199='Données projet'!$A$512,'Données projet'!$B$512,OB198+OA199-OJ198)))</f>
        <v>0</v>
      </c>
      <c r="OC199" s="17" t="e">
        <f>OB199*VLOOKUP('Données projet'!$B$27,Paramètres!$A$1:$I$89,3,0)*VLOOKUP('Données projet'!$B$27,Paramètres!$A$1:$I$89,5,0)</f>
        <v>#N/A</v>
      </c>
      <c r="OD199" s="13" t="e">
        <f t="shared" si="425"/>
        <v>#N/A</v>
      </c>
      <c r="OE199" s="14" t="e">
        <f t="shared" si="391"/>
        <v>#N/A</v>
      </c>
      <c r="OF199" s="59" t="e">
        <f t="shared" si="392"/>
        <v>#N/A</v>
      </c>
      <c r="OG199" s="20" t="e">
        <f ca="1">AVERAGE(OFFSET($OF$3,0,0,'Données projet'!$E$27+1,1))-AVERAGE(OFFSET($H$3,0,0,'Données projet'!$E$27+1,1))</f>
        <v>#N/A</v>
      </c>
      <c r="OH199" s="59" t="e">
        <f t="shared" si="426"/>
        <v>#N/A</v>
      </c>
      <c r="OI199" s="15">
        <f>IF(ISNA(VLOOKUP($A199,'Données projet'!$A$512:$I$532,3,0)),0,VLOOKUP($A199,'Données projet'!$A$512:$I$532,3,0))</f>
        <v>0</v>
      </c>
      <c r="OJ199" s="15">
        <f>IF(ISNA(VLOOKUP($A199,'Données projet'!$A$512:$I$532,4,0)),0,VLOOKUP($A199,'Données projet'!$A$512:$I$532,4,0))</f>
        <v>0</v>
      </c>
      <c r="OK199" s="16">
        <f>IF(ISNA(VLOOKUP($A199,'Données projet'!$A$512:$I$532,5,0)),0%,VLOOKUP($A199,'Données projet'!$A$512:$I$532,5,0)*VLOOKUP('Données projet'!$B$27,Paramètres!$A$1:$I$89,7,0))</f>
        <v>0</v>
      </c>
      <c r="OL199" s="16">
        <f>IF(ISNA(VLOOKUP($A199,'Données projet'!$A$512:$I$532,6,0)),0%,VLOOKUP($A199,'Données projet'!$A$512:$I$532,6,0)*VLOOKUP('Données projet'!$B$27,Paramètres!$A$1:$I$89,7,0))</f>
        <v>0</v>
      </c>
      <c r="OM199" s="16">
        <f>IF(ISNA(VLOOKUP($A199,'Données projet'!$A$512:$I$532,7,0)),0%,VLOOKUP($A199,'Données projet'!$A$512:$I$532,7,0))</f>
        <v>0</v>
      </c>
      <c r="ON199" s="21" t="e">
        <f>EXP(-LN(2)/35)*ON198+(1-EXP(-LN(2)/35))/(LN(2)/35)*OJ199*OK199*VLOOKUP('Données projet'!$B$27,Paramètres!$A$1:$I$89,3,0)*0.475*44/12</f>
        <v>#N/A</v>
      </c>
      <c r="OO199" s="21" t="e">
        <f>EXP(-LN(2)/25)*OO198+(1-EXP(-LN(2)/25))/(LN(2)/25)*Calculateur!OJ199*Calculateur!OL199*VLOOKUP('Données projet'!$B$27,Paramètres!$A$1:$I$89,3,0)*0.475*44/12</f>
        <v>#N/A</v>
      </c>
      <c r="OP199" s="21" t="e">
        <f>EXP(-LN(2)/2)*OP198+(1-EXP(-LN(2)/2))/(LN(2)/2)*OJ199*OM199*VLOOKUP('Données projet'!$B$27,Paramètres!$A$1:$I$89,3,0)*0.475*44/12</f>
        <v>#N/A</v>
      </c>
      <c r="OQ199" s="22" t="e">
        <f t="shared" si="393"/>
        <v>#N/A</v>
      </c>
      <c r="OR199" s="74">
        <f>('Scénario référence'!$F$8+'Scénario référence'!$F$9+'Scénario référence'!$B$17+'Scénario référence'!$B$9+'Scénario référence'!$B$10)*70+IF((45+25*(1-EXP(-0.0175*$A199)))&lt;70,'Scénario référence'!$B$16*(45+25*(1-EXP(-0.0175*$A199))),70*'Scénario référence'!$B$16)+IF((32+38*(1-EXP(-0.0175*$A199)))&lt;70,'Scénario référence'!$B$18*(32+38*(1-EXP(-0.0175*$A199))),70*'Scénario référence'!$B$18)</f>
        <v>70</v>
      </c>
      <c r="OS199" s="12">
        <f>IF($A199&gt;30,10,('Scénario référence'!$B$16+'Scénario référence'!$B$17+'Scénario référence'!$B$18+'Scénario référence'!$B$9+'Scénario référence'!$B$10)*$A199*10/30+('Scénario référence'!$F$8+'Scénario référence'!$F$9)*10)</f>
        <v>10</v>
      </c>
      <c r="OT199" s="12" t="e">
        <f>VLOOKUP($A199,'Données projet'!$A$538:$I$558,2,0)</f>
        <v>#N/A</v>
      </c>
      <c r="OU199" s="12" t="e">
        <f>VLOOKUP($A199,'Données projet'!$A$538:$I$558,9,0)</f>
        <v>#N/A</v>
      </c>
      <c r="OV199" s="12">
        <f t="array" ref="OV199">INDEX(OU:OU,MIN(IF(ISNUMBER(OU199:OU395),ROW(OU199:OU395),"")))</f>
        <v>0</v>
      </c>
      <c r="OW199" s="12">
        <f>IF('Données projet'!$A$538&gt;35,OW198+OV199-PE198,IF($A199&lt;'Données projet'!$A$538,$CQ$205^$A199,IF($A199='Données projet'!$A$538,'Données projet'!$B$538,OW198+OV199-PE198)))</f>
        <v>0</v>
      </c>
      <c r="OX199" s="17" t="e">
        <f>OW199*VLOOKUP('Données projet'!$B$28,Paramètres!$A$1:$I$89,3,0)*VLOOKUP('Données projet'!$B$28,Paramètres!$A$1:$I$89,5,0)</f>
        <v>#N/A</v>
      </c>
      <c r="OY199" s="13" t="e">
        <f t="shared" si="427"/>
        <v>#N/A</v>
      </c>
      <c r="OZ199" s="14" t="e">
        <f t="shared" si="394"/>
        <v>#N/A</v>
      </c>
      <c r="PA199" s="59" t="e">
        <f t="shared" si="395"/>
        <v>#N/A</v>
      </c>
      <c r="PB199" s="20" t="e">
        <f ca="1">AVERAGE(OFFSET($PA$3,0,0,'Données projet'!$E$28+1,1))-AVERAGE(OFFSET($H$3,0,0,'Données projet'!$E$28+1,1))</f>
        <v>#N/A</v>
      </c>
      <c r="PC199" s="59" t="e">
        <f t="shared" si="428"/>
        <v>#N/A</v>
      </c>
      <c r="PD199" s="15">
        <f>IF(ISNA(VLOOKUP($A199,'Données projet'!$A$538:$I$558,3,0)),0,VLOOKUP($A199,'Données projet'!$A$538:$I$558,3,0))</f>
        <v>0</v>
      </c>
      <c r="PE199" s="15">
        <f>IF(ISNA(VLOOKUP($A199,'Données projet'!$A$538:$I$558,4,0)),0,VLOOKUP($A199,'Données projet'!$A$538:$I$558,4,0))</f>
        <v>0</v>
      </c>
      <c r="PF199" s="16">
        <f>IF(ISNA(VLOOKUP($A199,'Données projet'!$A$538:$I$558,5,0)),0%,VLOOKUP($A199,'Données projet'!$A$538:$I$558,5,0)*VLOOKUP('Données projet'!$B$28,Paramètres!$A$1:$I$89,7,0))</f>
        <v>0</v>
      </c>
      <c r="PG199" s="16">
        <f>IF(ISNA(VLOOKUP($A199,'Données projet'!$A$538:$I$558,6,0)),0%,VLOOKUP($A199,'Données projet'!$A$538:$I$558,6,0)*VLOOKUP('Données projet'!$B$28,Paramètres!$A$1:$I$89,7,0))</f>
        <v>0</v>
      </c>
      <c r="PH199" s="16">
        <f>IF(ISNA(VLOOKUP($A199,'Données projet'!$A$538:$I$558,7,0)),0%,VLOOKUP($A199,'Données projet'!$A$538:$I$558,7,0))</f>
        <v>0</v>
      </c>
      <c r="PI199" s="21" t="e">
        <f>EXP(-LN(2)/35)*PI198+(1-EXP(-LN(2)/35))/(LN(2)/35)*PE199*PF199*VLOOKUP('Données projet'!$B$28,Paramètres!$A$1:$I$89,3,0)*0.475*44/12</f>
        <v>#N/A</v>
      </c>
      <c r="PJ199" s="21" t="e">
        <f>EXP(-LN(2)/25)*PJ198+(1-EXP(-LN(2)/25))/(LN(2)/25)*Calculateur!PE199*Calculateur!PG199*VLOOKUP('Données projet'!$B$28,Paramètres!$A$1:$I$89,3,0)*0.475*44/12</f>
        <v>#N/A</v>
      </c>
      <c r="PK199" s="21" t="e">
        <f>EXP(-LN(2)/2)*PK198+(1-EXP(-LN(2)/2))/(LN(2)/2)*PE199*PH199*VLOOKUP('Données projet'!$B$28,Paramètres!$A$1:$I$89,3,0)*0.475*44/12</f>
        <v>#N/A</v>
      </c>
      <c r="PL199" s="22" t="e">
        <f t="shared" si="396"/>
        <v>#N/A</v>
      </c>
    </row>
    <row r="200" spans="1:428" x14ac:dyDescent="0.35">
      <c r="A200" s="10">
        <f t="shared" si="326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397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357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projet'!$A$45:$I$65,2,0)</f>
        <v>#N/A</v>
      </c>
      <c r="L200" s="12" t="e">
        <f>VLOOKUP(A200,'Données projet'!$A$45:$I$65,9,0)</f>
        <v>#N/A</v>
      </c>
      <c r="M200" s="12">
        <f t="array" ref="M200">INDEX(L:L,MIN(IF(ISNUMBER(L200:L396),ROW(L200:L396),"")))</f>
        <v>0</v>
      </c>
      <c r="N200" s="13">
        <f>IF('Données projet'!$A$46&gt;35,N199+M200-V199,IF(A200&lt;'Données projet'!$A$46,$K$205^A200,IF(A200='Données projet'!$A$46,'Données projet'!$B$46,N199+M200-V199)))</f>
        <v>-1.1368683772161603E-13</v>
      </c>
      <c r="O200" s="13">
        <f>N200*VLOOKUP('Données projet'!$B$9,Paramètres!$A$1:$I$89,3,0)*VLOOKUP('Données projet'!$B$9,Paramètres!$A$1:$I$89,5,0)</f>
        <v>-6.3550942286383367E-14</v>
      </c>
      <c r="P200" s="13" t="e">
        <f t="shared" si="398"/>
        <v>#NUM!</v>
      </c>
      <c r="Q200" s="20" t="e">
        <f t="shared" si="327"/>
        <v>#NUM!</v>
      </c>
      <c r="R200" s="59" t="e">
        <f t="shared" si="356"/>
        <v>#NUM!</v>
      </c>
      <c r="S200" s="59">
        <f ca="1">AVERAGE(OFFSET($R$3,0,0,'Données projet'!$E$9+1,1))-AVERAGE(OFFSET($H$3,0,0,'Données projet'!$E$9+1,1))</f>
        <v>274.57619581652199</v>
      </c>
      <c r="T200" s="59">
        <f t="shared" si="399"/>
        <v>366.15117322598775</v>
      </c>
      <c r="U200" s="15">
        <f>IF(ISNA(VLOOKUP(A200,'Données projet'!$A$45:$I$65,3,0)),0,VLOOKUP(A200,'Données projet'!$A$45:$I$65,3,0))</f>
        <v>0</v>
      </c>
      <c r="V200" s="15">
        <f>IF(ISNA(VLOOKUP(A200,'Données projet'!$A$45:$I$65,4,0)),0,VLOOKUP(A200,'Données projet'!$A$45:$I$65,4,0))</f>
        <v>0</v>
      </c>
      <c r="W200" s="16">
        <f>IF(ISNA(VLOOKUP(A200,'Données projet'!$A$45:$I$65,5,0)),0%,VLOOKUP(A200,'Données projet'!$A$45:$I$65,5,0)*VLOOKUP('Données projet'!$B$9,Paramètres!$A$1:$I$89,7,0))</f>
        <v>0</v>
      </c>
      <c r="X200" s="16">
        <f>IF(ISNA(VLOOKUP(A200,'Données projet'!$A$45:$I$65,6,0)),0%,VLOOKUP(A200,'Données projet'!$A$45:$I$65,6,0)*VLOOKUP('Données projet'!$B$9,Paramètres!$A$1:$I$89,7,0))</f>
        <v>0</v>
      </c>
      <c r="Y200" s="16">
        <f>IF(ISNA(VLOOKUP(A200,'Données projet'!$A$45:$I$65,7,0)),0%,VLOOKUP(A200,'Données projet'!$A$45:$I$65,7,0))</f>
        <v>0</v>
      </c>
      <c r="Z200" s="21">
        <f>EXP(-LN(2)/35)*Z199+(1-EXP(-LN(2)/35))/(LN(2)/35)*V200*W200*VLOOKUP('Données projet'!$B$9,Paramètres!$A$1:$I$89,3,0)*0.475*44/12</f>
        <v>13.615938983575615</v>
      </c>
      <c r="AA200" s="21">
        <f>EXP(-LN(2)/25)*AA199+(1-EXP(-LN(2)/25))/(LN(2)/25)*Calculateur!V200*Calculateur!X200*VLOOKUP('Données projet'!$B$9,Paramètres!$A$1:$I$89,3,0)*0.475*44/12</f>
        <v>1.1236473012500043</v>
      </c>
      <c r="AB200" s="21">
        <f>EXP(-LN(2)/2)*AB199+(1-EXP(-LN(2)/2))/(LN(2)/2)*V200*Y200*VLOOKUP('Données projet'!$B$9,Paramètres!$A$1:$I$89,3,0)*0.475*44/12</f>
        <v>1.446787500632676E-20</v>
      </c>
      <c r="AC200" s="22">
        <f t="shared" si="328"/>
        <v>14.73958628482562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projet'!$A$71:$I$91,2,0)</f>
        <v>#N/A</v>
      </c>
      <c r="AG200" s="12" t="e">
        <f>VLOOKUP(A200,'Données projet'!$A$71:$I$91,9,0)</f>
        <v>#N/A</v>
      </c>
      <c r="AH200" s="12">
        <f t="array" ref="AH200">INDEX(AG:AG,MIN(IF(ISNUMBER(AG200:AG396),ROW(AG200:AG396),"")))</f>
        <v>0</v>
      </c>
      <c r="AI200" s="13">
        <f>IF('Données projet'!$A$72&gt;35,AI199+AH200-AQ199,IF(A200&lt;'Données projet'!$A$72,$AF$205^A200,IF(A200='Données projet'!$A$72,'Données projet'!$B$72,AI199+AH200-AQ199)))</f>
        <v>5.6843418860808015E-13</v>
      </c>
      <c r="AJ200" s="13">
        <f>AI200*VLOOKUP('Données projet'!$B$10,Paramètres!$A$1:$I$89,3,0)*VLOOKUP('Données projet'!$B$10,Paramètres!$A$1:$I$89,5,0)</f>
        <v>5.1431925385259092E-13</v>
      </c>
      <c r="AK200" s="13">
        <f t="shared" si="329"/>
        <v>6.3855359115685756E-12</v>
      </c>
      <c r="AL200" s="20">
        <f t="shared" si="330"/>
        <v>1.2017247746441865E-11</v>
      </c>
      <c r="AM200" s="59">
        <f t="shared" si="358"/>
        <v>293.33333333334531</v>
      </c>
      <c r="AN200" s="59">
        <f ca="1">AVERAGE(OFFSET($AM$3,0,0,'Données projet'!$E$10+1,1))-AVERAGE(OFFSET($H$3,0,0,'Données projet'!$E$10+1,1))</f>
        <v>270.87836509222456</v>
      </c>
      <c r="AO200" s="59">
        <f t="shared" si="400"/>
        <v>205.24998237949734</v>
      </c>
      <c r="AP200" s="15">
        <f>IF(ISNA(VLOOKUP(A200,'Données projet'!$A$71:$I$91,3,0)),0,VLOOKUP(A200,'Données projet'!$A$71:$I$91,3,0))</f>
        <v>0</v>
      </c>
      <c r="AQ200" s="15">
        <f>IF(ISNA(VLOOKUP(A200,'Données projet'!$A$71:$I$91,4,0)),0,VLOOKUP(A200,'Données projet'!$A$71:$I$91,4,0))</f>
        <v>0</v>
      </c>
      <c r="AR200" s="16">
        <f>IF(ISNA(VLOOKUP(A200,'Données projet'!$A$71:$I$91,5,0)),0%,VLOOKUP(A200,'Données projet'!$A$71:$I$91,5,0)*VLOOKUP('Données projet'!$B$10,Paramètres!$A$1:$I$89,7,0))</f>
        <v>0</v>
      </c>
      <c r="AS200" s="16">
        <f>IF(ISNA(VLOOKUP(A200,'Données projet'!$A$71:$I$91,6,0)),0%,VLOOKUP(A200,'Données projet'!$A$71:$I$91,6,0)*VLOOKUP('Données projet'!$B$10,Paramètres!$A$1:$I$89,7,0))</f>
        <v>0</v>
      </c>
      <c r="AT200" s="16">
        <f>IF(ISNA(VLOOKUP(A200,'Données projet'!$A$71:$I$91,7,0)),0%,VLOOKUP(A200,'Données projet'!$A$71:$I$91,7,0))</f>
        <v>0</v>
      </c>
      <c r="AU200" s="21">
        <f>EXP(-LN(2)/35)*AU199+(1-EXP(-LN(2)/35))/(LN(2)/35)*AQ200*AR200*VLOOKUP('Données projet'!$B$10,Paramètres!$A$1:$I$89,3,0)*0.475*44/12</f>
        <v>46.270429695912867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331"/>
        <v>46.270429695912867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projet'!$A$97:$I$117,2,0)</f>
        <v>#N/A</v>
      </c>
      <c r="BB200" s="12" t="e">
        <f>VLOOKUP(A200,'Données projet'!$A$97:$I$117,9,0)</f>
        <v>#N/A</v>
      </c>
      <c r="BC200" s="12">
        <f t="array" ref="BC200">INDEX(BB:BB,MIN(IF(ISNUMBER(BB200:BB396),ROW(BB200:BB396),"")))</f>
        <v>0</v>
      </c>
      <c r="BD200" s="12">
        <f>IF('Données projet'!$A$98&gt;35,BD199+BC200-BL199,IF(A200&lt;'Données projet'!$A$98,$BA$205^A200,IF(A200='Données projet'!$A$98,'Données projet'!$B$98,BD199+BC200-BL199)))</f>
        <v>-1.1368683772161603E-13</v>
      </c>
      <c r="BE200" s="13">
        <f>BD200*VLOOKUP('Données projet'!$B$11,Paramètres!$A$1:$I$89,3,0)*VLOOKUP('Données projet'!$B$11,Paramètres!$A$1:$I$89,5,0)</f>
        <v>-5.0249582272954292E-14</v>
      </c>
      <c r="BF200" s="13" t="e">
        <f t="shared" si="332"/>
        <v>#NUM!</v>
      </c>
      <c r="BG200" s="20" t="e">
        <f t="shared" si="333"/>
        <v>#NUM!</v>
      </c>
      <c r="BH200" s="59" t="e">
        <f t="shared" si="359"/>
        <v>#NUM!</v>
      </c>
      <c r="BI200" s="59">
        <f ca="1">AVERAGE(OFFSET($BH$3,0,0,'Données projet'!$E$11+1,1))-AVERAGE(OFFSET($H$3,0,0,'Données projet'!$E$11+1,1))</f>
        <v>211.31057120485542</v>
      </c>
      <c r="BJ200" s="59">
        <f t="shared" si="401"/>
        <v>283.33292006714777</v>
      </c>
      <c r="BK200" s="15">
        <f>IF(ISNA(VLOOKUP(A200,'Données projet'!$A$97:$I$117,3,0)),0,VLOOKUP(A200,'Données projet'!$A$97:$I$117,3,0))</f>
        <v>0</v>
      </c>
      <c r="BL200" s="15">
        <f>IF(ISNA(VLOOKUP(A200,'Données projet'!$A$97:$I$117,4,0)),0,VLOOKUP(A200,'Données projet'!$A$97:$I$117,4,0))</f>
        <v>0</v>
      </c>
      <c r="BM200" s="16">
        <f>IF(ISNA(VLOOKUP(A200,'Données projet'!$A$97:$I$117,5,0)),0%,VLOOKUP(A200,'Données projet'!$A$97:$I$117,5,0)*VLOOKUP('Données projet'!$B$11,Paramètres!$A$1:$I$89,7,0))</f>
        <v>0</v>
      </c>
      <c r="BN200" s="16">
        <f>IF(ISNA(VLOOKUP(A200,'Données projet'!$A$97:$I$117,6,0)),0%,VLOOKUP(A200,'Données projet'!$A$97:$I$117,6,0)*VLOOKUP('Données projet'!$B$11,Paramètres!$A$1:$I$89,7,0))</f>
        <v>0</v>
      </c>
      <c r="BO200" s="16">
        <f>IF(ISNA(VLOOKUP(A200,'Données projet'!$A$97:$I$117,7,0)),0%,VLOOKUP(A200,'Données projet'!$A$97:$I$117,7,0))</f>
        <v>0</v>
      </c>
      <c r="BP200" s="21">
        <f>EXP(-LN(2)/35)*BP199+(1-EXP(-LN(2)/35))/(LN(2)/35)*BL200*BM200*VLOOKUP('Données projet'!$B$11,Paramètres!$A$1:$I$89,3,0)*0.475*44/12</f>
        <v>10.766091289338867</v>
      </c>
      <c r="BQ200" s="21">
        <f>EXP(-LN(2)/25)*BQ199+(1-EXP(-LN(2)/25))/(LN(2)/25)*Calculateur!BL200*Calculateur!BN200*VLOOKUP('Données projet'!$B$11,Paramètres!$A$1:$I$89,3,0)*0.475*44/12</f>
        <v>0.88846530796511936</v>
      </c>
      <c r="BR200" s="21">
        <f>EXP(-LN(2)/2)*BR199+(1-EXP(-LN(2)/2))/(LN(2)/2)*BL200*BO200*VLOOKUP('Données projet'!$B$11,Paramètres!$A$1:$I$89,3,0)*0.475*44/12</f>
        <v>1.1439715121281622E-20</v>
      </c>
      <c r="BS200" s="22">
        <f t="shared" si="334"/>
        <v>11.654556597303987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projet'!$A$123:$I$143,2,0)</f>
        <v>#N/A</v>
      </c>
      <c r="BW200" s="12" t="e">
        <f>VLOOKUP(A200,'Données projet'!$A$123:$I$143,9,0)</f>
        <v>#N/A</v>
      </c>
      <c r="BX200" s="12">
        <f t="array" ref="BX200">INDEX(BW:BW,MIN(IF(ISNUMBER(BW200:BW396),ROW(BW200:BW396),"")))</f>
        <v>0</v>
      </c>
      <c r="BY200" s="12">
        <f>IF('Données projet'!$A$124&gt;35,BY199+BX200-CG199,IF(A200&lt;'Données projet'!$A$124,$BV$205^A200,IF(A200='Données projet'!$A$124,'Données projet'!$B$124,BY199+BX200-CG199)))</f>
        <v>0</v>
      </c>
      <c r="BZ200" s="13">
        <f>BY200*VLOOKUP('Données projet'!$B$12,Paramètres!$A$1:$I$89,3,0)*VLOOKUP('Données projet'!$B$12,Paramètres!$A$1:$I$89,5,0)</f>
        <v>0</v>
      </c>
      <c r="CA200" s="13" t="e">
        <f t="shared" si="335"/>
        <v>#NUM!</v>
      </c>
      <c r="CB200" s="20" t="e">
        <f t="shared" si="336"/>
        <v>#NUM!</v>
      </c>
      <c r="CC200" s="59" t="e">
        <f t="shared" si="360"/>
        <v>#NUM!</v>
      </c>
      <c r="CD200" s="59">
        <f ca="1">AVERAGE(OFFSET($CC$3,0,0,'Données projet'!$E$12+1,1))-AVERAGE(OFFSET($H$3,0,0,'Données projet'!$E$12+1,1))</f>
        <v>322.93502595881938</v>
      </c>
      <c r="CE200" s="59">
        <f t="shared" si="402"/>
        <v>302.67072119588164</v>
      </c>
      <c r="CF200" s="15">
        <f>IF(ISNA(VLOOKUP(A200,'Données projet'!$A$123:$I$143,3,0)),0,VLOOKUP(A200,'Données projet'!$A$123:$I$143,3,0))</f>
        <v>0</v>
      </c>
      <c r="CG200" s="15">
        <f>IF(ISNA(VLOOKUP(A200,'Données projet'!$A$123:$I$143,4,0)),0,VLOOKUP(A200,'Données projet'!$A$123:$I$143,4,0))</f>
        <v>0</v>
      </c>
      <c r="CH200" s="16">
        <f>IF(ISNA(VLOOKUP(A200,'Données projet'!$A$123:$I$143,5,0)),0%,VLOOKUP(A200,'Données projet'!$A$123:$I$143,5,0)*VLOOKUP('Données projet'!$B$12,Paramètres!$A$1:$I$89,7,0))</f>
        <v>0</v>
      </c>
      <c r="CI200" s="16">
        <f>IF(ISNA(VLOOKUP(A200,'Données projet'!$A$123:$I$143,6,0)),0%,VLOOKUP(A200,'Données projet'!$A$123:$I$143,6,0)*VLOOKUP('Données projet'!$B$12,Paramètres!$A$1:$I$89,7,0))</f>
        <v>0</v>
      </c>
      <c r="CJ200" s="16">
        <f>IF(ISNA(VLOOKUP(A200,'Données projet'!$A$123:$I$143,7,0)),0%,VLOOKUP(A200,'Données projet'!$A$123:$I$143,7,0))</f>
        <v>0</v>
      </c>
      <c r="CK200" s="21">
        <f>EXP(-LN(2)/35)*CK199+(1-EXP(-LN(2)/35))/(LN(2)/35)*CG200*CH200*VLOOKUP('Données projet'!$B$12,Paramètres!$A$1:$I$89,3,0)*0.475*44/12</f>
        <v>17.152984879903396</v>
      </c>
      <c r="CL200" s="21">
        <f>EXP(-LN(2)/25)*CL199+(1-EXP(-LN(2)/25))/(LN(2)/25)*Calculateur!CG200*Calculateur!CI200*VLOOKUP('Données projet'!$B$12,Paramètres!$A$1:$I$89,3,0)*0.475*44/12</f>
        <v>2.8436265416222124</v>
      </c>
      <c r="CM200" s="21">
        <f>EXP(-LN(2)/2)*CM199+(1-EXP(-LN(2)/2))/(LN(2)/2)*CG200*CJ200*VLOOKUP('Données projet'!$B$12,Paramètres!$A$1:$I$89,3,0)*0.475*44/12</f>
        <v>0</v>
      </c>
      <c r="CN200" s="22">
        <f t="shared" si="337"/>
        <v>19.996611421525607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projet'!$A$149:$I$169,2,0)</f>
        <v>#N/A</v>
      </c>
      <c r="CR200" s="12" t="e">
        <f>VLOOKUP(A200,'Données projet'!$A$149:$I$169,9,0)</f>
        <v>#N/A</v>
      </c>
      <c r="CS200" s="12">
        <f t="array" ref="CS200">INDEX(CR:CR,MIN(IF(ISNUMBER(CR200:CR396),ROW(CR200:CR396),"")))</f>
        <v>0</v>
      </c>
      <c r="CT200" s="12">
        <f>IF('Données projet'!$A$150&gt;35,CT199+CS200-DB199,IF(A200&lt;'Données projet'!$A$150,$CQ$205^A200,IF(A200='Données projet'!$A$150,'Données projet'!$B$150,CT199+CS200-DB199)))</f>
        <v>-4.5474735088646412E-13</v>
      </c>
      <c r="CU200" s="17">
        <f>CT200*VLOOKUP('Données projet'!$B$13,Paramètres!$A$1:$I$89,3,0)*VLOOKUP('Données projet'!$B$13,Paramètres!$A$1:$I$89,5,0)</f>
        <v>-4.6111381379887462E-13</v>
      </c>
      <c r="CV200" s="13" t="e">
        <f t="shared" si="338"/>
        <v>#NUM!</v>
      </c>
      <c r="CW200" s="20" t="e">
        <f t="shared" si="339"/>
        <v>#NUM!</v>
      </c>
      <c r="CX200" s="59" t="e">
        <f t="shared" si="361"/>
        <v>#NUM!</v>
      </c>
      <c r="CY200" s="59">
        <f ca="1">AVERAGE(OFFSET($CX$3,0,0,'Données projet'!$E$13+1,1))-AVERAGE(OFFSET($H$3,0,0,'Données projet'!$E$13+1,1))</f>
        <v>250.31277422753283</v>
      </c>
      <c r="CZ200" s="59">
        <f t="shared" si="403"/>
        <v>159.20429420478047</v>
      </c>
      <c r="DA200" s="15">
        <f>IF(ISNA(VLOOKUP(A200,'Données projet'!$A$149:$I$169,3,0)),0,VLOOKUP(A200,'Données projet'!$A$149:$I$169,3,0))</f>
        <v>0</v>
      </c>
      <c r="DB200" s="15">
        <f>IF(ISNA(VLOOKUP(A200,'Données projet'!$A$149:$I$169,4,0)),0,VLOOKUP(A200,'Données projet'!$A$149:$I$169,4,0))</f>
        <v>0</v>
      </c>
      <c r="DC200" s="16">
        <f>IF(ISNA(VLOOKUP(A200,'Données projet'!$A$149:$I$169,5,0)),0%,VLOOKUP(A200,'Données projet'!$A$149:$I$169,5,0)*VLOOKUP('Données projet'!$B$13,Paramètres!$A$1:$I$89,7,0))</f>
        <v>0</v>
      </c>
      <c r="DD200" s="16">
        <f>IF(ISNA(VLOOKUP(A200,'Données projet'!$A$149:$I$169,6,0)),0%,VLOOKUP(A200,'Données projet'!$A$149:$I$169,6,0)*VLOOKUP('Données projet'!$B$13,Paramètres!$A$1:$I$89,7,0))</f>
        <v>0</v>
      </c>
      <c r="DE200" s="16">
        <f>IF(ISNA(VLOOKUP(A200,'Données projet'!$A$149:$I$169,7,0)),0%,VLOOKUP(A200,'Données projet'!$A$149:$I$169,7,0))</f>
        <v>0</v>
      </c>
      <c r="DF200" s="21">
        <f>EXP(-LN(2)/35)*DF199+(1-EXP(-LN(2)/35))/(LN(2)/35)*DB200*DC200*VLOOKUP('Données projet'!$B$13,Paramètres!$A$1:$I$89,3,0)*0.475*44/12</f>
        <v>78.085497714719793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340"/>
        <v>78.085497714719793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projet'!$A$175:$I$195,2,0)</f>
        <v>#N/A</v>
      </c>
      <c r="DM200" s="12" t="e">
        <f>VLOOKUP(A200,'Données projet'!$A$175:$I$195,9,0)</f>
        <v>#N/A</v>
      </c>
      <c r="DN200" s="12">
        <f t="array" ref="DN200">INDEX(DM:DM,MIN(IF(ISNUMBER(DM200:DM396),ROW(DM200:DM396),"")))</f>
        <v>0</v>
      </c>
      <c r="DO200" s="12">
        <f>IF('Données projet'!$A$176&gt;35,DO199+DN200-DW199,IF(A200&lt;'Données projet'!$A$176,$DL$205^A200,IF(A200='Données projet'!$A$176,'Données projet'!$B$176,DO199+DN200-DW199)))</f>
        <v>-2.8421709430404007E-13</v>
      </c>
      <c r="DP200" s="17">
        <f>DO200*VLOOKUP('Données projet'!$B$14,Paramètres!$A$1:$I$89,3,0)*VLOOKUP('Données projet'!$B$14,Paramètres!$A$1:$I$89,5,0)</f>
        <v>-2.0838797354372215E-13</v>
      </c>
      <c r="DQ200" s="13" t="e">
        <f t="shared" si="341"/>
        <v>#NUM!</v>
      </c>
      <c r="DR200" s="20" t="e">
        <f t="shared" si="342"/>
        <v>#NUM!</v>
      </c>
      <c r="DS200" s="59" t="e">
        <f t="shared" si="362"/>
        <v>#NUM!</v>
      </c>
      <c r="DT200" s="59">
        <f ca="1">AVERAGE(OFFSET($DS$3,0,0,'Données projet'!$E$14+1,1))-AVERAGE(OFFSET($H$3,0,0,'Données projet'!$E$14+1,1))</f>
        <v>296.91321813251051</v>
      </c>
      <c r="DU200" s="59">
        <f t="shared" si="404"/>
        <v>291.0718079639509</v>
      </c>
      <c r="DV200" s="15">
        <f>IF(ISNA(VLOOKUP(A200,'Données projet'!$A$175:$I$195,3,0)),0,VLOOKUP(A200,'Données projet'!$A$175:$I$195,3,0))</f>
        <v>0</v>
      </c>
      <c r="DW200" s="15">
        <f>IF(ISNA(VLOOKUP(A200,'Données projet'!$A$175:$I$195,4,0)),0,VLOOKUP(A200,'Données projet'!$A$175:$I$195,4,0))</f>
        <v>0</v>
      </c>
      <c r="DX200" s="16">
        <f>IF(ISNA(VLOOKUP(A200,'Données projet'!$A$175:$I$195,5,0)),0%,VLOOKUP(A200,'Données projet'!$A$175:$I$195,5,0)*VLOOKUP('Données projet'!$B$14,Paramètres!$A$1:$I$89,7,0))</f>
        <v>0</v>
      </c>
      <c r="DY200" s="16">
        <f>IF(ISNA(VLOOKUP(A200,'Données projet'!$A$175:$I$195,6,0)),0%,VLOOKUP(A200,'Données projet'!$A$175:$I$195,6,0)*VLOOKUP('Données projet'!$B$14,Paramètres!$A$1:$I$89,7,0))</f>
        <v>0</v>
      </c>
      <c r="DZ200" s="16">
        <f>IF(ISNA(VLOOKUP(A200,'Données projet'!$A$175:$I$195,7,0)),0%,VLOOKUP(A200,'Données projet'!$A$175:$I$195,7,0))</f>
        <v>0</v>
      </c>
      <c r="EA200" s="21">
        <f>EXP(-LN(2)/35)*EA199+(1-EXP(-LN(2)/35))/(LN(2)/35)*DW200*DX200*VLOOKUP('Données projet'!$B$14,Paramètres!$A$1:$I$89,3,0)*0.475*44/12</f>
        <v>17.096019080454091</v>
      </c>
      <c r="EB200" s="21">
        <f>EXP(-LN(2)/25)*EB199+(1-EXP(-LN(2)/25))/(LN(2)/25)*Calculateur!DW200*Calculateur!DY200*VLOOKUP('Données projet'!$B$14,Paramètres!$A$1:$I$89,3,0)*0.475*44/12</f>
        <v>0.20889538476214153</v>
      </c>
      <c r="EC200" s="21">
        <f>EXP(-LN(2)/2)*EC199+(1-EXP(-LN(2)/2))/(LN(2)/2)*DW200*DZ200*VLOOKUP('Données projet'!$B$14,Paramètres!$A$1:$I$89,3,0)*0.475*44/12</f>
        <v>0</v>
      </c>
      <c r="ED200" s="22">
        <f t="shared" si="343"/>
        <v>17.304914465216232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projet'!$A$201:$I$221,2,0)</f>
        <v>#N/A</v>
      </c>
      <c r="EH200" s="12" t="e">
        <f>VLOOKUP(A200,'Données projet'!$A$201:$I$221,9,0)</f>
        <v>#N/A</v>
      </c>
      <c r="EI200" s="12">
        <f t="array" ref="EI200">INDEX(EH:EH,MIN(IF(ISNUMBER(EH200:EH396),ROW(EH200:EH396),"")))</f>
        <v>0</v>
      </c>
      <c r="EJ200" s="12">
        <f>IF('Données projet'!$A$202&gt;35,EJ199+EI200-ER199,IF(A200&lt;'Données projet'!$A$202,$EG$205^A200,IF(A200='Données projet'!$A$202,'Données projet'!$B$202,EJ199+EI200-ER199)))</f>
        <v>5.1159076974727213E-13</v>
      </c>
      <c r="EK200" s="17">
        <f>EJ200*VLOOKUP('Données projet'!$B$15,Paramètres!$A$1:$I$89,3,0)*VLOOKUP('Données projet'!$B$15,Paramètres!$A$1:$I$89,5,0)</f>
        <v>2.3942448024172334E-13</v>
      </c>
      <c r="EL200" s="13">
        <f t="shared" si="344"/>
        <v>3.2492669905861755E-12</v>
      </c>
      <c r="EM200" s="20">
        <f t="shared" si="345"/>
        <v>6.0761376450252565E-12</v>
      </c>
      <c r="EN200" s="59">
        <f t="shared" si="363"/>
        <v>293.3333333333394</v>
      </c>
      <c r="EO200" s="59">
        <f ca="1">AVERAGE(OFFSET($EN$3,0,0,'Données projet'!$E$15+1,1))-AVERAGE(OFFSET($H$3,0,0,'Données projet'!$E$15+1,1))</f>
        <v>147.64256291235483</v>
      </c>
      <c r="EP200" s="59">
        <f t="shared" si="405"/>
        <v>70.859031694091868</v>
      </c>
      <c r="EQ200" s="15">
        <f>IF(ISNA(VLOOKUP(A200,'Données projet'!$A$201:$I$221,3,0)),0,VLOOKUP(A200,'Données projet'!$A$201:$I$221,3,0))</f>
        <v>0</v>
      </c>
      <c r="ER200" s="15">
        <f>IF(ISNA(VLOOKUP(A200,'Données projet'!$A$201:$I$221,4,0)),0,VLOOKUP(A200,'Données projet'!$A$201:$I$221,4,0))</f>
        <v>0</v>
      </c>
      <c r="ES200" s="16">
        <f>IF(ISNA(VLOOKUP(A200,'Données projet'!$A$201:$I$221,5,0)),0%,VLOOKUP(A200,'Données projet'!$A$201:$I$221,5,0)*VLOOKUP('Données projet'!$B$15,Paramètres!$A$1:$I$89,7,0))</f>
        <v>0</v>
      </c>
      <c r="ET200" s="16">
        <f>IF(ISNA(VLOOKUP(A200,'Données projet'!$A$201:$I$221,6,0)),0%,VLOOKUP(A200,'Données projet'!$A$201:$I$221,6,0)*VLOOKUP('Données projet'!$B$15,Paramètres!$A$1:$I$89,7,0))</f>
        <v>0</v>
      </c>
      <c r="EU200" s="16">
        <f>IF(ISNA(VLOOKUP(A200,'Données projet'!$A$201:$I$221,7,0)),0%,VLOOKUP(A200,'Données projet'!$A$201:$I$221,7,0))</f>
        <v>0</v>
      </c>
      <c r="EV200" s="21">
        <f>EXP(-LN(2)/35)*EV199+(1-EXP(-LN(2)/35))/(LN(2)/35)*ER200*ES200*VLOOKUP('Données projet'!$B$15,Paramètres!$A$1:$I$89,3,0)*0.475*44/12</f>
        <v>23.404719602945399</v>
      </c>
      <c r="EW200" s="21">
        <f>EXP(-LN(2)/25)*EW199+(1-EXP(-LN(2)/25))/(LN(2)/25)*Calculateur!ER200*Calculateur!ET200*VLOOKUP('Données projet'!$B$15,Paramètres!$A$1:$I$89,3,0)*0.475*44/12</f>
        <v>2.8982130050316131</v>
      </c>
      <c r="EX200" s="21">
        <f>EXP(-LN(2)/2)*EX199+(1-EXP(-LN(2)/2))/(LN(2)/2)*ER200*EU200*VLOOKUP('Données projet'!$B$15,Paramètres!$A$1:$I$89,3,0)*0.475*44/12</f>
        <v>1.043002232831518E-12</v>
      </c>
      <c r="EY200" s="22">
        <f t="shared" si="346"/>
        <v>26.302932607978057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projet'!$A$227:$I$247,2,0)</f>
        <v>#N/A</v>
      </c>
      <c r="FC200" s="12" t="e">
        <f>VLOOKUP(A200,'Données projet'!$A$227:$I$247,9,0)</f>
        <v>#N/A</v>
      </c>
      <c r="FD200" s="12">
        <f t="array" ref="FD200">INDEX(FC:FC,MIN(IF(ISNUMBER(FC200:FC396),ROW(FC200:FC396),"")))</f>
        <v>0</v>
      </c>
      <c r="FE200" s="12">
        <f>IF('Données projet'!$A$228&gt;35,FE199+FD200-FM199,IF(A200&lt;'Données projet'!$A$228,$FB$205^A200,IF(A200='Données projet'!$A$228,'Données projet'!$B$228,FE199+FD200-FM199)))</f>
        <v>8.5265128291212022E-14</v>
      </c>
      <c r="FF200" s="17">
        <f>FE200*VLOOKUP('Données projet'!$B$16,Paramètres!$A$1:$I$89,3,0)*VLOOKUP('Données projet'!$B$16,Paramètres!$A$1:$I$89,5,0)</f>
        <v>8.9119112089974823E-14</v>
      </c>
      <c r="FG200" s="13">
        <f t="shared" si="347"/>
        <v>1.3568952080113142E-12</v>
      </c>
      <c r="FH200" s="20">
        <f t="shared" si="348"/>
        <v>2.5184749408430782E-12</v>
      </c>
      <c r="FI200" s="59">
        <f t="shared" si="364"/>
        <v>293.33333333333582</v>
      </c>
      <c r="FJ200" s="59">
        <f ca="1">AVERAGE(OFFSET($FI$3,0,0,'Données projet'!$E$16+1,1))-AVERAGE(OFFSET($H$3,0,0,'Données projet'!$E$16+1,1))</f>
        <v>259.03906550253788</v>
      </c>
      <c r="FK200" s="59">
        <f t="shared" si="406"/>
        <v>235.54542903570831</v>
      </c>
      <c r="FL200" s="15">
        <f>IF(ISNA(VLOOKUP(A200,'Données projet'!$A$227:$I$247,3,0)),0,VLOOKUP(A200,'Données projet'!$A$227:$I$247,3,0))</f>
        <v>0</v>
      </c>
      <c r="FM200" s="15">
        <f>IF(ISNA(VLOOKUP(A200,'Données projet'!$A$227:$I$247,4,0)),0,VLOOKUP(A200,'Données projet'!$A$227:$I$247,4,0))</f>
        <v>0</v>
      </c>
      <c r="FN200" s="16">
        <f>IF(ISNA(VLOOKUP(A200,'Données projet'!$A$227:$I$247,5,0)),0%,VLOOKUP(A200,'Données projet'!$A$227:$I$247,5,0)*VLOOKUP('Données projet'!$B$16,Paramètres!$A$1:$I$89,7,0))</f>
        <v>0</v>
      </c>
      <c r="FO200" s="16">
        <f>IF(ISNA(VLOOKUP(A200,'Données projet'!$A$227:$I$247,6,0)),0%,VLOOKUP(A200,'Données projet'!$A$227:$I$247,6,0)*VLOOKUP('Données projet'!$B$16,Paramètres!$A$1:$I$89,7,0))</f>
        <v>0</v>
      </c>
      <c r="FP200" s="16">
        <f>IF(ISNA(VLOOKUP(A200,'Données projet'!$A$227:$I$247,7,0)),0%,VLOOKUP(A200,'Données projet'!$A$227:$I$247,7,0))</f>
        <v>0</v>
      </c>
      <c r="FQ200" s="21">
        <f>EXP(-LN(2)/35)*FQ199+(1-EXP(-LN(2)/35))/(LN(2)/35)*FM200*FN200*VLOOKUP('Données projet'!$B$16,Paramètres!$A$1:$I$89,3,0)*0.475*44/12</f>
        <v>10.330207164981099</v>
      </c>
      <c r="FR200" s="21">
        <f>EXP(-LN(2)/25)*FR199+(1-EXP(-LN(2)/25))/(LN(2)/25)*Calculateur!FM200*Calculateur!FO200*VLOOKUP('Données projet'!$B$16,Paramètres!$A$1:$I$89,3,0)*0.475*44/12</f>
        <v>3.9869981818725138</v>
      </c>
      <c r="FS200" s="21">
        <f>EXP(-LN(2)/2)*FS199+(1-EXP(-LN(2)/2))/(LN(2)/2)*FM200*FP200*VLOOKUP('Données projet'!$B$16,Paramètres!$A$1:$I$89,3,0)*0.475*44/12</f>
        <v>0</v>
      </c>
      <c r="FT200" s="22">
        <f t="shared" si="349"/>
        <v>14.317205346853612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projet'!$A$253:$I$273,2,0)</f>
        <v>#N/A</v>
      </c>
      <c r="FX200" s="12" t="e">
        <f>VLOOKUP(A200,'Données projet'!$A$253:$I$273,9,0)</f>
        <v>#N/A</v>
      </c>
      <c r="FY200" s="12">
        <f t="array" ref="FY200">INDEX(FX:FX,MIN(IF(ISNUMBER(FX200:FX396),ROW(FX200:FX396),"")))</f>
        <v>0</v>
      </c>
      <c r="FZ200" s="12">
        <f>IF('Données projet'!$A$254&gt;35,FZ199+FY200-GH199,IF(A200&lt;'Données projet'!$A$254,$FW$205^A200,IF(A200='Données projet'!$A$254,'Données projet'!$B$254,FZ199+FY200-GH199)))</f>
        <v>-1.7053025658242404E-13</v>
      </c>
      <c r="GA200" s="17">
        <f>FZ200*VLOOKUP('Données projet'!$B$17,Paramètres!$A$1:$I$89,3,0)*VLOOKUP('Données projet'!$B$17,Paramètres!$A$1:$I$89,5,0)</f>
        <v>-1.4897523215040567E-13</v>
      </c>
      <c r="GB200" s="13" t="e">
        <f t="shared" si="350"/>
        <v>#NUM!</v>
      </c>
      <c r="GC200" s="20" t="e">
        <f t="shared" si="351"/>
        <v>#NUM!</v>
      </c>
      <c r="GD200" s="59" t="e">
        <f t="shared" si="365"/>
        <v>#NUM!</v>
      </c>
      <c r="GE200" s="59">
        <f ca="1">AVERAGE(OFFSET($GD$3,0,0,'Données projet'!$E$17+1,1))-AVERAGE(OFFSET($H$3,0,0,'Données projet'!$E$17+1,1))</f>
        <v>245.1983232777614</v>
      </c>
      <c r="GF200" s="59">
        <f t="shared" si="407"/>
        <v>242.34010522344573</v>
      </c>
      <c r="GG200" s="15">
        <f>IF(ISNA(VLOOKUP(A200,'Données projet'!$A$253:$I$273,3,0)),0,VLOOKUP(A200,'Données projet'!$A$253:$I$273,3,0))</f>
        <v>0</v>
      </c>
      <c r="GH200" s="15">
        <f>IF(ISNA(VLOOKUP(A200,'Données projet'!$A$253:$I$273,4,0)),0,VLOOKUP(A200,'Données projet'!$A$253:$I$273,4,0))</f>
        <v>0</v>
      </c>
      <c r="GI200" s="16">
        <f>IF(ISNA(VLOOKUP(A200,'Données projet'!$A$253:$I$273,5,0)),0%,VLOOKUP(A200,'Données projet'!$A$253:$I$273,5,0)*VLOOKUP('Données projet'!$B$17,Paramètres!$A$1:$I$89,7,0))</f>
        <v>0</v>
      </c>
      <c r="GJ200" s="16">
        <f>IF(ISNA(VLOOKUP(A200,'Données projet'!$A$253:$I$273,6,0)),0%,VLOOKUP(A200,'Données projet'!$A$253:$I$273,6,0)*VLOOKUP('Données projet'!$B$17,Paramètres!$A$1:$I$89,7,0))</f>
        <v>0</v>
      </c>
      <c r="GK200" s="16">
        <f>IF(ISNA(VLOOKUP(A200,'Données projet'!$A$253:$I$273,7,0)),0%,VLOOKUP(A200,'Données projet'!$A$253:$I$273,7,0))</f>
        <v>0</v>
      </c>
      <c r="GL200" s="21">
        <f>EXP(-LN(2)/35)*GL199+(1-EXP(-LN(2)/35))/(LN(2)/35)*GH200*GI200*VLOOKUP('Données projet'!$B$17,Paramètres!$A$1:$I$89,3,0)*0.475*44/12</f>
        <v>12.144575850585019</v>
      </c>
      <c r="GM200" s="21">
        <f>EXP(-LN(2)/25)*GM199+(1-EXP(-LN(2)/25))/(LN(2)/25)*Calculateur!GH200*Calculateur!GJ200*VLOOKUP('Données projet'!$B$17,Paramètres!$A$1:$I$89,3,0)*0.475*44/12</f>
        <v>0.84953218276711107</v>
      </c>
      <c r="GN200" s="21">
        <f>EXP(-LN(2)/2)*GN199+(1-EXP(-LN(2)/2))/(LN(2)/2)*GH200*GK200*VLOOKUP('Données projet'!$B$17,Paramètres!$A$1:$I$89,3,0)*0.475*44/12</f>
        <v>0</v>
      </c>
      <c r="GO200" s="21">
        <f t="shared" si="352"/>
        <v>12.994108033352131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projet'!$A$279:$I$299,2,0)</f>
        <v>#N/A</v>
      </c>
      <c r="GS200" s="12" t="e">
        <f>VLOOKUP(A200,'Données projet'!$A$279:$I$299,9,0)</f>
        <v>#N/A</v>
      </c>
      <c r="GT200" s="12">
        <f t="array" ref="GT200">INDEX(GS:GS,MIN(IF(ISNUMBER(GS200:GS396),ROW(GS200:GS396),"")))</f>
        <v>0</v>
      </c>
      <c r="GU200" s="12">
        <f>IF('Données projet'!$A$280&gt;35,GU199+GT200-HC199,IF(A200&lt;'Données projet'!$A$280,$GR$205^A200,IF(A200='Données projet'!$A$280,'Données projet'!$B$280,GU199+GT200-HC199)))</f>
        <v>-1.1368683772161603E-13</v>
      </c>
      <c r="GV200" s="17">
        <f>GU200*VLOOKUP('Données projet'!$B$18,Paramètres!$A$1:$I$89,3,0)*VLOOKUP('Données projet'!$B$18,Paramètres!$A$1:$I$89,5,0)</f>
        <v>-4.5815795601811263E-14</v>
      </c>
      <c r="GW200" s="13" t="e">
        <f t="shared" si="353"/>
        <v>#NUM!</v>
      </c>
      <c r="GX200" s="20" t="e">
        <f t="shared" si="354"/>
        <v>#NUM!</v>
      </c>
      <c r="GY200" s="59" t="e">
        <f t="shared" si="366"/>
        <v>#NUM!</v>
      </c>
      <c r="GZ200" s="59">
        <f ca="1">AVERAGE(OFFSET($GY$3,0,0,'Données projet'!$E$18+1,1))-AVERAGE(OFFSET($H$3,0,0,'Données projet'!$E$18+1,1))</f>
        <v>324.36162935850876</v>
      </c>
      <c r="HA200" s="59">
        <f t="shared" si="408"/>
        <v>265.23571072429735</v>
      </c>
      <c r="HB200" s="15">
        <f>IF(ISNA(VLOOKUP(A200,'Données projet'!$A$279:$I$299,3,0)),0,VLOOKUP(A200,'Données projet'!$A$279:$I$299,3,0))</f>
        <v>0</v>
      </c>
      <c r="HC200" s="15">
        <f>IF(ISNA(VLOOKUP(A200,'Données projet'!$A$279:$I$299,4,0)),0,VLOOKUP(A200,'Données projet'!$A$279:$I$299,4,0))</f>
        <v>0</v>
      </c>
      <c r="HD200" s="16">
        <f>IF(ISNA(VLOOKUP(A200,'Données projet'!$A$279:$I$299,5,0)),0%,VLOOKUP(A200,'Données projet'!$A$279:$I$299,5,0)*VLOOKUP('Données projet'!$B$18,Paramètres!$A$1:$I$89,7,0))</f>
        <v>0</v>
      </c>
      <c r="HE200" s="16">
        <f>IF(ISNA(VLOOKUP(A200,'Données projet'!$A$279:$I$299,6,0)),0%,VLOOKUP(A200,'Données projet'!$A$279:$I$299,6,0)*VLOOKUP('Données projet'!$B$18,Paramètres!$A$1:$I$89,7,0))</f>
        <v>0</v>
      </c>
      <c r="HF200" s="16">
        <f>IF(ISNA(VLOOKUP($A200,'Données projet'!$A$279:$I$299,7,0)),0%,VLOOKUP($A200,'Données projet'!$A$279:$I$299,7,0))</f>
        <v>0</v>
      </c>
      <c r="HG200" s="21">
        <f>EXP(-LN(2)/35)*HG199+(1-EXP(-LN(2)/35))/(LN(2)/35)*HC200*HD200*VLOOKUP('Données projet'!$B$18,Paramètres!$A$1:$I$89,3,0)*0.475*44/12</f>
        <v>23.272182150289638</v>
      </c>
      <c r="HH200" s="21">
        <f>EXP(-LN(2)/25)*HH199+(1-EXP(-LN(2)/25))/(LN(2)/25)*Calculateur!HC200*Calculateur!HE200*VLOOKUP('Données projet'!$B$18,Paramètres!$A$1:$I$89,3,0)*0.475*44/12</f>
        <v>0.94483173970677914</v>
      </c>
      <c r="HI200" s="21">
        <f>EXP(-LN(2)/2)*HI199+(1-EXP(-LN(2)/2))/(LN(2)/2)*HC200*HF200*VLOOKUP('Données projet'!$B$18,Paramètres!$A$1:$I$89,3,0)*0.475*44/12</f>
        <v>2.0968608605447133E-17</v>
      </c>
      <c r="HJ200" s="22">
        <f t="shared" si="355"/>
        <v>24.217013889996416</v>
      </c>
      <c r="HK200" s="74">
        <f>('Scénario référence'!$F$8+'Scénario référence'!$F$9+'Scénario référence'!$B$17+'Scénario référence'!$B$9+'Scénario référence'!$B$10)*70+IF((45+25*(1-EXP(-0.0175*$A200)))&lt;70,'Scénario référence'!$B$16*(45+25*(1-EXP(-0.0175*$A200))),70*'Scénario référence'!$B$16)+IF((32+38*(1-EXP(-0.0175*$A200)))&lt;70,'Scénario référence'!$B$18*(32+38*(1-EXP(-0.0175*$A200))),70*'Scénario référence'!$B$18)</f>
        <v>70</v>
      </c>
      <c r="HL200" s="12">
        <f>IF($A200&gt;30,10,('Scénario référence'!$B$16+'Scénario référence'!$B$17+'Scénario référence'!$B$18+'Scénario référence'!$B$9+'Scénario référence'!$B$10)*$A200*10/30+('Scénario référence'!$F$8+'Scénario référence'!$F$9)*10)</f>
        <v>10</v>
      </c>
      <c r="HM200" s="12" t="e">
        <f>VLOOKUP($A200,'Données projet'!$A$304:$I$324,2,0)</f>
        <v>#N/A</v>
      </c>
      <c r="HN200" s="12" t="e">
        <f>VLOOKUP($A200,'Données projet'!$A$304:$I$324,9,0)</f>
        <v>#N/A</v>
      </c>
      <c r="HO200" s="12">
        <f t="array" ref="HO200">INDEX(HN:HN,MIN(IF(ISNUMBER(HN200:HN396),ROW(HN200:HN396),"")))</f>
        <v>0</v>
      </c>
      <c r="HP200" s="12">
        <f>IF('Données projet'!$A$304&gt;35,HP199+HO200-HX199,IF($A200&lt;'Données projet'!$A$304,$CQ$205^$A200,IF($A200='Données projet'!$A$304,'Données projet'!$B$304,HP199+HO200-HX199)))</f>
        <v>0</v>
      </c>
      <c r="HQ200" s="17">
        <f>HP200*VLOOKUP('Données projet'!$B$19,Paramètres!$A$1:$I$89,3,0)*VLOOKUP('Données projet'!$B$19,Paramètres!$A$1:$I$89,5,0)</f>
        <v>0</v>
      </c>
      <c r="HR200" s="13" t="e">
        <f t="shared" si="409"/>
        <v>#NUM!</v>
      </c>
      <c r="HS200" s="14" t="e">
        <f t="shared" si="367"/>
        <v>#NUM!</v>
      </c>
      <c r="HT200" s="59" t="e">
        <f t="shared" si="368"/>
        <v>#NUM!</v>
      </c>
      <c r="HU200" s="59">
        <f ca="1">AVERAGE(OFFSET(HT$3,0,0,'Données projet'!$E$19+1,1))-AVERAGE(OFFSET($H$3,0,0,'Données projet'!$E$19+1,1))</f>
        <v>91.60721429656013</v>
      </c>
      <c r="HV200" s="59">
        <f t="shared" si="410"/>
        <v>258.94957804210856</v>
      </c>
      <c r="HW200" s="15">
        <f>IF(ISNA(VLOOKUP($A200,'Données projet'!$A$304:$I$324,3,0)),0,VLOOKUP($A200,'Données projet'!$A$304:$I$324,3,0))</f>
        <v>0</v>
      </c>
      <c r="HX200" s="15">
        <f>IF(ISNA(VLOOKUP($A200,'Données projet'!$A$304:$I$324,4,0)),0,VLOOKUP($A200,'Données projet'!$A$304:$I$324,4,0))</f>
        <v>0</v>
      </c>
      <c r="HY200" s="16">
        <f>IF(ISNA(VLOOKUP($A200,'Données projet'!$A$304:$I$324,5,0)),0%,VLOOKUP($A200,'Données projet'!$A$304:$I$324,5,0)*VLOOKUP('Données projet'!$B$19,Paramètres!$A$1:$I$89,7,0))</f>
        <v>0</v>
      </c>
      <c r="HZ200" s="16">
        <f>IF(ISNA(VLOOKUP($A200,'Données projet'!$A$304:$I$324,6,0)),0%,VLOOKUP($A200,'Données projet'!$A$304:$I$324,6,0)*VLOOKUP('Données projet'!$B$19,Paramètres!$A$1:$I$89,7,0))</f>
        <v>0</v>
      </c>
      <c r="IA200" s="16">
        <f>IF(ISNA(VLOOKUP($A200,'Données projet'!$A$304:$I$324,7,0)),0%,VLOOKUP($A200,'Données projet'!$A$304:$I$324,7,0))</f>
        <v>0</v>
      </c>
      <c r="IB200" s="21">
        <f>EXP(-LN(2)/35)*IB199+(1-EXP(-LN(2)/35))/(LN(2)/35)*HX200*HY200*VLOOKUP('Données projet'!$B$19,Paramètres!$A$1:$I$89,3,0)*0.475*44/12</f>
        <v>1.8063079965698652</v>
      </c>
      <c r="IC200" s="21">
        <f>EXP(-LN(2)/25)*IC199+(1-EXP(-LN(2)/25))/(LN(2)/25)*Calculateur!HX200*Calculateur!HZ200*VLOOKUP('Données projet'!$B$19,Paramètres!$A$1:$I$89,3,0)*0.475*44/12</f>
        <v>9.4870456103051462E-2</v>
      </c>
      <c r="ID200" s="21">
        <f>EXP(-LN(2)/2)*ID199+(1-EXP(-LN(2)/2))/(LN(2)/2)*HX200*IA200*VLOOKUP('Données projet'!$B$19,Paramètres!$A$1:$I$89,3,0)*0.475*44/12</f>
        <v>4.1883024136013636E-26</v>
      </c>
      <c r="IE200" s="22">
        <f t="shared" si="369"/>
        <v>1.9011784526729167</v>
      </c>
      <c r="IF200" s="74">
        <f>('Scénario référence'!$F$8+'Scénario référence'!$F$9+'Scénario référence'!$B$17+'Scénario référence'!$B$9+'Scénario référence'!$B$10)*70+IF((45+25*(1-EXP(-0.0175*$A200)))&lt;70,'Scénario référence'!$B$16*(45+25*(1-EXP(-0.0175*$A200))),70*'Scénario référence'!$B$16)+IF((32+38*(1-EXP(-0.0175*$A200)))&lt;70,'Scénario référence'!$B$18*(32+38*(1-EXP(-0.0175*$A200))),70*'Scénario référence'!$B$18)</f>
        <v>70</v>
      </c>
      <c r="IG200" s="12">
        <f>IF($A200&gt;30,10,('Scénario référence'!$B$16+'Scénario référence'!$B$17+'Scénario référence'!$B$18+'Scénario référence'!$B$9+'Scénario référence'!$B$10)*$A200*10/30+('Scénario référence'!$F$8+'Scénario référence'!$F$9)*10)</f>
        <v>10</v>
      </c>
      <c r="IH200" s="12" t="e">
        <f>VLOOKUP($A200,'Données projet'!$A$330:$I$350,2,0)</f>
        <v>#N/A</v>
      </c>
      <c r="II200" s="12" t="e">
        <f>VLOOKUP($A200,'Données projet'!$A$330:$I$350,9,0)</f>
        <v>#N/A</v>
      </c>
      <c r="IJ200" s="12">
        <f t="array" ref="IJ200">INDEX(II:II,MIN(IF(ISNUMBER(II200:II396),ROW(II200:II396),"")))</f>
        <v>0</v>
      </c>
      <c r="IK200" s="12">
        <f>IF('Données projet'!$A$330&gt;35,IK199+IJ200-IS199,IF($A200&lt;'Données projet'!$A$330,$CQ$205^$A200,IF($A200='Données projet'!$A$330,'Données projet'!$B$330,IK199+IJ200-IS199)))</f>
        <v>0</v>
      </c>
      <c r="IL200" s="17">
        <f>IK200*VLOOKUP('Données projet'!$B$20,Paramètres!$A$1:$I$89,3,0)*VLOOKUP('Données projet'!$B$20,Paramètres!$A$1:$I$89,5,0)</f>
        <v>0</v>
      </c>
      <c r="IM200" s="13" t="e">
        <f t="shared" si="411"/>
        <v>#NUM!</v>
      </c>
      <c r="IN200" s="20" t="e">
        <f t="shared" si="370"/>
        <v>#NUM!</v>
      </c>
      <c r="IO200" s="59" t="e">
        <f t="shared" si="371"/>
        <v>#NUM!</v>
      </c>
      <c r="IP200" s="59">
        <f ca="1">AVERAGE(OFFSET(IO$3,0,0,'Données projet'!$E$20+1,1))-AVERAGE(OFFSET($H$3,0,0,'Données projet'!$E$20+1,1))</f>
        <v>91.60721429656013</v>
      </c>
      <c r="IQ200" s="59">
        <f t="shared" si="412"/>
        <v>258.94957804210856</v>
      </c>
      <c r="IR200" s="15">
        <f>IF(ISNA(VLOOKUP($A200,'Données projet'!$A$330:$I$350,3,0)),0,VLOOKUP($A200,'Données projet'!$A$330:$I$350,3,0))</f>
        <v>0</v>
      </c>
      <c r="IS200" s="15">
        <f>IF(ISNA(VLOOKUP($A200,'Données projet'!$A$330:$I$350,4,0)),0,VLOOKUP($A200,'Données projet'!$A$330:$I$350,4,0))</f>
        <v>0</v>
      </c>
      <c r="IT200" s="16">
        <f>IF(ISNA(VLOOKUP($A200,'Données projet'!$A$330:$I$350,5,0)),0%,VLOOKUP($A200,'Données projet'!$A$330:$I$350,5,0)*VLOOKUP('Données projet'!$B$20,Paramètres!$A$1:$I$89,7,0))</f>
        <v>0</v>
      </c>
      <c r="IU200" s="16">
        <f>IF(ISNA(VLOOKUP($A200,'Données projet'!$A$330:$I$350,6,0)),0%,VLOOKUP($A200,'Données projet'!$A$330:$I$350,6,0)*VLOOKUP('Données projet'!$B$20,Paramètres!$A$1:$I$89,7,0))</f>
        <v>0</v>
      </c>
      <c r="IV200" s="16">
        <f>IF(ISNA(VLOOKUP($A200,'Données projet'!$A$330:$I$350,7,0)),0%,VLOOKUP($A200,'Données projet'!$A$330:$I$350,7,0))</f>
        <v>0</v>
      </c>
      <c r="IW200" s="21">
        <f>EXP(-LN(2)/35)*IW199+(1-EXP(-LN(2)/35))/(LN(2)/35)*IS200*IT200*VLOOKUP('Données projet'!$B$20,Paramètres!$A$1:$I$89,3,0)*0.475*44/12</f>
        <v>1.8063079965698652</v>
      </c>
      <c r="IX200" s="21">
        <f>EXP(-LN(2)/25)*IX199+(1-EXP(-LN(2)/25))/(LN(2)/25)*Calculateur!IS200*Calculateur!IU200*VLOOKUP('Données projet'!$B$20,Paramètres!$A$1:$I$89,3,0)*0.475*44/12</f>
        <v>9.4870456103051462E-2</v>
      </c>
      <c r="IY200" s="21">
        <f>EXP(-LN(2)/2)*IY199+(1-EXP(-LN(2)/2))/(LN(2)/2)*IS200*IV200*VLOOKUP('Données projet'!$B$20,Paramètres!$A$1:$I$89,3,0)*0.475*44/12</f>
        <v>4.1883024136013636E-26</v>
      </c>
      <c r="IZ200" s="22">
        <f t="shared" si="372"/>
        <v>1.9011784526729167</v>
      </c>
      <c r="JA200" s="74">
        <f>('Scénario référence'!$F$8+'Scénario référence'!$F$9+'Scénario référence'!$B$17+'Scénario référence'!$B$9+'Scénario référence'!$B$10)*70+IF((45+25*(1-EXP(-0.0175*$A200)))&lt;70,'Scénario référence'!$B$16*(45+25*(1-EXP(-0.0175*$A200))),70*'Scénario référence'!$B$16)+IF((32+38*(1-EXP(-0.0175*$A200)))&lt;70,'Scénario référence'!$B$18*(32+38*(1-EXP(-0.0175*$A200))),70*'Scénario référence'!$B$18)</f>
        <v>70</v>
      </c>
      <c r="JB200" s="12">
        <f>IF($A200&gt;30,10,('Scénario référence'!$B$16+'Scénario référence'!$B$17+'Scénario référence'!$B$18+'Scénario référence'!$B$9+'Scénario référence'!$B$10)*$A200*10/30+('Scénario référence'!$F$8+'Scénario référence'!$F$9)*10)</f>
        <v>10</v>
      </c>
      <c r="JC200" s="12" t="e">
        <f>VLOOKUP($A200,'Données projet'!$A$356:$I$376,2,0)</f>
        <v>#N/A</v>
      </c>
      <c r="JD200" s="12" t="e">
        <f>VLOOKUP($A200,'Données projet'!$A$356:$I$376,9,0)</f>
        <v>#N/A</v>
      </c>
      <c r="JE200" s="12">
        <f t="array" ref="JE200">INDEX(JD:JD,MIN(IF(ISNUMBER(JD200:JD396),ROW(JD200:JD396),"")))</f>
        <v>0</v>
      </c>
      <c r="JF200" s="12">
        <f>IF('Données projet'!$A$356&gt;35,JF199+JE200-JN199,IF($A200&lt;'Données projet'!$A$356,$CQ$205^$A200,IF($A200='Données projet'!$A$356,'Données projet'!$B$356,JF199+JE200-JN199)))</f>
        <v>-1.3073986337985843E-12</v>
      </c>
      <c r="JG200" s="17">
        <f>JF200*VLOOKUP('Données projet'!$B$21,Paramètres!$A$1:$I$89,3,0)*VLOOKUP('Données projet'!$B$21,Paramètres!$A$1:$I$89,5,0)</f>
        <v>-1.0605617717374117E-12</v>
      </c>
      <c r="JH200" s="13" t="e">
        <f t="shared" si="413"/>
        <v>#NUM!</v>
      </c>
      <c r="JI200" s="20" t="e">
        <f t="shared" si="373"/>
        <v>#NUM!</v>
      </c>
      <c r="JJ200" s="59" t="e">
        <f t="shared" si="374"/>
        <v>#NUM!</v>
      </c>
      <c r="JK200" s="59">
        <f ca="1">AVERAGE(OFFSET($JJ$3,0,0,'Données projet'!$E$22+1,1))-AVERAGE(OFFSET($H$3,0,0,'Données projet'!$E$22+1,1))</f>
        <v>353.35574633294613</v>
      </c>
      <c r="JL200" s="59">
        <f t="shared" si="414"/>
        <v>170.36796666474726</v>
      </c>
      <c r="JM200" s="15">
        <f>IF(ISNA(VLOOKUP($A200,'Données projet'!$A$356:$I$376,3,0)),0,VLOOKUP($A200,'Données projet'!$A$356:$I$376,3,0))</f>
        <v>0</v>
      </c>
      <c r="JN200" s="15">
        <f>IF(ISNA(VLOOKUP($A200,'Données projet'!$A$356:$I$376,4,0)),0,VLOOKUP($A200,'Données projet'!$A$356:$I$376,4,0))</f>
        <v>0</v>
      </c>
      <c r="JO200" s="16">
        <f>IF(ISNA(VLOOKUP($A200,'Données projet'!$A$356:$I$376,5,0)),0%,VLOOKUP($A200,'Données projet'!$A$356:$I$376,5,0)*VLOOKUP('Données projet'!$B$21,Paramètres!$A$1:$I$89,7,0))</f>
        <v>0</v>
      </c>
      <c r="JP200" s="16">
        <f>IF(ISNA(VLOOKUP($A200,'Données projet'!$A$356:$I$376,6,0)),0%,VLOOKUP($A200,'Données projet'!$A$356:$I$376,6,0)*VLOOKUP('Données projet'!$B$21,Paramètres!$A$1:$I$89,7,0))</f>
        <v>0</v>
      </c>
      <c r="JQ200" s="16">
        <f>IF(ISNA(VLOOKUP($A200,'Données projet'!$A$356:$I$376,7,0)),0%,VLOOKUP($A200,'Données projet'!$A$356:$I$376,7,0))</f>
        <v>0</v>
      </c>
      <c r="JR200" s="21">
        <f>EXP(-LN(2)/35)*JR199+(1-EXP(-LN(2)/35))/(LN(2)/35)*JN200*JO200*VLOOKUP('Données projet'!$B$21,Paramètres!$A$1:$I$89,3,0)*0.475*44/12</f>
        <v>28.957810616215895</v>
      </c>
      <c r="JS200" s="21">
        <f>EXP(-LN(2)/25)*JS199+(1-EXP(-LN(2)/25))/(LN(2)/25)*Calculateur!JN200*Calculateur!JP200*VLOOKUP('Données projet'!$B$21,Paramètres!$A$1:$I$89,3,0)*0.475*44/12</f>
        <v>20.763950472169146</v>
      </c>
      <c r="JT200" s="21">
        <f>EXP(-LN(2)/2)*JT199+(1-EXP(-LN(2)/2))/(LN(2)/2)*JN200*JQ200*VLOOKUP('Données projet'!$B$21,Paramètres!$A$1:$I$89,3,0)*0.475*44/12</f>
        <v>2.8905090036794994E-6</v>
      </c>
      <c r="JU200" s="18">
        <f t="shared" si="375"/>
        <v>49.721763978894039</v>
      </c>
      <c r="JV200" s="74">
        <f>('Scénario référence'!$F$8+'Scénario référence'!$F$9+'Scénario référence'!$B$17+'Scénario référence'!$B$9+'Scénario référence'!$B$10)*70+IF((45+25*(1-EXP(-0.0175*$A200)))&lt;70,'Scénario référence'!$B$16*(45+25*(1-EXP(-0.0175*$A200))),70*'Scénario référence'!$B$16)+IF((32+38*(1-EXP(-0.0175*$A200)))&lt;70,'Scénario référence'!$B$18*(32+38*(1-EXP(-0.0175*$A200))),70*'Scénario référence'!$B$18)</f>
        <v>70</v>
      </c>
      <c r="JW200" s="12">
        <f>IF($A200&gt;30,10,('Scénario référence'!$B$16+'Scénario référence'!$B$17+'Scénario référence'!$B$18+'Scénario référence'!$B$9+'Scénario référence'!$B$10)*$A200*10/30+('Scénario référence'!$F$8+'Scénario référence'!$F$9)*10)</f>
        <v>10</v>
      </c>
      <c r="JX200" s="12" t="e">
        <f>VLOOKUP($A200,'Données projet'!$A$382:$I$402,2,0)</f>
        <v>#N/A</v>
      </c>
      <c r="JY200" s="12" t="e">
        <f>VLOOKUP($A200,'Données projet'!$A$382:$I$402,9,0)</f>
        <v>#N/A</v>
      </c>
      <c r="JZ200" s="12">
        <f t="array" ref="JZ200">INDEX(JY:JY,MIN(IF(ISNUMBER(JY200:JY396),ROW(JY200:JY396),"")))</f>
        <v>0</v>
      </c>
      <c r="KA200" s="12">
        <f>IF('Données projet'!$A$382&gt;35,KA199+JZ200-KI199,IF($A200&lt;'Données projet'!$A$382,$CQ$205^$A200,IF($A200='Données projet'!$A$382,'Données projet'!$B$382,KA199+JZ200-KI199)))</f>
        <v>5.6843418860808015E-13</v>
      </c>
      <c r="KB200" s="17">
        <f>KA200*VLOOKUP('Données projet'!$B$22,Paramètres!$A$1:$I$89,3,0)*VLOOKUP('Données projet'!$B$22,Paramètres!$A$1:$I$89,5,0)</f>
        <v>3.8130565371830017E-13</v>
      </c>
      <c r="KC200" s="13">
        <f t="shared" si="415"/>
        <v>4.9019074112354236E-12</v>
      </c>
      <c r="KD200" s="20">
        <f t="shared" si="376"/>
        <v>9.2015960881277352E-12</v>
      </c>
      <c r="KE200" s="59">
        <f t="shared" si="377"/>
        <v>293.33333333334252</v>
      </c>
      <c r="KF200" s="59">
        <f ca="1">AVERAGE(OFFSET($KE$3,0,0,'Données projet'!$E$22+1,1))-AVERAGE(OFFSET($H$3,0,0,'Données projet'!$E$22+1,1))</f>
        <v>193.91714772848269</v>
      </c>
      <c r="KG200" s="59">
        <f t="shared" si="416"/>
        <v>159.20429420478047</v>
      </c>
      <c r="KH200" s="15">
        <f>IF(ISNA(VLOOKUP($A200,'Données projet'!$A$382:$I$402,3,0)),0,VLOOKUP($A200,'Données projet'!$A$382:$I$402,3,0))</f>
        <v>0</v>
      </c>
      <c r="KI200" s="15">
        <f>IF(ISNA(VLOOKUP($A200,'Données projet'!$A$382:$I$402,4,0)),0,VLOOKUP($A200,'Données projet'!$A$382:$I$402,4,0))</f>
        <v>0</v>
      </c>
      <c r="KJ200" s="16">
        <f>IF(ISNA(VLOOKUP($A200,'Données projet'!$A$382:$I$402,5,0)),0%,VLOOKUP($A200,'Données projet'!$A$382:$I$402,5,0)*VLOOKUP('Données projet'!$B$22,Paramètres!$A$1:$I$89,7,0))</f>
        <v>0</v>
      </c>
      <c r="KK200" s="16">
        <f>IF(ISNA(VLOOKUP($A200,'Données projet'!$A$382:$I$402,6,0)),0%,VLOOKUP($A200,'Données projet'!$A$382:$I$402,6,0)*VLOOKUP('Données projet'!$B$22,Paramètres!$A$1:$I$89,7,0))</f>
        <v>0</v>
      </c>
      <c r="KL200" s="16">
        <f>IF(ISNA(VLOOKUP($A200,'Données projet'!$A$382:$I$402,7,0)),0%,VLOOKUP($A200,'Données projet'!$A$382:$I$402,7,0))</f>
        <v>0</v>
      </c>
      <c r="KM200" s="21">
        <f>EXP(-LN(2)/35)*KM199+(1-EXP(-LN(2)/35))/(LN(2)/35)*KI200*KJ200*VLOOKUP('Données projet'!$B$22,Paramètres!$A$1:$I$89,3,0)*0.475*44/12</f>
        <v>42.281599549713469</v>
      </c>
      <c r="KN200" s="21">
        <f>EXP(-LN(2)/25)*KN199+(1-EXP(-LN(2)/25))/(LN(2)/25)*Calculateur!KI200*Calculateur!KK200*VLOOKUP('Données projet'!$B$22,Paramètres!$A$1:$I$89,3,0)*0.475*44/12</f>
        <v>0</v>
      </c>
      <c r="KO200" s="21">
        <f>EXP(-LN(2)/2)*KO199+(1-EXP(-LN(2)/2))/(LN(2)/2)*KI200*KL200*VLOOKUP('Données projet'!$B$22,Paramètres!$A$1:$I$89,3,0)*0.475*44/12</f>
        <v>0</v>
      </c>
      <c r="KP200" s="22">
        <f t="shared" si="378"/>
        <v>42.281599549713469</v>
      </c>
      <c r="KQ200" s="74">
        <f>('Scénario référence'!$F$8+'Scénario référence'!$F$9+'Scénario référence'!$B$17+'Scénario référence'!$B$9+'Scénario référence'!$B$10)*70+IF((45+25*(1-EXP(-0.0175*$A200)))&lt;70,'Scénario référence'!$B$16*(45+25*(1-EXP(-0.0175*$A200))),70*'Scénario référence'!$B$16)+IF((32+38*(1-EXP(-0.0175*$A200)))&lt;70,'Scénario référence'!$B$18*(32+38*(1-EXP(-0.0175*$A200))),70*'Scénario référence'!$B$18)</f>
        <v>70</v>
      </c>
      <c r="KR200" s="12">
        <f>IF($A200&gt;30,10,('Scénario référence'!$B$16+'Scénario référence'!$B$17+'Scénario référence'!$B$18+'Scénario référence'!$B$9+'Scénario référence'!$B$10)*$A200*10/30+('Scénario référence'!$F$8+'Scénario référence'!$F$9)*10)</f>
        <v>10</v>
      </c>
      <c r="KS200" s="12" t="e">
        <f>VLOOKUP($A200,'Données projet'!$A$408:$I$428,2,0)</f>
        <v>#N/A</v>
      </c>
      <c r="KT200" s="12" t="e">
        <f>VLOOKUP($A200,'Données projet'!$A$408:$I$428,9,0)</f>
        <v>#N/A</v>
      </c>
      <c r="KU200" s="12">
        <f t="array" ref="KU200">INDEX(KT:KT,MIN(IF(ISNUMBER(KT200:KT396),ROW(KT200:KT396),"")))</f>
        <v>0</v>
      </c>
      <c r="KV200" s="12">
        <f>IF('Données projet'!$A$408&gt;35,KV199+KU200-LD199,IF($A200&lt;'Données projet'!$A$408,$CQ$205^$A200,IF($A200='Données projet'!$A$408,'Données projet'!$B$408,KV199+KU200-LD199)))</f>
        <v>-1.1368683772161603E-13</v>
      </c>
      <c r="KW200" s="17">
        <f>KV200*VLOOKUP('Données projet'!$B$23,Paramètres!$A$1:$I$89,3,0)*VLOOKUP('Données projet'!$B$23,Paramètres!$A$1:$I$89,5,0)</f>
        <v>-9.9316821433603781E-14</v>
      </c>
      <c r="KX200" s="13" t="e">
        <f t="shared" si="417"/>
        <v>#NUM!</v>
      </c>
      <c r="KY200" s="14" t="e">
        <f t="shared" si="379"/>
        <v>#NUM!</v>
      </c>
      <c r="KZ200" s="59" t="e">
        <f t="shared" si="380"/>
        <v>#NUM!</v>
      </c>
      <c r="LA200" s="59">
        <f ca="1">AVERAGE(OFFSET($KZ$3,0,0,'Données projet'!$E$23+1,1))-AVERAGE(OFFSET($H$3,0,0,'Données projet'!$E$23+1,1))</f>
        <v>248.33596943633819</v>
      </c>
      <c r="LB200" s="59">
        <f t="shared" si="418"/>
        <v>242.34010522344573</v>
      </c>
      <c r="LC200" s="15">
        <f>IF(ISNA(VLOOKUP($A200,'Données projet'!$A$408:$I$428,3,0)),0,VLOOKUP($A200,'Données projet'!$A$408:$I$428,3,0))</f>
        <v>0</v>
      </c>
      <c r="LD200" s="15">
        <f>IF(ISNA(VLOOKUP($A200,'Données projet'!$A$408:$I$428,4,0)),0,VLOOKUP($A200,'Données projet'!$A$408:$I$428,4,0))</f>
        <v>0</v>
      </c>
      <c r="LE200" s="16">
        <f>IF(ISNA(VLOOKUP($A200,'Données projet'!$A$408:$I$428,5,0)),0%,VLOOKUP($A200,'Données projet'!$A$408:$I$428,5,0)*VLOOKUP('Données projet'!$B$23,Paramètres!$A$1:$I$89,7,0))</f>
        <v>0</v>
      </c>
      <c r="LF200" s="16">
        <f>IF(ISNA(VLOOKUP($A200,'Données projet'!$A$408:$I$428,6,0)),0%,VLOOKUP($A200,'Données projet'!$A$408:$I$428,6,0)*VLOOKUP('Données projet'!$B$23,Paramètres!$A$1:$I$89,7,0))</f>
        <v>0</v>
      </c>
      <c r="LG200" s="16">
        <f>IF(ISNA(VLOOKUP($A200,'Données projet'!$A$408:$I$428,7,0)),0%,VLOOKUP($A200,'Données projet'!$A$408:$I$428,7,0))</f>
        <v>0</v>
      </c>
      <c r="LH200" s="21">
        <f>EXP(-LN(2)/35)*LH199+(1-EXP(-LN(2)/35))/(LN(2)/35)*LD200*LE200*VLOOKUP('Données projet'!$B$23,Paramètres!$A$1:$I$89,3,0)*0.475*44/12</f>
        <v>12.144575850585019</v>
      </c>
      <c r="LI200" s="21">
        <f>EXP(-LN(2)/25)*LI199+(1-EXP(-LN(2)/25))/(LN(2)/25)*Calculateur!LD200*Calculateur!LF200*VLOOKUP('Données projet'!$B$23,Paramètres!$A$1:$I$89,3,0)*0.475*44/12</f>
        <v>0.84953218276711107</v>
      </c>
      <c r="LJ200" s="21">
        <f>EXP(-LN(2)/2)*LJ199+(1-EXP(-LN(2)/2))/(LN(2)/2)*LD200*LG200*VLOOKUP('Données projet'!$B$23,Paramètres!$A$1:$I$89,3,0)*0.475*44/12</f>
        <v>0</v>
      </c>
      <c r="LK200" s="22">
        <f t="shared" si="381"/>
        <v>12.994108033352131</v>
      </c>
      <c r="LL200" s="74">
        <f>('Scénario référence'!$F$8+'Scénario référence'!$F$9+'Scénario référence'!$B$17+'Scénario référence'!$B$9+'Scénario référence'!$B$10)*70+IF((45+25*(1-EXP(-0.0175*$A200)))&lt;70,'Scénario référence'!$B$16*(45+25*(1-EXP(-0.0175*$A200))),70*'Scénario référence'!$B$16)+IF((32+38*(1-EXP(-0.0175*$A200)))&lt;70,'Scénario référence'!$B$18*(32+38*(1-EXP(-0.0175*$A200))),70*'Scénario référence'!$B$18)</f>
        <v>70</v>
      </c>
      <c r="LM200" s="12">
        <f>IF($A200&gt;30,10,('Scénario référence'!$B$16+'Scénario référence'!$B$17+'Scénario référence'!$B$18+'Scénario référence'!$B$9+'Scénario référence'!$B$10)*$A200*10/30+('Scénario référence'!$F$8+'Scénario référence'!$F$9)*10)</f>
        <v>10</v>
      </c>
      <c r="LN200" s="12" t="e">
        <f>VLOOKUP($A200,'Données projet'!$A$434:$I$454,2,0)</f>
        <v>#N/A</v>
      </c>
      <c r="LO200" s="12" t="e">
        <f>VLOOKUP($A200,'Données projet'!$A$434:$I$454,9,0)</f>
        <v>#N/A</v>
      </c>
      <c r="LP200" s="12">
        <f t="array" ref="LP200">INDEX(LO:LO,MIN(IF(ISNUMBER(LO200:LO396),ROW(LO200:LO396),"")))</f>
        <v>0</v>
      </c>
      <c r="LQ200" s="12">
        <f>IF('Données projet'!$A$434&gt;35,LQ199+LP200-LY199,IF($A200&lt;'Données projet'!$A$434,$CQ$205^$A200,IF($A200='Données projet'!$A$434,'Données projet'!$B$434,LQ199+LP200-LY199)))</f>
        <v>-4.5474735088646412E-13</v>
      </c>
      <c r="LR200" s="17">
        <f>LQ200*VLOOKUP('Données projet'!$B$24,Paramètres!$A$1:$I$89,3,0)*VLOOKUP('Données projet'!$B$24,Paramètres!$A$1:$I$89,5,0)</f>
        <v>-4.6111381379887462E-13</v>
      </c>
      <c r="LS200" s="13" t="e">
        <f t="shared" si="419"/>
        <v>#NUM!</v>
      </c>
      <c r="LT200" s="14" t="e">
        <f t="shared" si="382"/>
        <v>#NUM!</v>
      </c>
      <c r="LU200" s="59" t="e">
        <f t="shared" si="383"/>
        <v>#NUM!</v>
      </c>
      <c r="LV200" s="59">
        <f ca="1">AVERAGE(OFFSET($LU$3,0,0,'Données projet'!$E$24+1,1))-AVERAGE(OFFSET($H$3,0,0,'Données projet'!$E$24+1,1))</f>
        <v>260.52627655062872</v>
      </c>
      <c r="LW200" s="59">
        <f t="shared" si="420"/>
        <v>159.20429420478047</v>
      </c>
      <c r="LX200" s="15">
        <f>IF(ISNA(VLOOKUP($A200,'Données projet'!$A$434:$I$454,3,0)),0,VLOOKUP($A200,'Données projet'!$A$434:$I$454,3,0))</f>
        <v>0</v>
      </c>
      <c r="LY200" s="15">
        <f>IF(ISNA(VLOOKUP($A200,'Données projet'!$A$434:$I$454,4,0)),0,VLOOKUP($A200,'Données projet'!$A$434:$I$454,4,0))</f>
        <v>0</v>
      </c>
      <c r="LZ200" s="16">
        <f>IF(ISNA(VLOOKUP($A200,'Données projet'!$A$434:$I$454,5,0)),0%,VLOOKUP($A200,'Données projet'!$A$434:$I$454,5,0)*VLOOKUP('Données projet'!$B$24,Paramètres!$A$1:$I$89,7,0))</f>
        <v>0</v>
      </c>
      <c r="MA200" s="16">
        <f>IF(ISNA(VLOOKUP($A200,'Données projet'!$A$434:$I$454,6,0)),0%,VLOOKUP($A200,'Données projet'!$A$434:$I$454,6,0)*VLOOKUP('Données projet'!$B$24,Paramètres!$A$1:$I$89,7,0))</f>
        <v>0</v>
      </c>
      <c r="MB200" s="16">
        <f>IF(ISNA(VLOOKUP($A200,'Données projet'!$A$434:$I$454,7,0)),0%,VLOOKUP($A200,'Données projet'!$A$434:$I$454,7,0))</f>
        <v>0</v>
      </c>
      <c r="MC200" s="21">
        <f>EXP(-LN(2)/35)*MC199+(1-EXP(-LN(2)/35))/(LN(2)/35)*LY200*LZ200*VLOOKUP('Données projet'!$B$24,Paramètres!$A$1:$I$89,3,0)*0.475*44/12</f>
        <v>78.085497714719793</v>
      </c>
      <c r="MD200" s="21">
        <f>EXP(-LN(2)/25)*MD199+(1-EXP(-LN(2)/25))/(LN(2)/25)*Calculateur!LY200*Calculateur!MA200*VLOOKUP('Données projet'!$B$24,Paramètres!$A$1:$I$89,3,0)*0.475*44/12</f>
        <v>0</v>
      </c>
      <c r="ME200" s="21">
        <f>EXP(-LN(2)/2)*ME199+(1-EXP(-LN(2)/2))/(LN(2)/2)*LY200*MB200*VLOOKUP('Données projet'!$B$24,Paramètres!$A$1:$I$89,3,0)*0.475*44/12</f>
        <v>0</v>
      </c>
      <c r="MF200" s="22">
        <f t="shared" si="384"/>
        <v>78.085497714719793</v>
      </c>
      <c r="MG200" s="74">
        <f>('Scénario référence'!$F$8+'Scénario référence'!$F$9+'Scénario référence'!$B$17+'Scénario référence'!$B$9+'Scénario référence'!$B$10)*70+IF((45+25*(1-EXP(-0.0175*$A200)))&lt;70,'Scénario référence'!$B$16*(45+25*(1-EXP(-0.0175*$A200))),70*'Scénario référence'!$B$16)+IF((32+38*(1-EXP(-0.0175*$A200)))&lt;70,'Scénario référence'!$B$18*(32+38*(1-EXP(-0.0175*$A200))),70*'Scénario référence'!$B$18)</f>
        <v>70</v>
      </c>
      <c r="MH200" s="12">
        <f>IF($A200&gt;30,10,('Scénario référence'!$B$16+'Scénario référence'!$B$17+'Scénario référence'!$B$18+'Scénario référence'!$B$9+'Scénario référence'!$B$10)*$A200*10/30+('Scénario référence'!$F$8+'Scénario référence'!$F$9)*10)</f>
        <v>10</v>
      </c>
      <c r="MI200" s="12" t="e">
        <f>VLOOKUP($A200,'Données projet'!$A$460:$I$480,2,0)</f>
        <v>#N/A</v>
      </c>
      <c r="MJ200" s="12" t="e">
        <f>VLOOKUP($A200,'Données projet'!$A$460:$I$480,9,0)</f>
        <v>#N/A</v>
      </c>
      <c r="MK200" s="12">
        <f t="array" ref="MK200">INDEX(MJ:MJ,MIN(IF(ISNUMBER(MJ200:MJ396),ROW(MJ200:MJ396),"")))</f>
        <v>0</v>
      </c>
      <c r="ML200" s="12">
        <f>IF('Données projet'!$A$460&gt;35,ML199+MK200-MT199,IF($A200&lt;'Données projet'!$A$460,$CQ$205^$A200,IF($A200='Données projet'!$A$460,'Données projet'!$B$460,ML199+MK200-MT199)))</f>
        <v>0</v>
      </c>
      <c r="MM200" s="17" t="e">
        <f>ML200*VLOOKUP('Données projet'!$B$25,Paramètres!$A$1:$I$89,3,0)*VLOOKUP('Données projet'!$B$25,Paramètres!$A$1:$I$89,5,0)</f>
        <v>#N/A</v>
      </c>
      <c r="MN200" s="13" t="e">
        <f t="shared" si="421"/>
        <v>#N/A</v>
      </c>
      <c r="MO200" s="14" t="e">
        <f t="shared" si="385"/>
        <v>#N/A</v>
      </c>
      <c r="MP200" s="59" t="e">
        <f t="shared" si="386"/>
        <v>#N/A</v>
      </c>
      <c r="MQ200" s="20" t="e">
        <f ca="1">AVERAGE(OFFSET($MP$3,0,0,'Données projet'!$E$25+1,1))-AVERAGE(OFFSET($H$3,0,0,'Données projet'!$E$25+1,1))</f>
        <v>#N/A</v>
      </c>
      <c r="MR200" s="59" t="e">
        <f t="shared" si="422"/>
        <v>#N/A</v>
      </c>
      <c r="MS200" s="15">
        <f>IF(ISNA(VLOOKUP($A200,'Données projet'!$A$460:$I$480,3,0)),0,VLOOKUP($A200,'Données projet'!$A$460:$I$480,3,0))</f>
        <v>0</v>
      </c>
      <c r="MT200" s="15">
        <f>IF(ISNA(VLOOKUP($A200,'Données projet'!$A$460:$I$480,4,0)),0,VLOOKUP($A200,'Données projet'!$A$460:$I$480,4,0))</f>
        <v>0</v>
      </c>
      <c r="MU200" s="16">
        <f>IF(ISNA(VLOOKUP($A200,'Données projet'!$A$460:$I$480,5,0)),0%,VLOOKUP($A200,'Données projet'!$A$460:$I$480,5,0)*VLOOKUP('Données projet'!$B$25,Paramètres!$A$1:$I$89,7,0))</f>
        <v>0</v>
      </c>
      <c r="MV200" s="16">
        <f>IF(ISNA(VLOOKUP($A200,'Données projet'!$A$460:$I$480,6,0)),0%,VLOOKUP($A200,'Données projet'!$A$460:$I$480,6,0)*VLOOKUP('Données projet'!$B$25,Paramètres!$A$1:$I$89,7,0))</f>
        <v>0</v>
      </c>
      <c r="MW200" s="16">
        <f>IF(ISNA(VLOOKUP($A200,'Données projet'!$A$460:$I$480,7,0)),0%,VLOOKUP($A200,'Données projet'!$A$460:$I$480,7,0))</f>
        <v>0</v>
      </c>
      <c r="MX200" s="21" t="e">
        <f>EXP(-LN(2)/35)*MX199+(1-EXP(-LN(2)/35))/(LN(2)/35)*MT200*MU200*VLOOKUP('Données projet'!$B$25,Paramètres!$A$1:$I$89,3,0)*0.475*44/12</f>
        <v>#N/A</v>
      </c>
      <c r="MY200" s="21" t="e">
        <f>EXP(-LN(2)/25)*MY199+(1-EXP(-LN(2)/25))/(LN(2)/25)*Calculateur!MT200*Calculateur!MV200*VLOOKUP('Données projet'!$B$25,Paramètres!$A$1:$I$89,3,0)*0.475*44/12</f>
        <v>#N/A</v>
      </c>
      <c r="MZ200" s="21" t="e">
        <f>EXP(-LN(2)/2)*MZ199+(1-EXP(-LN(2)/2))/(LN(2)/2)*MT200*MW200*VLOOKUP('Données projet'!$B$25,Paramètres!$A$1:$I$89,3,0)*0.475*44/12</f>
        <v>#N/A</v>
      </c>
      <c r="NA200" s="22" t="e">
        <f t="shared" si="387"/>
        <v>#N/A</v>
      </c>
      <c r="NB200" s="74">
        <f>('Scénario référence'!$F$8+'Scénario référence'!$F$9+'Scénario référence'!$B$17+'Scénario référence'!$B$9+'Scénario référence'!$B$10)*70+IF((45+25*(1-EXP(-0.0175*$A200)))&lt;70,'Scénario référence'!$B$16*(45+25*(1-EXP(-0.0175*$A200))),70*'Scénario référence'!$B$16)+IF((32+38*(1-EXP(-0.0175*$A200)))&lt;70,'Scénario référence'!$B$18*(32+38*(1-EXP(-0.0175*$A200))),70*'Scénario référence'!$B$18)</f>
        <v>70</v>
      </c>
      <c r="NC200" s="12">
        <f>IF($A200&gt;30,10,('Scénario référence'!$B$16+'Scénario référence'!$B$17+'Scénario référence'!$B$18+'Scénario référence'!$B$9+'Scénario référence'!$B$10)*$A200*10/30+('Scénario référence'!$F$8+'Scénario référence'!$F$9)*10)</f>
        <v>10</v>
      </c>
      <c r="ND200" s="12" t="e">
        <f>VLOOKUP($A200,'Données projet'!$A$486:$I$506,2,0)</f>
        <v>#N/A</v>
      </c>
      <c r="NE200" s="12" t="e">
        <f>VLOOKUP($A200,'Données projet'!$A$486:$I$506,9,0)</f>
        <v>#N/A</v>
      </c>
      <c r="NF200" s="12">
        <f t="array" ref="NF200">INDEX(NE:NE,MIN(IF(ISNUMBER(NE200:NE396),ROW(NE200:NE396),"")))</f>
        <v>0</v>
      </c>
      <c r="NG200" s="12">
        <f>IF('Données projet'!$A$486&gt;35,NG199+NF200-NO199,IF($A200&lt;'Données projet'!$A$486,$CQ$205^$A200,IF($A200='Données projet'!$A$486,'Données projet'!$B$486,NG199+NF200-NO199)))</f>
        <v>0</v>
      </c>
      <c r="NH200" s="17" t="e">
        <f>NG200*VLOOKUP('Données projet'!$B$26,Paramètres!$A$1:$I$89,3,0)*VLOOKUP('Données projet'!$B$26,Paramètres!$A$1:$I$89,5,0)</f>
        <v>#N/A</v>
      </c>
      <c r="NI200" s="13" t="e">
        <f t="shared" si="423"/>
        <v>#N/A</v>
      </c>
      <c r="NJ200" s="14" t="e">
        <f t="shared" si="388"/>
        <v>#N/A</v>
      </c>
      <c r="NK200" s="59" t="e">
        <f t="shared" si="389"/>
        <v>#N/A</v>
      </c>
      <c r="NL200" s="20" t="e">
        <f ca="1">AVERAGE(OFFSET($NK$3,0,0,'Données projet'!$E$26+1,1))-AVERAGE(OFFSET($H$3,0,0,'Données projet'!$E$26+1,1))</f>
        <v>#N/A</v>
      </c>
      <c r="NM200" s="59" t="e">
        <f t="shared" si="424"/>
        <v>#N/A</v>
      </c>
      <c r="NN200" s="15">
        <f>IF(ISNA(VLOOKUP($A200,'Données projet'!$A$486:$I$506,3,0)),0,VLOOKUP($A200,'Données projet'!$A$486:$I$506,3,0))</f>
        <v>0</v>
      </c>
      <c r="NO200" s="15">
        <f>IF(ISNA(VLOOKUP($A200,'Données projet'!$A$486:$I$506,4,0)),0,VLOOKUP($A200,'Données projet'!$A$486:$I$506,4,0))</f>
        <v>0</v>
      </c>
      <c r="NP200" s="16">
        <f>IF(ISNA(VLOOKUP($A200,'Données projet'!$A$486:$I$506,5,0)),0%,VLOOKUP($A200,'Données projet'!$A$486:$I$506,5,0)*VLOOKUP('Données projet'!$B$26,Paramètres!$A$1:$I$89,7,0))</f>
        <v>0</v>
      </c>
      <c r="NQ200" s="16">
        <f>IF(ISNA(VLOOKUP($A200,'Données projet'!$A$486:$I$506,6,0)),0%,VLOOKUP($A200,'Données projet'!$A$486:$I$506,6,0)*VLOOKUP('Données projet'!$B$26,Paramètres!$A$1:$I$89,7,0))</f>
        <v>0</v>
      </c>
      <c r="NR200" s="16">
        <f>IF(ISNA(VLOOKUP($A200,'Données projet'!$A$486:$I$506,7,0)),0%,VLOOKUP($A200,'Données projet'!$A$486:$I$506,7,0))</f>
        <v>0</v>
      </c>
      <c r="NS200" s="21" t="e">
        <f>EXP(-LN(2)/35)*NS199+(1-EXP(-LN(2)/35))/(LN(2)/35)*NO200*NP200*VLOOKUP('Données projet'!$B$26,Paramètres!$A$1:$I$89,3,0)*0.475*44/12</f>
        <v>#N/A</v>
      </c>
      <c r="NT200" s="21" t="e">
        <f>EXP(-LN(2)/25)*NT199+(1-EXP(-LN(2)/25))/(LN(2)/25)*Calculateur!NO200*Calculateur!NQ200*VLOOKUP('Données projet'!$B$26,Paramètres!$A$1:$I$89,3,0)*0.475*44/12</f>
        <v>#N/A</v>
      </c>
      <c r="NU200" s="21" t="e">
        <f>EXP(-LN(2)/2)*NU199+(1-EXP(-LN(2)/2))/(LN(2)/2)*NO200*NR200*VLOOKUP('Données projet'!$B$26,Paramètres!$A$1:$I$89,3,0)*0.475*44/12</f>
        <v>#N/A</v>
      </c>
      <c r="NV200" s="22" t="e">
        <f t="shared" si="390"/>
        <v>#N/A</v>
      </c>
      <c r="NW200" s="74">
        <f>('Scénario référence'!$F$8+'Scénario référence'!$F$9+'Scénario référence'!$B$17+'Scénario référence'!$B$9+'Scénario référence'!$B$10)*70+IF((45+25*(1-EXP(-0.0175*$A200)))&lt;70,'Scénario référence'!$B$16*(45+25*(1-EXP(-0.0175*$A200))),70*'Scénario référence'!$B$16)+IF((32+38*(1-EXP(-0.0175*$A200)))&lt;70,'Scénario référence'!$B$18*(32+38*(1-EXP(-0.0175*$A200))),70*'Scénario référence'!$B$18)</f>
        <v>70</v>
      </c>
      <c r="NX200" s="12">
        <f>IF($A200&gt;30,10,('Scénario référence'!$B$16+'Scénario référence'!$B$17+'Scénario référence'!$B$18+'Scénario référence'!$B$9+'Scénario référence'!$B$10)*$A200*10/30+('Scénario référence'!$F$8+'Scénario référence'!$F$9)*10)</f>
        <v>10</v>
      </c>
      <c r="NY200" s="12" t="e">
        <f>VLOOKUP($A200,'Données projet'!$A$512:$I$532,2,0)</f>
        <v>#N/A</v>
      </c>
      <c r="NZ200" s="12" t="e">
        <f>VLOOKUP($A200,'Données projet'!$A$512:$I$532,9,0)</f>
        <v>#N/A</v>
      </c>
      <c r="OA200" s="12">
        <f t="array" ref="OA200">INDEX(NZ:NZ,MIN(IF(ISNUMBER(NZ200:NZ396),ROW(NZ200:NZ396),"")))</f>
        <v>0</v>
      </c>
      <c r="OB200" s="12">
        <f>IF('Données projet'!$A$512&gt;35,OB199+OA200-OJ199,IF($A200&lt;'Données projet'!$A$512,$CQ$205^$A200,IF($A200='Données projet'!$A$512,'Données projet'!$B$512,OB199+OA200-OJ199)))</f>
        <v>0</v>
      </c>
      <c r="OC200" s="17" t="e">
        <f>OB200*VLOOKUP('Données projet'!$B$27,Paramètres!$A$1:$I$89,3,0)*VLOOKUP('Données projet'!$B$27,Paramètres!$A$1:$I$89,5,0)</f>
        <v>#N/A</v>
      </c>
      <c r="OD200" s="13" t="e">
        <f t="shared" si="425"/>
        <v>#N/A</v>
      </c>
      <c r="OE200" s="14" t="e">
        <f t="shared" si="391"/>
        <v>#N/A</v>
      </c>
      <c r="OF200" s="59" t="e">
        <f t="shared" si="392"/>
        <v>#N/A</v>
      </c>
      <c r="OG200" s="20" t="e">
        <f ca="1">AVERAGE(OFFSET($OF$3,0,0,'Données projet'!$E$27+1,1))-AVERAGE(OFFSET($H$3,0,0,'Données projet'!$E$27+1,1))</f>
        <v>#N/A</v>
      </c>
      <c r="OH200" s="59" t="e">
        <f t="shared" si="426"/>
        <v>#N/A</v>
      </c>
      <c r="OI200" s="15">
        <f>IF(ISNA(VLOOKUP($A200,'Données projet'!$A$512:$I$532,3,0)),0,VLOOKUP($A200,'Données projet'!$A$512:$I$532,3,0))</f>
        <v>0</v>
      </c>
      <c r="OJ200" s="15">
        <f>IF(ISNA(VLOOKUP($A200,'Données projet'!$A$512:$I$532,4,0)),0,VLOOKUP($A200,'Données projet'!$A$512:$I$532,4,0))</f>
        <v>0</v>
      </c>
      <c r="OK200" s="16">
        <f>IF(ISNA(VLOOKUP($A200,'Données projet'!$A$512:$I$532,5,0)),0%,VLOOKUP($A200,'Données projet'!$A$512:$I$532,5,0)*VLOOKUP('Données projet'!$B$27,Paramètres!$A$1:$I$89,7,0))</f>
        <v>0</v>
      </c>
      <c r="OL200" s="16">
        <f>IF(ISNA(VLOOKUP($A200,'Données projet'!$A$512:$I$532,6,0)),0%,VLOOKUP($A200,'Données projet'!$A$512:$I$532,6,0)*VLOOKUP('Données projet'!$B$27,Paramètres!$A$1:$I$89,7,0))</f>
        <v>0</v>
      </c>
      <c r="OM200" s="16">
        <f>IF(ISNA(VLOOKUP($A200,'Données projet'!$A$512:$I$532,7,0)),0%,VLOOKUP($A200,'Données projet'!$A$512:$I$532,7,0))</f>
        <v>0</v>
      </c>
      <c r="ON200" s="21" t="e">
        <f>EXP(-LN(2)/35)*ON199+(1-EXP(-LN(2)/35))/(LN(2)/35)*OJ200*OK200*VLOOKUP('Données projet'!$B$27,Paramètres!$A$1:$I$89,3,0)*0.475*44/12</f>
        <v>#N/A</v>
      </c>
      <c r="OO200" s="21" t="e">
        <f>EXP(-LN(2)/25)*OO199+(1-EXP(-LN(2)/25))/(LN(2)/25)*Calculateur!OJ200*Calculateur!OL200*VLOOKUP('Données projet'!$B$27,Paramètres!$A$1:$I$89,3,0)*0.475*44/12</f>
        <v>#N/A</v>
      </c>
      <c r="OP200" s="21" t="e">
        <f>EXP(-LN(2)/2)*OP199+(1-EXP(-LN(2)/2))/(LN(2)/2)*OJ200*OM200*VLOOKUP('Données projet'!$B$27,Paramètres!$A$1:$I$89,3,0)*0.475*44/12</f>
        <v>#N/A</v>
      </c>
      <c r="OQ200" s="22" t="e">
        <f t="shared" si="393"/>
        <v>#N/A</v>
      </c>
      <c r="OR200" s="74">
        <f>('Scénario référence'!$F$8+'Scénario référence'!$F$9+'Scénario référence'!$B$17+'Scénario référence'!$B$9+'Scénario référence'!$B$10)*70+IF((45+25*(1-EXP(-0.0175*$A200)))&lt;70,'Scénario référence'!$B$16*(45+25*(1-EXP(-0.0175*$A200))),70*'Scénario référence'!$B$16)+IF((32+38*(1-EXP(-0.0175*$A200)))&lt;70,'Scénario référence'!$B$18*(32+38*(1-EXP(-0.0175*$A200))),70*'Scénario référence'!$B$18)</f>
        <v>70</v>
      </c>
      <c r="OS200" s="12">
        <f>IF($A200&gt;30,10,('Scénario référence'!$B$16+'Scénario référence'!$B$17+'Scénario référence'!$B$18+'Scénario référence'!$B$9+'Scénario référence'!$B$10)*$A200*10/30+('Scénario référence'!$F$8+'Scénario référence'!$F$9)*10)</f>
        <v>10</v>
      </c>
      <c r="OT200" s="12" t="e">
        <f>VLOOKUP($A200,'Données projet'!$A$538:$I$558,2,0)</f>
        <v>#N/A</v>
      </c>
      <c r="OU200" s="12" t="e">
        <f>VLOOKUP($A200,'Données projet'!$A$538:$I$558,9,0)</f>
        <v>#N/A</v>
      </c>
      <c r="OV200" s="12">
        <f t="array" ref="OV200">INDEX(OU:OU,MIN(IF(ISNUMBER(OU200:OU396),ROW(OU200:OU396),"")))</f>
        <v>0</v>
      </c>
      <c r="OW200" s="12">
        <f>IF('Données projet'!$A$538&gt;35,OW199+OV200-PE199,IF($A200&lt;'Données projet'!$A$538,$CQ$205^$A200,IF($A200='Données projet'!$A$538,'Données projet'!$B$538,OW199+OV200-PE199)))</f>
        <v>0</v>
      </c>
      <c r="OX200" s="17" t="e">
        <f>OW200*VLOOKUP('Données projet'!$B$28,Paramètres!$A$1:$I$89,3,0)*VLOOKUP('Données projet'!$B$28,Paramètres!$A$1:$I$89,5,0)</f>
        <v>#N/A</v>
      </c>
      <c r="OY200" s="13" t="e">
        <f t="shared" si="427"/>
        <v>#N/A</v>
      </c>
      <c r="OZ200" s="14" t="e">
        <f t="shared" si="394"/>
        <v>#N/A</v>
      </c>
      <c r="PA200" s="59" t="e">
        <f t="shared" si="395"/>
        <v>#N/A</v>
      </c>
      <c r="PB200" s="20" t="e">
        <f ca="1">AVERAGE(OFFSET($PA$3,0,0,'Données projet'!$E$28+1,1))-AVERAGE(OFFSET($H$3,0,0,'Données projet'!$E$28+1,1))</f>
        <v>#N/A</v>
      </c>
      <c r="PC200" s="59" t="e">
        <f t="shared" si="428"/>
        <v>#N/A</v>
      </c>
      <c r="PD200" s="15">
        <f>IF(ISNA(VLOOKUP($A200,'Données projet'!$A$538:$I$558,3,0)),0,VLOOKUP($A200,'Données projet'!$A$538:$I$558,3,0))</f>
        <v>0</v>
      </c>
      <c r="PE200" s="15">
        <f>IF(ISNA(VLOOKUP($A200,'Données projet'!$A$538:$I$558,4,0)),0,VLOOKUP($A200,'Données projet'!$A$538:$I$558,4,0))</f>
        <v>0</v>
      </c>
      <c r="PF200" s="16">
        <f>IF(ISNA(VLOOKUP($A200,'Données projet'!$A$538:$I$558,5,0)),0%,VLOOKUP($A200,'Données projet'!$A$538:$I$558,5,0)*VLOOKUP('Données projet'!$B$28,Paramètres!$A$1:$I$89,7,0))</f>
        <v>0</v>
      </c>
      <c r="PG200" s="16">
        <f>IF(ISNA(VLOOKUP($A200,'Données projet'!$A$538:$I$558,6,0)),0%,VLOOKUP($A200,'Données projet'!$A$538:$I$558,6,0)*VLOOKUP('Données projet'!$B$28,Paramètres!$A$1:$I$89,7,0))</f>
        <v>0</v>
      </c>
      <c r="PH200" s="16">
        <f>IF(ISNA(VLOOKUP($A200,'Données projet'!$A$538:$I$558,7,0)),0%,VLOOKUP($A200,'Données projet'!$A$538:$I$558,7,0))</f>
        <v>0</v>
      </c>
      <c r="PI200" s="21" t="e">
        <f>EXP(-LN(2)/35)*PI199+(1-EXP(-LN(2)/35))/(LN(2)/35)*PE200*PF200*VLOOKUP('Données projet'!$B$28,Paramètres!$A$1:$I$89,3,0)*0.475*44/12</f>
        <v>#N/A</v>
      </c>
      <c r="PJ200" s="21" t="e">
        <f>EXP(-LN(2)/25)*PJ199+(1-EXP(-LN(2)/25))/(LN(2)/25)*Calculateur!PE200*Calculateur!PG200*VLOOKUP('Données projet'!$B$28,Paramètres!$A$1:$I$89,3,0)*0.475*44/12</f>
        <v>#N/A</v>
      </c>
      <c r="PK200" s="21" t="e">
        <f>EXP(-LN(2)/2)*PK199+(1-EXP(-LN(2)/2))/(LN(2)/2)*PE200*PH200*VLOOKUP('Données projet'!$B$28,Paramètres!$A$1:$I$89,3,0)*0.475*44/12</f>
        <v>#N/A</v>
      </c>
      <c r="PL200" s="22" t="e">
        <f t="shared" si="396"/>
        <v>#N/A</v>
      </c>
    </row>
    <row r="201" spans="1:42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397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357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projet'!$A$45:$I$65,2,0)</f>
        <v>#N/A</v>
      </c>
      <c r="L201" s="12" t="e">
        <f>VLOOKUP(A201,'Données projet'!$A$45:$I$65,9,0)</f>
        <v>#N/A</v>
      </c>
      <c r="M201" s="12">
        <f t="array" ref="M201">INDEX(L:L,MIN(IF(ISNUMBER(L201:L397),ROW(L201:L397),"")))</f>
        <v>0</v>
      </c>
      <c r="N201" s="13">
        <f>IF('Données projet'!$A$46&gt;35,N200+M201-V200,IF(A201&lt;'Données projet'!$A$46,$K$205^A201,IF(A201='Données projet'!$A$46,'Données projet'!$B$46,N200+M201-V200)))</f>
        <v>-1.1368683772161603E-13</v>
      </c>
      <c r="O201" s="13">
        <f>N201*VLOOKUP('Données projet'!$B$9,Paramètres!$A$1:$I$89,3,0)*VLOOKUP('Données projet'!$B$9,Paramètres!$A$1:$I$89,5,0)</f>
        <v>-6.3550942286383367E-14</v>
      </c>
      <c r="P201" s="13" t="e">
        <f t="shared" si="398"/>
        <v>#NUM!</v>
      </c>
      <c r="Q201" s="20" t="e">
        <f t="shared" si="327"/>
        <v>#NUM!</v>
      </c>
      <c r="R201" s="59" t="e">
        <f t="shared" si="356"/>
        <v>#NUM!</v>
      </c>
      <c r="S201" s="59">
        <f ca="1">AVERAGE(OFFSET($R$3,0,0,'Données projet'!$E$9+1,1))-AVERAGE(OFFSET($H$3,0,0,'Données projet'!$E$9+1,1))</f>
        <v>274.57619581652199</v>
      </c>
      <c r="T201" s="59">
        <f t="shared" si="399"/>
        <v>366.15117322598775</v>
      </c>
      <c r="U201" s="15">
        <f>IF(ISNA(VLOOKUP(A201,'Données projet'!$A$45:$I$65,3,0)),0,VLOOKUP(A201,'Données projet'!$A$45:$I$65,3,0))</f>
        <v>0</v>
      </c>
      <c r="V201" s="15">
        <f>IF(ISNA(VLOOKUP(A201,'Données projet'!$A$45:$I$65,4,0)),0,VLOOKUP(A201,'Données projet'!$A$45:$I$65,4,0))</f>
        <v>0</v>
      </c>
      <c r="W201" s="16">
        <f>IF(ISNA(VLOOKUP(A201,'Données projet'!$A$45:$I$65,5,0)),0%,VLOOKUP(A201,'Données projet'!$A$45:$I$65,5,0)*VLOOKUP('Données projet'!$B$9,Paramètres!$A$1:$I$89,7,0))</f>
        <v>0</v>
      </c>
      <c r="X201" s="16">
        <f>IF(ISNA(VLOOKUP(A201,'Données projet'!$A$45:$I$65,6,0)),0%,VLOOKUP(A201,'Données projet'!$A$45:$I$65,6,0)*VLOOKUP('Données projet'!$B$9,Paramètres!$A$1:$I$89,7,0))</f>
        <v>0</v>
      </c>
      <c r="Y201" s="16">
        <f>IF(ISNA(VLOOKUP(A201,'Données projet'!$A$45:$I$65,7,0)),0%,VLOOKUP(A201,'Données projet'!$A$45:$I$65,7,0))</f>
        <v>0</v>
      </c>
      <c r="Z201" s="21">
        <f>EXP(-LN(2)/35)*Z200+(1-EXP(-LN(2)/35))/(LN(2)/35)*V201*W201*VLOOKUP('Données projet'!$B$9,Paramètres!$A$1:$I$89,3,0)*0.475*44/12</f>
        <v>13.348938725010436</v>
      </c>
      <c r="AA201" s="21">
        <f>EXP(-LN(2)/25)*AA200+(1-EXP(-LN(2)/25))/(LN(2)/25)*Calculateur!V201*Calculateur!X201*VLOOKUP('Données projet'!$B$9,Paramètres!$A$1:$I$89,3,0)*0.475*44/12</f>
        <v>1.0929211067072795</v>
      </c>
      <c r="AB201" s="21">
        <f>EXP(-LN(2)/2)*AB200+(1-EXP(-LN(2)/2))/(LN(2)/2)*V201*Y201*VLOOKUP('Données projet'!$B$9,Paramètres!$A$1:$I$89,3,0)*0.475*44/12</f>
        <v>1.0230332526333016E-20</v>
      </c>
      <c r="AC201" s="22">
        <f t="shared" si="328"/>
        <v>14.441859831717716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projet'!$A$71:$I$91,2,0)</f>
        <v>#N/A</v>
      </c>
      <c r="AG201" s="12" t="e">
        <f>VLOOKUP(A201,'Données projet'!$A$71:$I$91,9,0)</f>
        <v>#N/A</v>
      </c>
      <c r="AH201" s="12">
        <f t="array" ref="AH201">INDEX(AG:AG,MIN(IF(ISNUMBER(AG201:AG397),ROW(AG201:AG397),"")))</f>
        <v>0</v>
      </c>
      <c r="AI201" s="13">
        <f>IF('Données projet'!$A$72&gt;35,AI200+AH201-AQ200,IF(A201&lt;'Données projet'!$A$72,$AF$205^A201,IF(A201='Données projet'!$A$72,'Données projet'!$B$72,AI200+AH201-AQ200)))</f>
        <v>5.6843418860808015E-13</v>
      </c>
      <c r="AJ201" s="13">
        <f>AI201*VLOOKUP('Données projet'!$B$10,Paramètres!$A$1:$I$89,3,0)*VLOOKUP('Données projet'!$B$10,Paramètres!$A$1:$I$89,5,0)</f>
        <v>5.1431925385259092E-13</v>
      </c>
      <c r="AK201" s="13">
        <f t="shared" si="329"/>
        <v>6.3855359115685756E-12</v>
      </c>
      <c r="AL201" s="20">
        <f t="shared" si="330"/>
        <v>1.2017247746441865E-11</v>
      </c>
      <c r="AM201" s="59">
        <f t="shared" si="358"/>
        <v>293.33333333334531</v>
      </c>
      <c r="AN201" s="59">
        <f ca="1">AVERAGE(OFFSET($AM$3,0,0,'Données projet'!$E$10+1,1))-AVERAGE(OFFSET($H$3,0,0,'Données projet'!$E$10+1,1))</f>
        <v>270.87836509222456</v>
      </c>
      <c r="AO201" s="59">
        <f t="shared" si="400"/>
        <v>205.24998237949734</v>
      </c>
      <c r="AP201" s="15">
        <f>IF(ISNA(VLOOKUP(A201,'Données projet'!$A$71:$I$91,3,0)),0,VLOOKUP(A201,'Données projet'!$A$71:$I$91,3,0))</f>
        <v>0</v>
      </c>
      <c r="AQ201" s="15">
        <f>IF(ISNA(VLOOKUP(A201,'Données projet'!$A$71:$I$91,4,0)),0,VLOOKUP(A201,'Données projet'!$A$71:$I$91,4,0))</f>
        <v>0</v>
      </c>
      <c r="AR201" s="16">
        <f>IF(ISNA(VLOOKUP(A201,'Données projet'!$A$71:$I$91,5,0)),0%,VLOOKUP(A201,'Données projet'!$A$71:$I$91,5,0)*VLOOKUP('Données projet'!$B$10,Paramètres!$A$1:$I$89,7,0))</f>
        <v>0</v>
      </c>
      <c r="AS201" s="16">
        <f>IF(ISNA(VLOOKUP(A201,'Données projet'!$A$71:$I$91,6,0)),0%,VLOOKUP(A201,'Données projet'!$A$71:$I$91,6,0)*VLOOKUP('Données projet'!$B$10,Paramètres!$A$1:$I$89,7,0))</f>
        <v>0</v>
      </c>
      <c r="AT201" s="16">
        <f>IF(ISNA(VLOOKUP(A201,'Données projet'!$A$71:$I$91,7,0)),0%,VLOOKUP(A201,'Données projet'!$A$71:$I$91,7,0))</f>
        <v>0</v>
      </c>
      <c r="AU201" s="21">
        <f>EXP(-LN(2)/35)*AU200+(1-EXP(-LN(2)/35))/(LN(2)/35)*AQ201*AR201*VLOOKUP('Données projet'!$B$10,Paramètres!$A$1:$I$89,3,0)*0.475*44/12</f>
        <v>45.363094791751422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331"/>
        <v>45.363094791751422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projet'!$A$97:$I$117,2,0)</f>
        <v>#N/A</v>
      </c>
      <c r="BB201" s="12" t="e">
        <f>VLOOKUP(A201,'Données projet'!$A$97:$I$117,9,0)</f>
        <v>#N/A</v>
      </c>
      <c r="BC201" s="12">
        <f t="array" ref="BC201">INDEX(BB:BB,MIN(IF(ISNUMBER(BB201:BB397),ROW(BB201:BB397),"")))</f>
        <v>0</v>
      </c>
      <c r="BD201" s="12">
        <f>IF('Données projet'!$A$98&gt;35,BD200+BC201-BL200,IF(A201&lt;'Données projet'!$A$98,$BA$205^A201,IF(A201='Données projet'!$A$98,'Données projet'!$B$98,BD200+BC201-BL200)))</f>
        <v>-1.1368683772161603E-13</v>
      </c>
      <c r="BE201" s="13">
        <f>BD201*VLOOKUP('Données projet'!$B$11,Paramètres!$A$1:$I$89,3,0)*VLOOKUP('Données projet'!$B$11,Paramètres!$A$1:$I$89,5,0)</f>
        <v>-5.0249582272954292E-14</v>
      </c>
      <c r="BF201" s="13" t="e">
        <f t="shared" si="332"/>
        <v>#NUM!</v>
      </c>
      <c r="BG201" s="20" t="e">
        <f t="shared" si="333"/>
        <v>#NUM!</v>
      </c>
      <c r="BH201" s="59" t="e">
        <f t="shared" si="359"/>
        <v>#NUM!</v>
      </c>
      <c r="BI201" s="59">
        <f ca="1">AVERAGE(OFFSET($BH$3,0,0,'Données projet'!$E$11+1,1))-AVERAGE(OFFSET($H$3,0,0,'Données projet'!$E$11+1,1))</f>
        <v>211.31057120485542</v>
      </c>
      <c r="BJ201" s="59">
        <f t="shared" si="401"/>
        <v>283.33292006714777</v>
      </c>
      <c r="BK201" s="15">
        <f>IF(ISNA(VLOOKUP(A201,'Données projet'!$A$97:$I$117,3,0)),0,VLOOKUP(A201,'Données projet'!$A$97:$I$117,3,0))</f>
        <v>0</v>
      </c>
      <c r="BL201" s="15">
        <f>IF(ISNA(VLOOKUP(A201,'Données projet'!$A$97:$I$117,4,0)),0,VLOOKUP(A201,'Données projet'!$A$97:$I$117,4,0))</f>
        <v>0</v>
      </c>
      <c r="BM201" s="16">
        <f>IF(ISNA(VLOOKUP(A201,'Données projet'!$A$97:$I$117,5,0)),0%,VLOOKUP(A201,'Données projet'!$A$97:$I$117,5,0)*VLOOKUP('Données projet'!$B$11,Paramètres!$A$1:$I$89,7,0))</f>
        <v>0</v>
      </c>
      <c r="BN201" s="16">
        <f>IF(ISNA(VLOOKUP(A201,'Données projet'!$A$97:$I$117,6,0)),0%,VLOOKUP(A201,'Données projet'!$A$97:$I$117,6,0)*VLOOKUP('Données projet'!$B$11,Paramètres!$A$1:$I$89,7,0))</f>
        <v>0</v>
      </c>
      <c r="BO201" s="16">
        <f>IF(ISNA(VLOOKUP(A201,'Données projet'!$A$97:$I$117,7,0)),0%,VLOOKUP(A201,'Données projet'!$A$97:$I$117,7,0))</f>
        <v>0</v>
      </c>
      <c r="BP201" s="21">
        <f>EXP(-LN(2)/35)*BP200+(1-EXP(-LN(2)/35))/(LN(2)/35)*BL201*BM201*VLOOKUP('Données projet'!$B$11,Paramètres!$A$1:$I$89,3,0)*0.475*44/12</f>
        <v>10.554974805822214</v>
      </c>
      <c r="BQ201" s="21">
        <f>EXP(-LN(2)/25)*BQ200+(1-EXP(-LN(2)/25))/(LN(2)/25)*Calculateur!BL201*Calculateur!BN201*VLOOKUP('Données projet'!$B$11,Paramètres!$A$1:$I$89,3,0)*0.475*44/12</f>
        <v>0.86417017739645319</v>
      </c>
      <c r="BR201" s="21">
        <f>EXP(-LN(2)/2)*BR200+(1-EXP(-LN(2)/2))/(LN(2)/2)*BL201*BO201*VLOOKUP('Données projet'!$B$11,Paramètres!$A$1:$I$89,3,0)*0.475*44/12</f>
        <v>8.0891001371005227E-21</v>
      </c>
      <c r="BS201" s="22">
        <f t="shared" si="334"/>
        <v>11.419144983218667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projet'!$A$123:$I$143,2,0)</f>
        <v>#N/A</v>
      </c>
      <c r="BW201" s="12" t="e">
        <f>VLOOKUP(A201,'Données projet'!$A$123:$I$143,9,0)</f>
        <v>#N/A</v>
      </c>
      <c r="BX201" s="12">
        <f t="array" ref="BX201">INDEX(BW:BW,MIN(IF(ISNUMBER(BW201:BW397),ROW(BW201:BW397),"")))</f>
        <v>0</v>
      </c>
      <c r="BY201" s="12">
        <f>IF('Données projet'!$A$124&gt;35,BY200+BX201-CG200,IF(A201&lt;'Données projet'!$A$124,$BV$205^A201,IF(A201='Données projet'!$A$124,'Données projet'!$B$124,BY200+BX201-CG200)))</f>
        <v>0</v>
      </c>
      <c r="BZ201" s="13">
        <f>BY201*VLOOKUP('Données projet'!$B$12,Paramètres!$A$1:$I$89,3,0)*VLOOKUP('Données projet'!$B$12,Paramètres!$A$1:$I$89,5,0)</f>
        <v>0</v>
      </c>
      <c r="CA201" s="13" t="e">
        <f t="shared" si="335"/>
        <v>#NUM!</v>
      </c>
      <c r="CB201" s="20" t="e">
        <f t="shared" si="336"/>
        <v>#NUM!</v>
      </c>
      <c r="CC201" s="59" t="e">
        <f t="shared" si="360"/>
        <v>#NUM!</v>
      </c>
      <c r="CD201" s="59">
        <f ca="1">AVERAGE(OFFSET($CC$3,0,0,'Données projet'!$E$12+1,1))-AVERAGE(OFFSET($H$3,0,0,'Données projet'!$E$12+1,1))</f>
        <v>322.93502595881938</v>
      </c>
      <c r="CE201" s="59">
        <f t="shared" si="402"/>
        <v>302.67072119588164</v>
      </c>
      <c r="CF201" s="15">
        <f>IF(ISNA(VLOOKUP(A201,'Données projet'!$A$123:$I$143,3,0)),0,VLOOKUP(A201,'Données projet'!$A$123:$I$143,3,0))</f>
        <v>0</v>
      </c>
      <c r="CG201" s="15">
        <f>IF(ISNA(VLOOKUP(A201,'Données projet'!$A$123:$I$143,4,0)),0,VLOOKUP(A201,'Données projet'!$A$123:$I$143,4,0))</f>
        <v>0</v>
      </c>
      <c r="CH201" s="16">
        <f>IF(ISNA(VLOOKUP(A201,'Données projet'!$A$123:$I$143,5,0)),0%,VLOOKUP(A201,'Données projet'!$A$123:$I$143,5,0)*VLOOKUP('Données projet'!$B$12,Paramètres!$A$1:$I$89,7,0))</f>
        <v>0</v>
      </c>
      <c r="CI201" s="16">
        <f>IF(ISNA(VLOOKUP(A201,'Données projet'!$A$123:$I$143,6,0)),0%,VLOOKUP(A201,'Données projet'!$A$123:$I$143,6,0)*VLOOKUP('Données projet'!$B$12,Paramètres!$A$1:$I$89,7,0))</f>
        <v>0</v>
      </c>
      <c r="CJ201" s="16">
        <f>IF(ISNA(VLOOKUP(A201,'Données projet'!$A$123:$I$143,7,0)),0%,VLOOKUP(A201,'Données projet'!$A$123:$I$143,7,0))</f>
        <v>0</v>
      </c>
      <c r="CK201" s="21">
        <f>EXP(-LN(2)/35)*CK200+(1-EXP(-LN(2)/35))/(LN(2)/35)*CG201*CH201*VLOOKUP('Données projet'!$B$12,Paramètres!$A$1:$I$89,3,0)*0.475*44/12</f>
        <v>16.816625308696203</v>
      </c>
      <c r="CL201" s="21">
        <f>EXP(-LN(2)/25)*CL200+(1-EXP(-LN(2)/25))/(LN(2)/25)*Calculateur!CG201*Calculateur!CI201*VLOOKUP('Données projet'!$B$12,Paramètres!$A$1:$I$89,3,0)*0.475*44/12</f>
        <v>2.7658674243017325</v>
      </c>
      <c r="CM201" s="21">
        <f>EXP(-LN(2)/2)*CM200+(1-EXP(-LN(2)/2))/(LN(2)/2)*CG201*CJ201*VLOOKUP('Données projet'!$B$12,Paramètres!$A$1:$I$89,3,0)*0.475*44/12</f>
        <v>0</v>
      </c>
      <c r="CN201" s="22">
        <f t="shared" si="337"/>
        <v>19.582492732997935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projet'!$A$149:$I$169,2,0)</f>
        <v>#N/A</v>
      </c>
      <c r="CR201" s="12" t="e">
        <f>VLOOKUP(A201,'Données projet'!$A$149:$I$169,9,0)</f>
        <v>#N/A</v>
      </c>
      <c r="CS201" s="12">
        <f t="array" ref="CS201">INDEX(CR:CR,MIN(IF(ISNUMBER(CR201:CR397),ROW(CR201:CR397),"")))</f>
        <v>0</v>
      </c>
      <c r="CT201" s="12">
        <f>IF('Données projet'!$A$150&gt;35,CT200+CS201-DB200,IF(A201&lt;'Données projet'!$A$150,$CQ$205^A201,IF(A201='Données projet'!$A$150,'Données projet'!$B$150,CT200+CS201-DB200)))</f>
        <v>-4.5474735088646412E-13</v>
      </c>
      <c r="CU201" s="17">
        <f>CT201*VLOOKUP('Données projet'!$B$13,Paramètres!$A$1:$I$89,3,0)*VLOOKUP('Données projet'!$B$13,Paramètres!$A$1:$I$89,5,0)</f>
        <v>-4.6111381379887462E-13</v>
      </c>
      <c r="CV201" s="13" t="e">
        <f t="shared" si="338"/>
        <v>#NUM!</v>
      </c>
      <c r="CW201" s="20" t="e">
        <f t="shared" si="339"/>
        <v>#NUM!</v>
      </c>
      <c r="CX201" s="59" t="e">
        <f t="shared" si="361"/>
        <v>#NUM!</v>
      </c>
      <c r="CY201" s="59">
        <f ca="1">AVERAGE(OFFSET($CX$3,0,0,'Données projet'!$E$13+1,1))-AVERAGE(OFFSET($H$3,0,0,'Données projet'!$E$13+1,1))</f>
        <v>250.31277422753283</v>
      </c>
      <c r="CZ201" s="59">
        <f t="shared" si="403"/>
        <v>159.20429420478047</v>
      </c>
      <c r="DA201" s="15">
        <f>IF(ISNA(VLOOKUP(A201,'Données projet'!$A$149:$I$169,3,0)),0,VLOOKUP(A201,'Données projet'!$A$149:$I$169,3,0))</f>
        <v>0</v>
      </c>
      <c r="DB201" s="15">
        <f>IF(ISNA(VLOOKUP(A201,'Données projet'!$A$149:$I$169,4,0)),0,VLOOKUP(A201,'Données projet'!$A$149:$I$169,4,0))</f>
        <v>0</v>
      </c>
      <c r="DC201" s="16">
        <f>IF(ISNA(VLOOKUP(A201,'Données projet'!$A$149:$I$169,5,0)),0%,VLOOKUP(A201,'Données projet'!$A$149:$I$169,5,0)*VLOOKUP('Données projet'!$B$13,Paramètres!$A$1:$I$89,7,0))</f>
        <v>0</v>
      </c>
      <c r="DD201" s="16">
        <f>IF(ISNA(VLOOKUP(A201,'Données projet'!$A$149:$I$169,6,0)),0%,VLOOKUP(A201,'Données projet'!$A$149:$I$169,6,0)*VLOOKUP('Données projet'!$B$13,Paramètres!$A$1:$I$89,7,0))</f>
        <v>0</v>
      </c>
      <c r="DE201" s="16">
        <f>IF(ISNA(VLOOKUP(A201,'Données projet'!$A$149:$I$169,7,0)),0%,VLOOKUP(A201,'Données projet'!$A$149:$I$169,7,0))</f>
        <v>0</v>
      </c>
      <c r="DF201" s="21">
        <f>EXP(-LN(2)/35)*DF200+(1-EXP(-LN(2)/35))/(LN(2)/35)*DB201*DC201*VLOOKUP('Données projet'!$B$13,Paramètres!$A$1:$I$89,3,0)*0.475*44/12</f>
        <v>76.554288731984926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340"/>
        <v>76.554288731984926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projet'!$A$175:$I$195,2,0)</f>
        <v>#N/A</v>
      </c>
      <c r="DM201" s="12" t="e">
        <f>VLOOKUP(A201,'Données projet'!$A$175:$I$195,9,0)</f>
        <v>#N/A</v>
      </c>
      <c r="DN201" s="12">
        <f t="array" ref="DN201">INDEX(DM:DM,MIN(IF(ISNUMBER(DM201:DM397),ROW(DM201:DM397),"")))</f>
        <v>0</v>
      </c>
      <c r="DO201" s="12">
        <f>IF('Données projet'!$A$176&gt;35,DO200+DN201-DW200,IF(A201&lt;'Données projet'!$A$176,$DL$205^A201,IF(A201='Données projet'!$A$176,'Données projet'!$B$176,DO200+DN201-DW200)))</f>
        <v>-2.8421709430404007E-13</v>
      </c>
      <c r="DP201" s="17">
        <f>DO201*VLOOKUP('Données projet'!$B$14,Paramètres!$A$1:$I$89,3,0)*VLOOKUP('Données projet'!$B$14,Paramètres!$A$1:$I$89,5,0)</f>
        <v>-2.0838797354372215E-13</v>
      </c>
      <c r="DQ201" s="13" t="e">
        <f t="shared" si="341"/>
        <v>#NUM!</v>
      </c>
      <c r="DR201" s="20" t="e">
        <f t="shared" si="342"/>
        <v>#NUM!</v>
      </c>
      <c r="DS201" s="59" t="e">
        <f t="shared" si="362"/>
        <v>#NUM!</v>
      </c>
      <c r="DT201" s="59">
        <f ca="1">AVERAGE(OFFSET($DS$3,0,0,'Données projet'!$E$14+1,1))-AVERAGE(OFFSET($H$3,0,0,'Données projet'!$E$14+1,1))</f>
        <v>296.91321813251051</v>
      </c>
      <c r="DU201" s="59">
        <f t="shared" si="404"/>
        <v>291.0718079639509</v>
      </c>
      <c r="DV201" s="15">
        <f>IF(ISNA(VLOOKUP(A201,'Données projet'!$A$175:$I$195,3,0)),0,VLOOKUP(A201,'Données projet'!$A$175:$I$195,3,0))</f>
        <v>0</v>
      </c>
      <c r="DW201" s="15">
        <f>IF(ISNA(VLOOKUP(A201,'Données projet'!$A$175:$I$195,4,0)),0,VLOOKUP(A201,'Données projet'!$A$175:$I$195,4,0))</f>
        <v>0</v>
      </c>
      <c r="DX201" s="16">
        <f>IF(ISNA(VLOOKUP(A201,'Données projet'!$A$175:$I$195,5,0)),0%,VLOOKUP(A201,'Données projet'!$A$175:$I$195,5,0)*VLOOKUP('Données projet'!$B$14,Paramètres!$A$1:$I$89,7,0))</f>
        <v>0</v>
      </c>
      <c r="DY201" s="16">
        <f>IF(ISNA(VLOOKUP(A201,'Données projet'!$A$175:$I$195,6,0)),0%,VLOOKUP(A201,'Données projet'!$A$175:$I$195,6,0)*VLOOKUP('Données projet'!$B$14,Paramètres!$A$1:$I$89,7,0))</f>
        <v>0</v>
      </c>
      <c r="DZ201" s="16">
        <f>IF(ISNA(VLOOKUP(A201,'Données projet'!$A$175:$I$195,7,0)),0%,VLOOKUP(A201,'Données projet'!$A$175:$I$195,7,0))</f>
        <v>0</v>
      </c>
      <c r="EA201" s="21">
        <f>EXP(-LN(2)/35)*EA200+(1-EXP(-LN(2)/35))/(LN(2)/35)*DW201*DX201*VLOOKUP('Données projet'!$B$14,Paramètres!$A$1:$I$89,3,0)*0.475*44/12</f>
        <v>16.760776573828391</v>
      </c>
      <c r="EB201" s="21">
        <f>EXP(-LN(2)/25)*EB200+(1-EXP(-LN(2)/25))/(LN(2)/25)*Calculateur!DW201*Calculateur!DY201*VLOOKUP('Données projet'!$B$14,Paramètres!$A$1:$I$89,3,0)*0.475*44/12</f>
        <v>0.20318312948048992</v>
      </c>
      <c r="EC201" s="21">
        <f>EXP(-LN(2)/2)*EC200+(1-EXP(-LN(2)/2))/(LN(2)/2)*DW201*DZ201*VLOOKUP('Données projet'!$B$14,Paramètres!$A$1:$I$89,3,0)*0.475*44/12</f>
        <v>0</v>
      </c>
      <c r="ED201" s="22">
        <f t="shared" si="343"/>
        <v>16.96395970330888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projet'!$A$201:$I$221,2,0)</f>
        <v>#N/A</v>
      </c>
      <c r="EH201" s="12" t="e">
        <f>VLOOKUP(A201,'Données projet'!$A$201:$I$221,9,0)</f>
        <v>#N/A</v>
      </c>
      <c r="EI201" s="12">
        <f t="array" ref="EI201">INDEX(EH:EH,MIN(IF(ISNUMBER(EH201:EH397),ROW(EH201:EH397),"")))</f>
        <v>0</v>
      </c>
      <c r="EJ201" s="12">
        <f>IF('Données projet'!$A$202&gt;35,EJ200+EI201-ER200,IF(A201&lt;'Données projet'!$A$202,$EG$205^A201,IF(A201='Données projet'!$A$202,'Données projet'!$B$202,EJ200+EI201-ER200)))</f>
        <v>5.1159076974727213E-13</v>
      </c>
      <c r="EK201" s="17">
        <f>EJ201*VLOOKUP('Données projet'!$B$15,Paramètres!$A$1:$I$89,3,0)*VLOOKUP('Données projet'!$B$15,Paramètres!$A$1:$I$89,5,0)</f>
        <v>2.3942448024172334E-13</v>
      </c>
      <c r="EL201" s="13">
        <f t="shared" si="344"/>
        <v>3.2492669905861755E-12</v>
      </c>
      <c r="EM201" s="20">
        <f t="shared" si="345"/>
        <v>6.0761376450252565E-12</v>
      </c>
      <c r="EN201" s="59">
        <f t="shared" si="363"/>
        <v>293.3333333333394</v>
      </c>
      <c r="EO201" s="59">
        <f ca="1">AVERAGE(OFFSET($EN$3,0,0,'Données projet'!$E$15+1,1))-AVERAGE(OFFSET($H$3,0,0,'Données projet'!$E$15+1,1))</f>
        <v>147.64256291235483</v>
      </c>
      <c r="EP201" s="59">
        <f t="shared" si="405"/>
        <v>70.859031694091868</v>
      </c>
      <c r="EQ201" s="15">
        <f>IF(ISNA(VLOOKUP(A201,'Données projet'!$A$201:$I$221,3,0)),0,VLOOKUP(A201,'Données projet'!$A$201:$I$221,3,0))</f>
        <v>0</v>
      </c>
      <c r="ER201" s="15">
        <f>IF(ISNA(VLOOKUP(A201,'Données projet'!$A$201:$I$221,4,0)),0,VLOOKUP(A201,'Données projet'!$A$201:$I$221,4,0))</f>
        <v>0</v>
      </c>
      <c r="ES201" s="16">
        <f>IF(ISNA(VLOOKUP(A201,'Données projet'!$A$201:$I$221,5,0)),0%,VLOOKUP(A201,'Données projet'!$A$201:$I$221,5,0)*VLOOKUP('Données projet'!$B$15,Paramètres!$A$1:$I$89,7,0))</f>
        <v>0</v>
      </c>
      <c r="ET201" s="16">
        <f>IF(ISNA(VLOOKUP(A201,'Données projet'!$A$201:$I$221,6,0)),0%,VLOOKUP(A201,'Données projet'!$A$201:$I$221,6,0)*VLOOKUP('Données projet'!$B$15,Paramètres!$A$1:$I$89,7,0))</f>
        <v>0</v>
      </c>
      <c r="EU201" s="16">
        <f>IF(ISNA(VLOOKUP(A201,'Données projet'!$A$201:$I$221,7,0)),0%,VLOOKUP(A201,'Données projet'!$A$201:$I$221,7,0))</f>
        <v>0</v>
      </c>
      <c r="EV201" s="21">
        <f>EXP(-LN(2)/35)*EV200+(1-EXP(-LN(2)/35))/(LN(2)/35)*ER201*ES201*VLOOKUP('Données projet'!$B$15,Paramètres!$A$1:$I$89,3,0)*0.475*44/12</f>
        <v>22.945767327001011</v>
      </c>
      <c r="EW201" s="21">
        <f>EXP(-LN(2)/25)*EW200+(1-EXP(-LN(2)/25))/(LN(2)/25)*Calculateur!ER201*Calculateur!ET201*VLOOKUP('Données projet'!$B$15,Paramètres!$A$1:$I$89,3,0)*0.475*44/12</f>
        <v>2.8189612179986256</v>
      </c>
      <c r="EX201" s="21">
        <f>EXP(-LN(2)/2)*EX200+(1-EXP(-LN(2)/2))/(LN(2)/2)*ER201*EU201*VLOOKUP('Données projet'!$B$15,Paramètres!$A$1:$I$89,3,0)*0.475*44/12</f>
        <v>7.3751395162787672E-13</v>
      </c>
      <c r="EY201" s="22">
        <f t="shared" si="346"/>
        <v>25.764728545000377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projet'!$A$227:$I$247,2,0)</f>
        <v>#N/A</v>
      </c>
      <c r="FC201" s="12" t="e">
        <f>VLOOKUP(A201,'Données projet'!$A$227:$I$247,9,0)</f>
        <v>#N/A</v>
      </c>
      <c r="FD201" s="12">
        <f t="array" ref="FD201">INDEX(FC:FC,MIN(IF(ISNUMBER(FC201:FC397),ROW(FC201:FC397),"")))</f>
        <v>0</v>
      </c>
      <c r="FE201" s="12">
        <f>IF('Données projet'!$A$228&gt;35,FE200+FD201-FM200,IF(A201&lt;'Données projet'!$A$228,$FB$205^A201,IF(A201='Données projet'!$A$228,'Données projet'!$B$228,FE200+FD201-FM200)))</f>
        <v>8.5265128291212022E-14</v>
      </c>
      <c r="FF201" s="17">
        <f>FE201*VLOOKUP('Données projet'!$B$16,Paramètres!$A$1:$I$89,3,0)*VLOOKUP('Données projet'!$B$16,Paramètres!$A$1:$I$89,5,0)</f>
        <v>8.9119112089974823E-14</v>
      </c>
      <c r="FG201" s="13">
        <f t="shared" si="347"/>
        <v>1.3568952080113142E-12</v>
      </c>
      <c r="FH201" s="20">
        <f t="shared" si="348"/>
        <v>2.5184749408430782E-12</v>
      </c>
      <c r="FI201" s="59">
        <f t="shared" si="364"/>
        <v>293.33333333333582</v>
      </c>
      <c r="FJ201" s="59">
        <f ca="1">AVERAGE(OFFSET($FI$3,0,0,'Données projet'!$E$16+1,1))-AVERAGE(OFFSET($H$3,0,0,'Données projet'!$E$16+1,1))</f>
        <v>259.03906550253788</v>
      </c>
      <c r="FK201" s="59">
        <f t="shared" si="406"/>
        <v>235.54542903570831</v>
      </c>
      <c r="FL201" s="15">
        <f>IF(ISNA(VLOOKUP(A201,'Données projet'!$A$227:$I$247,3,0)),0,VLOOKUP(A201,'Données projet'!$A$227:$I$247,3,0))</f>
        <v>0</v>
      </c>
      <c r="FM201" s="15">
        <f>IF(ISNA(VLOOKUP(A201,'Données projet'!$A$227:$I$247,4,0)),0,VLOOKUP(A201,'Données projet'!$A$227:$I$247,4,0))</f>
        <v>0</v>
      </c>
      <c r="FN201" s="16">
        <f>IF(ISNA(VLOOKUP(A201,'Données projet'!$A$227:$I$247,5,0)),0%,VLOOKUP(A201,'Données projet'!$A$227:$I$247,5,0)*VLOOKUP('Données projet'!$B$16,Paramètres!$A$1:$I$89,7,0))</f>
        <v>0</v>
      </c>
      <c r="FO201" s="16">
        <f>IF(ISNA(VLOOKUP(A201,'Données projet'!$A$227:$I$247,6,0)),0%,VLOOKUP(A201,'Données projet'!$A$227:$I$247,6,0)*VLOOKUP('Données projet'!$B$16,Paramètres!$A$1:$I$89,7,0))</f>
        <v>0</v>
      </c>
      <c r="FP201" s="16">
        <f>IF(ISNA(VLOOKUP(A201,'Données projet'!$A$227:$I$247,7,0)),0%,VLOOKUP(A201,'Données projet'!$A$227:$I$247,7,0))</f>
        <v>0</v>
      </c>
      <c r="FQ201" s="21">
        <f>EXP(-LN(2)/35)*FQ200+(1-EXP(-LN(2)/35))/(LN(2)/35)*FM201*FN201*VLOOKUP('Données projet'!$B$16,Paramètres!$A$1:$I$89,3,0)*0.475*44/12</f>
        <v>10.127638103280038</v>
      </c>
      <c r="FR201" s="21">
        <f>EXP(-LN(2)/25)*FR200+(1-EXP(-LN(2)/25))/(LN(2)/25)*Calculateur!FM201*Calculateur!FO201*VLOOKUP('Données projet'!$B$16,Paramètres!$A$1:$I$89,3,0)*0.475*44/12</f>
        <v>3.8779735069220878</v>
      </c>
      <c r="FS201" s="21">
        <f>EXP(-LN(2)/2)*FS200+(1-EXP(-LN(2)/2))/(LN(2)/2)*FM201*FP201*VLOOKUP('Données projet'!$B$16,Paramètres!$A$1:$I$89,3,0)*0.475*44/12</f>
        <v>0</v>
      </c>
      <c r="FT201" s="22">
        <f t="shared" si="349"/>
        <v>14.005611610202125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projet'!$A$253:$I$273,2,0)</f>
        <v>#N/A</v>
      </c>
      <c r="FX201" s="12" t="e">
        <f>VLOOKUP(A201,'Données projet'!$A$253:$I$273,9,0)</f>
        <v>#N/A</v>
      </c>
      <c r="FY201" s="12">
        <f t="array" ref="FY201">INDEX(FX:FX,MIN(IF(ISNUMBER(FX201:FX397),ROW(FX201:FX397),"")))</f>
        <v>0</v>
      </c>
      <c r="FZ201" s="12">
        <f>IF('Données projet'!$A$254&gt;35,FZ200+FY201-GH200,IF(A201&lt;'Données projet'!$A$254,$FW$205^A201,IF(A201='Données projet'!$A$254,'Données projet'!$B$254,FZ200+FY201-GH200)))</f>
        <v>-1.7053025658242404E-13</v>
      </c>
      <c r="GA201" s="17">
        <f>FZ201*VLOOKUP('Données projet'!$B$17,Paramètres!$A$1:$I$89,3,0)*VLOOKUP('Données projet'!$B$17,Paramètres!$A$1:$I$89,5,0)</f>
        <v>-1.4897523215040567E-13</v>
      </c>
      <c r="GB201" s="13" t="e">
        <f t="shared" si="350"/>
        <v>#NUM!</v>
      </c>
      <c r="GC201" s="20" t="e">
        <f t="shared" si="351"/>
        <v>#NUM!</v>
      </c>
      <c r="GD201" s="59" t="e">
        <f t="shared" si="365"/>
        <v>#NUM!</v>
      </c>
      <c r="GE201" s="59">
        <f ca="1">AVERAGE(OFFSET($GD$3,0,0,'Données projet'!$E$17+1,1))-AVERAGE(OFFSET($H$3,0,0,'Données projet'!$E$17+1,1))</f>
        <v>245.1983232777614</v>
      </c>
      <c r="GF201" s="59">
        <f t="shared" si="407"/>
        <v>242.34010522344573</v>
      </c>
      <c r="GG201" s="15">
        <f>IF(ISNA(VLOOKUP(A201,'Données projet'!$A$253:$I$273,3,0)),0,VLOOKUP(A201,'Données projet'!$A$253:$I$273,3,0))</f>
        <v>0</v>
      </c>
      <c r="GH201" s="15">
        <f>IF(ISNA(VLOOKUP(A201,'Données projet'!$A$253:$I$273,4,0)),0,VLOOKUP(A201,'Données projet'!$A$253:$I$273,4,0))</f>
        <v>0</v>
      </c>
      <c r="GI201" s="16">
        <f>IF(ISNA(VLOOKUP(A201,'Données projet'!$A$253:$I$273,5,0)),0%,VLOOKUP(A201,'Données projet'!$A$253:$I$273,5,0)*VLOOKUP('Données projet'!$B$17,Paramètres!$A$1:$I$89,7,0))</f>
        <v>0</v>
      </c>
      <c r="GJ201" s="16">
        <f>IF(ISNA(VLOOKUP(A201,'Données projet'!$A$253:$I$273,6,0)),0%,VLOOKUP(A201,'Données projet'!$A$253:$I$273,6,0)*VLOOKUP('Données projet'!$B$17,Paramètres!$A$1:$I$89,7,0))</f>
        <v>0</v>
      </c>
      <c r="GK201" s="16">
        <f>IF(ISNA(VLOOKUP(A201,'Données projet'!$A$253:$I$273,7,0)),0%,VLOOKUP(A201,'Données projet'!$A$253:$I$273,7,0))</f>
        <v>0</v>
      </c>
      <c r="GL201" s="21">
        <f>EXP(-LN(2)/35)*GL200+(1-EXP(-LN(2)/35))/(LN(2)/35)*GH201*GI201*VLOOKUP('Données projet'!$B$17,Paramètres!$A$1:$I$89,3,0)*0.475*44/12</f>
        <v>11.906428125614889</v>
      </c>
      <c r="GM201" s="21">
        <f>EXP(-LN(2)/25)*GM200+(1-EXP(-LN(2)/25))/(LN(2)/25)*Calculateur!GH201*Calculateur!GJ201*VLOOKUP('Données projet'!$B$17,Paramètres!$A$1:$I$89,3,0)*0.475*44/12</f>
        <v>0.82630168055438857</v>
      </c>
      <c r="GN201" s="21">
        <f>EXP(-LN(2)/2)*GN200+(1-EXP(-LN(2)/2))/(LN(2)/2)*GH201*GK201*VLOOKUP('Données projet'!$B$17,Paramètres!$A$1:$I$89,3,0)*0.475*44/12</f>
        <v>0</v>
      </c>
      <c r="GO201" s="21">
        <f t="shared" si="352"/>
        <v>12.732729806169278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projet'!$A$279:$I$299,2,0)</f>
        <v>#N/A</v>
      </c>
      <c r="GS201" s="12" t="e">
        <f>VLOOKUP(A201,'Données projet'!$A$279:$I$299,9,0)</f>
        <v>#N/A</v>
      </c>
      <c r="GT201" s="12">
        <f t="array" ref="GT201">INDEX(GS:GS,MIN(IF(ISNUMBER(GS201:GS397),ROW(GS201:GS397),"")))</f>
        <v>0</v>
      </c>
      <c r="GU201" s="12">
        <f>IF('Données projet'!$A$280&gt;35,GU200+GT201-HC200,IF(A201&lt;'Données projet'!$A$280,$GR$205^A201,IF(A201='Données projet'!$A$280,'Données projet'!$B$280,GU200+GT201-HC200)))</f>
        <v>-1.1368683772161603E-13</v>
      </c>
      <c r="GV201" s="17">
        <f>GU201*VLOOKUP('Données projet'!$B$18,Paramètres!$A$1:$I$89,3,0)*VLOOKUP('Données projet'!$B$18,Paramètres!$A$1:$I$89,5,0)</f>
        <v>-4.5815795601811263E-14</v>
      </c>
      <c r="GW201" s="13" t="e">
        <f t="shared" si="353"/>
        <v>#NUM!</v>
      </c>
      <c r="GX201" s="20" t="e">
        <f t="shared" si="354"/>
        <v>#NUM!</v>
      </c>
      <c r="GY201" s="59" t="e">
        <f t="shared" si="366"/>
        <v>#NUM!</v>
      </c>
      <c r="GZ201" s="59">
        <f ca="1">AVERAGE(OFFSET($GY$3,0,0,'Données projet'!$E$18+1,1))-AVERAGE(OFFSET($H$3,0,0,'Données projet'!$E$18+1,1))</f>
        <v>324.36162935850876</v>
      </c>
      <c r="HA201" s="59">
        <f t="shared" si="408"/>
        <v>265.23571072429735</v>
      </c>
      <c r="HB201" s="15">
        <f>IF(ISNA(VLOOKUP(A201,'Données projet'!$A$279:$I$299,3,0)),0,VLOOKUP(A201,'Données projet'!$A$279:$I$299,3,0))</f>
        <v>0</v>
      </c>
      <c r="HC201" s="15">
        <f>IF(ISNA(VLOOKUP(A201,'Données projet'!$A$279:$I$299,4,0)),0,VLOOKUP(A201,'Données projet'!$A$279:$I$299,4,0))</f>
        <v>0</v>
      </c>
      <c r="HD201" s="16">
        <f>IF(ISNA(VLOOKUP(A201,'Données projet'!$A$279:$I$299,5,0)),0%,VLOOKUP(A201,'Données projet'!$A$279:$I$299,5,0)*VLOOKUP('Données projet'!$B$18,Paramètres!$A$1:$I$89,7,0))</f>
        <v>0</v>
      </c>
      <c r="HE201" s="16">
        <f>IF(ISNA(VLOOKUP(A201,'Données projet'!$A$279:$I$299,6,0)),0%,VLOOKUP(A201,'Données projet'!$A$279:$I$299,6,0)*VLOOKUP('Données projet'!$B$18,Paramètres!$A$1:$I$89,7,0))</f>
        <v>0</v>
      </c>
      <c r="HF201" s="16">
        <f>IF(ISNA(VLOOKUP($A201,'Données projet'!$A$279:$I$299,7,0)),0%,VLOOKUP($A201,'Données projet'!$A$279:$I$299,7,0))</f>
        <v>0</v>
      </c>
      <c r="HG201" s="21">
        <f>EXP(-LN(2)/35)*HG200+(1-EXP(-LN(2)/35))/(LN(2)/35)*HC201*HD201*VLOOKUP('Données projet'!$B$18,Paramètres!$A$1:$I$89,3,0)*0.475*44/12</f>
        <v>22.815828852951967</v>
      </c>
      <c r="HH201" s="21">
        <f>EXP(-LN(2)/25)*HH200+(1-EXP(-LN(2)/25))/(LN(2)/25)*Calculateur!HC201*Calculateur!HE201*VLOOKUP('Données projet'!$B$18,Paramètres!$A$1:$I$89,3,0)*0.475*44/12</f>
        <v>0.91899526609795557</v>
      </c>
      <c r="HI201" s="21">
        <f>EXP(-LN(2)/2)*HI200+(1-EXP(-LN(2)/2))/(LN(2)/2)*HC201*HF201*VLOOKUP('Données projet'!$B$18,Paramètres!$A$1:$I$89,3,0)*0.475*44/12</f>
        <v>1.4827045336958263E-17</v>
      </c>
      <c r="HJ201" s="22">
        <f t="shared" si="355"/>
        <v>23.734824119049922</v>
      </c>
      <c r="HK201" s="74">
        <f>('Scénario référence'!$F$8+'Scénario référence'!$F$9+'Scénario référence'!$B$17+'Scénario référence'!$B$9+'Scénario référence'!$B$10)*70+IF((45+25*(1-EXP(-0.0175*$A201)))&lt;70,'Scénario référence'!$B$16*(45+25*(1-EXP(-0.0175*$A201))),70*'Scénario référence'!$B$16)+IF((32+38*(1-EXP(-0.0175*$A201)))&lt;70,'Scénario référence'!$B$18*(32+38*(1-EXP(-0.0175*$A201))),70*'Scénario référence'!$B$18)</f>
        <v>70</v>
      </c>
      <c r="HL201" s="12">
        <f>IF($A201&gt;30,10,('Scénario référence'!$B$16+'Scénario référence'!$B$17+'Scénario référence'!$B$18+'Scénario référence'!$B$9+'Scénario référence'!$B$10)*$A201*10/30+('Scénario référence'!$F$8+'Scénario référence'!$F$9)*10)</f>
        <v>10</v>
      </c>
      <c r="HM201" s="12" t="e">
        <f>VLOOKUP($A201,'Données projet'!$A$304:$I$324,2,0)</f>
        <v>#N/A</v>
      </c>
      <c r="HN201" s="12" t="e">
        <f>VLOOKUP($A201,'Données projet'!$A$304:$I$324,9,0)</f>
        <v>#N/A</v>
      </c>
      <c r="HO201" s="12">
        <f t="array" ref="HO201">INDEX(HN:HN,MIN(IF(ISNUMBER(HN201:HN397),ROW(HN201:HN397),"")))</f>
        <v>0</v>
      </c>
      <c r="HP201" s="12">
        <f>IF('Données projet'!$A$304&gt;35,HP200+HO201-HX200,IF($A201&lt;'Données projet'!$A$304,$CQ$205^$A201,IF($A201='Données projet'!$A$304,'Données projet'!$B$304,HP200+HO201-HX200)))</f>
        <v>0</v>
      </c>
      <c r="HQ201" s="17">
        <f>HP201*VLOOKUP('Données projet'!$B$19,Paramètres!$A$1:$I$89,3,0)*VLOOKUP('Données projet'!$B$19,Paramètres!$A$1:$I$89,5,0)</f>
        <v>0</v>
      </c>
      <c r="HR201" s="13" t="e">
        <f t="shared" si="409"/>
        <v>#NUM!</v>
      </c>
      <c r="HS201" s="14" t="e">
        <f t="shared" si="367"/>
        <v>#NUM!</v>
      </c>
      <c r="HT201" s="59" t="e">
        <f t="shared" si="368"/>
        <v>#NUM!</v>
      </c>
      <c r="HU201" s="59">
        <f ca="1">AVERAGE(OFFSET(HT$3,0,0,'Données projet'!$E$19+1,1))-AVERAGE(OFFSET($H$3,0,0,'Données projet'!$E$19+1,1))</f>
        <v>91.60721429656013</v>
      </c>
      <c r="HV201" s="59">
        <f t="shared" si="410"/>
        <v>258.94957804210856</v>
      </c>
      <c r="HW201" s="15">
        <f>IF(ISNA(VLOOKUP($A201,'Données projet'!$A$304:$I$324,3,0)),0,VLOOKUP($A201,'Données projet'!$A$304:$I$324,3,0))</f>
        <v>0</v>
      </c>
      <c r="HX201" s="15">
        <f>IF(ISNA(VLOOKUP($A201,'Données projet'!$A$304:$I$324,4,0)),0,VLOOKUP($A201,'Données projet'!$A$304:$I$324,4,0))</f>
        <v>0</v>
      </c>
      <c r="HY201" s="16">
        <f>IF(ISNA(VLOOKUP($A201,'Données projet'!$A$304:$I$324,5,0)),0%,VLOOKUP($A201,'Données projet'!$A$304:$I$324,5,0)*VLOOKUP('Données projet'!$B$19,Paramètres!$A$1:$I$89,7,0))</f>
        <v>0</v>
      </c>
      <c r="HZ201" s="16">
        <f>IF(ISNA(VLOOKUP($A201,'Données projet'!$A$304:$I$324,6,0)),0%,VLOOKUP($A201,'Données projet'!$A$304:$I$324,6,0)*VLOOKUP('Données projet'!$B$19,Paramètres!$A$1:$I$89,7,0))</f>
        <v>0</v>
      </c>
      <c r="IA201" s="16">
        <f>IF(ISNA(VLOOKUP($A201,'Données projet'!$A$304:$I$324,7,0)),0%,VLOOKUP($A201,'Données projet'!$A$304:$I$324,7,0))</f>
        <v>0</v>
      </c>
      <c r="IB201" s="21">
        <f>EXP(-LN(2)/35)*IB200+(1-EXP(-LN(2)/35))/(LN(2)/35)*HX201*HY201*VLOOKUP('Données projet'!$B$19,Paramètres!$A$1:$I$89,3,0)*0.475*44/12</f>
        <v>1.7708873984962203</v>
      </c>
      <c r="IC201" s="21">
        <f>EXP(-LN(2)/25)*IC200+(1-EXP(-LN(2)/25))/(LN(2)/25)*Calculateur!HX201*Calculateur!HZ201*VLOOKUP('Données projet'!$B$19,Paramètres!$A$1:$I$89,3,0)*0.475*44/12</f>
        <v>9.2276218491893061E-2</v>
      </c>
      <c r="ID201" s="21">
        <f>EXP(-LN(2)/2)*ID200+(1-EXP(-LN(2)/2))/(LN(2)/2)*HX201*IA201*VLOOKUP('Données projet'!$B$19,Paramètres!$A$1:$I$89,3,0)*0.475*44/12</f>
        <v>2.9615770383175082E-26</v>
      </c>
      <c r="IE201" s="22">
        <f t="shared" si="369"/>
        <v>1.8631636169881134</v>
      </c>
      <c r="IF201" s="74">
        <f>('Scénario référence'!$F$8+'Scénario référence'!$F$9+'Scénario référence'!$B$17+'Scénario référence'!$B$9+'Scénario référence'!$B$10)*70+IF((45+25*(1-EXP(-0.0175*$A201)))&lt;70,'Scénario référence'!$B$16*(45+25*(1-EXP(-0.0175*$A201))),70*'Scénario référence'!$B$16)+IF((32+38*(1-EXP(-0.0175*$A201)))&lt;70,'Scénario référence'!$B$18*(32+38*(1-EXP(-0.0175*$A201))),70*'Scénario référence'!$B$18)</f>
        <v>70</v>
      </c>
      <c r="IG201" s="12">
        <f>IF($A201&gt;30,10,('Scénario référence'!$B$16+'Scénario référence'!$B$17+'Scénario référence'!$B$18+'Scénario référence'!$B$9+'Scénario référence'!$B$10)*$A201*10/30+('Scénario référence'!$F$8+'Scénario référence'!$F$9)*10)</f>
        <v>10</v>
      </c>
      <c r="IH201" s="12" t="e">
        <f>VLOOKUP($A201,'Données projet'!$A$330:$I$350,2,0)</f>
        <v>#N/A</v>
      </c>
      <c r="II201" s="12" t="e">
        <f>VLOOKUP($A201,'Données projet'!$A$330:$I$350,9,0)</f>
        <v>#N/A</v>
      </c>
      <c r="IJ201" s="12">
        <f t="array" ref="IJ201">INDEX(II:II,MIN(IF(ISNUMBER(II201:II397),ROW(II201:II397),"")))</f>
        <v>0</v>
      </c>
      <c r="IK201" s="12">
        <f>IF('Données projet'!$A$330&gt;35,IK200+IJ201-IS200,IF($A201&lt;'Données projet'!$A$330,$CQ$205^$A201,IF($A201='Données projet'!$A$330,'Données projet'!$B$330,IK200+IJ201-IS200)))</f>
        <v>0</v>
      </c>
      <c r="IL201" s="17">
        <f>IK201*VLOOKUP('Données projet'!$B$20,Paramètres!$A$1:$I$89,3,0)*VLOOKUP('Données projet'!$B$20,Paramètres!$A$1:$I$89,5,0)</f>
        <v>0</v>
      </c>
      <c r="IM201" s="13" t="e">
        <f t="shared" si="411"/>
        <v>#NUM!</v>
      </c>
      <c r="IN201" s="20" t="e">
        <f t="shared" si="370"/>
        <v>#NUM!</v>
      </c>
      <c r="IO201" s="59" t="e">
        <f t="shared" si="371"/>
        <v>#NUM!</v>
      </c>
      <c r="IP201" s="59">
        <f ca="1">AVERAGE(OFFSET(IO$3,0,0,'Données projet'!$E$20+1,1))-AVERAGE(OFFSET($H$3,0,0,'Données projet'!$E$20+1,1))</f>
        <v>91.60721429656013</v>
      </c>
      <c r="IQ201" s="59">
        <f t="shared" si="412"/>
        <v>258.94957804210856</v>
      </c>
      <c r="IR201" s="15">
        <f>IF(ISNA(VLOOKUP($A201,'Données projet'!$A$330:$I$350,3,0)),0,VLOOKUP($A201,'Données projet'!$A$330:$I$350,3,0))</f>
        <v>0</v>
      </c>
      <c r="IS201" s="15">
        <f>IF(ISNA(VLOOKUP($A201,'Données projet'!$A$330:$I$350,4,0)),0,VLOOKUP($A201,'Données projet'!$A$330:$I$350,4,0))</f>
        <v>0</v>
      </c>
      <c r="IT201" s="16">
        <f>IF(ISNA(VLOOKUP($A201,'Données projet'!$A$330:$I$350,5,0)),0%,VLOOKUP($A201,'Données projet'!$A$330:$I$350,5,0)*VLOOKUP('Données projet'!$B$20,Paramètres!$A$1:$I$89,7,0))</f>
        <v>0</v>
      </c>
      <c r="IU201" s="16">
        <f>IF(ISNA(VLOOKUP($A201,'Données projet'!$A$330:$I$350,6,0)),0%,VLOOKUP($A201,'Données projet'!$A$330:$I$350,6,0)*VLOOKUP('Données projet'!$B$20,Paramètres!$A$1:$I$89,7,0))</f>
        <v>0</v>
      </c>
      <c r="IV201" s="16">
        <f>IF(ISNA(VLOOKUP($A201,'Données projet'!$A$330:$I$350,7,0)),0%,VLOOKUP($A201,'Données projet'!$A$330:$I$350,7,0))</f>
        <v>0</v>
      </c>
      <c r="IW201" s="21">
        <f>EXP(-LN(2)/35)*IW200+(1-EXP(-LN(2)/35))/(LN(2)/35)*IS201*IT201*VLOOKUP('Données projet'!$B$20,Paramètres!$A$1:$I$89,3,0)*0.475*44/12</f>
        <v>1.7708873984962203</v>
      </c>
      <c r="IX201" s="21">
        <f>EXP(-LN(2)/25)*IX200+(1-EXP(-LN(2)/25))/(LN(2)/25)*Calculateur!IS201*Calculateur!IU201*VLOOKUP('Données projet'!$B$20,Paramètres!$A$1:$I$89,3,0)*0.475*44/12</f>
        <v>9.2276218491893061E-2</v>
      </c>
      <c r="IY201" s="21">
        <f>EXP(-LN(2)/2)*IY200+(1-EXP(-LN(2)/2))/(LN(2)/2)*IS201*IV201*VLOOKUP('Données projet'!$B$20,Paramètres!$A$1:$I$89,3,0)*0.475*44/12</f>
        <v>2.9615770383175082E-26</v>
      </c>
      <c r="IZ201" s="22">
        <f t="shared" si="372"/>
        <v>1.8631636169881134</v>
      </c>
      <c r="JA201" s="74">
        <f>('Scénario référence'!$F$8+'Scénario référence'!$F$9+'Scénario référence'!$B$17+'Scénario référence'!$B$9+'Scénario référence'!$B$10)*70+IF((45+25*(1-EXP(-0.0175*$A201)))&lt;70,'Scénario référence'!$B$16*(45+25*(1-EXP(-0.0175*$A201))),70*'Scénario référence'!$B$16)+IF((32+38*(1-EXP(-0.0175*$A201)))&lt;70,'Scénario référence'!$B$18*(32+38*(1-EXP(-0.0175*$A201))),70*'Scénario référence'!$B$18)</f>
        <v>70</v>
      </c>
      <c r="JB201" s="12">
        <f>IF($A201&gt;30,10,('Scénario référence'!$B$16+'Scénario référence'!$B$17+'Scénario référence'!$B$18+'Scénario référence'!$B$9+'Scénario référence'!$B$10)*$A201*10/30+('Scénario référence'!$F$8+'Scénario référence'!$F$9)*10)</f>
        <v>10</v>
      </c>
      <c r="JC201" s="12" t="e">
        <f>VLOOKUP($A201,'Données projet'!$A$356:$I$376,2,0)</f>
        <v>#N/A</v>
      </c>
      <c r="JD201" s="12" t="e">
        <f>VLOOKUP($A201,'Données projet'!$A$356:$I$376,9,0)</f>
        <v>#N/A</v>
      </c>
      <c r="JE201" s="12">
        <f t="array" ref="JE201">INDEX(JD:JD,MIN(IF(ISNUMBER(JD201:JD397),ROW(JD201:JD397),"")))</f>
        <v>0</v>
      </c>
      <c r="JF201" s="12">
        <f>IF('Données projet'!$A$356&gt;35,JF200+JE201-JN200,IF($A201&lt;'Données projet'!$A$356,$CQ$205^$A201,IF($A201='Données projet'!$A$356,'Données projet'!$B$356,JF200+JE201-JN200)))</f>
        <v>-1.3073986337985843E-12</v>
      </c>
      <c r="JG201" s="17">
        <f>JF201*VLOOKUP('Données projet'!$B$21,Paramètres!$A$1:$I$89,3,0)*VLOOKUP('Données projet'!$B$21,Paramètres!$A$1:$I$89,5,0)</f>
        <v>-1.0605617717374117E-12</v>
      </c>
      <c r="JH201" s="13" t="e">
        <f t="shared" si="413"/>
        <v>#NUM!</v>
      </c>
      <c r="JI201" s="20" t="e">
        <f t="shared" si="373"/>
        <v>#NUM!</v>
      </c>
      <c r="JJ201" s="59" t="e">
        <f t="shared" si="374"/>
        <v>#NUM!</v>
      </c>
      <c r="JK201" s="59">
        <f ca="1">AVERAGE(OFFSET($JJ$3,0,0,'Données projet'!$E$22+1,1))-AVERAGE(OFFSET($H$3,0,0,'Données projet'!$E$22+1,1))</f>
        <v>353.35574633294613</v>
      </c>
      <c r="JL201" s="59">
        <f t="shared" si="414"/>
        <v>170.36796666474726</v>
      </c>
      <c r="JM201" s="15">
        <f>IF(ISNA(VLOOKUP($A201,'Données projet'!$A$356:$I$376,3,0)),0,VLOOKUP($A201,'Données projet'!$A$356:$I$376,3,0))</f>
        <v>0</v>
      </c>
      <c r="JN201" s="15">
        <f>IF(ISNA(VLOOKUP($A201,'Données projet'!$A$356:$I$376,4,0)),0,VLOOKUP($A201,'Données projet'!$A$356:$I$376,4,0))</f>
        <v>0</v>
      </c>
      <c r="JO201" s="16">
        <f>IF(ISNA(VLOOKUP($A201,'Données projet'!$A$356:$I$376,5,0)),0%,VLOOKUP($A201,'Données projet'!$A$356:$I$376,5,0)*VLOOKUP('Données projet'!$B$21,Paramètres!$A$1:$I$89,7,0))</f>
        <v>0</v>
      </c>
      <c r="JP201" s="16">
        <f>IF(ISNA(VLOOKUP($A201,'Données projet'!$A$356:$I$376,6,0)),0%,VLOOKUP($A201,'Données projet'!$A$356:$I$376,6,0)*VLOOKUP('Données projet'!$B$21,Paramètres!$A$1:$I$89,7,0))</f>
        <v>0</v>
      </c>
      <c r="JQ201" s="16">
        <f>IF(ISNA(VLOOKUP($A201,'Données projet'!$A$356:$I$376,7,0)),0%,VLOOKUP($A201,'Données projet'!$A$356:$I$376,7,0))</f>
        <v>0</v>
      </c>
      <c r="JR201" s="21">
        <f>EXP(-LN(2)/35)*JR200+(1-EXP(-LN(2)/35))/(LN(2)/35)*JN201*JO201*VLOOKUP('Données projet'!$B$21,Paramètres!$A$1:$I$89,3,0)*0.475*44/12</f>
        <v>28.389965612552349</v>
      </c>
      <c r="JS201" s="21">
        <f>EXP(-LN(2)/25)*JS200+(1-EXP(-LN(2)/25))/(LN(2)/25)*Calculateur!JN201*Calculateur!JP201*VLOOKUP('Données projet'!$B$21,Paramètres!$A$1:$I$89,3,0)*0.475*44/12</f>
        <v>20.196159154578982</v>
      </c>
      <c r="JT201" s="21">
        <f>EXP(-LN(2)/2)*JT200+(1-EXP(-LN(2)/2))/(LN(2)/2)*JN201*JQ201*VLOOKUP('Données projet'!$B$21,Paramètres!$A$1:$I$89,3,0)*0.475*44/12</f>
        <v>2.0438985175825453E-6</v>
      </c>
      <c r="JU201" s="18">
        <f t="shared" si="375"/>
        <v>48.58612681102985</v>
      </c>
      <c r="JV201" s="74">
        <f>('Scénario référence'!$F$8+'Scénario référence'!$F$9+'Scénario référence'!$B$17+'Scénario référence'!$B$9+'Scénario référence'!$B$10)*70+IF((45+25*(1-EXP(-0.0175*$A201)))&lt;70,'Scénario référence'!$B$16*(45+25*(1-EXP(-0.0175*$A201))),70*'Scénario référence'!$B$16)+IF((32+38*(1-EXP(-0.0175*$A201)))&lt;70,'Scénario référence'!$B$18*(32+38*(1-EXP(-0.0175*$A201))),70*'Scénario référence'!$B$18)</f>
        <v>70</v>
      </c>
      <c r="JW201" s="12">
        <f>IF($A201&gt;30,10,('Scénario référence'!$B$16+'Scénario référence'!$B$17+'Scénario référence'!$B$18+'Scénario référence'!$B$9+'Scénario référence'!$B$10)*$A201*10/30+('Scénario référence'!$F$8+'Scénario référence'!$F$9)*10)</f>
        <v>10</v>
      </c>
      <c r="JX201" s="12" t="e">
        <f>VLOOKUP($A201,'Données projet'!$A$382:$I$402,2,0)</f>
        <v>#N/A</v>
      </c>
      <c r="JY201" s="12" t="e">
        <f>VLOOKUP($A201,'Données projet'!$A$382:$I$402,9,0)</f>
        <v>#N/A</v>
      </c>
      <c r="JZ201" s="12">
        <f t="array" ref="JZ201">INDEX(JY:JY,MIN(IF(ISNUMBER(JY201:JY397),ROW(JY201:JY397),"")))</f>
        <v>0</v>
      </c>
      <c r="KA201" s="12">
        <f>IF('Données projet'!$A$382&gt;35,KA200+JZ201-KI200,IF($A201&lt;'Données projet'!$A$382,$CQ$205^$A201,IF($A201='Données projet'!$A$382,'Données projet'!$B$382,KA200+JZ201-KI200)))</f>
        <v>5.6843418860808015E-13</v>
      </c>
      <c r="KB201" s="17">
        <f>KA201*VLOOKUP('Données projet'!$B$22,Paramètres!$A$1:$I$89,3,0)*VLOOKUP('Données projet'!$B$22,Paramètres!$A$1:$I$89,5,0)</f>
        <v>3.8130565371830017E-13</v>
      </c>
      <c r="KC201" s="13">
        <f t="shared" si="415"/>
        <v>4.9019074112354236E-12</v>
      </c>
      <c r="KD201" s="20">
        <f t="shared" si="376"/>
        <v>9.2015960881277352E-12</v>
      </c>
      <c r="KE201" s="59">
        <f t="shared" si="377"/>
        <v>293.33333333334252</v>
      </c>
      <c r="KF201" s="59">
        <f ca="1">AVERAGE(OFFSET($KE$3,0,0,'Données projet'!$E$22+1,1))-AVERAGE(OFFSET($H$3,0,0,'Données projet'!$E$22+1,1))</f>
        <v>193.91714772848269</v>
      </c>
      <c r="KG201" s="59">
        <f t="shared" si="416"/>
        <v>159.20429420478047</v>
      </c>
      <c r="KH201" s="15">
        <f>IF(ISNA(VLOOKUP($A201,'Données projet'!$A$382:$I$402,3,0)),0,VLOOKUP($A201,'Données projet'!$A$382:$I$402,3,0))</f>
        <v>0</v>
      </c>
      <c r="KI201" s="15">
        <f>IF(ISNA(VLOOKUP($A201,'Données projet'!$A$382:$I$402,4,0)),0,VLOOKUP($A201,'Données projet'!$A$382:$I$402,4,0))</f>
        <v>0</v>
      </c>
      <c r="KJ201" s="16">
        <f>IF(ISNA(VLOOKUP($A201,'Données projet'!$A$382:$I$402,5,0)),0%,VLOOKUP($A201,'Données projet'!$A$382:$I$402,5,0)*VLOOKUP('Données projet'!$B$22,Paramètres!$A$1:$I$89,7,0))</f>
        <v>0</v>
      </c>
      <c r="KK201" s="16">
        <f>IF(ISNA(VLOOKUP($A201,'Données projet'!$A$382:$I$402,6,0)),0%,VLOOKUP($A201,'Données projet'!$A$382:$I$402,6,0)*VLOOKUP('Données projet'!$B$22,Paramètres!$A$1:$I$89,7,0))</f>
        <v>0</v>
      </c>
      <c r="KL201" s="16">
        <f>IF(ISNA(VLOOKUP($A201,'Données projet'!$A$382:$I$402,7,0)),0%,VLOOKUP($A201,'Données projet'!$A$382:$I$402,7,0))</f>
        <v>0</v>
      </c>
      <c r="KM201" s="21">
        <f>EXP(-LN(2)/35)*KM200+(1-EXP(-LN(2)/35))/(LN(2)/35)*KI201*KJ201*VLOOKUP('Données projet'!$B$22,Paramètres!$A$1:$I$89,3,0)*0.475*44/12</f>
        <v>41.45248317177284</v>
      </c>
      <c r="KN201" s="21">
        <f>EXP(-LN(2)/25)*KN200+(1-EXP(-LN(2)/25))/(LN(2)/25)*Calculateur!KI201*Calculateur!KK201*VLOOKUP('Données projet'!$B$22,Paramètres!$A$1:$I$89,3,0)*0.475*44/12</f>
        <v>0</v>
      </c>
      <c r="KO201" s="21">
        <f>EXP(-LN(2)/2)*KO200+(1-EXP(-LN(2)/2))/(LN(2)/2)*KI201*KL201*VLOOKUP('Données projet'!$B$22,Paramètres!$A$1:$I$89,3,0)*0.475*44/12</f>
        <v>0</v>
      </c>
      <c r="KP201" s="22">
        <f t="shared" si="378"/>
        <v>41.45248317177284</v>
      </c>
      <c r="KQ201" s="74">
        <f>('Scénario référence'!$F$8+'Scénario référence'!$F$9+'Scénario référence'!$B$17+'Scénario référence'!$B$9+'Scénario référence'!$B$10)*70+IF((45+25*(1-EXP(-0.0175*$A201)))&lt;70,'Scénario référence'!$B$16*(45+25*(1-EXP(-0.0175*$A201))),70*'Scénario référence'!$B$16)+IF((32+38*(1-EXP(-0.0175*$A201)))&lt;70,'Scénario référence'!$B$18*(32+38*(1-EXP(-0.0175*$A201))),70*'Scénario référence'!$B$18)</f>
        <v>70</v>
      </c>
      <c r="KR201" s="12">
        <f>IF($A201&gt;30,10,('Scénario référence'!$B$16+'Scénario référence'!$B$17+'Scénario référence'!$B$18+'Scénario référence'!$B$9+'Scénario référence'!$B$10)*$A201*10/30+('Scénario référence'!$F$8+'Scénario référence'!$F$9)*10)</f>
        <v>10</v>
      </c>
      <c r="KS201" s="12" t="e">
        <f>VLOOKUP($A201,'Données projet'!$A$408:$I$428,2,0)</f>
        <v>#N/A</v>
      </c>
      <c r="KT201" s="12" t="e">
        <f>VLOOKUP($A201,'Données projet'!$A$408:$I$428,9,0)</f>
        <v>#N/A</v>
      </c>
      <c r="KU201" s="12">
        <f t="array" ref="KU201">INDEX(KT:KT,MIN(IF(ISNUMBER(KT201:KT397),ROW(KT201:KT397),"")))</f>
        <v>0</v>
      </c>
      <c r="KV201" s="12">
        <f>IF('Données projet'!$A$408&gt;35,KV200+KU201-LD200,IF($A201&lt;'Données projet'!$A$408,$CQ$205^$A201,IF($A201='Données projet'!$A$408,'Données projet'!$B$408,KV200+KU201-LD200)))</f>
        <v>-1.1368683772161603E-13</v>
      </c>
      <c r="KW201" s="17">
        <f>KV201*VLOOKUP('Données projet'!$B$23,Paramètres!$A$1:$I$89,3,0)*VLOOKUP('Données projet'!$B$23,Paramètres!$A$1:$I$89,5,0)</f>
        <v>-9.9316821433603781E-14</v>
      </c>
      <c r="KX201" s="13" t="e">
        <f t="shared" si="417"/>
        <v>#NUM!</v>
      </c>
      <c r="KY201" s="14" t="e">
        <f t="shared" si="379"/>
        <v>#NUM!</v>
      </c>
      <c r="KZ201" s="59" t="e">
        <f t="shared" si="380"/>
        <v>#NUM!</v>
      </c>
      <c r="LA201" s="59">
        <f ca="1">AVERAGE(OFFSET($KZ$3,0,0,'Données projet'!$E$23+1,1))-AVERAGE(OFFSET($H$3,0,0,'Données projet'!$E$23+1,1))</f>
        <v>248.33596943633819</v>
      </c>
      <c r="LB201" s="59">
        <f t="shared" si="418"/>
        <v>242.34010522344573</v>
      </c>
      <c r="LC201" s="15">
        <f>IF(ISNA(VLOOKUP($A201,'Données projet'!$A$408:$I$428,3,0)),0,VLOOKUP($A201,'Données projet'!$A$408:$I$428,3,0))</f>
        <v>0</v>
      </c>
      <c r="LD201" s="15">
        <f>IF(ISNA(VLOOKUP($A201,'Données projet'!$A$408:$I$428,4,0)),0,VLOOKUP($A201,'Données projet'!$A$408:$I$428,4,0))</f>
        <v>0</v>
      </c>
      <c r="LE201" s="16">
        <f>IF(ISNA(VLOOKUP($A201,'Données projet'!$A$408:$I$428,5,0)),0%,VLOOKUP($A201,'Données projet'!$A$408:$I$428,5,0)*VLOOKUP('Données projet'!$B$23,Paramètres!$A$1:$I$89,7,0))</f>
        <v>0</v>
      </c>
      <c r="LF201" s="16">
        <f>IF(ISNA(VLOOKUP($A201,'Données projet'!$A$408:$I$428,6,0)),0%,VLOOKUP($A201,'Données projet'!$A$408:$I$428,6,0)*VLOOKUP('Données projet'!$B$23,Paramètres!$A$1:$I$89,7,0))</f>
        <v>0</v>
      </c>
      <c r="LG201" s="16">
        <f>IF(ISNA(VLOOKUP($A201,'Données projet'!$A$408:$I$428,7,0)),0%,VLOOKUP($A201,'Données projet'!$A$408:$I$428,7,0))</f>
        <v>0</v>
      </c>
      <c r="LH201" s="21">
        <f>EXP(-LN(2)/35)*LH200+(1-EXP(-LN(2)/35))/(LN(2)/35)*LD201*LE201*VLOOKUP('Données projet'!$B$23,Paramètres!$A$1:$I$89,3,0)*0.475*44/12</f>
        <v>11.906428125614889</v>
      </c>
      <c r="LI201" s="21">
        <f>EXP(-LN(2)/25)*LI200+(1-EXP(-LN(2)/25))/(LN(2)/25)*Calculateur!LD201*Calculateur!LF201*VLOOKUP('Données projet'!$B$23,Paramètres!$A$1:$I$89,3,0)*0.475*44/12</f>
        <v>0.82630168055438857</v>
      </c>
      <c r="LJ201" s="21">
        <f>EXP(-LN(2)/2)*LJ200+(1-EXP(-LN(2)/2))/(LN(2)/2)*LD201*LG201*VLOOKUP('Données projet'!$B$23,Paramètres!$A$1:$I$89,3,0)*0.475*44/12</f>
        <v>0</v>
      </c>
      <c r="LK201" s="22">
        <f t="shared" si="381"/>
        <v>12.732729806169278</v>
      </c>
      <c r="LL201" s="74">
        <f>('Scénario référence'!$F$8+'Scénario référence'!$F$9+'Scénario référence'!$B$17+'Scénario référence'!$B$9+'Scénario référence'!$B$10)*70+IF((45+25*(1-EXP(-0.0175*$A201)))&lt;70,'Scénario référence'!$B$16*(45+25*(1-EXP(-0.0175*$A201))),70*'Scénario référence'!$B$16)+IF((32+38*(1-EXP(-0.0175*$A201)))&lt;70,'Scénario référence'!$B$18*(32+38*(1-EXP(-0.0175*$A201))),70*'Scénario référence'!$B$18)</f>
        <v>70</v>
      </c>
      <c r="LM201" s="12">
        <f>IF($A201&gt;30,10,('Scénario référence'!$B$16+'Scénario référence'!$B$17+'Scénario référence'!$B$18+'Scénario référence'!$B$9+'Scénario référence'!$B$10)*$A201*10/30+('Scénario référence'!$F$8+'Scénario référence'!$F$9)*10)</f>
        <v>10</v>
      </c>
      <c r="LN201" s="12" t="e">
        <f>VLOOKUP($A201,'Données projet'!$A$434:$I$454,2,0)</f>
        <v>#N/A</v>
      </c>
      <c r="LO201" s="12" t="e">
        <f>VLOOKUP($A201,'Données projet'!$A$434:$I$454,9,0)</f>
        <v>#N/A</v>
      </c>
      <c r="LP201" s="12">
        <f t="array" ref="LP201">INDEX(LO:LO,MIN(IF(ISNUMBER(LO201:LO397),ROW(LO201:LO397),"")))</f>
        <v>0</v>
      </c>
      <c r="LQ201" s="12">
        <f>IF('Données projet'!$A$434&gt;35,LQ200+LP201-LY200,IF($A201&lt;'Données projet'!$A$434,$CQ$205^$A201,IF($A201='Données projet'!$A$434,'Données projet'!$B$434,LQ200+LP201-LY200)))</f>
        <v>-4.5474735088646412E-13</v>
      </c>
      <c r="LR201" s="17">
        <f>LQ201*VLOOKUP('Données projet'!$B$24,Paramètres!$A$1:$I$89,3,0)*VLOOKUP('Données projet'!$B$24,Paramètres!$A$1:$I$89,5,0)</f>
        <v>-4.6111381379887462E-13</v>
      </c>
      <c r="LS201" s="13" t="e">
        <f t="shared" si="419"/>
        <v>#NUM!</v>
      </c>
      <c r="LT201" s="14" t="e">
        <f t="shared" si="382"/>
        <v>#NUM!</v>
      </c>
      <c r="LU201" s="59" t="e">
        <f t="shared" si="383"/>
        <v>#NUM!</v>
      </c>
      <c r="LV201" s="59">
        <f ca="1">AVERAGE(OFFSET($LU$3,0,0,'Données projet'!$E$24+1,1))-AVERAGE(OFFSET($H$3,0,0,'Données projet'!$E$24+1,1))</f>
        <v>260.52627655062872</v>
      </c>
      <c r="LW201" s="59">
        <f t="shared" si="420"/>
        <v>159.20429420478047</v>
      </c>
      <c r="LX201" s="15">
        <f>IF(ISNA(VLOOKUP($A201,'Données projet'!$A$434:$I$454,3,0)),0,VLOOKUP($A201,'Données projet'!$A$434:$I$454,3,0))</f>
        <v>0</v>
      </c>
      <c r="LY201" s="15">
        <f>IF(ISNA(VLOOKUP($A201,'Données projet'!$A$434:$I$454,4,0)),0,VLOOKUP($A201,'Données projet'!$A$434:$I$454,4,0))</f>
        <v>0</v>
      </c>
      <c r="LZ201" s="16">
        <f>IF(ISNA(VLOOKUP($A201,'Données projet'!$A$434:$I$454,5,0)),0%,VLOOKUP($A201,'Données projet'!$A$434:$I$454,5,0)*VLOOKUP('Données projet'!$B$24,Paramètres!$A$1:$I$89,7,0))</f>
        <v>0</v>
      </c>
      <c r="MA201" s="16">
        <f>IF(ISNA(VLOOKUP($A201,'Données projet'!$A$434:$I$454,6,0)),0%,VLOOKUP($A201,'Données projet'!$A$434:$I$454,6,0)*VLOOKUP('Données projet'!$B$24,Paramètres!$A$1:$I$89,7,0))</f>
        <v>0</v>
      </c>
      <c r="MB201" s="16">
        <f>IF(ISNA(VLOOKUP($A201,'Données projet'!$A$434:$I$454,7,0)),0%,VLOOKUP($A201,'Données projet'!$A$434:$I$454,7,0))</f>
        <v>0</v>
      </c>
      <c r="MC201" s="21">
        <f>EXP(-LN(2)/35)*MC200+(1-EXP(-LN(2)/35))/(LN(2)/35)*LY201*LZ201*VLOOKUP('Données projet'!$B$24,Paramètres!$A$1:$I$89,3,0)*0.475*44/12</f>
        <v>76.554288731984926</v>
      </c>
      <c r="MD201" s="21">
        <f>EXP(-LN(2)/25)*MD200+(1-EXP(-LN(2)/25))/(LN(2)/25)*Calculateur!LY201*Calculateur!MA201*VLOOKUP('Données projet'!$B$24,Paramètres!$A$1:$I$89,3,0)*0.475*44/12</f>
        <v>0</v>
      </c>
      <c r="ME201" s="21">
        <f>EXP(-LN(2)/2)*ME200+(1-EXP(-LN(2)/2))/(LN(2)/2)*LY201*MB201*VLOOKUP('Données projet'!$B$24,Paramètres!$A$1:$I$89,3,0)*0.475*44/12</f>
        <v>0</v>
      </c>
      <c r="MF201" s="22">
        <f t="shared" si="384"/>
        <v>76.554288731984926</v>
      </c>
      <c r="MG201" s="74">
        <f>('Scénario référence'!$F$8+'Scénario référence'!$F$9+'Scénario référence'!$B$17+'Scénario référence'!$B$9+'Scénario référence'!$B$10)*70+IF((45+25*(1-EXP(-0.0175*$A201)))&lt;70,'Scénario référence'!$B$16*(45+25*(1-EXP(-0.0175*$A201))),70*'Scénario référence'!$B$16)+IF((32+38*(1-EXP(-0.0175*$A201)))&lt;70,'Scénario référence'!$B$18*(32+38*(1-EXP(-0.0175*$A201))),70*'Scénario référence'!$B$18)</f>
        <v>70</v>
      </c>
      <c r="MH201" s="12">
        <f>IF($A201&gt;30,10,('Scénario référence'!$B$16+'Scénario référence'!$B$17+'Scénario référence'!$B$18+'Scénario référence'!$B$9+'Scénario référence'!$B$10)*$A201*10/30+('Scénario référence'!$F$8+'Scénario référence'!$F$9)*10)</f>
        <v>10</v>
      </c>
      <c r="MI201" s="12" t="e">
        <f>VLOOKUP($A201,'Données projet'!$A$460:$I$480,2,0)</f>
        <v>#N/A</v>
      </c>
      <c r="MJ201" s="12" t="e">
        <f>VLOOKUP($A201,'Données projet'!$A$460:$I$480,9,0)</f>
        <v>#N/A</v>
      </c>
      <c r="MK201" s="12">
        <f t="array" ref="MK201">INDEX(MJ:MJ,MIN(IF(ISNUMBER(MJ201:MJ397),ROW(MJ201:MJ397),"")))</f>
        <v>0</v>
      </c>
      <c r="ML201" s="12">
        <f>IF('Données projet'!$A$460&gt;35,ML200+MK201-MT200,IF($A201&lt;'Données projet'!$A$460,$CQ$205^$A201,IF($A201='Données projet'!$A$460,'Données projet'!$B$460,ML200+MK201-MT200)))</f>
        <v>0</v>
      </c>
      <c r="MM201" s="17" t="e">
        <f>ML201*VLOOKUP('Données projet'!$B$25,Paramètres!$A$1:$I$89,3,0)*VLOOKUP('Données projet'!$B$25,Paramètres!$A$1:$I$89,5,0)</f>
        <v>#N/A</v>
      </c>
      <c r="MN201" s="13" t="e">
        <f t="shared" si="421"/>
        <v>#N/A</v>
      </c>
      <c r="MO201" s="14" t="e">
        <f t="shared" si="385"/>
        <v>#N/A</v>
      </c>
      <c r="MP201" s="59" t="e">
        <f t="shared" si="386"/>
        <v>#N/A</v>
      </c>
      <c r="MQ201" s="20" t="e">
        <f ca="1">AVERAGE(OFFSET($MP$3,0,0,'Données projet'!$E$25+1,1))-AVERAGE(OFFSET($H$3,0,0,'Données projet'!$E$25+1,1))</f>
        <v>#N/A</v>
      </c>
      <c r="MR201" s="59" t="e">
        <f t="shared" si="422"/>
        <v>#N/A</v>
      </c>
      <c r="MS201" s="15">
        <f>IF(ISNA(VLOOKUP($A201,'Données projet'!$A$460:$I$480,3,0)),0,VLOOKUP($A201,'Données projet'!$A$460:$I$480,3,0))</f>
        <v>0</v>
      </c>
      <c r="MT201" s="15">
        <f>IF(ISNA(VLOOKUP($A201,'Données projet'!$A$460:$I$480,4,0)),0,VLOOKUP($A201,'Données projet'!$A$460:$I$480,4,0))</f>
        <v>0</v>
      </c>
      <c r="MU201" s="16">
        <f>IF(ISNA(VLOOKUP($A201,'Données projet'!$A$460:$I$480,5,0)),0%,VLOOKUP($A201,'Données projet'!$A$460:$I$480,5,0)*VLOOKUP('Données projet'!$B$25,Paramètres!$A$1:$I$89,7,0))</f>
        <v>0</v>
      </c>
      <c r="MV201" s="16">
        <f>IF(ISNA(VLOOKUP($A201,'Données projet'!$A$460:$I$480,6,0)),0%,VLOOKUP($A201,'Données projet'!$A$460:$I$480,6,0)*VLOOKUP('Données projet'!$B$25,Paramètres!$A$1:$I$89,7,0))</f>
        <v>0</v>
      </c>
      <c r="MW201" s="16">
        <f>IF(ISNA(VLOOKUP($A201,'Données projet'!$A$460:$I$480,7,0)),0%,VLOOKUP($A201,'Données projet'!$A$460:$I$480,7,0))</f>
        <v>0</v>
      </c>
      <c r="MX201" s="21" t="e">
        <f>EXP(-LN(2)/35)*MX200+(1-EXP(-LN(2)/35))/(LN(2)/35)*MT201*MU201*VLOOKUP('Données projet'!$B$25,Paramètres!$A$1:$I$89,3,0)*0.475*44/12</f>
        <v>#N/A</v>
      </c>
      <c r="MY201" s="21" t="e">
        <f>EXP(-LN(2)/25)*MY200+(1-EXP(-LN(2)/25))/(LN(2)/25)*Calculateur!MT201*Calculateur!MV201*VLOOKUP('Données projet'!$B$25,Paramètres!$A$1:$I$89,3,0)*0.475*44/12</f>
        <v>#N/A</v>
      </c>
      <c r="MZ201" s="21" t="e">
        <f>EXP(-LN(2)/2)*MZ200+(1-EXP(-LN(2)/2))/(LN(2)/2)*MT201*MW201*VLOOKUP('Données projet'!$B$25,Paramètres!$A$1:$I$89,3,0)*0.475*44/12</f>
        <v>#N/A</v>
      </c>
      <c r="NA201" s="22" t="e">
        <f t="shared" si="387"/>
        <v>#N/A</v>
      </c>
      <c r="NB201" s="74">
        <f>('Scénario référence'!$F$8+'Scénario référence'!$F$9+'Scénario référence'!$B$17+'Scénario référence'!$B$9+'Scénario référence'!$B$10)*70+IF((45+25*(1-EXP(-0.0175*$A201)))&lt;70,'Scénario référence'!$B$16*(45+25*(1-EXP(-0.0175*$A201))),70*'Scénario référence'!$B$16)+IF((32+38*(1-EXP(-0.0175*$A201)))&lt;70,'Scénario référence'!$B$18*(32+38*(1-EXP(-0.0175*$A201))),70*'Scénario référence'!$B$18)</f>
        <v>70</v>
      </c>
      <c r="NC201" s="12">
        <f>IF($A201&gt;30,10,('Scénario référence'!$B$16+'Scénario référence'!$B$17+'Scénario référence'!$B$18+'Scénario référence'!$B$9+'Scénario référence'!$B$10)*$A201*10/30+('Scénario référence'!$F$8+'Scénario référence'!$F$9)*10)</f>
        <v>10</v>
      </c>
      <c r="ND201" s="12" t="e">
        <f>VLOOKUP($A201,'Données projet'!$A$486:$I$506,2,0)</f>
        <v>#N/A</v>
      </c>
      <c r="NE201" s="12" t="e">
        <f>VLOOKUP($A201,'Données projet'!$A$486:$I$506,9,0)</f>
        <v>#N/A</v>
      </c>
      <c r="NF201" s="12">
        <f t="array" ref="NF201">INDEX(NE:NE,MIN(IF(ISNUMBER(NE201:NE397),ROW(NE201:NE397),"")))</f>
        <v>0</v>
      </c>
      <c r="NG201" s="12">
        <f>IF('Données projet'!$A$486&gt;35,NG200+NF201-NO200,IF($A201&lt;'Données projet'!$A$486,$CQ$205^$A201,IF($A201='Données projet'!$A$486,'Données projet'!$B$486,NG200+NF201-NO200)))</f>
        <v>0</v>
      </c>
      <c r="NH201" s="17" t="e">
        <f>NG201*VLOOKUP('Données projet'!$B$26,Paramètres!$A$1:$I$89,3,0)*VLOOKUP('Données projet'!$B$26,Paramètres!$A$1:$I$89,5,0)</f>
        <v>#N/A</v>
      </c>
      <c r="NI201" s="13" t="e">
        <f t="shared" si="423"/>
        <v>#N/A</v>
      </c>
      <c r="NJ201" s="14" t="e">
        <f t="shared" si="388"/>
        <v>#N/A</v>
      </c>
      <c r="NK201" s="59" t="e">
        <f t="shared" si="389"/>
        <v>#N/A</v>
      </c>
      <c r="NL201" s="20" t="e">
        <f ca="1">AVERAGE(OFFSET($NK$3,0,0,'Données projet'!$E$26+1,1))-AVERAGE(OFFSET($H$3,0,0,'Données projet'!$E$26+1,1))</f>
        <v>#N/A</v>
      </c>
      <c r="NM201" s="59" t="e">
        <f t="shared" si="424"/>
        <v>#N/A</v>
      </c>
      <c r="NN201" s="15">
        <f>IF(ISNA(VLOOKUP($A201,'Données projet'!$A$486:$I$506,3,0)),0,VLOOKUP($A201,'Données projet'!$A$486:$I$506,3,0))</f>
        <v>0</v>
      </c>
      <c r="NO201" s="15">
        <f>IF(ISNA(VLOOKUP($A201,'Données projet'!$A$486:$I$506,4,0)),0,VLOOKUP($A201,'Données projet'!$A$486:$I$506,4,0))</f>
        <v>0</v>
      </c>
      <c r="NP201" s="16">
        <f>IF(ISNA(VLOOKUP($A201,'Données projet'!$A$486:$I$506,5,0)),0%,VLOOKUP($A201,'Données projet'!$A$486:$I$506,5,0)*VLOOKUP('Données projet'!$B$26,Paramètres!$A$1:$I$89,7,0))</f>
        <v>0</v>
      </c>
      <c r="NQ201" s="16">
        <f>IF(ISNA(VLOOKUP($A201,'Données projet'!$A$486:$I$506,6,0)),0%,VLOOKUP($A201,'Données projet'!$A$486:$I$506,6,0)*VLOOKUP('Données projet'!$B$26,Paramètres!$A$1:$I$89,7,0))</f>
        <v>0</v>
      </c>
      <c r="NR201" s="16">
        <f>IF(ISNA(VLOOKUP($A201,'Données projet'!$A$486:$I$506,7,0)),0%,VLOOKUP($A201,'Données projet'!$A$486:$I$506,7,0))</f>
        <v>0</v>
      </c>
      <c r="NS201" s="21" t="e">
        <f>EXP(-LN(2)/35)*NS200+(1-EXP(-LN(2)/35))/(LN(2)/35)*NO201*NP201*VLOOKUP('Données projet'!$B$26,Paramètres!$A$1:$I$89,3,0)*0.475*44/12</f>
        <v>#N/A</v>
      </c>
      <c r="NT201" s="21" t="e">
        <f>EXP(-LN(2)/25)*NT200+(1-EXP(-LN(2)/25))/(LN(2)/25)*Calculateur!NO201*Calculateur!NQ201*VLOOKUP('Données projet'!$B$26,Paramètres!$A$1:$I$89,3,0)*0.475*44/12</f>
        <v>#N/A</v>
      </c>
      <c r="NU201" s="21" t="e">
        <f>EXP(-LN(2)/2)*NU200+(1-EXP(-LN(2)/2))/(LN(2)/2)*NO201*NR201*VLOOKUP('Données projet'!$B$26,Paramètres!$A$1:$I$89,3,0)*0.475*44/12</f>
        <v>#N/A</v>
      </c>
      <c r="NV201" s="22" t="e">
        <f t="shared" si="390"/>
        <v>#N/A</v>
      </c>
      <c r="NW201" s="74">
        <f>('Scénario référence'!$F$8+'Scénario référence'!$F$9+'Scénario référence'!$B$17+'Scénario référence'!$B$9+'Scénario référence'!$B$10)*70+IF((45+25*(1-EXP(-0.0175*$A201)))&lt;70,'Scénario référence'!$B$16*(45+25*(1-EXP(-0.0175*$A201))),70*'Scénario référence'!$B$16)+IF((32+38*(1-EXP(-0.0175*$A201)))&lt;70,'Scénario référence'!$B$18*(32+38*(1-EXP(-0.0175*$A201))),70*'Scénario référence'!$B$18)</f>
        <v>70</v>
      </c>
      <c r="NX201" s="12">
        <f>IF($A201&gt;30,10,('Scénario référence'!$B$16+'Scénario référence'!$B$17+'Scénario référence'!$B$18+'Scénario référence'!$B$9+'Scénario référence'!$B$10)*$A201*10/30+('Scénario référence'!$F$8+'Scénario référence'!$F$9)*10)</f>
        <v>10</v>
      </c>
      <c r="NY201" s="12" t="e">
        <f>VLOOKUP($A201,'Données projet'!$A$512:$I$532,2,0)</f>
        <v>#N/A</v>
      </c>
      <c r="NZ201" s="12" t="e">
        <f>VLOOKUP($A201,'Données projet'!$A$512:$I$532,9,0)</f>
        <v>#N/A</v>
      </c>
      <c r="OA201" s="12">
        <f t="array" ref="OA201">INDEX(NZ:NZ,MIN(IF(ISNUMBER(NZ201:NZ397),ROW(NZ201:NZ397),"")))</f>
        <v>0</v>
      </c>
      <c r="OB201" s="12">
        <f>IF('Données projet'!$A$512&gt;35,OB200+OA201-OJ200,IF($A201&lt;'Données projet'!$A$512,$CQ$205^$A201,IF($A201='Données projet'!$A$512,'Données projet'!$B$512,OB200+OA201-OJ200)))</f>
        <v>0</v>
      </c>
      <c r="OC201" s="17" t="e">
        <f>OB201*VLOOKUP('Données projet'!$B$27,Paramètres!$A$1:$I$89,3,0)*VLOOKUP('Données projet'!$B$27,Paramètres!$A$1:$I$89,5,0)</f>
        <v>#N/A</v>
      </c>
      <c r="OD201" s="13" t="e">
        <f t="shared" si="425"/>
        <v>#N/A</v>
      </c>
      <c r="OE201" s="14" t="e">
        <f t="shared" si="391"/>
        <v>#N/A</v>
      </c>
      <c r="OF201" s="59" t="e">
        <f t="shared" si="392"/>
        <v>#N/A</v>
      </c>
      <c r="OG201" s="20" t="e">
        <f ca="1">AVERAGE(OFFSET($OF$3,0,0,'Données projet'!$E$27+1,1))-AVERAGE(OFFSET($H$3,0,0,'Données projet'!$E$27+1,1))</f>
        <v>#N/A</v>
      </c>
      <c r="OH201" s="59" t="e">
        <f t="shared" si="426"/>
        <v>#N/A</v>
      </c>
      <c r="OI201" s="15">
        <f>IF(ISNA(VLOOKUP($A201,'Données projet'!$A$512:$I$532,3,0)),0,VLOOKUP($A201,'Données projet'!$A$512:$I$532,3,0))</f>
        <v>0</v>
      </c>
      <c r="OJ201" s="15">
        <f>IF(ISNA(VLOOKUP($A201,'Données projet'!$A$512:$I$532,4,0)),0,VLOOKUP($A201,'Données projet'!$A$512:$I$532,4,0))</f>
        <v>0</v>
      </c>
      <c r="OK201" s="16">
        <f>IF(ISNA(VLOOKUP($A201,'Données projet'!$A$512:$I$532,5,0)),0%,VLOOKUP($A201,'Données projet'!$A$512:$I$532,5,0)*VLOOKUP('Données projet'!$B$27,Paramètres!$A$1:$I$89,7,0))</f>
        <v>0</v>
      </c>
      <c r="OL201" s="16">
        <f>IF(ISNA(VLOOKUP($A201,'Données projet'!$A$512:$I$532,6,0)),0%,VLOOKUP($A201,'Données projet'!$A$512:$I$532,6,0)*VLOOKUP('Données projet'!$B$27,Paramètres!$A$1:$I$89,7,0))</f>
        <v>0</v>
      </c>
      <c r="OM201" s="16">
        <f>IF(ISNA(VLOOKUP($A201,'Données projet'!$A$512:$I$532,7,0)),0%,VLOOKUP($A201,'Données projet'!$A$512:$I$532,7,0))</f>
        <v>0</v>
      </c>
      <c r="ON201" s="21" t="e">
        <f>EXP(-LN(2)/35)*ON200+(1-EXP(-LN(2)/35))/(LN(2)/35)*OJ201*OK201*VLOOKUP('Données projet'!$B$27,Paramètres!$A$1:$I$89,3,0)*0.475*44/12</f>
        <v>#N/A</v>
      </c>
      <c r="OO201" s="21" t="e">
        <f>EXP(-LN(2)/25)*OO200+(1-EXP(-LN(2)/25))/(LN(2)/25)*Calculateur!OJ201*Calculateur!OL201*VLOOKUP('Données projet'!$B$27,Paramètres!$A$1:$I$89,3,0)*0.475*44/12</f>
        <v>#N/A</v>
      </c>
      <c r="OP201" s="21" t="e">
        <f>EXP(-LN(2)/2)*OP200+(1-EXP(-LN(2)/2))/(LN(2)/2)*OJ201*OM201*VLOOKUP('Données projet'!$B$27,Paramètres!$A$1:$I$89,3,0)*0.475*44/12</f>
        <v>#N/A</v>
      </c>
      <c r="OQ201" s="22" t="e">
        <f t="shared" si="393"/>
        <v>#N/A</v>
      </c>
      <c r="OR201" s="74">
        <f>('Scénario référence'!$F$8+'Scénario référence'!$F$9+'Scénario référence'!$B$17+'Scénario référence'!$B$9+'Scénario référence'!$B$10)*70+IF((45+25*(1-EXP(-0.0175*$A201)))&lt;70,'Scénario référence'!$B$16*(45+25*(1-EXP(-0.0175*$A201))),70*'Scénario référence'!$B$16)+IF((32+38*(1-EXP(-0.0175*$A201)))&lt;70,'Scénario référence'!$B$18*(32+38*(1-EXP(-0.0175*$A201))),70*'Scénario référence'!$B$18)</f>
        <v>70</v>
      </c>
      <c r="OS201" s="12">
        <f>IF($A201&gt;30,10,('Scénario référence'!$B$16+'Scénario référence'!$B$17+'Scénario référence'!$B$18+'Scénario référence'!$B$9+'Scénario référence'!$B$10)*$A201*10/30+('Scénario référence'!$F$8+'Scénario référence'!$F$9)*10)</f>
        <v>10</v>
      </c>
      <c r="OT201" s="12" t="e">
        <f>VLOOKUP($A201,'Données projet'!$A$538:$I$558,2,0)</f>
        <v>#N/A</v>
      </c>
      <c r="OU201" s="12" t="e">
        <f>VLOOKUP($A201,'Données projet'!$A$538:$I$558,9,0)</f>
        <v>#N/A</v>
      </c>
      <c r="OV201" s="12">
        <f t="array" ref="OV201">INDEX(OU:OU,MIN(IF(ISNUMBER(OU201:OU397),ROW(OU201:OU397),"")))</f>
        <v>0</v>
      </c>
      <c r="OW201" s="12">
        <f>IF('Données projet'!$A$538&gt;35,OW200+OV201-PE200,IF($A201&lt;'Données projet'!$A$538,$CQ$205^$A201,IF($A201='Données projet'!$A$538,'Données projet'!$B$538,OW200+OV201-PE200)))</f>
        <v>0</v>
      </c>
      <c r="OX201" s="17" t="e">
        <f>OW201*VLOOKUP('Données projet'!$B$28,Paramètres!$A$1:$I$89,3,0)*VLOOKUP('Données projet'!$B$28,Paramètres!$A$1:$I$89,5,0)</f>
        <v>#N/A</v>
      </c>
      <c r="OY201" s="13" t="e">
        <f t="shared" si="427"/>
        <v>#N/A</v>
      </c>
      <c r="OZ201" s="14" t="e">
        <f t="shared" si="394"/>
        <v>#N/A</v>
      </c>
      <c r="PA201" s="59" t="e">
        <f t="shared" si="395"/>
        <v>#N/A</v>
      </c>
      <c r="PB201" s="20" t="e">
        <f ca="1">AVERAGE(OFFSET($PA$3,0,0,'Données projet'!$E$28+1,1))-AVERAGE(OFFSET($H$3,0,0,'Données projet'!$E$28+1,1))</f>
        <v>#N/A</v>
      </c>
      <c r="PC201" s="59" t="e">
        <f t="shared" si="428"/>
        <v>#N/A</v>
      </c>
      <c r="PD201" s="15">
        <f>IF(ISNA(VLOOKUP($A201,'Données projet'!$A$538:$I$558,3,0)),0,VLOOKUP($A201,'Données projet'!$A$538:$I$558,3,0))</f>
        <v>0</v>
      </c>
      <c r="PE201" s="15">
        <f>IF(ISNA(VLOOKUP($A201,'Données projet'!$A$538:$I$558,4,0)),0,VLOOKUP($A201,'Données projet'!$A$538:$I$558,4,0))</f>
        <v>0</v>
      </c>
      <c r="PF201" s="16">
        <f>IF(ISNA(VLOOKUP($A201,'Données projet'!$A$538:$I$558,5,0)),0%,VLOOKUP($A201,'Données projet'!$A$538:$I$558,5,0)*VLOOKUP('Données projet'!$B$28,Paramètres!$A$1:$I$89,7,0))</f>
        <v>0</v>
      </c>
      <c r="PG201" s="16">
        <f>IF(ISNA(VLOOKUP($A201,'Données projet'!$A$538:$I$558,6,0)),0%,VLOOKUP($A201,'Données projet'!$A$538:$I$558,6,0)*VLOOKUP('Données projet'!$B$28,Paramètres!$A$1:$I$89,7,0))</f>
        <v>0</v>
      </c>
      <c r="PH201" s="16">
        <f>IF(ISNA(VLOOKUP($A201,'Données projet'!$A$538:$I$558,7,0)),0%,VLOOKUP($A201,'Données projet'!$A$538:$I$558,7,0))</f>
        <v>0</v>
      </c>
      <c r="PI201" s="21" t="e">
        <f>EXP(-LN(2)/35)*PI200+(1-EXP(-LN(2)/35))/(LN(2)/35)*PE201*PF201*VLOOKUP('Données projet'!$B$28,Paramètres!$A$1:$I$89,3,0)*0.475*44/12</f>
        <v>#N/A</v>
      </c>
      <c r="PJ201" s="21" t="e">
        <f>EXP(-LN(2)/25)*PJ200+(1-EXP(-LN(2)/25))/(LN(2)/25)*Calculateur!PE201*Calculateur!PG201*VLOOKUP('Données projet'!$B$28,Paramètres!$A$1:$I$89,3,0)*0.475*44/12</f>
        <v>#N/A</v>
      </c>
      <c r="PK201" s="21" t="e">
        <f>EXP(-LN(2)/2)*PK200+(1-EXP(-LN(2)/2))/(LN(2)/2)*PE201*PH201*VLOOKUP('Données projet'!$B$28,Paramètres!$A$1:$I$89,3,0)*0.475*44/12</f>
        <v>#N/A</v>
      </c>
      <c r="PL201" s="22" t="e">
        <f t="shared" si="396"/>
        <v>#N/A</v>
      </c>
    </row>
    <row r="202" spans="1:428" x14ac:dyDescent="0.35">
      <c r="A202" s="10">
        <f t="shared" si="326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397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357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projet'!$A$45:$I$65,2,0)</f>
        <v>#N/A</v>
      </c>
      <c r="L202" s="12" t="e">
        <f>VLOOKUP(A202,'Données projet'!$A$45:$I$65,9,0)</f>
        <v>#N/A</v>
      </c>
      <c r="M202" s="12">
        <f t="array" ref="M202">INDEX(L:L,MIN(IF(ISNUMBER(L202:L398),ROW(L202:L398),"")))</f>
        <v>0</v>
      </c>
      <c r="N202" s="13">
        <f>IF('Données projet'!$A$46&gt;35,N201+M202-V201,IF(A202&lt;'Données projet'!$A$46,$K$205^A202,IF(A202='Données projet'!$A$46,'Données projet'!$B$46,N201+M202-V201)))</f>
        <v>-1.1368683772161603E-13</v>
      </c>
      <c r="O202" s="13">
        <f>N202*VLOOKUP('Données projet'!$B$9,Paramètres!$A$1:$I$89,3,0)*VLOOKUP('Données projet'!$B$9,Paramètres!$A$1:$I$89,5,0)</f>
        <v>-6.3550942286383367E-14</v>
      </c>
      <c r="P202" s="13" t="e">
        <f t="shared" si="398"/>
        <v>#NUM!</v>
      </c>
      <c r="Q202" s="20" t="e">
        <f t="shared" si="327"/>
        <v>#NUM!</v>
      </c>
      <c r="R202" s="59" t="e">
        <f t="shared" si="356"/>
        <v>#NUM!</v>
      </c>
      <c r="S202" s="59">
        <f ca="1">AVERAGE(OFFSET($R$3,0,0,'Données projet'!$E$9+1,1))-AVERAGE(OFFSET($H$3,0,0,'Données projet'!$E$9+1,1))</f>
        <v>274.57619581652199</v>
      </c>
      <c r="T202" s="59">
        <f t="shared" si="399"/>
        <v>366.15117322598775</v>
      </c>
      <c r="U202" s="15">
        <f>IF(ISNA(VLOOKUP(A202,'Données projet'!$A$45:$I$65,3,0)),0,VLOOKUP(A202,'Données projet'!$A$45:$I$65,3,0))</f>
        <v>0</v>
      </c>
      <c r="V202" s="15">
        <f>IF(ISNA(VLOOKUP(A202,'Données projet'!$A$45:$I$65,4,0)),0,VLOOKUP(A202,'Données projet'!$A$45:$I$65,4,0))</f>
        <v>0</v>
      </c>
      <c r="W202" s="16">
        <f>IF(ISNA(VLOOKUP(A202,'Données projet'!$A$45:$I$65,5,0)),0%,VLOOKUP(A202,'Données projet'!$A$45:$I$65,5,0)*VLOOKUP('Données projet'!$B$9,Paramètres!$A$1:$I$89,7,0))</f>
        <v>0</v>
      </c>
      <c r="X202" s="16">
        <f>IF(ISNA(VLOOKUP(A202,'Données projet'!$A$45:$I$65,6,0)),0%,VLOOKUP(A202,'Données projet'!$A$45:$I$65,6,0)*VLOOKUP('Données projet'!$B$9,Paramètres!$A$1:$I$89,7,0))</f>
        <v>0</v>
      </c>
      <c r="Y202" s="16">
        <f>IF(ISNA(VLOOKUP(A202,'Données projet'!$A$45:$I$65,7,0)),0%,VLOOKUP(A202,'Données projet'!$A$45:$I$65,7,0))</f>
        <v>0</v>
      </c>
      <c r="Z202" s="21">
        <f>EXP(-LN(2)/35)*Z201+(1-EXP(-LN(2)/35))/(LN(2)/35)*V202*W202*VLOOKUP('Données projet'!$B$9,Paramètres!$A$1:$I$89,3,0)*0.475*44/12</f>
        <v>13.087174178661643</v>
      </c>
      <c r="AA202" s="21">
        <f>EXP(-LN(2)/25)*AA201+(1-EXP(-LN(2)/25))/(LN(2)/25)*Calculateur!V202*Calculateur!X202*VLOOKUP('Données projet'!$B$9,Paramètres!$A$1:$I$89,3,0)*0.475*44/12</f>
        <v>1.0630351215701459</v>
      </c>
      <c r="AB202" s="21">
        <f>EXP(-LN(2)/2)*AB201+(1-EXP(-LN(2)/2))/(LN(2)/2)*V202*Y202*VLOOKUP('Données projet'!$B$9,Paramètres!$A$1:$I$89,3,0)*0.475*44/12</f>
        <v>7.2339375031633799E-21</v>
      </c>
      <c r="AC202" s="22">
        <f t="shared" si="328"/>
        <v>14.150209300231788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projet'!$A$71:$I$91,2,0)</f>
        <v>#N/A</v>
      </c>
      <c r="AG202" s="12" t="e">
        <f>VLOOKUP(A202,'Données projet'!$A$71:$I$91,9,0)</f>
        <v>#N/A</v>
      </c>
      <c r="AH202" s="12">
        <f t="array" ref="AH202">INDEX(AG:AG,MIN(IF(ISNUMBER(AG202:AG398),ROW(AG202:AG398),"")))</f>
        <v>0</v>
      </c>
      <c r="AI202" s="13">
        <f>IF('Données projet'!$A$72&gt;35,AI201+AH202-AQ201,IF(A202&lt;'Données projet'!$A$72,$AF$205^A202,IF(A202='Données projet'!$A$72,'Données projet'!$B$72,AI201+AH202-AQ201)))</f>
        <v>5.6843418860808015E-13</v>
      </c>
      <c r="AJ202" s="13">
        <f>AI202*VLOOKUP('Données projet'!$B$10,Paramètres!$A$1:$I$89,3,0)*VLOOKUP('Données projet'!$B$10,Paramètres!$A$1:$I$89,5,0)</f>
        <v>5.1431925385259092E-13</v>
      </c>
      <c r="AK202" s="13">
        <f t="shared" si="329"/>
        <v>6.3855359115685756E-12</v>
      </c>
      <c r="AL202" s="20">
        <f t="shared" si="330"/>
        <v>1.2017247746441865E-11</v>
      </c>
      <c r="AM202" s="59">
        <f t="shared" si="358"/>
        <v>293.33333333334531</v>
      </c>
      <c r="AN202" s="59">
        <f ca="1">AVERAGE(OFFSET($AM$3,0,0,'Données projet'!$E$10+1,1))-AVERAGE(OFFSET($H$3,0,0,'Données projet'!$E$10+1,1))</f>
        <v>270.87836509222456</v>
      </c>
      <c r="AO202" s="59">
        <f t="shared" si="400"/>
        <v>205.24998237949734</v>
      </c>
      <c r="AP202" s="15">
        <f>IF(ISNA(VLOOKUP(A202,'Données projet'!$A$71:$I$91,3,0)),0,VLOOKUP(A202,'Données projet'!$A$71:$I$91,3,0))</f>
        <v>0</v>
      </c>
      <c r="AQ202" s="15">
        <f>IF(ISNA(VLOOKUP(A202,'Données projet'!$A$71:$I$91,4,0)),0,VLOOKUP(A202,'Données projet'!$A$71:$I$91,4,0))</f>
        <v>0</v>
      </c>
      <c r="AR202" s="16">
        <f>IF(ISNA(VLOOKUP(A202,'Données projet'!$A$71:$I$91,5,0)),0%,VLOOKUP(A202,'Données projet'!$A$71:$I$91,5,0)*VLOOKUP('Données projet'!$B$10,Paramètres!$A$1:$I$89,7,0))</f>
        <v>0</v>
      </c>
      <c r="AS202" s="16">
        <f>IF(ISNA(VLOOKUP(A202,'Données projet'!$A$71:$I$91,6,0)),0%,VLOOKUP(A202,'Données projet'!$A$71:$I$91,6,0)*VLOOKUP('Données projet'!$B$10,Paramètres!$A$1:$I$89,7,0))</f>
        <v>0</v>
      </c>
      <c r="AT202" s="16">
        <f>IF(ISNA(VLOOKUP(A202,'Données projet'!$A$71:$I$91,7,0)),0%,VLOOKUP(A202,'Données projet'!$A$71:$I$91,7,0))</f>
        <v>0</v>
      </c>
      <c r="AU202" s="21">
        <f>EXP(-LN(2)/35)*AU201+(1-EXP(-LN(2)/35))/(LN(2)/35)*AQ202*AR202*VLOOKUP('Données projet'!$B$10,Paramètres!$A$1:$I$89,3,0)*0.475*44/12</f>
        <v>44.473552171640939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331"/>
        <v>44.473552171640939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projet'!$A$97:$I$117,2,0)</f>
        <v>#N/A</v>
      </c>
      <c r="BB202" s="12" t="e">
        <f>VLOOKUP(A202,'Données projet'!$A$97:$I$117,9,0)</f>
        <v>#N/A</v>
      </c>
      <c r="BC202" s="12">
        <f t="array" ref="BC202">INDEX(BB:BB,MIN(IF(ISNUMBER(BB202:BB398),ROW(BB202:BB398),"")))</f>
        <v>0</v>
      </c>
      <c r="BD202" s="12">
        <f>IF('Données projet'!$A$98&gt;35,BD201+BC202-BL201,IF(A202&lt;'Données projet'!$A$98,$BA$205^A202,IF(A202='Données projet'!$A$98,'Données projet'!$B$98,BD201+BC202-BL201)))</f>
        <v>-1.1368683772161603E-13</v>
      </c>
      <c r="BE202" s="13">
        <f>BD202*VLOOKUP('Données projet'!$B$11,Paramètres!$A$1:$I$89,3,0)*VLOOKUP('Données projet'!$B$11,Paramètres!$A$1:$I$89,5,0)</f>
        <v>-5.0249582272954292E-14</v>
      </c>
      <c r="BF202" s="13" t="e">
        <f t="shared" si="332"/>
        <v>#NUM!</v>
      </c>
      <c r="BG202" s="20" t="e">
        <f t="shared" si="333"/>
        <v>#NUM!</v>
      </c>
      <c r="BH202" s="59" t="e">
        <f t="shared" si="359"/>
        <v>#NUM!</v>
      </c>
      <c r="BI202" s="59">
        <f ca="1">AVERAGE(OFFSET($BH$3,0,0,'Données projet'!$E$11+1,1))-AVERAGE(OFFSET($H$3,0,0,'Données projet'!$E$11+1,1))</f>
        <v>211.31057120485542</v>
      </c>
      <c r="BJ202" s="59">
        <f t="shared" si="401"/>
        <v>283.33292006714777</v>
      </c>
      <c r="BK202" s="15">
        <f>IF(ISNA(VLOOKUP(A202,'Données projet'!$A$97:$I$117,3,0)),0,VLOOKUP(A202,'Données projet'!$A$97:$I$117,3,0))</f>
        <v>0</v>
      </c>
      <c r="BL202" s="15">
        <f>IF(ISNA(VLOOKUP(A202,'Données projet'!$A$97:$I$117,4,0)),0,VLOOKUP(A202,'Données projet'!$A$97:$I$117,4,0))</f>
        <v>0</v>
      </c>
      <c r="BM202" s="16">
        <f>IF(ISNA(VLOOKUP(A202,'Données projet'!$A$97:$I$117,5,0)),0%,VLOOKUP(A202,'Données projet'!$A$97:$I$117,5,0)*VLOOKUP('Données projet'!$B$11,Paramètres!$A$1:$I$89,7,0))</f>
        <v>0</v>
      </c>
      <c r="BN202" s="16">
        <f>IF(ISNA(VLOOKUP(A202,'Données projet'!$A$97:$I$117,6,0)),0%,VLOOKUP(A202,'Données projet'!$A$97:$I$117,6,0)*VLOOKUP('Données projet'!$B$11,Paramètres!$A$1:$I$89,7,0))</f>
        <v>0</v>
      </c>
      <c r="BO202" s="16">
        <f>IF(ISNA(VLOOKUP(A202,'Données projet'!$A$97:$I$117,7,0)),0%,VLOOKUP(A202,'Données projet'!$A$97:$I$117,7,0))</f>
        <v>0</v>
      </c>
      <c r="BP202" s="21">
        <f>EXP(-LN(2)/35)*BP201+(1-EXP(-LN(2)/35))/(LN(2)/35)*BL202*BM202*VLOOKUP('Données projet'!$B$11,Paramètres!$A$1:$I$89,3,0)*0.475*44/12</f>
        <v>10.347998187778982</v>
      </c>
      <c r="BQ202" s="21">
        <f>EXP(-LN(2)/25)*BQ201+(1-EXP(-LN(2)/25))/(LN(2)/25)*Calculateur!BL202*Calculateur!BN202*VLOOKUP('Données projet'!$B$11,Paramètres!$A$1:$I$89,3,0)*0.475*44/12</f>
        <v>0.8405393984508126</v>
      </c>
      <c r="BR202" s="21">
        <f>EXP(-LN(2)/2)*BR201+(1-EXP(-LN(2)/2))/(LN(2)/2)*BL202*BO202*VLOOKUP('Données projet'!$B$11,Paramètres!$A$1:$I$89,3,0)*0.475*44/12</f>
        <v>5.7198575606408109E-21</v>
      </c>
      <c r="BS202" s="22">
        <f t="shared" si="334"/>
        <v>11.188537586229796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projet'!$A$123:$I$143,2,0)</f>
        <v>#N/A</v>
      </c>
      <c r="BW202" s="12" t="e">
        <f>VLOOKUP(A202,'Données projet'!$A$123:$I$143,9,0)</f>
        <v>#N/A</v>
      </c>
      <c r="BX202" s="12">
        <f t="array" ref="BX202">INDEX(BW:BW,MIN(IF(ISNUMBER(BW202:BW398),ROW(BW202:BW398),"")))</f>
        <v>0</v>
      </c>
      <c r="BY202" s="12">
        <f>IF('Données projet'!$A$124&gt;35,BY201+BX202-CG201,IF(A202&lt;'Données projet'!$A$124,$BV$205^A202,IF(A202='Données projet'!$A$124,'Données projet'!$B$124,BY201+BX202-CG201)))</f>
        <v>0</v>
      </c>
      <c r="BZ202" s="13">
        <f>BY202*VLOOKUP('Données projet'!$B$12,Paramètres!$A$1:$I$89,3,0)*VLOOKUP('Données projet'!$B$12,Paramètres!$A$1:$I$89,5,0)</f>
        <v>0</v>
      </c>
      <c r="CA202" s="13" t="e">
        <f t="shared" si="335"/>
        <v>#NUM!</v>
      </c>
      <c r="CB202" s="20" t="e">
        <f t="shared" si="336"/>
        <v>#NUM!</v>
      </c>
      <c r="CC202" s="59" t="e">
        <f t="shared" si="360"/>
        <v>#NUM!</v>
      </c>
      <c r="CD202" s="59">
        <f ca="1">AVERAGE(OFFSET($CC$3,0,0,'Données projet'!$E$12+1,1))-AVERAGE(OFFSET($H$3,0,0,'Données projet'!$E$12+1,1))</f>
        <v>322.93502595881938</v>
      </c>
      <c r="CE202" s="59">
        <f t="shared" si="402"/>
        <v>302.67072119588164</v>
      </c>
      <c r="CF202" s="15">
        <f>IF(ISNA(VLOOKUP(A202,'Données projet'!$A$123:$I$143,3,0)),0,VLOOKUP(A202,'Données projet'!$A$123:$I$143,3,0))</f>
        <v>0</v>
      </c>
      <c r="CG202" s="15">
        <f>IF(ISNA(VLOOKUP(A202,'Données projet'!$A$123:$I$143,4,0)),0,VLOOKUP(A202,'Données projet'!$A$123:$I$143,4,0))</f>
        <v>0</v>
      </c>
      <c r="CH202" s="16">
        <f>IF(ISNA(VLOOKUP(A202,'Données projet'!$A$123:$I$143,5,0)),0%,VLOOKUP(A202,'Données projet'!$A$123:$I$143,5,0)*VLOOKUP('Données projet'!$B$12,Paramètres!$A$1:$I$89,7,0))</f>
        <v>0</v>
      </c>
      <c r="CI202" s="16">
        <f>IF(ISNA(VLOOKUP(A202,'Données projet'!$A$123:$I$143,6,0)),0%,VLOOKUP(A202,'Données projet'!$A$123:$I$143,6,0)*VLOOKUP('Données projet'!$B$12,Paramètres!$A$1:$I$89,7,0))</f>
        <v>0</v>
      </c>
      <c r="CJ202" s="16">
        <f>IF(ISNA(VLOOKUP(A202,'Données projet'!$A$123:$I$143,7,0)),0%,VLOOKUP(A202,'Données projet'!$A$123:$I$143,7,0))</f>
        <v>0</v>
      </c>
      <c r="CK202" s="21">
        <f>EXP(-LN(2)/35)*CK201+(1-EXP(-LN(2)/35))/(LN(2)/35)*CG202*CH202*VLOOKUP('Données projet'!$B$12,Paramètres!$A$1:$I$89,3,0)*0.475*44/12</f>
        <v>16.4868615435213</v>
      </c>
      <c r="CL202" s="21">
        <f>EXP(-LN(2)/25)*CL201+(1-EXP(-LN(2)/25))/(LN(2)/25)*Calculateur!CG202*Calculateur!CI202*VLOOKUP('Données projet'!$B$12,Paramètres!$A$1:$I$89,3,0)*0.475*44/12</f>
        <v>2.6902346341335552</v>
      </c>
      <c r="CM202" s="21">
        <f>EXP(-LN(2)/2)*CM201+(1-EXP(-LN(2)/2))/(LN(2)/2)*CG202*CJ202*VLOOKUP('Données projet'!$B$12,Paramètres!$A$1:$I$89,3,0)*0.475*44/12</f>
        <v>0</v>
      </c>
      <c r="CN202" s="22">
        <f t="shared" si="337"/>
        <v>19.177096177654857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projet'!$A$149:$I$169,2,0)</f>
        <v>#N/A</v>
      </c>
      <c r="CR202" s="12" t="e">
        <f>VLOOKUP(A202,'Données projet'!$A$149:$I$169,9,0)</f>
        <v>#N/A</v>
      </c>
      <c r="CS202" s="12">
        <f t="array" ref="CS202">INDEX(CR:CR,MIN(IF(ISNUMBER(CR202:CR398),ROW(CR202:CR398),"")))</f>
        <v>0</v>
      </c>
      <c r="CT202" s="12">
        <f>IF('Données projet'!$A$150&gt;35,CT201+CS202-DB201,IF(A202&lt;'Données projet'!$A$150,$CQ$205^A202,IF(A202='Données projet'!$A$150,'Données projet'!$B$150,CT201+CS202-DB201)))</f>
        <v>-4.5474735088646412E-13</v>
      </c>
      <c r="CU202" s="17">
        <f>CT202*VLOOKUP('Données projet'!$B$13,Paramètres!$A$1:$I$89,3,0)*VLOOKUP('Données projet'!$B$13,Paramètres!$A$1:$I$89,5,0)</f>
        <v>-4.6111381379887462E-13</v>
      </c>
      <c r="CV202" s="13" t="e">
        <f t="shared" si="338"/>
        <v>#NUM!</v>
      </c>
      <c r="CW202" s="20" t="e">
        <f t="shared" si="339"/>
        <v>#NUM!</v>
      </c>
      <c r="CX202" s="59" t="e">
        <f t="shared" si="361"/>
        <v>#NUM!</v>
      </c>
      <c r="CY202" s="59">
        <f ca="1">AVERAGE(OFFSET($CX$3,0,0,'Données projet'!$E$13+1,1))-AVERAGE(OFFSET($H$3,0,0,'Données projet'!$E$13+1,1))</f>
        <v>250.31277422753283</v>
      </c>
      <c r="CZ202" s="59">
        <f t="shared" si="403"/>
        <v>159.20429420478047</v>
      </c>
      <c r="DA202" s="15">
        <f>IF(ISNA(VLOOKUP(A202,'Données projet'!$A$149:$I$169,3,0)),0,VLOOKUP(A202,'Données projet'!$A$149:$I$169,3,0))</f>
        <v>0</v>
      </c>
      <c r="DB202" s="15">
        <f>IF(ISNA(VLOOKUP(A202,'Données projet'!$A$149:$I$169,4,0)),0,VLOOKUP(A202,'Données projet'!$A$149:$I$169,4,0))</f>
        <v>0</v>
      </c>
      <c r="DC202" s="16">
        <f>IF(ISNA(VLOOKUP(A202,'Données projet'!$A$149:$I$169,5,0)),0%,VLOOKUP(A202,'Données projet'!$A$149:$I$169,5,0)*VLOOKUP('Données projet'!$B$13,Paramètres!$A$1:$I$89,7,0))</f>
        <v>0</v>
      </c>
      <c r="DD202" s="16">
        <f>IF(ISNA(VLOOKUP(A202,'Données projet'!$A$149:$I$169,6,0)),0%,VLOOKUP(A202,'Données projet'!$A$149:$I$169,6,0)*VLOOKUP('Données projet'!$B$13,Paramètres!$A$1:$I$89,7,0))</f>
        <v>0</v>
      </c>
      <c r="DE202" s="16">
        <f>IF(ISNA(VLOOKUP(A202,'Données projet'!$A$149:$I$169,7,0)),0%,VLOOKUP(A202,'Données projet'!$A$149:$I$169,7,0))</f>
        <v>0</v>
      </c>
      <c r="DF202" s="21">
        <f>EXP(-LN(2)/35)*DF201+(1-EXP(-LN(2)/35))/(LN(2)/35)*DB202*DC202*VLOOKUP('Données projet'!$B$13,Paramètres!$A$1:$I$89,3,0)*0.475*44/12</f>
        <v>75.053105823456221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340"/>
        <v>75.053105823456221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projet'!$A$175:$I$195,2,0)</f>
        <v>#N/A</v>
      </c>
      <c r="DM202" s="12" t="e">
        <f>VLOOKUP(A202,'Données projet'!$A$175:$I$195,9,0)</f>
        <v>#N/A</v>
      </c>
      <c r="DN202" s="12">
        <f t="array" ref="DN202">INDEX(DM:DM,MIN(IF(ISNUMBER(DM202:DM398),ROW(DM202:DM398),"")))</f>
        <v>0</v>
      </c>
      <c r="DO202" s="12">
        <f>IF('Données projet'!$A$176&gt;35,DO201+DN202-DW201,IF(A202&lt;'Données projet'!$A$176,$DL$205^A202,IF(A202='Données projet'!$A$176,'Données projet'!$B$176,DO201+DN202-DW201)))</f>
        <v>-2.8421709430404007E-13</v>
      </c>
      <c r="DP202" s="17">
        <f>DO202*VLOOKUP('Données projet'!$B$14,Paramètres!$A$1:$I$89,3,0)*VLOOKUP('Données projet'!$B$14,Paramètres!$A$1:$I$89,5,0)</f>
        <v>-2.0838797354372215E-13</v>
      </c>
      <c r="DQ202" s="13" t="e">
        <f t="shared" si="341"/>
        <v>#NUM!</v>
      </c>
      <c r="DR202" s="20" t="e">
        <f t="shared" si="342"/>
        <v>#NUM!</v>
      </c>
      <c r="DS202" s="59" t="e">
        <f t="shared" si="362"/>
        <v>#NUM!</v>
      </c>
      <c r="DT202" s="59">
        <f ca="1">AVERAGE(OFFSET($DS$3,0,0,'Données projet'!$E$14+1,1))-AVERAGE(OFFSET($H$3,0,0,'Données projet'!$E$14+1,1))</f>
        <v>296.91321813251051</v>
      </c>
      <c r="DU202" s="59">
        <f t="shared" si="404"/>
        <v>291.0718079639509</v>
      </c>
      <c r="DV202" s="15">
        <f>IF(ISNA(VLOOKUP(A202,'Données projet'!$A$175:$I$195,3,0)),0,VLOOKUP(A202,'Données projet'!$A$175:$I$195,3,0))</f>
        <v>0</v>
      </c>
      <c r="DW202" s="15">
        <f>IF(ISNA(VLOOKUP(A202,'Données projet'!$A$175:$I$195,4,0)),0,VLOOKUP(A202,'Données projet'!$A$175:$I$195,4,0))</f>
        <v>0</v>
      </c>
      <c r="DX202" s="16">
        <f>IF(ISNA(VLOOKUP(A202,'Données projet'!$A$175:$I$195,5,0)),0%,VLOOKUP(A202,'Données projet'!$A$175:$I$195,5,0)*VLOOKUP('Données projet'!$B$14,Paramètres!$A$1:$I$89,7,0))</f>
        <v>0</v>
      </c>
      <c r="DY202" s="16">
        <f>IF(ISNA(VLOOKUP(A202,'Données projet'!$A$175:$I$195,6,0)),0%,VLOOKUP(A202,'Données projet'!$A$175:$I$195,6,0)*VLOOKUP('Données projet'!$B$14,Paramètres!$A$1:$I$89,7,0))</f>
        <v>0</v>
      </c>
      <c r="DZ202" s="16">
        <f>IF(ISNA(VLOOKUP(A202,'Données projet'!$A$175:$I$195,7,0)),0%,VLOOKUP(A202,'Données projet'!$A$175:$I$195,7,0))</f>
        <v>0</v>
      </c>
      <c r="EA202" s="21">
        <f>EXP(-LN(2)/35)*EA201+(1-EXP(-LN(2)/35))/(LN(2)/35)*DW202*DX202*VLOOKUP('Données projet'!$B$14,Paramètres!$A$1:$I$89,3,0)*0.475*44/12</f>
        <v>16.432107968279883</v>
      </c>
      <c r="EB202" s="21">
        <f>EXP(-LN(2)/25)*EB201+(1-EXP(-LN(2)/25))/(LN(2)/25)*Calculateur!DW202*Calculateur!DY202*VLOOKUP('Données projet'!$B$14,Paramètres!$A$1:$I$89,3,0)*0.475*44/12</f>
        <v>0.19762707611990951</v>
      </c>
      <c r="EC202" s="21">
        <f>EXP(-LN(2)/2)*EC201+(1-EXP(-LN(2)/2))/(LN(2)/2)*DW202*DZ202*VLOOKUP('Données projet'!$B$14,Paramètres!$A$1:$I$89,3,0)*0.475*44/12</f>
        <v>0</v>
      </c>
      <c r="ED202" s="22">
        <f t="shared" si="343"/>
        <v>16.629735044399794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projet'!$A$201:$I$221,2,0)</f>
        <v>#N/A</v>
      </c>
      <c r="EH202" s="12" t="e">
        <f>VLOOKUP(A202,'Données projet'!$A$201:$I$221,9,0)</f>
        <v>#N/A</v>
      </c>
      <c r="EI202" s="12">
        <f t="array" ref="EI202">INDEX(EH:EH,MIN(IF(ISNUMBER(EH202:EH398),ROW(EH202:EH398),"")))</f>
        <v>0</v>
      </c>
      <c r="EJ202" s="12">
        <f>IF('Données projet'!$A$202&gt;35,EJ201+EI202-ER201,IF(A202&lt;'Données projet'!$A$202,$EG$205^A202,IF(A202='Données projet'!$A$202,'Données projet'!$B$202,EJ201+EI202-ER201)))</f>
        <v>5.1159076974727213E-13</v>
      </c>
      <c r="EK202" s="17">
        <f>EJ202*VLOOKUP('Données projet'!$B$15,Paramètres!$A$1:$I$89,3,0)*VLOOKUP('Données projet'!$B$15,Paramètres!$A$1:$I$89,5,0)</f>
        <v>2.3942448024172334E-13</v>
      </c>
      <c r="EL202" s="13">
        <f t="shared" si="344"/>
        <v>3.2492669905861755E-12</v>
      </c>
      <c r="EM202" s="20">
        <f t="shared" si="345"/>
        <v>6.0761376450252565E-12</v>
      </c>
      <c r="EN202" s="59">
        <f t="shared" si="363"/>
        <v>293.3333333333394</v>
      </c>
      <c r="EO202" s="59">
        <f ca="1">AVERAGE(OFFSET($EN$3,0,0,'Données projet'!$E$15+1,1))-AVERAGE(OFFSET($H$3,0,0,'Données projet'!$E$15+1,1))</f>
        <v>147.64256291235483</v>
      </c>
      <c r="EP202" s="59">
        <f t="shared" si="405"/>
        <v>70.859031694091868</v>
      </c>
      <c r="EQ202" s="15">
        <f>IF(ISNA(VLOOKUP(A202,'Données projet'!$A$201:$I$221,3,0)),0,VLOOKUP(A202,'Données projet'!$A$201:$I$221,3,0))</f>
        <v>0</v>
      </c>
      <c r="ER202" s="15">
        <f>IF(ISNA(VLOOKUP(A202,'Données projet'!$A$201:$I$221,4,0)),0,VLOOKUP(A202,'Données projet'!$A$201:$I$221,4,0))</f>
        <v>0</v>
      </c>
      <c r="ES202" s="16">
        <f>IF(ISNA(VLOOKUP(A202,'Données projet'!$A$201:$I$221,5,0)),0%,VLOOKUP(A202,'Données projet'!$A$201:$I$221,5,0)*VLOOKUP('Données projet'!$B$15,Paramètres!$A$1:$I$89,7,0))</f>
        <v>0</v>
      </c>
      <c r="ET202" s="16">
        <f>IF(ISNA(VLOOKUP(A202,'Données projet'!$A$201:$I$221,6,0)),0%,VLOOKUP(A202,'Données projet'!$A$201:$I$221,6,0)*VLOOKUP('Données projet'!$B$15,Paramètres!$A$1:$I$89,7,0))</f>
        <v>0</v>
      </c>
      <c r="EU202" s="16">
        <f>IF(ISNA(VLOOKUP(A202,'Données projet'!$A$201:$I$221,7,0)),0%,VLOOKUP(A202,'Données projet'!$A$201:$I$221,7,0))</f>
        <v>0</v>
      </c>
      <c r="EV202" s="21">
        <f>EXP(-LN(2)/35)*EV201+(1-EXP(-LN(2)/35))/(LN(2)/35)*ER202*ES202*VLOOKUP('Données projet'!$B$15,Paramètres!$A$1:$I$89,3,0)*0.475*44/12</f>
        <v>22.495814825254648</v>
      </c>
      <c r="EW202" s="21">
        <f>EXP(-LN(2)/25)*EW201+(1-EXP(-LN(2)/25))/(LN(2)/25)*Calculateur!ER202*Calculateur!ET202*VLOOKUP('Données projet'!$B$15,Paramètres!$A$1:$I$89,3,0)*0.475*44/12</f>
        <v>2.7418765752497256</v>
      </c>
      <c r="EX202" s="21">
        <f>EXP(-LN(2)/2)*EX201+(1-EXP(-LN(2)/2))/(LN(2)/2)*ER202*EU202*VLOOKUP('Données projet'!$B$15,Paramètres!$A$1:$I$89,3,0)*0.475*44/12</f>
        <v>5.2150111641575901E-13</v>
      </c>
      <c r="EY202" s="22">
        <f t="shared" si="346"/>
        <v>25.237691400504897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projet'!$A$227:$I$247,2,0)</f>
        <v>#N/A</v>
      </c>
      <c r="FC202" s="12" t="e">
        <f>VLOOKUP(A202,'Données projet'!$A$227:$I$247,9,0)</f>
        <v>#N/A</v>
      </c>
      <c r="FD202" s="12">
        <f t="array" ref="FD202">INDEX(FC:FC,MIN(IF(ISNUMBER(FC202:FC398),ROW(FC202:FC398),"")))</f>
        <v>0</v>
      </c>
      <c r="FE202" s="12">
        <f>IF('Données projet'!$A$228&gt;35,FE201+FD202-FM201,IF(A202&lt;'Données projet'!$A$228,$FB$205^A202,IF(A202='Données projet'!$A$228,'Données projet'!$B$228,FE201+FD202-FM201)))</f>
        <v>8.5265128291212022E-14</v>
      </c>
      <c r="FF202" s="17">
        <f>FE202*VLOOKUP('Données projet'!$B$16,Paramètres!$A$1:$I$89,3,0)*VLOOKUP('Données projet'!$B$16,Paramètres!$A$1:$I$89,5,0)</f>
        <v>8.9119112089974823E-14</v>
      </c>
      <c r="FG202" s="13">
        <f t="shared" si="347"/>
        <v>1.3568952080113142E-12</v>
      </c>
      <c r="FH202" s="20">
        <f t="shared" si="348"/>
        <v>2.5184749408430782E-12</v>
      </c>
      <c r="FI202" s="59">
        <f t="shared" si="364"/>
        <v>293.33333333333582</v>
      </c>
      <c r="FJ202" s="59">
        <f ca="1">AVERAGE(OFFSET($FI$3,0,0,'Données projet'!$E$16+1,1))-AVERAGE(OFFSET($H$3,0,0,'Données projet'!$E$16+1,1))</f>
        <v>259.03906550253788</v>
      </c>
      <c r="FK202" s="59">
        <f t="shared" si="406"/>
        <v>235.54542903570831</v>
      </c>
      <c r="FL202" s="15">
        <f>IF(ISNA(VLOOKUP(A202,'Données projet'!$A$227:$I$247,3,0)),0,VLOOKUP(A202,'Données projet'!$A$227:$I$247,3,0))</f>
        <v>0</v>
      </c>
      <c r="FM202" s="15">
        <f>IF(ISNA(VLOOKUP(A202,'Données projet'!$A$227:$I$247,4,0)),0,VLOOKUP(A202,'Données projet'!$A$227:$I$247,4,0))</f>
        <v>0</v>
      </c>
      <c r="FN202" s="16">
        <f>IF(ISNA(VLOOKUP(A202,'Données projet'!$A$227:$I$247,5,0)),0%,VLOOKUP(A202,'Données projet'!$A$227:$I$247,5,0)*VLOOKUP('Données projet'!$B$16,Paramètres!$A$1:$I$89,7,0))</f>
        <v>0</v>
      </c>
      <c r="FO202" s="16">
        <f>IF(ISNA(VLOOKUP(A202,'Données projet'!$A$227:$I$247,6,0)),0%,VLOOKUP(A202,'Données projet'!$A$227:$I$247,6,0)*VLOOKUP('Données projet'!$B$16,Paramètres!$A$1:$I$89,7,0))</f>
        <v>0</v>
      </c>
      <c r="FP202" s="16">
        <f>IF(ISNA(VLOOKUP(A202,'Données projet'!$A$227:$I$247,7,0)),0%,VLOOKUP(A202,'Données projet'!$A$227:$I$247,7,0))</f>
        <v>0</v>
      </c>
      <c r="FQ202" s="21">
        <f>EXP(-LN(2)/35)*FQ201+(1-EXP(-LN(2)/35))/(LN(2)/35)*FM202*FN202*VLOOKUP('Données projet'!$B$16,Paramètres!$A$1:$I$89,3,0)*0.475*44/12</f>
        <v>9.929041297324007</v>
      </c>
      <c r="FR202" s="21">
        <f>EXP(-LN(2)/25)*FR201+(1-EXP(-LN(2)/25))/(LN(2)/25)*Calculateur!FM202*Calculateur!FO202*VLOOKUP('Données projet'!$B$16,Paramètres!$A$1:$I$89,3,0)*0.475*44/12</f>
        <v>3.7719301174415398</v>
      </c>
      <c r="FS202" s="21">
        <f>EXP(-LN(2)/2)*FS201+(1-EXP(-LN(2)/2))/(LN(2)/2)*FM202*FP202*VLOOKUP('Données projet'!$B$16,Paramètres!$A$1:$I$89,3,0)*0.475*44/12</f>
        <v>0</v>
      </c>
      <c r="FT202" s="22">
        <f t="shared" si="349"/>
        <v>13.700971414765547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projet'!$A$253:$I$273,2,0)</f>
        <v>#N/A</v>
      </c>
      <c r="FX202" s="12" t="e">
        <f>VLOOKUP(A202,'Données projet'!$A$253:$I$273,9,0)</f>
        <v>#N/A</v>
      </c>
      <c r="FY202" s="12">
        <f t="array" ref="FY202">INDEX(FX:FX,MIN(IF(ISNUMBER(FX202:FX398),ROW(FX202:FX398),"")))</f>
        <v>0</v>
      </c>
      <c r="FZ202" s="12">
        <f>IF('Données projet'!$A$254&gt;35,FZ201+FY202-GH201,IF(A202&lt;'Données projet'!$A$254,$FW$205^A202,IF(A202='Données projet'!$A$254,'Données projet'!$B$254,FZ201+FY202-GH201)))</f>
        <v>-1.7053025658242404E-13</v>
      </c>
      <c r="GA202" s="17">
        <f>FZ202*VLOOKUP('Données projet'!$B$17,Paramètres!$A$1:$I$89,3,0)*VLOOKUP('Données projet'!$B$17,Paramètres!$A$1:$I$89,5,0)</f>
        <v>-1.4897523215040567E-13</v>
      </c>
      <c r="GB202" s="13" t="e">
        <f t="shared" si="350"/>
        <v>#NUM!</v>
      </c>
      <c r="GC202" s="20" t="e">
        <f t="shared" si="351"/>
        <v>#NUM!</v>
      </c>
      <c r="GD202" s="59" t="e">
        <f t="shared" si="365"/>
        <v>#NUM!</v>
      </c>
      <c r="GE202" s="59">
        <f ca="1">AVERAGE(OFFSET($GD$3,0,0,'Données projet'!$E$17+1,1))-AVERAGE(OFFSET($H$3,0,0,'Données projet'!$E$17+1,1))</f>
        <v>245.1983232777614</v>
      </c>
      <c r="GF202" s="59">
        <f t="shared" si="407"/>
        <v>242.34010522344573</v>
      </c>
      <c r="GG202" s="15">
        <f>IF(ISNA(VLOOKUP(A202,'Données projet'!$A$253:$I$273,3,0)),0,VLOOKUP(A202,'Données projet'!$A$253:$I$273,3,0))</f>
        <v>0</v>
      </c>
      <c r="GH202" s="15">
        <f>IF(ISNA(VLOOKUP(A202,'Données projet'!$A$253:$I$273,4,0)),0,VLOOKUP(A202,'Données projet'!$A$253:$I$273,4,0))</f>
        <v>0</v>
      </c>
      <c r="GI202" s="16">
        <f>IF(ISNA(VLOOKUP(A202,'Données projet'!$A$253:$I$273,5,0)),0%,VLOOKUP(A202,'Données projet'!$A$253:$I$273,5,0)*VLOOKUP('Données projet'!$B$17,Paramètres!$A$1:$I$89,7,0))</f>
        <v>0</v>
      </c>
      <c r="GJ202" s="16">
        <f>IF(ISNA(VLOOKUP(A202,'Données projet'!$A$253:$I$273,6,0)),0%,VLOOKUP(A202,'Données projet'!$A$253:$I$273,6,0)*VLOOKUP('Données projet'!$B$17,Paramètres!$A$1:$I$89,7,0))</f>
        <v>0</v>
      </c>
      <c r="GK202" s="16">
        <f>IF(ISNA(VLOOKUP(A202,'Données projet'!$A$253:$I$273,7,0)),0%,VLOOKUP(A202,'Données projet'!$A$253:$I$273,7,0))</f>
        <v>0</v>
      </c>
      <c r="GL202" s="21">
        <f>EXP(-LN(2)/35)*GL201+(1-EXP(-LN(2)/35))/(LN(2)/35)*GH202*GI202*VLOOKUP('Données projet'!$B$17,Paramètres!$A$1:$I$89,3,0)*0.475*44/12</f>
        <v>11.672950332275654</v>
      </c>
      <c r="GM202" s="21">
        <f>EXP(-LN(2)/25)*GM201+(1-EXP(-LN(2)/25))/(LN(2)/25)*Calculateur!GH202*Calculateur!GJ202*VLOOKUP('Données projet'!$B$17,Paramètres!$A$1:$I$89,3,0)*0.475*44/12</f>
        <v>0.80370641764631201</v>
      </c>
      <c r="GN202" s="21">
        <f>EXP(-LN(2)/2)*GN201+(1-EXP(-LN(2)/2))/(LN(2)/2)*GH202*GK202*VLOOKUP('Données projet'!$B$17,Paramètres!$A$1:$I$89,3,0)*0.475*44/12</f>
        <v>0</v>
      </c>
      <c r="GO202" s="21">
        <f t="shared" si="352"/>
        <v>12.476656749921966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projet'!$A$279:$I$299,2,0)</f>
        <v>#N/A</v>
      </c>
      <c r="GS202" s="12" t="e">
        <f>VLOOKUP(A202,'Données projet'!$A$279:$I$299,9,0)</f>
        <v>#N/A</v>
      </c>
      <c r="GT202" s="12">
        <f t="array" ref="GT202">INDEX(GS:GS,MIN(IF(ISNUMBER(GS202:GS398),ROW(GS202:GS398),"")))</f>
        <v>0</v>
      </c>
      <c r="GU202" s="12">
        <f>IF('Données projet'!$A$280&gt;35,GU201+GT202-HC201,IF(A202&lt;'Données projet'!$A$280,$GR$205^A202,IF(A202='Données projet'!$A$280,'Données projet'!$B$280,GU201+GT202-HC201)))</f>
        <v>-1.1368683772161603E-13</v>
      </c>
      <c r="GV202" s="17">
        <f>GU202*VLOOKUP('Données projet'!$B$18,Paramètres!$A$1:$I$89,3,0)*VLOOKUP('Données projet'!$B$18,Paramètres!$A$1:$I$89,5,0)</f>
        <v>-4.5815795601811263E-14</v>
      </c>
      <c r="GW202" s="13" t="e">
        <f t="shared" si="353"/>
        <v>#NUM!</v>
      </c>
      <c r="GX202" s="20" t="e">
        <f t="shared" si="354"/>
        <v>#NUM!</v>
      </c>
      <c r="GY202" s="59" t="e">
        <f t="shared" si="366"/>
        <v>#NUM!</v>
      </c>
      <c r="GZ202" s="59">
        <f ca="1">AVERAGE(OFFSET($GY$3,0,0,'Données projet'!$E$18+1,1))-AVERAGE(OFFSET($H$3,0,0,'Données projet'!$E$18+1,1))</f>
        <v>324.36162935850876</v>
      </c>
      <c r="HA202" s="59">
        <f t="shared" si="408"/>
        <v>265.23571072429735</v>
      </c>
      <c r="HB202" s="15">
        <f>IF(ISNA(VLOOKUP(A202,'Données projet'!$A$279:$I$299,3,0)),0,VLOOKUP(A202,'Données projet'!$A$279:$I$299,3,0))</f>
        <v>0</v>
      </c>
      <c r="HC202" s="15">
        <f>IF(ISNA(VLOOKUP(A202,'Données projet'!$A$279:$I$299,4,0)),0,VLOOKUP(A202,'Données projet'!$A$279:$I$299,4,0))</f>
        <v>0</v>
      </c>
      <c r="HD202" s="16">
        <f>IF(ISNA(VLOOKUP(A202,'Données projet'!$A$279:$I$299,5,0)),0%,VLOOKUP(A202,'Données projet'!$A$279:$I$299,5,0)*VLOOKUP('Données projet'!$B$18,Paramètres!$A$1:$I$89,7,0))</f>
        <v>0</v>
      </c>
      <c r="HE202" s="16">
        <f>IF(ISNA(VLOOKUP(A202,'Données projet'!$A$279:$I$299,6,0)),0%,VLOOKUP(A202,'Données projet'!$A$279:$I$299,6,0)*VLOOKUP('Données projet'!$B$18,Paramètres!$A$1:$I$89,7,0))</f>
        <v>0</v>
      </c>
      <c r="HF202" s="16">
        <f>IF(ISNA(VLOOKUP($A202,'Données projet'!$A$279:$I$299,7,0)),0%,VLOOKUP($A202,'Données projet'!$A$279:$I$299,7,0))</f>
        <v>0</v>
      </c>
      <c r="HG202" s="21">
        <f>EXP(-LN(2)/35)*HG201+(1-EXP(-LN(2)/35))/(LN(2)/35)*HC202*HD202*VLOOKUP('Données projet'!$B$18,Paramètres!$A$1:$I$89,3,0)*0.475*44/12</f>
        <v>22.36842436542706</v>
      </c>
      <c r="HH202" s="21">
        <f>EXP(-LN(2)/25)*HH201+(1-EXP(-LN(2)/25))/(LN(2)/25)*Calculateur!HC202*Calculateur!HE202*VLOOKUP('Données projet'!$B$18,Paramètres!$A$1:$I$89,3,0)*0.475*44/12</f>
        <v>0.8938652922186463</v>
      </c>
      <c r="HI202" s="21">
        <f>EXP(-LN(2)/2)*HI201+(1-EXP(-LN(2)/2))/(LN(2)/2)*HC202*HF202*VLOOKUP('Données projet'!$B$18,Paramètres!$A$1:$I$89,3,0)*0.475*44/12</f>
        <v>1.0484304302723567E-17</v>
      </c>
      <c r="HJ202" s="22">
        <f t="shared" si="355"/>
        <v>23.262289657645706</v>
      </c>
      <c r="HK202" s="74">
        <f>('Scénario référence'!$F$8+'Scénario référence'!$F$9+'Scénario référence'!$B$17+'Scénario référence'!$B$9+'Scénario référence'!$B$10)*70+IF((45+25*(1-EXP(-0.0175*$A202)))&lt;70,'Scénario référence'!$B$16*(45+25*(1-EXP(-0.0175*$A202))),70*'Scénario référence'!$B$16)+IF((32+38*(1-EXP(-0.0175*$A202)))&lt;70,'Scénario référence'!$B$18*(32+38*(1-EXP(-0.0175*$A202))),70*'Scénario référence'!$B$18)</f>
        <v>70</v>
      </c>
      <c r="HL202" s="12">
        <f>IF($A202&gt;30,10,('Scénario référence'!$B$16+'Scénario référence'!$B$17+'Scénario référence'!$B$18+'Scénario référence'!$B$9+'Scénario référence'!$B$10)*$A202*10/30+('Scénario référence'!$F$8+'Scénario référence'!$F$9)*10)</f>
        <v>10</v>
      </c>
      <c r="HM202" s="12" t="e">
        <f>VLOOKUP($A202,'Données projet'!$A$304:$I$324,2,0)</f>
        <v>#N/A</v>
      </c>
      <c r="HN202" s="12" t="e">
        <f>VLOOKUP($A202,'Données projet'!$A$304:$I$324,9,0)</f>
        <v>#N/A</v>
      </c>
      <c r="HO202" s="12">
        <f t="array" ref="HO202">INDEX(HN:HN,MIN(IF(ISNUMBER(HN202:HN398),ROW(HN202:HN398),"")))</f>
        <v>0</v>
      </c>
      <c r="HP202" s="12">
        <f>IF('Données projet'!$A$304&gt;35,HP201+HO202-HX201,IF($A202&lt;'Données projet'!$A$304,$CQ$205^$A202,IF($A202='Données projet'!$A$304,'Données projet'!$B$304,HP201+HO202-HX201)))</f>
        <v>0</v>
      </c>
      <c r="HQ202" s="17">
        <f>HP202*VLOOKUP('Données projet'!$B$19,Paramètres!$A$1:$I$89,3,0)*VLOOKUP('Données projet'!$B$19,Paramètres!$A$1:$I$89,5,0)</f>
        <v>0</v>
      </c>
      <c r="HR202" s="13" t="e">
        <f t="shared" si="409"/>
        <v>#NUM!</v>
      </c>
      <c r="HS202" s="14" t="e">
        <f t="shared" si="367"/>
        <v>#NUM!</v>
      </c>
      <c r="HT202" s="59" t="e">
        <f t="shared" si="368"/>
        <v>#NUM!</v>
      </c>
      <c r="HU202" s="59">
        <f ca="1">AVERAGE(OFFSET(HT$3,0,0,'Données projet'!$E$19+1,1))-AVERAGE(OFFSET($H$3,0,0,'Données projet'!$E$19+1,1))</f>
        <v>91.60721429656013</v>
      </c>
      <c r="HV202" s="59">
        <f t="shared" si="410"/>
        <v>258.94957804210856</v>
      </c>
      <c r="HW202" s="15">
        <f>IF(ISNA(VLOOKUP($A202,'Données projet'!$A$304:$I$324,3,0)),0,VLOOKUP($A202,'Données projet'!$A$304:$I$324,3,0))</f>
        <v>0</v>
      </c>
      <c r="HX202" s="15">
        <f>IF(ISNA(VLOOKUP($A202,'Données projet'!$A$304:$I$324,4,0)),0,VLOOKUP($A202,'Données projet'!$A$304:$I$324,4,0))</f>
        <v>0</v>
      </c>
      <c r="HY202" s="16">
        <f>IF(ISNA(VLOOKUP($A202,'Données projet'!$A$304:$I$324,5,0)),0%,VLOOKUP($A202,'Données projet'!$A$304:$I$324,5,0)*VLOOKUP('Données projet'!$B$19,Paramètres!$A$1:$I$89,7,0))</f>
        <v>0</v>
      </c>
      <c r="HZ202" s="16">
        <f>IF(ISNA(VLOOKUP($A202,'Données projet'!$A$304:$I$324,6,0)),0%,VLOOKUP($A202,'Données projet'!$A$304:$I$324,6,0)*VLOOKUP('Données projet'!$B$19,Paramètres!$A$1:$I$89,7,0))</f>
        <v>0</v>
      </c>
      <c r="IA202" s="16">
        <f>IF(ISNA(VLOOKUP($A202,'Données projet'!$A$304:$I$324,7,0)),0%,VLOOKUP($A202,'Données projet'!$A$304:$I$324,7,0))</f>
        <v>0</v>
      </c>
      <c r="IB202" s="21">
        <f>EXP(-LN(2)/35)*IB201+(1-EXP(-LN(2)/35))/(LN(2)/35)*HX202*HY202*VLOOKUP('Données projet'!$B$19,Paramètres!$A$1:$I$89,3,0)*0.475*44/12</f>
        <v>1.7361613767463682</v>
      </c>
      <c r="IC202" s="21">
        <f>EXP(-LN(2)/25)*IC201+(1-EXP(-LN(2)/25))/(LN(2)/25)*Calculateur!HX202*Calculateur!HZ202*VLOOKUP('Données projet'!$B$19,Paramètres!$A$1:$I$89,3,0)*0.475*44/12</f>
        <v>8.9752920444636813E-2</v>
      </c>
      <c r="ID202" s="21">
        <f>EXP(-LN(2)/2)*ID201+(1-EXP(-LN(2)/2))/(LN(2)/2)*HX202*IA202*VLOOKUP('Données projet'!$B$19,Paramètres!$A$1:$I$89,3,0)*0.475*44/12</f>
        <v>2.0941512068006818E-26</v>
      </c>
      <c r="IE202" s="22">
        <f t="shared" si="369"/>
        <v>1.825914297191005</v>
      </c>
      <c r="IF202" s="74">
        <f>('Scénario référence'!$F$8+'Scénario référence'!$F$9+'Scénario référence'!$B$17+'Scénario référence'!$B$9+'Scénario référence'!$B$10)*70+IF((45+25*(1-EXP(-0.0175*$A202)))&lt;70,'Scénario référence'!$B$16*(45+25*(1-EXP(-0.0175*$A202))),70*'Scénario référence'!$B$16)+IF((32+38*(1-EXP(-0.0175*$A202)))&lt;70,'Scénario référence'!$B$18*(32+38*(1-EXP(-0.0175*$A202))),70*'Scénario référence'!$B$18)</f>
        <v>70</v>
      </c>
      <c r="IG202" s="12">
        <f>IF($A202&gt;30,10,('Scénario référence'!$B$16+'Scénario référence'!$B$17+'Scénario référence'!$B$18+'Scénario référence'!$B$9+'Scénario référence'!$B$10)*$A202*10/30+('Scénario référence'!$F$8+'Scénario référence'!$F$9)*10)</f>
        <v>10</v>
      </c>
      <c r="IH202" s="12" t="e">
        <f>VLOOKUP($A202,'Données projet'!$A$330:$I$350,2,0)</f>
        <v>#N/A</v>
      </c>
      <c r="II202" s="12" t="e">
        <f>VLOOKUP($A202,'Données projet'!$A$330:$I$350,9,0)</f>
        <v>#N/A</v>
      </c>
      <c r="IJ202" s="12">
        <f t="array" ref="IJ202">INDEX(II:II,MIN(IF(ISNUMBER(II202:II398),ROW(II202:II398),"")))</f>
        <v>0</v>
      </c>
      <c r="IK202" s="12">
        <f>IF('Données projet'!$A$330&gt;35,IK201+IJ202-IS201,IF($A202&lt;'Données projet'!$A$330,$CQ$205^$A202,IF($A202='Données projet'!$A$330,'Données projet'!$B$330,IK201+IJ202-IS201)))</f>
        <v>0</v>
      </c>
      <c r="IL202" s="17">
        <f>IK202*VLOOKUP('Données projet'!$B$20,Paramètres!$A$1:$I$89,3,0)*VLOOKUP('Données projet'!$B$20,Paramètres!$A$1:$I$89,5,0)</f>
        <v>0</v>
      </c>
      <c r="IM202" s="13" t="e">
        <f t="shared" si="411"/>
        <v>#NUM!</v>
      </c>
      <c r="IN202" s="20" t="e">
        <f t="shared" si="370"/>
        <v>#NUM!</v>
      </c>
      <c r="IO202" s="59" t="e">
        <f t="shared" si="371"/>
        <v>#NUM!</v>
      </c>
      <c r="IP202" s="59">
        <f ca="1">AVERAGE(OFFSET(IO$3,0,0,'Données projet'!$E$20+1,1))-AVERAGE(OFFSET($H$3,0,0,'Données projet'!$E$20+1,1))</f>
        <v>91.60721429656013</v>
      </c>
      <c r="IQ202" s="59">
        <f t="shared" si="412"/>
        <v>258.94957804210856</v>
      </c>
      <c r="IR202" s="15">
        <f>IF(ISNA(VLOOKUP($A202,'Données projet'!$A$330:$I$350,3,0)),0,VLOOKUP($A202,'Données projet'!$A$330:$I$350,3,0))</f>
        <v>0</v>
      </c>
      <c r="IS202" s="15">
        <f>IF(ISNA(VLOOKUP($A202,'Données projet'!$A$330:$I$350,4,0)),0,VLOOKUP($A202,'Données projet'!$A$330:$I$350,4,0))</f>
        <v>0</v>
      </c>
      <c r="IT202" s="16">
        <f>IF(ISNA(VLOOKUP($A202,'Données projet'!$A$330:$I$350,5,0)),0%,VLOOKUP($A202,'Données projet'!$A$330:$I$350,5,0)*VLOOKUP('Données projet'!$B$20,Paramètres!$A$1:$I$89,7,0))</f>
        <v>0</v>
      </c>
      <c r="IU202" s="16">
        <f>IF(ISNA(VLOOKUP($A202,'Données projet'!$A$330:$I$350,6,0)),0%,VLOOKUP($A202,'Données projet'!$A$330:$I$350,6,0)*VLOOKUP('Données projet'!$B$20,Paramètres!$A$1:$I$89,7,0))</f>
        <v>0</v>
      </c>
      <c r="IV202" s="16">
        <f>IF(ISNA(VLOOKUP($A202,'Données projet'!$A$330:$I$350,7,0)),0%,VLOOKUP($A202,'Données projet'!$A$330:$I$350,7,0))</f>
        <v>0</v>
      </c>
      <c r="IW202" s="21">
        <f>EXP(-LN(2)/35)*IW201+(1-EXP(-LN(2)/35))/(LN(2)/35)*IS202*IT202*VLOOKUP('Données projet'!$B$20,Paramètres!$A$1:$I$89,3,0)*0.475*44/12</f>
        <v>1.7361613767463682</v>
      </c>
      <c r="IX202" s="21">
        <f>EXP(-LN(2)/25)*IX201+(1-EXP(-LN(2)/25))/(LN(2)/25)*Calculateur!IS202*Calculateur!IU202*VLOOKUP('Données projet'!$B$20,Paramètres!$A$1:$I$89,3,0)*0.475*44/12</f>
        <v>8.9752920444636813E-2</v>
      </c>
      <c r="IY202" s="21">
        <f>EXP(-LN(2)/2)*IY201+(1-EXP(-LN(2)/2))/(LN(2)/2)*IS202*IV202*VLOOKUP('Données projet'!$B$20,Paramètres!$A$1:$I$89,3,0)*0.475*44/12</f>
        <v>2.0941512068006818E-26</v>
      </c>
      <c r="IZ202" s="22">
        <f t="shared" si="372"/>
        <v>1.825914297191005</v>
      </c>
      <c r="JA202" s="74">
        <f>('Scénario référence'!$F$8+'Scénario référence'!$F$9+'Scénario référence'!$B$17+'Scénario référence'!$B$9+'Scénario référence'!$B$10)*70+IF((45+25*(1-EXP(-0.0175*$A202)))&lt;70,'Scénario référence'!$B$16*(45+25*(1-EXP(-0.0175*$A202))),70*'Scénario référence'!$B$16)+IF((32+38*(1-EXP(-0.0175*$A202)))&lt;70,'Scénario référence'!$B$18*(32+38*(1-EXP(-0.0175*$A202))),70*'Scénario référence'!$B$18)</f>
        <v>70</v>
      </c>
      <c r="JB202" s="12">
        <f>IF($A202&gt;30,10,('Scénario référence'!$B$16+'Scénario référence'!$B$17+'Scénario référence'!$B$18+'Scénario référence'!$B$9+'Scénario référence'!$B$10)*$A202*10/30+('Scénario référence'!$F$8+'Scénario référence'!$F$9)*10)</f>
        <v>10</v>
      </c>
      <c r="JC202" s="12" t="e">
        <f>VLOOKUP($A202,'Données projet'!$A$356:$I$376,2,0)</f>
        <v>#N/A</v>
      </c>
      <c r="JD202" s="12" t="e">
        <f>VLOOKUP($A202,'Données projet'!$A$356:$I$376,9,0)</f>
        <v>#N/A</v>
      </c>
      <c r="JE202" s="12">
        <f t="array" ref="JE202">INDEX(JD:JD,MIN(IF(ISNUMBER(JD202:JD398),ROW(JD202:JD398),"")))</f>
        <v>0</v>
      </c>
      <c r="JF202" s="12">
        <f>IF('Données projet'!$A$356&gt;35,JF201+JE202-JN201,IF($A202&lt;'Données projet'!$A$356,$CQ$205^$A202,IF($A202='Données projet'!$A$356,'Données projet'!$B$356,JF201+JE202-JN201)))</f>
        <v>-1.3073986337985843E-12</v>
      </c>
      <c r="JG202" s="17">
        <f>JF202*VLOOKUP('Données projet'!$B$21,Paramètres!$A$1:$I$89,3,0)*VLOOKUP('Données projet'!$B$21,Paramètres!$A$1:$I$89,5,0)</f>
        <v>-1.0605617717374117E-12</v>
      </c>
      <c r="JH202" s="13" t="e">
        <f t="shared" si="413"/>
        <v>#NUM!</v>
      </c>
      <c r="JI202" s="20" t="e">
        <f t="shared" si="373"/>
        <v>#NUM!</v>
      </c>
      <c r="JJ202" s="59" t="e">
        <f t="shared" si="374"/>
        <v>#NUM!</v>
      </c>
      <c r="JK202" s="59">
        <f ca="1">AVERAGE(OFFSET($JJ$3,0,0,'Données projet'!$E$22+1,1))-AVERAGE(OFFSET($H$3,0,0,'Données projet'!$E$22+1,1))</f>
        <v>353.35574633294613</v>
      </c>
      <c r="JL202" s="59">
        <f t="shared" si="414"/>
        <v>170.36796666474726</v>
      </c>
      <c r="JM202" s="15">
        <f>IF(ISNA(VLOOKUP($A202,'Données projet'!$A$356:$I$376,3,0)),0,VLOOKUP($A202,'Données projet'!$A$356:$I$376,3,0))</f>
        <v>0</v>
      </c>
      <c r="JN202" s="15">
        <f>IF(ISNA(VLOOKUP($A202,'Données projet'!$A$356:$I$376,4,0)),0,VLOOKUP($A202,'Données projet'!$A$356:$I$376,4,0))</f>
        <v>0</v>
      </c>
      <c r="JO202" s="16">
        <f>IF(ISNA(VLOOKUP($A202,'Données projet'!$A$356:$I$376,5,0)),0%,VLOOKUP($A202,'Données projet'!$A$356:$I$376,5,0)*VLOOKUP('Données projet'!$B$21,Paramètres!$A$1:$I$89,7,0))</f>
        <v>0</v>
      </c>
      <c r="JP202" s="16">
        <f>IF(ISNA(VLOOKUP($A202,'Données projet'!$A$356:$I$376,6,0)),0%,VLOOKUP($A202,'Données projet'!$A$356:$I$376,6,0)*VLOOKUP('Données projet'!$B$21,Paramètres!$A$1:$I$89,7,0))</f>
        <v>0</v>
      </c>
      <c r="JQ202" s="16">
        <f>IF(ISNA(VLOOKUP($A202,'Données projet'!$A$356:$I$376,7,0)),0%,VLOOKUP($A202,'Données projet'!$A$356:$I$376,7,0))</f>
        <v>0</v>
      </c>
      <c r="JR202" s="21">
        <f>EXP(-LN(2)/35)*JR201+(1-EXP(-LN(2)/35))/(LN(2)/35)*JN202*JO202*VLOOKUP('Données projet'!$B$21,Paramètres!$A$1:$I$89,3,0)*0.475*44/12</f>
        <v>27.83325570305939</v>
      </c>
      <c r="JS202" s="21">
        <f>EXP(-LN(2)/25)*JS201+(1-EXP(-LN(2)/25))/(LN(2)/25)*Calculateur!JN202*Calculateur!JP202*VLOOKUP('Données projet'!$B$21,Paramètres!$A$1:$I$89,3,0)*0.475*44/12</f>
        <v>19.64389412042717</v>
      </c>
      <c r="JT202" s="21">
        <f>EXP(-LN(2)/2)*JT201+(1-EXP(-LN(2)/2))/(LN(2)/2)*JN202*JQ202*VLOOKUP('Données projet'!$B$21,Paramètres!$A$1:$I$89,3,0)*0.475*44/12</f>
        <v>1.4452545018397497E-6</v>
      </c>
      <c r="JU202" s="18">
        <f t="shared" si="375"/>
        <v>47.477151268741061</v>
      </c>
      <c r="JV202" s="74">
        <f>('Scénario référence'!$F$8+'Scénario référence'!$F$9+'Scénario référence'!$B$17+'Scénario référence'!$B$9+'Scénario référence'!$B$10)*70+IF((45+25*(1-EXP(-0.0175*$A202)))&lt;70,'Scénario référence'!$B$16*(45+25*(1-EXP(-0.0175*$A202))),70*'Scénario référence'!$B$16)+IF((32+38*(1-EXP(-0.0175*$A202)))&lt;70,'Scénario référence'!$B$18*(32+38*(1-EXP(-0.0175*$A202))),70*'Scénario référence'!$B$18)</f>
        <v>70</v>
      </c>
      <c r="JW202" s="12">
        <f>IF($A202&gt;30,10,('Scénario référence'!$B$16+'Scénario référence'!$B$17+'Scénario référence'!$B$18+'Scénario référence'!$B$9+'Scénario référence'!$B$10)*$A202*10/30+('Scénario référence'!$F$8+'Scénario référence'!$F$9)*10)</f>
        <v>10</v>
      </c>
      <c r="JX202" s="12" t="e">
        <f>VLOOKUP($A202,'Données projet'!$A$382:$I$402,2,0)</f>
        <v>#N/A</v>
      </c>
      <c r="JY202" s="12" t="e">
        <f>VLOOKUP($A202,'Données projet'!$A$382:$I$402,9,0)</f>
        <v>#N/A</v>
      </c>
      <c r="JZ202" s="12">
        <f t="array" ref="JZ202">INDEX(JY:JY,MIN(IF(ISNUMBER(JY202:JY398),ROW(JY202:JY398),"")))</f>
        <v>0</v>
      </c>
      <c r="KA202" s="12">
        <f>IF('Données projet'!$A$382&gt;35,KA201+JZ202-KI201,IF($A202&lt;'Données projet'!$A$382,$CQ$205^$A202,IF($A202='Données projet'!$A$382,'Données projet'!$B$382,KA201+JZ202-KI201)))</f>
        <v>5.6843418860808015E-13</v>
      </c>
      <c r="KB202" s="17">
        <f>KA202*VLOOKUP('Données projet'!$B$22,Paramètres!$A$1:$I$89,3,0)*VLOOKUP('Données projet'!$B$22,Paramètres!$A$1:$I$89,5,0)</f>
        <v>3.8130565371830017E-13</v>
      </c>
      <c r="KC202" s="13">
        <f t="shared" si="415"/>
        <v>4.9019074112354236E-12</v>
      </c>
      <c r="KD202" s="20">
        <f t="shared" si="376"/>
        <v>9.2015960881277352E-12</v>
      </c>
      <c r="KE202" s="59">
        <f t="shared" si="377"/>
        <v>293.33333333334252</v>
      </c>
      <c r="KF202" s="59">
        <f ca="1">AVERAGE(OFFSET($KE$3,0,0,'Données projet'!$E$22+1,1))-AVERAGE(OFFSET($H$3,0,0,'Données projet'!$E$22+1,1))</f>
        <v>193.91714772848269</v>
      </c>
      <c r="KG202" s="59">
        <f t="shared" si="416"/>
        <v>159.20429420478047</v>
      </c>
      <c r="KH202" s="15">
        <f>IF(ISNA(VLOOKUP($A202,'Données projet'!$A$382:$I$402,3,0)),0,VLOOKUP($A202,'Données projet'!$A$382:$I$402,3,0))</f>
        <v>0</v>
      </c>
      <c r="KI202" s="15">
        <f>IF(ISNA(VLOOKUP($A202,'Données projet'!$A$382:$I$402,4,0)),0,VLOOKUP($A202,'Données projet'!$A$382:$I$402,4,0))</f>
        <v>0</v>
      </c>
      <c r="KJ202" s="16">
        <f>IF(ISNA(VLOOKUP($A202,'Données projet'!$A$382:$I$402,5,0)),0%,VLOOKUP($A202,'Données projet'!$A$382:$I$402,5,0)*VLOOKUP('Données projet'!$B$22,Paramètres!$A$1:$I$89,7,0))</f>
        <v>0</v>
      </c>
      <c r="KK202" s="16">
        <f>IF(ISNA(VLOOKUP($A202,'Données projet'!$A$382:$I$402,6,0)),0%,VLOOKUP($A202,'Données projet'!$A$382:$I$402,6,0)*VLOOKUP('Données projet'!$B$22,Paramètres!$A$1:$I$89,7,0))</f>
        <v>0</v>
      </c>
      <c r="KL202" s="16">
        <f>IF(ISNA(VLOOKUP($A202,'Données projet'!$A$382:$I$402,7,0)),0%,VLOOKUP($A202,'Données projet'!$A$382:$I$402,7,0))</f>
        <v>0</v>
      </c>
      <c r="KM202" s="21">
        <f>EXP(-LN(2)/35)*KM201+(1-EXP(-LN(2)/35))/(LN(2)/35)*KI202*KJ202*VLOOKUP('Données projet'!$B$22,Paramètres!$A$1:$I$89,3,0)*0.475*44/12</f>
        <v>40.639625260292568</v>
      </c>
      <c r="KN202" s="21">
        <f>EXP(-LN(2)/25)*KN201+(1-EXP(-LN(2)/25))/(LN(2)/25)*Calculateur!KI202*Calculateur!KK202*VLOOKUP('Données projet'!$B$22,Paramètres!$A$1:$I$89,3,0)*0.475*44/12</f>
        <v>0</v>
      </c>
      <c r="KO202" s="21">
        <f>EXP(-LN(2)/2)*KO201+(1-EXP(-LN(2)/2))/(LN(2)/2)*KI202*KL202*VLOOKUP('Données projet'!$B$22,Paramètres!$A$1:$I$89,3,0)*0.475*44/12</f>
        <v>0</v>
      </c>
      <c r="KP202" s="22">
        <f t="shared" si="378"/>
        <v>40.639625260292568</v>
      </c>
      <c r="KQ202" s="74">
        <f>('Scénario référence'!$F$8+'Scénario référence'!$F$9+'Scénario référence'!$B$17+'Scénario référence'!$B$9+'Scénario référence'!$B$10)*70+IF((45+25*(1-EXP(-0.0175*$A202)))&lt;70,'Scénario référence'!$B$16*(45+25*(1-EXP(-0.0175*$A202))),70*'Scénario référence'!$B$16)+IF((32+38*(1-EXP(-0.0175*$A202)))&lt;70,'Scénario référence'!$B$18*(32+38*(1-EXP(-0.0175*$A202))),70*'Scénario référence'!$B$18)</f>
        <v>70</v>
      </c>
      <c r="KR202" s="12">
        <f>IF($A202&gt;30,10,('Scénario référence'!$B$16+'Scénario référence'!$B$17+'Scénario référence'!$B$18+'Scénario référence'!$B$9+'Scénario référence'!$B$10)*$A202*10/30+('Scénario référence'!$F$8+'Scénario référence'!$F$9)*10)</f>
        <v>10</v>
      </c>
      <c r="KS202" s="12" t="e">
        <f>VLOOKUP($A202,'Données projet'!$A$408:$I$428,2,0)</f>
        <v>#N/A</v>
      </c>
      <c r="KT202" s="12" t="e">
        <f>VLOOKUP($A202,'Données projet'!$A$408:$I$428,9,0)</f>
        <v>#N/A</v>
      </c>
      <c r="KU202" s="12">
        <f t="array" ref="KU202">INDEX(KT:KT,MIN(IF(ISNUMBER(KT202:KT398),ROW(KT202:KT398),"")))</f>
        <v>0</v>
      </c>
      <c r="KV202" s="12">
        <f>IF('Données projet'!$A$408&gt;35,KV201+KU202-LD201,IF($A202&lt;'Données projet'!$A$408,$CQ$205^$A202,IF($A202='Données projet'!$A$408,'Données projet'!$B$408,KV201+KU202-LD201)))</f>
        <v>-1.1368683772161603E-13</v>
      </c>
      <c r="KW202" s="17">
        <f>KV202*VLOOKUP('Données projet'!$B$23,Paramètres!$A$1:$I$89,3,0)*VLOOKUP('Données projet'!$B$23,Paramètres!$A$1:$I$89,5,0)</f>
        <v>-9.9316821433603781E-14</v>
      </c>
      <c r="KX202" s="13" t="e">
        <f t="shared" si="417"/>
        <v>#NUM!</v>
      </c>
      <c r="KY202" s="14" t="e">
        <f t="shared" si="379"/>
        <v>#NUM!</v>
      </c>
      <c r="KZ202" s="59" t="e">
        <f t="shared" si="380"/>
        <v>#NUM!</v>
      </c>
      <c r="LA202" s="59">
        <f ca="1">AVERAGE(OFFSET($KZ$3,0,0,'Données projet'!$E$23+1,1))-AVERAGE(OFFSET($H$3,0,0,'Données projet'!$E$23+1,1))</f>
        <v>248.33596943633819</v>
      </c>
      <c r="LB202" s="59">
        <f t="shared" si="418"/>
        <v>242.34010522344573</v>
      </c>
      <c r="LC202" s="15">
        <f>IF(ISNA(VLOOKUP($A202,'Données projet'!$A$408:$I$428,3,0)),0,VLOOKUP($A202,'Données projet'!$A$408:$I$428,3,0))</f>
        <v>0</v>
      </c>
      <c r="LD202" s="15">
        <f>IF(ISNA(VLOOKUP($A202,'Données projet'!$A$408:$I$428,4,0)),0,VLOOKUP($A202,'Données projet'!$A$408:$I$428,4,0))</f>
        <v>0</v>
      </c>
      <c r="LE202" s="16">
        <f>IF(ISNA(VLOOKUP($A202,'Données projet'!$A$408:$I$428,5,0)),0%,VLOOKUP($A202,'Données projet'!$A$408:$I$428,5,0)*VLOOKUP('Données projet'!$B$23,Paramètres!$A$1:$I$89,7,0))</f>
        <v>0</v>
      </c>
      <c r="LF202" s="16">
        <f>IF(ISNA(VLOOKUP($A202,'Données projet'!$A$408:$I$428,6,0)),0%,VLOOKUP($A202,'Données projet'!$A$408:$I$428,6,0)*VLOOKUP('Données projet'!$B$23,Paramètres!$A$1:$I$89,7,0))</f>
        <v>0</v>
      </c>
      <c r="LG202" s="16">
        <f>IF(ISNA(VLOOKUP($A202,'Données projet'!$A$408:$I$428,7,0)),0%,VLOOKUP($A202,'Données projet'!$A$408:$I$428,7,0))</f>
        <v>0</v>
      </c>
      <c r="LH202" s="21">
        <f>EXP(-LN(2)/35)*LH201+(1-EXP(-LN(2)/35))/(LN(2)/35)*LD202*LE202*VLOOKUP('Données projet'!$B$23,Paramètres!$A$1:$I$89,3,0)*0.475*44/12</f>
        <v>11.672950332275654</v>
      </c>
      <c r="LI202" s="21">
        <f>EXP(-LN(2)/25)*LI201+(1-EXP(-LN(2)/25))/(LN(2)/25)*Calculateur!LD202*Calculateur!LF202*VLOOKUP('Données projet'!$B$23,Paramètres!$A$1:$I$89,3,0)*0.475*44/12</f>
        <v>0.80370641764631201</v>
      </c>
      <c r="LJ202" s="21">
        <f>EXP(-LN(2)/2)*LJ201+(1-EXP(-LN(2)/2))/(LN(2)/2)*LD202*LG202*VLOOKUP('Données projet'!$B$23,Paramètres!$A$1:$I$89,3,0)*0.475*44/12</f>
        <v>0</v>
      </c>
      <c r="LK202" s="22">
        <f t="shared" si="381"/>
        <v>12.476656749921966</v>
      </c>
      <c r="LL202" s="74">
        <f>('Scénario référence'!$F$8+'Scénario référence'!$F$9+'Scénario référence'!$B$17+'Scénario référence'!$B$9+'Scénario référence'!$B$10)*70+IF((45+25*(1-EXP(-0.0175*$A202)))&lt;70,'Scénario référence'!$B$16*(45+25*(1-EXP(-0.0175*$A202))),70*'Scénario référence'!$B$16)+IF((32+38*(1-EXP(-0.0175*$A202)))&lt;70,'Scénario référence'!$B$18*(32+38*(1-EXP(-0.0175*$A202))),70*'Scénario référence'!$B$18)</f>
        <v>70</v>
      </c>
      <c r="LM202" s="12">
        <f>IF($A202&gt;30,10,('Scénario référence'!$B$16+'Scénario référence'!$B$17+'Scénario référence'!$B$18+'Scénario référence'!$B$9+'Scénario référence'!$B$10)*$A202*10/30+('Scénario référence'!$F$8+'Scénario référence'!$F$9)*10)</f>
        <v>10</v>
      </c>
      <c r="LN202" s="12" t="e">
        <f>VLOOKUP($A202,'Données projet'!$A$434:$I$454,2,0)</f>
        <v>#N/A</v>
      </c>
      <c r="LO202" s="12" t="e">
        <f>VLOOKUP($A202,'Données projet'!$A$434:$I$454,9,0)</f>
        <v>#N/A</v>
      </c>
      <c r="LP202" s="12">
        <f t="array" ref="LP202">INDEX(LO:LO,MIN(IF(ISNUMBER(LO202:LO398),ROW(LO202:LO398),"")))</f>
        <v>0</v>
      </c>
      <c r="LQ202" s="12">
        <f>IF('Données projet'!$A$434&gt;35,LQ201+LP202-LY201,IF($A202&lt;'Données projet'!$A$434,$CQ$205^$A202,IF($A202='Données projet'!$A$434,'Données projet'!$B$434,LQ201+LP202-LY201)))</f>
        <v>-4.5474735088646412E-13</v>
      </c>
      <c r="LR202" s="17">
        <f>LQ202*VLOOKUP('Données projet'!$B$24,Paramètres!$A$1:$I$89,3,0)*VLOOKUP('Données projet'!$B$24,Paramètres!$A$1:$I$89,5,0)</f>
        <v>-4.6111381379887462E-13</v>
      </c>
      <c r="LS202" s="13" t="e">
        <f t="shared" si="419"/>
        <v>#NUM!</v>
      </c>
      <c r="LT202" s="14" t="e">
        <f t="shared" si="382"/>
        <v>#NUM!</v>
      </c>
      <c r="LU202" s="59" t="e">
        <f t="shared" si="383"/>
        <v>#NUM!</v>
      </c>
      <c r="LV202" s="59">
        <f ca="1">AVERAGE(OFFSET($LU$3,0,0,'Données projet'!$E$24+1,1))-AVERAGE(OFFSET($H$3,0,0,'Données projet'!$E$24+1,1))</f>
        <v>260.52627655062872</v>
      </c>
      <c r="LW202" s="59">
        <f t="shared" si="420"/>
        <v>159.20429420478047</v>
      </c>
      <c r="LX202" s="15">
        <f>IF(ISNA(VLOOKUP($A202,'Données projet'!$A$434:$I$454,3,0)),0,VLOOKUP($A202,'Données projet'!$A$434:$I$454,3,0))</f>
        <v>0</v>
      </c>
      <c r="LY202" s="15">
        <f>IF(ISNA(VLOOKUP($A202,'Données projet'!$A$434:$I$454,4,0)),0,VLOOKUP($A202,'Données projet'!$A$434:$I$454,4,0))</f>
        <v>0</v>
      </c>
      <c r="LZ202" s="16">
        <f>IF(ISNA(VLOOKUP($A202,'Données projet'!$A$434:$I$454,5,0)),0%,VLOOKUP($A202,'Données projet'!$A$434:$I$454,5,0)*VLOOKUP('Données projet'!$B$24,Paramètres!$A$1:$I$89,7,0))</f>
        <v>0</v>
      </c>
      <c r="MA202" s="16">
        <f>IF(ISNA(VLOOKUP($A202,'Données projet'!$A$434:$I$454,6,0)),0%,VLOOKUP($A202,'Données projet'!$A$434:$I$454,6,0)*VLOOKUP('Données projet'!$B$24,Paramètres!$A$1:$I$89,7,0))</f>
        <v>0</v>
      </c>
      <c r="MB202" s="16">
        <f>IF(ISNA(VLOOKUP($A202,'Données projet'!$A$434:$I$454,7,0)),0%,VLOOKUP($A202,'Données projet'!$A$434:$I$454,7,0))</f>
        <v>0</v>
      </c>
      <c r="MC202" s="21">
        <f>EXP(-LN(2)/35)*MC201+(1-EXP(-LN(2)/35))/(LN(2)/35)*LY202*LZ202*VLOOKUP('Données projet'!$B$24,Paramètres!$A$1:$I$89,3,0)*0.475*44/12</f>
        <v>75.053105823456221</v>
      </c>
      <c r="MD202" s="21">
        <f>EXP(-LN(2)/25)*MD201+(1-EXP(-LN(2)/25))/(LN(2)/25)*Calculateur!LY202*Calculateur!MA202*VLOOKUP('Données projet'!$B$24,Paramètres!$A$1:$I$89,3,0)*0.475*44/12</f>
        <v>0</v>
      </c>
      <c r="ME202" s="21">
        <f>EXP(-LN(2)/2)*ME201+(1-EXP(-LN(2)/2))/(LN(2)/2)*LY202*MB202*VLOOKUP('Données projet'!$B$24,Paramètres!$A$1:$I$89,3,0)*0.475*44/12</f>
        <v>0</v>
      </c>
      <c r="MF202" s="22">
        <f t="shared" si="384"/>
        <v>75.053105823456221</v>
      </c>
      <c r="MG202" s="74">
        <f>('Scénario référence'!$F$8+'Scénario référence'!$F$9+'Scénario référence'!$B$17+'Scénario référence'!$B$9+'Scénario référence'!$B$10)*70+IF((45+25*(1-EXP(-0.0175*$A202)))&lt;70,'Scénario référence'!$B$16*(45+25*(1-EXP(-0.0175*$A202))),70*'Scénario référence'!$B$16)+IF((32+38*(1-EXP(-0.0175*$A202)))&lt;70,'Scénario référence'!$B$18*(32+38*(1-EXP(-0.0175*$A202))),70*'Scénario référence'!$B$18)</f>
        <v>70</v>
      </c>
      <c r="MH202" s="12">
        <f>IF($A202&gt;30,10,('Scénario référence'!$B$16+'Scénario référence'!$B$17+'Scénario référence'!$B$18+'Scénario référence'!$B$9+'Scénario référence'!$B$10)*$A202*10/30+('Scénario référence'!$F$8+'Scénario référence'!$F$9)*10)</f>
        <v>10</v>
      </c>
      <c r="MI202" s="12" t="e">
        <f>VLOOKUP($A202,'Données projet'!$A$460:$I$480,2,0)</f>
        <v>#N/A</v>
      </c>
      <c r="MJ202" s="12" t="e">
        <f>VLOOKUP($A202,'Données projet'!$A$460:$I$480,9,0)</f>
        <v>#N/A</v>
      </c>
      <c r="MK202" s="12">
        <f t="array" ref="MK202">INDEX(MJ:MJ,MIN(IF(ISNUMBER(MJ202:MJ398),ROW(MJ202:MJ398),"")))</f>
        <v>0</v>
      </c>
      <c r="ML202" s="12">
        <f>IF('Données projet'!$A$460&gt;35,ML201+MK202-MT201,IF($A202&lt;'Données projet'!$A$460,$CQ$205^$A202,IF($A202='Données projet'!$A$460,'Données projet'!$B$460,ML201+MK202-MT201)))</f>
        <v>0</v>
      </c>
      <c r="MM202" s="17" t="e">
        <f>ML202*VLOOKUP('Données projet'!$B$25,Paramètres!$A$1:$I$89,3,0)*VLOOKUP('Données projet'!$B$25,Paramètres!$A$1:$I$89,5,0)</f>
        <v>#N/A</v>
      </c>
      <c r="MN202" s="13" t="e">
        <f t="shared" si="421"/>
        <v>#N/A</v>
      </c>
      <c r="MO202" s="14" t="e">
        <f t="shared" si="385"/>
        <v>#N/A</v>
      </c>
      <c r="MP202" s="59" t="e">
        <f t="shared" si="386"/>
        <v>#N/A</v>
      </c>
      <c r="MQ202" s="20" t="e">
        <f ca="1">AVERAGE(OFFSET($MP$3,0,0,'Données projet'!$E$25+1,1))-AVERAGE(OFFSET($H$3,0,0,'Données projet'!$E$25+1,1))</f>
        <v>#N/A</v>
      </c>
      <c r="MR202" s="59" t="e">
        <f t="shared" si="422"/>
        <v>#N/A</v>
      </c>
      <c r="MS202" s="15">
        <f>IF(ISNA(VLOOKUP($A202,'Données projet'!$A$460:$I$480,3,0)),0,VLOOKUP($A202,'Données projet'!$A$460:$I$480,3,0))</f>
        <v>0</v>
      </c>
      <c r="MT202" s="15">
        <f>IF(ISNA(VLOOKUP($A202,'Données projet'!$A$460:$I$480,4,0)),0,VLOOKUP($A202,'Données projet'!$A$460:$I$480,4,0))</f>
        <v>0</v>
      </c>
      <c r="MU202" s="16">
        <f>IF(ISNA(VLOOKUP($A202,'Données projet'!$A$460:$I$480,5,0)),0%,VLOOKUP($A202,'Données projet'!$A$460:$I$480,5,0)*VLOOKUP('Données projet'!$B$25,Paramètres!$A$1:$I$89,7,0))</f>
        <v>0</v>
      </c>
      <c r="MV202" s="16">
        <f>IF(ISNA(VLOOKUP($A202,'Données projet'!$A$460:$I$480,6,0)),0%,VLOOKUP($A202,'Données projet'!$A$460:$I$480,6,0)*VLOOKUP('Données projet'!$B$25,Paramètres!$A$1:$I$89,7,0))</f>
        <v>0</v>
      </c>
      <c r="MW202" s="16">
        <f>IF(ISNA(VLOOKUP($A202,'Données projet'!$A$460:$I$480,7,0)),0%,VLOOKUP($A202,'Données projet'!$A$460:$I$480,7,0))</f>
        <v>0</v>
      </c>
      <c r="MX202" s="21" t="e">
        <f>EXP(-LN(2)/35)*MX201+(1-EXP(-LN(2)/35))/(LN(2)/35)*MT202*MU202*VLOOKUP('Données projet'!$B$25,Paramètres!$A$1:$I$89,3,0)*0.475*44/12</f>
        <v>#N/A</v>
      </c>
      <c r="MY202" s="21" t="e">
        <f>EXP(-LN(2)/25)*MY201+(1-EXP(-LN(2)/25))/(LN(2)/25)*Calculateur!MT202*Calculateur!MV202*VLOOKUP('Données projet'!$B$25,Paramètres!$A$1:$I$89,3,0)*0.475*44/12</f>
        <v>#N/A</v>
      </c>
      <c r="MZ202" s="21" t="e">
        <f>EXP(-LN(2)/2)*MZ201+(1-EXP(-LN(2)/2))/(LN(2)/2)*MT202*MW202*VLOOKUP('Données projet'!$B$25,Paramètres!$A$1:$I$89,3,0)*0.475*44/12</f>
        <v>#N/A</v>
      </c>
      <c r="NA202" s="22" t="e">
        <f t="shared" si="387"/>
        <v>#N/A</v>
      </c>
      <c r="NB202" s="74">
        <f>('Scénario référence'!$F$8+'Scénario référence'!$F$9+'Scénario référence'!$B$17+'Scénario référence'!$B$9+'Scénario référence'!$B$10)*70+IF((45+25*(1-EXP(-0.0175*$A202)))&lt;70,'Scénario référence'!$B$16*(45+25*(1-EXP(-0.0175*$A202))),70*'Scénario référence'!$B$16)+IF((32+38*(1-EXP(-0.0175*$A202)))&lt;70,'Scénario référence'!$B$18*(32+38*(1-EXP(-0.0175*$A202))),70*'Scénario référence'!$B$18)</f>
        <v>70</v>
      </c>
      <c r="NC202" s="12">
        <f>IF($A202&gt;30,10,('Scénario référence'!$B$16+'Scénario référence'!$B$17+'Scénario référence'!$B$18+'Scénario référence'!$B$9+'Scénario référence'!$B$10)*$A202*10/30+('Scénario référence'!$F$8+'Scénario référence'!$F$9)*10)</f>
        <v>10</v>
      </c>
      <c r="ND202" s="12" t="e">
        <f>VLOOKUP($A202,'Données projet'!$A$486:$I$506,2,0)</f>
        <v>#N/A</v>
      </c>
      <c r="NE202" s="12" t="e">
        <f>VLOOKUP($A202,'Données projet'!$A$486:$I$506,9,0)</f>
        <v>#N/A</v>
      </c>
      <c r="NF202" s="12">
        <f t="array" ref="NF202">INDEX(NE:NE,MIN(IF(ISNUMBER(NE202:NE398),ROW(NE202:NE398),"")))</f>
        <v>0</v>
      </c>
      <c r="NG202" s="12">
        <f>IF('Données projet'!$A$486&gt;35,NG201+NF202-NO201,IF($A202&lt;'Données projet'!$A$486,$CQ$205^$A202,IF($A202='Données projet'!$A$486,'Données projet'!$B$486,NG201+NF202-NO201)))</f>
        <v>0</v>
      </c>
      <c r="NH202" s="17" t="e">
        <f>NG202*VLOOKUP('Données projet'!$B$26,Paramètres!$A$1:$I$89,3,0)*VLOOKUP('Données projet'!$B$26,Paramètres!$A$1:$I$89,5,0)</f>
        <v>#N/A</v>
      </c>
      <c r="NI202" s="13" t="e">
        <f t="shared" si="423"/>
        <v>#N/A</v>
      </c>
      <c r="NJ202" s="14" t="e">
        <f t="shared" si="388"/>
        <v>#N/A</v>
      </c>
      <c r="NK202" s="59" t="e">
        <f t="shared" si="389"/>
        <v>#N/A</v>
      </c>
      <c r="NL202" s="20" t="e">
        <f ca="1">AVERAGE(OFFSET($NK$3,0,0,'Données projet'!$E$26+1,1))-AVERAGE(OFFSET($H$3,0,0,'Données projet'!$E$26+1,1))</f>
        <v>#N/A</v>
      </c>
      <c r="NM202" s="59" t="e">
        <f t="shared" si="424"/>
        <v>#N/A</v>
      </c>
      <c r="NN202" s="15">
        <f>IF(ISNA(VLOOKUP($A202,'Données projet'!$A$486:$I$506,3,0)),0,VLOOKUP($A202,'Données projet'!$A$486:$I$506,3,0))</f>
        <v>0</v>
      </c>
      <c r="NO202" s="15">
        <f>IF(ISNA(VLOOKUP($A202,'Données projet'!$A$486:$I$506,4,0)),0,VLOOKUP($A202,'Données projet'!$A$486:$I$506,4,0))</f>
        <v>0</v>
      </c>
      <c r="NP202" s="16">
        <f>IF(ISNA(VLOOKUP($A202,'Données projet'!$A$486:$I$506,5,0)),0%,VLOOKUP($A202,'Données projet'!$A$486:$I$506,5,0)*VLOOKUP('Données projet'!$B$26,Paramètres!$A$1:$I$89,7,0))</f>
        <v>0</v>
      </c>
      <c r="NQ202" s="16">
        <f>IF(ISNA(VLOOKUP($A202,'Données projet'!$A$486:$I$506,6,0)),0%,VLOOKUP($A202,'Données projet'!$A$486:$I$506,6,0)*VLOOKUP('Données projet'!$B$26,Paramètres!$A$1:$I$89,7,0))</f>
        <v>0</v>
      </c>
      <c r="NR202" s="16">
        <f>IF(ISNA(VLOOKUP($A202,'Données projet'!$A$486:$I$506,7,0)),0%,VLOOKUP($A202,'Données projet'!$A$486:$I$506,7,0))</f>
        <v>0</v>
      </c>
      <c r="NS202" s="21" t="e">
        <f>EXP(-LN(2)/35)*NS201+(1-EXP(-LN(2)/35))/(LN(2)/35)*NO202*NP202*VLOOKUP('Données projet'!$B$26,Paramètres!$A$1:$I$89,3,0)*0.475*44/12</f>
        <v>#N/A</v>
      </c>
      <c r="NT202" s="21" t="e">
        <f>EXP(-LN(2)/25)*NT201+(1-EXP(-LN(2)/25))/(LN(2)/25)*Calculateur!NO202*Calculateur!NQ202*VLOOKUP('Données projet'!$B$26,Paramètres!$A$1:$I$89,3,0)*0.475*44/12</f>
        <v>#N/A</v>
      </c>
      <c r="NU202" s="21" t="e">
        <f>EXP(-LN(2)/2)*NU201+(1-EXP(-LN(2)/2))/(LN(2)/2)*NO202*NR202*VLOOKUP('Données projet'!$B$26,Paramètres!$A$1:$I$89,3,0)*0.475*44/12</f>
        <v>#N/A</v>
      </c>
      <c r="NV202" s="22" t="e">
        <f t="shared" si="390"/>
        <v>#N/A</v>
      </c>
      <c r="NW202" s="74">
        <f>('Scénario référence'!$F$8+'Scénario référence'!$F$9+'Scénario référence'!$B$17+'Scénario référence'!$B$9+'Scénario référence'!$B$10)*70+IF((45+25*(1-EXP(-0.0175*$A202)))&lt;70,'Scénario référence'!$B$16*(45+25*(1-EXP(-0.0175*$A202))),70*'Scénario référence'!$B$16)+IF((32+38*(1-EXP(-0.0175*$A202)))&lt;70,'Scénario référence'!$B$18*(32+38*(1-EXP(-0.0175*$A202))),70*'Scénario référence'!$B$18)</f>
        <v>70</v>
      </c>
      <c r="NX202" s="12">
        <f>IF($A202&gt;30,10,('Scénario référence'!$B$16+'Scénario référence'!$B$17+'Scénario référence'!$B$18+'Scénario référence'!$B$9+'Scénario référence'!$B$10)*$A202*10/30+('Scénario référence'!$F$8+'Scénario référence'!$F$9)*10)</f>
        <v>10</v>
      </c>
      <c r="NY202" s="12" t="e">
        <f>VLOOKUP($A202,'Données projet'!$A$512:$I$532,2,0)</f>
        <v>#N/A</v>
      </c>
      <c r="NZ202" s="12" t="e">
        <f>VLOOKUP($A202,'Données projet'!$A$512:$I$532,9,0)</f>
        <v>#N/A</v>
      </c>
      <c r="OA202" s="12">
        <f t="array" ref="OA202">INDEX(NZ:NZ,MIN(IF(ISNUMBER(NZ202:NZ398),ROW(NZ202:NZ398),"")))</f>
        <v>0</v>
      </c>
      <c r="OB202" s="12">
        <f>IF('Données projet'!$A$512&gt;35,OB201+OA202-OJ201,IF($A202&lt;'Données projet'!$A$512,$CQ$205^$A202,IF($A202='Données projet'!$A$512,'Données projet'!$B$512,OB201+OA202-OJ201)))</f>
        <v>0</v>
      </c>
      <c r="OC202" s="17" t="e">
        <f>OB202*VLOOKUP('Données projet'!$B$27,Paramètres!$A$1:$I$89,3,0)*VLOOKUP('Données projet'!$B$27,Paramètres!$A$1:$I$89,5,0)</f>
        <v>#N/A</v>
      </c>
      <c r="OD202" s="13" t="e">
        <f t="shared" si="425"/>
        <v>#N/A</v>
      </c>
      <c r="OE202" s="14" t="e">
        <f t="shared" si="391"/>
        <v>#N/A</v>
      </c>
      <c r="OF202" s="59" t="e">
        <f t="shared" si="392"/>
        <v>#N/A</v>
      </c>
      <c r="OG202" s="20" t="e">
        <f ca="1">AVERAGE(OFFSET($OF$3,0,0,'Données projet'!$E$27+1,1))-AVERAGE(OFFSET($H$3,0,0,'Données projet'!$E$27+1,1))</f>
        <v>#N/A</v>
      </c>
      <c r="OH202" s="59" t="e">
        <f t="shared" si="426"/>
        <v>#N/A</v>
      </c>
      <c r="OI202" s="15">
        <f>IF(ISNA(VLOOKUP($A202,'Données projet'!$A$512:$I$532,3,0)),0,VLOOKUP($A202,'Données projet'!$A$512:$I$532,3,0))</f>
        <v>0</v>
      </c>
      <c r="OJ202" s="15">
        <f>IF(ISNA(VLOOKUP($A202,'Données projet'!$A$512:$I$532,4,0)),0,VLOOKUP($A202,'Données projet'!$A$512:$I$532,4,0))</f>
        <v>0</v>
      </c>
      <c r="OK202" s="16">
        <f>IF(ISNA(VLOOKUP($A202,'Données projet'!$A$512:$I$532,5,0)),0%,VLOOKUP($A202,'Données projet'!$A$512:$I$532,5,0)*VLOOKUP('Données projet'!$B$27,Paramètres!$A$1:$I$89,7,0))</f>
        <v>0</v>
      </c>
      <c r="OL202" s="16">
        <f>IF(ISNA(VLOOKUP($A202,'Données projet'!$A$512:$I$532,6,0)),0%,VLOOKUP($A202,'Données projet'!$A$512:$I$532,6,0)*VLOOKUP('Données projet'!$B$27,Paramètres!$A$1:$I$89,7,0))</f>
        <v>0</v>
      </c>
      <c r="OM202" s="16">
        <f>IF(ISNA(VLOOKUP($A202,'Données projet'!$A$512:$I$532,7,0)),0%,VLOOKUP($A202,'Données projet'!$A$512:$I$532,7,0))</f>
        <v>0</v>
      </c>
      <c r="ON202" s="21" t="e">
        <f>EXP(-LN(2)/35)*ON201+(1-EXP(-LN(2)/35))/(LN(2)/35)*OJ202*OK202*VLOOKUP('Données projet'!$B$27,Paramètres!$A$1:$I$89,3,0)*0.475*44/12</f>
        <v>#N/A</v>
      </c>
      <c r="OO202" s="21" t="e">
        <f>EXP(-LN(2)/25)*OO201+(1-EXP(-LN(2)/25))/(LN(2)/25)*Calculateur!OJ202*Calculateur!OL202*VLOOKUP('Données projet'!$B$27,Paramètres!$A$1:$I$89,3,0)*0.475*44/12</f>
        <v>#N/A</v>
      </c>
      <c r="OP202" s="21" t="e">
        <f>EXP(-LN(2)/2)*OP201+(1-EXP(-LN(2)/2))/(LN(2)/2)*OJ202*OM202*VLOOKUP('Données projet'!$B$27,Paramètres!$A$1:$I$89,3,0)*0.475*44/12</f>
        <v>#N/A</v>
      </c>
      <c r="OQ202" s="22" t="e">
        <f t="shared" si="393"/>
        <v>#N/A</v>
      </c>
      <c r="OR202" s="74">
        <f>('Scénario référence'!$F$8+'Scénario référence'!$F$9+'Scénario référence'!$B$17+'Scénario référence'!$B$9+'Scénario référence'!$B$10)*70+IF((45+25*(1-EXP(-0.0175*$A202)))&lt;70,'Scénario référence'!$B$16*(45+25*(1-EXP(-0.0175*$A202))),70*'Scénario référence'!$B$16)+IF((32+38*(1-EXP(-0.0175*$A202)))&lt;70,'Scénario référence'!$B$18*(32+38*(1-EXP(-0.0175*$A202))),70*'Scénario référence'!$B$18)</f>
        <v>70</v>
      </c>
      <c r="OS202" s="12">
        <f>IF($A202&gt;30,10,('Scénario référence'!$B$16+'Scénario référence'!$B$17+'Scénario référence'!$B$18+'Scénario référence'!$B$9+'Scénario référence'!$B$10)*$A202*10/30+('Scénario référence'!$F$8+'Scénario référence'!$F$9)*10)</f>
        <v>10</v>
      </c>
      <c r="OT202" s="12" t="e">
        <f>VLOOKUP($A202,'Données projet'!$A$538:$I$558,2,0)</f>
        <v>#N/A</v>
      </c>
      <c r="OU202" s="12" t="e">
        <f>VLOOKUP($A202,'Données projet'!$A$538:$I$558,9,0)</f>
        <v>#N/A</v>
      </c>
      <c r="OV202" s="12">
        <f t="array" ref="OV202">INDEX(OU:OU,MIN(IF(ISNUMBER(OU202:OU398),ROW(OU202:OU398),"")))</f>
        <v>0</v>
      </c>
      <c r="OW202" s="12">
        <f>IF('Données projet'!$A$538&gt;35,OW201+OV202-PE201,IF($A202&lt;'Données projet'!$A$538,$CQ$205^$A202,IF($A202='Données projet'!$A$538,'Données projet'!$B$538,OW201+OV202-PE201)))</f>
        <v>0</v>
      </c>
      <c r="OX202" s="17" t="e">
        <f>OW202*VLOOKUP('Données projet'!$B$28,Paramètres!$A$1:$I$89,3,0)*VLOOKUP('Données projet'!$B$28,Paramètres!$A$1:$I$89,5,0)</f>
        <v>#N/A</v>
      </c>
      <c r="OY202" s="13" t="e">
        <f t="shared" si="427"/>
        <v>#N/A</v>
      </c>
      <c r="OZ202" s="14" t="e">
        <f t="shared" si="394"/>
        <v>#N/A</v>
      </c>
      <c r="PA202" s="59" t="e">
        <f t="shared" si="395"/>
        <v>#N/A</v>
      </c>
      <c r="PB202" s="20" t="e">
        <f ca="1">AVERAGE(OFFSET($PA$3,0,0,'Données projet'!$E$28+1,1))-AVERAGE(OFFSET($H$3,0,0,'Données projet'!$E$28+1,1))</f>
        <v>#N/A</v>
      </c>
      <c r="PC202" s="59" t="e">
        <f t="shared" si="428"/>
        <v>#N/A</v>
      </c>
      <c r="PD202" s="15">
        <f>IF(ISNA(VLOOKUP($A202,'Données projet'!$A$538:$I$558,3,0)),0,VLOOKUP($A202,'Données projet'!$A$538:$I$558,3,0))</f>
        <v>0</v>
      </c>
      <c r="PE202" s="15">
        <f>IF(ISNA(VLOOKUP($A202,'Données projet'!$A$538:$I$558,4,0)),0,VLOOKUP($A202,'Données projet'!$A$538:$I$558,4,0))</f>
        <v>0</v>
      </c>
      <c r="PF202" s="16">
        <f>IF(ISNA(VLOOKUP($A202,'Données projet'!$A$538:$I$558,5,0)),0%,VLOOKUP($A202,'Données projet'!$A$538:$I$558,5,0)*VLOOKUP('Données projet'!$B$28,Paramètres!$A$1:$I$89,7,0))</f>
        <v>0</v>
      </c>
      <c r="PG202" s="16">
        <f>IF(ISNA(VLOOKUP($A202,'Données projet'!$A$538:$I$558,6,0)),0%,VLOOKUP($A202,'Données projet'!$A$538:$I$558,6,0)*VLOOKUP('Données projet'!$B$28,Paramètres!$A$1:$I$89,7,0))</f>
        <v>0</v>
      </c>
      <c r="PH202" s="16">
        <f>IF(ISNA(VLOOKUP($A202,'Données projet'!$A$538:$I$558,7,0)),0%,VLOOKUP($A202,'Données projet'!$A$538:$I$558,7,0))</f>
        <v>0</v>
      </c>
      <c r="PI202" s="21" t="e">
        <f>EXP(-LN(2)/35)*PI201+(1-EXP(-LN(2)/35))/(LN(2)/35)*PE202*PF202*VLOOKUP('Données projet'!$B$28,Paramètres!$A$1:$I$89,3,0)*0.475*44/12</f>
        <v>#N/A</v>
      </c>
      <c r="PJ202" s="21" t="e">
        <f>EXP(-LN(2)/25)*PJ201+(1-EXP(-LN(2)/25))/(LN(2)/25)*Calculateur!PE202*Calculateur!PG202*VLOOKUP('Données projet'!$B$28,Paramètres!$A$1:$I$89,3,0)*0.475*44/12</f>
        <v>#N/A</v>
      </c>
      <c r="PK202" s="21" t="e">
        <f>EXP(-LN(2)/2)*PK201+(1-EXP(-LN(2)/2))/(LN(2)/2)*PE202*PH202*VLOOKUP('Données projet'!$B$28,Paramètres!$A$1:$I$89,3,0)*0.475*44/12</f>
        <v>#N/A</v>
      </c>
      <c r="PL202" s="22" t="e">
        <f t="shared" si="396"/>
        <v>#N/A</v>
      </c>
    </row>
    <row r="203" spans="1:42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397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357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projet'!$A$45:$I$65,2,0)</f>
        <v>#N/A</v>
      </c>
      <c r="L203" s="12" t="e">
        <f>VLOOKUP(A203,'Données projet'!$A$45:$I$65,9,0)</f>
        <v>#N/A</v>
      </c>
      <c r="M203" s="12">
        <f t="array" ref="M203">INDEX(L:L,MIN(IF(ISNUMBER(L203:L399),ROW(L203:L399),"")))</f>
        <v>0</v>
      </c>
      <c r="N203" s="13">
        <f>IF('Données projet'!$A$46&gt;35,N202+M203-V202,IF(A203&lt;'Données projet'!$A$46,$K$205^A203,IF(A203='Données projet'!$A$46,'Données projet'!$B$46,N202+M203-V202)))</f>
        <v>-1.1368683772161603E-13</v>
      </c>
      <c r="O203" s="13">
        <f>N203*VLOOKUP('Données projet'!$B$9,Paramètres!$A$1:$I$89,3,0)*VLOOKUP('Données projet'!$B$9,Paramètres!$A$1:$I$89,5,0)</f>
        <v>-6.3550942286383367E-14</v>
      </c>
      <c r="P203" s="13" t="e">
        <f t="shared" si="398"/>
        <v>#NUM!</v>
      </c>
      <c r="Q203" s="20" t="e">
        <f t="shared" si="327"/>
        <v>#NUM!</v>
      </c>
      <c r="R203" s="59" t="e">
        <f t="shared" si="356"/>
        <v>#NUM!</v>
      </c>
      <c r="S203" s="59">
        <f ca="1">AVERAGE(OFFSET($R$3,0,0,'Données projet'!$E$9+1,1))-AVERAGE(OFFSET($H$3,0,0,'Données projet'!$E$9+1,1))</f>
        <v>274.57619581652199</v>
      </c>
      <c r="T203" s="59">
        <f t="shared" si="399"/>
        <v>366.15117322598775</v>
      </c>
      <c r="U203" s="15">
        <f>IF(ISNA(VLOOKUP(A203,'Données projet'!$A$45:$I$65,3,0)),0,VLOOKUP(A203,'Données projet'!$A$45:$I$65,3,0))</f>
        <v>0</v>
      </c>
      <c r="V203" s="15">
        <f>IF(ISNA(VLOOKUP(A203,'Données projet'!$A$45:$I$65,4,0)),0,VLOOKUP(A203,'Données projet'!$A$45:$I$65,4,0))</f>
        <v>0</v>
      </c>
      <c r="W203" s="16">
        <f>IF(ISNA(VLOOKUP(A203,'Données projet'!$A$45:$I$65,5,0)),0%,VLOOKUP(A203,'Données projet'!$A$45:$I$65,5,0)*VLOOKUP('Données projet'!$B$9,Paramètres!$A$1:$I$89,7,0))</f>
        <v>0</v>
      </c>
      <c r="X203" s="16">
        <f>IF(ISNA(VLOOKUP(A203,'Données projet'!$A$45:$I$65,6,0)),0%,VLOOKUP(A203,'Données projet'!$A$45:$I$65,6,0)*VLOOKUP('Données projet'!$B$9,Paramètres!$A$1:$I$89,7,0))</f>
        <v>0</v>
      </c>
      <c r="Y203" s="16">
        <f>IF(ISNA(VLOOKUP(A203,'Données projet'!$A$45:$I$65,7,0)),0%,VLOOKUP(A203,'Données projet'!$A$45:$I$65,7,0))</f>
        <v>0</v>
      </c>
      <c r="Z203" s="21">
        <f>EXP(-LN(2)/35)*Z202+(1-EXP(-LN(2)/35))/(LN(2)/35)*V203*W203*VLOOKUP('Données projet'!$B$9,Paramètres!$A$1:$I$89,3,0)*0.475*44/12</f>
        <v>12.830542675406141</v>
      </c>
      <c r="AA203" s="21">
        <f>EXP(-LN(2)/25)*AA202+(1-EXP(-LN(2)/25))/(LN(2)/25)*Calculateur!V203*Calculateur!X203*VLOOKUP('Données projet'!$B$9,Paramètres!$A$1:$I$89,3,0)*0.475*44/12</f>
        <v>1.0339663702682229</v>
      </c>
      <c r="AB203" s="21">
        <f>EXP(-LN(2)/2)*AB202+(1-EXP(-LN(2)/2))/(LN(2)/2)*V203*Y203*VLOOKUP('Données projet'!$B$9,Paramètres!$A$1:$I$89,3,0)*0.475*44/12</f>
        <v>5.115166263166508E-21</v>
      </c>
      <c r="AC203" s="22">
        <f t="shared" si="328"/>
        <v>13.864509045674364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projet'!$A$71:$I$91,2,0)</f>
        <v>#N/A</v>
      </c>
      <c r="AG203" s="12" t="e">
        <f>VLOOKUP(A203,'Données projet'!$A$71:$I$91,9,0)</f>
        <v>#N/A</v>
      </c>
      <c r="AH203" s="12">
        <f t="array" ref="AH203">INDEX(AG:AG,MIN(IF(ISNUMBER(AG203:AG399),ROW(AG203:AG399),"")))</f>
        <v>0</v>
      </c>
      <c r="AI203" s="13">
        <f>IF('Données projet'!$A$72&gt;35,AI202+AH203-AQ202,IF(A203&lt;'Données projet'!$A$72,$AF$205^A203,IF(A203='Données projet'!$A$72,'Données projet'!$B$72,AI202+AH203-AQ202)))</f>
        <v>5.6843418860808015E-13</v>
      </c>
      <c r="AJ203" s="13">
        <f>AI203*VLOOKUP('Données projet'!$B$10,Paramètres!$A$1:$I$89,3,0)*VLOOKUP('Données projet'!$B$10,Paramètres!$A$1:$I$89,5,0)</f>
        <v>5.1431925385259092E-13</v>
      </c>
      <c r="AK203" s="13">
        <f t="shared" si="329"/>
        <v>6.3855359115685756E-12</v>
      </c>
      <c r="AL203" s="20">
        <f t="shared" si="330"/>
        <v>1.2017247746441865E-11</v>
      </c>
      <c r="AM203" s="59">
        <f t="shared" si="358"/>
        <v>293.33333333334531</v>
      </c>
      <c r="AN203" s="59">
        <f ca="1">AVERAGE(OFFSET($AM$3,0,0,'Données projet'!$E$10+1,1))-AVERAGE(OFFSET($H$3,0,0,'Données projet'!$E$10+1,1))</f>
        <v>270.87836509222456</v>
      </c>
      <c r="AO203" s="59">
        <f t="shared" si="400"/>
        <v>205.24998237949734</v>
      </c>
      <c r="AP203" s="15">
        <f>IF(ISNA(VLOOKUP(A203,'Données projet'!$A$71:$I$91,3,0)),0,VLOOKUP(A203,'Données projet'!$A$71:$I$91,3,0))</f>
        <v>0</v>
      </c>
      <c r="AQ203" s="15">
        <f>IF(ISNA(VLOOKUP(A203,'Données projet'!$A$71:$I$91,4,0)),0,VLOOKUP(A203,'Données projet'!$A$71:$I$91,4,0))</f>
        <v>0</v>
      </c>
      <c r="AR203" s="16">
        <f>IF(ISNA(VLOOKUP(A203,'Données projet'!$A$71:$I$91,5,0)),0%,VLOOKUP(A203,'Données projet'!$A$71:$I$91,5,0)*VLOOKUP('Données projet'!$B$10,Paramètres!$A$1:$I$89,7,0))</f>
        <v>0</v>
      </c>
      <c r="AS203" s="16">
        <f>IF(ISNA(VLOOKUP(A203,'Données projet'!$A$71:$I$91,6,0)),0%,VLOOKUP(A203,'Données projet'!$A$71:$I$91,6,0)*VLOOKUP('Données projet'!$B$10,Paramètres!$A$1:$I$89,7,0))</f>
        <v>0</v>
      </c>
      <c r="AT203" s="16">
        <f>IF(ISNA(VLOOKUP(A203,'Données projet'!$A$71:$I$91,7,0)),0%,VLOOKUP(A203,'Données projet'!$A$71:$I$91,7,0))</f>
        <v>0</v>
      </c>
      <c r="AU203" s="21">
        <f>EXP(-LN(2)/35)*AU202+(1-EXP(-LN(2)/35))/(LN(2)/35)*AQ203*AR203*VLOOKUP('Données projet'!$B$10,Paramètres!$A$1:$I$89,3,0)*0.475*44/12</f>
        <v>43.601452939743396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331"/>
        <v>43.601452939743396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projet'!$A$97:$I$117,2,0)</f>
        <v>#N/A</v>
      </c>
      <c r="BB203" s="12" t="e">
        <f>VLOOKUP(A203,'Données projet'!$A$97:$I$117,9,0)</f>
        <v>#N/A</v>
      </c>
      <c r="BC203" s="12">
        <f t="array" ref="BC203">INDEX(BB:BB,MIN(IF(ISNUMBER(BB203:BB399),ROW(BB203:BB399),"")))</f>
        <v>0</v>
      </c>
      <c r="BD203" s="12">
        <f>IF('Données projet'!$A$98&gt;35,BD202+BC203-BL202,IF(A203&lt;'Données projet'!$A$98,$BA$205^A203,IF(A203='Données projet'!$A$98,'Données projet'!$B$98,BD202+BC203-BL202)))</f>
        <v>-1.1368683772161603E-13</v>
      </c>
      <c r="BE203" s="13">
        <f>BD203*VLOOKUP('Données projet'!$B$11,Paramètres!$A$1:$I$89,3,0)*VLOOKUP('Données projet'!$B$11,Paramètres!$A$1:$I$89,5,0)</f>
        <v>-5.0249582272954292E-14</v>
      </c>
      <c r="BF203" s="13" t="e">
        <f t="shared" si="332"/>
        <v>#NUM!</v>
      </c>
      <c r="BG203" s="20" t="e">
        <f t="shared" si="333"/>
        <v>#NUM!</v>
      </c>
      <c r="BH203" s="59" t="e">
        <f t="shared" si="359"/>
        <v>#NUM!</v>
      </c>
      <c r="BI203" s="59">
        <f ca="1">AVERAGE(OFFSET($BH$3,0,0,'Données projet'!$E$11+1,1))-AVERAGE(OFFSET($H$3,0,0,'Données projet'!$E$11+1,1))</f>
        <v>211.31057120485542</v>
      </c>
      <c r="BJ203" s="59">
        <f t="shared" si="401"/>
        <v>283.33292006714777</v>
      </c>
      <c r="BK203" s="15">
        <f>IF(ISNA(VLOOKUP(A203,'Données projet'!$A$97:$I$117,3,0)),0,VLOOKUP(A203,'Données projet'!$A$97:$I$117,3,0))</f>
        <v>0</v>
      </c>
      <c r="BL203" s="15">
        <f>IF(ISNA(VLOOKUP(A203,'Données projet'!$A$97:$I$117,4,0)),0,VLOOKUP(A203,'Données projet'!$A$97:$I$117,4,0))</f>
        <v>0</v>
      </c>
      <c r="BM203" s="16">
        <f>IF(ISNA(VLOOKUP(A203,'Données projet'!$A$97:$I$117,5,0)),0%,VLOOKUP(A203,'Données projet'!$A$97:$I$117,5,0)*VLOOKUP('Données projet'!$B$11,Paramètres!$A$1:$I$89,7,0))</f>
        <v>0</v>
      </c>
      <c r="BN203" s="16">
        <f>IF(ISNA(VLOOKUP(A203,'Données projet'!$A$97:$I$117,6,0)),0%,VLOOKUP(A203,'Données projet'!$A$97:$I$117,6,0)*VLOOKUP('Données projet'!$B$11,Paramètres!$A$1:$I$89,7,0))</f>
        <v>0</v>
      </c>
      <c r="BO203" s="16">
        <f>IF(ISNA(VLOOKUP(A203,'Données projet'!$A$97:$I$117,7,0)),0%,VLOOKUP(A203,'Données projet'!$A$97:$I$117,7,0))</f>
        <v>0</v>
      </c>
      <c r="BP203" s="21">
        <f>EXP(-LN(2)/35)*BP202+(1-EXP(-LN(2)/35))/(LN(2)/35)*BL203*BM203*VLOOKUP('Données projet'!$B$11,Paramètres!$A$1:$I$89,3,0)*0.475*44/12</f>
        <v>10.145080254972306</v>
      </c>
      <c r="BQ203" s="21">
        <f>EXP(-LN(2)/25)*BQ202+(1-EXP(-LN(2)/25))/(LN(2)/25)*Calculateur!BL203*Calculateur!BN203*VLOOKUP('Données projet'!$B$11,Paramètres!$A$1:$I$89,3,0)*0.475*44/12</f>
        <v>0.81755480439812922</v>
      </c>
      <c r="BR203" s="21">
        <f>EXP(-LN(2)/2)*BR202+(1-EXP(-LN(2)/2))/(LN(2)/2)*BL203*BO203*VLOOKUP('Données projet'!$B$11,Paramètres!$A$1:$I$89,3,0)*0.475*44/12</f>
        <v>4.0445500685502614E-21</v>
      </c>
      <c r="BS203" s="22">
        <f t="shared" si="334"/>
        <v>10.962635059370436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projet'!$A$123:$I$143,2,0)</f>
        <v>#N/A</v>
      </c>
      <c r="BW203" s="12" t="e">
        <f>VLOOKUP(A203,'Données projet'!$A$123:$I$143,9,0)</f>
        <v>#N/A</v>
      </c>
      <c r="BX203" s="12">
        <f t="array" ref="BX203">INDEX(BW:BW,MIN(IF(ISNUMBER(BW203:BW399),ROW(BW203:BW399),"")))</f>
        <v>0</v>
      </c>
      <c r="BY203" s="12">
        <f>IF('Données projet'!$A$124&gt;35,BY202+BX203-CG202,IF(A203&lt;'Données projet'!$A$124,$BV$205^A203,IF(A203='Données projet'!$A$124,'Données projet'!$B$124,BY202+BX203-CG202)))</f>
        <v>0</v>
      </c>
      <c r="BZ203" s="13">
        <f>BY203*VLOOKUP('Données projet'!$B$12,Paramètres!$A$1:$I$89,3,0)*VLOOKUP('Données projet'!$B$12,Paramètres!$A$1:$I$89,5,0)</f>
        <v>0</v>
      </c>
      <c r="CA203" s="13" t="e">
        <f t="shared" si="335"/>
        <v>#NUM!</v>
      </c>
      <c r="CB203" s="20" t="e">
        <f t="shared" si="336"/>
        <v>#NUM!</v>
      </c>
      <c r="CC203" s="59" t="e">
        <f t="shared" si="360"/>
        <v>#NUM!</v>
      </c>
      <c r="CD203" s="59">
        <f ca="1">AVERAGE(OFFSET($CC$3,0,0,'Données projet'!$E$12+1,1))-AVERAGE(OFFSET($H$3,0,0,'Données projet'!$E$12+1,1))</f>
        <v>322.93502595881938</v>
      </c>
      <c r="CE203" s="59">
        <f t="shared" si="402"/>
        <v>302.67072119588164</v>
      </c>
      <c r="CF203" s="15">
        <f>IF(ISNA(VLOOKUP(A203,'Données projet'!$A$123:$I$143,3,0)),0,VLOOKUP(A203,'Données projet'!$A$123:$I$143,3,0))</f>
        <v>0</v>
      </c>
      <c r="CG203" s="15">
        <f>IF(ISNA(VLOOKUP(A203,'Données projet'!$A$123:$I$143,4,0)),0,VLOOKUP(A203,'Données projet'!$A$123:$I$143,4,0))</f>
        <v>0</v>
      </c>
      <c r="CH203" s="16">
        <f>IF(ISNA(VLOOKUP(A203,'Données projet'!$A$123:$I$143,5,0)),0%,VLOOKUP(A203,'Données projet'!$A$123:$I$143,5,0)*VLOOKUP('Données projet'!$B$12,Paramètres!$A$1:$I$89,7,0))</f>
        <v>0</v>
      </c>
      <c r="CI203" s="16">
        <f>IF(ISNA(VLOOKUP(A203,'Données projet'!$A$123:$I$143,6,0)),0%,VLOOKUP(A203,'Données projet'!$A$123:$I$143,6,0)*VLOOKUP('Données projet'!$B$12,Paramètres!$A$1:$I$89,7,0))</f>
        <v>0</v>
      </c>
      <c r="CJ203" s="16">
        <f>IF(ISNA(VLOOKUP(A203,'Données projet'!$A$123:$I$143,7,0)),0%,VLOOKUP(A203,'Données projet'!$A$123:$I$143,7,0))</f>
        <v>0</v>
      </c>
      <c r="CK203" s="21">
        <f>EXP(-LN(2)/35)*CK202+(1-EXP(-LN(2)/35))/(LN(2)/35)*CG203*CH203*VLOOKUP('Données projet'!$B$12,Paramètres!$A$1:$I$89,3,0)*0.475*44/12</f>
        <v>16.163564244645443</v>
      </c>
      <c r="CL203" s="21">
        <f>EXP(-LN(2)/25)*CL202+(1-EXP(-LN(2)/25))/(LN(2)/25)*Calculateur!CG203*Calculateur!CI203*VLOOKUP('Données projet'!$B$12,Paramètres!$A$1:$I$89,3,0)*0.475*44/12</f>
        <v>2.6166700265898823</v>
      </c>
      <c r="CM203" s="21">
        <f>EXP(-LN(2)/2)*CM202+(1-EXP(-LN(2)/2))/(LN(2)/2)*CG203*CJ203*VLOOKUP('Données projet'!$B$12,Paramètres!$A$1:$I$89,3,0)*0.475*44/12</f>
        <v>0</v>
      </c>
      <c r="CN203" s="22">
        <f t="shared" si="337"/>
        <v>18.780234271235326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projet'!$A$149:$I$169,2,0)</f>
        <v>#N/A</v>
      </c>
      <c r="CR203" s="12" t="e">
        <f>VLOOKUP(A203,'Données projet'!$A$149:$I$169,9,0)</f>
        <v>#N/A</v>
      </c>
      <c r="CS203" s="12">
        <f t="array" ref="CS203">INDEX(CR:CR,MIN(IF(ISNUMBER(CR203:CR399),ROW(CR203:CR399),"")))</f>
        <v>0</v>
      </c>
      <c r="CT203" s="12">
        <f>IF('Données projet'!$A$150&gt;35,CT202+CS203-DB202,IF(A203&lt;'Données projet'!$A$150,$CQ$205^A203,IF(A203='Données projet'!$A$150,'Données projet'!$B$150,CT202+CS203-DB202)))</f>
        <v>-4.5474735088646412E-13</v>
      </c>
      <c r="CU203" s="17">
        <f>CT203*VLOOKUP('Données projet'!$B$13,Paramètres!$A$1:$I$89,3,0)*VLOOKUP('Données projet'!$B$13,Paramètres!$A$1:$I$89,5,0)</f>
        <v>-4.6111381379887462E-13</v>
      </c>
      <c r="CV203" s="13" t="e">
        <f t="shared" si="338"/>
        <v>#NUM!</v>
      </c>
      <c r="CW203" s="20" t="e">
        <f t="shared" si="339"/>
        <v>#NUM!</v>
      </c>
      <c r="CX203" s="59" t="e">
        <f t="shared" si="361"/>
        <v>#NUM!</v>
      </c>
      <c r="CY203" s="59">
        <f ca="1">AVERAGE(OFFSET($CX$3,0,0,'Données projet'!$E$13+1,1))-AVERAGE(OFFSET($H$3,0,0,'Données projet'!$E$13+1,1))</f>
        <v>250.31277422753283</v>
      </c>
      <c r="CZ203" s="59">
        <f t="shared" si="403"/>
        <v>159.20429420478047</v>
      </c>
      <c r="DA203" s="15">
        <f>IF(ISNA(VLOOKUP(A203,'Données projet'!$A$149:$I$169,3,0)),0,VLOOKUP(A203,'Données projet'!$A$149:$I$169,3,0))</f>
        <v>0</v>
      </c>
      <c r="DB203" s="15">
        <f>IF(ISNA(VLOOKUP(A203,'Données projet'!$A$149:$I$169,4,0)),0,VLOOKUP(A203,'Données projet'!$A$149:$I$169,4,0))</f>
        <v>0</v>
      </c>
      <c r="DC203" s="16">
        <f>IF(ISNA(VLOOKUP(A203,'Données projet'!$A$149:$I$169,5,0)),0%,VLOOKUP(A203,'Données projet'!$A$149:$I$169,5,0)*VLOOKUP('Données projet'!$B$13,Paramètres!$A$1:$I$89,7,0))</f>
        <v>0</v>
      </c>
      <c r="DD203" s="16">
        <f>IF(ISNA(VLOOKUP(A203,'Données projet'!$A$149:$I$169,6,0)),0%,VLOOKUP(A203,'Données projet'!$A$149:$I$169,6,0)*VLOOKUP('Données projet'!$B$13,Paramètres!$A$1:$I$89,7,0))</f>
        <v>0</v>
      </c>
      <c r="DE203" s="16">
        <f>IF(ISNA(VLOOKUP(A203,'Données projet'!$A$149:$I$169,7,0)),0%,VLOOKUP(A203,'Données projet'!$A$149:$I$169,7,0))</f>
        <v>0</v>
      </c>
      <c r="DF203" s="21">
        <f>EXP(-LN(2)/35)*DF202+(1-EXP(-LN(2)/35))/(LN(2)/35)*DB203*DC203*VLOOKUP('Données projet'!$B$13,Paramètres!$A$1:$I$89,3,0)*0.475*44/12</f>
        <v>73.581360196132607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340"/>
        <v>73.581360196132607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projet'!$A$175:$I$195,2,0)</f>
        <v>#N/A</v>
      </c>
      <c r="DM203" s="12" t="e">
        <f>VLOOKUP(A203,'Données projet'!$A$175:$I$195,9,0)</f>
        <v>#N/A</v>
      </c>
      <c r="DN203" s="12">
        <f t="array" ref="DN203">INDEX(DM:DM,MIN(IF(ISNUMBER(DM203:DM399),ROW(DM203:DM399),"")))</f>
        <v>0</v>
      </c>
      <c r="DO203" s="12">
        <f>IF('Données projet'!$A$176&gt;35,DO202+DN203-DW202,IF(A203&lt;'Données projet'!$A$176,$DL$205^A203,IF(A203='Données projet'!$A$176,'Données projet'!$B$176,DO202+DN203-DW202)))</f>
        <v>-2.8421709430404007E-13</v>
      </c>
      <c r="DP203" s="17">
        <f>DO203*VLOOKUP('Données projet'!$B$14,Paramètres!$A$1:$I$89,3,0)*VLOOKUP('Données projet'!$B$14,Paramètres!$A$1:$I$89,5,0)</f>
        <v>-2.0838797354372215E-13</v>
      </c>
      <c r="DQ203" s="13" t="e">
        <f t="shared" si="341"/>
        <v>#NUM!</v>
      </c>
      <c r="DR203" s="20" t="e">
        <f t="shared" si="342"/>
        <v>#NUM!</v>
      </c>
      <c r="DS203" s="59" t="e">
        <f t="shared" si="362"/>
        <v>#NUM!</v>
      </c>
      <c r="DT203" s="59">
        <f ca="1">AVERAGE(OFFSET($DS$3,0,0,'Données projet'!$E$14+1,1))-AVERAGE(OFFSET($H$3,0,0,'Données projet'!$E$14+1,1))</f>
        <v>296.91321813251051</v>
      </c>
      <c r="DU203" s="59">
        <f t="shared" si="404"/>
        <v>291.0718079639509</v>
      </c>
      <c r="DV203" s="15">
        <f>IF(ISNA(VLOOKUP(A203,'Données projet'!$A$175:$I$195,3,0)),0,VLOOKUP(A203,'Données projet'!$A$175:$I$195,3,0))</f>
        <v>0</v>
      </c>
      <c r="DW203" s="15">
        <f>IF(ISNA(VLOOKUP(A203,'Données projet'!$A$175:$I$195,4,0)),0,VLOOKUP(A203,'Données projet'!$A$175:$I$195,4,0))</f>
        <v>0</v>
      </c>
      <c r="DX203" s="16">
        <f>IF(ISNA(VLOOKUP(A203,'Données projet'!$A$175:$I$195,5,0)),0%,VLOOKUP(A203,'Données projet'!$A$175:$I$195,5,0)*VLOOKUP('Données projet'!$B$14,Paramètres!$A$1:$I$89,7,0))</f>
        <v>0</v>
      </c>
      <c r="DY203" s="16">
        <f>IF(ISNA(VLOOKUP(A203,'Données projet'!$A$175:$I$195,6,0)),0%,VLOOKUP(A203,'Données projet'!$A$175:$I$195,6,0)*VLOOKUP('Données projet'!$B$14,Paramètres!$A$1:$I$89,7,0))</f>
        <v>0</v>
      </c>
      <c r="DZ203" s="16">
        <f>IF(ISNA(VLOOKUP(A203,'Données projet'!$A$175:$I$195,7,0)),0%,VLOOKUP(A203,'Données projet'!$A$175:$I$195,7,0))</f>
        <v>0</v>
      </c>
      <c r="EA203" s="21">
        <f>EXP(-LN(2)/35)*EA202+(1-EXP(-LN(2)/35))/(LN(2)/35)*DW203*DX203*VLOOKUP('Données projet'!$B$14,Paramètres!$A$1:$I$89,3,0)*0.475*44/12</f>
        <v>16.109884353618128</v>
      </c>
      <c r="EB203" s="21">
        <f>EXP(-LN(2)/25)*EB202+(1-EXP(-LN(2)/25))/(LN(2)/25)*Calculateur!DW203*Calculateur!DY203*VLOOKUP('Données projet'!$B$14,Paramètres!$A$1:$I$89,3,0)*0.475*44/12</f>
        <v>0.19222295333065434</v>
      </c>
      <c r="EC203" s="21">
        <f>EXP(-LN(2)/2)*EC202+(1-EXP(-LN(2)/2))/(LN(2)/2)*DW203*DZ203*VLOOKUP('Données projet'!$B$14,Paramètres!$A$1:$I$89,3,0)*0.475*44/12</f>
        <v>0</v>
      </c>
      <c r="ED203" s="22">
        <f t="shared" si="343"/>
        <v>16.302107306948781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projet'!$A$201:$I$221,2,0)</f>
        <v>#N/A</v>
      </c>
      <c r="EH203" s="12" t="e">
        <f>VLOOKUP(A203,'Données projet'!$A$201:$I$221,9,0)</f>
        <v>#N/A</v>
      </c>
      <c r="EI203" s="12">
        <f t="array" ref="EI203">INDEX(EH:EH,MIN(IF(ISNUMBER(EH203:EH399),ROW(EH203:EH399),"")))</f>
        <v>0</v>
      </c>
      <c r="EJ203" s="12">
        <f>IF('Données projet'!$A$202&gt;35,EJ202+EI203-ER202,IF(A203&lt;'Données projet'!$A$202,$EG$205^A203,IF(A203='Données projet'!$A$202,'Données projet'!$B$202,EJ202+EI203-ER202)))</f>
        <v>5.1159076974727213E-13</v>
      </c>
      <c r="EK203" s="17">
        <f>EJ203*VLOOKUP('Données projet'!$B$15,Paramètres!$A$1:$I$89,3,0)*VLOOKUP('Données projet'!$B$15,Paramètres!$A$1:$I$89,5,0)</f>
        <v>2.3942448024172334E-13</v>
      </c>
      <c r="EL203" s="13">
        <f t="shared" si="344"/>
        <v>3.2492669905861755E-12</v>
      </c>
      <c r="EM203" s="20">
        <f t="shared" si="345"/>
        <v>6.0761376450252565E-12</v>
      </c>
      <c r="EN203" s="59">
        <f t="shared" si="363"/>
        <v>293.3333333333394</v>
      </c>
      <c r="EO203" s="59">
        <f ca="1">AVERAGE(OFFSET($EN$3,0,0,'Données projet'!$E$15+1,1))-AVERAGE(OFFSET($H$3,0,0,'Données projet'!$E$15+1,1))</f>
        <v>147.64256291235483</v>
      </c>
      <c r="EP203" s="59">
        <f t="shared" si="405"/>
        <v>70.859031694091868</v>
      </c>
      <c r="EQ203" s="15">
        <f>IF(ISNA(VLOOKUP(A203,'Données projet'!$A$201:$I$221,3,0)),0,VLOOKUP(A203,'Données projet'!$A$201:$I$221,3,0))</f>
        <v>0</v>
      </c>
      <c r="ER203" s="15">
        <f>IF(ISNA(VLOOKUP(A203,'Données projet'!$A$201:$I$221,4,0)),0,VLOOKUP(A203,'Données projet'!$A$201:$I$221,4,0))</f>
        <v>0</v>
      </c>
      <c r="ES203" s="16">
        <f>IF(ISNA(VLOOKUP(A203,'Données projet'!$A$201:$I$221,5,0)),0%,VLOOKUP(A203,'Données projet'!$A$201:$I$221,5,0)*VLOOKUP('Données projet'!$B$15,Paramètres!$A$1:$I$89,7,0))</f>
        <v>0</v>
      </c>
      <c r="ET203" s="16">
        <f>IF(ISNA(VLOOKUP(A203,'Données projet'!$A$201:$I$221,6,0)),0%,VLOOKUP(A203,'Données projet'!$A$201:$I$221,6,0)*VLOOKUP('Données projet'!$B$15,Paramètres!$A$1:$I$89,7,0))</f>
        <v>0</v>
      </c>
      <c r="EU203" s="16">
        <f>IF(ISNA(VLOOKUP(A203,'Données projet'!$A$201:$I$221,7,0)),0%,VLOOKUP(A203,'Données projet'!$A$201:$I$221,7,0))</f>
        <v>0</v>
      </c>
      <c r="EV203" s="21">
        <f>EXP(-LN(2)/35)*EV202+(1-EXP(-LN(2)/35))/(LN(2)/35)*ER203*ES203*VLOOKUP('Données projet'!$B$15,Paramètres!$A$1:$I$89,3,0)*0.475*44/12</f>
        <v>22.054685617623601</v>
      </c>
      <c r="EW203" s="21">
        <f>EXP(-LN(2)/25)*EW202+(1-EXP(-LN(2)/25))/(LN(2)/25)*Calculateur!ER203*Calculateur!ET203*VLOOKUP('Données projet'!$B$15,Paramètres!$A$1:$I$89,3,0)*0.475*44/12</f>
        <v>2.6668998161104995</v>
      </c>
      <c r="EX203" s="21">
        <f>EXP(-LN(2)/2)*EX202+(1-EXP(-LN(2)/2))/(LN(2)/2)*ER203*EU203*VLOOKUP('Données projet'!$B$15,Paramètres!$A$1:$I$89,3,0)*0.475*44/12</f>
        <v>3.6875697581393836E-13</v>
      </c>
      <c r="EY203" s="22">
        <f t="shared" si="346"/>
        <v>24.721585433734472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projet'!$A$227:$I$247,2,0)</f>
        <v>#N/A</v>
      </c>
      <c r="FC203" s="12" t="e">
        <f>VLOOKUP(A203,'Données projet'!$A$227:$I$247,9,0)</f>
        <v>#N/A</v>
      </c>
      <c r="FD203" s="12">
        <f t="array" ref="FD203">INDEX(FC:FC,MIN(IF(ISNUMBER(FC203:FC399),ROW(FC203:FC399),"")))</f>
        <v>0</v>
      </c>
      <c r="FE203" s="12">
        <f>IF('Données projet'!$A$228&gt;35,FE202+FD203-FM202,IF(A203&lt;'Données projet'!$A$228,$FB$205^A203,IF(A203='Données projet'!$A$228,'Données projet'!$B$228,FE202+FD203-FM202)))</f>
        <v>8.5265128291212022E-14</v>
      </c>
      <c r="FF203" s="17">
        <f>FE203*VLOOKUP('Données projet'!$B$16,Paramètres!$A$1:$I$89,3,0)*VLOOKUP('Données projet'!$B$16,Paramètres!$A$1:$I$89,5,0)</f>
        <v>8.9119112089974823E-14</v>
      </c>
      <c r="FG203" s="13">
        <f t="shared" si="347"/>
        <v>1.3568952080113142E-12</v>
      </c>
      <c r="FH203" s="20">
        <f t="shared" si="348"/>
        <v>2.5184749408430782E-12</v>
      </c>
      <c r="FI203" s="59">
        <f t="shared" si="364"/>
        <v>293.33333333333582</v>
      </c>
      <c r="FJ203" s="59">
        <f ca="1">AVERAGE(OFFSET($FI$3,0,0,'Données projet'!$E$16+1,1))-AVERAGE(OFFSET($H$3,0,0,'Données projet'!$E$16+1,1))</f>
        <v>259.03906550253788</v>
      </c>
      <c r="FK203" s="59">
        <f t="shared" si="406"/>
        <v>235.54542903570831</v>
      </c>
      <c r="FL203" s="15">
        <f>IF(ISNA(VLOOKUP(A203,'Données projet'!$A$227:$I$247,3,0)),0,VLOOKUP(A203,'Données projet'!$A$227:$I$247,3,0))</f>
        <v>0</v>
      </c>
      <c r="FM203" s="15">
        <f>IF(ISNA(VLOOKUP(A203,'Données projet'!$A$227:$I$247,4,0)),0,VLOOKUP(A203,'Données projet'!$A$227:$I$247,4,0))</f>
        <v>0</v>
      </c>
      <c r="FN203" s="16">
        <f>IF(ISNA(VLOOKUP(A203,'Données projet'!$A$227:$I$247,5,0)),0%,VLOOKUP(A203,'Données projet'!$A$227:$I$247,5,0)*VLOOKUP('Données projet'!$B$16,Paramètres!$A$1:$I$89,7,0))</f>
        <v>0</v>
      </c>
      <c r="FO203" s="16">
        <f>IF(ISNA(VLOOKUP(A203,'Données projet'!$A$227:$I$247,6,0)),0%,VLOOKUP(A203,'Données projet'!$A$227:$I$247,6,0)*VLOOKUP('Données projet'!$B$16,Paramètres!$A$1:$I$89,7,0))</f>
        <v>0</v>
      </c>
      <c r="FP203" s="16">
        <f>IF(ISNA(VLOOKUP(A203,'Données projet'!$A$227:$I$247,7,0)),0%,VLOOKUP(A203,'Données projet'!$A$227:$I$247,7,0))</f>
        <v>0</v>
      </c>
      <c r="FQ203" s="21">
        <f>EXP(-LN(2)/35)*FQ202+(1-EXP(-LN(2)/35))/(LN(2)/35)*FM203*FN203*VLOOKUP('Données projet'!$B$16,Paramètres!$A$1:$I$89,3,0)*0.475*44/12</f>
        <v>9.7343388536006827</v>
      </c>
      <c r="FR203" s="21">
        <f>EXP(-LN(2)/25)*FR202+(1-EXP(-LN(2)/25))/(LN(2)/25)*Calculateur!FM203*Calculateur!FO203*VLOOKUP('Données projet'!$B$16,Paramètres!$A$1:$I$89,3,0)*0.475*44/12</f>
        <v>3.6687864900229168</v>
      </c>
      <c r="FS203" s="21">
        <f>EXP(-LN(2)/2)*FS202+(1-EXP(-LN(2)/2))/(LN(2)/2)*FM203*FP203*VLOOKUP('Données projet'!$B$16,Paramètres!$A$1:$I$89,3,0)*0.475*44/12</f>
        <v>0</v>
      </c>
      <c r="FT203" s="22">
        <f t="shared" si="349"/>
        <v>13.4031253436236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projet'!$A$253:$I$273,2,0)</f>
        <v>#N/A</v>
      </c>
      <c r="FX203" s="12" t="e">
        <f>VLOOKUP(A203,'Données projet'!$A$253:$I$273,9,0)</f>
        <v>#N/A</v>
      </c>
      <c r="FY203" s="12">
        <f t="array" ref="FY203">INDEX(FX:FX,MIN(IF(ISNUMBER(FX203:FX399),ROW(FX203:FX399),"")))</f>
        <v>0</v>
      </c>
      <c r="FZ203" s="12">
        <f>IF('Données projet'!$A$254&gt;35,FZ202+FY203-GH202,IF(A203&lt;'Données projet'!$A$254,$FW$205^A203,IF(A203='Données projet'!$A$254,'Données projet'!$B$254,FZ202+FY203-GH202)))</f>
        <v>-1.7053025658242404E-13</v>
      </c>
      <c r="GA203" s="17">
        <f>FZ203*VLOOKUP('Données projet'!$B$17,Paramètres!$A$1:$I$89,3,0)*VLOOKUP('Données projet'!$B$17,Paramètres!$A$1:$I$89,5,0)</f>
        <v>-1.4897523215040567E-13</v>
      </c>
      <c r="GB203" s="13" t="e">
        <f t="shared" si="350"/>
        <v>#NUM!</v>
      </c>
      <c r="GC203" s="20" t="e">
        <f t="shared" si="351"/>
        <v>#NUM!</v>
      </c>
      <c r="GD203" s="59" t="e">
        <f t="shared" si="365"/>
        <v>#NUM!</v>
      </c>
      <c r="GE203" s="59">
        <f ca="1">AVERAGE(OFFSET($GD$3,0,0,'Données projet'!$E$17+1,1))-AVERAGE(OFFSET($H$3,0,0,'Données projet'!$E$17+1,1))</f>
        <v>245.1983232777614</v>
      </c>
      <c r="GF203" s="59">
        <f t="shared" si="407"/>
        <v>242.34010522344573</v>
      </c>
      <c r="GG203" s="15">
        <f>IF(ISNA(VLOOKUP(A203,'Données projet'!$A$253:$I$273,3,0)),0,VLOOKUP(A203,'Données projet'!$A$253:$I$273,3,0))</f>
        <v>0</v>
      </c>
      <c r="GH203" s="15">
        <f>IF(ISNA(VLOOKUP(A203,'Données projet'!$A$253:$I$273,4,0)),0,VLOOKUP(A203,'Données projet'!$A$253:$I$273,4,0))</f>
        <v>0</v>
      </c>
      <c r="GI203" s="16">
        <f>IF(ISNA(VLOOKUP(A203,'Données projet'!$A$253:$I$273,5,0)),0%,VLOOKUP(A203,'Données projet'!$A$253:$I$273,5,0)*VLOOKUP('Données projet'!$B$17,Paramètres!$A$1:$I$89,7,0))</f>
        <v>0</v>
      </c>
      <c r="GJ203" s="16">
        <f>IF(ISNA(VLOOKUP(A203,'Données projet'!$A$253:$I$273,6,0)),0%,VLOOKUP(A203,'Données projet'!$A$253:$I$273,6,0)*VLOOKUP('Données projet'!$B$17,Paramètres!$A$1:$I$89,7,0))</f>
        <v>0</v>
      </c>
      <c r="GK203" s="16">
        <f>IF(ISNA(VLOOKUP(A203,'Données projet'!$A$253:$I$273,7,0)),0%,VLOOKUP(A203,'Données projet'!$A$253:$I$273,7,0))</f>
        <v>0</v>
      </c>
      <c r="GL203" s="21">
        <f>EXP(-LN(2)/35)*GL202+(1-EXP(-LN(2)/35))/(LN(2)/35)*GH203*GI203*VLOOKUP('Données projet'!$B$17,Paramètres!$A$1:$I$89,3,0)*0.475*44/12</f>
        <v>11.44405089605641</v>
      </c>
      <c r="GM203" s="21">
        <f>EXP(-LN(2)/25)*GM202+(1-EXP(-LN(2)/25))/(LN(2)/25)*Calculateur!GH203*Calculateur!GJ203*VLOOKUP('Données projet'!$B$17,Paramètres!$A$1:$I$89,3,0)*0.475*44/12</f>
        <v>0.78172902339068995</v>
      </c>
      <c r="GN203" s="21">
        <f>EXP(-LN(2)/2)*GN202+(1-EXP(-LN(2)/2))/(LN(2)/2)*GH203*GK203*VLOOKUP('Données projet'!$B$17,Paramètres!$A$1:$I$89,3,0)*0.475*44/12</f>
        <v>0</v>
      </c>
      <c r="GO203" s="21">
        <f t="shared" si="352"/>
        <v>12.225779919447101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projet'!$A$279:$I$299,2,0)</f>
        <v>#N/A</v>
      </c>
      <c r="GS203" s="12" t="e">
        <f>VLOOKUP(A203,'Données projet'!$A$279:$I$299,9,0)</f>
        <v>#N/A</v>
      </c>
      <c r="GT203" s="12">
        <f t="array" ref="GT203">INDEX(GS:GS,MIN(IF(ISNUMBER(GS203:GS399),ROW(GS203:GS399),"")))</f>
        <v>0</v>
      </c>
      <c r="GU203" s="12">
        <f>IF('Données projet'!$A$280&gt;35,GU202+GT203-HC202,IF(A203&lt;'Données projet'!$A$280,$GR$205^A203,IF(A203='Données projet'!$A$280,'Données projet'!$B$280,GU202+GT203-HC202)))</f>
        <v>-1.1368683772161603E-13</v>
      </c>
      <c r="GV203" s="17">
        <f>GU203*VLOOKUP('Données projet'!$B$18,Paramètres!$A$1:$I$89,3,0)*VLOOKUP('Données projet'!$B$18,Paramètres!$A$1:$I$89,5,0)</f>
        <v>-4.5815795601811263E-14</v>
      </c>
      <c r="GW203" s="13" t="e">
        <f t="shared" si="353"/>
        <v>#NUM!</v>
      </c>
      <c r="GX203" s="20" t="e">
        <f t="shared" si="354"/>
        <v>#NUM!</v>
      </c>
      <c r="GY203" s="59" t="e">
        <f t="shared" si="366"/>
        <v>#NUM!</v>
      </c>
      <c r="GZ203" s="59">
        <f ca="1">AVERAGE(OFFSET($GY$3,0,0,'Données projet'!$E$18+1,1))-AVERAGE(OFFSET($H$3,0,0,'Données projet'!$E$18+1,1))</f>
        <v>324.36162935850876</v>
      </c>
      <c r="HA203" s="59">
        <f t="shared" si="408"/>
        <v>265.23571072429735</v>
      </c>
      <c r="HB203" s="15">
        <f>IF(ISNA(VLOOKUP(A203,'Données projet'!$A$279:$I$299,3,0)),0,VLOOKUP(A203,'Données projet'!$A$279:$I$299,3,0))</f>
        <v>0</v>
      </c>
      <c r="HC203" s="15">
        <f>IF(ISNA(VLOOKUP(A203,'Données projet'!$A$279:$I$299,4,0)),0,VLOOKUP(A203,'Données projet'!$A$279:$I$299,4,0))</f>
        <v>0</v>
      </c>
      <c r="HD203" s="16">
        <f>IF(ISNA(VLOOKUP(A203,'Données projet'!$A$279:$I$299,5,0)),0%,VLOOKUP(A203,'Données projet'!$A$279:$I$299,5,0)*VLOOKUP('Données projet'!$B$18,Paramètres!$A$1:$I$89,7,0))</f>
        <v>0</v>
      </c>
      <c r="HE203" s="16">
        <f>IF(ISNA(VLOOKUP(A203,'Données projet'!$A$279:$I$299,6,0)),0%,VLOOKUP(A203,'Données projet'!$A$279:$I$299,6,0)*VLOOKUP('Données projet'!$B$18,Paramètres!$A$1:$I$89,7,0))</f>
        <v>0</v>
      </c>
      <c r="HF203" s="16">
        <f>IF(ISNA(VLOOKUP($A203,'Données projet'!$A$279:$I$299,7,0)),0%,VLOOKUP($A203,'Données projet'!$A$279:$I$299,7,0))</f>
        <v>0</v>
      </c>
      <c r="HG203" s="21">
        <f>EXP(-LN(2)/35)*HG202+(1-EXP(-LN(2)/35))/(LN(2)/35)*HC203*HD203*VLOOKUP('Données projet'!$B$18,Paramètres!$A$1:$I$89,3,0)*0.475*44/12</f>
        <v>21.929793207012725</v>
      </c>
      <c r="HH203" s="21">
        <f>EXP(-LN(2)/25)*HH202+(1-EXP(-LN(2)/25))/(LN(2)/25)*Calculateur!HC203*Calculateur!HE203*VLOOKUP('Données projet'!$B$18,Paramètres!$A$1:$I$89,3,0)*0.475*44/12</f>
        <v>0.86942249879659461</v>
      </c>
      <c r="HI203" s="21">
        <f>EXP(-LN(2)/2)*HI202+(1-EXP(-LN(2)/2))/(LN(2)/2)*HC203*HF203*VLOOKUP('Données projet'!$B$18,Paramètres!$A$1:$I$89,3,0)*0.475*44/12</f>
        <v>7.4135226684791317E-18</v>
      </c>
      <c r="HJ203" s="22">
        <f t="shared" si="355"/>
        <v>22.799215705809321</v>
      </c>
      <c r="HK203" s="74">
        <f>('Scénario référence'!$F$8+'Scénario référence'!$F$9+'Scénario référence'!$B$17+'Scénario référence'!$B$9+'Scénario référence'!$B$10)*70+IF((45+25*(1-EXP(-0.0175*$A203)))&lt;70,'Scénario référence'!$B$16*(45+25*(1-EXP(-0.0175*$A203))),70*'Scénario référence'!$B$16)+IF((32+38*(1-EXP(-0.0175*$A203)))&lt;70,'Scénario référence'!$B$18*(32+38*(1-EXP(-0.0175*$A203))),70*'Scénario référence'!$B$18)</f>
        <v>70</v>
      </c>
      <c r="HL203" s="12">
        <f>IF($A203&gt;30,10,('Scénario référence'!$B$16+'Scénario référence'!$B$17+'Scénario référence'!$B$18+'Scénario référence'!$B$9+'Scénario référence'!$B$10)*$A203*10/30+('Scénario référence'!$F$8+'Scénario référence'!$F$9)*10)</f>
        <v>10</v>
      </c>
      <c r="HM203" s="12" t="e">
        <f>VLOOKUP($A203,'Données projet'!$A$304:$I$324,2,0)</f>
        <v>#N/A</v>
      </c>
      <c r="HN203" s="12" t="e">
        <f>VLOOKUP($A203,'Données projet'!$A$304:$I$324,9,0)</f>
        <v>#N/A</v>
      </c>
      <c r="HO203" s="12">
        <f t="array" ref="HO203">INDEX(HN:HN,MIN(IF(ISNUMBER(HN203:HN399),ROW(HN203:HN399),"")))</f>
        <v>0</v>
      </c>
      <c r="HP203" s="12">
        <f>IF('Données projet'!$A$304&gt;35,HP202+HO203-HX202,IF($A203&lt;'Données projet'!$A$304,$CQ$205^$A203,IF($A203='Données projet'!$A$304,'Données projet'!$B$304,HP202+HO203-HX202)))</f>
        <v>0</v>
      </c>
      <c r="HQ203" s="17">
        <f>HP203*VLOOKUP('Données projet'!$B$19,Paramètres!$A$1:$I$89,3,0)*VLOOKUP('Données projet'!$B$19,Paramètres!$A$1:$I$89,5,0)</f>
        <v>0</v>
      </c>
      <c r="HR203" s="13" t="e">
        <f t="shared" si="409"/>
        <v>#NUM!</v>
      </c>
      <c r="HS203" s="14" t="e">
        <f t="shared" si="367"/>
        <v>#NUM!</v>
      </c>
      <c r="HT203" s="59" t="e">
        <f t="shared" si="368"/>
        <v>#NUM!</v>
      </c>
      <c r="HU203" s="59">
        <f ca="1">AVERAGE(OFFSET(HT$3,0,0,'Données projet'!$E$19+1,1))-AVERAGE(OFFSET($H$3,0,0,'Données projet'!$E$19+1,1))</f>
        <v>91.60721429656013</v>
      </c>
      <c r="HV203" s="59">
        <f t="shared" si="410"/>
        <v>258.94957804210856</v>
      </c>
      <c r="HW203" s="15">
        <f>IF(ISNA(VLOOKUP($A203,'Données projet'!$A$304:$I$324,3,0)),0,VLOOKUP($A203,'Données projet'!$A$304:$I$324,3,0))</f>
        <v>0</v>
      </c>
      <c r="HX203" s="15">
        <f>IF(ISNA(VLOOKUP($A203,'Données projet'!$A$304:$I$324,4,0)),0,VLOOKUP($A203,'Données projet'!$A$304:$I$324,4,0))</f>
        <v>0</v>
      </c>
      <c r="HY203" s="16">
        <f>IF(ISNA(VLOOKUP($A203,'Données projet'!$A$304:$I$324,5,0)),0%,VLOOKUP($A203,'Données projet'!$A$304:$I$324,5,0)*VLOOKUP('Données projet'!$B$19,Paramètres!$A$1:$I$89,7,0))</f>
        <v>0</v>
      </c>
      <c r="HZ203" s="16">
        <f>IF(ISNA(VLOOKUP($A203,'Données projet'!$A$304:$I$324,6,0)),0%,VLOOKUP($A203,'Données projet'!$A$304:$I$324,6,0)*VLOOKUP('Données projet'!$B$19,Paramètres!$A$1:$I$89,7,0))</f>
        <v>0</v>
      </c>
      <c r="IA203" s="16">
        <f>IF(ISNA(VLOOKUP($A203,'Données projet'!$A$304:$I$324,7,0)),0%,VLOOKUP($A203,'Données projet'!$A$304:$I$324,7,0))</f>
        <v>0</v>
      </c>
      <c r="IB203" s="21">
        <f>EXP(-LN(2)/35)*IB202+(1-EXP(-LN(2)/35))/(LN(2)/35)*HX203*HY203*VLOOKUP('Données projet'!$B$19,Paramètres!$A$1:$I$89,3,0)*0.475*44/12</f>
        <v>1.7021163111022486</v>
      </c>
      <c r="IC203" s="21">
        <f>EXP(-LN(2)/25)*IC202+(1-EXP(-LN(2)/25))/(LN(2)/25)*Calculateur!HX203*Calculateur!HZ203*VLOOKUP('Données projet'!$B$19,Paramètres!$A$1:$I$89,3,0)*0.475*44/12</f>
        <v>8.7298622115177263E-2</v>
      </c>
      <c r="ID203" s="21">
        <f>EXP(-LN(2)/2)*ID202+(1-EXP(-LN(2)/2))/(LN(2)/2)*HX203*IA203*VLOOKUP('Données projet'!$B$19,Paramètres!$A$1:$I$89,3,0)*0.475*44/12</f>
        <v>1.4807885191587541E-26</v>
      </c>
      <c r="IE203" s="22">
        <f t="shared" si="369"/>
        <v>1.7894149332174258</v>
      </c>
      <c r="IF203" s="74">
        <f>('Scénario référence'!$F$8+'Scénario référence'!$F$9+'Scénario référence'!$B$17+'Scénario référence'!$B$9+'Scénario référence'!$B$10)*70+IF((45+25*(1-EXP(-0.0175*$A203)))&lt;70,'Scénario référence'!$B$16*(45+25*(1-EXP(-0.0175*$A203))),70*'Scénario référence'!$B$16)+IF((32+38*(1-EXP(-0.0175*$A203)))&lt;70,'Scénario référence'!$B$18*(32+38*(1-EXP(-0.0175*$A203))),70*'Scénario référence'!$B$18)</f>
        <v>70</v>
      </c>
      <c r="IG203" s="12">
        <f>IF($A203&gt;30,10,('Scénario référence'!$B$16+'Scénario référence'!$B$17+'Scénario référence'!$B$18+'Scénario référence'!$B$9+'Scénario référence'!$B$10)*$A203*10/30+('Scénario référence'!$F$8+'Scénario référence'!$F$9)*10)</f>
        <v>10</v>
      </c>
      <c r="IH203" s="12" t="e">
        <f>VLOOKUP($A203,'Données projet'!$A$330:$I$350,2,0)</f>
        <v>#N/A</v>
      </c>
      <c r="II203" s="12" t="e">
        <f>VLOOKUP($A203,'Données projet'!$A$330:$I$350,9,0)</f>
        <v>#N/A</v>
      </c>
      <c r="IJ203" s="12">
        <f t="array" ref="IJ203">INDEX(II:II,MIN(IF(ISNUMBER(II203:II399),ROW(II203:II399),"")))</f>
        <v>0</v>
      </c>
      <c r="IK203" s="12">
        <f>IF('Données projet'!$A$330&gt;35,IK202+IJ203-IS202,IF($A203&lt;'Données projet'!$A$330,$CQ$205^$A203,IF($A203='Données projet'!$A$330,'Données projet'!$B$330,IK202+IJ203-IS202)))</f>
        <v>0</v>
      </c>
      <c r="IL203" s="17">
        <f>IK203*VLOOKUP('Données projet'!$B$20,Paramètres!$A$1:$I$89,3,0)*VLOOKUP('Données projet'!$B$20,Paramètres!$A$1:$I$89,5,0)</f>
        <v>0</v>
      </c>
      <c r="IM203" s="13" t="e">
        <f t="shared" si="411"/>
        <v>#NUM!</v>
      </c>
      <c r="IN203" s="20" t="e">
        <f t="shared" si="370"/>
        <v>#NUM!</v>
      </c>
      <c r="IO203" s="59" t="e">
        <f t="shared" si="371"/>
        <v>#NUM!</v>
      </c>
      <c r="IP203" s="59">
        <f ca="1">AVERAGE(OFFSET(IO$3,0,0,'Données projet'!$E$20+1,1))-AVERAGE(OFFSET($H$3,0,0,'Données projet'!$E$20+1,1))</f>
        <v>91.60721429656013</v>
      </c>
      <c r="IQ203" s="59">
        <f t="shared" si="412"/>
        <v>258.94957804210856</v>
      </c>
      <c r="IR203" s="15">
        <f>IF(ISNA(VLOOKUP($A203,'Données projet'!$A$330:$I$350,3,0)),0,VLOOKUP($A203,'Données projet'!$A$330:$I$350,3,0))</f>
        <v>0</v>
      </c>
      <c r="IS203" s="15">
        <f>IF(ISNA(VLOOKUP($A203,'Données projet'!$A$330:$I$350,4,0)),0,VLOOKUP($A203,'Données projet'!$A$330:$I$350,4,0))</f>
        <v>0</v>
      </c>
      <c r="IT203" s="16">
        <f>IF(ISNA(VLOOKUP($A203,'Données projet'!$A$330:$I$350,5,0)),0%,VLOOKUP($A203,'Données projet'!$A$330:$I$350,5,0)*VLOOKUP('Données projet'!$B$20,Paramètres!$A$1:$I$89,7,0))</f>
        <v>0</v>
      </c>
      <c r="IU203" s="16">
        <f>IF(ISNA(VLOOKUP($A203,'Données projet'!$A$330:$I$350,6,0)),0%,VLOOKUP($A203,'Données projet'!$A$330:$I$350,6,0)*VLOOKUP('Données projet'!$B$20,Paramètres!$A$1:$I$89,7,0))</f>
        <v>0</v>
      </c>
      <c r="IV203" s="16">
        <f>IF(ISNA(VLOOKUP($A203,'Données projet'!$A$330:$I$350,7,0)),0%,VLOOKUP($A203,'Données projet'!$A$330:$I$350,7,0))</f>
        <v>0</v>
      </c>
      <c r="IW203" s="21">
        <f>EXP(-LN(2)/35)*IW202+(1-EXP(-LN(2)/35))/(LN(2)/35)*IS203*IT203*VLOOKUP('Données projet'!$B$20,Paramètres!$A$1:$I$89,3,0)*0.475*44/12</f>
        <v>1.7021163111022486</v>
      </c>
      <c r="IX203" s="21">
        <f>EXP(-LN(2)/25)*IX202+(1-EXP(-LN(2)/25))/(LN(2)/25)*Calculateur!IS203*Calculateur!IU203*VLOOKUP('Données projet'!$B$20,Paramètres!$A$1:$I$89,3,0)*0.475*44/12</f>
        <v>8.7298622115177263E-2</v>
      </c>
      <c r="IY203" s="21">
        <f>EXP(-LN(2)/2)*IY202+(1-EXP(-LN(2)/2))/(LN(2)/2)*IS203*IV203*VLOOKUP('Données projet'!$B$20,Paramètres!$A$1:$I$89,3,0)*0.475*44/12</f>
        <v>1.4807885191587541E-26</v>
      </c>
      <c r="IZ203" s="22">
        <f t="shared" si="372"/>
        <v>1.7894149332174258</v>
      </c>
      <c r="JA203" s="74">
        <f>('Scénario référence'!$F$8+'Scénario référence'!$F$9+'Scénario référence'!$B$17+'Scénario référence'!$B$9+'Scénario référence'!$B$10)*70+IF((45+25*(1-EXP(-0.0175*$A203)))&lt;70,'Scénario référence'!$B$16*(45+25*(1-EXP(-0.0175*$A203))),70*'Scénario référence'!$B$16)+IF((32+38*(1-EXP(-0.0175*$A203)))&lt;70,'Scénario référence'!$B$18*(32+38*(1-EXP(-0.0175*$A203))),70*'Scénario référence'!$B$18)</f>
        <v>70</v>
      </c>
      <c r="JB203" s="12">
        <f>IF($A203&gt;30,10,('Scénario référence'!$B$16+'Scénario référence'!$B$17+'Scénario référence'!$B$18+'Scénario référence'!$B$9+'Scénario référence'!$B$10)*$A203*10/30+('Scénario référence'!$F$8+'Scénario référence'!$F$9)*10)</f>
        <v>10</v>
      </c>
      <c r="JC203" s="12" t="e">
        <f>VLOOKUP($A203,'Données projet'!$A$356:$I$376,2,0)</f>
        <v>#N/A</v>
      </c>
      <c r="JD203" s="12" t="e">
        <f>VLOOKUP($A203,'Données projet'!$A$356:$I$376,9,0)</f>
        <v>#N/A</v>
      </c>
      <c r="JE203" s="12">
        <f t="array" ref="JE203">INDEX(JD:JD,MIN(IF(ISNUMBER(JD203:JD399),ROW(JD203:JD399),"")))</f>
        <v>0</v>
      </c>
      <c r="JF203" s="12">
        <f>IF('Données projet'!$A$356&gt;35,JF202+JE203-JN202,IF($A203&lt;'Données projet'!$A$356,$CQ$205^$A203,IF($A203='Données projet'!$A$356,'Données projet'!$B$356,JF202+JE203-JN202)))</f>
        <v>-1.3073986337985843E-12</v>
      </c>
      <c r="JG203" s="17">
        <f>JF203*VLOOKUP('Données projet'!$B$21,Paramètres!$A$1:$I$89,3,0)*VLOOKUP('Données projet'!$B$21,Paramètres!$A$1:$I$89,5,0)</f>
        <v>-1.0605617717374117E-12</v>
      </c>
      <c r="JH203" s="13" t="e">
        <f t="shared" si="413"/>
        <v>#NUM!</v>
      </c>
      <c r="JI203" s="20" t="e">
        <f t="shared" si="373"/>
        <v>#NUM!</v>
      </c>
      <c r="JJ203" s="59" t="e">
        <f t="shared" si="374"/>
        <v>#NUM!</v>
      </c>
      <c r="JK203" s="59">
        <f ca="1">AVERAGE(OFFSET($JJ$3,0,0,'Données projet'!$E$22+1,1))-AVERAGE(OFFSET($H$3,0,0,'Données projet'!$E$22+1,1))</f>
        <v>353.35574633294613</v>
      </c>
      <c r="JL203" s="59">
        <f t="shared" si="414"/>
        <v>170.36796666474726</v>
      </c>
      <c r="JM203" s="15">
        <f>IF(ISNA(VLOOKUP($A203,'Données projet'!$A$356:$I$376,3,0)),0,VLOOKUP($A203,'Données projet'!$A$356:$I$376,3,0))</f>
        <v>0</v>
      </c>
      <c r="JN203" s="15">
        <f>IF(ISNA(VLOOKUP($A203,'Données projet'!$A$356:$I$376,4,0)),0,VLOOKUP($A203,'Données projet'!$A$356:$I$376,4,0))</f>
        <v>0</v>
      </c>
      <c r="JO203" s="16">
        <f>IF(ISNA(VLOOKUP($A203,'Données projet'!$A$356:$I$376,5,0)),0%,VLOOKUP($A203,'Données projet'!$A$356:$I$376,5,0)*VLOOKUP('Données projet'!$B$21,Paramètres!$A$1:$I$89,7,0))</f>
        <v>0</v>
      </c>
      <c r="JP203" s="16">
        <f>IF(ISNA(VLOOKUP($A203,'Données projet'!$A$356:$I$376,6,0)),0%,VLOOKUP($A203,'Données projet'!$A$356:$I$376,6,0)*VLOOKUP('Données projet'!$B$21,Paramètres!$A$1:$I$89,7,0))</f>
        <v>0</v>
      </c>
      <c r="JQ203" s="16">
        <f>IF(ISNA(VLOOKUP($A203,'Données projet'!$A$356:$I$376,7,0)),0%,VLOOKUP($A203,'Données projet'!$A$356:$I$376,7,0))</f>
        <v>0</v>
      </c>
      <c r="JR203" s="21">
        <f>EXP(-LN(2)/35)*JR202+(1-EXP(-LN(2)/35))/(LN(2)/35)*JN203*JO203*VLOOKUP('Données projet'!$B$21,Paramètres!$A$1:$I$89,3,0)*0.475*44/12</f>
        <v>27.287462535332072</v>
      </c>
      <c r="JS203" s="21">
        <f>EXP(-LN(2)/25)*JS202+(1-EXP(-LN(2)/25))/(LN(2)/25)*Calculateur!JN203*Calculateur!JP203*VLOOKUP('Données projet'!$B$21,Paramètres!$A$1:$I$89,3,0)*0.475*44/12</f>
        <v>19.106730802676594</v>
      </c>
      <c r="JT203" s="21">
        <f>EXP(-LN(2)/2)*JT202+(1-EXP(-LN(2)/2))/(LN(2)/2)*JN203*JQ203*VLOOKUP('Données projet'!$B$21,Paramètres!$A$1:$I$89,3,0)*0.475*44/12</f>
        <v>1.0219492587912726E-6</v>
      </c>
      <c r="JU203" s="18">
        <f t="shared" si="375"/>
        <v>46.394194359957922</v>
      </c>
      <c r="JV203" s="74">
        <f>('Scénario référence'!$F$8+'Scénario référence'!$F$9+'Scénario référence'!$B$17+'Scénario référence'!$B$9+'Scénario référence'!$B$10)*70+IF((45+25*(1-EXP(-0.0175*$A203)))&lt;70,'Scénario référence'!$B$16*(45+25*(1-EXP(-0.0175*$A203))),70*'Scénario référence'!$B$16)+IF((32+38*(1-EXP(-0.0175*$A203)))&lt;70,'Scénario référence'!$B$18*(32+38*(1-EXP(-0.0175*$A203))),70*'Scénario référence'!$B$18)</f>
        <v>70</v>
      </c>
      <c r="JW203" s="12">
        <f>IF($A203&gt;30,10,('Scénario référence'!$B$16+'Scénario référence'!$B$17+'Scénario référence'!$B$18+'Scénario référence'!$B$9+'Scénario référence'!$B$10)*$A203*10/30+('Scénario référence'!$F$8+'Scénario référence'!$F$9)*10)</f>
        <v>10</v>
      </c>
      <c r="JX203" s="12" t="e">
        <f>VLOOKUP($A203,'Données projet'!$A$382:$I$402,2,0)</f>
        <v>#N/A</v>
      </c>
      <c r="JY203" s="12" t="e">
        <f>VLOOKUP($A203,'Données projet'!$A$382:$I$402,9,0)</f>
        <v>#N/A</v>
      </c>
      <c r="JZ203" s="12">
        <f t="array" ref="JZ203">INDEX(JY:JY,MIN(IF(ISNUMBER(JY203:JY399),ROW(JY203:JY399),"")))</f>
        <v>0</v>
      </c>
      <c r="KA203" s="12">
        <f>IF('Données projet'!$A$382&gt;35,KA202+JZ203-KI202,IF($A203&lt;'Données projet'!$A$382,$CQ$205^$A203,IF($A203='Données projet'!$A$382,'Données projet'!$B$382,KA202+JZ203-KI202)))</f>
        <v>5.6843418860808015E-13</v>
      </c>
      <c r="KB203" s="17">
        <f>KA203*VLOOKUP('Données projet'!$B$22,Paramètres!$A$1:$I$89,3,0)*VLOOKUP('Données projet'!$B$22,Paramètres!$A$1:$I$89,5,0)</f>
        <v>3.8130565371830017E-13</v>
      </c>
      <c r="KC203" s="13">
        <f t="shared" si="415"/>
        <v>4.9019074112354236E-12</v>
      </c>
      <c r="KD203" s="20">
        <f t="shared" si="376"/>
        <v>9.2015960881277352E-12</v>
      </c>
      <c r="KE203" s="59">
        <f t="shared" si="377"/>
        <v>293.33333333334252</v>
      </c>
      <c r="KF203" s="59">
        <f ca="1">AVERAGE(OFFSET($KE$3,0,0,'Données projet'!$E$22+1,1))-AVERAGE(OFFSET($H$3,0,0,'Données projet'!$E$22+1,1))</f>
        <v>193.91714772848269</v>
      </c>
      <c r="KG203" s="59">
        <f t="shared" si="416"/>
        <v>159.20429420478047</v>
      </c>
      <c r="KH203" s="15">
        <f>IF(ISNA(VLOOKUP($A203,'Données projet'!$A$382:$I$402,3,0)),0,VLOOKUP($A203,'Données projet'!$A$382:$I$402,3,0))</f>
        <v>0</v>
      </c>
      <c r="KI203" s="15">
        <f>IF(ISNA(VLOOKUP($A203,'Données projet'!$A$382:$I$402,4,0)),0,VLOOKUP($A203,'Données projet'!$A$382:$I$402,4,0))</f>
        <v>0</v>
      </c>
      <c r="KJ203" s="16">
        <f>IF(ISNA(VLOOKUP($A203,'Données projet'!$A$382:$I$402,5,0)),0%,VLOOKUP($A203,'Données projet'!$A$382:$I$402,5,0)*VLOOKUP('Données projet'!$B$22,Paramètres!$A$1:$I$89,7,0))</f>
        <v>0</v>
      </c>
      <c r="KK203" s="16">
        <f>IF(ISNA(VLOOKUP($A203,'Données projet'!$A$382:$I$402,6,0)),0%,VLOOKUP($A203,'Données projet'!$A$382:$I$402,6,0)*VLOOKUP('Données projet'!$B$22,Paramètres!$A$1:$I$89,7,0))</f>
        <v>0</v>
      </c>
      <c r="KL203" s="16">
        <f>IF(ISNA(VLOOKUP($A203,'Données projet'!$A$382:$I$402,7,0)),0%,VLOOKUP($A203,'Données projet'!$A$382:$I$402,7,0))</f>
        <v>0</v>
      </c>
      <c r="KM203" s="21">
        <f>EXP(-LN(2)/35)*KM202+(1-EXP(-LN(2)/35))/(LN(2)/35)*KI203*KJ203*VLOOKUP('Données projet'!$B$22,Paramètres!$A$1:$I$89,3,0)*0.475*44/12</f>
        <v>39.842706996662052</v>
      </c>
      <c r="KN203" s="21">
        <f>EXP(-LN(2)/25)*KN202+(1-EXP(-LN(2)/25))/(LN(2)/25)*Calculateur!KI203*Calculateur!KK203*VLOOKUP('Données projet'!$B$22,Paramètres!$A$1:$I$89,3,0)*0.475*44/12</f>
        <v>0</v>
      </c>
      <c r="KO203" s="21">
        <f>EXP(-LN(2)/2)*KO202+(1-EXP(-LN(2)/2))/(LN(2)/2)*KI203*KL203*VLOOKUP('Données projet'!$B$22,Paramètres!$A$1:$I$89,3,0)*0.475*44/12</f>
        <v>0</v>
      </c>
      <c r="KP203" s="22">
        <f t="shared" si="378"/>
        <v>39.842706996662052</v>
      </c>
      <c r="KQ203" s="74">
        <f>('Scénario référence'!$F$8+'Scénario référence'!$F$9+'Scénario référence'!$B$17+'Scénario référence'!$B$9+'Scénario référence'!$B$10)*70+IF((45+25*(1-EXP(-0.0175*$A203)))&lt;70,'Scénario référence'!$B$16*(45+25*(1-EXP(-0.0175*$A203))),70*'Scénario référence'!$B$16)+IF((32+38*(1-EXP(-0.0175*$A203)))&lt;70,'Scénario référence'!$B$18*(32+38*(1-EXP(-0.0175*$A203))),70*'Scénario référence'!$B$18)</f>
        <v>70</v>
      </c>
      <c r="KR203" s="12">
        <f>IF($A203&gt;30,10,('Scénario référence'!$B$16+'Scénario référence'!$B$17+'Scénario référence'!$B$18+'Scénario référence'!$B$9+'Scénario référence'!$B$10)*$A203*10/30+('Scénario référence'!$F$8+'Scénario référence'!$F$9)*10)</f>
        <v>10</v>
      </c>
      <c r="KS203" s="12" t="e">
        <f>VLOOKUP($A203,'Données projet'!$A$408:$I$428,2,0)</f>
        <v>#N/A</v>
      </c>
      <c r="KT203" s="12" t="e">
        <f>VLOOKUP($A203,'Données projet'!$A$408:$I$428,9,0)</f>
        <v>#N/A</v>
      </c>
      <c r="KU203" s="12">
        <f t="array" ref="KU203">INDEX(KT:KT,MIN(IF(ISNUMBER(KT203:KT399),ROW(KT203:KT399),"")))</f>
        <v>0</v>
      </c>
      <c r="KV203" s="12">
        <f>IF('Données projet'!$A$408&gt;35,KV202+KU203-LD202,IF($A203&lt;'Données projet'!$A$408,$CQ$205^$A203,IF($A203='Données projet'!$A$408,'Données projet'!$B$408,KV202+KU203-LD202)))</f>
        <v>-1.1368683772161603E-13</v>
      </c>
      <c r="KW203" s="17">
        <f>KV203*VLOOKUP('Données projet'!$B$23,Paramètres!$A$1:$I$89,3,0)*VLOOKUP('Données projet'!$B$23,Paramètres!$A$1:$I$89,5,0)</f>
        <v>-9.9316821433603781E-14</v>
      </c>
      <c r="KX203" s="13" t="e">
        <f t="shared" si="417"/>
        <v>#NUM!</v>
      </c>
      <c r="KY203" s="14" t="e">
        <f t="shared" si="379"/>
        <v>#NUM!</v>
      </c>
      <c r="KZ203" s="59" t="e">
        <f t="shared" si="380"/>
        <v>#NUM!</v>
      </c>
      <c r="LA203" s="59">
        <f ca="1">AVERAGE(OFFSET($KZ$3,0,0,'Données projet'!$E$23+1,1))-AVERAGE(OFFSET($H$3,0,0,'Données projet'!$E$23+1,1))</f>
        <v>248.33596943633819</v>
      </c>
      <c r="LB203" s="59">
        <f t="shared" si="418"/>
        <v>242.34010522344573</v>
      </c>
      <c r="LC203" s="15">
        <f>IF(ISNA(VLOOKUP($A203,'Données projet'!$A$408:$I$428,3,0)),0,VLOOKUP($A203,'Données projet'!$A$408:$I$428,3,0))</f>
        <v>0</v>
      </c>
      <c r="LD203" s="15">
        <f>IF(ISNA(VLOOKUP($A203,'Données projet'!$A$408:$I$428,4,0)),0,VLOOKUP($A203,'Données projet'!$A$408:$I$428,4,0))</f>
        <v>0</v>
      </c>
      <c r="LE203" s="16">
        <f>IF(ISNA(VLOOKUP($A203,'Données projet'!$A$408:$I$428,5,0)),0%,VLOOKUP($A203,'Données projet'!$A$408:$I$428,5,0)*VLOOKUP('Données projet'!$B$23,Paramètres!$A$1:$I$89,7,0))</f>
        <v>0</v>
      </c>
      <c r="LF203" s="16">
        <f>IF(ISNA(VLOOKUP($A203,'Données projet'!$A$408:$I$428,6,0)),0%,VLOOKUP($A203,'Données projet'!$A$408:$I$428,6,0)*VLOOKUP('Données projet'!$B$23,Paramètres!$A$1:$I$89,7,0))</f>
        <v>0</v>
      </c>
      <c r="LG203" s="16">
        <f>IF(ISNA(VLOOKUP($A203,'Données projet'!$A$408:$I$428,7,0)),0%,VLOOKUP($A203,'Données projet'!$A$408:$I$428,7,0))</f>
        <v>0</v>
      </c>
      <c r="LH203" s="21">
        <f>EXP(-LN(2)/35)*LH202+(1-EXP(-LN(2)/35))/(LN(2)/35)*LD203*LE203*VLOOKUP('Données projet'!$B$23,Paramètres!$A$1:$I$89,3,0)*0.475*44/12</f>
        <v>11.44405089605641</v>
      </c>
      <c r="LI203" s="21">
        <f>EXP(-LN(2)/25)*LI202+(1-EXP(-LN(2)/25))/(LN(2)/25)*Calculateur!LD203*Calculateur!LF203*VLOOKUP('Données projet'!$B$23,Paramètres!$A$1:$I$89,3,0)*0.475*44/12</f>
        <v>0.78172902339068995</v>
      </c>
      <c r="LJ203" s="21">
        <f>EXP(-LN(2)/2)*LJ202+(1-EXP(-LN(2)/2))/(LN(2)/2)*LD203*LG203*VLOOKUP('Données projet'!$B$23,Paramètres!$A$1:$I$89,3,0)*0.475*44/12</f>
        <v>0</v>
      </c>
      <c r="LK203" s="22">
        <f t="shared" si="381"/>
        <v>12.225779919447101</v>
      </c>
      <c r="LL203" s="74">
        <f>('Scénario référence'!$F$8+'Scénario référence'!$F$9+'Scénario référence'!$B$17+'Scénario référence'!$B$9+'Scénario référence'!$B$10)*70+IF((45+25*(1-EXP(-0.0175*$A203)))&lt;70,'Scénario référence'!$B$16*(45+25*(1-EXP(-0.0175*$A203))),70*'Scénario référence'!$B$16)+IF((32+38*(1-EXP(-0.0175*$A203)))&lt;70,'Scénario référence'!$B$18*(32+38*(1-EXP(-0.0175*$A203))),70*'Scénario référence'!$B$18)</f>
        <v>70</v>
      </c>
      <c r="LM203" s="12">
        <f>IF($A203&gt;30,10,('Scénario référence'!$B$16+'Scénario référence'!$B$17+'Scénario référence'!$B$18+'Scénario référence'!$B$9+'Scénario référence'!$B$10)*$A203*10/30+('Scénario référence'!$F$8+'Scénario référence'!$F$9)*10)</f>
        <v>10</v>
      </c>
      <c r="LN203" s="12" t="e">
        <f>VLOOKUP($A203,'Données projet'!$A$434:$I$454,2,0)</f>
        <v>#N/A</v>
      </c>
      <c r="LO203" s="12" t="e">
        <f>VLOOKUP($A203,'Données projet'!$A$434:$I$454,9,0)</f>
        <v>#N/A</v>
      </c>
      <c r="LP203" s="12">
        <f t="array" ref="LP203">INDEX(LO:LO,MIN(IF(ISNUMBER(LO203:LO399),ROW(LO203:LO399),"")))</f>
        <v>0</v>
      </c>
      <c r="LQ203" s="12">
        <f>IF('Données projet'!$A$434&gt;35,LQ202+LP203-LY202,IF($A203&lt;'Données projet'!$A$434,$CQ$205^$A203,IF($A203='Données projet'!$A$434,'Données projet'!$B$434,LQ202+LP203-LY202)))</f>
        <v>-4.5474735088646412E-13</v>
      </c>
      <c r="LR203" s="17">
        <f>LQ203*VLOOKUP('Données projet'!$B$24,Paramètres!$A$1:$I$89,3,0)*VLOOKUP('Données projet'!$B$24,Paramètres!$A$1:$I$89,5,0)</f>
        <v>-4.6111381379887462E-13</v>
      </c>
      <c r="LS203" s="13" t="e">
        <f t="shared" si="419"/>
        <v>#NUM!</v>
      </c>
      <c r="LT203" s="14" t="e">
        <f t="shared" si="382"/>
        <v>#NUM!</v>
      </c>
      <c r="LU203" s="59" t="e">
        <f t="shared" si="383"/>
        <v>#NUM!</v>
      </c>
      <c r="LV203" s="59">
        <f ca="1">AVERAGE(OFFSET($LU$3,0,0,'Données projet'!$E$24+1,1))-AVERAGE(OFFSET($H$3,0,0,'Données projet'!$E$24+1,1))</f>
        <v>260.52627655062872</v>
      </c>
      <c r="LW203" s="59">
        <f t="shared" si="420"/>
        <v>159.20429420478047</v>
      </c>
      <c r="LX203" s="15">
        <f>IF(ISNA(VLOOKUP($A203,'Données projet'!$A$434:$I$454,3,0)),0,VLOOKUP($A203,'Données projet'!$A$434:$I$454,3,0))</f>
        <v>0</v>
      </c>
      <c r="LY203" s="15">
        <f>IF(ISNA(VLOOKUP($A203,'Données projet'!$A$434:$I$454,4,0)),0,VLOOKUP($A203,'Données projet'!$A$434:$I$454,4,0))</f>
        <v>0</v>
      </c>
      <c r="LZ203" s="16">
        <f>IF(ISNA(VLOOKUP($A203,'Données projet'!$A$434:$I$454,5,0)),0%,VLOOKUP($A203,'Données projet'!$A$434:$I$454,5,0)*VLOOKUP('Données projet'!$B$24,Paramètres!$A$1:$I$89,7,0))</f>
        <v>0</v>
      </c>
      <c r="MA203" s="16">
        <f>IF(ISNA(VLOOKUP($A203,'Données projet'!$A$434:$I$454,6,0)),0%,VLOOKUP($A203,'Données projet'!$A$434:$I$454,6,0)*VLOOKUP('Données projet'!$B$24,Paramètres!$A$1:$I$89,7,0))</f>
        <v>0</v>
      </c>
      <c r="MB203" s="16">
        <f>IF(ISNA(VLOOKUP($A203,'Données projet'!$A$434:$I$454,7,0)),0%,VLOOKUP($A203,'Données projet'!$A$434:$I$454,7,0))</f>
        <v>0</v>
      </c>
      <c r="MC203" s="21">
        <f>EXP(-LN(2)/35)*MC202+(1-EXP(-LN(2)/35))/(LN(2)/35)*LY203*LZ203*VLOOKUP('Données projet'!$B$24,Paramètres!$A$1:$I$89,3,0)*0.475*44/12</f>
        <v>73.581360196132607</v>
      </c>
      <c r="MD203" s="21">
        <f>EXP(-LN(2)/25)*MD202+(1-EXP(-LN(2)/25))/(LN(2)/25)*Calculateur!LY203*Calculateur!MA203*VLOOKUP('Données projet'!$B$24,Paramètres!$A$1:$I$89,3,0)*0.475*44/12</f>
        <v>0</v>
      </c>
      <c r="ME203" s="21">
        <f>EXP(-LN(2)/2)*ME202+(1-EXP(-LN(2)/2))/(LN(2)/2)*LY203*MB203*VLOOKUP('Données projet'!$B$24,Paramètres!$A$1:$I$89,3,0)*0.475*44/12</f>
        <v>0</v>
      </c>
      <c r="MF203" s="22">
        <f t="shared" si="384"/>
        <v>73.581360196132607</v>
      </c>
      <c r="MG203" s="74">
        <f>('Scénario référence'!$F$8+'Scénario référence'!$F$9+'Scénario référence'!$B$17+'Scénario référence'!$B$9+'Scénario référence'!$B$10)*70+IF((45+25*(1-EXP(-0.0175*$A203)))&lt;70,'Scénario référence'!$B$16*(45+25*(1-EXP(-0.0175*$A203))),70*'Scénario référence'!$B$16)+IF((32+38*(1-EXP(-0.0175*$A203)))&lt;70,'Scénario référence'!$B$18*(32+38*(1-EXP(-0.0175*$A203))),70*'Scénario référence'!$B$18)</f>
        <v>70</v>
      </c>
      <c r="MH203" s="12">
        <f>IF($A203&gt;30,10,('Scénario référence'!$B$16+'Scénario référence'!$B$17+'Scénario référence'!$B$18+'Scénario référence'!$B$9+'Scénario référence'!$B$10)*$A203*10/30+('Scénario référence'!$F$8+'Scénario référence'!$F$9)*10)</f>
        <v>10</v>
      </c>
      <c r="MI203" s="12" t="e">
        <f>VLOOKUP($A203,'Données projet'!$A$460:$I$480,2,0)</f>
        <v>#N/A</v>
      </c>
      <c r="MJ203" s="12" t="e">
        <f>VLOOKUP($A203,'Données projet'!$A$460:$I$480,9,0)</f>
        <v>#N/A</v>
      </c>
      <c r="MK203" s="12">
        <f t="array" ref="MK203">INDEX(MJ:MJ,MIN(IF(ISNUMBER(MJ203:MJ399),ROW(MJ203:MJ399),"")))</f>
        <v>0</v>
      </c>
      <c r="ML203" s="12">
        <f>IF('Données projet'!$A$460&gt;35,ML202+MK203-MT202,IF($A203&lt;'Données projet'!$A$460,$CQ$205^$A203,IF($A203='Données projet'!$A$460,'Données projet'!$B$460,ML202+MK203-MT202)))</f>
        <v>0</v>
      </c>
      <c r="MM203" s="17" t="e">
        <f>ML203*VLOOKUP('Données projet'!$B$25,Paramètres!$A$1:$I$89,3,0)*VLOOKUP('Données projet'!$B$25,Paramètres!$A$1:$I$89,5,0)</f>
        <v>#N/A</v>
      </c>
      <c r="MN203" s="13" t="e">
        <f t="shared" si="421"/>
        <v>#N/A</v>
      </c>
      <c r="MO203" s="14" t="e">
        <f t="shared" si="385"/>
        <v>#N/A</v>
      </c>
      <c r="MP203" s="59" t="e">
        <f t="shared" si="386"/>
        <v>#N/A</v>
      </c>
      <c r="MQ203" s="20" t="e">
        <f ca="1">AVERAGE(OFFSET($MP$3,0,0,'Données projet'!$E$25+1,1))-AVERAGE(OFFSET($H$3,0,0,'Données projet'!$E$25+1,1))</f>
        <v>#N/A</v>
      </c>
      <c r="MR203" s="59" t="e">
        <f t="shared" si="422"/>
        <v>#N/A</v>
      </c>
      <c r="MS203" s="15">
        <f>IF(ISNA(VLOOKUP($A203,'Données projet'!$A$460:$I$480,3,0)),0,VLOOKUP($A203,'Données projet'!$A$460:$I$480,3,0))</f>
        <v>0</v>
      </c>
      <c r="MT203" s="15">
        <f>IF(ISNA(VLOOKUP($A203,'Données projet'!$A$460:$I$480,4,0)),0,VLOOKUP($A203,'Données projet'!$A$460:$I$480,4,0))</f>
        <v>0</v>
      </c>
      <c r="MU203" s="16">
        <f>IF(ISNA(VLOOKUP($A203,'Données projet'!$A$460:$I$480,5,0)),0%,VLOOKUP($A203,'Données projet'!$A$460:$I$480,5,0)*VLOOKUP('Données projet'!$B$25,Paramètres!$A$1:$I$89,7,0))</f>
        <v>0</v>
      </c>
      <c r="MV203" s="16">
        <f>IF(ISNA(VLOOKUP($A203,'Données projet'!$A$460:$I$480,6,0)),0%,VLOOKUP($A203,'Données projet'!$A$460:$I$480,6,0)*VLOOKUP('Données projet'!$B$25,Paramètres!$A$1:$I$89,7,0))</f>
        <v>0</v>
      </c>
      <c r="MW203" s="16">
        <f>IF(ISNA(VLOOKUP($A203,'Données projet'!$A$460:$I$480,7,0)),0%,VLOOKUP($A203,'Données projet'!$A$460:$I$480,7,0))</f>
        <v>0</v>
      </c>
      <c r="MX203" s="21" t="e">
        <f>EXP(-LN(2)/35)*MX202+(1-EXP(-LN(2)/35))/(LN(2)/35)*MT203*MU203*VLOOKUP('Données projet'!$B$25,Paramètres!$A$1:$I$89,3,0)*0.475*44/12</f>
        <v>#N/A</v>
      </c>
      <c r="MY203" s="21" t="e">
        <f>EXP(-LN(2)/25)*MY202+(1-EXP(-LN(2)/25))/(LN(2)/25)*Calculateur!MT203*Calculateur!MV203*VLOOKUP('Données projet'!$B$25,Paramètres!$A$1:$I$89,3,0)*0.475*44/12</f>
        <v>#N/A</v>
      </c>
      <c r="MZ203" s="21" t="e">
        <f>EXP(-LN(2)/2)*MZ202+(1-EXP(-LN(2)/2))/(LN(2)/2)*MT203*MW203*VLOOKUP('Données projet'!$B$25,Paramètres!$A$1:$I$89,3,0)*0.475*44/12</f>
        <v>#N/A</v>
      </c>
      <c r="NA203" s="22" t="e">
        <f t="shared" si="387"/>
        <v>#N/A</v>
      </c>
      <c r="NB203" s="74">
        <f>('Scénario référence'!$F$8+'Scénario référence'!$F$9+'Scénario référence'!$B$17+'Scénario référence'!$B$9+'Scénario référence'!$B$10)*70+IF((45+25*(1-EXP(-0.0175*$A203)))&lt;70,'Scénario référence'!$B$16*(45+25*(1-EXP(-0.0175*$A203))),70*'Scénario référence'!$B$16)+IF((32+38*(1-EXP(-0.0175*$A203)))&lt;70,'Scénario référence'!$B$18*(32+38*(1-EXP(-0.0175*$A203))),70*'Scénario référence'!$B$18)</f>
        <v>70</v>
      </c>
      <c r="NC203" s="12">
        <f>IF($A203&gt;30,10,('Scénario référence'!$B$16+'Scénario référence'!$B$17+'Scénario référence'!$B$18+'Scénario référence'!$B$9+'Scénario référence'!$B$10)*$A203*10/30+('Scénario référence'!$F$8+'Scénario référence'!$F$9)*10)</f>
        <v>10</v>
      </c>
      <c r="ND203" s="12" t="e">
        <f>VLOOKUP($A203,'Données projet'!$A$486:$I$506,2,0)</f>
        <v>#N/A</v>
      </c>
      <c r="NE203" s="12" t="e">
        <f>VLOOKUP($A203,'Données projet'!$A$486:$I$506,9,0)</f>
        <v>#N/A</v>
      </c>
      <c r="NF203" s="12">
        <f t="array" ref="NF203">INDEX(NE:NE,MIN(IF(ISNUMBER(NE203:NE399),ROW(NE203:NE399),"")))</f>
        <v>0</v>
      </c>
      <c r="NG203" s="12">
        <f>IF('Données projet'!$A$486&gt;35,NG202+NF203-NO202,IF($A203&lt;'Données projet'!$A$486,$CQ$205^$A203,IF($A203='Données projet'!$A$486,'Données projet'!$B$486,NG202+NF203-NO202)))</f>
        <v>0</v>
      </c>
      <c r="NH203" s="17" t="e">
        <f>NG203*VLOOKUP('Données projet'!$B$26,Paramètres!$A$1:$I$89,3,0)*VLOOKUP('Données projet'!$B$26,Paramètres!$A$1:$I$89,5,0)</f>
        <v>#N/A</v>
      </c>
      <c r="NI203" s="13" t="e">
        <f t="shared" si="423"/>
        <v>#N/A</v>
      </c>
      <c r="NJ203" s="14" t="e">
        <f t="shared" si="388"/>
        <v>#N/A</v>
      </c>
      <c r="NK203" s="59" t="e">
        <f t="shared" si="389"/>
        <v>#N/A</v>
      </c>
      <c r="NL203" s="20" t="e">
        <f ca="1">AVERAGE(OFFSET($NK$3,0,0,'Données projet'!$E$26+1,1))-AVERAGE(OFFSET($H$3,0,0,'Données projet'!$E$26+1,1))</f>
        <v>#N/A</v>
      </c>
      <c r="NM203" s="59" t="e">
        <f t="shared" si="424"/>
        <v>#N/A</v>
      </c>
      <c r="NN203" s="15">
        <f>IF(ISNA(VLOOKUP($A203,'Données projet'!$A$486:$I$506,3,0)),0,VLOOKUP($A203,'Données projet'!$A$486:$I$506,3,0))</f>
        <v>0</v>
      </c>
      <c r="NO203" s="15">
        <f>IF(ISNA(VLOOKUP($A203,'Données projet'!$A$486:$I$506,4,0)),0,VLOOKUP($A203,'Données projet'!$A$486:$I$506,4,0))</f>
        <v>0</v>
      </c>
      <c r="NP203" s="16">
        <f>IF(ISNA(VLOOKUP($A203,'Données projet'!$A$486:$I$506,5,0)),0%,VLOOKUP($A203,'Données projet'!$A$486:$I$506,5,0)*VLOOKUP('Données projet'!$B$26,Paramètres!$A$1:$I$89,7,0))</f>
        <v>0</v>
      </c>
      <c r="NQ203" s="16">
        <f>IF(ISNA(VLOOKUP($A203,'Données projet'!$A$486:$I$506,6,0)),0%,VLOOKUP($A203,'Données projet'!$A$486:$I$506,6,0)*VLOOKUP('Données projet'!$B$26,Paramètres!$A$1:$I$89,7,0))</f>
        <v>0</v>
      </c>
      <c r="NR203" s="16">
        <f>IF(ISNA(VLOOKUP($A203,'Données projet'!$A$486:$I$506,7,0)),0%,VLOOKUP($A203,'Données projet'!$A$486:$I$506,7,0))</f>
        <v>0</v>
      </c>
      <c r="NS203" s="21" t="e">
        <f>EXP(-LN(2)/35)*NS202+(1-EXP(-LN(2)/35))/(LN(2)/35)*NO203*NP203*VLOOKUP('Données projet'!$B$26,Paramètres!$A$1:$I$89,3,0)*0.475*44/12</f>
        <v>#N/A</v>
      </c>
      <c r="NT203" s="21" t="e">
        <f>EXP(-LN(2)/25)*NT202+(1-EXP(-LN(2)/25))/(LN(2)/25)*Calculateur!NO203*Calculateur!NQ203*VLOOKUP('Données projet'!$B$26,Paramètres!$A$1:$I$89,3,0)*0.475*44/12</f>
        <v>#N/A</v>
      </c>
      <c r="NU203" s="21" t="e">
        <f>EXP(-LN(2)/2)*NU202+(1-EXP(-LN(2)/2))/(LN(2)/2)*NO203*NR203*VLOOKUP('Données projet'!$B$26,Paramètres!$A$1:$I$89,3,0)*0.475*44/12</f>
        <v>#N/A</v>
      </c>
      <c r="NV203" s="22" t="e">
        <f t="shared" si="390"/>
        <v>#N/A</v>
      </c>
      <c r="NW203" s="74">
        <f>('Scénario référence'!$F$8+'Scénario référence'!$F$9+'Scénario référence'!$B$17+'Scénario référence'!$B$9+'Scénario référence'!$B$10)*70+IF((45+25*(1-EXP(-0.0175*$A203)))&lt;70,'Scénario référence'!$B$16*(45+25*(1-EXP(-0.0175*$A203))),70*'Scénario référence'!$B$16)+IF((32+38*(1-EXP(-0.0175*$A203)))&lt;70,'Scénario référence'!$B$18*(32+38*(1-EXP(-0.0175*$A203))),70*'Scénario référence'!$B$18)</f>
        <v>70</v>
      </c>
      <c r="NX203" s="12">
        <f>IF($A203&gt;30,10,('Scénario référence'!$B$16+'Scénario référence'!$B$17+'Scénario référence'!$B$18+'Scénario référence'!$B$9+'Scénario référence'!$B$10)*$A203*10/30+('Scénario référence'!$F$8+'Scénario référence'!$F$9)*10)</f>
        <v>10</v>
      </c>
      <c r="NY203" s="12" t="e">
        <f>VLOOKUP($A203,'Données projet'!$A$512:$I$532,2,0)</f>
        <v>#N/A</v>
      </c>
      <c r="NZ203" s="12" t="e">
        <f>VLOOKUP($A203,'Données projet'!$A$512:$I$532,9,0)</f>
        <v>#N/A</v>
      </c>
      <c r="OA203" s="12">
        <f t="array" ref="OA203">INDEX(NZ:NZ,MIN(IF(ISNUMBER(NZ203:NZ399),ROW(NZ203:NZ399),"")))</f>
        <v>0</v>
      </c>
      <c r="OB203" s="12">
        <f>IF('Données projet'!$A$512&gt;35,OB202+OA203-OJ202,IF($A203&lt;'Données projet'!$A$512,$CQ$205^$A203,IF($A203='Données projet'!$A$512,'Données projet'!$B$512,OB202+OA203-OJ202)))</f>
        <v>0</v>
      </c>
      <c r="OC203" s="17" t="e">
        <f>OB203*VLOOKUP('Données projet'!$B$27,Paramètres!$A$1:$I$89,3,0)*VLOOKUP('Données projet'!$B$27,Paramètres!$A$1:$I$89,5,0)</f>
        <v>#N/A</v>
      </c>
      <c r="OD203" s="13" t="e">
        <f t="shared" si="425"/>
        <v>#N/A</v>
      </c>
      <c r="OE203" s="14" t="e">
        <f t="shared" si="391"/>
        <v>#N/A</v>
      </c>
      <c r="OF203" s="59" t="e">
        <f t="shared" si="392"/>
        <v>#N/A</v>
      </c>
      <c r="OG203" s="20" t="e">
        <f ca="1">AVERAGE(OFFSET($OF$3,0,0,'Données projet'!$E$27+1,1))-AVERAGE(OFFSET($H$3,0,0,'Données projet'!$E$27+1,1))</f>
        <v>#N/A</v>
      </c>
      <c r="OH203" s="59" t="e">
        <f t="shared" si="426"/>
        <v>#N/A</v>
      </c>
      <c r="OI203" s="15">
        <f>IF(ISNA(VLOOKUP($A203,'Données projet'!$A$512:$I$532,3,0)),0,VLOOKUP($A203,'Données projet'!$A$512:$I$532,3,0))</f>
        <v>0</v>
      </c>
      <c r="OJ203" s="15">
        <f>IF(ISNA(VLOOKUP($A203,'Données projet'!$A$512:$I$532,4,0)),0,VLOOKUP($A203,'Données projet'!$A$512:$I$532,4,0))</f>
        <v>0</v>
      </c>
      <c r="OK203" s="16">
        <f>IF(ISNA(VLOOKUP($A203,'Données projet'!$A$512:$I$532,5,0)),0%,VLOOKUP($A203,'Données projet'!$A$512:$I$532,5,0)*VLOOKUP('Données projet'!$B$27,Paramètres!$A$1:$I$89,7,0))</f>
        <v>0</v>
      </c>
      <c r="OL203" s="16">
        <f>IF(ISNA(VLOOKUP($A203,'Données projet'!$A$512:$I$532,6,0)),0%,VLOOKUP($A203,'Données projet'!$A$512:$I$532,6,0)*VLOOKUP('Données projet'!$B$27,Paramètres!$A$1:$I$89,7,0))</f>
        <v>0</v>
      </c>
      <c r="OM203" s="16">
        <f>IF(ISNA(VLOOKUP($A203,'Données projet'!$A$512:$I$532,7,0)),0%,VLOOKUP($A203,'Données projet'!$A$512:$I$532,7,0))</f>
        <v>0</v>
      </c>
      <c r="ON203" s="21" t="e">
        <f>EXP(-LN(2)/35)*ON202+(1-EXP(-LN(2)/35))/(LN(2)/35)*OJ203*OK203*VLOOKUP('Données projet'!$B$27,Paramètres!$A$1:$I$89,3,0)*0.475*44/12</f>
        <v>#N/A</v>
      </c>
      <c r="OO203" s="21" t="e">
        <f>EXP(-LN(2)/25)*OO202+(1-EXP(-LN(2)/25))/(LN(2)/25)*Calculateur!OJ203*Calculateur!OL203*VLOOKUP('Données projet'!$B$27,Paramètres!$A$1:$I$89,3,0)*0.475*44/12</f>
        <v>#N/A</v>
      </c>
      <c r="OP203" s="21" t="e">
        <f>EXP(-LN(2)/2)*OP202+(1-EXP(-LN(2)/2))/(LN(2)/2)*OJ203*OM203*VLOOKUP('Données projet'!$B$27,Paramètres!$A$1:$I$89,3,0)*0.475*44/12</f>
        <v>#N/A</v>
      </c>
      <c r="OQ203" s="22" t="e">
        <f t="shared" si="393"/>
        <v>#N/A</v>
      </c>
      <c r="OR203" s="74">
        <f>('Scénario référence'!$F$8+'Scénario référence'!$F$9+'Scénario référence'!$B$17+'Scénario référence'!$B$9+'Scénario référence'!$B$10)*70+IF((45+25*(1-EXP(-0.0175*$A203)))&lt;70,'Scénario référence'!$B$16*(45+25*(1-EXP(-0.0175*$A203))),70*'Scénario référence'!$B$16)+IF((32+38*(1-EXP(-0.0175*$A203)))&lt;70,'Scénario référence'!$B$18*(32+38*(1-EXP(-0.0175*$A203))),70*'Scénario référence'!$B$18)</f>
        <v>70</v>
      </c>
      <c r="OS203" s="12">
        <f>IF($A203&gt;30,10,('Scénario référence'!$B$16+'Scénario référence'!$B$17+'Scénario référence'!$B$18+'Scénario référence'!$B$9+'Scénario référence'!$B$10)*$A203*10/30+('Scénario référence'!$F$8+'Scénario référence'!$F$9)*10)</f>
        <v>10</v>
      </c>
      <c r="OT203" s="12" t="e">
        <f>VLOOKUP($A203,'Données projet'!$A$538:$I$558,2,0)</f>
        <v>#N/A</v>
      </c>
      <c r="OU203" s="12" t="e">
        <f>VLOOKUP($A203,'Données projet'!$A$538:$I$558,9,0)</f>
        <v>#N/A</v>
      </c>
      <c r="OV203" s="12">
        <f t="array" ref="OV203">INDEX(OU:OU,MIN(IF(ISNUMBER(OU203:OU399),ROW(OU203:OU399),"")))</f>
        <v>0</v>
      </c>
      <c r="OW203" s="12">
        <f>IF('Données projet'!$A$538&gt;35,OW202+OV203-PE202,IF($A203&lt;'Données projet'!$A$538,$CQ$205^$A203,IF($A203='Données projet'!$A$538,'Données projet'!$B$538,OW202+OV203-PE202)))</f>
        <v>0</v>
      </c>
      <c r="OX203" s="17" t="e">
        <f>OW203*VLOOKUP('Données projet'!$B$28,Paramètres!$A$1:$I$89,3,0)*VLOOKUP('Données projet'!$B$28,Paramètres!$A$1:$I$89,5,0)</f>
        <v>#N/A</v>
      </c>
      <c r="OY203" s="13" t="e">
        <f t="shared" si="427"/>
        <v>#N/A</v>
      </c>
      <c r="OZ203" s="14" t="e">
        <f t="shared" si="394"/>
        <v>#N/A</v>
      </c>
      <c r="PA203" s="59" t="e">
        <f t="shared" si="395"/>
        <v>#N/A</v>
      </c>
      <c r="PB203" s="20" t="e">
        <f ca="1">AVERAGE(OFFSET($PA$3,0,0,'Données projet'!$E$28+1,1))-AVERAGE(OFFSET($H$3,0,0,'Données projet'!$E$28+1,1))</f>
        <v>#N/A</v>
      </c>
      <c r="PC203" s="59" t="e">
        <f t="shared" si="428"/>
        <v>#N/A</v>
      </c>
      <c r="PD203" s="15">
        <f>IF(ISNA(VLOOKUP($A203,'Données projet'!$A$538:$I$558,3,0)),0,VLOOKUP($A203,'Données projet'!$A$538:$I$558,3,0))</f>
        <v>0</v>
      </c>
      <c r="PE203" s="15">
        <f>IF(ISNA(VLOOKUP($A203,'Données projet'!$A$538:$I$558,4,0)),0,VLOOKUP($A203,'Données projet'!$A$538:$I$558,4,0))</f>
        <v>0</v>
      </c>
      <c r="PF203" s="16">
        <f>IF(ISNA(VLOOKUP($A203,'Données projet'!$A$538:$I$558,5,0)),0%,VLOOKUP($A203,'Données projet'!$A$538:$I$558,5,0)*VLOOKUP('Données projet'!$B$28,Paramètres!$A$1:$I$89,7,0))</f>
        <v>0</v>
      </c>
      <c r="PG203" s="16">
        <f>IF(ISNA(VLOOKUP($A203,'Données projet'!$A$538:$I$558,6,0)),0%,VLOOKUP($A203,'Données projet'!$A$538:$I$558,6,0)*VLOOKUP('Données projet'!$B$28,Paramètres!$A$1:$I$89,7,0))</f>
        <v>0</v>
      </c>
      <c r="PH203" s="16">
        <f>IF(ISNA(VLOOKUP($A203,'Données projet'!$A$538:$I$558,7,0)),0%,VLOOKUP($A203,'Données projet'!$A$538:$I$558,7,0))</f>
        <v>0</v>
      </c>
      <c r="PI203" s="21" t="e">
        <f>EXP(-LN(2)/35)*PI202+(1-EXP(-LN(2)/35))/(LN(2)/35)*PE203*PF203*VLOOKUP('Données projet'!$B$28,Paramètres!$A$1:$I$89,3,0)*0.475*44/12</f>
        <v>#N/A</v>
      </c>
      <c r="PJ203" s="21" t="e">
        <f>EXP(-LN(2)/25)*PJ202+(1-EXP(-LN(2)/25))/(LN(2)/25)*Calculateur!PE203*Calculateur!PG203*VLOOKUP('Données projet'!$B$28,Paramètres!$A$1:$I$89,3,0)*0.475*44/12</f>
        <v>#N/A</v>
      </c>
      <c r="PK203" s="21" t="e">
        <f>EXP(-LN(2)/2)*PK202+(1-EXP(-LN(2)/2))/(LN(2)/2)*PE203*PH203*VLOOKUP('Données projet'!$B$28,Paramètres!$A$1:$I$89,3,0)*0.475*44/12</f>
        <v>#N/A</v>
      </c>
      <c r="PL203" s="22" t="e">
        <f t="shared" si="396"/>
        <v>#N/A</v>
      </c>
    </row>
    <row r="204" spans="1:42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  <c r="HM204" s="12" t="e">
        <f>VLOOKUP($A204,'Données projet'!$A$304:$I$324,2,0)</f>
        <v>#N/A</v>
      </c>
      <c r="IH204" s="12" t="e">
        <f>VLOOKUP($A204,'Données projet'!$A$330:$I$350,2,0)</f>
        <v>#N/A</v>
      </c>
      <c r="JC204" s="12" t="e">
        <f>VLOOKUP($A204,'Données projet'!$A$356:$I$376,2,0)</f>
        <v>#N/A</v>
      </c>
      <c r="JX204" s="12" t="e">
        <f>VLOOKUP($A204,'Données projet'!$A$382:$I$402,2,0)</f>
        <v>#N/A</v>
      </c>
      <c r="KS204" s="12" t="e">
        <f>VLOOKUP($A204,'Données projet'!$A$408:$I$428,2,0)</f>
        <v>#N/A</v>
      </c>
      <c r="LN204" s="12" t="e">
        <f>VLOOKUP($A204,'Données projet'!$A$434:$I$454,2,0)</f>
        <v>#N/A</v>
      </c>
      <c r="MI204" s="12" t="e">
        <f>VLOOKUP($A204,'Données projet'!$A$460:$I$480,2,0)</f>
        <v>#N/A</v>
      </c>
      <c r="ND204" s="12" t="e">
        <f>VLOOKUP($A204,'Données projet'!$A$486:$I$506,2,0)</f>
        <v>#N/A</v>
      </c>
      <c r="NY204" s="12" t="e">
        <f>VLOOKUP($A204,'Données projet'!$A$512:$I$532,2,0)</f>
        <v>#N/A</v>
      </c>
      <c r="OT204" s="12" t="e">
        <f>VLOOKUP($A204,'Données projet'!$A$538:$I$558,2,0)</f>
        <v>#N/A</v>
      </c>
    </row>
    <row r="205" spans="1:42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projet'!B46)/'Données projet'!A46)</f>
        <v>1.3356034260773062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projet'!B72)/'Données projet'!A72)</f>
        <v>1.1736311550444201</v>
      </c>
      <c r="BA205" s="82">
        <f>EXP(LN('Données projet'!B98)/'Données projet'!A98)</f>
        <v>1.3356034260773062</v>
      </c>
      <c r="BV205" s="82">
        <f>EXP(LN('Données projet'!B124)/'Données projet'!A124)</f>
        <v>1.4003603312913959</v>
      </c>
      <c r="CQ205" s="82">
        <f>EXP(LN('Données projet'!B150)/'Données projet'!A150)</f>
        <v>1.1608269964373037</v>
      </c>
      <c r="DL205" s="82">
        <f>EXP(LN('Données projet'!B176)/'Données projet'!A176)</f>
        <v>1.3423796509621049</v>
      </c>
      <c r="EG205" s="82">
        <f>EXP(LN('Données projet'!B202)/'Données projet'!A202)</f>
        <v>1.1671681906248585</v>
      </c>
      <c r="FB205" s="82">
        <f>EXP(LN('Données projet'!B228)/'Données projet'!A228)</f>
        <v>1.335141362540313</v>
      </c>
      <c r="FW205" s="82">
        <f>EXP(LN('Données projet'!B254)/'Données projet'!A254)</f>
        <v>1.2721747796233518</v>
      </c>
      <c r="GR205" s="82">
        <f>EXP(LN('Données projet'!B280)/'Données projet'!A280)</f>
        <v>1.3167180204218134</v>
      </c>
      <c r="HM205" s="12" t="e">
        <f>VLOOKUP($A205,'Données projet'!$A$304:$I$324,2,0)</f>
        <v>#N/A</v>
      </c>
      <c r="IH205" s="12" t="e">
        <f>VLOOKUP($A205,'Données projet'!$A$330:$I$350,2,0)</f>
        <v>#N/A</v>
      </c>
      <c r="JC205" s="12" t="e">
        <f>VLOOKUP($A205,'Données projet'!$A$356:$I$376,2,0)</f>
        <v>#N/A</v>
      </c>
      <c r="JX205" s="12" t="e">
        <f>VLOOKUP($A205,'Données projet'!$A$382:$I$402,2,0)</f>
        <v>#N/A</v>
      </c>
      <c r="KS205" s="12" t="e">
        <f>VLOOKUP($A205,'Données projet'!$A$408:$I$428,2,0)</f>
        <v>#N/A</v>
      </c>
      <c r="LN205" s="12" t="e">
        <f>VLOOKUP($A205,'Données projet'!$A$434:$I$454,2,0)</f>
        <v>#N/A</v>
      </c>
      <c r="MI205" s="12" t="e">
        <f>VLOOKUP($A205,'Données projet'!$A$460:$I$480,2,0)</f>
        <v>#N/A</v>
      </c>
      <c r="ND205" s="12" t="e">
        <f>VLOOKUP($A205,'Données projet'!$A$486:$I$506,2,0)</f>
        <v>#N/A</v>
      </c>
      <c r="NY205" s="12" t="e">
        <f>VLOOKUP($A205,'Données projet'!$A$512:$I$532,2,0)</f>
        <v>#N/A</v>
      </c>
      <c r="OT205" s="12" t="e">
        <f>VLOOKUP($A205,'Données projet'!$A$538:$I$558,2,0)</f>
        <v>#N/A</v>
      </c>
    </row>
  </sheetData>
  <sheetProtection algorithmName="SHA-512" hashValue="lRPkJKBsfZEhnpwhOeXwW6tMgS68s+X4Kb+MJv80q/+UcsyVHsHBPmMrFW6xz8MQQmKWPuZ9dfj7QBtQCggZAg==" saltValue="2KFJo3JeYYWRf+9C0spsxg==" spinCount="100000" sheet="1" objects="1" scenarios="1"/>
  <mergeCells count="2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  <mergeCell ref="HK1:IE1"/>
    <mergeCell ref="IF1:IZ1"/>
    <mergeCell ref="JA1:JU1"/>
    <mergeCell ref="JV1:KP1"/>
    <mergeCell ref="KQ1:LK1"/>
    <mergeCell ref="LL1:MF1"/>
    <mergeCell ref="MG1:NA1"/>
    <mergeCell ref="NB1:NV1"/>
    <mergeCell ref="NW1:OQ1"/>
    <mergeCell ref="OR1:P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8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9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8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90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90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9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8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9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67"/>
  <sheetViews>
    <sheetView topLeftCell="F14" zoomScale="90" zoomScaleNormal="90" workbookViewId="0">
      <selection activeCell="K14" sqref="K14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9" t="s">
        <v>271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1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Douglas</v>
      </c>
      <c r="B6" s="146">
        <f>'Données projet'!D9</f>
        <v>1.5115335212504721</v>
      </c>
      <c r="C6" s="147">
        <f ca="1">IF(OR('Données projet'!B9="",'Données projet'!C9="",'Données projet'!C9=0%),0,Calculateur!S3)</f>
        <v>274.57619581652199</v>
      </c>
      <c r="D6" s="147">
        <f>IF(OR('Données projet'!B9="",'Données projet'!C9="",'Données projet'!C9=0%),0,Calculateur!T3)</f>
        <v>366.15117322598775</v>
      </c>
      <c r="E6" s="147">
        <f ca="1">MIN(C6,D6)</f>
        <v>274.57619581652199</v>
      </c>
      <c r="F6" s="147">
        <f ca="1">E6*B6</f>
        <v>415.03112411410666</v>
      </c>
      <c r="G6" s="147">
        <f ca="1">F6*(100%-'Données projet'!$C$34)*(100%-'Données projet'!$C$35)*(100%-'Données projet'!$C$36)*(100%-'Données projet'!$C$37)</f>
        <v>373.52801170269601</v>
      </c>
      <c r="H6" s="148">
        <f>IF(OR('Données projet'!B9="",'Données projet'!C9="",'Données projet'!C9=0%),0,AVERAGE(Calculateur!$AC$3:$AC$33)*B6)</f>
        <v>18.459447714744407</v>
      </c>
      <c r="I6" s="149">
        <f>H6*(100%-'Données projet'!$C$34)*(100%-'Données projet'!$C$35)*(100%-'Données projet'!$C$36)*(100%-'Données projet'!$C$37)</f>
        <v>16.613502943269967</v>
      </c>
      <c r="J6" s="150">
        <f>IF(OR('Données projet'!B9="",'Données projet'!C9="",'Données projet'!C9=0%),0,SUM(Calculateur!$V$3:$V$33)*VLOOKUP('Données projet'!$B$9,Paramètres!$A$1:$I$89,9,0)*B6)</f>
        <v>115.44279132645815</v>
      </c>
      <c r="K6" s="151">
        <f>J6*(100%-'Données projet'!$C$34)*(100%-'Données projet'!$C$35)*(100%-'Données projet'!$C$36)*(100%-'Données projet'!$C$37)</f>
        <v>103.89851219381234</v>
      </c>
      <c r="L6" s="152">
        <f ca="1">G6+I6+K6</f>
        <v>494.04002683977831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Chêne sessile</v>
      </c>
      <c r="B7" s="154">
        <f>'Données projet'!D10</f>
        <v>4.7037523304624669</v>
      </c>
      <c r="C7" s="147">
        <f ca="1">IF(OR('Données projet'!B10="",'Données projet'!C10="",'Données projet'!C10=0%),0,Calculateur!AN3)</f>
        <v>270.87836509222456</v>
      </c>
      <c r="D7" s="147">
        <f>IF(OR('Données projet'!B10="",'Données projet'!C10="",'Données projet'!C10=0%),0,Calculateur!AO3)</f>
        <v>205.24998237949734</v>
      </c>
      <c r="E7" s="147">
        <f t="shared" ref="E7:E25" ca="1" si="0">MIN(C7,D7)</f>
        <v>205.24998237949734</v>
      </c>
      <c r="F7" s="147">
        <f t="shared" ref="F7:F25" ca="1" si="1">E7*B7</f>
        <v>965.44508294494085</v>
      </c>
      <c r="G7" s="147">
        <f ca="1">F7*(100%-'Données projet'!$C$34)*(100%-'Données projet'!$C$35)*(100%-'Données projet'!$C$36)*(100%-'Données projet'!$C$37)</f>
        <v>868.90057465044674</v>
      </c>
      <c r="H7" s="155">
        <f>IF(OR('Données projet'!B10="",'Données projet'!C10="",'Données projet'!C10=0%),0,AVERAGE(Calculateur!$AX$3:$AX$33)*B7)</f>
        <v>0</v>
      </c>
      <c r="I7" s="149">
        <f>H7*(100%-'Données projet'!$C$34)*(100%-'Données projet'!$C$35)*(100%-'Données projet'!$C$36)*(100%-'Données projet'!$C$37)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projet'!$C$34)*(100%-'Données projet'!$C$35)*(100%-'Données projet'!$C$36)*(100%-'Données projet'!$C$37)</f>
        <v>0</v>
      </c>
      <c r="L7" s="152">
        <f t="shared" ref="L7:L25" ca="1" si="2">G7+I7+K7</f>
        <v>868.90057465044674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Séquoia toujours vert</v>
      </c>
      <c r="B8" s="154">
        <f>'Données projet'!D11</f>
        <v>2.3514595352639645</v>
      </c>
      <c r="C8" s="147">
        <f ca="1">IF(OR('Données projet'!B11="",'Données projet'!C11="",'Données projet'!C11=0%),0,Calculateur!BI3)</f>
        <v>211.31057120485542</v>
      </c>
      <c r="D8" s="147">
        <f>IF(OR('Données projet'!B11="",'Données projet'!C11="",'Données projet'!C11=0%),0,Calculateur!BJ3)</f>
        <v>283.33292006714777</v>
      </c>
      <c r="E8" s="147">
        <f t="shared" ca="1" si="0"/>
        <v>211.31057120485542</v>
      </c>
      <c r="F8" s="147">
        <f t="shared" ca="1" si="1"/>
        <v>496.88825756173219</v>
      </c>
      <c r="G8" s="147">
        <f ca="1">F8*(100%-'Données projet'!$C$34)*(100%-'Données projet'!$C$35)*(100%-'Données projet'!$C$36)*(100%-'Données projet'!$C$37)</f>
        <v>447.19943180555896</v>
      </c>
      <c r="H8" s="155">
        <f>IF(OR('Données projet'!B11="",'Données projet'!C11="",'Données projet'!C11=0%),0,AVERAGE(Calculateur!$BS$3:$BS$33)*B8)</f>
        <v>22.706431749625605</v>
      </c>
      <c r="I8" s="149">
        <f>H8*(100%-'Données projet'!$C$34)*(100%-'Données projet'!$C$35)*(100%-'Données projet'!$C$36)*(100%-'Données projet'!$C$37)</f>
        <v>20.435788574663043</v>
      </c>
      <c r="J8" s="150">
        <f>IF(OR('Données projet'!B11="",'Données projet'!C11="",'Données projet'!C11=0%),0,SUM(Calculateur!$BL$3:$BL$33)*VLOOKUP('Données projet'!$B$11,Paramètres!$A$1:$I$89,9,0)*B8)</f>
        <v>179.59181759827169</v>
      </c>
      <c r="K8" s="151">
        <f>J8*(100%-'Données projet'!$C$34)*(100%-'Données projet'!$C$35)*(100%-'Données projet'!$C$36)*(100%-'Données projet'!$C$37)</f>
        <v>161.63263583844451</v>
      </c>
      <c r="L8" s="152">
        <f t="shared" ca="1" si="2"/>
        <v>629.26785621866657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Chêne chevelu</v>
      </c>
      <c r="B9" s="154">
        <f>'Données projet'!D12</f>
        <v>2.855581795658968</v>
      </c>
      <c r="C9" s="147">
        <f ca="1">IF(OR('Données projet'!B12="",'Données projet'!C12="",'Données projet'!C12=0%),0,Calculateur!CD3)</f>
        <v>322.93502595881938</v>
      </c>
      <c r="D9" s="147">
        <f>IF(OR('Données projet'!B12="",'Données projet'!C12="",'Données projet'!C12=0%),0,Calculateur!CE3)</f>
        <v>302.67072119588164</v>
      </c>
      <c r="E9" s="147">
        <f t="shared" ca="1" si="0"/>
        <v>302.67072119588164</v>
      </c>
      <c r="F9" s="147">
        <f t="shared" ca="1" si="1"/>
        <v>864.30100152593059</v>
      </c>
      <c r="G9" s="147">
        <f ca="1">F9*(100%-'Données projet'!$C$34)*(100%-'Données projet'!$C$35)*(100%-'Données projet'!$C$36)*(100%-'Données projet'!$C$37)</f>
        <v>777.87090137333757</v>
      </c>
      <c r="H9" s="155">
        <f>IF(OR('Données projet'!B12="",'Données projet'!C12="",'Données projet'!C12=0%),0,AVERAGE(Calculateur!$CN$3:$CN$33)*B9)</f>
        <v>0</v>
      </c>
      <c r="I9" s="149">
        <f>H9*(100%-'Données projet'!$C$34)*(100%-'Données projet'!$C$35)*(100%-'Données projet'!$C$36)*(100%-'Données projet'!$C$37)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projet'!$C$34)*(100%-'Données projet'!$C$35)*(100%-'Données projet'!$C$36)*(100%-'Données projet'!$C$37)</f>
        <v>0</v>
      </c>
      <c r="L9" s="152">
        <f t="shared" ca="1" si="2"/>
        <v>777.87090137333757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>Chêne pubescent</v>
      </c>
      <c r="B10" s="154">
        <f>'Données projet'!D13</f>
        <v>1.7648445413497793</v>
      </c>
      <c r="C10" s="147">
        <f ca="1">IF(OR('Données projet'!B13="",'Données projet'!C13="",'Données projet'!C13=0%),0,Calculateur!CY3)</f>
        <v>250.31277422753283</v>
      </c>
      <c r="D10" s="147">
        <f>IF(OR('Données projet'!B13="",'Données projet'!C13="",'Données projet'!C13=0%),0,Calculateur!CZ3)</f>
        <v>159.20429420478047</v>
      </c>
      <c r="E10" s="147">
        <f t="shared" ca="1" si="0"/>
        <v>159.20429420478047</v>
      </c>
      <c r="F10" s="147">
        <f t="shared" ca="1" si="1"/>
        <v>280.97082958675111</v>
      </c>
      <c r="G10" s="147">
        <f ca="1">F10*(100%-'Données projet'!$C$34)*(100%-'Données projet'!$C$35)*(100%-'Données projet'!$C$36)*(100%-'Données projet'!$C$37)</f>
        <v>252.87374662807599</v>
      </c>
      <c r="H10" s="155">
        <f>IF(OR('Données projet'!B13="",'Données projet'!C13="",'Données projet'!C13=0%),0,AVERAGE(Calculateur!$DI$3:$DI$33)*B10)</f>
        <v>0</v>
      </c>
      <c r="I10" s="149">
        <f>H10*(100%-'Données projet'!$C$34)*(100%-'Données projet'!$C$35)*(100%-'Données projet'!$C$36)*(100%-'Données projet'!$C$37)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projet'!$C$34)*(100%-'Données projet'!$C$35)*(100%-'Données projet'!$C$36)*(100%-'Données projet'!$C$37)</f>
        <v>0</v>
      </c>
      <c r="L10" s="152">
        <f t="shared" ca="1" si="2"/>
        <v>252.87374662807599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>Châtaignier</v>
      </c>
      <c r="B11" s="154">
        <f>'Données projet'!D14</f>
        <v>1.6798520280269855</v>
      </c>
      <c r="C11" s="147">
        <f ca="1">IF(OR('Données projet'!B14="",'Données projet'!C14="",'Données projet'!C14=0%),0,Calculateur!DT3)</f>
        <v>296.91321813251051</v>
      </c>
      <c r="D11" s="147">
        <f>IF(OR('Données projet'!B14="",'Données projet'!C14="",'Données projet'!C14=0%),0,Calculateur!DU3)</f>
        <v>291.0718079639509</v>
      </c>
      <c r="E11" s="147">
        <f t="shared" ca="1" si="0"/>
        <v>291.0718079639509</v>
      </c>
      <c r="F11" s="147">
        <f t="shared" ca="1" si="1"/>
        <v>488.95756690972422</v>
      </c>
      <c r="G11" s="147">
        <f ca="1">F11*(100%-'Données projet'!$C$34)*(100%-'Données projet'!$C$35)*(100%-'Données projet'!$C$36)*(100%-'Données projet'!$C$37)</f>
        <v>440.06181021875182</v>
      </c>
      <c r="H11" s="155">
        <f>IF(OR('Données projet'!B14="",'Données projet'!C14="",'Données projet'!C14=0%),0,AVERAGE(Calculateur!$ED$3:$ED$33)*B11)</f>
        <v>4.107403253026038</v>
      </c>
      <c r="I11" s="149">
        <f>H11*(100%-'Données projet'!$C$34)*(100%-'Données projet'!$C$35)*(100%-'Données projet'!$C$36)*(100%-'Données projet'!$C$37)</f>
        <v>3.6966629277234344</v>
      </c>
      <c r="J11" s="150">
        <f>IF(OR('Données projet'!B14="",'Données projet'!C14="",'Données projet'!C14=0%),0,SUM(Calculateur!$DW$3:$DW$33)*VLOOKUP('Données projet'!$B$14,Paramètres!$A$1:$I$89,9,0)*B11)</f>
        <v>73.49352622618062</v>
      </c>
      <c r="K11" s="151">
        <f>J11*(100%-'Données projet'!$C$34)*(100%-'Données projet'!$C$35)*(100%-'Données projet'!$C$36)*(100%-'Données projet'!$C$37)</f>
        <v>66.144173603562564</v>
      </c>
      <c r="L11" s="152">
        <f t="shared" ca="1" si="2"/>
        <v>509.90264675003777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>Cèdre de l'Atlas</v>
      </c>
      <c r="B12" s="154">
        <f>'Données projet'!D15</f>
        <v>3.359848100988633</v>
      </c>
      <c r="C12" s="147">
        <f ca="1">IF(OR('Données projet'!B15="",'Données projet'!C15="",'Données projet'!C15=0%),0,Calculateur!EO3)</f>
        <v>147.64256291235483</v>
      </c>
      <c r="D12" s="147">
        <f>IF(OR('Données projet'!B15="",'Données projet'!C15="",'Données projet'!C15=0%),0,Calculateur!EP3)</f>
        <v>70.859031694091868</v>
      </c>
      <c r="E12" s="147">
        <f t="shared" ca="1" si="0"/>
        <v>70.859031694091868</v>
      </c>
      <c r="F12" s="147">
        <f t="shared" ca="1" si="1"/>
        <v>238.07558307528791</v>
      </c>
      <c r="G12" s="147">
        <f ca="1">F12*(100%-'Données projet'!$C$34)*(100%-'Données projet'!$C$35)*(100%-'Données projet'!$C$36)*(100%-'Données projet'!$C$37)</f>
        <v>214.26802476775913</v>
      </c>
      <c r="H12" s="155">
        <f>IF(OR('Données projet'!B15="",'Données projet'!C15="",'Données projet'!C15=0%),0,AVERAGE(Calculateur!$EY$3:$EY$33)*B12)</f>
        <v>0</v>
      </c>
      <c r="I12" s="149">
        <f>H12*(100%-'Données projet'!$C$34)*(100%-'Données projet'!$C$35)*(100%-'Données projet'!$C$36)*(100%-'Données projet'!$C$37)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projet'!$C$34)*(100%-'Données projet'!$C$35)*(100%-'Données projet'!$C$36)*(100%-'Données projet'!$C$37)</f>
        <v>0</v>
      </c>
      <c r="L12" s="152">
        <f t="shared" ca="1" si="2"/>
        <v>214.26802476775913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>Chêne chevelu</v>
      </c>
      <c r="B13" s="154">
        <f>'Données projet'!D16</f>
        <v>1.8481705348034989</v>
      </c>
      <c r="C13" s="147">
        <f ca="1">IF(OR('Données projet'!B16="",'Données projet'!C16="",'Données projet'!C16=0%),0,Calculateur!FJ3)</f>
        <v>259.03906550253788</v>
      </c>
      <c r="D13" s="147">
        <f>IF(OR('Données projet'!B16="",'Données projet'!C16="",'Données projet'!C16=0%),0,Calculateur!FK3)</f>
        <v>235.54542903570831</v>
      </c>
      <c r="E13" s="147">
        <f t="shared" ca="1" si="0"/>
        <v>235.54542903570831</v>
      </c>
      <c r="F13" s="147">
        <f t="shared" ca="1" si="1"/>
        <v>435.32812155144461</v>
      </c>
      <c r="G13" s="147">
        <f ca="1">F13*(100%-'Données projet'!$C$34)*(100%-'Données projet'!$C$35)*(100%-'Données projet'!$C$36)*(100%-'Données projet'!$C$37)</f>
        <v>391.79530939630018</v>
      </c>
      <c r="H13" s="155">
        <f>IF(OR('Données projet'!B16="",'Données projet'!C16="",'Données projet'!C16=0%),0,AVERAGE(Calculateur!$FT$3:$FT$33)*B13)</f>
        <v>0</v>
      </c>
      <c r="I13" s="149">
        <f>H13*(100%-'Données projet'!$C$34)*(100%-'Données projet'!$C$35)*(100%-'Données projet'!$C$36)*(100%-'Données projet'!$C$37)</f>
        <v>0</v>
      </c>
      <c r="J13" s="150">
        <f>IF(OR('Données projet'!B16="",'Données projet'!C16="",'Données projet'!C16=0%),0,SUM(Calculateur!$FM$3:$FM$33)*VLOOKUP('Données projet'!$B$16,Paramètres!$A$1:$I$89,9,0)*B13)</f>
        <v>0</v>
      </c>
      <c r="K13" s="151">
        <f>J13*(100%-'Données projet'!$C$34)*(100%-'Données projet'!$C$35)*(100%-'Données projet'!$C$36)*(100%-'Données projet'!$C$37)</f>
        <v>0</v>
      </c>
      <c r="L13" s="152">
        <f t="shared" ca="1" si="2"/>
        <v>391.79530939630018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>Frêne</v>
      </c>
      <c r="B14" s="154">
        <f>'Données projet'!D17</f>
        <v>0.96029956441261388</v>
      </c>
      <c r="C14" s="147">
        <f ca="1">IF(OR('Données projet'!B17="",'Données projet'!C17="",'Données projet'!C17=0%),0,Calculateur!GE3)</f>
        <v>245.1983232777614</v>
      </c>
      <c r="D14" s="147">
        <f>IF(OR('Données projet'!B17="",'Données projet'!C17="",'Données projet'!C17=0%),0,Calculateur!GF3)</f>
        <v>242.34010522344573</v>
      </c>
      <c r="E14" s="147">
        <f t="shared" ref="E14:E23" ca="1" si="3">MIN(C14,D14)</f>
        <v>242.34010522344573</v>
      </c>
      <c r="F14" s="147">
        <f t="shared" ref="F14:F23" ca="1" si="4">E14*B14</f>
        <v>232.71909748578196</v>
      </c>
      <c r="G14" s="147">
        <f ca="1">F14*(100%-'Données projet'!$C$34)*(100%-'Données projet'!$C$35)*(100%-'Données projet'!$C$36)*(100%-'Données projet'!$C$37)</f>
        <v>209.44718773720376</v>
      </c>
      <c r="H14" s="155">
        <f>IF(OR('Données projet'!B17="",'Données projet'!C17="",'Données projet'!C17=0%),0,AVERAGE(Calculateur!$GO$3:$GO$33)*B14)</f>
        <v>0.25920213823708271</v>
      </c>
      <c r="I14" s="149">
        <f>H14*(100%-'Données projet'!$C$34)*(100%-'Données projet'!$C$35)*(100%-'Données projet'!$C$36)*(100%-'Données projet'!$C$37)</f>
        <v>0.23328192441337445</v>
      </c>
      <c r="J14" s="150">
        <f>IF(OR('Données projet'!B17="",'Données projet'!C17="",'Données projet'!C17=0%),0,SUM(Calculateur!$GH$3:$GH$33)*VLOOKUP('Données projet'!$B$17,Paramètres!$A$1:$I$89,9,0)*B14)</f>
        <v>23.767414219212192</v>
      </c>
      <c r="K14" s="151">
        <f>J14*(100%-'Données projet'!$C$34)*(100%-'Données projet'!$C$35)*(100%-'Données projet'!$C$36)*(100%-'Données projet'!$C$37)</f>
        <v>21.390672797290975</v>
      </c>
      <c r="L14" s="152">
        <f t="shared" ref="L14:L23" ca="1" si="5">G14+I14+K14</f>
        <v>231.07114245890813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x14ac:dyDescent="0.35">
      <c r="A15" s="153" t="str">
        <f>IF('Données projet'!$B$18="","",'Données projet'!$B$18)</f>
        <v>Thuya géant</v>
      </c>
      <c r="B15" s="154">
        <f>'Données projet'!D18</f>
        <v>2.9697264029460086</v>
      </c>
      <c r="C15" s="147">
        <f ca="1">IF(OR('Données projet'!B18="",'Données projet'!C18="",'Données projet'!C18=0%),0,Calculateur!GZ3)</f>
        <v>324.36162935850876</v>
      </c>
      <c r="D15" s="147">
        <f>IF(OR('Données projet'!B18="",'Données projet'!C18="",'Données projet'!C18=0%),0,Calculateur!HA3)</f>
        <v>265.23571072429735</v>
      </c>
      <c r="E15" s="147">
        <f t="shared" ca="1" si="3"/>
        <v>265.23571072429735</v>
      </c>
      <c r="F15" s="147">
        <f t="shared" ca="1" si="4"/>
        <v>787.67749314209561</v>
      </c>
      <c r="G15" s="147">
        <f ca="1">F15*(100%-'Données projet'!$C$34)*(100%-'Données projet'!$C$35)*(100%-'Données projet'!$C$36)*(100%-'Données projet'!$C$37)</f>
        <v>708.90974382788602</v>
      </c>
      <c r="H15" s="155">
        <f>IF(OR('Données projet'!B18="",'Données projet'!C18="",'Données projet'!C18=0%),0,AVERAGE(Calculateur!$HJ$3:$HJ$33)*B15)</f>
        <v>5.8913909184049524</v>
      </c>
      <c r="I15" s="149">
        <f>H15*(100%-'Données projet'!$C$34)*(100%-'Données projet'!$C$35)*(100%-'Données projet'!$C$36)*(100%-'Données projet'!$C$37)</f>
        <v>5.3022518265644569</v>
      </c>
      <c r="J15" s="150">
        <f>IF(OR('Données projet'!B18="",'Données projet'!C18="",'Données projet'!C18=0%),0,SUM(Calculateur!$HC$3:$HC$33)*VLOOKUP('Données projet'!$B$18,Paramètres!$A$1:$I$89,9,0)*B15)</f>
        <v>130.25220003321195</v>
      </c>
      <c r="K15" s="151">
        <f>J15*(100%-'Données projet'!$C$34)*(100%-'Données projet'!$C$35)*(100%-'Données projet'!$C$36)*(100%-'Données projet'!$C$37)</f>
        <v>117.22698002989075</v>
      </c>
      <c r="L15" s="152">
        <f t="shared" ca="1" si="5"/>
        <v>831.43897568434124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x14ac:dyDescent="0.35">
      <c r="A16" s="153" t="str">
        <f>IF('Données projet'!$B$19="","",'Données projet'!$B$19)</f>
        <v>Peuplier Koster</v>
      </c>
      <c r="B16" s="154">
        <f>'Données projet'!D19</f>
        <v>1.7998414586003415</v>
      </c>
      <c r="C16" s="147">
        <f ca="1">IF(OR('Données projet'!B19="",'Données projet'!C19="",'Données projet'!C19=0%),0,Calculateur!HU3)</f>
        <v>91.60721429656013</v>
      </c>
      <c r="D16" s="147">
        <f>IF(OR('Données projet'!B19="",'Données projet'!C19="",'Données projet'!C19=0%),0,Calculateur!HV3)</f>
        <v>258.94957804210856</v>
      </c>
      <c r="E16" s="147">
        <f t="shared" ca="1" si="3"/>
        <v>91.60721429656013</v>
      </c>
      <c r="F16" s="147">
        <f t="shared" ca="1" si="4"/>
        <v>164.87846219783484</v>
      </c>
      <c r="G16" s="147">
        <f ca="1">F16*(100%-'Données projet'!$C$34)*(100%-'Données projet'!$C$35)*(100%-'Données projet'!$C$36)*(100%-'Données projet'!$C$37)</f>
        <v>148.39061597805136</v>
      </c>
      <c r="H16" s="155">
        <f>IF(OR('Données projet'!B19="",'Données projet'!C19="",'Données projet'!C19=0%),0,AVERAGE(Calculateur!$IE$3:$IE$33)*B16)</f>
        <v>45.571632039148476</v>
      </c>
      <c r="I16" s="149">
        <f>H16*(100%-'Données projet'!$C$34)*(100%-'Données projet'!$C$35)*(100%-'Données projet'!$C$36)*(100%-'Données projet'!$C$37)</f>
        <v>41.014468835233629</v>
      </c>
      <c r="J16" s="150">
        <f>IF(OR('Données projet'!B19="",'Données projet'!C19="",'Données projet'!C19=0%),0,SUM(Calculateur!$HX$3:$HX$33)*VLOOKUP('Données projet'!$B$19,Paramètres!$A$1:$I$89,9,0)*B16)</f>
        <v>472.14606423974135</v>
      </c>
      <c r="K16" s="151">
        <f>J16*(100%-'Données projet'!$C$34)*(100%-'Données projet'!$C$35)*(100%-'Données projet'!$C$36)*(100%-'Données projet'!$C$37)</f>
        <v>424.9314578157672</v>
      </c>
      <c r="L16" s="152">
        <f t="shared" ca="1" si="5"/>
        <v>614.33654262905225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153" t="str">
        <f>IF('Données projet'!$B$20="","",'Données projet'!$B$20)</f>
        <v>Peuplier Koster</v>
      </c>
      <c r="B17" s="154">
        <f>'Données projet'!D20</f>
        <v>1.7998414586003415</v>
      </c>
      <c r="C17" s="147">
        <f ca="1">IF(OR('Données projet'!B20="",'Données projet'!C20="",'Données projet'!C20=0%),0,Calculateur!IP3)</f>
        <v>91.60721429656013</v>
      </c>
      <c r="D17" s="147">
        <f>IF(OR('Données projet'!B20="",'Données projet'!C20="",'Données projet'!C20=0%),0,Calculateur!IQ3)</f>
        <v>258.94957804210856</v>
      </c>
      <c r="E17" s="147">
        <f t="shared" ca="1" si="3"/>
        <v>91.60721429656013</v>
      </c>
      <c r="F17" s="147">
        <f t="shared" ca="1" si="4"/>
        <v>164.87846219783484</v>
      </c>
      <c r="G17" s="147">
        <f ca="1">F17*(100%-'Données projet'!$C$34)*(100%-'Données projet'!$C$35)*(100%-'Données projet'!$C$36)*(100%-'Données projet'!$C$37)</f>
        <v>148.39061597805136</v>
      </c>
      <c r="H17" s="155">
        <f>IF(OR('Données projet'!B20="",'Données projet'!C20="",'Données projet'!C20=0%),0,AVERAGE(Calculateur!$IZ$3:$IZ$33)*B17)</f>
        <v>45.571632039148476</v>
      </c>
      <c r="I17" s="149">
        <f>H17*(100%-'Données projet'!$C$34)*(100%-'Données projet'!$C$35)*(100%-'Données projet'!$C$36)*(100%-'Données projet'!$C$37)</f>
        <v>41.014468835233629</v>
      </c>
      <c r="J17" s="150">
        <f>IF(OR('Données projet'!B20="",'Données projet'!C20="",'Données projet'!C20=0%),0,SUM(Calculateur!$IS$3:$IS$33)*VLOOKUP('Données projet'!$B$20,Paramètres!$A$1:$I$89,9,0)*B17)</f>
        <v>472.14606423974135</v>
      </c>
      <c r="K17" s="151">
        <f>J17*(100%-'Données projet'!$C$34)*(100%-'Données projet'!$C$35)*(100%-'Données projet'!$C$36)*(100%-'Données projet'!$C$37)</f>
        <v>424.9314578157672</v>
      </c>
      <c r="L17" s="152">
        <f t="shared" ca="1" si="5"/>
        <v>614.33654262905225</v>
      </c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153" t="str">
        <f>IF('Données projet'!$B$21="","",'Données projet'!$B$21)</f>
        <v>Orme</v>
      </c>
      <c r="B18" s="154">
        <f>'Données projet'!D21</f>
        <v>0.3505093410106041</v>
      </c>
      <c r="C18" s="147">
        <f ca="1">IF(OR('Données projet'!B21="",'Données projet'!C21="",'Données projet'!C21=0%),0,Calculateur!JK3)</f>
        <v>353.35574633294613</v>
      </c>
      <c r="D18" s="147">
        <f>IF(OR('Données projet'!B21="",'Données projet'!C21="",'Données projet'!C21=0%),0,Calculateur!JL3)</f>
        <v>170.36796666474726</v>
      </c>
      <c r="E18" s="147">
        <f t="shared" ca="1" si="3"/>
        <v>170.36796666474726</v>
      </c>
      <c r="F18" s="147">
        <f t="shared" ca="1" si="4"/>
        <v>59.71556372497713</v>
      </c>
      <c r="G18" s="147">
        <f ca="1">F18*(100%-'Données projet'!$C$34)*(100%-'Données projet'!$C$35)*(100%-'Données projet'!$C$36)*(100%-'Données projet'!$C$37)</f>
        <v>53.744007352479422</v>
      </c>
      <c r="H18" s="155">
        <f>IF(OR('Données projet'!B21="",'Données projet'!C21="",'Données projet'!C21=0%),0,AVERAGE(Calculateur!$JU$3:$JU$33)*B18)</f>
        <v>7.269414345788916E-2</v>
      </c>
      <c r="I18" s="149">
        <f>H18*(100%-'Données projet'!$C$34)*(100%-'Données projet'!$C$35)*(100%-'Données projet'!$C$36)*(100%-'Données projet'!$C$37)</f>
        <v>6.5424729112100247E-2</v>
      </c>
      <c r="J18" s="150">
        <f>IF(OR('Données projet'!B21="",'Données projet'!C21="",'Données projet'!C21=0%),0,SUM(Calculateur!$JN$3:$JN$33)*VLOOKUP('Données projet'!$B$21,Paramètres!$A$1:$I$89,9,0)*B18)</f>
        <v>3.0669567338427859</v>
      </c>
      <c r="K18" s="151">
        <f>J18*(100%-'Données projet'!$C$34)*(100%-'Données projet'!$C$35)*(100%-'Données projet'!$C$36)*(100%-'Données projet'!$C$37)</f>
        <v>2.7602610604585074</v>
      </c>
      <c r="L18" s="152">
        <f t="shared" ca="1" si="5"/>
        <v>56.569693142050028</v>
      </c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153" t="str">
        <f>IF('Données projet'!$B$22="","",'Données projet'!$B$22)</f>
        <v>Tilleul</v>
      </c>
      <c r="B19" s="154">
        <f>'Données projet'!D22</f>
        <v>0.52456363706039033</v>
      </c>
      <c r="C19" s="147">
        <f ca="1">IF(OR('Données projet'!B22="",'Données projet'!C22="",'Données projet'!C22=0%),0,Calculateur!KF3)</f>
        <v>193.91714772848269</v>
      </c>
      <c r="D19" s="147">
        <f>IF(OR('Données projet'!B22="",'Données projet'!C22="",'Données projet'!C22=0%),0,Calculateur!KG3)</f>
        <v>143.67995460963192</v>
      </c>
      <c r="E19" s="147">
        <f t="shared" ca="1" si="3"/>
        <v>143.67995460963192</v>
      </c>
      <c r="F19" s="147">
        <f t="shared" ca="1" si="4"/>
        <v>75.369279562700314</v>
      </c>
      <c r="G19" s="147">
        <f ca="1">F19*(100%-'Données projet'!$C$34)*(100%-'Données projet'!$C$35)*(100%-'Données projet'!$C$36)*(100%-'Données projet'!$C$37)</f>
        <v>67.832351606430279</v>
      </c>
      <c r="H19" s="155">
        <f>IF(OR('Données projet'!B22="",'Données projet'!C22="",'Données projet'!C22=0%),0,AVERAGE(Calculateur!$KP$3:$KP$33)*B19)</f>
        <v>0</v>
      </c>
      <c r="I19" s="149">
        <f>H19*(100%-'Données projet'!$C$34)*(100%-'Données projet'!$C$35)*(100%-'Données projet'!$C$36)*(100%-'Données projet'!$C$37)</f>
        <v>0</v>
      </c>
      <c r="J19" s="150">
        <f>IF(OR('Données projet'!B22="",'Données projet'!C22="",'Données projet'!C22=0%),0,SUM(Calculateur!$KI$3:$KI$33)*VLOOKUP('Données projet'!$B$22,Paramètres!$A$1:$I$89,9,0)*B19)</f>
        <v>0</v>
      </c>
      <c r="K19" s="151">
        <f>J19*(100%-'Données projet'!$C$34)*(100%-'Données projet'!$C$35)*(100%-'Données projet'!$C$36)*(100%-'Données projet'!$C$37)</f>
        <v>0</v>
      </c>
      <c r="L19" s="152">
        <f t="shared" ca="1" si="5"/>
        <v>67.832351606430279</v>
      </c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x14ac:dyDescent="0.35">
      <c r="A20" s="153" t="str">
        <f>IF('Données projet'!$B$23="","",'Données projet'!$B$24)</f>
        <v>Chêne pubescent</v>
      </c>
      <c r="B20" s="154">
        <f>'Données projet'!D23</f>
        <v>1.0503276485762965</v>
      </c>
      <c r="C20" s="147">
        <f ca="1">IF(OR('Données projet'!B23="",'Données projet'!C23="",'Données projet'!C23=0%),0,Calculateur!LA3)</f>
        <v>248.33596943633819</v>
      </c>
      <c r="D20" s="147">
        <f>IF(OR('Données projet'!B23="",'Données projet'!C23="",'Données projet'!C23=0%),0,Calculateur!LB3)</f>
        <v>242.34010522344573</v>
      </c>
      <c r="E20" s="147">
        <f t="shared" ca="1" si="3"/>
        <v>242.34010522344573</v>
      </c>
      <c r="F20" s="147">
        <f t="shared" ca="1" si="4"/>
        <v>254.53651287507401</v>
      </c>
      <c r="G20" s="147">
        <f ca="1">F20*(100%-'Données projet'!$C$34)*(100%-'Données projet'!$C$35)*(100%-'Données projet'!$C$36)*(100%-'Données projet'!$C$37)</f>
        <v>229.08286158756661</v>
      </c>
      <c r="H20" s="155">
        <f>IF(OR('Données projet'!B23="",'Données projet'!C23="",'Données projet'!C23=0%),0,AVERAGE(Calculateur!$LK$3:$LK$33)*B20)</f>
        <v>0.28350233869680924</v>
      </c>
      <c r="I20" s="149">
        <f>H20*(100%-'Données projet'!$C$34)*(100%-'Données projet'!$C$35)*(100%-'Données projet'!$C$36)*(100%-'Données projet'!$C$37)</f>
        <v>0.2551521048271283</v>
      </c>
      <c r="J20" s="150">
        <f>IF(OR('Données projet'!B23="",'Données projet'!C23="",'Données projet'!C23=0%),0,SUM(Calculateur!$LD$3:$LD$33)*VLOOKUP('Données projet'!$B$23,Paramètres!$A$1:$I$89,9,0)*B20)</f>
        <v>25.995609302263336</v>
      </c>
      <c r="K20" s="151">
        <f>J20*(100%-'Données projet'!$C$34)*(100%-'Données projet'!$C$35)*(100%-'Données projet'!$C$36)*(100%-'Données projet'!$C$37)</f>
        <v>23.396048372037004</v>
      </c>
      <c r="L20" s="152">
        <f t="shared" ca="1" si="5"/>
        <v>252.73406206443073</v>
      </c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x14ac:dyDescent="0.35">
      <c r="A21" s="153" t="str">
        <f>IF('Données projet'!$B$24="","",'Données projet'!$B$24)</f>
        <v>Chêne pubescent</v>
      </c>
      <c r="B21" s="154">
        <f>'Données projet'!D24</f>
        <v>3.359848100988633</v>
      </c>
      <c r="C21" s="147">
        <f ca="1">IF(OR('Données projet'!B24="",'Données projet'!C24="",'Données projet'!C24=0%),0,Calculateur!LV3)</f>
        <v>260.52627655062872</v>
      </c>
      <c r="D21" s="147">
        <f>IF(OR('Données projet'!B24="",'Données projet'!C24="",'Données projet'!C24=0%),0,Calculateur!LW3)</f>
        <v>159.20429420478047</v>
      </c>
      <c r="E21" s="147">
        <f t="shared" ca="1" si="3"/>
        <v>159.20429420478047</v>
      </c>
      <c r="F21" s="147">
        <f t="shared" ca="1" si="4"/>
        <v>534.90224555316729</v>
      </c>
      <c r="G21" s="147">
        <f ca="1">F21*(100%-'Données projet'!$C$34)*(100%-'Données projet'!$C$35)*(100%-'Données projet'!$C$36)*(100%-'Données projet'!$C$37)</f>
        <v>481.41202099785056</v>
      </c>
      <c r="H21" s="155">
        <f>IF(OR('Données projet'!B24="",'Données projet'!C24="",'Données projet'!C24=0%),0,AVERAGE(Calculateur!$MF$3:$MF$33)*B21)</f>
        <v>0</v>
      </c>
      <c r="I21" s="149">
        <f>H21*(100%-'Données projet'!$C$34)*(100%-'Données projet'!$C$35)*(100%-'Données projet'!$C$36)*(100%-'Données projet'!$C$37)</f>
        <v>0</v>
      </c>
      <c r="J21" s="150">
        <f>IF(OR('Données projet'!B24="",'Données projet'!C24="",'Données projet'!C24=0%),0,SUM(Calculateur!$LY$3:$LY$33)*VLOOKUP('Données projet'!$B$24,Paramètres!$A$1:$I$89,9,0)*B21)</f>
        <v>0</v>
      </c>
      <c r="K21" s="151">
        <f>J21*(100%-'Données projet'!$C$34)*(100%-'Données projet'!$C$35)*(100%-'Données projet'!$C$36)*(100%-'Données projet'!$C$37)</f>
        <v>0</v>
      </c>
      <c r="L21" s="152">
        <f t="shared" ca="1" si="5"/>
        <v>481.41202099785056</v>
      </c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153" t="str">
        <f>IF('Données projet'!$B$25="","",'Données projet'!$B$25)</f>
        <v/>
      </c>
      <c r="B22" s="154">
        <f>'Données projet'!D25</f>
        <v>0</v>
      </c>
      <c r="C22" s="147">
        <f>IF(OR('Données projet'!B25="",'Données projet'!C25="",'Données projet'!C25=0%),0,Calculateur!MQ3)</f>
        <v>0</v>
      </c>
      <c r="D22" s="147">
        <f>IF(OR('Données projet'!B25="",'Données projet'!C25="",'Données projet'!C25=0%),0,Calculateur!MR3)</f>
        <v>0</v>
      </c>
      <c r="E22" s="147">
        <f t="shared" si="3"/>
        <v>0</v>
      </c>
      <c r="F22" s="147">
        <f t="shared" si="4"/>
        <v>0</v>
      </c>
      <c r="G22" s="147">
        <f>F22*(100%-'Données projet'!$C$34)*(100%-'Données projet'!$C$35)*(100%-'Données projet'!$C$36)*(100%-'Données projet'!$C$37)</f>
        <v>0</v>
      </c>
      <c r="H22" s="155">
        <f>IF(OR('Données projet'!B25="",'Données projet'!C25="",'Données projet'!C25=0%),0,AVERAGE(Calculateur!$NA$3:$NA$33)*B22)</f>
        <v>0</v>
      </c>
      <c r="I22" s="149">
        <f>H22*(100%-'Données projet'!$C$34)*(100%-'Données projet'!$C$35)*(100%-'Données projet'!$C$36)*(100%-'Données projet'!$C$37)</f>
        <v>0</v>
      </c>
      <c r="J22" s="150">
        <f>IF(OR('Données projet'!B25="",'Données projet'!C25="",'Données projet'!C25=0%),0,SUM(Calculateur!$MT$3:$MT$33)*VLOOKUP('Données projet'!$B$25,Paramètres!$A$1:$I$89,9,0)*B22)</f>
        <v>0</v>
      </c>
      <c r="K22" s="151">
        <f>J22*(100%-'Données projet'!$C$34)*(100%-'Données projet'!$C$35)*(100%-'Données projet'!$C$36)*(100%-'Données projet'!$C$37)</f>
        <v>0</v>
      </c>
      <c r="L22" s="152">
        <f t="shared" si="5"/>
        <v>0</v>
      </c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153" t="str">
        <f>IF('Données projet'!$B$26="","",'Données projet'!$B$26)</f>
        <v/>
      </c>
      <c r="B23" s="154">
        <f>'Données projet'!D26</f>
        <v>0</v>
      </c>
      <c r="C23" s="147">
        <f>IF(OR('Données projet'!B26="",'Données projet'!C26="",'Données projet'!C26=0%),0,Calculateur!NL3)</f>
        <v>0</v>
      </c>
      <c r="D23" s="147">
        <f>IF(OR('Données projet'!B26="",'Données projet'!C26="",'Données projet'!C26=0%),0,Calculateur!NM3)</f>
        <v>0</v>
      </c>
      <c r="E23" s="147">
        <f t="shared" si="3"/>
        <v>0</v>
      </c>
      <c r="F23" s="147">
        <f t="shared" si="4"/>
        <v>0</v>
      </c>
      <c r="G23" s="147">
        <f>F23*(100%-'Données projet'!$C$34)*(100%-'Données projet'!$C$35)*(100%-'Données projet'!$C$36)*(100%-'Données projet'!$C$37)</f>
        <v>0</v>
      </c>
      <c r="H23" s="155">
        <f>IF(OR('Données projet'!B26="",'Données projet'!C26="",'Données projet'!C26=0%),0,AVERAGE(Calculateur!$NV$3:$NV$33)*B23)</f>
        <v>0</v>
      </c>
      <c r="I23" s="149">
        <f>H23*(100%-'Données projet'!$C$34)*(100%-'Données projet'!$C$35)*(100%-'Données projet'!$C$36)*(100%-'Données projet'!$C$37)</f>
        <v>0</v>
      </c>
      <c r="J23" s="150">
        <f>IF(OR('Données projet'!B26="",'Données projet'!C26="",'Données projet'!C26=0%),0,SUM(Calculateur!$NO$3:$NO$33)*VLOOKUP('Données projet'!$B$26,Paramètres!$A$1:$I$89,9,0)*B23)</f>
        <v>0</v>
      </c>
      <c r="K23" s="151">
        <f>J23*(100%-'Données projet'!$C$34)*(100%-'Données projet'!$C$35)*(100%-'Données projet'!$C$36)*(100%-'Données projet'!$C$37)</f>
        <v>0</v>
      </c>
      <c r="L23" s="152">
        <f t="shared" si="5"/>
        <v>0</v>
      </c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153" t="str">
        <f>IF('Données projet'!$B$27="","",'Données projet'!$B$27)</f>
        <v/>
      </c>
      <c r="B24" s="154">
        <f>'Données projet'!D27</f>
        <v>0</v>
      </c>
      <c r="C24" s="147">
        <f>IF(OR('Données projet'!B27="",'Données projet'!C27="",'Données projet'!C27=0%),0,Calculateur!OG3)</f>
        <v>0</v>
      </c>
      <c r="D24" s="147">
        <f>IF(OR('Données projet'!B27="",'Données projet'!C27="",'Données projet'!C27=0%),0,Calculateur!OH3)</f>
        <v>0</v>
      </c>
      <c r="E24" s="147">
        <f t="shared" si="0"/>
        <v>0</v>
      </c>
      <c r="F24" s="147">
        <f t="shared" si="1"/>
        <v>0</v>
      </c>
      <c r="G24" s="147">
        <f>F24*(100%-'Données projet'!$C$34)*(100%-'Données projet'!$C$35)*(100%-'Données projet'!$C$36)*(100%-'Données projet'!$C$37)</f>
        <v>0</v>
      </c>
      <c r="H24" s="155">
        <f>IF(OR('Données projet'!B27="",'Données projet'!C27="",'Données projet'!C27=0%),0,AVERAGE(Calculateur!$OQ$3:$OQ$33)*B24)</f>
        <v>0</v>
      </c>
      <c r="I24" s="149">
        <f>H24*(100%-'Données projet'!$C$34)*(100%-'Données projet'!$C$35)*(100%-'Données projet'!$C$36)*(100%-'Données projet'!$C$37)</f>
        <v>0</v>
      </c>
      <c r="J24" s="150">
        <f>IF(OR('Données projet'!B27="",'Données projet'!C27="",'Données projet'!C27=0%),0,SUM(Calculateur!$OJ$3:$OJ$33)*VLOOKUP('Données projet'!$B$27,Paramètres!$A$1:$I$89,9,0)*B24)</f>
        <v>0</v>
      </c>
      <c r="K24" s="151">
        <f>J24*(100%-'Données projet'!$C$34)*(100%-'Données projet'!$C$35)*(100%-'Données projet'!$C$36)*(100%-'Données projet'!$C$37)</f>
        <v>0</v>
      </c>
      <c r="L24" s="152">
        <f t="shared" si="2"/>
        <v>0</v>
      </c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ht="15" thickBot="1" x14ac:dyDescent="0.4">
      <c r="A25" s="153" t="str">
        <f>IF('Données projet'!$B$28="","",'Données projet'!$B$28)</f>
        <v/>
      </c>
      <c r="B25" s="156">
        <f>'Données projet'!D28</f>
        <v>0</v>
      </c>
      <c r="C25" s="157">
        <f>IF(OR('Données projet'!B28="",'Données projet'!C28="",'Données projet'!C28=0%),0,Calculateur!PB3)</f>
        <v>0</v>
      </c>
      <c r="D25" s="157">
        <f>IF(OR('Données projet'!B28="",'Données projet'!C28="",'Données projet'!C28=0%),0,Calculateur!PC3)</f>
        <v>0</v>
      </c>
      <c r="E25" s="157">
        <f t="shared" si="0"/>
        <v>0</v>
      </c>
      <c r="F25" s="158">
        <f t="shared" si="1"/>
        <v>0</v>
      </c>
      <c r="G25" s="158">
        <f>F25*(100%-'Données projet'!$C$34)*(100%-'Données projet'!$C$35)*(100%-'Données projet'!$C$36)*(100%-'Données projet'!$C$37)</f>
        <v>0</v>
      </c>
      <c r="H25" s="159">
        <f>IF(OR('Données projet'!B28="",'Données projet'!C28="",'Données projet'!C28=0%),0,AVERAGE(Calculateur!$PL$3:$PL$33)*B25)</f>
        <v>0</v>
      </c>
      <c r="I25" s="160">
        <f>H25*(100%-'Données projet'!$C$34)*(100%-'Données projet'!$C$35)*(100%-'Données projet'!$C$36)*(100%-'Données projet'!$C$37)</f>
        <v>0</v>
      </c>
      <c r="J25" s="150">
        <f>IF(OR('Données projet'!B28="",'Données projet'!C28="",'Données projet'!C28=0%),0,SUM(Calculateur!$PE$3:$PE$33)*VLOOKUP('Données projet'!$B$28,Paramètres!$A$1:$I$89,9,0)*B25)</f>
        <v>0</v>
      </c>
      <c r="K25" s="161">
        <f>J25*(100%-'Données projet'!$C$34)*(100%-'Données projet'!$C$35)*(100%-'Données projet'!$C$36)*(100%-'Données projet'!$C$37)</f>
        <v>0</v>
      </c>
      <c r="L25" s="162">
        <f t="shared" si="2"/>
        <v>0</v>
      </c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ht="15" thickBot="1" x14ac:dyDescent="0.4">
      <c r="A26" s="207"/>
      <c r="B26" s="211"/>
      <c r="C26" s="212"/>
      <c r="D26" s="23"/>
      <c r="E26" s="23"/>
      <c r="F26" s="163">
        <f t="shared" ref="F26:L26" ca="1" si="6">SUM(F6:F25)</f>
        <v>6459.6746840093847</v>
      </c>
      <c r="G26" s="164">
        <f t="shared" ca="1" si="6"/>
        <v>5813.7072156084469</v>
      </c>
      <c r="H26" s="165">
        <f t="shared" si="6"/>
        <v>142.92333633448973</v>
      </c>
      <c r="I26" s="165">
        <f t="shared" si="6"/>
        <v>128.63100270104076</v>
      </c>
      <c r="J26" s="166">
        <f t="shared" si="6"/>
        <v>1495.9024439189234</v>
      </c>
      <c r="K26" s="166">
        <f t="shared" si="6"/>
        <v>1346.3121995270312</v>
      </c>
      <c r="L26" s="167">
        <f t="shared" ca="1" si="6"/>
        <v>7288.6504178365176</v>
      </c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207"/>
      <c r="B27" s="211"/>
      <c r="C27" s="212"/>
      <c r="D27" s="23"/>
      <c r="E27" s="23"/>
      <c r="F27" s="291" t="s">
        <v>246</v>
      </c>
      <c r="G27" s="292"/>
      <c r="H27" s="292"/>
      <c r="I27" s="292"/>
      <c r="J27" s="292"/>
      <c r="K27" s="292"/>
      <c r="L27" s="292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207"/>
      <c r="B28" s="211"/>
      <c r="C28" s="212"/>
      <c r="D28" s="23"/>
      <c r="E28" s="23"/>
      <c r="F28" s="278"/>
      <c r="G28" s="278"/>
      <c r="H28" s="278"/>
      <c r="I28" s="278"/>
      <c r="J28" s="278"/>
      <c r="K28" s="278"/>
      <c r="L28" s="278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ht="15" thickBot="1" x14ac:dyDescent="0.4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ht="15" thickBot="1" x14ac:dyDescent="0.4">
      <c r="A31" s="168" t="str">
        <f>A6</f>
        <v>Douglas</v>
      </c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x14ac:dyDescent="0.35">
      <c r="A39" s="4"/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ht="15" thickBot="1" x14ac:dyDescent="0.4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ht="15" thickBot="1" x14ac:dyDescent="0.4">
      <c r="A49" s="168" t="str">
        <f>A7</f>
        <v>Chêne sessile</v>
      </c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x14ac:dyDescent="0.35">
      <c r="A57" s="4"/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ht="15" thickBot="1" x14ac:dyDescent="0.4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ht="15" thickBot="1" x14ac:dyDescent="0.4">
      <c r="A67" s="168" t="str">
        <f>A8</f>
        <v>Séquoia toujours vert</v>
      </c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x14ac:dyDescent="0.35">
      <c r="A76" s="4"/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ht="15" thickBot="1" x14ac:dyDescent="0.4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ht="15" thickBot="1" x14ac:dyDescent="0.4">
      <c r="A86" s="168" t="str">
        <f>A9</f>
        <v>Chêne chevelu</v>
      </c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x14ac:dyDescent="0.35">
      <c r="A94" s="4"/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ht="15" thickBot="1" x14ac:dyDescent="0.4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ht="15" thickBot="1" x14ac:dyDescent="0.4">
      <c r="A104" s="168" t="str">
        <f>A10</f>
        <v>Chêne pubescent</v>
      </c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x14ac:dyDescent="0.35">
      <c r="A112" s="4"/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ht="15" thickBot="1" x14ac:dyDescent="0.4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ht="15" thickBot="1" x14ac:dyDescent="0.4">
      <c r="A122" s="168" t="str">
        <f>A11</f>
        <v>Châtaignier</v>
      </c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x14ac:dyDescent="0.35">
      <c r="A130" s="4"/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ht="15" thickBot="1" x14ac:dyDescent="0.4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ht="15" thickBot="1" x14ac:dyDescent="0.4">
      <c r="A140" s="168" t="str">
        <f>A12</f>
        <v>Cèdre de l'Atlas</v>
      </c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x14ac:dyDescent="0.35">
      <c r="A148" s="4"/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ht="15" thickBot="1" x14ac:dyDescent="0.4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ht="15" thickBot="1" x14ac:dyDescent="0.4">
      <c r="A158" s="168" t="str">
        <f>A13</f>
        <v>Chêne chevelu</v>
      </c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x14ac:dyDescent="0.35">
      <c r="A166" s="4"/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ht="15" thickBot="1" x14ac:dyDescent="0.4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ht="15" thickBot="1" x14ac:dyDescent="0.4">
      <c r="A176" s="168" t="str">
        <f>A24</f>
        <v/>
      </c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x14ac:dyDescent="0.35">
      <c r="A184" s="4"/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ht="15" thickBot="1" x14ac:dyDescent="0.4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ht="15" thickBot="1" x14ac:dyDescent="0.4">
      <c r="A194" s="168" t="str">
        <f>A25</f>
        <v/>
      </c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23"/>
      <c r="J203" s="23"/>
      <c r="K203" s="23"/>
      <c r="L203" s="23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23"/>
      <c r="J204" s="23"/>
      <c r="K204" s="23"/>
      <c r="L204" s="23"/>
      <c r="M204" s="23"/>
      <c r="N204" s="23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23"/>
      <c r="J205" s="23"/>
      <c r="K205" s="23"/>
      <c r="L205" s="23"/>
      <c r="M205" s="23"/>
      <c r="N205" s="23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23"/>
      <c r="J206" s="23"/>
      <c r="K206" s="23"/>
      <c r="L206" s="23"/>
      <c r="M206" s="23"/>
      <c r="N206" s="23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23"/>
      <c r="J207" s="23"/>
      <c r="K207" s="23"/>
      <c r="L207" s="23"/>
      <c r="M207" s="23"/>
      <c r="N207" s="23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23"/>
      <c r="J208" s="23"/>
      <c r="K208" s="23"/>
      <c r="L208" s="23"/>
      <c r="M208" s="23"/>
      <c r="N208" s="23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23"/>
      <c r="J209" s="23"/>
      <c r="K209" s="23"/>
      <c r="L209" s="23"/>
      <c r="M209" s="23"/>
      <c r="N209" s="23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23"/>
      <c r="J210" s="23"/>
      <c r="K210" s="23"/>
      <c r="L210" s="23"/>
      <c r="M210" s="23"/>
      <c r="N210" s="23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23"/>
      <c r="J211" s="23"/>
      <c r="K211" s="23"/>
      <c r="L211" s="23"/>
      <c r="M211" s="23"/>
      <c r="N211" s="23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23"/>
      <c r="J212" s="23"/>
      <c r="K212" s="23"/>
      <c r="L212" s="23"/>
      <c r="M212" s="23"/>
      <c r="N212" s="23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23"/>
      <c r="N213" s="23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</row>
    <row r="358" spans="1:62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</row>
    <row r="359" spans="1:62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</row>
    <row r="360" spans="1:62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</row>
    <row r="361" spans="1:62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</row>
    <row r="362" spans="1:62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</row>
    <row r="363" spans="1:62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</row>
    <row r="364" spans="1:62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</row>
    <row r="365" spans="1:62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</row>
    <row r="366" spans="1:62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</row>
    <row r="367" spans="1:62" x14ac:dyDescent="0.35">
      <c r="I367" s="1"/>
      <c r="J367" s="1"/>
      <c r="K367" s="1"/>
      <c r="L367" s="1"/>
      <c r="M367" s="1"/>
    </row>
  </sheetData>
  <sheetProtection algorithmName="SHA-512" hashValue="6pveX9dyyxeCiIuFK6sd2GvQlV85SukErpfFGRzi2pto6GDlPDFQ0WgtgVjodgcApgVk13XbKafZqQ/8/K11bg==" saltValue="4c/9Fx8XhGOVEN7LnnAxDw==" spinCount="100000" sheet="1" objects="1" scenarios="1"/>
  <mergeCells count="2">
    <mergeCell ref="F27:L2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631"/>
  <sheetViews>
    <sheetView tabSelected="1" topLeftCell="B8" zoomScale="90" zoomScaleNormal="90" workbookViewId="0">
      <selection activeCell="J28" sqref="J28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9" t="s">
        <v>272</v>
      </c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1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9" t="s">
        <v>315</v>
      </c>
      <c r="I4" s="269"/>
      <c r="K4" s="293" t="s">
        <v>253</v>
      </c>
      <c r="L4" s="294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3" t="s">
        <v>310</v>
      </c>
      <c r="S7" s="304"/>
      <c r="T7" s="304"/>
      <c r="U7" s="304"/>
      <c r="V7" s="30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28"/>
      <c r="G9" s="93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28"/>
      <c r="G10" s="93" t="s">
        <v>316</v>
      </c>
      <c r="J10" s="198"/>
      <c r="K10" s="206"/>
      <c r="O10" s="23"/>
      <c r="P10" s="23"/>
      <c r="Q10" s="232"/>
      <c r="R10" s="23"/>
      <c r="S10" s="36" t="str">
        <f>B14</f>
        <v>Douglas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2544.6201201907884</v>
      </c>
      <c r="U10" s="176">
        <f>'Données projet'!D9</f>
        <v>1.5115335212504721</v>
      </c>
      <c r="V10" s="175">
        <f>U10*T10</f>
        <v>3846.278610516782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28"/>
      <c r="G11" s="93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 sessile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-2282.5982849770567</v>
      </c>
      <c r="U11" s="176">
        <f>'Données projet'!D10</f>
        <v>4.7037523304624669</v>
      </c>
      <c r="V11" s="175">
        <f t="shared" ref="V11" si="0">U11*T11</f>
        <v>-10736.777002470461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Séquoia toujours vert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-2685.8008609624349</v>
      </c>
      <c r="U12" s="176">
        <f>'Données projet'!D11</f>
        <v>2.3514595352639645</v>
      </c>
      <c r="V12" s="175">
        <f t="shared" ref="V12:V19" si="1">U12*T12</f>
        <v>-6315.552044330283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8"/>
      <c r="J13" s="23"/>
      <c r="K13" s="206"/>
      <c r="L13" s="93" t="s">
        <v>257</v>
      </c>
      <c r="M13" s="23"/>
      <c r="N13" s="23"/>
      <c r="O13" s="23"/>
      <c r="P13" s="23"/>
      <c r="Q13" s="232"/>
      <c r="R13" s="23"/>
      <c r="S13" s="36" t="str">
        <f>B107</f>
        <v>Chêne chevelu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-1970.1962789719478</v>
      </c>
      <c r="U13" s="176">
        <f>'Données projet'!D12</f>
        <v>2.855581795658968</v>
      </c>
      <c r="V13" s="175">
        <f t="shared" si="1"/>
        <v>-5626.0566281073316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2" t="str">
        <f>IF('Données projet'!$B$9="","",'Données projet'!$B$9)</f>
        <v>Douglas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Chêne pubescent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-3376.4529379300925</v>
      </c>
      <c r="U14" s="176">
        <f>'Données projet'!D13</f>
        <v>1.7648445413497793</v>
      </c>
      <c r="V14" s="175">
        <f t="shared" si="1"/>
        <v>-5958.9145366303492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8"/>
      <c r="G15" s="296" t="s">
        <v>318</v>
      </c>
      <c r="H15" s="188">
        <v>1</v>
      </c>
      <c r="I15" s="189">
        <v>1995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>Châtaignier</v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-6934.2123108591595</v>
      </c>
      <c r="U15" s="176">
        <f>'Données projet'!D14</f>
        <v>1.6798520280269855</v>
      </c>
      <c r="V15" s="175">
        <f t="shared" si="1"/>
        <v>-11648.450613166449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6"/>
      <c r="H16" s="188">
        <v>2</v>
      </c>
      <c r="I16" s="189">
        <v>4657</v>
      </c>
      <c r="J16" s="200"/>
      <c r="K16" s="206"/>
      <c r="L16" s="293" t="s">
        <v>254</v>
      </c>
      <c r="M16" s="294"/>
      <c r="N16" s="2">
        <v>50</v>
      </c>
      <c r="O16" s="23"/>
      <c r="P16" s="23"/>
      <c r="Q16" s="232"/>
      <c r="R16" s="23"/>
      <c r="S16" s="36" t="str">
        <f>B200</f>
        <v>Cèdre de l'Atlas</v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-1592.0141703421389</v>
      </c>
      <c r="U16" s="176">
        <f>'Données projet'!D15</f>
        <v>3.359848100988633</v>
      </c>
      <c r="V16" s="175">
        <f t="shared" si="1"/>
        <v>-5348.9257869710291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7" t="s">
        <v>132</v>
      </c>
      <c r="C17" s="196" t="s">
        <v>132</v>
      </c>
      <c r="D17" s="195" t="s">
        <v>132</v>
      </c>
      <c r="E17" s="191">
        <v>2952</v>
      </c>
      <c r="F17" s="228"/>
      <c r="G17" s="296"/>
      <c r="J17" s="200"/>
      <c r="K17" s="206"/>
      <c r="L17" s="266" t="s">
        <v>289</v>
      </c>
      <c r="M17" s="268"/>
      <c r="N17" s="173">
        <f>VLOOKUP(N16,Calculateur!$A$2:$H$153,3,0)/VLOOKUP('Scénario référence'!$G$15,Paramètres!A1:I89,3,0)/VLOOKUP('Scénario référence'!$G$15,Paramètres!A1:I89,5,0)</f>
        <v>49.999999999999964</v>
      </c>
      <c r="O17" s="23"/>
      <c r="P17" s="23"/>
      <c r="Q17" s="232"/>
      <c r="R17" s="23"/>
      <c r="S17" s="36" t="str">
        <f>B231</f>
        <v>Chêne chevelu</v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-2582.0417783099715</v>
      </c>
      <c r="U17" s="176">
        <f>'Données projet'!D16</f>
        <v>1.8481705348034989</v>
      </c>
      <c r="V17" s="175">
        <f t="shared" si="1"/>
        <v>-4772.0535343041174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6"/>
      <c r="J18" s="200"/>
      <c r="K18" s="206"/>
      <c r="L18" s="266" t="s">
        <v>255</v>
      </c>
      <c r="M18" s="268"/>
      <c r="N18" s="190">
        <v>40</v>
      </c>
      <c r="O18" s="23"/>
      <c r="P18" s="23"/>
      <c r="Q18" s="232"/>
      <c r="R18" s="23"/>
      <c r="S18" s="36" t="str">
        <f>B262</f>
        <v>Frêne</v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-1257.4581172368025</v>
      </c>
      <c r="U18" s="176">
        <f>'Données projet'!D17</f>
        <v>0.96029956441261388</v>
      </c>
      <c r="V18" s="175">
        <f t="shared" si="1"/>
        <v>-1207.5364822496069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6"/>
      <c r="H19" s="210" t="s">
        <v>178</v>
      </c>
      <c r="I19" s="210" t="s">
        <v>287</v>
      </c>
      <c r="J19" s="93"/>
      <c r="K19" s="171"/>
      <c r="L19" s="293" t="s">
        <v>288</v>
      </c>
      <c r="M19" s="294"/>
      <c r="N19" s="177">
        <f>N17*N18</f>
        <v>1999.9999999999986</v>
      </c>
      <c r="O19" s="23"/>
      <c r="P19" s="4"/>
      <c r="Q19" s="233"/>
      <c r="R19" s="4"/>
      <c r="S19" s="36" t="str">
        <f>B293</f>
        <v>Thuya géant</v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-370.3058889267686</v>
      </c>
      <c r="U19" s="176">
        <f>'Données projet'!D28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6"/>
      <c r="H20" s="188">
        <v>1</v>
      </c>
      <c r="I20" s="189">
        <f>12000/3</f>
        <v>4000</v>
      </c>
      <c r="J20" s="4"/>
      <c r="K20" s="171"/>
      <c r="O20" s="23"/>
      <c r="P20" s="4"/>
      <c r="Q20" s="233"/>
      <c r="R20" s="4"/>
      <c r="S20" s="36" t="str">
        <f>B324</f>
        <v>Peuplier Koster</v>
      </c>
      <c r="T20" s="175">
        <f>IF(B324&lt;&gt;"",-E327-E328/(1+$M$4)^A328-E329/(1+$M$4)^A329-E330/(1+$M$4)^A330-E331/(1+$M$4)^A331-E332/(1+$M$4)^A332+(D333-E333)/(1+$M$4)^A333+(D334-E334)/(1+$M$4)^A334+(D335-E335)/(1+$M$4)^A335+(D336-E336)/(1+$M$4)^A336+(D337-E337)/(1+$M$4)^A337+(D338-E338)/(1+$M$4)^A338+(D339-E339)/(1+$M$4)^A339+(D340-E340)/(1+$M$4)^A340+(D341-E341)/(1+$M$4)^A341+(D342-E342)/(1+$M$4)^A342+(D343-E343)/(1+$M$4)^A343+(D344-E344)/(1+$M$4)^A344+(D345-E345)/(1+$M$4)^A345+(D346-E346)/(1+$M$4)^A346+(D347-E347)/(1+$M$4)^A347+(D348-E348)/(1+$M$4)^A348+(D349-E349)/(1+$M$4)^A349+(D350-E350)/(1+$M$4)^A350+(D351-E351)/(1+$M$4)^A351+(D352-E352)/(1+$M$4)^A352,0)</f>
        <v>-127.85362450221874</v>
      </c>
      <c r="U20" s="176">
        <f>'Données projet'!D19</f>
        <v>1.7998414586003415</v>
      </c>
      <c r="V20" s="175">
        <f>U20*T20</f>
        <v>-230.11625401141373</v>
      </c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2</v>
      </c>
      <c r="I21" s="189">
        <f t="shared" ref="I21:I22" si="2">12000/3</f>
        <v>4000</v>
      </c>
      <c r="K21" s="171"/>
      <c r="O21" s="23"/>
      <c r="P21" s="4"/>
      <c r="Q21" s="233"/>
      <c r="R21" s="4"/>
      <c r="S21" s="36" t="str">
        <f>B355</f>
        <v>Peuplier Koster</v>
      </c>
      <c r="T21" s="237">
        <f>IF(B355&lt;&gt;"",-E358-E359/(1+$M$4)^A359-E360/(1+$M$4)^A360-E361/(1+$M$4)^A361-E362/(1+$M$4)^A362-E363/(1+$M$4)^A363+(D364-E364)/(1+$M$4)^A364+(D365-D365)/(1+$M$4)^A365+(D366-E366)/(1+$M$4)^A366+(D367-E367)/(1+$M$4)^A367+(D368-E368)/(1+$M$4)^A368+(D369-E369)/(1+$M$4)^A369+(D370-E370)/(1+$M$4)^A370+(D371-E371)/(1+$M$4)^A371+(D372-E372)/(1+$M$4)^A372+(D373-E373)/(1+$M$4)^A373+(D374-E374)/(1+$M$4)^A374+(D375-E375)/(1+$M$4)^A375+(D376-E376)/(1+$M$4)^A376+(D377-E377)/(1+$M$4)^A377+(D378-E378)/(1+$M$4)^A378+(D379-E379)/(1+$M$4)^A379+(D380-E380)/(1+$M$4)^A380+(D381-E381)/(1+$M$4)^A381+(D382-E382)/(1+$M$4)^A382+(D383-E383)/(1+$M$4)^A383,0)</f>
        <v>-127.85362450221874</v>
      </c>
      <c r="U21" s="176">
        <f>'Données projet'!D20</f>
        <v>1.7998414586003415</v>
      </c>
      <c r="V21" s="175">
        <f t="shared" ref="V21:V29" si="3">U21*T21</f>
        <v>-230.11625401141373</v>
      </c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3</v>
      </c>
      <c r="I22" s="189">
        <f t="shared" si="2"/>
        <v>4000</v>
      </c>
      <c r="K22" s="171"/>
      <c r="O22" s="23"/>
      <c r="P22" s="4"/>
      <c r="Q22" s="233"/>
      <c r="R22" s="4"/>
      <c r="S22" s="36" t="str">
        <f>B386</f>
        <v>Orme</v>
      </c>
      <c r="T22" s="237">
        <f>IF(B386&lt;&gt;"",-E389-E390/(1+$M$4)^A390-E391/(1+$M$4)^A391-E392/(1+$M$4)^A392-E393/(1+$M$4)^A393-E394/(1+$M$4)^A394+(D395-E395)/(1+$M$4)^A395+(D396-E396)/(1+$M$4)^A396+(D397-E397)/(1+$M$4)^A397+(D398-E398)/(1+$M$4)^A398+(D399-E399)/(1+$M$4)^A99+(D400-E400)/(1+$M$4)^A400+(D401-E401)/(1+$M$4)^A401+(D402-E402)/(1+$M$4)^A402+(D403-E403)/(1+$M$4)^A403+(D404-E404)/(1+$M$4)^A404+(D405-E405)/(1+$M$4)^A405+(D406-E406)/(1+$M$4)^A406+(D407-E407)/(1+$M$4)^A407+(D408-E408)/(1+$M$4)^A408+(D409-E409)/(1+$M$4)^A409+(D410-E410)/(1+$M$4)^A410+(D411-E411)/(1+$M$4)^A411+(D412-E412)/(1+$M$4)^A412+(D413-E413)/(1+$M$4)^A413+(D414-E414)/(1+$M$4)^A414,0)</f>
        <v>-1941.2712841621917</v>
      </c>
      <c r="U22" s="176">
        <f>'Données projet'!D21</f>
        <v>0.3505093410106041</v>
      </c>
      <c r="V22" s="175">
        <f t="shared" si="3"/>
        <v>-680.43371853449901</v>
      </c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78">
        <f>'Données projet'!A46</f>
        <v>18</v>
      </c>
      <c r="B23" s="179">
        <f>'Données projet'!D46</f>
        <v>69.284615384615378</v>
      </c>
      <c r="C23" s="191">
        <v>10</v>
      </c>
      <c r="D23" s="180">
        <f>B23*C23</f>
        <v>692.84615384615381</v>
      </c>
      <c r="E23" s="191"/>
      <c r="F23" s="228"/>
      <c r="H23" s="188"/>
      <c r="I23" s="189"/>
      <c r="K23" s="206"/>
      <c r="L23" s="295" t="s">
        <v>260</v>
      </c>
      <c r="M23" s="295"/>
      <c r="N23" s="295"/>
      <c r="O23" s="23"/>
      <c r="P23" s="23"/>
      <c r="Q23" s="232"/>
      <c r="R23" s="23"/>
      <c r="S23" s="36" t="str">
        <f>B417</f>
        <v>Tilleul</v>
      </c>
      <c r="T23" s="237">
        <f>IF(B417&lt;&gt;"",-E420+(D426-E426)/(1+$M$4)^A426+(D427-E427)/(1+$M$4)^A427+(D428-E428)/(1+$M$4)^A428+(D429-E429)/(1+$M$4)^A429+(D430-E430)/(1+$M$4)^A430+(D431-E431)/(1+$M$4)^A431+(D432-E432)/(1+$M$4)^A432+(D433-E433)/(1+$M$4)^A433+(D434-E434)/(1+$M$4)^A434+(D435-E435)/(1+$M$4)^A435+(D436-E436)/(1+$M$4)^A436+(D437-E437)/(1+$M$4)^A437+(D438-E438)/(1+$M$4)^A438+(D439-E439)/(1+$M$4)^A439+(D440-E440)/(1+$M$4)^A440+(D441-E441)/(1+$M$4)^A441+(D442-E442)/(1+$M$4)^A442+(D443-E443)/(1+$M$4)^A443+(D444-E444)/(1+$M$4)^A444+(D445-E445)/(1+$M$4)^A445,0)</f>
        <v>-2172.6429644586819</v>
      </c>
      <c r="U23" s="176">
        <f>'Données projet'!D22</f>
        <v>0.52456363706039033</v>
      </c>
      <c r="V23" s="175">
        <f t="shared" si="3"/>
        <v>-1139.6894954701145</v>
      </c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78">
        <f>'Données projet'!A47</f>
        <v>24</v>
      </c>
      <c r="B24" s="179">
        <f>'Données projet'!D47</f>
        <v>42.661538461538463</v>
      </c>
      <c r="C24" s="191">
        <v>20</v>
      </c>
      <c r="D24" s="180">
        <f t="shared" ref="D24:D42" si="4">B24*C24</f>
        <v>853.23076923076928</v>
      </c>
      <c r="E24" s="191"/>
      <c r="F24" s="231"/>
      <c r="H24" s="188"/>
      <c r="I24" s="189"/>
      <c r="K24" s="206"/>
      <c r="O24" s="23"/>
      <c r="P24" s="23"/>
      <c r="Q24" s="232"/>
      <c r="R24" s="23"/>
      <c r="S24" s="36" t="str">
        <f>B448</f>
        <v>Frêne</v>
      </c>
      <c r="T24" s="237">
        <f>IF(B448&lt;&gt;"",-E451-E452/(1+$M$4)^A452-E424/(1+$M$4)^A453-E454/(1+$M$4)^A454-E455/(1+$M$4)^A455-E456/(1+$M$4)^A456+(D457-E457)/(1+$M$4)^A457+(D458-E458)/(1+$M$4)^A458+(D459-E459)/(1+$M$4)^A459+(D460-E460)/(1+$M$4)^A460+(D461-E461)/(1+$M$4)^A461+(D462-E462)/(1+$M$4)^A462+(D463-E463)/(1+$M$4)^A463+(D464-E464)/(1+$M$4)^A464+(D465-E465)/(1+$M$4)^A465+(D466-E466)/(1+$M$4)^A466+(D467-E467)/(1+$M$4)^A467+(D468-E468)/(1+$M$4)^A468+(D469-E469)/(1+$M$4)^A469+(D470-E470)/(1+$M$4)^A470+(D471-E471)/(1+$M$4)^A471+(D472-E472)/(1+$M$4)^A472+(D473-E473)/(1+$M$4)^A473+(D474-E474)/(1+$M$4)^A474+(D475-E475)/(1+$M$4)^A475+(D476-E476)/(1+$M$4)^A476,0)</f>
        <v>-2316.3634690269414</v>
      </c>
      <c r="U24" s="176">
        <f>'Données projet'!D23</f>
        <v>1.0503276485762965</v>
      </c>
      <c r="V24" s="175">
        <f t="shared" si="3"/>
        <v>-2432.9405956711003</v>
      </c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78">
        <f>'Données projet'!A48</f>
        <v>30</v>
      </c>
      <c r="B25" s="179">
        <f>'Données projet'!D48</f>
        <v>65.669230769230765</v>
      </c>
      <c r="C25" s="191">
        <v>30</v>
      </c>
      <c r="D25" s="180">
        <f t="shared" si="4"/>
        <v>1970.0769230769229</v>
      </c>
      <c r="E25" s="191"/>
      <c r="F25" s="231"/>
      <c r="H25" s="188"/>
      <c r="I25" s="189"/>
      <c r="K25" s="206"/>
      <c r="L25" s="130" t="s">
        <v>285</v>
      </c>
      <c r="M25" s="130"/>
      <c r="N25" s="130"/>
      <c r="O25" s="130"/>
      <c r="P25" s="190"/>
      <c r="Q25" s="232"/>
      <c r="R25" s="23"/>
      <c r="S25" s="36" t="str">
        <f>B479</f>
        <v>Chêne pubescent</v>
      </c>
      <c r="T25" s="237">
        <f>IF(B479&lt;&gt;"",-E482-E483/(1+$M$4)^A483-E484/(1+$M$4)^A484-E485/(1+$M$4)^A485-E486/(1+$M$4)^A486-E487/(1+$M$4)^A487+(D488-E488)/(1+$M$4)^A488+(D489-E489)/(1+$M$4)^A489+(D490-E490)/(1+$M$4)^A490+(D491-E491)/(1+$M$4)^A491+(D492-E492)/(1+$M$4)^A492+(D493-E493)/(1+$M$4)^A493+(D494-E494)/(1+$M$4)^A494+(D495-E495)/(1+$M$4)^A495+(D496-E496)/(1+$M$4)^A496+(D497-E497)/(1+$M$4)^A497+(D498-E498)/(1+$M$4)^A498+(D499-E499)/(1+$M$4)^A499+(D500-E500)/(1+$M$4)^A500+(D501-E501)/(1+$M$4)^A501+(D502-E502)/(1+$M$4)^A502+(D503-E503)/(1+$M$4)^A503+(D504-E504)/(1+$M$4)^A504+(D505-E505)/(1+$M$4)^A505+(D506-E506)/(1+$M$4)^A506+(D507-E507)/(1+$M$4)^A507,0)</f>
        <v>-1818.0895383440154</v>
      </c>
      <c r="U25" s="176">
        <f>'Données projet'!D24</f>
        <v>3.359848100988633</v>
      </c>
      <c r="V25" s="175">
        <f t="shared" si="3"/>
        <v>-6108.5046828324403</v>
      </c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78">
        <f>'Données projet'!A49</f>
        <v>36</v>
      </c>
      <c r="B26" s="179">
        <f>'Données projet'!D49</f>
        <v>69.3</v>
      </c>
      <c r="C26" s="191">
        <v>30</v>
      </c>
      <c r="D26" s="180">
        <f t="shared" si="4"/>
        <v>2079</v>
      </c>
      <c r="E26" s="191"/>
      <c r="F26" s="231"/>
      <c r="G26" s="227"/>
      <c r="H26" s="188"/>
      <c r="I26" s="189"/>
      <c r="K26" s="206"/>
      <c r="L26" s="297" t="s">
        <v>258</v>
      </c>
      <c r="M26" s="298"/>
      <c r="N26" s="298"/>
      <c r="O26" s="298"/>
      <c r="P26" s="299"/>
      <c r="Q26" s="232"/>
      <c r="R26" s="23"/>
      <c r="S26" s="36" t="str">
        <f>B510</f>
        <v/>
      </c>
      <c r="T26" s="237">
        <f>IF(B510&lt;&gt;"",-E513-E514/(1+$M$4)^A514-E515/(1+$M$4)^A515-E516/(1+$M$4)^A516-E517/(1+$M$4)^A517-E518/(1+$M$4)^A518+(D519-E519)/(1+$M$4)^A519+(D520-E520)/(1+$M$4)^A520+(D521-E521)/(1+$M$4)^A521+(D522-E522)/(1+$M$4)^A522+(D523-E523)/(1+$M$4)^A523+(D524-E524)/(1+$M$4)^A524+(D525-E525)/(1+$M$4)^A525+(D526-E526)/(1+$M$4)^A526+(D527-E527)/(1+$M$4)^A527+(D528-E528)/(1+$M$4)^A528+(D529-E529)/(1+$M$4)^A529+(D530-E530)/(1+$M$4)^A530+(D531-E531)/(1+$M$4)^A531+(D532-E532)/(1+$M$4)^A532+(D533-E533)/(1+$M$4)^A533+(D534-E534)/(1+$M$4)^A534+(D535-E535)/(1+$M$4)^A535+(D536-E536)/(1+$M$4)^A536+(D537-E537)/(1+$M$4)^A537+(D538-E538)/(1+$M$4)^A538,0)</f>
        <v>0</v>
      </c>
      <c r="U26" s="176">
        <f>'Données projet'!D25</f>
        <v>0</v>
      </c>
      <c r="V26" s="175">
        <f t="shared" si="3"/>
        <v>0</v>
      </c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78">
        <f>'Données projet'!A50</f>
        <v>42</v>
      </c>
      <c r="B27" s="179">
        <f>'Données projet'!D50</f>
        <v>73.392307692307682</v>
      </c>
      <c r="C27" s="191">
        <v>45</v>
      </c>
      <c r="D27" s="180">
        <f t="shared" si="4"/>
        <v>3302.6538461538457</v>
      </c>
      <c r="E27" s="191"/>
      <c r="F27" s="231"/>
      <c r="G27" s="227"/>
      <c r="H27" s="188"/>
      <c r="I27" s="189"/>
      <c r="K27" s="206"/>
      <c r="L27" s="300"/>
      <c r="M27" s="301"/>
      <c r="N27" s="301"/>
      <c r="O27" s="301"/>
      <c r="P27" s="302"/>
      <c r="Q27" s="232"/>
      <c r="R27" s="23"/>
      <c r="S27" s="36" t="str">
        <f>B541</f>
        <v/>
      </c>
      <c r="T27" s="237">
        <f>IF(B541&lt;&gt;"",-E544-E545/(1+$M$4)^A545-E546/(1+$M$4)^A546-E547/(1+$M$4)^A547-E548/(1+$M$4)^A548-E549/(1+$M$4)^A549+(D550-E550)/(1+$M$4)^A550+(D551-E551)/(1+$M$4)^A551+(D552-E552)/(1+$M$4)^A552+(D553-E553)/(1+$M$4)^A553+(D554-E554)/(1+$M$4)^A554+(D555-E555)/(1+$M$4)^A555+(D556-E556)/(1+$M$4)^A556+(D557-E557)/(1+$M$4)^A557+(D558-E558)/(1+$M$4)^A558+(D559-E559)/(1+$M$4)^A559+(D560-E560)/(1+$M$4)^A560+(D561-E561)/(1+$M$4)^A561+(D562-E562)/(1+$M$4)^A562+(D563-E563)/(1+$M$4)^A563+(D564-E564)/(1+$M$4)^A564+(D565-E565)/(1+$M$4)^A565+(D566-E566)/(1+$M$4)^A566+(D567-E567)/(1+$M$4)^A567+(D568-E568)/(1+$M$4)^A568+(D569-E569)/(1+$M$4)^A569,0)</f>
        <v>0</v>
      </c>
      <c r="U27" s="176">
        <f>'Données projet'!D26</f>
        <v>0</v>
      </c>
      <c r="V27" s="175">
        <f t="shared" si="3"/>
        <v>0</v>
      </c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78">
        <f>'Données projet'!A51</f>
        <v>48</v>
      </c>
      <c r="B28" s="179">
        <f>'Données projet'!D51</f>
        <v>81.330769230769235</v>
      </c>
      <c r="C28" s="191">
        <v>45</v>
      </c>
      <c r="D28" s="180">
        <f>B28*C28</f>
        <v>3659.8846153846157</v>
      </c>
      <c r="E28" s="191"/>
      <c r="F28" s="231"/>
      <c r="G28" s="203"/>
      <c r="H28" s="188"/>
      <c r="I28" s="189"/>
      <c r="K28" s="206"/>
      <c r="Q28" s="232"/>
      <c r="R28" s="23"/>
      <c r="S28" s="36" t="str">
        <f>B572</f>
        <v/>
      </c>
      <c r="T28" s="237">
        <f>IF(B572&lt;&gt;"",-E575-E576/(1+$M$4)^A576-E577/(1+$M$4)^A577-E578/(1+$M$4)^A578-E579/(1+$M$4)^A579-E580/(1+$M$4)^A580+(D581-E581)/(1+$M$4)^A581+(D582-E582)/(1+$M$4)^A582+(D583-E583)/(1+$M$4)^A583+(D584-E584)/(1+$M$4)^A584+(D585-E585)/(1+$M$4)^A585+(D586-E586)/(1+$M$4)^A586+(D587-E587)/(1+$M$4)^A587+(D588-E588)/(1+$M$4)^A588+(D589-E589)/(1+$M$4)^A589+(D590-E590)/(1+$M$4)^A590+(D591-E591)/(1+$M$4)^A591+(D592-E592)/(1+$M$4)^A592+(D593-E593)/(1+$M$4)^A593+(D594-E594)/(1+$M$4)^A594+(D595-E595)/(1+$M$4)^A595+(D596-E596)/(1+$M$4)^A596+(D597-E597)/(1+$M$4)^A597+(D598-E598)/(1+$M$4)^A598+(D599-E599)/(1+$M$4)^A599+(D600-E600)/(1+$M$4)^A600,0)</f>
        <v>0</v>
      </c>
      <c r="U28" s="176">
        <f>'Données projet'!D27</f>
        <v>0</v>
      </c>
      <c r="V28" s="175">
        <f t="shared" si="3"/>
        <v>0</v>
      </c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78">
        <f>'Données projet'!A52</f>
        <v>54</v>
      </c>
      <c r="B29" s="179">
        <f>'Données projet'!D52</f>
        <v>566.79999999999995</v>
      </c>
      <c r="C29" s="191">
        <v>60</v>
      </c>
      <c r="D29" s="180">
        <f>B29*C29</f>
        <v>34008</v>
      </c>
      <c r="E29" s="191">
        <v>2000</v>
      </c>
      <c r="F29" s="231"/>
      <c r="G29" s="201"/>
      <c r="H29" s="188"/>
      <c r="I29" s="189"/>
      <c r="K29" s="206"/>
      <c r="O29" s="23"/>
      <c r="P29" s="23"/>
      <c r="Q29" s="232"/>
      <c r="R29" s="23"/>
      <c r="S29" s="36" t="str">
        <f>B603</f>
        <v/>
      </c>
      <c r="T29" s="237">
        <f>IF(B603&lt;&gt;"",-E606-E607/(1+$M$4)^A607-E608/(1+$M$4)^A608-E609/(1+$M$4)^A609-E610/(1+$M$4)^A610-E611/(1+$M$4)^A611+(D612-E612)/(1+$M$4)^A612+(D613-D613)/(1+$M$4)^A613+(D614-E614)/(1+$M$4)^A614+(D615-E615)/(1+$M$4)^A615+(D616-E616)/(1+$M$4)^A616+(D617-E617)/(1+$M$4)^A617+(D618-E618)/(1+$M$4)^A618+(D619-E619)/(1+$M$4)^A619+(D620-E620)/(1+$M$4)^A620+(D621-E621)/(1+$M$4)^A621+(D622-E622)/(1+$M$4)^A622+(D623-E623)/(1+$M$4)^A623+(D624-E624)/(1+$M$4)^A624+(D625-E625)/(1+$M$4)^A625+(D626-E626)/(1+$M$4)^A626+(D627-E627)/(1+$M$4)^A627+(D628-E628)/(1+$M$4)^A628+(D629-E629)/(1+$M$4)^A629+(D630-E630)/(1+$M$4)^A630+(D631-E631)/(1+$M$4)^A631,0)</f>
        <v>0</v>
      </c>
      <c r="U29" s="176">
        <f>'Données projet'!D28</f>
        <v>0</v>
      </c>
      <c r="V29" s="175">
        <f t="shared" si="3"/>
        <v>0</v>
      </c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78">
        <f>'Données projet'!A53</f>
        <v>0</v>
      </c>
      <c r="B30" s="179">
        <f>'Données projet'!D53</f>
        <v>0</v>
      </c>
      <c r="C30" s="191"/>
      <c r="D30" s="180">
        <f t="shared" si="4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projet'!$E$9:$E$28)+1,1))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78">
        <f>'Données projet'!A54</f>
        <v>0</v>
      </c>
      <c r="B31" s="179">
        <f>'Données projet'!D54</f>
        <v>0</v>
      </c>
      <c r="C31" s="191"/>
      <c r="D31" s="180">
        <f t="shared" si="4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78">
        <f>'Données projet'!A55</f>
        <v>0</v>
      </c>
      <c r="B32" s="179">
        <f>'Données projet'!D55</f>
        <v>0</v>
      </c>
      <c r="C32" s="191"/>
      <c r="D32" s="180">
        <f t="shared" si="4"/>
        <v>0</v>
      </c>
      <c r="E32" s="191"/>
      <c r="F32" s="231"/>
      <c r="G32" s="201"/>
      <c r="H32" s="188"/>
      <c r="I32" s="189"/>
      <c r="K32" s="171"/>
      <c r="N32" s="4"/>
      <c r="O32" s="85" t="s">
        <v>178</v>
      </c>
      <c r="P32" s="85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78">
        <f>'Données projet'!A56</f>
        <v>0</v>
      </c>
      <c r="B33" s="179">
        <f>'Données projet'!D56</f>
        <v>0</v>
      </c>
      <c r="C33" s="191"/>
      <c r="D33" s="180">
        <f t="shared" si="4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5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78">
        <f>'Données projet'!A57</f>
        <v>0</v>
      </c>
      <c r="B34" s="179">
        <f>'Données projet'!D57</f>
        <v>0</v>
      </c>
      <c r="C34" s="191"/>
      <c r="D34" s="180">
        <f t="shared" si="4"/>
        <v>0</v>
      </c>
      <c r="E34" s="191"/>
      <c r="F34" s="231"/>
      <c r="G34" s="201"/>
      <c r="H34" s="188"/>
      <c r="I34" s="189"/>
      <c r="K34" s="171"/>
      <c r="L34" s="98"/>
      <c r="M34" s="98"/>
      <c r="N34" s="248"/>
      <c r="O34" s="192">
        <f>IF(O33+1&lt;=MIN('Données projet'!$E$9:$E$28),O33+1,"STOP")</f>
        <v>1</v>
      </c>
      <c r="P34" s="183">
        <f t="shared" si="5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78">
        <f>'Données projet'!A58</f>
        <v>0</v>
      </c>
      <c r="B35" s="179">
        <f>'Données projet'!D58</f>
        <v>0</v>
      </c>
      <c r="C35" s="191"/>
      <c r="D35" s="180">
        <f t="shared" si="4"/>
        <v>0</v>
      </c>
      <c r="E35" s="191"/>
      <c r="F35" s="231"/>
      <c r="G35" s="201"/>
      <c r="H35" s="188"/>
      <c r="I35" s="189"/>
      <c r="K35" s="171"/>
      <c r="L35" s="98"/>
      <c r="M35" s="98"/>
      <c r="N35" s="248"/>
      <c r="O35" s="192">
        <f>IF(O34+1&lt;=MIN('Données projet'!$E$9:$E$28),O34+1,"STOP")</f>
        <v>2</v>
      </c>
      <c r="P35" s="183">
        <f t="shared" si="5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78">
        <f>'Données projet'!A59</f>
        <v>0</v>
      </c>
      <c r="B36" s="179">
        <f>'Données projet'!D59</f>
        <v>0</v>
      </c>
      <c r="C36" s="191"/>
      <c r="D36" s="180">
        <f t="shared" si="4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projet'!$E$9:$E$28),O35+1,"STOP")</f>
        <v>3</v>
      </c>
      <c r="P36" s="183">
        <f t="shared" si="5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78">
        <f>'Données projet'!A60</f>
        <v>0</v>
      </c>
      <c r="B37" s="179">
        <f>'Données projet'!D60</f>
        <v>0</v>
      </c>
      <c r="C37" s="191"/>
      <c r="D37" s="180">
        <f t="shared" si="4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projet'!$E$9:$E$28),O36+1,"STOP")</f>
        <v>4</v>
      </c>
      <c r="P37" s="183">
        <f t="shared" si="5"/>
        <v>0</v>
      </c>
      <c r="Q37" s="232"/>
      <c r="R37" s="23"/>
      <c r="S37" s="36" t="s">
        <v>264</v>
      </c>
      <c r="T37" s="308">
        <f>SUM(V10:V29)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-356858.57550164609</v>
      </c>
      <c r="U37" s="308"/>
      <c r="V37" s="308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78">
        <f>'Données projet'!A61</f>
        <v>0</v>
      </c>
      <c r="B38" s="179">
        <f>'Données projet'!D61</f>
        <v>0</v>
      </c>
      <c r="C38" s="191"/>
      <c r="D38" s="180">
        <f t="shared" si="4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projet'!$E$9:$E$28),O37+1,"STOP")</f>
        <v>5</v>
      </c>
      <c r="P38" s="183">
        <f t="shared" si="5"/>
        <v>0</v>
      </c>
      <c r="Q38" s="232"/>
      <c r="R38" s="23"/>
      <c r="S38" s="36" t="s">
        <v>261</v>
      </c>
      <c r="T38" s="309">
        <f ca="1">'Scénario référence'!$B$8*$M$30*'Données projet'!$C$5+('Scénario référence'!B9+'Scénario référence'!B10+'Scénario référence'!F8+'Scénario référence'!F9)*$N$19/(1+M4)^N16*'Données projet'!$C$5</f>
        <v>7282.4807747405939</v>
      </c>
      <c r="U38" s="309"/>
      <c r="V38" s="309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78">
        <f>'Données projet'!A62</f>
        <v>0</v>
      </c>
      <c r="B39" s="179">
        <f>'Données projet'!D62</f>
        <v>0</v>
      </c>
      <c r="C39" s="191"/>
      <c r="D39" s="180">
        <f t="shared" si="4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projet'!$E$9:$E$28),O38+1,"STOP")</f>
        <v>6</v>
      </c>
      <c r="P39" s="183">
        <f t="shared" si="5"/>
        <v>0</v>
      </c>
      <c r="Q39" s="232"/>
      <c r="R39" s="23"/>
      <c r="S39" s="184" t="s">
        <v>266</v>
      </c>
      <c r="T39" s="310">
        <f ca="1">T37-T38</f>
        <v>-364141.05627638666</v>
      </c>
      <c r="U39" s="310"/>
      <c r="V39" s="310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78">
        <f>'Données projet'!A63</f>
        <v>0</v>
      </c>
      <c r="B40" s="179">
        <f>'Données projet'!D63</f>
        <v>0</v>
      </c>
      <c r="C40" s="191"/>
      <c r="D40" s="180">
        <f t="shared" si="4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projet'!$E$9:$E$28),O39+1,"STOP")</f>
        <v>7</v>
      </c>
      <c r="P40" s="183">
        <f t="shared" si="5"/>
        <v>0</v>
      </c>
      <c r="Q40" s="232"/>
      <c r="R40" s="23"/>
      <c r="S40" s="184" t="s">
        <v>265</v>
      </c>
      <c r="T40" s="307" t="str">
        <f ca="1">IF(T39&lt;0,"Votre projet est additionnel","Votre projet n'est pas additionnel")</f>
        <v>Votre projet est additionnel</v>
      </c>
      <c r="U40" s="307"/>
      <c r="V40" s="307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78">
        <f>'Données projet'!A64</f>
        <v>0</v>
      </c>
      <c r="B41" s="179">
        <f>'Données projet'!D64</f>
        <v>0</v>
      </c>
      <c r="C41" s="191"/>
      <c r="D41" s="180">
        <f t="shared" si="4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projet'!$E$9:$E$28),O40+1,"STOP")</f>
        <v>8</v>
      </c>
      <c r="P41" s="183">
        <f t="shared" si="5"/>
        <v>0</v>
      </c>
      <c r="Q41" s="232"/>
      <c r="R41" s="23"/>
      <c r="S41" s="306" t="s">
        <v>267</v>
      </c>
      <c r="T41" s="306"/>
      <c r="U41" s="306"/>
      <c r="V41" s="306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78">
        <f>'Données projet'!A65</f>
        <v>0</v>
      </c>
      <c r="B42" s="179">
        <f>'Données projet'!D65</f>
        <v>0</v>
      </c>
      <c r="C42" s="191"/>
      <c r="D42" s="180">
        <f t="shared" si="4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projet'!$E$9:$E$28),O41+1,"STOP")</f>
        <v>9</v>
      </c>
      <c r="P42" s="183">
        <f t="shared" si="5"/>
        <v>0</v>
      </c>
      <c r="Q42" s="232"/>
      <c r="R42" s="23"/>
      <c r="S42" s="23"/>
      <c r="T42" s="23"/>
      <c r="U42" s="23"/>
      <c r="V42" s="23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projet'!$E$9:$E$28),O42+1,"STOP")</f>
        <v>10</v>
      </c>
      <c r="P43" s="183">
        <f t="shared" si="5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projet'!$E$9:$E$28),O43+1,"STOP")</f>
        <v>11</v>
      </c>
      <c r="P44" s="183">
        <f t="shared" si="5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2" t="str">
        <f>IF('Données projet'!$B$10="","",'Données projet'!$B$10)</f>
        <v>Chêne sessile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projet'!$E$9:$E$28),O44+1,"STOP")</f>
        <v>12</v>
      </c>
      <c r="P45" s="183">
        <f t="shared" si="5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projet'!$E$9:$E$28),O45+1,"STOP")</f>
        <v>13</v>
      </c>
      <c r="P46" s="186">
        <f t="shared" si="5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projet'!$E$9:$E$28),O46+1,"STOP")</f>
        <v>14</v>
      </c>
      <c r="P47" s="183">
        <f t="shared" si="5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7" t="s">
        <v>132</v>
      </c>
      <c r="C48" s="196" t="s">
        <v>132</v>
      </c>
      <c r="D48" s="195" t="s">
        <v>132</v>
      </c>
      <c r="E48" s="191">
        <v>3467.9999999999995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projet'!$E$9:$E$28),O47+1,"STOP")</f>
        <v>15</v>
      </c>
      <c r="P48" s="183">
        <f t="shared" si="5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5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projet'!$E$9:$E$28),O48+1,"STOP")</f>
        <v>16</v>
      </c>
      <c r="P49" s="183">
        <f t="shared" si="5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5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projet'!$E$9:$E$28),O49+1,"STOP")</f>
        <v>17</v>
      </c>
      <c r="P50" s="183">
        <f t="shared" si="5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projet'!$E$9:$E$28),O50+1,"STOP")</f>
        <v>18</v>
      </c>
      <c r="P51" s="183">
        <f t="shared" si="5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projet'!$E$9:$E$28),O51+1,"STOP")</f>
        <v>19</v>
      </c>
      <c r="P52" s="183">
        <f t="shared" si="5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projet'!$E$9:$E$28),O52+1,"STOP")</f>
        <v>20</v>
      </c>
      <c r="P53" s="183">
        <f t="shared" si="5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78">
        <f>'Données projet'!A72</f>
        <v>30</v>
      </c>
      <c r="B54" s="179">
        <f>'Données projet'!D72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 t="str">
        <f>IF(O53+1&lt;=MIN('Données projet'!$E$9:$E$28),O53+1,"STOP")</f>
        <v>STOP</v>
      </c>
      <c r="P54" s="183" t="e">
        <f t="shared" si="5"/>
        <v>#VALUE!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78">
        <f>'Données projet'!A73</f>
        <v>35</v>
      </c>
      <c r="B55" s="179">
        <f>'Données projet'!D73</f>
        <v>60.602564102564102</v>
      </c>
      <c r="C55" s="189">
        <v>10</v>
      </c>
      <c r="D55" s="177">
        <f t="shared" ref="D55:D73" si="6">B55*C55</f>
        <v>606.02564102564099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 t="e">
        <f>IF(O54+1&lt;=MIN('Données projet'!$E$9:$E$28),O54+1,"STOP")</f>
        <v>#VALUE!</v>
      </c>
      <c r="P55" s="183" t="e">
        <f t="shared" si="5"/>
        <v>#VALUE!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78">
        <f>'Données projet'!A74</f>
        <v>41</v>
      </c>
      <c r="B56" s="179">
        <f>'Données projet'!D74</f>
        <v>38.512820512820511</v>
      </c>
      <c r="C56" s="189">
        <v>10</v>
      </c>
      <c r="D56" s="177">
        <f t="shared" si="6"/>
        <v>385.12820512820508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 t="e">
        <f>IF(O55+1&lt;=MIN('Données projet'!$E$9:$E$28),O55+1,"STOP")</f>
        <v>#VALUE!</v>
      </c>
      <c r="P56" s="183" t="e">
        <f t="shared" si="5"/>
        <v>#VALUE!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78">
        <f>'Données projet'!A75</f>
        <v>48</v>
      </c>
      <c r="B57" s="179">
        <f>'Données projet'!D75</f>
        <v>48.025641025641022</v>
      </c>
      <c r="C57" s="189">
        <v>10</v>
      </c>
      <c r="D57" s="177">
        <f t="shared" si="6"/>
        <v>480.25641025641022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 t="e">
        <f>IF(O56+1&lt;=MIN('Données projet'!$E$9:$E$28),O56+1,"STOP")</f>
        <v>#VALUE!</v>
      </c>
      <c r="P57" s="183" t="e">
        <f t="shared" si="5"/>
        <v>#VALUE!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78">
        <f>'Données projet'!A76</f>
        <v>55</v>
      </c>
      <c r="B58" s="179">
        <f>'Données projet'!D76</f>
        <v>45.147435897435898</v>
      </c>
      <c r="C58" s="189">
        <v>60</v>
      </c>
      <c r="D58" s="177">
        <f t="shared" si="6"/>
        <v>2708.8461538461538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 t="e">
        <f>IF(O57+1&lt;=MIN('Données projet'!$E$9:$E$28),O57+1,"STOP")</f>
        <v>#VALUE!</v>
      </c>
      <c r="P58" s="183" t="e">
        <f t="shared" si="5"/>
        <v>#VALUE!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78">
        <f>'Données projet'!A77</f>
        <v>63</v>
      </c>
      <c r="B59" s="179">
        <f>'Données projet'!D77</f>
        <v>41.724358974358978</v>
      </c>
      <c r="C59" s="189">
        <v>60</v>
      </c>
      <c r="D59" s="177">
        <f t="shared" si="6"/>
        <v>2503.4615384615386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 t="e">
        <f>IF(O58+1&lt;=MIN('Données projet'!$E$9:$E$28),O58+1,"STOP")</f>
        <v>#VALUE!</v>
      </c>
      <c r="P59" s="183" t="e">
        <f t="shared" si="5"/>
        <v>#VALUE!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78">
        <f>'Données projet'!A78</f>
        <v>71</v>
      </c>
      <c r="B60" s="179">
        <f>'Données projet'!D78</f>
        <v>39.935897435897431</v>
      </c>
      <c r="C60" s="189">
        <v>60</v>
      </c>
      <c r="D60" s="177">
        <f t="shared" si="6"/>
        <v>2396.1538461538457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 t="e">
        <f>IF(O59+1&lt;=MIN('Données projet'!$E$9:$E$28),O59+1,"STOP")</f>
        <v>#VALUE!</v>
      </c>
      <c r="P60" s="183" t="e">
        <f t="shared" si="5"/>
        <v>#VALUE!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78">
        <f>'Données projet'!A79</f>
        <v>80</v>
      </c>
      <c r="B61" s="179">
        <f>'Données projet'!D79</f>
        <v>45.608974358974358</v>
      </c>
      <c r="C61" s="189">
        <v>60</v>
      </c>
      <c r="D61" s="177">
        <f t="shared" si="6"/>
        <v>2736.5384615384614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 t="e">
        <f>IF(O60+1&lt;=MIN('Données projet'!$E$9:$E$28),O60+1,"STOP")</f>
        <v>#VALUE!</v>
      </c>
      <c r="P61" s="183" t="e">
        <f t="shared" si="5"/>
        <v>#VALUE!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78">
        <f>'Données projet'!A80</f>
        <v>89</v>
      </c>
      <c r="B62" s="179">
        <f>'Données projet'!D80</f>
        <v>49.391025641025635</v>
      </c>
      <c r="C62" s="189">
        <v>120</v>
      </c>
      <c r="D62" s="177">
        <f t="shared" si="6"/>
        <v>5926.9230769230762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 t="e">
        <f>IF(O61+1&lt;=MIN('Données projet'!$E$9:$E$28),O61+1,"STOP")</f>
        <v>#VALUE!</v>
      </c>
      <c r="P62" s="183" t="e">
        <f t="shared" si="5"/>
        <v>#VALUE!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78">
        <f>'Données projet'!A81</f>
        <v>99</v>
      </c>
      <c r="B63" s="179">
        <f>'Données projet'!D81</f>
        <v>48.019230769230766</v>
      </c>
      <c r="C63" s="189">
        <v>120</v>
      </c>
      <c r="D63" s="177">
        <f t="shared" si="6"/>
        <v>5762.3076923076924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 t="e">
        <f>IF(O62+1&lt;=MIN('Données projet'!$E$9:$E$28),O62+1,"STOP")</f>
        <v>#VALUE!</v>
      </c>
      <c r="P63" s="183" t="e">
        <f t="shared" si="5"/>
        <v>#VALUE!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78">
        <f>'Données projet'!A82</f>
        <v>109</v>
      </c>
      <c r="B64" s="179">
        <f>'Données projet'!D82</f>
        <v>51.28846153846154</v>
      </c>
      <c r="C64" s="189">
        <v>120</v>
      </c>
      <c r="D64" s="177">
        <f t="shared" si="6"/>
        <v>6154.6153846153848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e">
        <f>IF(O63+1&lt;=MIN('Données projet'!$E$9:$E$28),O63+1,"STOP")</f>
        <v>#VALUE!</v>
      </c>
      <c r="P64" s="183" t="e">
        <f t="shared" si="5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78">
        <f>'Données projet'!A83</f>
        <v>119</v>
      </c>
      <c r="B65" s="179">
        <f>'Données projet'!D83</f>
        <v>150.02564102564102</v>
      </c>
      <c r="C65" s="189">
        <v>120</v>
      </c>
      <c r="D65" s="177">
        <f t="shared" si="6"/>
        <v>18003.076923076922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projet'!$E$9:$E$28),O64+1,"STOP")</f>
        <v>#VALUE!</v>
      </c>
      <c r="P65" s="183" t="e">
        <f t="shared" ref="P65:P96" si="7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78">
        <f>'Données projet'!A84</f>
        <v>123</v>
      </c>
      <c r="B66" s="179">
        <f>'Données projet'!D84</f>
        <v>77.17307692307692</v>
      </c>
      <c r="C66" s="189">
        <v>150</v>
      </c>
      <c r="D66" s="177">
        <f t="shared" si="6"/>
        <v>11575.961538461537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projet'!$E$9:$E$28),O65+1,"STOP")</f>
        <v>#VALUE!</v>
      </c>
      <c r="P66" s="183" t="e">
        <f t="shared" si="7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78">
        <f>'Données projet'!A85</f>
        <v>127</v>
      </c>
      <c r="B67" s="179">
        <f>'Données projet'!D85</f>
        <v>49.916666666666671</v>
      </c>
      <c r="C67" s="189">
        <v>150</v>
      </c>
      <c r="D67" s="177">
        <f t="shared" si="6"/>
        <v>7487.5000000000009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projet'!$E$9:$E$28),O66+1,"STOP")</f>
        <v>#VALUE!</v>
      </c>
      <c r="P67" s="183" t="e">
        <f t="shared" si="7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78">
        <f>'Données projet'!A86</f>
        <v>131</v>
      </c>
      <c r="B68" s="179">
        <f>'Données projet'!D86</f>
        <v>110.91025641025641</v>
      </c>
      <c r="C68" s="189">
        <v>200</v>
      </c>
      <c r="D68" s="177">
        <f t="shared" si="6"/>
        <v>22182.051282051281</v>
      </c>
      <c r="E68" s="191">
        <v>2000</v>
      </c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projet'!$E$9:$E$28),O67+1,"STOP")</f>
        <v>#VALUE!</v>
      </c>
      <c r="P68" s="183" t="e">
        <f t="shared" si="7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78">
        <f>'Données projet'!A87</f>
        <v>0</v>
      </c>
      <c r="B69" s="179">
        <f>'Données projet'!D87</f>
        <v>0</v>
      </c>
      <c r="C69" s="189"/>
      <c r="D69" s="177">
        <f t="shared" si="6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projet'!$E$9:$E$28),O68+1,"STOP")</f>
        <v>#VALUE!</v>
      </c>
      <c r="P69" s="183" t="e">
        <f t="shared" si="7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78">
        <f>'Données projet'!A88</f>
        <v>0</v>
      </c>
      <c r="B70" s="179">
        <f>'Données projet'!D88</f>
        <v>0</v>
      </c>
      <c r="C70" s="189"/>
      <c r="D70" s="177">
        <f t="shared" si="6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projet'!$E$9:$E$28),O69+1,"STOP")</f>
        <v>#VALUE!</v>
      </c>
      <c r="P70" s="183" t="e">
        <f t="shared" si="7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78">
        <f>'Données projet'!A89</f>
        <v>0</v>
      </c>
      <c r="B71" s="179">
        <f>'Données projet'!D89</f>
        <v>0</v>
      </c>
      <c r="C71" s="189"/>
      <c r="D71" s="177">
        <f t="shared" si="6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projet'!$E$9:$E$28),O70+1,"STOP")</f>
        <v>#VALUE!</v>
      </c>
      <c r="P71" s="183" t="e">
        <f t="shared" si="7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78">
        <f>'Données projet'!A90</f>
        <v>0</v>
      </c>
      <c r="B72" s="179">
        <f>'Données projet'!D90</f>
        <v>0</v>
      </c>
      <c r="C72" s="189"/>
      <c r="D72" s="177">
        <f t="shared" si="6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projet'!$E$9:$E$28),O71+1,"STOP")</f>
        <v>#VALUE!</v>
      </c>
      <c r="P72" s="183" t="e">
        <f t="shared" si="7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78">
        <f>'Données projet'!A91</f>
        <v>0</v>
      </c>
      <c r="B73" s="179">
        <f>'Données projet'!D91</f>
        <v>0</v>
      </c>
      <c r="C73" s="189"/>
      <c r="D73" s="177">
        <f t="shared" si="6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projet'!$E$9:$E$28),O72+1,"STOP")</f>
        <v>#VALUE!</v>
      </c>
      <c r="P73" s="183" t="e">
        <f t="shared" si="7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projet'!$E$9:$E$28),O73+1,"STOP")</f>
        <v>#VALUE!</v>
      </c>
      <c r="P74" s="183" t="e">
        <f t="shared" si="7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projet'!$E$9:$E$28),O74+1,"STOP")</f>
        <v>#VALUE!</v>
      </c>
      <c r="P75" s="183" t="e">
        <f t="shared" si="7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2" t="str">
        <f>IF('Données projet'!B11="","",'Données projet'!B11)</f>
        <v>Séquoia toujours vert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projet'!$E$9:$E$28),O75+1,"STOP")</f>
        <v>#VALUE!</v>
      </c>
      <c r="P76" s="183" t="e">
        <f t="shared" si="7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projet'!$E$9:$E$28),O76+1,"STOP")</f>
        <v>#VALUE!</v>
      </c>
      <c r="P77" s="183" t="e">
        <f t="shared" si="7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projet'!$E$9:$E$28),O77+1,"STOP")</f>
        <v>#VALUE!</v>
      </c>
      <c r="P78" s="183" t="e">
        <f t="shared" si="7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7" t="s">
        <v>132</v>
      </c>
      <c r="C79" s="196" t="s">
        <v>132</v>
      </c>
      <c r="D79" s="195" t="s">
        <v>132</v>
      </c>
      <c r="E79" s="191">
        <v>5784</v>
      </c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projet'!$E$9:$E$28),O78+1,"STOP")</f>
        <v>#VALUE!</v>
      </c>
      <c r="P79" s="183" t="e">
        <f t="shared" si="7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projet'!$E$9:$E$28),O79+1,"STOP")</f>
        <v>#VALUE!</v>
      </c>
      <c r="P80" s="183" t="e">
        <f t="shared" si="7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projet'!$E$9:$E$28),O80+1,"STOP")</f>
        <v>#VALUE!</v>
      </c>
      <c r="P81" s="183" t="e">
        <f t="shared" si="7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projet'!$E$9:$E$28),O81+1,"STOP")</f>
        <v>#VALUE!</v>
      </c>
      <c r="P82" s="183" t="e">
        <f t="shared" si="7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projet'!$E$9:$E$28),O82+1,"STOP")</f>
        <v>#VALUE!</v>
      </c>
      <c r="P83" s="183" t="e">
        <f t="shared" si="7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projet'!$E$9:$E$28),O83+1,"STOP")</f>
        <v>#VALUE!</v>
      </c>
      <c r="P84" s="183" t="e">
        <f t="shared" si="7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78">
        <f>'Données projet'!A98</f>
        <v>18</v>
      </c>
      <c r="B85" s="179">
        <f>'Données projet'!D98</f>
        <v>69.284615384615378</v>
      </c>
      <c r="C85" s="189">
        <v>10</v>
      </c>
      <c r="D85" s="177">
        <f>B85*C85</f>
        <v>692.84615384615381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projet'!$E$9:$E$28),O84+1,"STOP")</f>
        <v>#VALUE!</v>
      </c>
      <c r="P85" s="183" t="e">
        <f t="shared" si="7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78">
        <f>'Données projet'!A99</f>
        <v>24</v>
      </c>
      <c r="B86" s="179">
        <f>'Données projet'!D99</f>
        <v>42.661538461538463</v>
      </c>
      <c r="C86" s="189">
        <v>10</v>
      </c>
      <c r="D86" s="177">
        <f t="shared" ref="D86:D104" si="8">B86*C86</f>
        <v>426.61538461538464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projet'!$E$9:$E$28),O85+1,"STOP")</f>
        <v>#VALUE!</v>
      </c>
      <c r="P86" s="183" t="e">
        <f t="shared" si="7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78">
        <f>'Données projet'!A100</f>
        <v>30</v>
      </c>
      <c r="B87" s="179">
        <f>'Données projet'!D100</f>
        <v>65.669230769230765</v>
      </c>
      <c r="C87" s="189">
        <v>10</v>
      </c>
      <c r="D87" s="177">
        <f t="shared" si="8"/>
        <v>656.69230769230762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projet'!$E$9:$E$28),O86+1,"STOP")</f>
        <v>#VALUE!</v>
      </c>
      <c r="P87" s="183" t="e">
        <f t="shared" si="7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78">
        <f>'Données projet'!A101</f>
        <v>36</v>
      </c>
      <c r="B88" s="179">
        <f>'Données projet'!D101</f>
        <v>69.3</v>
      </c>
      <c r="C88" s="189">
        <v>30</v>
      </c>
      <c r="D88" s="177">
        <f t="shared" si="8"/>
        <v>2079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projet'!$E$9:$E$28),O87+1,"STOP")</f>
        <v>#VALUE!</v>
      </c>
      <c r="P88" s="183" t="e">
        <f t="shared" si="7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78">
        <f>'Données projet'!A102</f>
        <v>42</v>
      </c>
      <c r="B89" s="179">
        <f>'Données projet'!D102</f>
        <v>73.392307692307682</v>
      </c>
      <c r="C89" s="189">
        <v>30</v>
      </c>
      <c r="D89" s="177">
        <f t="shared" si="8"/>
        <v>2201.7692307692305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projet'!$E$9:$E$28),O88+1,"STOP")</f>
        <v>#VALUE!</v>
      </c>
      <c r="P89" s="183" t="e">
        <f t="shared" si="7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78">
        <f>'Données projet'!A103</f>
        <v>48</v>
      </c>
      <c r="B90" s="179">
        <f>'Données projet'!D103</f>
        <v>81.330769230769235</v>
      </c>
      <c r="C90" s="189">
        <v>30</v>
      </c>
      <c r="D90" s="177">
        <f t="shared" si="8"/>
        <v>2439.9230769230771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projet'!$E$9:$E$28),O89+1,"STOP")</f>
        <v>#VALUE!</v>
      </c>
      <c r="P90" s="183" t="e">
        <f t="shared" si="7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78">
        <f>'Données projet'!A104</f>
        <v>54</v>
      </c>
      <c r="B91" s="179">
        <f>'Données projet'!D104</f>
        <v>566.79999999999995</v>
      </c>
      <c r="C91" s="189">
        <v>30</v>
      </c>
      <c r="D91" s="177">
        <f t="shared" si="8"/>
        <v>17004</v>
      </c>
      <c r="E91" s="191">
        <v>2000</v>
      </c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projet'!$E$9:$E$28),O90+1,"STOP")</f>
        <v>#VALUE!</v>
      </c>
      <c r="P91" s="183" t="e">
        <f t="shared" si="7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78">
        <f>'Données projet'!A105</f>
        <v>0</v>
      </c>
      <c r="B92" s="179">
        <f>'Données projet'!D105</f>
        <v>0</v>
      </c>
      <c r="C92" s="189"/>
      <c r="D92" s="177">
        <f t="shared" si="8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projet'!$E$9:$E$28),O91+1,"STOP")</f>
        <v>#VALUE!</v>
      </c>
      <c r="P92" s="183" t="e">
        <f t="shared" si="7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78">
        <f>'Données projet'!A106</f>
        <v>0</v>
      </c>
      <c r="B93" s="179">
        <f>'Données projet'!D106</f>
        <v>0</v>
      </c>
      <c r="C93" s="189"/>
      <c r="D93" s="177">
        <f t="shared" si="8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projet'!$E$9:$E$28),O92+1,"STOP")</f>
        <v>#VALUE!</v>
      </c>
      <c r="P93" s="183" t="e">
        <f t="shared" si="7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78">
        <f>'Données projet'!A107</f>
        <v>0</v>
      </c>
      <c r="B94" s="179">
        <f>'Données projet'!D107</f>
        <v>0</v>
      </c>
      <c r="C94" s="189"/>
      <c r="D94" s="177">
        <f t="shared" si="8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projet'!$E$9:$E$28),O93+1,"STOP")</f>
        <v>#VALUE!</v>
      </c>
      <c r="P94" s="183" t="e">
        <f t="shared" si="7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78">
        <f>'Données projet'!A108</f>
        <v>0</v>
      </c>
      <c r="B95" s="179">
        <f>'Données projet'!D108</f>
        <v>0</v>
      </c>
      <c r="C95" s="189"/>
      <c r="D95" s="177">
        <f t="shared" si="8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projet'!$E$9:$E$28),O94+1,"STOP")</f>
        <v>#VALUE!</v>
      </c>
      <c r="P95" s="183" t="e">
        <f t="shared" si="7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78">
        <f>'Données projet'!A109</f>
        <v>0</v>
      </c>
      <c r="B96" s="179">
        <f>'Données projet'!D109</f>
        <v>0</v>
      </c>
      <c r="C96" s="189"/>
      <c r="D96" s="177">
        <f t="shared" si="8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projet'!$E$9:$E$28),O95+1,"STOP")</f>
        <v>#VALUE!</v>
      </c>
      <c r="P96" s="183" t="e">
        <f t="shared" si="7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78">
        <f>'Données projet'!A110</f>
        <v>0</v>
      </c>
      <c r="B97" s="179">
        <f>'Données projet'!D110</f>
        <v>0</v>
      </c>
      <c r="C97" s="189"/>
      <c r="D97" s="177">
        <f t="shared" si="8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projet'!$E$9:$E$28),O96+1,"STOP")</f>
        <v>#VALUE!</v>
      </c>
      <c r="P97" s="183" t="e">
        <f t="shared" ref="P97:P128" si="9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78">
        <f>'Données projet'!A111</f>
        <v>0</v>
      </c>
      <c r="B98" s="179">
        <f>'Données projet'!D111</f>
        <v>0</v>
      </c>
      <c r="C98" s="189"/>
      <c r="D98" s="177">
        <f t="shared" si="8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projet'!$E$9:$E$28),O97+1,"STOP")</f>
        <v>#VALUE!</v>
      </c>
      <c r="P98" s="183" t="e">
        <f t="shared" si="9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78">
        <f>'Données projet'!A112</f>
        <v>0</v>
      </c>
      <c r="B99" s="179">
        <f>'Données projet'!D112</f>
        <v>0</v>
      </c>
      <c r="C99" s="189"/>
      <c r="D99" s="177">
        <f t="shared" si="8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projet'!$E$9:$E$28),O98+1,"STOP")</f>
        <v>#VALUE!</v>
      </c>
      <c r="P99" s="183" t="e">
        <f t="shared" si="9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78">
        <f>'Données projet'!A113</f>
        <v>0</v>
      </c>
      <c r="B100" s="179">
        <f>'Données projet'!D113</f>
        <v>0</v>
      </c>
      <c r="C100" s="189"/>
      <c r="D100" s="177">
        <f t="shared" si="8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projet'!$E$9:$E$28),O99+1,"STOP")</f>
        <v>#VALUE!</v>
      </c>
      <c r="P100" s="183" t="e">
        <f t="shared" si="9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78">
        <f>'Données projet'!A114</f>
        <v>0</v>
      </c>
      <c r="B101" s="179">
        <f>'Données projet'!D114</f>
        <v>0</v>
      </c>
      <c r="C101" s="189"/>
      <c r="D101" s="177">
        <f t="shared" si="8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projet'!$E$9:$E$28),O100+1,"STOP")</f>
        <v>#VALUE!</v>
      </c>
      <c r="P101" s="183" t="e">
        <f t="shared" si="9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78">
        <f>'Données projet'!A115</f>
        <v>0</v>
      </c>
      <c r="B102" s="179">
        <f>'Données projet'!D115</f>
        <v>0</v>
      </c>
      <c r="C102" s="189"/>
      <c r="D102" s="177">
        <f t="shared" si="8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projet'!$E$9:$E$28),O101+1,"STOP")</f>
        <v>#VALUE!</v>
      </c>
      <c r="P102" s="183" t="e">
        <f t="shared" si="9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78">
        <f>'Données projet'!A116</f>
        <v>0</v>
      </c>
      <c r="B103" s="179">
        <f>'Données projet'!D116</f>
        <v>0</v>
      </c>
      <c r="C103" s="189"/>
      <c r="D103" s="177">
        <f t="shared" si="8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projet'!$E$9:$E$28),O102+1,"STOP")</f>
        <v>#VALUE!</v>
      </c>
      <c r="P103" s="183" t="e">
        <f t="shared" si="9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78">
        <f>'Données projet'!A117</f>
        <v>0</v>
      </c>
      <c r="B104" s="179">
        <f>'Données projet'!D117</f>
        <v>0</v>
      </c>
      <c r="C104" s="189"/>
      <c r="D104" s="177">
        <f t="shared" si="8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projet'!$E$9:$E$28),O103+1,"STOP")</f>
        <v>#VALUE!</v>
      </c>
      <c r="P104" s="183" t="e">
        <f t="shared" si="9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projet'!$E$9:$E$28),O104+1,"STOP")</f>
        <v>#VALUE!</v>
      </c>
      <c r="P105" s="183" t="e">
        <f t="shared" si="9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projet'!$E$9:$E$28),O105+1,"STOP")</f>
        <v>#VALUE!</v>
      </c>
      <c r="P106" s="183" t="e">
        <f t="shared" si="9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2" t="str">
        <f>IF('Données projet'!B12="","",'Données projet'!B12)</f>
        <v>Chêne chevelu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projet'!$E$9:$E$28),O106+1,"STOP")</f>
        <v>#VALUE!</v>
      </c>
      <c r="P107" s="183" t="e">
        <f t="shared" si="9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projet'!$E$9:$E$28),O107+1,"STOP")</f>
        <v>#VALUE!</v>
      </c>
      <c r="P108" s="183" t="e">
        <f t="shared" si="9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projet'!$E$9:$E$28),O108+1,"STOP")</f>
        <v>#VALUE!</v>
      </c>
      <c r="P109" s="183" t="e">
        <f t="shared" si="9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3420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projet'!$E$9:$E$28),O109+1,"STOP")</f>
        <v>#VALUE!</v>
      </c>
      <c r="P110" s="183" t="e">
        <f t="shared" si="9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projet'!$E$9:$E$28),O110+1,"STOP")</f>
        <v>#VALUE!</v>
      </c>
      <c r="P111" s="183" t="e">
        <f t="shared" si="9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projet'!$E$9:$E$28),O111+1,"STOP")</f>
        <v>#VALUE!</v>
      </c>
      <c r="P112" s="183" t="e">
        <f t="shared" si="9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projet'!$E$9:$E$28),O112+1,"STOP")</f>
        <v>#VALUE!</v>
      </c>
      <c r="P113" s="183" t="e">
        <f t="shared" si="9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projet'!$E$9:$E$28),O113+1,"STOP")</f>
        <v>#VALUE!</v>
      </c>
      <c r="P114" s="183" t="e">
        <f t="shared" si="9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projet'!$E$9:$E$28),O114+1,"STOP")</f>
        <v>#VALUE!</v>
      </c>
      <c r="P115" s="183" t="e">
        <f t="shared" si="9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78">
        <f>'Données projet'!A124</f>
        <v>10</v>
      </c>
      <c r="B116" s="179">
        <f>'Données projet'!D124</f>
        <v>0</v>
      </c>
      <c r="C116" s="189">
        <v>10</v>
      </c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projet'!$E$9:$E$28),O115+1,"STOP")</f>
        <v>#VALUE!</v>
      </c>
      <c r="P116" s="183" t="e">
        <f t="shared" si="9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78">
        <f>'Données projet'!A125</f>
        <v>15</v>
      </c>
      <c r="B117" s="179">
        <f>'Données projet'!D125</f>
        <v>0</v>
      </c>
      <c r="C117" s="189">
        <v>10</v>
      </c>
      <c r="D117" s="177">
        <f t="shared" ref="D117:D135" si="10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projet'!$E$9:$E$28),O116+1,"STOP")</f>
        <v>#VALUE!</v>
      </c>
      <c r="P117" s="183" t="e">
        <f t="shared" si="9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78">
        <f>'Données projet'!A126</f>
        <v>20</v>
      </c>
      <c r="B118" s="179" t="str">
        <f>'Données projet'!D126</f>
        <v>54</v>
      </c>
      <c r="C118" s="189">
        <v>10</v>
      </c>
      <c r="D118" s="177">
        <f t="shared" si="10"/>
        <v>540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projet'!$E$9:$E$28),O117+1,"STOP")</f>
        <v>#VALUE!</v>
      </c>
      <c r="P118" s="183" t="e">
        <f t="shared" si="9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78">
        <f>'Données projet'!A127</f>
        <v>25</v>
      </c>
      <c r="B119" s="179" t="str">
        <f>'Données projet'!D127</f>
        <v>26</v>
      </c>
      <c r="C119" s="189">
        <v>10</v>
      </c>
      <c r="D119" s="177">
        <f t="shared" si="10"/>
        <v>260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projet'!$E$9:$E$28),O118+1,"STOP")</f>
        <v>#VALUE!</v>
      </c>
      <c r="P119" s="183" t="e">
        <f t="shared" si="9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78">
        <f>'Données projet'!A128</f>
        <v>30</v>
      </c>
      <c r="B120" s="179" t="str">
        <f>'Données projet'!D128</f>
        <v>27</v>
      </c>
      <c r="C120" s="189">
        <v>10</v>
      </c>
      <c r="D120" s="177">
        <f t="shared" si="10"/>
        <v>270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projet'!$E$9:$E$28),O119+1,"STOP")</f>
        <v>#VALUE!</v>
      </c>
      <c r="P120" s="183" t="e">
        <f t="shared" si="9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78">
        <f>'Données projet'!A129</f>
        <v>35</v>
      </c>
      <c r="B121" s="179" t="str">
        <f>'Données projet'!D129</f>
        <v>27</v>
      </c>
      <c r="C121" s="189">
        <v>10</v>
      </c>
      <c r="D121" s="177">
        <f t="shared" si="10"/>
        <v>270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projet'!$E$9:$E$28),O120+1,"STOP")</f>
        <v>#VALUE!</v>
      </c>
      <c r="P121" s="183" t="e">
        <f t="shared" si="9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78">
        <f>'Données projet'!A130</f>
        <v>40</v>
      </c>
      <c r="B122" s="179" t="str">
        <f>'Données projet'!D130</f>
        <v>27</v>
      </c>
      <c r="C122" s="189">
        <v>10</v>
      </c>
      <c r="D122" s="177">
        <f t="shared" si="10"/>
        <v>270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projet'!$E$9:$E$28),O121+1,"STOP")</f>
        <v>#VALUE!</v>
      </c>
      <c r="P122" s="183" t="e">
        <f t="shared" si="9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78">
        <f>'Données projet'!A131</f>
        <v>45</v>
      </c>
      <c r="B123" s="179" t="str">
        <f>'Données projet'!D131</f>
        <v>26</v>
      </c>
      <c r="C123" s="189">
        <v>40</v>
      </c>
      <c r="D123" s="177">
        <f t="shared" si="10"/>
        <v>1040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projet'!$E$9:$E$28),O122+1,"STOP")</f>
        <v>#VALUE!</v>
      </c>
      <c r="P123" s="183" t="e">
        <f t="shared" si="9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78">
        <f>'Données projet'!A132</f>
        <v>50</v>
      </c>
      <c r="B124" s="179" t="str">
        <f>'Données projet'!D132</f>
        <v>24</v>
      </c>
      <c r="C124" s="189">
        <v>40</v>
      </c>
      <c r="D124" s="177">
        <f t="shared" si="10"/>
        <v>960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projet'!$E$9:$E$28),O123+1,"STOP")</f>
        <v>#VALUE!</v>
      </c>
      <c r="P124" s="183" t="e">
        <f t="shared" si="9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78">
        <f>'Données projet'!A133</f>
        <v>55</v>
      </c>
      <c r="B125" s="179" t="str">
        <f>'Données projet'!D133</f>
        <v>23</v>
      </c>
      <c r="C125" s="189">
        <v>40</v>
      </c>
      <c r="D125" s="177">
        <f t="shared" si="10"/>
        <v>920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projet'!$E$9:$E$28),O124+1,"STOP")</f>
        <v>#VALUE!</v>
      </c>
      <c r="P125" s="183" t="e">
        <f t="shared" si="9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78">
        <f>'Données projet'!A134</f>
        <v>60</v>
      </c>
      <c r="B126" s="179" t="str">
        <f>'Données projet'!D134</f>
        <v>21</v>
      </c>
      <c r="C126" s="189">
        <v>40</v>
      </c>
      <c r="D126" s="177">
        <f t="shared" si="10"/>
        <v>840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projet'!$E$9:$E$28),O125+1,"STOP")</f>
        <v>#VALUE!</v>
      </c>
      <c r="P126" s="183" t="e">
        <f t="shared" si="9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78">
        <f>'Données projet'!A135</f>
        <v>65</v>
      </c>
      <c r="B127" s="179" t="str">
        <f>'Données projet'!D135</f>
        <v>20</v>
      </c>
      <c r="C127" s="189">
        <v>40</v>
      </c>
      <c r="D127" s="177">
        <f t="shared" si="10"/>
        <v>800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projet'!$E$9:$E$28),O126+1,"STOP")</f>
        <v>#VALUE!</v>
      </c>
      <c r="P127" s="183" t="e">
        <f t="shared" si="9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78">
        <f>'Données projet'!A136</f>
        <v>70</v>
      </c>
      <c r="B128" s="179" t="str">
        <f>'Données projet'!D136</f>
        <v>18</v>
      </c>
      <c r="C128" s="189">
        <v>40</v>
      </c>
      <c r="D128" s="177">
        <f t="shared" si="10"/>
        <v>720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projet'!$E$9:$E$28),O127+1,"STOP")</f>
        <v>#VALUE!</v>
      </c>
      <c r="P128" s="183" t="e">
        <f t="shared" si="9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78">
        <f>'Données projet'!A137</f>
        <v>75</v>
      </c>
      <c r="B129" s="179" t="str">
        <f>'Données projet'!D137</f>
        <v>16</v>
      </c>
      <c r="C129" s="189">
        <v>40</v>
      </c>
      <c r="D129" s="177">
        <f t="shared" si="10"/>
        <v>640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projet'!$E$9:$E$28),O128+1,"STOP")</f>
        <v>#VALUE!</v>
      </c>
      <c r="P129" s="183" t="e">
        <f t="shared" ref="P129:P132" si="11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78">
        <f>'Données projet'!A138</f>
        <v>80</v>
      </c>
      <c r="B130" s="179" t="str">
        <f>'Données projet'!D138</f>
        <v>15</v>
      </c>
      <c r="C130" s="189">
        <v>100</v>
      </c>
      <c r="D130" s="177">
        <f t="shared" si="10"/>
        <v>1500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projet'!$E$9:$E$28),O129+1,"STOP")</f>
        <v>#VALUE!</v>
      </c>
      <c r="P130" s="183" t="e">
        <f t="shared" si="11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78">
        <f>'Données projet'!A139</f>
        <v>85</v>
      </c>
      <c r="B131" s="179" t="str">
        <f>'Données projet'!D139</f>
        <v>14</v>
      </c>
      <c r="C131" s="189">
        <v>100</v>
      </c>
      <c r="D131" s="177">
        <f t="shared" si="10"/>
        <v>1400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projet'!$E$9:$E$28),O130+1,"STOP")</f>
        <v>#VALUE!</v>
      </c>
      <c r="P131" s="183" t="e">
        <f t="shared" si="11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78">
        <f>'Données projet'!A140</f>
        <v>90</v>
      </c>
      <c r="B132" s="179" t="str">
        <f>'Données projet'!D140</f>
        <v>12</v>
      </c>
      <c r="C132" s="189">
        <v>100</v>
      </c>
      <c r="D132" s="177">
        <f t="shared" si="10"/>
        <v>1200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projet'!$E$9:$E$28),O131+1,"STOP")</f>
        <v>#VALUE!</v>
      </c>
      <c r="P132" s="183" t="e">
        <f t="shared" si="11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78">
        <f>'Données projet'!A141</f>
        <v>95</v>
      </c>
      <c r="B133" s="179" t="str">
        <f>'Données projet'!D141</f>
        <v>12</v>
      </c>
      <c r="C133" s="189">
        <v>100</v>
      </c>
      <c r="D133" s="177">
        <f t="shared" si="10"/>
        <v>1200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78">
        <f>'Données projet'!A142</f>
        <v>100</v>
      </c>
      <c r="B134" s="179">
        <f>'Données projet'!D142</f>
        <v>255</v>
      </c>
      <c r="C134" s="189">
        <v>120</v>
      </c>
      <c r="D134" s="177">
        <f t="shared" si="10"/>
        <v>30600</v>
      </c>
      <c r="E134" s="191">
        <v>2000</v>
      </c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78">
        <f>'Données projet'!A143</f>
        <v>0</v>
      </c>
      <c r="B135" s="179">
        <f>'Données projet'!D143</f>
        <v>0</v>
      </c>
      <c r="C135" s="189"/>
      <c r="D135" s="177">
        <f t="shared" si="10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2" t="str">
        <f>IF('Données projet'!B13="","",'Données projet'!B13)</f>
        <v>Chêne pubescent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7" t="s">
        <v>132</v>
      </c>
      <c r="C141" s="196" t="s">
        <v>132</v>
      </c>
      <c r="D141" s="195" t="s">
        <v>132</v>
      </c>
      <c r="E141" s="191">
        <v>3708</v>
      </c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projet'!A150</f>
        <v>30</v>
      </c>
      <c r="B147" s="173">
        <f>'Données projet'!D150</f>
        <v>0</v>
      </c>
      <c r="C147" s="189">
        <v>10</v>
      </c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projet'!A151</f>
        <v>44</v>
      </c>
      <c r="B148" s="173">
        <f>'Données projet'!D151</f>
        <v>64.416666666666657</v>
      </c>
      <c r="C148" s="189">
        <v>10</v>
      </c>
      <c r="D148" s="180">
        <f t="shared" ref="D148:D166" si="12">B148*C148</f>
        <v>644.16666666666652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projet'!A152</f>
        <v>51</v>
      </c>
      <c r="B149" s="173">
        <f>'Données projet'!D152</f>
        <v>37.685897435897431</v>
      </c>
      <c r="C149" s="189">
        <v>10</v>
      </c>
      <c r="D149" s="180">
        <f t="shared" si="12"/>
        <v>376.85897435897431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projet'!A153</f>
        <v>59</v>
      </c>
      <c r="B150" s="173">
        <f>'Données projet'!D153</f>
        <v>38.942307692307693</v>
      </c>
      <c r="C150" s="189">
        <v>10</v>
      </c>
      <c r="D150" s="180">
        <f t="shared" si="12"/>
        <v>389.42307692307691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projet'!A154</f>
        <v>67</v>
      </c>
      <c r="B151" s="173">
        <f>'Données projet'!D154</f>
        <v>31.993589743589741</v>
      </c>
      <c r="C151" s="189">
        <v>10</v>
      </c>
      <c r="D151" s="180">
        <f t="shared" si="12"/>
        <v>319.9358974358974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projet'!A155</f>
        <v>75</v>
      </c>
      <c r="B152" s="173">
        <f>'Données projet'!D155</f>
        <v>30.916666666666664</v>
      </c>
      <c r="C152" s="189">
        <v>10</v>
      </c>
      <c r="D152" s="180">
        <f t="shared" si="12"/>
        <v>309.16666666666663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projet'!A156</f>
        <v>84</v>
      </c>
      <c r="B153" s="173">
        <f>'Données projet'!D156</f>
        <v>35.083333333333329</v>
      </c>
      <c r="C153" s="189">
        <v>10</v>
      </c>
      <c r="D153" s="180">
        <f t="shared" si="12"/>
        <v>350.83333333333326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projet'!A157</f>
        <v>93</v>
      </c>
      <c r="B154" s="173">
        <f>'Données projet'!D157</f>
        <v>30.083333333333332</v>
      </c>
      <c r="C154" s="189">
        <v>40</v>
      </c>
      <c r="D154" s="180">
        <f t="shared" si="12"/>
        <v>1203.3333333333333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projet'!A158</f>
        <v>103</v>
      </c>
      <c r="B155" s="173">
        <f>'Données projet'!D158</f>
        <v>39.512820512820511</v>
      </c>
      <c r="C155" s="189">
        <v>40</v>
      </c>
      <c r="D155" s="180">
        <f t="shared" si="12"/>
        <v>1580.5128205128203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projet'!A159</f>
        <v>113</v>
      </c>
      <c r="B156" s="173">
        <f>'Données projet'!D159</f>
        <v>31.602564102564099</v>
      </c>
      <c r="C156" s="189">
        <v>100</v>
      </c>
      <c r="D156" s="180">
        <f t="shared" si="12"/>
        <v>3160.2564102564097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projet'!A160</f>
        <v>125</v>
      </c>
      <c r="B157" s="173">
        <f>'Données projet'!D160</f>
        <v>48.160256410256409</v>
      </c>
      <c r="C157" s="189">
        <v>100</v>
      </c>
      <c r="D157" s="180">
        <f t="shared" si="12"/>
        <v>4816.0256410256407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projet'!A161</f>
        <v>137</v>
      </c>
      <c r="B158" s="173">
        <f>'Données projet'!D161</f>
        <v>51.160256410256409</v>
      </c>
      <c r="C158" s="189">
        <v>100</v>
      </c>
      <c r="D158" s="180">
        <f t="shared" si="12"/>
        <v>5116.0256410256407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projet'!A162</f>
        <v>149</v>
      </c>
      <c r="B159" s="173">
        <f>'Données projet'!D162</f>
        <v>120.50641025641026</v>
      </c>
      <c r="C159" s="189">
        <v>100</v>
      </c>
      <c r="D159" s="180">
        <f t="shared" si="12"/>
        <v>12050.641025641025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projet'!A163</f>
        <v>153</v>
      </c>
      <c r="B160" s="173">
        <f>'Données projet'!D163</f>
        <v>70.115384615384613</v>
      </c>
      <c r="C160" s="189">
        <v>100</v>
      </c>
      <c r="D160" s="180">
        <f t="shared" si="12"/>
        <v>7011.538461538461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projet'!A164</f>
        <v>157</v>
      </c>
      <c r="B161" s="173">
        <f>'Données projet'!D164</f>
        <v>45.71153846153846</v>
      </c>
      <c r="C161" s="189">
        <v>150</v>
      </c>
      <c r="D161" s="180">
        <f t="shared" si="12"/>
        <v>6856.7307692307686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projet'!A165</f>
        <v>161</v>
      </c>
      <c r="B162" s="173">
        <f>'Données projet'!D165</f>
        <v>91.365384615384613</v>
      </c>
      <c r="C162" s="189">
        <v>150</v>
      </c>
      <c r="D162" s="180">
        <f t="shared" si="12"/>
        <v>13704.807692307691</v>
      </c>
      <c r="E162" s="191">
        <v>2000</v>
      </c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projet'!A166</f>
        <v>0</v>
      </c>
      <c r="B163" s="173">
        <f>'Données projet'!D166</f>
        <v>0</v>
      </c>
      <c r="C163" s="189"/>
      <c r="D163" s="180">
        <f t="shared" si="12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projet'!A167</f>
        <v>0</v>
      </c>
      <c r="B164" s="173">
        <f>'Données projet'!D167</f>
        <v>0</v>
      </c>
      <c r="C164" s="189"/>
      <c r="D164" s="180">
        <f t="shared" si="12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projet'!A168</f>
        <v>0</v>
      </c>
      <c r="B165" s="173">
        <f>'Données projet'!D168</f>
        <v>0</v>
      </c>
      <c r="C165" s="189"/>
      <c r="D165" s="180">
        <f t="shared" si="12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projet'!A169</f>
        <v>0</v>
      </c>
      <c r="B166" s="173">
        <f>'Données projet'!D169</f>
        <v>0</v>
      </c>
      <c r="C166" s="189"/>
      <c r="D166" s="180">
        <f t="shared" si="12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2" t="str">
        <f>IF('Données projet'!B14="","",'Données projet'!B14)</f>
        <v>Châtaignier</v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7" t="s">
        <v>132</v>
      </c>
      <c r="C172" s="196" t="s">
        <v>132</v>
      </c>
      <c r="D172" s="195" t="s">
        <v>132</v>
      </c>
      <c r="E172" s="191">
        <v>8772</v>
      </c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78">
        <f>'Données projet'!A176</f>
        <v>10</v>
      </c>
      <c r="B178" s="179">
        <f>'Données projet'!D176</f>
        <v>7</v>
      </c>
      <c r="C178" s="191">
        <v>10</v>
      </c>
      <c r="D178" s="177">
        <f>B178*C178</f>
        <v>70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78">
        <f>'Données projet'!A177</f>
        <v>15</v>
      </c>
      <c r="B179" s="179">
        <f>'Données projet'!D177</f>
        <v>42</v>
      </c>
      <c r="C179" s="191">
        <v>10</v>
      </c>
      <c r="D179" s="177">
        <f t="shared" ref="D179:D197" si="13">B179*C179</f>
        <v>420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78">
        <f>'Données projet'!A178</f>
        <v>20</v>
      </c>
      <c r="B180" s="179">
        <f>'Données projet'!D178</f>
        <v>42</v>
      </c>
      <c r="C180" s="191">
        <v>10</v>
      </c>
      <c r="D180" s="177">
        <f t="shared" si="13"/>
        <v>420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78">
        <f>'Données projet'!A179</f>
        <v>25</v>
      </c>
      <c r="B181" s="179">
        <f>'Données projet'!D179</f>
        <v>42</v>
      </c>
      <c r="C181" s="191">
        <v>10</v>
      </c>
      <c r="D181" s="177">
        <f t="shared" si="13"/>
        <v>420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78">
        <f>'Données projet'!A180</f>
        <v>30</v>
      </c>
      <c r="B182" s="179">
        <f>'Données projet'!D180</f>
        <v>42</v>
      </c>
      <c r="C182" s="191">
        <v>10</v>
      </c>
      <c r="D182" s="177">
        <f t="shared" si="13"/>
        <v>420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78">
        <f>'Données projet'!A181</f>
        <v>35</v>
      </c>
      <c r="B183" s="179">
        <f>'Données projet'!D181</f>
        <v>42</v>
      </c>
      <c r="C183" s="191">
        <v>10</v>
      </c>
      <c r="D183" s="177">
        <f t="shared" si="13"/>
        <v>420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78">
        <f>'Données projet'!A182</f>
        <v>40</v>
      </c>
      <c r="B184" s="179">
        <f>'Données projet'!D182</f>
        <v>40</v>
      </c>
      <c r="C184" s="191">
        <v>30</v>
      </c>
      <c r="D184" s="177">
        <f t="shared" si="13"/>
        <v>1200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78">
        <f>'Données projet'!A183</f>
        <v>45</v>
      </c>
      <c r="B185" s="179">
        <f>'Données projet'!D183</f>
        <v>26</v>
      </c>
      <c r="C185" s="191">
        <v>30</v>
      </c>
      <c r="D185" s="177">
        <f t="shared" si="13"/>
        <v>780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78">
        <f>'Données projet'!A184</f>
        <v>50</v>
      </c>
      <c r="B186" s="179">
        <f>'Données projet'!D184</f>
        <v>21</v>
      </c>
      <c r="C186" s="191">
        <v>30</v>
      </c>
      <c r="D186" s="177">
        <f t="shared" si="13"/>
        <v>630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78">
        <f>'Données projet'!A185</f>
        <v>55</v>
      </c>
      <c r="B187" s="179">
        <f>'Données projet'!D185</f>
        <v>18</v>
      </c>
      <c r="C187" s="191">
        <v>30</v>
      </c>
      <c r="D187" s="177">
        <f t="shared" si="13"/>
        <v>540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78">
        <f>'Données projet'!A186</f>
        <v>60</v>
      </c>
      <c r="B188" s="179">
        <f>'Données projet'!D186</f>
        <v>17</v>
      </c>
      <c r="C188" s="191">
        <v>30</v>
      </c>
      <c r="D188" s="177">
        <f t="shared" si="13"/>
        <v>510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78">
        <f>'Données projet'!A187</f>
        <v>65</v>
      </c>
      <c r="B189" s="179">
        <f>'Données projet'!D187</f>
        <v>16</v>
      </c>
      <c r="C189" s="191">
        <v>30</v>
      </c>
      <c r="D189" s="177">
        <f t="shared" si="13"/>
        <v>480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78">
        <f>'Données projet'!A188</f>
        <v>70</v>
      </c>
      <c r="B190" s="179">
        <f>'Données projet'!D188</f>
        <v>15</v>
      </c>
      <c r="C190" s="191">
        <v>50</v>
      </c>
      <c r="D190" s="177">
        <f t="shared" si="13"/>
        <v>750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78">
        <f>'Données projet'!A189</f>
        <v>75</v>
      </c>
      <c r="B191" s="179">
        <f>'Données projet'!D189</f>
        <v>14</v>
      </c>
      <c r="C191" s="191">
        <v>50</v>
      </c>
      <c r="D191" s="177">
        <f t="shared" si="13"/>
        <v>700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78">
        <f>'Données projet'!A190</f>
        <v>80</v>
      </c>
      <c r="B192" s="179">
        <f>'Données projet'!D190</f>
        <v>381</v>
      </c>
      <c r="C192" s="191">
        <v>50</v>
      </c>
      <c r="D192" s="177">
        <f t="shared" si="13"/>
        <v>19050</v>
      </c>
      <c r="E192" s="191">
        <v>2000</v>
      </c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78">
        <f>'Données projet'!A191</f>
        <v>0</v>
      </c>
      <c r="B193" s="179">
        <f>'Données projet'!D191</f>
        <v>0</v>
      </c>
      <c r="C193" s="191"/>
      <c r="D193" s="177">
        <f t="shared" si="13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78">
        <f>'Données projet'!A192</f>
        <v>0</v>
      </c>
      <c r="B194" s="179">
        <f>'Données projet'!D192</f>
        <v>0</v>
      </c>
      <c r="C194" s="191"/>
      <c r="D194" s="177">
        <f t="shared" si="13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78">
        <f>'Données projet'!A193</f>
        <v>0</v>
      </c>
      <c r="B195" s="179">
        <f>'Données projet'!D193</f>
        <v>0</v>
      </c>
      <c r="C195" s="191"/>
      <c r="D195" s="177">
        <f t="shared" si="13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78">
        <f>'Données projet'!A194</f>
        <v>0</v>
      </c>
      <c r="B196" s="179">
        <f>'Données projet'!D194</f>
        <v>0</v>
      </c>
      <c r="C196" s="191"/>
      <c r="D196" s="177">
        <f t="shared" si="13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78">
        <f>'Données projet'!A195</f>
        <v>0</v>
      </c>
      <c r="B197" s="179">
        <f>'Données projet'!D195</f>
        <v>0</v>
      </c>
      <c r="C197" s="191"/>
      <c r="D197" s="177">
        <f t="shared" si="13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2" t="str">
        <f>IF('Données projet'!$B$15="","",'Données projet'!$B$15)</f>
        <v>Cèdre de l'Atlas</v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7" t="s">
        <v>132</v>
      </c>
      <c r="C203" s="196" t="s">
        <v>132</v>
      </c>
      <c r="D203" s="195" t="s">
        <v>132</v>
      </c>
      <c r="E203" s="191">
        <v>2499</v>
      </c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78">
        <f>'Données projet'!A202</f>
        <v>30</v>
      </c>
      <c r="B209" s="179">
        <f>'Données projet'!D202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78">
        <f>'Données projet'!A203</f>
        <v>51</v>
      </c>
      <c r="B210" s="179">
        <f>'Données projet'!D203</f>
        <v>100.30769230769231</v>
      </c>
      <c r="C210" s="191">
        <v>30</v>
      </c>
      <c r="D210" s="177">
        <f t="shared" ref="D210:D228" si="14">B210*C210</f>
        <v>3009.2307692307691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78">
        <f>'Données projet'!A204</f>
        <v>63</v>
      </c>
      <c r="B211" s="179">
        <f>'Données projet'!D204</f>
        <v>108.08461538461538</v>
      </c>
      <c r="C211" s="191">
        <v>30</v>
      </c>
      <c r="D211" s="177">
        <f t="shared" si="14"/>
        <v>3242.5384615384614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78">
        <f>'Données projet'!A205</f>
        <v>75</v>
      </c>
      <c r="B212" s="179">
        <f>'Données projet'!D205</f>
        <v>85.361538461538458</v>
      </c>
      <c r="C212" s="191">
        <v>30</v>
      </c>
      <c r="D212" s="177">
        <f t="shared" si="14"/>
        <v>2560.8461538461538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78">
        <f>'Données projet'!A206</f>
        <v>87</v>
      </c>
      <c r="B213" s="179">
        <f>'Données projet'!D206</f>
        <v>82.938461538461524</v>
      </c>
      <c r="C213" s="191">
        <v>30</v>
      </c>
      <c r="D213" s="177">
        <f t="shared" si="14"/>
        <v>2488.1538461538457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78">
        <f>'Données projet'!A207</f>
        <v>99</v>
      </c>
      <c r="B214" s="179">
        <f>'Données projet'!D207</f>
        <v>198.32307692307691</v>
      </c>
      <c r="C214" s="191">
        <v>50</v>
      </c>
      <c r="D214" s="177">
        <f t="shared" si="14"/>
        <v>9916.1538461538457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78">
        <f>'Données projet'!A208</f>
        <v>109</v>
      </c>
      <c r="B215" s="179">
        <f>'Données projet'!D208</f>
        <v>256.09230769230771</v>
      </c>
      <c r="C215" s="191">
        <v>60</v>
      </c>
      <c r="D215" s="177">
        <f t="shared" si="14"/>
        <v>15365.538461538463</v>
      </c>
      <c r="E215" s="191">
        <v>2000</v>
      </c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78">
        <f>'Données projet'!A209</f>
        <v>0</v>
      </c>
      <c r="B216" s="179">
        <f>'Données projet'!D209</f>
        <v>0</v>
      </c>
      <c r="C216" s="191"/>
      <c r="D216" s="177">
        <f t="shared" si="14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78">
        <f>'Données projet'!A210</f>
        <v>0</v>
      </c>
      <c r="B217" s="179">
        <f>'Données projet'!D210</f>
        <v>0</v>
      </c>
      <c r="C217" s="191"/>
      <c r="D217" s="177">
        <f t="shared" si="14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78">
        <f>'Données projet'!A211</f>
        <v>0</v>
      </c>
      <c r="B218" s="179">
        <f>'Données projet'!D211</f>
        <v>0</v>
      </c>
      <c r="C218" s="191"/>
      <c r="D218" s="177">
        <f t="shared" si="14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78">
        <f>'Données projet'!A212</f>
        <v>0</v>
      </c>
      <c r="B219" s="179">
        <f>'Données projet'!D212</f>
        <v>0</v>
      </c>
      <c r="C219" s="191"/>
      <c r="D219" s="177">
        <f t="shared" si="14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78">
        <f>'Données projet'!A213</f>
        <v>0</v>
      </c>
      <c r="B220" s="179">
        <f>'Données projet'!D213</f>
        <v>0</v>
      </c>
      <c r="C220" s="191"/>
      <c r="D220" s="177">
        <f t="shared" si="14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78">
        <f>'Données projet'!A214</f>
        <v>0</v>
      </c>
      <c r="B221" s="179">
        <f>'Données projet'!D214</f>
        <v>0</v>
      </c>
      <c r="C221" s="191"/>
      <c r="D221" s="177">
        <f t="shared" si="14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78">
        <f>'Données projet'!A215</f>
        <v>0</v>
      </c>
      <c r="B222" s="179">
        <f>'Données projet'!D215</f>
        <v>0</v>
      </c>
      <c r="C222" s="191"/>
      <c r="D222" s="177">
        <f t="shared" si="14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78">
        <f>'Données projet'!A216</f>
        <v>0</v>
      </c>
      <c r="B223" s="179">
        <f>'Données projet'!D216</f>
        <v>0</v>
      </c>
      <c r="C223" s="191"/>
      <c r="D223" s="177">
        <f t="shared" si="14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78">
        <f>'Données projet'!A217</f>
        <v>0</v>
      </c>
      <c r="B224" s="179">
        <f>'Données projet'!D217</f>
        <v>0</v>
      </c>
      <c r="C224" s="191"/>
      <c r="D224" s="177">
        <f t="shared" si="14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78">
        <f>'Données projet'!A218</f>
        <v>0</v>
      </c>
      <c r="B225" s="179">
        <f>'Données projet'!D218</f>
        <v>0</v>
      </c>
      <c r="C225" s="191"/>
      <c r="D225" s="177">
        <f t="shared" si="14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78">
        <f>'Données projet'!A219</f>
        <v>0</v>
      </c>
      <c r="B226" s="179">
        <f>'Données projet'!D219</f>
        <v>0</v>
      </c>
      <c r="C226" s="191"/>
      <c r="D226" s="177">
        <f t="shared" si="14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78">
        <f>'Données projet'!A220</f>
        <v>0</v>
      </c>
      <c r="B227" s="179">
        <f>'Données projet'!D220</f>
        <v>0</v>
      </c>
      <c r="C227" s="191"/>
      <c r="D227" s="177">
        <f t="shared" si="14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78">
        <f>'Données projet'!A221</f>
        <v>0</v>
      </c>
      <c r="B228" s="179">
        <f>'Données projet'!D221</f>
        <v>0</v>
      </c>
      <c r="C228" s="191"/>
      <c r="D228" s="177">
        <f t="shared" si="14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2" t="str">
        <f>IF('Données projet'!$B$16="","",'Données projet'!$B$16)</f>
        <v>Chêne chevelu</v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7" t="s">
        <v>132</v>
      </c>
      <c r="C234" s="196" t="s">
        <v>132</v>
      </c>
      <c r="D234" s="195" t="s">
        <v>132</v>
      </c>
      <c r="E234" s="191">
        <v>3660</v>
      </c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78">
        <f>'Données projet'!A228</f>
        <v>10</v>
      </c>
      <c r="B240" s="179">
        <f>'Données projet'!D228</f>
        <v>0</v>
      </c>
      <c r="C240" s="191">
        <v>10</v>
      </c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78">
        <f>'Données projet'!A229</f>
        <v>15</v>
      </c>
      <c r="B241" s="179">
        <f>'Données projet'!D229</f>
        <v>0</v>
      </c>
      <c r="C241" s="191">
        <v>10</v>
      </c>
      <c r="D241" s="177">
        <f t="shared" ref="D241:D259" si="15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78">
        <f>'Données projet'!A230</f>
        <v>20</v>
      </c>
      <c r="B242" s="179" t="str">
        <f>'Données projet'!D230</f>
        <v>29</v>
      </c>
      <c r="C242" s="191">
        <v>10</v>
      </c>
      <c r="D242" s="177">
        <f t="shared" si="15"/>
        <v>290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78">
        <f>'Données projet'!A231</f>
        <v>25</v>
      </c>
      <c r="B243" s="179" t="str">
        <f>'Données projet'!D231</f>
        <v>19</v>
      </c>
      <c r="C243" s="191">
        <v>10</v>
      </c>
      <c r="D243" s="177">
        <f t="shared" si="15"/>
        <v>190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78">
        <f>'Données projet'!A232</f>
        <v>30</v>
      </c>
      <c r="B244" s="179" t="str">
        <f>'Données projet'!D232</f>
        <v>20</v>
      </c>
      <c r="C244" s="191">
        <v>10</v>
      </c>
      <c r="D244" s="177">
        <f t="shared" si="15"/>
        <v>200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78">
        <f>'Données projet'!A233</f>
        <v>35</v>
      </c>
      <c r="B245" s="179" t="str">
        <f>'Données projet'!D233</f>
        <v>20</v>
      </c>
      <c r="C245" s="191">
        <v>10</v>
      </c>
      <c r="D245" s="177">
        <f t="shared" si="15"/>
        <v>200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78">
        <f>'Données projet'!A234</f>
        <v>40</v>
      </c>
      <c r="B246" s="179" t="str">
        <f>'Données projet'!D234</f>
        <v>20</v>
      </c>
      <c r="C246" s="191">
        <v>10</v>
      </c>
      <c r="D246" s="177">
        <f t="shared" si="15"/>
        <v>200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78">
        <f>'Données projet'!A235</f>
        <v>45</v>
      </c>
      <c r="B247" s="179" t="str">
        <f>'Données projet'!D235</f>
        <v>19</v>
      </c>
      <c r="C247" s="191">
        <v>40</v>
      </c>
      <c r="D247" s="177">
        <f t="shared" si="15"/>
        <v>760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78">
        <f>'Données projet'!A236</f>
        <v>50</v>
      </c>
      <c r="B248" s="179" t="str">
        <f>'Données projet'!D236</f>
        <v>18</v>
      </c>
      <c r="C248" s="191">
        <v>40</v>
      </c>
      <c r="D248" s="177">
        <f t="shared" si="15"/>
        <v>720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78">
        <f>'Données projet'!A237</f>
        <v>55</v>
      </c>
      <c r="B249" s="179" t="str">
        <f>'Données projet'!D237</f>
        <v>17</v>
      </c>
      <c r="C249" s="191">
        <v>40</v>
      </c>
      <c r="D249" s="177">
        <f t="shared" si="15"/>
        <v>680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78">
        <f>'Données projet'!A238</f>
        <v>60</v>
      </c>
      <c r="B250" s="179" t="str">
        <f>'Données projet'!D238</f>
        <v>16</v>
      </c>
      <c r="C250" s="191">
        <v>40</v>
      </c>
      <c r="D250" s="177">
        <f t="shared" si="15"/>
        <v>640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78">
        <f>'Données projet'!A239</f>
        <v>65</v>
      </c>
      <c r="B251" s="179" t="str">
        <f>'Données projet'!D239</f>
        <v>15</v>
      </c>
      <c r="C251" s="191">
        <v>40</v>
      </c>
      <c r="D251" s="177">
        <f t="shared" si="15"/>
        <v>600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78">
        <f>'Données projet'!A240</f>
        <v>70</v>
      </c>
      <c r="B252" s="179" t="str">
        <f>'Données projet'!D240</f>
        <v>14</v>
      </c>
      <c r="C252" s="191">
        <v>40</v>
      </c>
      <c r="D252" s="177">
        <f t="shared" si="15"/>
        <v>560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78">
        <f>'Données projet'!A241</f>
        <v>75</v>
      </c>
      <c r="B253" s="179" t="str">
        <f>'Données projet'!D241</f>
        <v>12</v>
      </c>
      <c r="C253" s="191">
        <v>40</v>
      </c>
      <c r="D253" s="177">
        <f t="shared" si="15"/>
        <v>480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78">
        <f>'Données projet'!A242</f>
        <v>80</v>
      </c>
      <c r="B254" s="179" t="str">
        <f>'Données projet'!D242</f>
        <v>11</v>
      </c>
      <c r="C254" s="191">
        <v>100</v>
      </c>
      <c r="D254" s="177">
        <f t="shared" si="15"/>
        <v>1100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78">
        <f>'Données projet'!A243</f>
        <v>85</v>
      </c>
      <c r="B255" s="179" t="str">
        <f>'Données projet'!D243</f>
        <v>10</v>
      </c>
      <c r="C255" s="191">
        <v>100</v>
      </c>
      <c r="D255" s="177">
        <f t="shared" si="15"/>
        <v>1000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78">
        <f>'Données projet'!A244</f>
        <v>90</v>
      </c>
      <c r="B256" s="179" t="str">
        <f>'Données projet'!D244</f>
        <v>10</v>
      </c>
      <c r="C256" s="191">
        <v>100</v>
      </c>
      <c r="D256" s="177">
        <f t="shared" si="15"/>
        <v>1000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78">
        <f>'Données projet'!A245</f>
        <v>95</v>
      </c>
      <c r="B257" s="179" t="str">
        <f>'Données projet'!D245</f>
        <v>11</v>
      </c>
      <c r="C257" s="191">
        <v>100</v>
      </c>
      <c r="D257" s="177">
        <f t="shared" si="15"/>
        <v>1100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78">
        <f>'Données projet'!A246</f>
        <v>100</v>
      </c>
      <c r="B258" s="179">
        <f>'Données projet'!D246</f>
        <v>223</v>
      </c>
      <c r="C258" s="191">
        <v>120</v>
      </c>
      <c r="D258" s="177">
        <f t="shared" si="15"/>
        <v>26760</v>
      </c>
      <c r="E258" s="191">
        <v>2000</v>
      </c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78">
        <f>'Données projet'!A247</f>
        <v>0</v>
      </c>
      <c r="B259" s="179">
        <f>'Données projet'!D247</f>
        <v>0</v>
      </c>
      <c r="C259" s="191"/>
      <c r="D259" s="177">
        <f t="shared" si="15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2" t="str">
        <f>IF('Données projet'!$B$17="","",'Données projet'!$B$17)</f>
        <v>Frêne</v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7" t="s">
        <v>132</v>
      </c>
      <c r="C265" s="196" t="s">
        <v>132</v>
      </c>
      <c r="D265" s="195" t="s">
        <v>132</v>
      </c>
      <c r="E265" s="191">
        <v>2040.8500000000001</v>
      </c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78">
        <f>'Données projet'!A254</f>
        <v>15</v>
      </c>
      <c r="B271" s="179">
        <f>'Données projet'!D254</f>
        <v>15</v>
      </c>
      <c r="C271" s="191">
        <v>10</v>
      </c>
      <c r="D271" s="177">
        <f>B271*C271</f>
        <v>150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78">
        <f>'Données projet'!A255</f>
        <v>20</v>
      </c>
      <c r="B272" s="179">
        <f>'Données projet'!D255</f>
        <v>28</v>
      </c>
      <c r="C272" s="191">
        <v>10</v>
      </c>
      <c r="D272" s="177">
        <f t="shared" ref="D272:D290" si="16">B272*C272</f>
        <v>280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78">
        <f>'Données projet'!A256</f>
        <v>25</v>
      </c>
      <c r="B273" s="179">
        <f>'Données projet'!D256</f>
        <v>28</v>
      </c>
      <c r="C273" s="191">
        <v>10</v>
      </c>
      <c r="D273" s="177">
        <f t="shared" si="16"/>
        <v>280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78">
        <f>'Données projet'!A257</f>
        <v>30</v>
      </c>
      <c r="B274" s="179">
        <f>'Données projet'!D257</f>
        <v>28</v>
      </c>
      <c r="C274" s="191">
        <v>10</v>
      </c>
      <c r="D274" s="177">
        <f t="shared" si="16"/>
        <v>280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78">
        <f>'Données projet'!A258</f>
        <v>35</v>
      </c>
      <c r="B275" s="179">
        <f>'Données projet'!D258</f>
        <v>28</v>
      </c>
      <c r="C275" s="191">
        <v>10</v>
      </c>
      <c r="D275" s="177">
        <f t="shared" si="16"/>
        <v>280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78">
        <f>'Données projet'!A259</f>
        <v>40</v>
      </c>
      <c r="B276" s="179">
        <f>'Données projet'!D259</f>
        <v>28</v>
      </c>
      <c r="C276" s="191">
        <v>10</v>
      </c>
      <c r="D276" s="177">
        <f t="shared" si="16"/>
        <v>280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78">
        <f>'Données projet'!A260</f>
        <v>45</v>
      </c>
      <c r="B277" s="179">
        <f>'Données projet'!D260</f>
        <v>22</v>
      </c>
      <c r="C277" s="191">
        <v>10</v>
      </c>
      <c r="D277" s="177">
        <f t="shared" si="16"/>
        <v>220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78">
        <f>'Données projet'!A261</f>
        <v>50</v>
      </c>
      <c r="B278" s="179">
        <f>'Données projet'!D261</f>
        <v>17</v>
      </c>
      <c r="C278" s="191">
        <v>10</v>
      </c>
      <c r="D278" s="177">
        <f t="shared" si="16"/>
        <v>170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78">
        <f>'Données projet'!A262</f>
        <v>55</v>
      </c>
      <c r="B279" s="179">
        <f>'Données projet'!D262</f>
        <v>13</v>
      </c>
      <c r="C279" s="191">
        <v>10</v>
      </c>
      <c r="D279" s="177">
        <f t="shared" si="16"/>
        <v>130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78">
        <f>'Données projet'!A263</f>
        <v>60</v>
      </c>
      <c r="B280" s="179">
        <f>'Données projet'!D263</f>
        <v>12</v>
      </c>
      <c r="C280" s="191">
        <v>30</v>
      </c>
      <c r="D280" s="177">
        <f t="shared" si="16"/>
        <v>360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78">
        <f>'Données projet'!A264</f>
        <v>65</v>
      </c>
      <c r="B281" s="179">
        <f>'Données projet'!D264</f>
        <v>11</v>
      </c>
      <c r="C281" s="191">
        <v>30</v>
      </c>
      <c r="D281" s="177">
        <f t="shared" si="16"/>
        <v>330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78">
        <f>'Données projet'!A265</f>
        <v>70</v>
      </c>
      <c r="B282" s="179">
        <f>'Données projet'!D265</f>
        <v>10</v>
      </c>
      <c r="C282" s="191">
        <v>30</v>
      </c>
      <c r="D282" s="177">
        <f t="shared" si="16"/>
        <v>300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78">
        <f>'Données projet'!A266</f>
        <v>75</v>
      </c>
      <c r="B283" s="179">
        <f>'Données projet'!D266</f>
        <v>9</v>
      </c>
      <c r="C283" s="191">
        <v>30</v>
      </c>
      <c r="D283" s="177">
        <f t="shared" si="16"/>
        <v>270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78">
        <f>'Données projet'!A267</f>
        <v>80</v>
      </c>
      <c r="B284" s="179">
        <f>'Données projet'!D267</f>
        <v>275</v>
      </c>
      <c r="C284" s="191">
        <v>30</v>
      </c>
      <c r="D284" s="177">
        <f t="shared" si="16"/>
        <v>8250</v>
      </c>
      <c r="E284" s="191">
        <v>2000</v>
      </c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78">
        <f>'Données projet'!A268</f>
        <v>0</v>
      </c>
      <c r="B285" s="179">
        <f>'Données projet'!D268</f>
        <v>0</v>
      </c>
      <c r="C285" s="191"/>
      <c r="D285" s="177">
        <f t="shared" si="16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78">
        <f>'Données projet'!A269</f>
        <v>0</v>
      </c>
      <c r="B286" s="179">
        <f>'Données projet'!D269</f>
        <v>0</v>
      </c>
      <c r="C286" s="191"/>
      <c r="D286" s="177">
        <f t="shared" si="16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78">
        <f>'Données projet'!A270</f>
        <v>0</v>
      </c>
      <c r="B287" s="179">
        <f>'Données projet'!D270</f>
        <v>0</v>
      </c>
      <c r="C287" s="191"/>
      <c r="D287" s="177">
        <f t="shared" si="16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78">
        <f>'Données projet'!A271</f>
        <v>0</v>
      </c>
      <c r="B288" s="179">
        <f>'Données projet'!D271</f>
        <v>0</v>
      </c>
      <c r="C288" s="191"/>
      <c r="D288" s="177">
        <f t="shared" si="16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78">
        <f>'Données projet'!A272</f>
        <v>0</v>
      </c>
      <c r="B289" s="179">
        <f>'Données projet'!D272</f>
        <v>0</v>
      </c>
      <c r="C289" s="191"/>
      <c r="D289" s="177">
        <f t="shared" si="16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78">
        <f>'Données projet'!A273</f>
        <v>0</v>
      </c>
      <c r="B290" s="179">
        <f>'Données projet'!D273</f>
        <v>0</v>
      </c>
      <c r="C290" s="191"/>
      <c r="D290" s="177">
        <f t="shared" si="16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2" t="str">
        <f>IF('Données projet'!$B$18="","",'Données projet'!$B$18)</f>
        <v>Thuya géant</v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7" t="s">
        <v>132</v>
      </c>
      <c r="C296" s="196" t="s">
        <v>132</v>
      </c>
      <c r="D296" s="195" t="s">
        <v>132</v>
      </c>
      <c r="E296" s="191">
        <v>2224.11</v>
      </c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78">
        <f>'Données projet'!A280</f>
        <v>15</v>
      </c>
      <c r="B302" s="179">
        <f>'Données projet'!D280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78">
        <f>'Données projet'!A281</f>
        <v>20</v>
      </c>
      <c r="B303" s="179">
        <f>'Données projet'!D281</f>
        <v>32</v>
      </c>
      <c r="C303" s="189">
        <v>10</v>
      </c>
      <c r="D303" s="180">
        <f t="shared" ref="D303:D321" si="17">B303*C303</f>
        <v>320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78">
        <f>'Données projet'!A282</f>
        <v>25</v>
      </c>
      <c r="B304" s="179">
        <f>'Données projet'!D282</f>
        <v>35</v>
      </c>
      <c r="C304" s="189">
        <v>10</v>
      </c>
      <c r="D304" s="180">
        <f t="shared" si="17"/>
        <v>350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78">
        <f>'Données projet'!A283</f>
        <v>30</v>
      </c>
      <c r="B305" s="179">
        <f>'Données projet'!D283</f>
        <v>35</v>
      </c>
      <c r="C305" s="189">
        <v>30</v>
      </c>
      <c r="D305" s="180">
        <f t="shared" si="17"/>
        <v>1050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78">
        <f>'Données projet'!A284</f>
        <v>35</v>
      </c>
      <c r="B306" s="179">
        <f>'Données projet'!D284</f>
        <v>35</v>
      </c>
      <c r="C306" s="189">
        <v>30</v>
      </c>
      <c r="D306" s="180">
        <f t="shared" si="17"/>
        <v>1050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78">
        <f>'Données projet'!A285</f>
        <v>40</v>
      </c>
      <c r="B307" s="179">
        <f>'Données projet'!D285</f>
        <v>35</v>
      </c>
      <c r="C307" s="189">
        <v>30</v>
      </c>
      <c r="D307" s="180">
        <f t="shared" si="17"/>
        <v>1050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78">
        <f>'Données projet'!A286</f>
        <v>45</v>
      </c>
      <c r="B308" s="179">
        <f>'Données projet'!D286</f>
        <v>35</v>
      </c>
      <c r="C308" s="189">
        <v>30</v>
      </c>
      <c r="D308" s="180">
        <f t="shared" si="17"/>
        <v>1050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78">
        <f>'Données projet'!A287</f>
        <v>50</v>
      </c>
      <c r="B309" s="179">
        <f>'Données projet'!D287</f>
        <v>24</v>
      </c>
      <c r="C309" s="189">
        <v>30</v>
      </c>
      <c r="D309" s="180">
        <f t="shared" si="17"/>
        <v>720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78">
        <f>'Données projet'!A288</f>
        <v>55</v>
      </c>
      <c r="B310" s="179">
        <f>'Données projet'!D288</f>
        <v>19</v>
      </c>
      <c r="C310" s="189">
        <v>30</v>
      </c>
      <c r="D310" s="180">
        <f t="shared" si="17"/>
        <v>570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78">
        <f>'Données projet'!A289</f>
        <v>60</v>
      </c>
      <c r="B311" s="179">
        <f>'Données projet'!D289</f>
        <v>16</v>
      </c>
      <c r="C311" s="189">
        <v>30</v>
      </c>
      <c r="D311" s="180">
        <f t="shared" si="17"/>
        <v>480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78">
        <f>'Données projet'!A290</f>
        <v>65</v>
      </c>
      <c r="B312" s="179">
        <f>'Données projet'!D290</f>
        <v>14</v>
      </c>
      <c r="C312" s="189">
        <v>30</v>
      </c>
      <c r="D312" s="180">
        <f t="shared" si="17"/>
        <v>420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78">
        <f>'Données projet'!A291</f>
        <v>70</v>
      </c>
      <c r="B313" s="179">
        <f>'Données projet'!D291</f>
        <v>13</v>
      </c>
      <c r="C313" s="189">
        <v>30</v>
      </c>
      <c r="D313" s="180">
        <f t="shared" si="17"/>
        <v>390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78">
        <f>'Données projet'!A292</f>
        <v>75</v>
      </c>
      <c r="B314" s="179">
        <f>'Données projet'!D292</f>
        <v>13</v>
      </c>
      <c r="C314" s="189">
        <v>30</v>
      </c>
      <c r="D314" s="180">
        <f t="shared" si="17"/>
        <v>390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78">
        <f>'Données projet'!A293</f>
        <v>80</v>
      </c>
      <c r="B315" s="179">
        <f>'Données projet'!D293</f>
        <v>840</v>
      </c>
      <c r="C315" s="189">
        <v>30</v>
      </c>
      <c r="D315" s="180">
        <f t="shared" si="17"/>
        <v>25200</v>
      </c>
      <c r="E315" s="191">
        <v>2000</v>
      </c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78">
        <f>'Données projet'!A294</f>
        <v>0</v>
      </c>
      <c r="B316" s="179">
        <f>'Données projet'!D294</f>
        <v>0</v>
      </c>
      <c r="C316" s="189"/>
      <c r="D316" s="180">
        <f t="shared" si="17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78">
        <f>'Données projet'!A295</f>
        <v>0</v>
      </c>
      <c r="B317" s="179">
        <f>'Données projet'!D295</f>
        <v>0</v>
      </c>
      <c r="C317" s="189"/>
      <c r="D317" s="180">
        <f t="shared" si="17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78">
        <f>'Données projet'!A296</f>
        <v>0</v>
      </c>
      <c r="B318" s="179">
        <f>'Données projet'!D296</f>
        <v>0</v>
      </c>
      <c r="C318" s="189"/>
      <c r="D318" s="180">
        <f t="shared" si="17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78">
        <f>'Données projet'!A297</f>
        <v>0</v>
      </c>
      <c r="B319" s="179">
        <f>'Données projet'!D297</f>
        <v>0</v>
      </c>
      <c r="C319" s="189"/>
      <c r="D319" s="180">
        <f t="shared" si="17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78">
        <f>'Données projet'!A298</f>
        <v>0</v>
      </c>
      <c r="B320" s="179">
        <f>'Données projet'!D298</f>
        <v>0</v>
      </c>
      <c r="C320" s="189"/>
      <c r="D320" s="180">
        <f t="shared" si="17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78">
        <f>'Données projet'!A299</f>
        <v>0</v>
      </c>
      <c r="B321" s="179">
        <f>'Données projet'!D299</f>
        <v>0</v>
      </c>
      <c r="C321" s="194"/>
      <c r="D321" s="180">
        <f t="shared" si="17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A324" s="259" t="s">
        <v>324</v>
      </c>
      <c r="B324" s="260" t="str">
        <f>IF('Données projet'!$B$19="","",'Données projet'!$B$19)</f>
        <v>Peuplier Koster</v>
      </c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A326" s="36" t="s">
        <v>180</v>
      </c>
      <c r="B326" s="48" t="s">
        <v>256</v>
      </c>
      <c r="C326" s="48" t="s">
        <v>255</v>
      </c>
      <c r="D326" s="36" t="s">
        <v>252</v>
      </c>
      <c r="E326" s="36" t="s">
        <v>320</v>
      </c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A327" s="49">
        <v>0</v>
      </c>
      <c r="B327" s="197" t="s">
        <v>132</v>
      </c>
      <c r="C327" s="196" t="s">
        <v>132</v>
      </c>
      <c r="D327" s="195" t="s">
        <v>132</v>
      </c>
      <c r="E327" s="191">
        <v>2674</v>
      </c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9">
        <v>1</v>
      </c>
      <c r="B328" s="197" t="s">
        <v>132</v>
      </c>
      <c r="C328" s="196" t="s">
        <v>132</v>
      </c>
      <c r="D328" s="195" t="s">
        <v>132</v>
      </c>
      <c r="E328" s="191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9">
        <v>2</v>
      </c>
      <c r="B329" s="197" t="s">
        <v>132</v>
      </c>
      <c r="C329" s="196" t="s">
        <v>132</v>
      </c>
      <c r="D329" s="195" t="s">
        <v>132</v>
      </c>
      <c r="E329" s="191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9">
        <v>3</v>
      </c>
      <c r="B330" s="197" t="s">
        <v>132</v>
      </c>
      <c r="C330" s="196" t="s">
        <v>132</v>
      </c>
      <c r="D330" s="195" t="s">
        <v>132</v>
      </c>
      <c r="E330" s="191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9">
        <v>4</v>
      </c>
      <c r="B331" s="197" t="s">
        <v>132</v>
      </c>
      <c r="C331" s="196" t="s">
        <v>132</v>
      </c>
      <c r="D331" s="195" t="s">
        <v>132</v>
      </c>
      <c r="E331" s="191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9">
        <v>5</v>
      </c>
      <c r="B332" s="197" t="s">
        <v>132</v>
      </c>
      <c r="C332" s="196" t="s">
        <v>132</v>
      </c>
      <c r="D332" s="195" t="s">
        <v>132</v>
      </c>
      <c r="E332" s="191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178">
        <f>'Données projet'!A305</f>
        <v>2</v>
      </c>
      <c r="B333" s="179">
        <f>'Données projet'!D305</f>
        <v>0</v>
      </c>
      <c r="C333" s="189"/>
      <c r="D333" s="180">
        <f>B333*C333</f>
        <v>0</v>
      </c>
      <c r="E333" s="191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178">
        <f>'Données projet'!A306</f>
        <v>3</v>
      </c>
      <c r="B334" s="179">
        <f>'Données projet'!D306</f>
        <v>0</v>
      </c>
      <c r="C334" s="189"/>
      <c r="D334" s="180">
        <f t="shared" ref="D334:D352" si="18">B334*C334</f>
        <v>0</v>
      </c>
      <c r="E334" s="191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178">
        <f>'Données projet'!A307</f>
        <v>4</v>
      </c>
      <c r="B335" s="179">
        <f>'Données projet'!D307</f>
        <v>0</v>
      </c>
      <c r="C335" s="189"/>
      <c r="D335" s="180">
        <f t="shared" si="18"/>
        <v>0</v>
      </c>
      <c r="E335" s="191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178">
        <f>'Données projet'!A308</f>
        <v>5</v>
      </c>
      <c r="B336" s="179">
        <f>'Données projet'!D308</f>
        <v>0</v>
      </c>
      <c r="C336" s="189"/>
      <c r="D336" s="180">
        <f t="shared" si="18"/>
        <v>0</v>
      </c>
      <c r="E336" s="191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178">
        <f>'Données projet'!A309</f>
        <v>6</v>
      </c>
      <c r="B337" s="179">
        <f>'Données projet'!D309</f>
        <v>0</v>
      </c>
      <c r="C337" s="189"/>
      <c r="D337" s="180">
        <f t="shared" si="18"/>
        <v>0</v>
      </c>
      <c r="E337" s="191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178">
        <f>'Données projet'!A310</f>
        <v>7</v>
      </c>
      <c r="B338" s="179">
        <f>'Données projet'!D310</f>
        <v>0</v>
      </c>
      <c r="C338" s="189"/>
      <c r="D338" s="180">
        <f t="shared" si="18"/>
        <v>0</v>
      </c>
      <c r="E338" s="191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178">
        <f>'Données projet'!A311</f>
        <v>8</v>
      </c>
      <c r="B339" s="179">
        <f>'Données projet'!D311</f>
        <v>0</v>
      </c>
      <c r="C339" s="189"/>
      <c r="D339" s="180">
        <f t="shared" si="18"/>
        <v>0</v>
      </c>
      <c r="E339" s="191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178">
        <f>'Données projet'!A312</f>
        <v>9</v>
      </c>
      <c r="B340" s="179">
        <f>'Données projet'!D312</f>
        <v>0</v>
      </c>
      <c r="C340" s="189"/>
      <c r="D340" s="180">
        <f t="shared" si="18"/>
        <v>0</v>
      </c>
      <c r="E340" s="191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178">
        <f>'Données projet'!A313</f>
        <v>10</v>
      </c>
      <c r="B341" s="179">
        <f>'Données projet'!D313</f>
        <v>0</v>
      </c>
      <c r="C341" s="189"/>
      <c r="D341" s="180">
        <f t="shared" si="18"/>
        <v>0</v>
      </c>
      <c r="E341" s="191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178">
        <f>'Données projet'!A314</f>
        <v>11</v>
      </c>
      <c r="B342" s="179">
        <f>'Données projet'!D314</f>
        <v>0</v>
      </c>
      <c r="C342" s="189"/>
      <c r="D342" s="180">
        <f t="shared" si="18"/>
        <v>0</v>
      </c>
      <c r="E342" s="191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178">
        <f>'Données projet'!A315</f>
        <v>12</v>
      </c>
      <c r="B343" s="179">
        <f>'Données projet'!D315</f>
        <v>0</v>
      </c>
      <c r="C343" s="189"/>
      <c r="D343" s="180">
        <f t="shared" si="18"/>
        <v>0</v>
      </c>
      <c r="E343" s="191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178">
        <f>'Données projet'!A316</f>
        <v>13</v>
      </c>
      <c r="B344" s="179">
        <f>'Données projet'!D316</f>
        <v>0</v>
      </c>
      <c r="C344" s="189"/>
      <c r="D344" s="180">
        <f t="shared" si="18"/>
        <v>0</v>
      </c>
      <c r="E344" s="191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178">
        <f>'Données projet'!A317</f>
        <v>14</v>
      </c>
      <c r="B345" s="179">
        <f>'Données projet'!D317</f>
        <v>0</v>
      </c>
      <c r="C345" s="189"/>
      <c r="D345" s="180">
        <f t="shared" si="18"/>
        <v>0</v>
      </c>
      <c r="E345" s="191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178">
        <f>'Données projet'!A318</f>
        <v>15</v>
      </c>
      <c r="B346" s="179">
        <f>'Données projet'!D318</f>
        <v>0</v>
      </c>
      <c r="C346" s="189"/>
      <c r="D346" s="180">
        <f t="shared" si="18"/>
        <v>0</v>
      </c>
      <c r="E346" s="191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178">
        <f>'Données projet'!A319</f>
        <v>16</v>
      </c>
      <c r="B347" s="179">
        <f>'Données projet'!D319</f>
        <v>0</v>
      </c>
      <c r="C347" s="189"/>
      <c r="D347" s="180">
        <f t="shared" si="18"/>
        <v>0</v>
      </c>
      <c r="E347" s="191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178">
        <f>'Données projet'!A320</f>
        <v>17</v>
      </c>
      <c r="B348" s="179">
        <f>'Données projet'!D320</f>
        <v>0</v>
      </c>
      <c r="C348" s="189"/>
      <c r="D348" s="180">
        <f t="shared" si="18"/>
        <v>0</v>
      </c>
      <c r="E348" s="191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178">
        <f>'Données projet'!A321</f>
        <v>18</v>
      </c>
      <c r="B349" s="179">
        <f>'Données projet'!D321</f>
        <v>0</v>
      </c>
      <c r="C349" s="189"/>
      <c r="D349" s="180">
        <f t="shared" si="18"/>
        <v>0</v>
      </c>
      <c r="E349" s="191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178">
        <f>'Données projet'!A322</f>
        <v>19</v>
      </c>
      <c r="B350" s="179">
        <f>'Données projet'!D322</f>
        <v>0</v>
      </c>
      <c r="C350" s="189"/>
      <c r="D350" s="180">
        <f t="shared" si="18"/>
        <v>0</v>
      </c>
      <c r="E350" s="191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178">
        <f>'Données projet'!A323</f>
        <v>20</v>
      </c>
      <c r="B351" s="179">
        <f>'Données projet'!D323</f>
        <v>254.68589743589735</v>
      </c>
      <c r="C351" s="189">
        <v>30</v>
      </c>
      <c r="D351" s="180">
        <f t="shared" si="18"/>
        <v>7640.5769230769201</v>
      </c>
      <c r="E351" s="191">
        <v>1500</v>
      </c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178">
        <f>'Données projet'!A324</f>
        <v>0</v>
      </c>
      <c r="B352" s="179">
        <f>'Données projet'!D324</f>
        <v>0</v>
      </c>
      <c r="C352" s="194"/>
      <c r="D352" s="180">
        <f t="shared" si="18"/>
        <v>0</v>
      </c>
      <c r="E352" s="191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259" t="s">
        <v>325</v>
      </c>
      <c r="B355" s="261" t="str">
        <f>IF('Données projet'!$B$20="","",'Données projet'!$B$20)</f>
        <v>Peuplier Koster</v>
      </c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36" t="s">
        <v>180</v>
      </c>
      <c r="B357" s="48" t="s">
        <v>256</v>
      </c>
      <c r="C357" s="48" t="s">
        <v>255</v>
      </c>
      <c r="D357" s="36" t="s">
        <v>252</v>
      </c>
      <c r="E357" s="36" t="s">
        <v>320</v>
      </c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9">
        <v>0</v>
      </c>
      <c r="B358" s="197" t="s">
        <v>132</v>
      </c>
      <c r="C358" s="196" t="s">
        <v>132</v>
      </c>
      <c r="D358" s="195" t="s">
        <v>132</v>
      </c>
      <c r="E358" s="191">
        <v>2674</v>
      </c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9">
        <v>1</v>
      </c>
      <c r="B359" s="197" t="s">
        <v>132</v>
      </c>
      <c r="C359" s="196" t="s">
        <v>132</v>
      </c>
      <c r="D359" s="195" t="s">
        <v>132</v>
      </c>
      <c r="E359" s="191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9">
        <v>2</v>
      </c>
      <c r="B360" s="197" t="s">
        <v>132</v>
      </c>
      <c r="C360" s="196" t="s">
        <v>132</v>
      </c>
      <c r="D360" s="195" t="s">
        <v>132</v>
      </c>
      <c r="E360" s="191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9">
        <v>3</v>
      </c>
      <c r="B361" s="197" t="s">
        <v>132</v>
      </c>
      <c r="C361" s="196" t="s">
        <v>132</v>
      </c>
      <c r="D361" s="195" t="s">
        <v>132</v>
      </c>
      <c r="E361" s="191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9">
        <v>4</v>
      </c>
      <c r="B362" s="197" t="s">
        <v>132</v>
      </c>
      <c r="C362" s="196" t="s">
        <v>132</v>
      </c>
      <c r="D362" s="195" t="s">
        <v>132</v>
      </c>
      <c r="E362" s="191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9">
        <v>5</v>
      </c>
      <c r="B363" s="197" t="s">
        <v>132</v>
      </c>
      <c r="C363" s="196" t="s">
        <v>132</v>
      </c>
      <c r="D363" s="195" t="s">
        <v>132</v>
      </c>
      <c r="E363" s="191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178">
        <f>'Données projet'!A331</f>
        <v>2</v>
      </c>
      <c r="B364" s="179">
        <f>'Données projet'!D331</f>
        <v>0</v>
      </c>
      <c r="C364" s="189"/>
      <c r="D364" s="180">
        <f>B364*C364</f>
        <v>0</v>
      </c>
      <c r="E364" s="191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178">
        <f>'Données projet'!A332</f>
        <v>3</v>
      </c>
      <c r="B365" s="179">
        <f>'Données projet'!D332</f>
        <v>0</v>
      </c>
      <c r="C365" s="189"/>
      <c r="D365" s="180">
        <f t="shared" ref="D365:D383" si="19">B365*C365</f>
        <v>0</v>
      </c>
      <c r="E365" s="191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178">
        <f>'Données projet'!A333</f>
        <v>4</v>
      </c>
      <c r="B366" s="179">
        <f>'Données projet'!D333</f>
        <v>0</v>
      </c>
      <c r="C366" s="189"/>
      <c r="D366" s="180">
        <f t="shared" si="19"/>
        <v>0</v>
      </c>
      <c r="E366" s="191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178">
        <f>'Données projet'!A334</f>
        <v>5</v>
      </c>
      <c r="B367" s="179">
        <f>'Données projet'!D334</f>
        <v>0</v>
      </c>
      <c r="C367" s="189"/>
      <c r="D367" s="180">
        <f t="shared" si="19"/>
        <v>0</v>
      </c>
      <c r="E367" s="191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178">
        <f>'Données projet'!A335</f>
        <v>6</v>
      </c>
      <c r="B368" s="179">
        <f>'Données projet'!D335</f>
        <v>0</v>
      </c>
      <c r="C368" s="189"/>
      <c r="D368" s="180">
        <f t="shared" si="19"/>
        <v>0</v>
      </c>
      <c r="E368" s="191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178">
        <f>'Données projet'!A336</f>
        <v>7</v>
      </c>
      <c r="B369" s="179">
        <f>'Données projet'!D336</f>
        <v>0</v>
      </c>
      <c r="C369" s="189"/>
      <c r="D369" s="180">
        <f t="shared" si="19"/>
        <v>0</v>
      </c>
      <c r="E369" s="191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178">
        <f>'Données projet'!A337</f>
        <v>8</v>
      </c>
      <c r="B370" s="179">
        <f>'Données projet'!D337</f>
        <v>0</v>
      </c>
      <c r="C370" s="189"/>
      <c r="D370" s="180">
        <f t="shared" si="19"/>
        <v>0</v>
      </c>
      <c r="E370" s="191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178">
        <f>'Données projet'!A338</f>
        <v>9</v>
      </c>
      <c r="B371" s="179">
        <f>'Données projet'!D338</f>
        <v>0</v>
      </c>
      <c r="C371" s="189"/>
      <c r="D371" s="180">
        <f t="shared" si="19"/>
        <v>0</v>
      </c>
      <c r="E371" s="191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178">
        <f>'Données projet'!A339</f>
        <v>10</v>
      </c>
      <c r="B372" s="179">
        <f>'Données projet'!D339</f>
        <v>0</v>
      </c>
      <c r="C372" s="189"/>
      <c r="D372" s="180">
        <f t="shared" si="19"/>
        <v>0</v>
      </c>
      <c r="E372" s="191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178">
        <f>'Données projet'!A340</f>
        <v>11</v>
      </c>
      <c r="B373" s="179">
        <f>'Données projet'!D340</f>
        <v>0</v>
      </c>
      <c r="C373" s="189"/>
      <c r="D373" s="180">
        <f t="shared" si="19"/>
        <v>0</v>
      </c>
      <c r="E373" s="191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178">
        <f>'Données projet'!A341</f>
        <v>12</v>
      </c>
      <c r="B374" s="179">
        <f>'Données projet'!D341</f>
        <v>0</v>
      </c>
      <c r="C374" s="189"/>
      <c r="D374" s="180">
        <f t="shared" si="19"/>
        <v>0</v>
      </c>
      <c r="E374" s="191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178">
        <f>'Données projet'!A342</f>
        <v>13</v>
      </c>
      <c r="B375" s="179">
        <f>'Données projet'!D342</f>
        <v>0</v>
      </c>
      <c r="C375" s="189"/>
      <c r="D375" s="180">
        <f t="shared" si="19"/>
        <v>0</v>
      </c>
      <c r="E375" s="191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178">
        <f>'Données projet'!A343</f>
        <v>14</v>
      </c>
      <c r="B376" s="179">
        <f>'Données projet'!D343</f>
        <v>0</v>
      </c>
      <c r="C376" s="189"/>
      <c r="D376" s="180">
        <f t="shared" si="19"/>
        <v>0</v>
      </c>
      <c r="E376" s="191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178">
        <f>'Données projet'!A344</f>
        <v>15</v>
      </c>
      <c r="B377" s="179">
        <f>'Données projet'!D344</f>
        <v>0</v>
      </c>
      <c r="C377" s="189"/>
      <c r="D377" s="180">
        <f t="shared" si="19"/>
        <v>0</v>
      </c>
      <c r="E377" s="191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178">
        <f>'Données projet'!A345</f>
        <v>16</v>
      </c>
      <c r="B378" s="179">
        <f>'Données projet'!D345</f>
        <v>0</v>
      </c>
      <c r="C378" s="189"/>
      <c r="D378" s="180">
        <f t="shared" si="19"/>
        <v>0</v>
      </c>
      <c r="E378" s="191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178">
        <f>'Données projet'!A346</f>
        <v>17</v>
      </c>
      <c r="B379" s="179">
        <f>'Données projet'!D346</f>
        <v>0</v>
      </c>
      <c r="C379" s="189"/>
      <c r="D379" s="180">
        <f t="shared" si="19"/>
        <v>0</v>
      </c>
      <c r="E379" s="191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178">
        <f>'Données projet'!A347</f>
        <v>18</v>
      </c>
      <c r="B380" s="179">
        <f>'Données projet'!D347</f>
        <v>0</v>
      </c>
      <c r="C380" s="189"/>
      <c r="D380" s="180">
        <f t="shared" si="19"/>
        <v>0</v>
      </c>
      <c r="E380" s="191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178">
        <f>'Données projet'!A348</f>
        <v>19</v>
      </c>
      <c r="B381" s="179">
        <f>'Données projet'!D348</f>
        <v>0</v>
      </c>
      <c r="C381" s="189"/>
      <c r="D381" s="180">
        <f t="shared" si="19"/>
        <v>0</v>
      </c>
      <c r="E381" s="191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178">
        <f>'Données projet'!A349</f>
        <v>20</v>
      </c>
      <c r="B382" s="179">
        <f>'Données projet'!D349</f>
        <v>254.68589743589735</v>
      </c>
      <c r="C382" s="189">
        <v>30</v>
      </c>
      <c r="D382" s="180">
        <f t="shared" si="19"/>
        <v>7640.5769230769201</v>
      </c>
      <c r="E382" s="191">
        <v>1500</v>
      </c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178">
        <f>'Données projet'!A350</f>
        <v>0</v>
      </c>
      <c r="B383" s="179">
        <f>'Données projet'!D350</f>
        <v>0</v>
      </c>
      <c r="C383" s="194"/>
      <c r="D383" s="180">
        <f t="shared" si="19"/>
        <v>0</v>
      </c>
      <c r="E383" s="191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262" t="s">
        <v>326</v>
      </c>
      <c r="B386" s="261" t="str">
        <f>IF('Données projet'!$B$21="","",'Données projet'!$B$21)</f>
        <v>Orme</v>
      </c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36" t="s">
        <v>180</v>
      </c>
      <c r="B388" s="48" t="s">
        <v>256</v>
      </c>
      <c r="C388" s="48" t="s">
        <v>255</v>
      </c>
      <c r="D388" s="36" t="s">
        <v>252</v>
      </c>
      <c r="E388" s="36" t="s">
        <v>320</v>
      </c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9">
        <v>0</v>
      </c>
      <c r="B389" s="197" t="s">
        <v>132</v>
      </c>
      <c r="C389" s="196" t="s">
        <v>132</v>
      </c>
      <c r="D389" s="195" t="s">
        <v>132</v>
      </c>
      <c r="E389" s="191">
        <v>2674</v>
      </c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9">
        <v>1</v>
      </c>
      <c r="B390" s="197" t="s">
        <v>132</v>
      </c>
      <c r="C390" s="196" t="s">
        <v>132</v>
      </c>
      <c r="D390" s="195" t="s">
        <v>132</v>
      </c>
      <c r="E390" s="191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9">
        <v>2</v>
      </c>
      <c r="B391" s="197" t="s">
        <v>132</v>
      </c>
      <c r="C391" s="196" t="s">
        <v>132</v>
      </c>
      <c r="D391" s="195" t="s">
        <v>132</v>
      </c>
      <c r="E391" s="191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9">
        <v>3</v>
      </c>
      <c r="B392" s="197" t="s">
        <v>132</v>
      </c>
      <c r="C392" s="196" t="s">
        <v>132</v>
      </c>
      <c r="D392" s="195" t="s">
        <v>132</v>
      </c>
      <c r="E392" s="191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9">
        <v>4</v>
      </c>
      <c r="B393" s="197" t="s">
        <v>132</v>
      </c>
      <c r="C393" s="196" t="s">
        <v>132</v>
      </c>
      <c r="D393" s="195" t="s">
        <v>132</v>
      </c>
      <c r="E393" s="191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9">
        <v>5</v>
      </c>
      <c r="B394" s="197" t="s">
        <v>132</v>
      </c>
      <c r="C394" s="196" t="s">
        <v>132</v>
      </c>
      <c r="D394" s="195" t="s">
        <v>132</v>
      </c>
      <c r="E394" s="191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178">
        <f>'Données projet'!A357</f>
        <v>25</v>
      </c>
      <c r="B395" s="179">
        <f>'Données projet'!D357</f>
        <v>7</v>
      </c>
      <c r="C395" s="189">
        <v>10</v>
      </c>
      <c r="D395" s="180">
        <f>B395*C395</f>
        <v>70</v>
      </c>
      <c r="E395" s="191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178">
        <f>'Données projet'!A358</f>
        <v>30</v>
      </c>
      <c r="B396" s="179">
        <f>'Données projet'!D358</f>
        <v>28</v>
      </c>
      <c r="C396" s="189">
        <v>10</v>
      </c>
      <c r="D396" s="180">
        <f t="shared" ref="D396:D414" si="20">B396*C396</f>
        <v>280</v>
      </c>
      <c r="E396" s="191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178">
        <f>'Données projet'!A359</f>
        <v>35</v>
      </c>
      <c r="B397" s="179">
        <f>'Données projet'!D359</f>
        <v>28</v>
      </c>
      <c r="C397" s="189">
        <v>10</v>
      </c>
      <c r="D397" s="180">
        <f t="shared" si="20"/>
        <v>280</v>
      </c>
      <c r="E397" s="191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178">
        <f>'Données projet'!A360</f>
        <v>40</v>
      </c>
      <c r="B398" s="179">
        <f>'Données projet'!D360</f>
        <v>28</v>
      </c>
      <c r="C398" s="189">
        <v>10</v>
      </c>
      <c r="D398" s="180">
        <f t="shared" si="20"/>
        <v>280</v>
      </c>
      <c r="E398" s="191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178">
        <f>'Données projet'!A361</f>
        <v>45</v>
      </c>
      <c r="B399" s="179">
        <f>'Données projet'!D361</f>
        <v>28</v>
      </c>
      <c r="C399" s="189">
        <v>10</v>
      </c>
      <c r="D399" s="180">
        <f t="shared" si="20"/>
        <v>280</v>
      </c>
      <c r="E399" s="191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178">
        <f>'Données projet'!A362</f>
        <v>50</v>
      </c>
      <c r="B400" s="179">
        <f>'Données projet'!D362</f>
        <v>28</v>
      </c>
      <c r="C400" s="189">
        <v>10</v>
      </c>
      <c r="D400" s="180">
        <f t="shared" si="20"/>
        <v>280</v>
      </c>
      <c r="E400" s="191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178">
        <f>'Données projet'!A363</f>
        <v>55</v>
      </c>
      <c r="B401" s="179">
        <f>'Données projet'!D363</f>
        <v>28</v>
      </c>
      <c r="C401" s="189">
        <v>10</v>
      </c>
      <c r="D401" s="180">
        <f t="shared" si="20"/>
        <v>280</v>
      </c>
      <c r="E401" s="191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178">
        <f>'Données projet'!A364</f>
        <v>60</v>
      </c>
      <c r="B402" s="179">
        <f>'Données projet'!D364</f>
        <v>28</v>
      </c>
      <c r="C402" s="189">
        <v>10</v>
      </c>
      <c r="D402" s="180">
        <f t="shared" si="20"/>
        <v>280</v>
      </c>
      <c r="E402" s="191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178">
        <f>'Données projet'!A365</f>
        <v>65</v>
      </c>
      <c r="B403" s="179">
        <f>'Données projet'!D365</f>
        <v>28</v>
      </c>
      <c r="C403" s="189">
        <v>30</v>
      </c>
      <c r="D403" s="180">
        <f t="shared" si="20"/>
        <v>840</v>
      </c>
      <c r="E403" s="191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178">
        <f>'Données projet'!A366</f>
        <v>70</v>
      </c>
      <c r="B404" s="179">
        <f>'Données projet'!D366</f>
        <v>28</v>
      </c>
      <c r="C404" s="189">
        <v>30</v>
      </c>
      <c r="D404" s="180">
        <f t="shared" si="20"/>
        <v>840</v>
      </c>
      <c r="E404" s="191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178">
        <f>'Données projet'!A367</f>
        <v>75</v>
      </c>
      <c r="B405" s="179">
        <f>'Données projet'!D367</f>
        <v>28</v>
      </c>
      <c r="C405" s="189">
        <v>30</v>
      </c>
      <c r="D405" s="180">
        <f t="shared" si="20"/>
        <v>840</v>
      </c>
      <c r="E405" s="191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178">
        <f>'Données projet'!A368</f>
        <v>80</v>
      </c>
      <c r="B406" s="179">
        <f>'Données projet'!D368</f>
        <v>28</v>
      </c>
      <c r="C406" s="189">
        <v>30</v>
      </c>
      <c r="D406" s="180">
        <f t="shared" si="20"/>
        <v>840</v>
      </c>
      <c r="E406" s="191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178">
        <f>'Données projet'!A369</f>
        <v>90</v>
      </c>
      <c r="B407" s="179">
        <f>'Données projet'!D369</f>
        <v>26</v>
      </c>
      <c r="C407" s="189">
        <v>30</v>
      </c>
      <c r="D407" s="180">
        <f t="shared" si="20"/>
        <v>780</v>
      </c>
      <c r="E407" s="191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178">
        <f>'Données projet'!A370</f>
        <v>100</v>
      </c>
      <c r="B408" s="179">
        <f>'Données projet'!D370</f>
        <v>24</v>
      </c>
      <c r="C408" s="189">
        <v>30</v>
      </c>
      <c r="D408" s="180">
        <f t="shared" si="20"/>
        <v>720</v>
      </c>
      <c r="E408" s="191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178">
        <f>'Données projet'!A371</f>
        <v>110</v>
      </c>
      <c r="B409" s="179">
        <f>'Données projet'!D371</f>
        <v>22</v>
      </c>
      <c r="C409" s="189">
        <v>40</v>
      </c>
      <c r="D409" s="180">
        <f t="shared" si="20"/>
        <v>880</v>
      </c>
      <c r="E409" s="191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178">
        <f>'Données projet'!A372</f>
        <v>130</v>
      </c>
      <c r="B410" s="179">
        <f>'Données projet'!D372</f>
        <v>20</v>
      </c>
      <c r="C410" s="189">
        <v>40</v>
      </c>
      <c r="D410" s="180">
        <f t="shared" si="20"/>
        <v>800</v>
      </c>
      <c r="E410" s="191">
        <v>1500</v>
      </c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178">
        <f>'Données projet'!A373</f>
        <v>150</v>
      </c>
      <c r="B411" s="179">
        <f>'Données projet'!D373</f>
        <v>448</v>
      </c>
      <c r="C411" s="189"/>
      <c r="D411" s="180">
        <f t="shared" si="20"/>
        <v>0</v>
      </c>
      <c r="E411" s="191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178">
        <f>'Données projet'!A374</f>
        <v>0</v>
      </c>
      <c r="B412" s="179">
        <f>'Données projet'!D374</f>
        <v>0</v>
      </c>
      <c r="C412" s="189"/>
      <c r="D412" s="180">
        <f t="shared" si="20"/>
        <v>0</v>
      </c>
      <c r="E412" s="191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178">
        <f>'Données projet'!A375</f>
        <v>0</v>
      </c>
      <c r="B413" s="179">
        <f>'Données projet'!D375</f>
        <v>0</v>
      </c>
      <c r="C413" s="189"/>
      <c r="D413" s="180">
        <f t="shared" si="20"/>
        <v>0</v>
      </c>
      <c r="E413" s="191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178">
        <f>'Données projet'!A376</f>
        <v>0</v>
      </c>
      <c r="B414" s="179">
        <f>'Données projet'!D376</f>
        <v>0</v>
      </c>
      <c r="C414" s="194"/>
      <c r="D414" s="180">
        <f t="shared" si="20"/>
        <v>0</v>
      </c>
      <c r="E414" s="191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262" t="s">
        <v>327</v>
      </c>
      <c r="B417" s="261" t="str">
        <f>IF('Données projet'!$B$22="","",'Données projet'!$B$22)</f>
        <v>Tilleul</v>
      </c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36" t="s">
        <v>180</v>
      </c>
      <c r="B419" s="48" t="s">
        <v>256</v>
      </c>
      <c r="C419" s="48" t="s">
        <v>255</v>
      </c>
      <c r="D419" s="36" t="s">
        <v>252</v>
      </c>
      <c r="E419" s="36" t="s">
        <v>320</v>
      </c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9">
        <v>0</v>
      </c>
      <c r="B420" s="197" t="s">
        <v>132</v>
      </c>
      <c r="C420" s="196" t="s">
        <v>132</v>
      </c>
      <c r="D420" s="195" t="s">
        <v>132</v>
      </c>
      <c r="E420" s="191">
        <v>2674</v>
      </c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9">
        <v>1</v>
      </c>
      <c r="B421" s="197" t="s">
        <v>132</v>
      </c>
      <c r="C421" s="196" t="s">
        <v>132</v>
      </c>
      <c r="D421" s="195" t="s">
        <v>132</v>
      </c>
      <c r="E421" s="191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9">
        <v>2</v>
      </c>
      <c r="B422" s="197" t="s">
        <v>132</v>
      </c>
      <c r="C422" s="196" t="s">
        <v>132</v>
      </c>
      <c r="D422" s="195" t="s">
        <v>132</v>
      </c>
      <c r="E422" s="191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9">
        <v>3</v>
      </c>
      <c r="B423" s="197" t="s">
        <v>132</v>
      </c>
      <c r="C423" s="196" t="s">
        <v>132</v>
      </c>
      <c r="D423" s="195" t="s">
        <v>132</v>
      </c>
      <c r="E423" s="191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9">
        <v>4</v>
      </c>
      <c r="B424" s="197" t="s">
        <v>132</v>
      </c>
      <c r="C424" s="196" t="s">
        <v>132</v>
      </c>
      <c r="D424" s="195" t="s">
        <v>132</v>
      </c>
      <c r="E424" s="191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9">
        <v>5</v>
      </c>
      <c r="B425" s="197" t="s">
        <v>132</v>
      </c>
      <c r="C425" s="196" t="s">
        <v>132</v>
      </c>
      <c r="D425" s="195" t="s">
        <v>132</v>
      </c>
      <c r="E425" s="191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178">
        <f>'Données projet'!A383</f>
        <v>30</v>
      </c>
      <c r="B426" s="179">
        <f>'Données projet'!D383</f>
        <v>0</v>
      </c>
      <c r="C426" s="189">
        <v>10</v>
      </c>
      <c r="D426" s="180">
        <f>B426*C426</f>
        <v>0</v>
      </c>
      <c r="E426" s="191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178">
        <f>'Données projet'!A384</f>
        <v>35</v>
      </c>
      <c r="B427" s="179">
        <f>'Données projet'!D384</f>
        <v>60.602564102564102</v>
      </c>
      <c r="C427" s="189">
        <v>10</v>
      </c>
      <c r="D427" s="180">
        <f t="shared" ref="D427:D445" si="21">B427*C427</f>
        <v>606.02564102564099</v>
      </c>
      <c r="E427" s="191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178">
        <f>'Données projet'!A385</f>
        <v>41</v>
      </c>
      <c r="B428" s="179">
        <f>'Données projet'!D385</f>
        <v>38.512820512820511</v>
      </c>
      <c r="C428" s="189">
        <v>10</v>
      </c>
      <c r="D428" s="180">
        <f t="shared" si="21"/>
        <v>385.12820512820508</v>
      </c>
      <c r="E428" s="191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178">
        <f>'Données projet'!A386</f>
        <v>48</v>
      </c>
      <c r="B429" s="179">
        <f>'Données projet'!D386</f>
        <v>48.025641025641022</v>
      </c>
      <c r="C429" s="189">
        <v>10</v>
      </c>
      <c r="D429" s="180">
        <f t="shared" si="21"/>
        <v>480.25641025641022</v>
      </c>
      <c r="E429" s="191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178">
        <f>'Données projet'!A387</f>
        <v>55</v>
      </c>
      <c r="B430" s="179">
        <f>'Données projet'!D387</f>
        <v>45.147435897435898</v>
      </c>
      <c r="C430" s="189">
        <v>10</v>
      </c>
      <c r="D430" s="180">
        <f t="shared" si="21"/>
        <v>451.47435897435901</v>
      </c>
      <c r="E430" s="191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178">
        <f>'Données projet'!A388</f>
        <v>63</v>
      </c>
      <c r="B431" s="179">
        <f>'Données projet'!D388</f>
        <v>41.724358974358978</v>
      </c>
      <c r="C431" s="189">
        <v>10</v>
      </c>
      <c r="D431" s="180">
        <f t="shared" si="21"/>
        <v>417.24358974358978</v>
      </c>
      <c r="E431" s="191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178">
        <f>'Données projet'!A389</f>
        <v>71</v>
      </c>
      <c r="B432" s="179">
        <f>'Données projet'!D389</f>
        <v>39.935897435897431</v>
      </c>
      <c r="C432" s="189">
        <v>10</v>
      </c>
      <c r="D432" s="180">
        <f t="shared" si="21"/>
        <v>399.35897435897431</v>
      </c>
      <c r="E432" s="191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178">
        <f>'Données projet'!A390</f>
        <v>80</v>
      </c>
      <c r="B433" s="179">
        <f>'Données projet'!D390</f>
        <v>45.608974358974358</v>
      </c>
      <c r="C433" s="189">
        <v>30</v>
      </c>
      <c r="D433" s="180">
        <f t="shared" si="21"/>
        <v>1368.2692307692307</v>
      </c>
      <c r="E433" s="191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178">
        <f>'Données projet'!A391</f>
        <v>89</v>
      </c>
      <c r="B434" s="179">
        <f>'Données projet'!D391</f>
        <v>49.391025641025635</v>
      </c>
      <c r="C434" s="189">
        <v>30</v>
      </c>
      <c r="D434" s="180">
        <f t="shared" si="21"/>
        <v>1481.7307692307691</v>
      </c>
      <c r="E434" s="191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178">
        <f>'Données projet'!A392</f>
        <v>99</v>
      </c>
      <c r="B435" s="179">
        <f>'Données projet'!D392</f>
        <v>48.019230769230766</v>
      </c>
      <c r="C435" s="189">
        <v>30</v>
      </c>
      <c r="D435" s="180">
        <f t="shared" si="21"/>
        <v>1440.5769230769231</v>
      </c>
      <c r="E435" s="191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178">
        <f>'Données projet'!A393</f>
        <v>109</v>
      </c>
      <c r="B436" s="179">
        <f>'Données projet'!D393</f>
        <v>51.28846153846154</v>
      </c>
      <c r="C436" s="189">
        <v>30</v>
      </c>
      <c r="D436" s="180">
        <f t="shared" si="21"/>
        <v>1538.6538461538462</v>
      </c>
      <c r="E436" s="191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178">
        <f>'Données projet'!A394</f>
        <v>119</v>
      </c>
      <c r="B437" s="179">
        <f>'Données projet'!D394</f>
        <v>150.02564102564102</v>
      </c>
      <c r="C437" s="189">
        <v>30</v>
      </c>
      <c r="D437" s="180">
        <f t="shared" si="21"/>
        <v>4500.7692307692305</v>
      </c>
      <c r="E437" s="191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178">
        <f>'Données projet'!A395</f>
        <v>123</v>
      </c>
      <c r="B438" s="179">
        <f>'Données projet'!D395</f>
        <v>77.17307692307692</v>
      </c>
      <c r="C438" s="189">
        <v>30</v>
      </c>
      <c r="D438" s="180">
        <f t="shared" si="21"/>
        <v>2315.1923076923076</v>
      </c>
      <c r="E438" s="191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178">
        <f>'Données projet'!A396</f>
        <v>127</v>
      </c>
      <c r="B439" s="179">
        <f>'Données projet'!D396</f>
        <v>49.916666666666671</v>
      </c>
      <c r="C439" s="189">
        <v>70</v>
      </c>
      <c r="D439" s="180">
        <f t="shared" si="21"/>
        <v>3494.166666666667</v>
      </c>
      <c r="E439" s="191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178">
        <f>'Données projet'!A397</f>
        <v>131</v>
      </c>
      <c r="B440" s="179">
        <f>'Données projet'!D397</f>
        <v>110.91025641025641</v>
      </c>
      <c r="C440" s="189">
        <v>70</v>
      </c>
      <c r="D440" s="180">
        <f t="shared" si="21"/>
        <v>7763.7179487179483</v>
      </c>
      <c r="E440" s="191">
        <v>2000</v>
      </c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178">
        <f>'Données projet'!A398</f>
        <v>0</v>
      </c>
      <c r="B441" s="179">
        <f>'Données projet'!D398</f>
        <v>0</v>
      </c>
      <c r="C441" s="189"/>
      <c r="D441" s="180">
        <f t="shared" si="21"/>
        <v>0</v>
      </c>
      <c r="E441" s="191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A442" s="178">
        <f>'Données projet'!A399</f>
        <v>0</v>
      </c>
      <c r="B442" s="179">
        <f>'Données projet'!D399</f>
        <v>0</v>
      </c>
      <c r="C442" s="189"/>
      <c r="D442" s="180">
        <f t="shared" si="21"/>
        <v>0</v>
      </c>
      <c r="E442" s="191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A443" s="178">
        <f>'Données projet'!A400</f>
        <v>0</v>
      </c>
      <c r="B443" s="179">
        <f>'Données projet'!D400</f>
        <v>0</v>
      </c>
      <c r="C443" s="189"/>
      <c r="D443" s="180">
        <f t="shared" si="21"/>
        <v>0</v>
      </c>
      <c r="E443" s="191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A444" s="178">
        <f>'Données projet'!A401</f>
        <v>0</v>
      </c>
      <c r="B444" s="179">
        <f>'Données projet'!D401</f>
        <v>0</v>
      </c>
      <c r="C444" s="189"/>
      <c r="D444" s="180">
        <f t="shared" si="21"/>
        <v>0</v>
      </c>
      <c r="E444" s="191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A445" s="178">
        <f>'Données projet'!A402</f>
        <v>0</v>
      </c>
      <c r="B445" s="179">
        <f>'Données projet'!D402</f>
        <v>0</v>
      </c>
      <c r="C445" s="194"/>
      <c r="D445" s="180">
        <f t="shared" si="21"/>
        <v>0</v>
      </c>
      <c r="E445" s="191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A448" s="259" t="s">
        <v>328</v>
      </c>
      <c r="B448" s="260" t="str">
        <f>IF('Données projet'!$B$23="","",'Données projet'!$B$23)</f>
        <v>Frêne</v>
      </c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:56" x14ac:dyDescent="0.35">
      <c r="A450" s="36" t="s">
        <v>180</v>
      </c>
      <c r="B450" s="48" t="s">
        <v>256</v>
      </c>
      <c r="C450" s="48" t="s">
        <v>255</v>
      </c>
      <c r="D450" s="36" t="s">
        <v>252</v>
      </c>
      <c r="E450" s="36" t="s">
        <v>320</v>
      </c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:56" x14ac:dyDescent="0.35">
      <c r="A451" s="49">
        <v>0</v>
      </c>
      <c r="B451" s="197" t="s">
        <v>132</v>
      </c>
      <c r="C451" s="196" t="s">
        <v>132</v>
      </c>
      <c r="D451" s="195" t="s">
        <v>132</v>
      </c>
      <c r="E451" s="191">
        <v>2790.55</v>
      </c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:56" x14ac:dyDescent="0.35">
      <c r="A452" s="49">
        <v>1</v>
      </c>
      <c r="B452" s="197" t="s">
        <v>132</v>
      </c>
      <c r="C452" s="196" t="s">
        <v>132</v>
      </c>
      <c r="D452" s="195" t="s">
        <v>132</v>
      </c>
      <c r="E452" s="191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:56" x14ac:dyDescent="0.35">
      <c r="A453" s="49">
        <v>2</v>
      </c>
      <c r="B453" s="197" t="s">
        <v>132</v>
      </c>
      <c r="C453" s="196" t="s">
        <v>132</v>
      </c>
      <c r="D453" s="195" t="s">
        <v>132</v>
      </c>
      <c r="E453" s="191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:56" x14ac:dyDescent="0.35">
      <c r="A454" s="49">
        <v>3</v>
      </c>
      <c r="B454" s="197" t="s">
        <v>132</v>
      </c>
      <c r="C454" s="196" t="s">
        <v>132</v>
      </c>
      <c r="D454" s="195" t="s">
        <v>132</v>
      </c>
      <c r="E454" s="191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:56" x14ac:dyDescent="0.35">
      <c r="A455" s="49">
        <v>4</v>
      </c>
      <c r="B455" s="197" t="s">
        <v>132</v>
      </c>
      <c r="C455" s="196" t="s">
        <v>132</v>
      </c>
      <c r="D455" s="195" t="s">
        <v>132</v>
      </c>
      <c r="E455" s="191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:56" x14ac:dyDescent="0.35">
      <c r="A456" s="49">
        <v>5</v>
      </c>
      <c r="B456" s="197" t="s">
        <v>132</v>
      </c>
      <c r="C456" s="196" t="s">
        <v>132</v>
      </c>
      <c r="D456" s="195" t="s">
        <v>132</v>
      </c>
      <c r="E456" s="191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:56" x14ac:dyDescent="0.35">
      <c r="A457" s="178">
        <f>'Données projet'!A409</f>
        <v>15</v>
      </c>
      <c r="B457" s="179">
        <f>'Données projet'!D409</f>
        <v>15</v>
      </c>
      <c r="C457" s="189">
        <v>10</v>
      </c>
      <c r="D457" s="180">
        <f>B457*C457</f>
        <v>150</v>
      </c>
      <c r="E457" s="191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:56" x14ac:dyDescent="0.35">
      <c r="A458" s="178">
        <f>'Données projet'!A410</f>
        <v>20</v>
      </c>
      <c r="B458" s="179">
        <f>'Données projet'!D410</f>
        <v>28</v>
      </c>
      <c r="C458" s="189">
        <v>10</v>
      </c>
      <c r="D458" s="180">
        <f t="shared" ref="D458:D476" si="22">B458*C458</f>
        <v>280</v>
      </c>
      <c r="E458" s="191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:56" x14ac:dyDescent="0.35">
      <c r="A459" s="178">
        <f>'Données projet'!A411</f>
        <v>25</v>
      </c>
      <c r="B459" s="179">
        <f>'Données projet'!D411</f>
        <v>28</v>
      </c>
      <c r="C459" s="189">
        <v>10</v>
      </c>
      <c r="D459" s="180">
        <f t="shared" si="22"/>
        <v>280</v>
      </c>
      <c r="E459" s="191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:56" x14ac:dyDescent="0.35">
      <c r="A460" s="178">
        <f>'Données projet'!A412</f>
        <v>30</v>
      </c>
      <c r="B460" s="179">
        <f>'Données projet'!D412</f>
        <v>28</v>
      </c>
      <c r="C460" s="189">
        <v>10</v>
      </c>
      <c r="D460" s="180">
        <f t="shared" si="22"/>
        <v>280</v>
      </c>
      <c r="E460" s="191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:56" x14ac:dyDescent="0.35">
      <c r="A461" s="178">
        <f>'Données projet'!A413</f>
        <v>35</v>
      </c>
      <c r="B461" s="179">
        <f>'Données projet'!D413</f>
        <v>28</v>
      </c>
      <c r="C461" s="189">
        <v>10</v>
      </c>
      <c r="D461" s="180">
        <f t="shared" si="22"/>
        <v>280</v>
      </c>
      <c r="E461" s="191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:56" x14ac:dyDescent="0.35">
      <c r="A462" s="178">
        <f>'Données projet'!A414</f>
        <v>40</v>
      </c>
      <c r="B462" s="179">
        <f>'Données projet'!D414</f>
        <v>28</v>
      </c>
      <c r="C462" s="189">
        <v>10</v>
      </c>
      <c r="D462" s="180">
        <f t="shared" si="22"/>
        <v>280</v>
      </c>
      <c r="E462" s="191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:56" x14ac:dyDescent="0.35">
      <c r="A463" s="178">
        <f>'Données projet'!A415</f>
        <v>45</v>
      </c>
      <c r="B463" s="179">
        <f>'Données projet'!D415</f>
        <v>22</v>
      </c>
      <c r="C463" s="189">
        <v>10</v>
      </c>
      <c r="D463" s="180">
        <f t="shared" si="22"/>
        <v>220</v>
      </c>
      <c r="E463" s="191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:56" x14ac:dyDescent="0.35">
      <c r="A464" s="178">
        <f>'Données projet'!A416</f>
        <v>50</v>
      </c>
      <c r="B464" s="179">
        <f>'Données projet'!D416</f>
        <v>17</v>
      </c>
      <c r="C464" s="189">
        <v>50</v>
      </c>
      <c r="D464" s="180">
        <f t="shared" si="22"/>
        <v>850</v>
      </c>
      <c r="E464" s="191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:56" x14ac:dyDescent="0.35">
      <c r="A465" s="178">
        <f>'Données projet'!A417</f>
        <v>55</v>
      </c>
      <c r="B465" s="179">
        <f>'Données projet'!D417</f>
        <v>13</v>
      </c>
      <c r="C465" s="189">
        <v>50</v>
      </c>
      <c r="D465" s="180">
        <f t="shared" si="22"/>
        <v>650</v>
      </c>
      <c r="E465" s="191">
        <v>2000</v>
      </c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:56" x14ac:dyDescent="0.35">
      <c r="A466" s="178">
        <f>'Données projet'!A418</f>
        <v>60</v>
      </c>
      <c r="B466" s="179">
        <f>'Données projet'!D418</f>
        <v>12</v>
      </c>
      <c r="C466" s="189"/>
      <c r="D466" s="180">
        <f t="shared" si="22"/>
        <v>0</v>
      </c>
      <c r="E466" s="191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:56" x14ac:dyDescent="0.35">
      <c r="A467" s="178">
        <f>'Données projet'!A419</f>
        <v>65</v>
      </c>
      <c r="B467" s="179">
        <f>'Données projet'!D419</f>
        <v>11</v>
      </c>
      <c r="C467" s="189"/>
      <c r="D467" s="180">
        <f t="shared" si="22"/>
        <v>0</v>
      </c>
      <c r="E467" s="191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:56" x14ac:dyDescent="0.35">
      <c r="A468" s="178">
        <f>'Données projet'!A420</f>
        <v>70</v>
      </c>
      <c r="B468" s="179">
        <f>'Données projet'!D420</f>
        <v>10</v>
      </c>
      <c r="C468" s="189"/>
      <c r="D468" s="180">
        <f t="shared" si="22"/>
        <v>0</v>
      </c>
      <c r="E468" s="191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:56" x14ac:dyDescent="0.35">
      <c r="A469" s="178">
        <f>'Données projet'!A421</f>
        <v>75</v>
      </c>
      <c r="B469" s="179">
        <f>'Données projet'!D421</f>
        <v>9</v>
      </c>
      <c r="C469" s="189"/>
      <c r="D469" s="180">
        <f t="shared" si="22"/>
        <v>0</v>
      </c>
      <c r="E469" s="191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:56" x14ac:dyDescent="0.35">
      <c r="A470" s="178">
        <f>'Données projet'!A422</f>
        <v>80</v>
      </c>
      <c r="B470" s="179">
        <f>'Données projet'!D422</f>
        <v>275</v>
      </c>
      <c r="C470" s="189"/>
      <c r="D470" s="180">
        <f t="shared" si="22"/>
        <v>0</v>
      </c>
      <c r="E470" s="191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:56" x14ac:dyDescent="0.35">
      <c r="A471" s="178">
        <f>'Données projet'!A423</f>
        <v>0</v>
      </c>
      <c r="B471" s="179">
        <f>'Données projet'!D423</f>
        <v>0</v>
      </c>
      <c r="C471" s="189"/>
      <c r="D471" s="180">
        <f t="shared" si="22"/>
        <v>0</v>
      </c>
      <c r="E471" s="191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:56" x14ac:dyDescent="0.35">
      <c r="A472" s="178">
        <f>'Données projet'!A424</f>
        <v>0</v>
      </c>
      <c r="B472" s="179">
        <f>'Données projet'!D424</f>
        <v>0</v>
      </c>
      <c r="C472" s="189"/>
      <c r="D472" s="180">
        <f t="shared" si="22"/>
        <v>0</v>
      </c>
      <c r="E472" s="191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:56" x14ac:dyDescent="0.35">
      <c r="A473" s="178">
        <f>'Données projet'!A425</f>
        <v>0</v>
      </c>
      <c r="B473" s="179">
        <f>'Données projet'!D425</f>
        <v>0</v>
      </c>
      <c r="C473" s="189"/>
      <c r="D473" s="180">
        <f t="shared" si="22"/>
        <v>0</v>
      </c>
      <c r="E473" s="191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:56" x14ac:dyDescent="0.35">
      <c r="A474" s="178">
        <f>'Données projet'!A426</f>
        <v>0</v>
      </c>
      <c r="B474" s="179">
        <f>'Données projet'!D426</f>
        <v>0</v>
      </c>
      <c r="C474" s="189"/>
      <c r="D474" s="180">
        <f t="shared" si="22"/>
        <v>0</v>
      </c>
      <c r="E474" s="191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:56" x14ac:dyDescent="0.35">
      <c r="A475" s="178">
        <f>'Données projet'!A427</f>
        <v>0</v>
      </c>
      <c r="B475" s="179">
        <f>'Données projet'!D427</f>
        <v>0</v>
      </c>
      <c r="C475" s="189"/>
      <c r="D475" s="180">
        <f t="shared" si="22"/>
        <v>0</v>
      </c>
      <c r="E475" s="191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:56" x14ac:dyDescent="0.35">
      <c r="A476" s="178">
        <f>'Données projet'!A428</f>
        <v>0</v>
      </c>
      <c r="B476" s="179">
        <f>'Données projet'!D428</f>
        <v>0</v>
      </c>
      <c r="C476" s="194"/>
      <c r="D476" s="180">
        <f t="shared" si="22"/>
        <v>0</v>
      </c>
      <c r="E476" s="191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:56" x14ac:dyDescent="0.35">
      <c r="A479" s="259" t="s">
        <v>329</v>
      </c>
      <c r="B479" s="260" t="str">
        <f>IF('Données projet'!$B$24="","",'Données projet'!$B$24)</f>
        <v>Chêne pubescent</v>
      </c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:56" x14ac:dyDescent="0.35">
      <c r="A481" s="36" t="s">
        <v>180</v>
      </c>
      <c r="B481" s="48" t="s">
        <v>256</v>
      </c>
      <c r="C481" s="48" t="s">
        <v>255</v>
      </c>
      <c r="D481" s="36" t="s">
        <v>252</v>
      </c>
      <c r="E481" s="36" t="s">
        <v>320</v>
      </c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:56" x14ac:dyDescent="0.35">
      <c r="A482" s="49">
        <v>0</v>
      </c>
      <c r="B482" s="197" t="s">
        <v>132</v>
      </c>
      <c r="C482" s="196" t="s">
        <v>132</v>
      </c>
      <c r="D482" s="195" t="s">
        <v>132</v>
      </c>
      <c r="E482" s="191">
        <v>2290.75</v>
      </c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:56" x14ac:dyDescent="0.35">
      <c r="A483" s="49">
        <v>1</v>
      </c>
      <c r="B483" s="197" t="s">
        <v>132</v>
      </c>
      <c r="C483" s="196" t="s">
        <v>132</v>
      </c>
      <c r="D483" s="195" t="s">
        <v>132</v>
      </c>
      <c r="E483" s="191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:56" x14ac:dyDescent="0.35">
      <c r="A484" s="49">
        <v>2</v>
      </c>
      <c r="B484" s="197" t="s">
        <v>132</v>
      </c>
      <c r="C484" s="196" t="s">
        <v>132</v>
      </c>
      <c r="D484" s="195" t="s">
        <v>132</v>
      </c>
      <c r="E484" s="191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:56" x14ac:dyDescent="0.35">
      <c r="A485" s="49">
        <v>3</v>
      </c>
      <c r="B485" s="197" t="s">
        <v>132</v>
      </c>
      <c r="C485" s="196" t="s">
        <v>132</v>
      </c>
      <c r="D485" s="195" t="s">
        <v>132</v>
      </c>
      <c r="E485" s="191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:56" x14ac:dyDescent="0.35">
      <c r="A486" s="49">
        <v>4</v>
      </c>
      <c r="B486" s="197" t="s">
        <v>132</v>
      </c>
      <c r="C486" s="196" t="s">
        <v>132</v>
      </c>
      <c r="D486" s="195" t="s">
        <v>132</v>
      </c>
      <c r="E486" s="191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:56" x14ac:dyDescent="0.35">
      <c r="A487" s="49">
        <v>5</v>
      </c>
      <c r="B487" s="197" t="s">
        <v>132</v>
      </c>
      <c r="C487" s="196" t="s">
        <v>132</v>
      </c>
      <c r="D487" s="195" t="s">
        <v>132</v>
      </c>
      <c r="E487" s="191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:56" x14ac:dyDescent="0.35">
      <c r="A488" s="178">
        <f>'Données projet'!A435</f>
        <v>30</v>
      </c>
      <c r="B488" s="179">
        <f>'Données projet'!D435</f>
        <v>0</v>
      </c>
      <c r="C488" s="189"/>
      <c r="D488" s="180">
        <f>B488*C488</f>
        <v>0</v>
      </c>
      <c r="E488" s="191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:56" x14ac:dyDescent="0.35">
      <c r="A489" s="178">
        <f>'Données projet'!A436</f>
        <v>44</v>
      </c>
      <c r="B489" s="179">
        <f>'Données projet'!D436</f>
        <v>64.416666666666657</v>
      </c>
      <c r="C489" s="189">
        <v>10</v>
      </c>
      <c r="D489" s="180">
        <f>B489*C489</f>
        <v>644.16666666666652</v>
      </c>
      <c r="E489" s="191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:56" x14ac:dyDescent="0.35">
      <c r="A490" s="178">
        <f>'Données projet'!A437</f>
        <v>51</v>
      </c>
      <c r="B490" s="179">
        <f>'Données projet'!D437</f>
        <v>37.685897435897431</v>
      </c>
      <c r="C490" s="189">
        <v>10</v>
      </c>
      <c r="D490" s="180">
        <f>B490*C490</f>
        <v>376.85897435897431</v>
      </c>
      <c r="E490" s="191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:56" x14ac:dyDescent="0.35">
      <c r="A491" s="178">
        <f>'Données projet'!A438</f>
        <v>59</v>
      </c>
      <c r="B491" s="179">
        <f>'Données projet'!D438</f>
        <v>38.942307692307693</v>
      </c>
      <c r="C491" s="189">
        <v>10</v>
      </c>
      <c r="D491" s="180">
        <f t="shared" ref="D491:D507" si="23">B491*C491</f>
        <v>389.42307692307691</v>
      </c>
      <c r="E491" s="191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:56" x14ac:dyDescent="0.35">
      <c r="A492" s="178">
        <f>'Données projet'!A439</f>
        <v>67</v>
      </c>
      <c r="B492" s="179">
        <f>'Données projet'!D439</f>
        <v>31.993589743589741</v>
      </c>
      <c r="C492" s="189">
        <v>10</v>
      </c>
      <c r="D492" s="180">
        <f t="shared" si="23"/>
        <v>319.9358974358974</v>
      </c>
      <c r="E492" s="191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:56" x14ac:dyDescent="0.35">
      <c r="A493" s="178">
        <f>'Données projet'!A440</f>
        <v>75</v>
      </c>
      <c r="B493" s="179">
        <f>'Données projet'!D440</f>
        <v>30.916666666666664</v>
      </c>
      <c r="C493" s="189">
        <v>60</v>
      </c>
      <c r="D493" s="180">
        <f t="shared" si="23"/>
        <v>1854.9999999999998</v>
      </c>
      <c r="E493" s="191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:56" x14ac:dyDescent="0.35">
      <c r="A494" s="178">
        <f>'Données projet'!A441</f>
        <v>84</v>
      </c>
      <c r="B494" s="179">
        <f>'Données projet'!D441</f>
        <v>35.083333333333329</v>
      </c>
      <c r="C494" s="189">
        <v>60</v>
      </c>
      <c r="D494" s="180">
        <f t="shared" si="23"/>
        <v>2104.9999999999995</v>
      </c>
      <c r="E494" s="191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:56" x14ac:dyDescent="0.35">
      <c r="A495" s="178">
        <f>'Données projet'!A442</f>
        <v>93</v>
      </c>
      <c r="B495" s="179">
        <f>'Données projet'!D442</f>
        <v>30.083333333333332</v>
      </c>
      <c r="C495" s="189">
        <v>60</v>
      </c>
      <c r="D495" s="180">
        <f t="shared" si="23"/>
        <v>1805</v>
      </c>
      <c r="E495" s="191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:56" x14ac:dyDescent="0.35">
      <c r="A496" s="178">
        <f>'Données projet'!A443</f>
        <v>103</v>
      </c>
      <c r="B496" s="179">
        <f>'Données projet'!D443</f>
        <v>39.512820512820511</v>
      </c>
      <c r="C496" s="189">
        <v>60</v>
      </c>
      <c r="D496" s="180">
        <f t="shared" si="23"/>
        <v>2370.7692307692305</v>
      </c>
      <c r="E496" s="191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:56" x14ac:dyDescent="0.35">
      <c r="A497" s="178">
        <f>'Données projet'!A444</f>
        <v>113</v>
      </c>
      <c r="B497" s="179">
        <f>'Données projet'!D444</f>
        <v>31.602564102564099</v>
      </c>
      <c r="C497" s="189">
        <v>120</v>
      </c>
      <c r="D497" s="180">
        <f t="shared" si="23"/>
        <v>3792.3076923076919</v>
      </c>
      <c r="E497" s="191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:56" x14ac:dyDescent="0.35">
      <c r="A498" s="178">
        <f>'Données projet'!A445</f>
        <v>125</v>
      </c>
      <c r="B498" s="179">
        <f>'Données projet'!D445</f>
        <v>48.160256410256409</v>
      </c>
      <c r="C498" s="189">
        <v>120</v>
      </c>
      <c r="D498" s="180">
        <f t="shared" si="23"/>
        <v>5779.2307692307695</v>
      </c>
      <c r="E498" s="191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:56" x14ac:dyDescent="0.35">
      <c r="A499" s="178">
        <f>'Données projet'!A446</f>
        <v>137</v>
      </c>
      <c r="B499" s="179">
        <f>'Données projet'!D446</f>
        <v>51.160256410256409</v>
      </c>
      <c r="C499" s="189">
        <v>120</v>
      </c>
      <c r="D499" s="180">
        <f t="shared" si="23"/>
        <v>6139.2307692307695</v>
      </c>
      <c r="E499" s="191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:56" x14ac:dyDescent="0.35">
      <c r="A500" s="178">
        <f>'Données projet'!A447</f>
        <v>149</v>
      </c>
      <c r="B500" s="179">
        <f>'Données projet'!D447</f>
        <v>120.50641025641026</v>
      </c>
      <c r="C500" s="189">
        <v>120</v>
      </c>
      <c r="D500" s="180">
        <f t="shared" si="23"/>
        <v>14460.769230769232</v>
      </c>
      <c r="E500" s="191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:56" x14ac:dyDescent="0.35">
      <c r="A501" s="178">
        <f>'Données projet'!A448</f>
        <v>153</v>
      </c>
      <c r="B501" s="179">
        <f>'Données projet'!D448</f>
        <v>70.115384615384613</v>
      </c>
      <c r="C501" s="189">
        <v>150</v>
      </c>
      <c r="D501" s="180">
        <f t="shared" si="23"/>
        <v>10517.307692307691</v>
      </c>
      <c r="E501" s="191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:56" x14ac:dyDescent="0.35">
      <c r="A502" s="178">
        <f>'Données projet'!A449</f>
        <v>157</v>
      </c>
      <c r="B502" s="179">
        <f>'Données projet'!D449</f>
        <v>45.71153846153846</v>
      </c>
      <c r="C502" s="189">
        <v>150</v>
      </c>
      <c r="D502" s="180">
        <f t="shared" si="23"/>
        <v>6856.7307692307686</v>
      </c>
      <c r="E502" s="191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:56" x14ac:dyDescent="0.35">
      <c r="A503" s="178">
        <f>'Données projet'!A450</f>
        <v>161</v>
      </c>
      <c r="B503" s="179">
        <f>'Données projet'!D450</f>
        <v>91.365384615384613</v>
      </c>
      <c r="C503" s="189">
        <v>200</v>
      </c>
      <c r="D503" s="180">
        <f t="shared" si="23"/>
        <v>18273.076923076922</v>
      </c>
      <c r="E503" s="191">
        <v>2000</v>
      </c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:56" x14ac:dyDescent="0.35">
      <c r="A504" s="178">
        <f>'Données projet'!A451</f>
        <v>0</v>
      </c>
      <c r="B504" s="179">
        <f>'Données projet'!D451</f>
        <v>0</v>
      </c>
      <c r="C504" s="189"/>
      <c r="D504" s="180">
        <f t="shared" si="23"/>
        <v>0</v>
      </c>
      <c r="E504" s="191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:56" x14ac:dyDescent="0.35">
      <c r="A505" s="178">
        <f>'Données projet'!A452</f>
        <v>0</v>
      </c>
      <c r="B505" s="179">
        <f>'Données projet'!D452</f>
        <v>0</v>
      </c>
      <c r="C505" s="189"/>
      <c r="D505" s="180">
        <f t="shared" si="23"/>
        <v>0</v>
      </c>
      <c r="E505" s="191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:56" x14ac:dyDescent="0.35">
      <c r="A506" s="178">
        <f>'Données projet'!A453</f>
        <v>0</v>
      </c>
      <c r="B506" s="179">
        <f>'Données projet'!D453</f>
        <v>0</v>
      </c>
      <c r="C506" s="189"/>
      <c r="D506" s="180">
        <f t="shared" si="23"/>
        <v>0</v>
      </c>
      <c r="E506" s="191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:56" x14ac:dyDescent="0.35">
      <c r="A507" s="178">
        <f>'Données projet'!A454</f>
        <v>0</v>
      </c>
      <c r="B507" s="179">
        <f>'Données projet'!D454</f>
        <v>0</v>
      </c>
      <c r="C507" s="194"/>
      <c r="D507" s="180">
        <f t="shared" si="23"/>
        <v>0</v>
      </c>
      <c r="E507" s="191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:56" x14ac:dyDescent="0.35">
      <c r="A510" s="259" t="s">
        <v>330</v>
      </c>
      <c r="B510" s="263" t="str">
        <f>IF('Données projet'!$B$25="","",'Données projet'!$B$25)</f>
        <v/>
      </c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:56" x14ac:dyDescent="0.35">
      <c r="A512" s="36" t="s">
        <v>180</v>
      </c>
      <c r="B512" s="48" t="s">
        <v>256</v>
      </c>
      <c r="C512" s="48" t="s">
        <v>255</v>
      </c>
      <c r="D512" s="36" t="s">
        <v>252</v>
      </c>
      <c r="E512" s="36" t="s">
        <v>320</v>
      </c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:56" x14ac:dyDescent="0.35">
      <c r="A513" s="49">
        <v>0</v>
      </c>
      <c r="B513" s="197" t="s">
        <v>132</v>
      </c>
      <c r="C513" s="196" t="s">
        <v>132</v>
      </c>
      <c r="D513" s="195" t="s">
        <v>132</v>
      </c>
      <c r="E513" s="191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:56" x14ac:dyDescent="0.35">
      <c r="A514" s="49">
        <v>1</v>
      </c>
      <c r="B514" s="197" t="s">
        <v>132</v>
      </c>
      <c r="C514" s="196" t="s">
        <v>132</v>
      </c>
      <c r="D514" s="195" t="s">
        <v>132</v>
      </c>
      <c r="E514" s="191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:56" x14ac:dyDescent="0.35">
      <c r="A515" s="49">
        <v>2</v>
      </c>
      <c r="B515" s="197" t="s">
        <v>132</v>
      </c>
      <c r="C515" s="196" t="s">
        <v>132</v>
      </c>
      <c r="D515" s="195" t="s">
        <v>132</v>
      </c>
      <c r="E515" s="191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:56" x14ac:dyDescent="0.35">
      <c r="A516" s="49">
        <v>3</v>
      </c>
      <c r="B516" s="197" t="s">
        <v>132</v>
      </c>
      <c r="C516" s="196" t="s">
        <v>132</v>
      </c>
      <c r="D516" s="195" t="s">
        <v>132</v>
      </c>
      <c r="E516" s="191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:56" x14ac:dyDescent="0.35">
      <c r="A517" s="49">
        <v>4</v>
      </c>
      <c r="B517" s="197" t="s">
        <v>132</v>
      </c>
      <c r="C517" s="196" t="s">
        <v>132</v>
      </c>
      <c r="D517" s="195" t="s">
        <v>132</v>
      </c>
      <c r="E517" s="191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:56" x14ac:dyDescent="0.35">
      <c r="A518" s="49">
        <v>5</v>
      </c>
      <c r="B518" s="197" t="s">
        <v>132</v>
      </c>
      <c r="C518" s="196" t="s">
        <v>132</v>
      </c>
      <c r="D518" s="195" t="s">
        <v>132</v>
      </c>
      <c r="E518" s="191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:56" x14ac:dyDescent="0.35">
      <c r="A519" s="178">
        <f>'Données projet'!A461</f>
        <v>0</v>
      </c>
      <c r="B519" s="179">
        <f>'Données projet'!D461</f>
        <v>0</v>
      </c>
      <c r="C519" s="189"/>
      <c r="D519" s="180">
        <f>B519*C519</f>
        <v>0</v>
      </c>
      <c r="E519" s="191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:56" x14ac:dyDescent="0.35">
      <c r="A520" s="178">
        <f>'Données projet'!A462</f>
        <v>0</v>
      </c>
      <c r="B520" s="179">
        <f>'Données projet'!D462</f>
        <v>0</v>
      </c>
      <c r="C520" s="189"/>
      <c r="D520" s="180">
        <f t="shared" ref="D520:D538" si="24">B520*C520</f>
        <v>0</v>
      </c>
      <c r="E520" s="191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:56" x14ac:dyDescent="0.35">
      <c r="A521" s="178">
        <f>'Données projet'!A463</f>
        <v>0</v>
      </c>
      <c r="B521" s="179">
        <f>'Données projet'!D463</f>
        <v>0</v>
      </c>
      <c r="C521" s="189"/>
      <c r="D521" s="180">
        <f t="shared" si="24"/>
        <v>0</v>
      </c>
      <c r="E521" s="191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:56" x14ac:dyDescent="0.35">
      <c r="A522" s="178">
        <f>'Données projet'!A464</f>
        <v>0</v>
      </c>
      <c r="B522" s="179">
        <f>'Données projet'!D464</f>
        <v>0</v>
      </c>
      <c r="C522" s="189"/>
      <c r="D522" s="180">
        <f t="shared" si="24"/>
        <v>0</v>
      </c>
      <c r="E522" s="191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:56" x14ac:dyDescent="0.35">
      <c r="A523" s="178">
        <f>'Données projet'!A465</f>
        <v>0</v>
      </c>
      <c r="B523" s="179">
        <f>'Données projet'!D465</f>
        <v>0</v>
      </c>
      <c r="C523" s="189"/>
      <c r="D523" s="180">
        <f t="shared" si="24"/>
        <v>0</v>
      </c>
      <c r="E523" s="191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:56" x14ac:dyDescent="0.35">
      <c r="A524" s="178">
        <f>'Données projet'!A466</f>
        <v>0</v>
      </c>
      <c r="B524" s="179">
        <f>'Données projet'!D466</f>
        <v>0</v>
      </c>
      <c r="C524" s="189"/>
      <c r="D524" s="180">
        <f t="shared" si="24"/>
        <v>0</v>
      </c>
      <c r="E524" s="191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:56" x14ac:dyDescent="0.35">
      <c r="A525" s="178">
        <f>'Données projet'!A467</f>
        <v>0</v>
      </c>
      <c r="B525" s="179">
        <f>'Données projet'!D467</f>
        <v>0</v>
      </c>
      <c r="C525" s="189"/>
      <c r="D525" s="180">
        <f t="shared" si="24"/>
        <v>0</v>
      </c>
      <c r="E525" s="191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:56" x14ac:dyDescent="0.35">
      <c r="A526" s="178">
        <f>'Données projet'!A468</f>
        <v>0</v>
      </c>
      <c r="B526" s="179">
        <f>'Données projet'!D468</f>
        <v>0</v>
      </c>
      <c r="C526" s="189"/>
      <c r="D526" s="180">
        <f t="shared" si="24"/>
        <v>0</v>
      </c>
      <c r="E526" s="191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:56" x14ac:dyDescent="0.35">
      <c r="A527" s="178">
        <f>'Données projet'!A469</f>
        <v>0</v>
      </c>
      <c r="B527" s="179">
        <f>'Données projet'!D469</f>
        <v>0</v>
      </c>
      <c r="C527" s="189"/>
      <c r="D527" s="180">
        <f t="shared" si="24"/>
        <v>0</v>
      </c>
      <c r="E527" s="191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:56" x14ac:dyDescent="0.35">
      <c r="A528" s="178">
        <f>'Données projet'!A470</f>
        <v>0</v>
      </c>
      <c r="B528" s="179">
        <f>'Données projet'!D470</f>
        <v>0</v>
      </c>
      <c r="C528" s="189"/>
      <c r="D528" s="180">
        <f t="shared" si="24"/>
        <v>0</v>
      </c>
      <c r="E528" s="191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:56" x14ac:dyDescent="0.35">
      <c r="A529" s="178">
        <f>'Données projet'!A471</f>
        <v>0</v>
      </c>
      <c r="B529" s="179">
        <f>'Données projet'!D471</f>
        <v>0</v>
      </c>
      <c r="C529" s="189"/>
      <c r="D529" s="180">
        <f t="shared" si="24"/>
        <v>0</v>
      </c>
      <c r="E529" s="191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:56" x14ac:dyDescent="0.35">
      <c r="A530" s="178">
        <f>'Données projet'!A472</f>
        <v>0</v>
      </c>
      <c r="B530" s="179">
        <f>'Données projet'!D472</f>
        <v>0</v>
      </c>
      <c r="C530" s="189"/>
      <c r="D530" s="180">
        <f t="shared" si="24"/>
        <v>0</v>
      </c>
      <c r="E530" s="191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:56" x14ac:dyDescent="0.35">
      <c r="A531" s="178">
        <f>'Données projet'!A473</f>
        <v>0</v>
      </c>
      <c r="B531" s="179">
        <f>'Données projet'!D473</f>
        <v>0</v>
      </c>
      <c r="C531" s="189"/>
      <c r="D531" s="180">
        <f t="shared" si="24"/>
        <v>0</v>
      </c>
      <c r="E531" s="191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:56" x14ac:dyDescent="0.35">
      <c r="A532" s="178">
        <f>'Données projet'!A474</f>
        <v>0</v>
      </c>
      <c r="B532" s="179">
        <f>'Données projet'!D474</f>
        <v>0</v>
      </c>
      <c r="C532" s="189"/>
      <c r="D532" s="180">
        <f t="shared" si="24"/>
        <v>0</v>
      </c>
      <c r="E532" s="191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:56" x14ac:dyDescent="0.35">
      <c r="A533" s="178">
        <f>'Données projet'!A475</f>
        <v>0</v>
      </c>
      <c r="B533" s="179">
        <f>'Données projet'!D475</f>
        <v>0</v>
      </c>
      <c r="C533" s="189"/>
      <c r="D533" s="180">
        <f t="shared" si="24"/>
        <v>0</v>
      </c>
      <c r="E533" s="191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:56" x14ac:dyDescent="0.35">
      <c r="A534" s="178">
        <f>'Données projet'!A476</f>
        <v>0</v>
      </c>
      <c r="B534" s="179">
        <f>'Données projet'!D476</f>
        <v>0</v>
      </c>
      <c r="C534" s="189"/>
      <c r="D534" s="180">
        <f t="shared" si="24"/>
        <v>0</v>
      </c>
      <c r="E534" s="191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:56" x14ac:dyDescent="0.35">
      <c r="A535" s="178">
        <f>'Données projet'!A477</f>
        <v>0</v>
      </c>
      <c r="B535" s="179">
        <f>'Données projet'!D477</f>
        <v>0</v>
      </c>
      <c r="C535" s="189"/>
      <c r="D535" s="180">
        <f t="shared" si="24"/>
        <v>0</v>
      </c>
      <c r="E535" s="191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:56" x14ac:dyDescent="0.35">
      <c r="A536" s="178">
        <f>'Données projet'!A478</f>
        <v>0</v>
      </c>
      <c r="B536" s="179">
        <f>'Données projet'!D478</f>
        <v>0</v>
      </c>
      <c r="C536" s="189"/>
      <c r="D536" s="180">
        <f t="shared" si="24"/>
        <v>0</v>
      </c>
      <c r="E536" s="191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:56" x14ac:dyDescent="0.35">
      <c r="A537" s="178">
        <f>'Données projet'!A479</f>
        <v>0</v>
      </c>
      <c r="B537" s="179">
        <f>'Données projet'!D479</f>
        <v>0</v>
      </c>
      <c r="C537" s="189"/>
      <c r="D537" s="180">
        <f t="shared" si="24"/>
        <v>0</v>
      </c>
      <c r="E537" s="191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:56" x14ac:dyDescent="0.35">
      <c r="A538" s="178">
        <f>'Données projet'!A480</f>
        <v>0</v>
      </c>
      <c r="B538" s="179">
        <f>'Données projet'!D480</f>
        <v>0</v>
      </c>
      <c r="C538" s="194"/>
      <c r="D538" s="180">
        <f t="shared" si="24"/>
        <v>0</v>
      </c>
      <c r="E538" s="191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:56" x14ac:dyDescent="0.35">
      <c r="A541" s="259" t="s">
        <v>331</v>
      </c>
      <c r="B541" s="260" t="str">
        <f>IF('Données projet'!$B$26="","",'Données projet'!$B$26)</f>
        <v/>
      </c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:56" x14ac:dyDescent="0.35">
      <c r="A543" s="36" t="s">
        <v>180</v>
      </c>
      <c r="B543" s="48" t="s">
        <v>256</v>
      </c>
      <c r="C543" s="48" t="s">
        <v>255</v>
      </c>
      <c r="D543" s="36" t="s">
        <v>252</v>
      </c>
      <c r="E543" s="36" t="s">
        <v>320</v>
      </c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:56" x14ac:dyDescent="0.35">
      <c r="A544" s="49">
        <v>0</v>
      </c>
      <c r="B544" s="197" t="s">
        <v>132</v>
      </c>
      <c r="C544" s="196" t="s">
        <v>132</v>
      </c>
      <c r="D544" s="195" t="s">
        <v>132</v>
      </c>
      <c r="E544" s="191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:56" x14ac:dyDescent="0.35">
      <c r="A545" s="49">
        <v>1</v>
      </c>
      <c r="B545" s="197" t="s">
        <v>132</v>
      </c>
      <c r="C545" s="196" t="s">
        <v>132</v>
      </c>
      <c r="D545" s="195" t="s">
        <v>132</v>
      </c>
      <c r="E545" s="191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:56" x14ac:dyDescent="0.35">
      <c r="A546" s="49">
        <v>2</v>
      </c>
      <c r="B546" s="197" t="s">
        <v>132</v>
      </c>
      <c r="C546" s="196" t="s">
        <v>132</v>
      </c>
      <c r="D546" s="195" t="s">
        <v>132</v>
      </c>
      <c r="E546" s="191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:56" x14ac:dyDescent="0.35">
      <c r="A547" s="49">
        <v>3</v>
      </c>
      <c r="B547" s="197" t="s">
        <v>132</v>
      </c>
      <c r="C547" s="196" t="s">
        <v>132</v>
      </c>
      <c r="D547" s="195" t="s">
        <v>132</v>
      </c>
      <c r="E547" s="191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:56" x14ac:dyDescent="0.35">
      <c r="A548" s="49">
        <v>4</v>
      </c>
      <c r="B548" s="197" t="s">
        <v>132</v>
      </c>
      <c r="C548" s="196" t="s">
        <v>132</v>
      </c>
      <c r="D548" s="195" t="s">
        <v>132</v>
      </c>
      <c r="E548" s="191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:56" x14ac:dyDescent="0.35">
      <c r="A549" s="49">
        <v>5</v>
      </c>
      <c r="B549" s="197" t="s">
        <v>132</v>
      </c>
      <c r="C549" s="196" t="s">
        <v>132</v>
      </c>
      <c r="D549" s="195" t="s">
        <v>132</v>
      </c>
      <c r="E549" s="191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:56" x14ac:dyDescent="0.35">
      <c r="A550" s="178">
        <f>'Données projet'!A487</f>
        <v>0</v>
      </c>
      <c r="B550" s="179">
        <f>'Données projet'!D487</f>
        <v>0</v>
      </c>
      <c r="C550" s="189"/>
      <c r="D550" s="180">
        <f>B550*C550</f>
        <v>0</v>
      </c>
      <c r="E550" s="191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:56" x14ac:dyDescent="0.35">
      <c r="A551" s="178">
        <f>'Données projet'!A488</f>
        <v>0</v>
      </c>
      <c r="B551" s="179">
        <f>'Données projet'!D488</f>
        <v>0</v>
      </c>
      <c r="C551" s="189"/>
      <c r="D551" s="180">
        <f t="shared" ref="D551:D569" si="25">B551*C551</f>
        <v>0</v>
      </c>
      <c r="E551" s="191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:56" x14ac:dyDescent="0.35">
      <c r="A552" s="178">
        <f>'Données projet'!A489</f>
        <v>0</v>
      </c>
      <c r="B552" s="179">
        <f>'Données projet'!D489</f>
        <v>0</v>
      </c>
      <c r="C552" s="189"/>
      <c r="D552" s="180">
        <f t="shared" si="25"/>
        <v>0</v>
      </c>
      <c r="E552" s="191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  <row r="553" spans="1:56" x14ac:dyDescent="0.35">
      <c r="A553" s="178">
        <f>'Données projet'!A490</f>
        <v>0</v>
      </c>
      <c r="B553" s="179">
        <f>'Données projet'!D490</f>
        <v>0</v>
      </c>
      <c r="C553" s="189"/>
      <c r="D553" s="180">
        <f t="shared" si="25"/>
        <v>0</v>
      </c>
      <c r="E553" s="191"/>
    </row>
    <row r="554" spans="1:56" x14ac:dyDescent="0.35">
      <c r="A554" s="178">
        <f>'Données projet'!A491</f>
        <v>0</v>
      </c>
      <c r="B554" s="179">
        <f>'Données projet'!D491</f>
        <v>0</v>
      </c>
      <c r="C554" s="189"/>
      <c r="D554" s="180">
        <f t="shared" si="25"/>
        <v>0</v>
      </c>
      <c r="E554" s="191"/>
    </row>
    <row r="555" spans="1:56" x14ac:dyDescent="0.35">
      <c r="A555" s="178">
        <f>'Données projet'!A492</f>
        <v>0</v>
      </c>
      <c r="B555" s="179">
        <f>'Données projet'!D492</f>
        <v>0</v>
      </c>
      <c r="C555" s="189"/>
      <c r="D555" s="180">
        <f t="shared" si="25"/>
        <v>0</v>
      </c>
      <c r="E555" s="191"/>
    </row>
    <row r="556" spans="1:56" x14ac:dyDescent="0.35">
      <c r="A556" s="178">
        <f>'Données projet'!A493</f>
        <v>0</v>
      </c>
      <c r="B556" s="179">
        <f>'Données projet'!D493</f>
        <v>0</v>
      </c>
      <c r="C556" s="189"/>
      <c r="D556" s="180">
        <f t="shared" si="25"/>
        <v>0</v>
      </c>
      <c r="E556" s="191"/>
    </row>
    <row r="557" spans="1:56" x14ac:dyDescent="0.35">
      <c r="A557" s="178">
        <f>'Données projet'!A494</f>
        <v>0</v>
      </c>
      <c r="B557" s="179">
        <f>'Données projet'!D494</f>
        <v>0</v>
      </c>
      <c r="C557" s="189"/>
      <c r="D557" s="180">
        <f t="shared" si="25"/>
        <v>0</v>
      </c>
      <c r="E557" s="191"/>
    </row>
    <row r="558" spans="1:56" x14ac:dyDescent="0.35">
      <c r="A558" s="178">
        <f>'Données projet'!A495</f>
        <v>0</v>
      </c>
      <c r="B558" s="179">
        <f>'Données projet'!D495</f>
        <v>0</v>
      </c>
      <c r="C558" s="189"/>
      <c r="D558" s="180">
        <f t="shared" si="25"/>
        <v>0</v>
      </c>
      <c r="E558" s="191"/>
    </row>
    <row r="559" spans="1:56" x14ac:dyDescent="0.35">
      <c r="A559" s="178">
        <f>'Données projet'!A496</f>
        <v>0</v>
      </c>
      <c r="B559" s="179">
        <f>'Données projet'!D496</f>
        <v>0</v>
      </c>
      <c r="C559" s="189"/>
      <c r="D559" s="180">
        <f t="shared" si="25"/>
        <v>0</v>
      </c>
      <c r="E559" s="191"/>
    </row>
    <row r="560" spans="1:56" x14ac:dyDescent="0.35">
      <c r="A560" s="178">
        <f>'Données projet'!A497</f>
        <v>0</v>
      </c>
      <c r="B560" s="179">
        <f>'Données projet'!D497</f>
        <v>0</v>
      </c>
      <c r="C560" s="189"/>
      <c r="D560" s="180">
        <f t="shared" si="25"/>
        <v>0</v>
      </c>
      <c r="E560" s="191"/>
    </row>
    <row r="561" spans="1:5" x14ac:dyDescent="0.35">
      <c r="A561" s="178">
        <f>'Données projet'!A498</f>
        <v>0</v>
      </c>
      <c r="B561" s="179">
        <f>'Données projet'!D498</f>
        <v>0</v>
      </c>
      <c r="C561" s="189"/>
      <c r="D561" s="180">
        <f t="shared" si="25"/>
        <v>0</v>
      </c>
      <c r="E561" s="191"/>
    </row>
    <row r="562" spans="1:5" x14ac:dyDescent="0.35">
      <c r="A562" s="178">
        <f>'Données projet'!A499</f>
        <v>0</v>
      </c>
      <c r="B562" s="179">
        <f>'Données projet'!D499</f>
        <v>0</v>
      </c>
      <c r="C562" s="189"/>
      <c r="D562" s="180">
        <f t="shared" si="25"/>
        <v>0</v>
      </c>
      <c r="E562" s="191"/>
    </row>
    <row r="563" spans="1:5" x14ac:dyDescent="0.35">
      <c r="A563" s="178">
        <f>'Données projet'!A500</f>
        <v>0</v>
      </c>
      <c r="B563" s="179">
        <f>'Données projet'!D500</f>
        <v>0</v>
      </c>
      <c r="C563" s="189"/>
      <c r="D563" s="180">
        <f t="shared" si="25"/>
        <v>0</v>
      </c>
      <c r="E563" s="191"/>
    </row>
    <row r="564" spans="1:5" x14ac:dyDescent="0.35">
      <c r="A564" s="178">
        <f>'Données projet'!A501</f>
        <v>0</v>
      </c>
      <c r="B564" s="179">
        <f>'Données projet'!D501</f>
        <v>0</v>
      </c>
      <c r="C564" s="189"/>
      <c r="D564" s="180">
        <f t="shared" si="25"/>
        <v>0</v>
      </c>
      <c r="E564" s="191"/>
    </row>
    <row r="565" spans="1:5" x14ac:dyDescent="0.35">
      <c r="A565" s="178">
        <f>'Données projet'!A502</f>
        <v>0</v>
      </c>
      <c r="B565" s="179">
        <f>'Données projet'!D502</f>
        <v>0</v>
      </c>
      <c r="C565" s="189"/>
      <c r="D565" s="180">
        <f t="shared" si="25"/>
        <v>0</v>
      </c>
      <c r="E565" s="191"/>
    </row>
    <row r="566" spans="1:5" x14ac:dyDescent="0.35">
      <c r="A566" s="178">
        <f>'Données projet'!A503</f>
        <v>0</v>
      </c>
      <c r="B566" s="179">
        <f>'Données projet'!D503</f>
        <v>0</v>
      </c>
      <c r="C566" s="189"/>
      <c r="D566" s="180">
        <f t="shared" si="25"/>
        <v>0</v>
      </c>
      <c r="E566" s="191"/>
    </row>
    <row r="567" spans="1:5" x14ac:dyDescent="0.35">
      <c r="A567" s="178">
        <f>'Données projet'!A504</f>
        <v>0</v>
      </c>
      <c r="B567" s="179">
        <f>'Données projet'!D504</f>
        <v>0</v>
      </c>
      <c r="C567" s="189"/>
      <c r="D567" s="180">
        <f t="shared" si="25"/>
        <v>0</v>
      </c>
      <c r="E567" s="191"/>
    </row>
    <row r="568" spans="1:5" x14ac:dyDescent="0.35">
      <c r="A568" s="178">
        <f>'Données projet'!A505</f>
        <v>0</v>
      </c>
      <c r="B568" s="179">
        <f>'Données projet'!D505</f>
        <v>0</v>
      </c>
      <c r="C568" s="189"/>
      <c r="D568" s="180">
        <f t="shared" si="25"/>
        <v>0</v>
      </c>
      <c r="E568" s="191"/>
    </row>
    <row r="569" spans="1:5" x14ac:dyDescent="0.35">
      <c r="A569" s="178">
        <f>'Données projet'!A506</f>
        <v>0</v>
      </c>
      <c r="B569" s="179">
        <f>'Données projet'!D506</f>
        <v>0</v>
      </c>
      <c r="C569" s="194"/>
      <c r="D569" s="180">
        <f t="shared" si="25"/>
        <v>0</v>
      </c>
      <c r="E569" s="191"/>
    </row>
    <row r="572" spans="1:5" x14ac:dyDescent="0.35">
      <c r="A572" s="259" t="s">
        <v>332</v>
      </c>
      <c r="B572" s="260" t="str">
        <f>IF('Données projet'!$B$27="","",'Données projet'!$B$27)</f>
        <v/>
      </c>
    </row>
    <row r="574" spans="1:5" x14ac:dyDescent="0.35">
      <c r="A574" s="36" t="s">
        <v>180</v>
      </c>
      <c r="B574" s="48" t="s">
        <v>256</v>
      </c>
      <c r="C574" s="48" t="s">
        <v>255</v>
      </c>
      <c r="D574" s="36" t="s">
        <v>252</v>
      </c>
      <c r="E574" s="36" t="s">
        <v>320</v>
      </c>
    </row>
    <row r="575" spans="1:5" x14ac:dyDescent="0.35">
      <c r="A575" s="49">
        <v>0</v>
      </c>
      <c r="B575" s="197" t="s">
        <v>132</v>
      </c>
      <c r="C575" s="196" t="s">
        <v>132</v>
      </c>
      <c r="D575" s="195" t="s">
        <v>132</v>
      </c>
      <c r="E575" s="191"/>
    </row>
    <row r="576" spans="1:5" x14ac:dyDescent="0.35">
      <c r="A576" s="49">
        <v>1</v>
      </c>
      <c r="B576" s="197" t="s">
        <v>132</v>
      </c>
      <c r="C576" s="196" t="s">
        <v>132</v>
      </c>
      <c r="D576" s="195" t="s">
        <v>132</v>
      </c>
      <c r="E576" s="191"/>
    </row>
    <row r="577" spans="1:5" x14ac:dyDescent="0.35">
      <c r="A577" s="49">
        <v>2</v>
      </c>
      <c r="B577" s="197" t="s">
        <v>132</v>
      </c>
      <c r="C577" s="196" t="s">
        <v>132</v>
      </c>
      <c r="D577" s="195" t="s">
        <v>132</v>
      </c>
      <c r="E577" s="191"/>
    </row>
    <row r="578" spans="1:5" x14ac:dyDescent="0.35">
      <c r="A578" s="49">
        <v>3</v>
      </c>
      <c r="B578" s="197" t="s">
        <v>132</v>
      </c>
      <c r="C578" s="196" t="s">
        <v>132</v>
      </c>
      <c r="D578" s="195" t="s">
        <v>132</v>
      </c>
      <c r="E578" s="191"/>
    </row>
    <row r="579" spans="1:5" x14ac:dyDescent="0.35">
      <c r="A579" s="49">
        <v>4</v>
      </c>
      <c r="B579" s="197" t="s">
        <v>132</v>
      </c>
      <c r="C579" s="196" t="s">
        <v>132</v>
      </c>
      <c r="D579" s="195" t="s">
        <v>132</v>
      </c>
      <c r="E579" s="191"/>
    </row>
    <row r="580" spans="1:5" x14ac:dyDescent="0.35">
      <c r="A580" s="49">
        <v>5</v>
      </c>
      <c r="B580" s="197" t="s">
        <v>132</v>
      </c>
      <c r="C580" s="196" t="s">
        <v>132</v>
      </c>
      <c r="D580" s="195" t="s">
        <v>132</v>
      </c>
      <c r="E580" s="191"/>
    </row>
    <row r="581" spans="1:5" x14ac:dyDescent="0.35">
      <c r="A581" s="178">
        <f>'Données projet'!A513</f>
        <v>0</v>
      </c>
      <c r="B581" s="179">
        <f>'Données projet'!D513</f>
        <v>0</v>
      </c>
      <c r="C581" s="189"/>
      <c r="D581" s="180">
        <f>B581*C581</f>
        <v>0</v>
      </c>
      <c r="E581" s="191"/>
    </row>
    <row r="582" spans="1:5" x14ac:dyDescent="0.35">
      <c r="A582" s="178">
        <f>'Données projet'!A514</f>
        <v>0</v>
      </c>
      <c r="B582" s="179">
        <f>'Données projet'!D514</f>
        <v>0</v>
      </c>
      <c r="C582" s="189"/>
      <c r="D582" s="180">
        <f t="shared" ref="D582:D600" si="26">B582*C582</f>
        <v>0</v>
      </c>
      <c r="E582" s="191"/>
    </row>
    <row r="583" spans="1:5" x14ac:dyDescent="0.35">
      <c r="A583" s="178">
        <f>'Données projet'!A515</f>
        <v>0</v>
      </c>
      <c r="B583" s="179">
        <f>'Données projet'!D515</f>
        <v>0</v>
      </c>
      <c r="C583" s="189"/>
      <c r="D583" s="180">
        <f t="shared" si="26"/>
        <v>0</v>
      </c>
      <c r="E583" s="191"/>
    </row>
    <row r="584" spans="1:5" x14ac:dyDescent="0.35">
      <c r="A584" s="178">
        <f>'Données projet'!A516</f>
        <v>0</v>
      </c>
      <c r="B584" s="179">
        <f>'Données projet'!D516</f>
        <v>0</v>
      </c>
      <c r="C584" s="189"/>
      <c r="D584" s="180">
        <f t="shared" si="26"/>
        <v>0</v>
      </c>
      <c r="E584" s="191"/>
    </row>
    <row r="585" spans="1:5" x14ac:dyDescent="0.35">
      <c r="A585" s="178">
        <f>'Données projet'!A517</f>
        <v>0</v>
      </c>
      <c r="B585" s="179">
        <f>'Données projet'!D517</f>
        <v>0</v>
      </c>
      <c r="C585" s="189"/>
      <c r="D585" s="180">
        <f t="shared" si="26"/>
        <v>0</v>
      </c>
      <c r="E585" s="191"/>
    </row>
    <row r="586" spans="1:5" x14ac:dyDescent="0.35">
      <c r="A586" s="178">
        <f>'Données projet'!A518</f>
        <v>0</v>
      </c>
      <c r="B586" s="179">
        <f>'Données projet'!D518</f>
        <v>0</v>
      </c>
      <c r="C586" s="189"/>
      <c r="D586" s="180">
        <f t="shared" si="26"/>
        <v>0</v>
      </c>
      <c r="E586" s="191"/>
    </row>
    <row r="587" spans="1:5" x14ac:dyDescent="0.35">
      <c r="A587" s="178">
        <f>'Données projet'!A519</f>
        <v>0</v>
      </c>
      <c r="B587" s="179">
        <f>'Données projet'!D519</f>
        <v>0</v>
      </c>
      <c r="C587" s="189"/>
      <c r="D587" s="180">
        <f t="shared" si="26"/>
        <v>0</v>
      </c>
      <c r="E587" s="191"/>
    </row>
    <row r="588" spans="1:5" x14ac:dyDescent="0.35">
      <c r="A588" s="178">
        <f>'Données projet'!A520</f>
        <v>0</v>
      </c>
      <c r="B588" s="179">
        <f>'Données projet'!D520</f>
        <v>0</v>
      </c>
      <c r="C588" s="189"/>
      <c r="D588" s="180">
        <f t="shared" si="26"/>
        <v>0</v>
      </c>
      <c r="E588" s="191"/>
    </row>
    <row r="589" spans="1:5" x14ac:dyDescent="0.35">
      <c r="A589" s="178">
        <f>'Données projet'!A521</f>
        <v>0</v>
      </c>
      <c r="B589" s="179">
        <f>'Données projet'!D521</f>
        <v>0</v>
      </c>
      <c r="C589" s="189"/>
      <c r="D589" s="180">
        <f t="shared" si="26"/>
        <v>0</v>
      </c>
      <c r="E589" s="191"/>
    </row>
    <row r="590" spans="1:5" x14ac:dyDescent="0.35">
      <c r="A590" s="178">
        <f>'Données projet'!A522</f>
        <v>0</v>
      </c>
      <c r="B590" s="179">
        <f>'Données projet'!D522</f>
        <v>0</v>
      </c>
      <c r="C590" s="189"/>
      <c r="D590" s="180">
        <f t="shared" si="26"/>
        <v>0</v>
      </c>
      <c r="E590" s="191"/>
    </row>
    <row r="591" spans="1:5" x14ac:dyDescent="0.35">
      <c r="A591" s="178">
        <f>'Données projet'!A523</f>
        <v>0</v>
      </c>
      <c r="B591" s="179">
        <f>'Données projet'!D523</f>
        <v>0</v>
      </c>
      <c r="C591" s="189"/>
      <c r="D591" s="180">
        <f t="shared" si="26"/>
        <v>0</v>
      </c>
      <c r="E591" s="191"/>
    </row>
    <row r="592" spans="1:5" x14ac:dyDescent="0.35">
      <c r="A592" s="178">
        <f>'Données projet'!A524</f>
        <v>0</v>
      </c>
      <c r="B592" s="179">
        <f>'Données projet'!D524</f>
        <v>0</v>
      </c>
      <c r="C592" s="189"/>
      <c r="D592" s="180">
        <f t="shared" si="26"/>
        <v>0</v>
      </c>
      <c r="E592" s="191"/>
    </row>
    <row r="593" spans="1:5" x14ac:dyDescent="0.35">
      <c r="A593" s="178">
        <f>'Données projet'!A525</f>
        <v>0</v>
      </c>
      <c r="B593" s="179">
        <f>'Données projet'!D525</f>
        <v>0</v>
      </c>
      <c r="C593" s="189"/>
      <c r="D593" s="180">
        <f t="shared" si="26"/>
        <v>0</v>
      </c>
      <c r="E593" s="191"/>
    </row>
    <row r="594" spans="1:5" x14ac:dyDescent="0.35">
      <c r="A594" s="178">
        <f>'Données projet'!A526</f>
        <v>0</v>
      </c>
      <c r="B594" s="179">
        <f>'Données projet'!D526</f>
        <v>0</v>
      </c>
      <c r="C594" s="189"/>
      <c r="D594" s="180">
        <f t="shared" si="26"/>
        <v>0</v>
      </c>
      <c r="E594" s="191"/>
    </row>
    <row r="595" spans="1:5" x14ac:dyDescent="0.35">
      <c r="A595" s="178">
        <f>'Données projet'!A527</f>
        <v>0</v>
      </c>
      <c r="B595" s="179">
        <f>'Données projet'!D527</f>
        <v>0</v>
      </c>
      <c r="C595" s="189"/>
      <c r="D595" s="180">
        <f t="shared" si="26"/>
        <v>0</v>
      </c>
      <c r="E595" s="191"/>
    </row>
    <row r="596" spans="1:5" x14ac:dyDescent="0.35">
      <c r="A596" s="178">
        <f>'Données projet'!A528</f>
        <v>0</v>
      </c>
      <c r="B596" s="179">
        <f>'Données projet'!D528</f>
        <v>0</v>
      </c>
      <c r="C596" s="189"/>
      <c r="D596" s="180">
        <f t="shared" si="26"/>
        <v>0</v>
      </c>
      <c r="E596" s="191"/>
    </row>
    <row r="597" spans="1:5" x14ac:dyDescent="0.35">
      <c r="A597" s="178">
        <f>'Données projet'!A529</f>
        <v>0</v>
      </c>
      <c r="B597" s="179">
        <f>'Données projet'!D529</f>
        <v>0</v>
      </c>
      <c r="C597" s="189"/>
      <c r="D597" s="180">
        <f t="shared" si="26"/>
        <v>0</v>
      </c>
      <c r="E597" s="191"/>
    </row>
    <row r="598" spans="1:5" x14ac:dyDescent="0.35">
      <c r="A598" s="178">
        <f>'Données projet'!A530</f>
        <v>0</v>
      </c>
      <c r="B598" s="179">
        <f>'Données projet'!D530</f>
        <v>0</v>
      </c>
      <c r="C598" s="189"/>
      <c r="D598" s="180">
        <f t="shared" si="26"/>
        <v>0</v>
      </c>
      <c r="E598" s="191"/>
    </row>
    <row r="599" spans="1:5" x14ac:dyDescent="0.35">
      <c r="A599" s="178">
        <f>'Données projet'!A531</f>
        <v>0</v>
      </c>
      <c r="B599" s="179">
        <f>'Données projet'!D531</f>
        <v>0</v>
      </c>
      <c r="C599" s="189"/>
      <c r="D599" s="180">
        <f t="shared" si="26"/>
        <v>0</v>
      </c>
      <c r="E599" s="191"/>
    </row>
    <row r="600" spans="1:5" x14ac:dyDescent="0.35">
      <c r="A600" s="178">
        <f>'Données projet'!A532</f>
        <v>0</v>
      </c>
      <c r="B600" s="179">
        <f>'Données projet'!D532</f>
        <v>0</v>
      </c>
      <c r="C600" s="194"/>
      <c r="D600" s="180">
        <f t="shared" si="26"/>
        <v>0</v>
      </c>
      <c r="E600" s="191"/>
    </row>
    <row r="603" spans="1:5" x14ac:dyDescent="0.35">
      <c r="A603" s="259" t="s">
        <v>333</v>
      </c>
      <c r="B603" s="260" t="str">
        <f>IF('Données projet'!$B$28="","",'Données projet'!$B$28)</f>
        <v/>
      </c>
    </row>
    <row r="605" spans="1:5" x14ac:dyDescent="0.35">
      <c r="A605" s="36" t="s">
        <v>180</v>
      </c>
      <c r="B605" s="48" t="s">
        <v>256</v>
      </c>
      <c r="C605" s="48" t="s">
        <v>255</v>
      </c>
      <c r="D605" s="36" t="s">
        <v>252</v>
      </c>
      <c r="E605" s="36" t="s">
        <v>320</v>
      </c>
    </row>
    <row r="606" spans="1:5" x14ac:dyDescent="0.35">
      <c r="A606" s="49">
        <v>0</v>
      </c>
      <c r="B606" s="197" t="s">
        <v>132</v>
      </c>
      <c r="C606" s="196" t="s">
        <v>132</v>
      </c>
      <c r="D606" s="195" t="s">
        <v>132</v>
      </c>
      <c r="E606" s="191"/>
    </row>
    <row r="607" spans="1:5" x14ac:dyDescent="0.35">
      <c r="A607" s="49">
        <v>1</v>
      </c>
      <c r="B607" s="197" t="s">
        <v>132</v>
      </c>
      <c r="C607" s="196" t="s">
        <v>132</v>
      </c>
      <c r="D607" s="195" t="s">
        <v>132</v>
      </c>
      <c r="E607" s="191"/>
    </row>
    <row r="608" spans="1:5" x14ac:dyDescent="0.35">
      <c r="A608" s="49">
        <v>2</v>
      </c>
      <c r="B608" s="197" t="s">
        <v>132</v>
      </c>
      <c r="C608" s="196" t="s">
        <v>132</v>
      </c>
      <c r="D608" s="195" t="s">
        <v>132</v>
      </c>
      <c r="E608" s="191"/>
    </row>
    <row r="609" spans="1:5" x14ac:dyDescent="0.35">
      <c r="A609" s="49">
        <v>3</v>
      </c>
      <c r="B609" s="197" t="s">
        <v>132</v>
      </c>
      <c r="C609" s="196" t="s">
        <v>132</v>
      </c>
      <c r="D609" s="195" t="s">
        <v>132</v>
      </c>
      <c r="E609" s="191"/>
    </row>
    <row r="610" spans="1:5" x14ac:dyDescent="0.35">
      <c r="A610" s="49">
        <v>4</v>
      </c>
      <c r="B610" s="197" t="s">
        <v>132</v>
      </c>
      <c r="C610" s="196" t="s">
        <v>132</v>
      </c>
      <c r="D610" s="195" t="s">
        <v>132</v>
      </c>
      <c r="E610" s="191"/>
    </row>
    <row r="611" spans="1:5" x14ac:dyDescent="0.35">
      <c r="A611" s="49">
        <v>5</v>
      </c>
      <c r="B611" s="197" t="s">
        <v>132</v>
      </c>
      <c r="C611" s="196" t="s">
        <v>132</v>
      </c>
      <c r="D611" s="195" t="s">
        <v>132</v>
      </c>
      <c r="E611" s="191"/>
    </row>
    <row r="612" spans="1:5" x14ac:dyDescent="0.35">
      <c r="A612" s="178">
        <f>'Données projet'!A539</f>
        <v>0</v>
      </c>
      <c r="B612" s="179">
        <f>'Données projet'!D539</f>
        <v>0</v>
      </c>
      <c r="C612" s="189"/>
      <c r="D612" s="180">
        <f>B612*C612</f>
        <v>0</v>
      </c>
      <c r="E612" s="191"/>
    </row>
    <row r="613" spans="1:5" x14ac:dyDescent="0.35">
      <c r="A613" s="178">
        <f>'Données projet'!A540</f>
        <v>0</v>
      </c>
      <c r="B613" s="179">
        <f>'Données projet'!D540</f>
        <v>0</v>
      </c>
      <c r="C613" s="189"/>
      <c r="D613" s="180">
        <f t="shared" ref="D613:D631" si="27">B613*C613</f>
        <v>0</v>
      </c>
      <c r="E613" s="191"/>
    </row>
    <row r="614" spans="1:5" x14ac:dyDescent="0.35">
      <c r="A614" s="178">
        <f>'Données projet'!A541</f>
        <v>0</v>
      </c>
      <c r="B614" s="179">
        <f>'Données projet'!D541</f>
        <v>0</v>
      </c>
      <c r="C614" s="189"/>
      <c r="D614" s="180">
        <f t="shared" si="27"/>
        <v>0</v>
      </c>
      <c r="E614" s="191"/>
    </row>
    <row r="615" spans="1:5" x14ac:dyDescent="0.35">
      <c r="A615" s="178">
        <f>'Données projet'!A542</f>
        <v>0</v>
      </c>
      <c r="B615" s="179">
        <f>'Données projet'!D542</f>
        <v>0</v>
      </c>
      <c r="C615" s="189"/>
      <c r="D615" s="180">
        <f t="shared" si="27"/>
        <v>0</v>
      </c>
      <c r="E615" s="191"/>
    </row>
    <row r="616" spans="1:5" x14ac:dyDescent="0.35">
      <c r="A616" s="178">
        <f>'Données projet'!A543</f>
        <v>0</v>
      </c>
      <c r="B616" s="179">
        <f>'Données projet'!D543</f>
        <v>0</v>
      </c>
      <c r="C616" s="189"/>
      <c r="D616" s="180">
        <f t="shared" si="27"/>
        <v>0</v>
      </c>
      <c r="E616" s="191"/>
    </row>
    <row r="617" spans="1:5" x14ac:dyDescent="0.35">
      <c r="A617" s="178">
        <f>'Données projet'!A544</f>
        <v>0</v>
      </c>
      <c r="B617" s="179">
        <f>'Données projet'!D544</f>
        <v>0</v>
      </c>
      <c r="C617" s="189"/>
      <c r="D617" s="180">
        <f t="shared" si="27"/>
        <v>0</v>
      </c>
      <c r="E617" s="191"/>
    </row>
    <row r="618" spans="1:5" x14ac:dyDescent="0.35">
      <c r="A618" s="178">
        <f>'Données projet'!A545</f>
        <v>0</v>
      </c>
      <c r="B618" s="179">
        <f>'Données projet'!D545</f>
        <v>0</v>
      </c>
      <c r="C618" s="189"/>
      <c r="D618" s="180">
        <f t="shared" si="27"/>
        <v>0</v>
      </c>
      <c r="E618" s="191"/>
    </row>
    <row r="619" spans="1:5" x14ac:dyDescent="0.35">
      <c r="A619" s="178">
        <f>'Données projet'!A546</f>
        <v>0</v>
      </c>
      <c r="B619" s="179">
        <f>'Données projet'!D546</f>
        <v>0</v>
      </c>
      <c r="C619" s="189"/>
      <c r="D619" s="180">
        <f t="shared" si="27"/>
        <v>0</v>
      </c>
      <c r="E619" s="191"/>
    </row>
    <row r="620" spans="1:5" x14ac:dyDescent="0.35">
      <c r="A620" s="178">
        <f>'Données projet'!A547</f>
        <v>0</v>
      </c>
      <c r="B620" s="179">
        <f>'Données projet'!D547</f>
        <v>0</v>
      </c>
      <c r="C620" s="189"/>
      <c r="D620" s="180">
        <f t="shared" si="27"/>
        <v>0</v>
      </c>
      <c r="E620" s="191"/>
    </row>
    <row r="621" spans="1:5" x14ac:dyDescent="0.35">
      <c r="A621" s="178">
        <f>'Données projet'!A548</f>
        <v>0</v>
      </c>
      <c r="B621" s="179">
        <f>'Données projet'!D548</f>
        <v>0</v>
      </c>
      <c r="C621" s="189"/>
      <c r="D621" s="180">
        <f t="shared" si="27"/>
        <v>0</v>
      </c>
      <c r="E621" s="191"/>
    </row>
    <row r="622" spans="1:5" x14ac:dyDescent="0.35">
      <c r="A622" s="178">
        <f>'Données projet'!A549</f>
        <v>0</v>
      </c>
      <c r="B622" s="179">
        <f>'Données projet'!D549</f>
        <v>0</v>
      </c>
      <c r="C622" s="189"/>
      <c r="D622" s="180">
        <f t="shared" si="27"/>
        <v>0</v>
      </c>
      <c r="E622" s="191"/>
    </row>
    <row r="623" spans="1:5" x14ac:dyDescent="0.35">
      <c r="A623" s="178">
        <f>'Données projet'!A550</f>
        <v>0</v>
      </c>
      <c r="B623" s="179">
        <f>'Données projet'!D550</f>
        <v>0</v>
      </c>
      <c r="C623" s="189"/>
      <c r="D623" s="180">
        <f t="shared" si="27"/>
        <v>0</v>
      </c>
      <c r="E623" s="191"/>
    </row>
    <row r="624" spans="1:5" x14ac:dyDescent="0.35">
      <c r="A624" s="178">
        <f>'Données projet'!A551</f>
        <v>0</v>
      </c>
      <c r="B624" s="179">
        <f>'Données projet'!D551</f>
        <v>0</v>
      </c>
      <c r="C624" s="189"/>
      <c r="D624" s="180">
        <f t="shared" si="27"/>
        <v>0</v>
      </c>
      <c r="E624" s="191"/>
    </row>
    <row r="625" spans="1:5" x14ac:dyDescent="0.35">
      <c r="A625" s="178">
        <f>'Données projet'!A552</f>
        <v>0</v>
      </c>
      <c r="B625" s="179">
        <f>'Données projet'!D552</f>
        <v>0</v>
      </c>
      <c r="C625" s="189"/>
      <c r="D625" s="180">
        <f t="shared" si="27"/>
        <v>0</v>
      </c>
      <c r="E625" s="191"/>
    </row>
    <row r="626" spans="1:5" x14ac:dyDescent="0.35">
      <c r="A626" s="178">
        <f>'Données projet'!A553</f>
        <v>0</v>
      </c>
      <c r="B626" s="179">
        <f>'Données projet'!D553</f>
        <v>0</v>
      </c>
      <c r="C626" s="189"/>
      <c r="D626" s="180">
        <f t="shared" si="27"/>
        <v>0</v>
      </c>
      <c r="E626" s="191"/>
    </row>
    <row r="627" spans="1:5" x14ac:dyDescent="0.35">
      <c r="A627" s="178">
        <f>'Données projet'!A554</f>
        <v>0</v>
      </c>
      <c r="B627" s="179">
        <f>'Données projet'!D554</f>
        <v>0</v>
      </c>
      <c r="C627" s="189"/>
      <c r="D627" s="180">
        <f t="shared" si="27"/>
        <v>0</v>
      </c>
      <c r="E627" s="191"/>
    </row>
    <row r="628" spans="1:5" x14ac:dyDescent="0.35">
      <c r="A628" s="178">
        <f>'Données projet'!A555</f>
        <v>0</v>
      </c>
      <c r="B628" s="179">
        <f>'Données projet'!D555</f>
        <v>0</v>
      </c>
      <c r="C628" s="189"/>
      <c r="D628" s="180">
        <f t="shared" si="27"/>
        <v>0</v>
      </c>
      <c r="E628" s="191"/>
    </row>
    <row r="629" spans="1:5" x14ac:dyDescent="0.35">
      <c r="A629" s="178">
        <f>'Données projet'!A556</f>
        <v>0</v>
      </c>
      <c r="B629" s="179">
        <f>'Données projet'!D556</f>
        <v>0</v>
      </c>
      <c r="C629" s="189"/>
      <c r="D629" s="180">
        <f t="shared" si="27"/>
        <v>0</v>
      </c>
      <c r="E629" s="191"/>
    </row>
    <row r="630" spans="1:5" x14ac:dyDescent="0.35">
      <c r="A630" s="178">
        <f>'Données projet'!A557</f>
        <v>0</v>
      </c>
      <c r="B630" s="179">
        <f>'Données projet'!D557</f>
        <v>0</v>
      </c>
      <c r="C630" s="189"/>
      <c r="D630" s="180">
        <f t="shared" si="27"/>
        <v>0</v>
      </c>
      <c r="E630" s="191"/>
    </row>
    <row r="631" spans="1:5" x14ac:dyDescent="0.35">
      <c r="A631" s="178">
        <f>'Données projet'!A558</f>
        <v>0</v>
      </c>
      <c r="B631" s="179">
        <f>'Données projet'!D558</f>
        <v>0</v>
      </c>
      <c r="C631" s="194"/>
      <c r="D631" s="180">
        <f t="shared" si="27"/>
        <v>0</v>
      </c>
      <c r="E631" s="191"/>
    </row>
  </sheetData>
  <sheetProtection algorithmName="SHA-512" hashValue="lfeht3CLUsYs0Mr9DQfwn3+jWcaBFM56BUNhSbAdHEyDIjD2ZZv708haU0mNPeW681aQglPPjf+VCrhFyKLrmg==" saltValue="FWN0c70KtKwve1/27iTYrg==" spinCount="100000" sheet="1" objects="1" scenarios="1"/>
  <mergeCells count="16">
    <mergeCell ref="L26:P27"/>
    <mergeCell ref="R7:V7"/>
    <mergeCell ref="S41:V41"/>
    <mergeCell ref="T40:V40"/>
    <mergeCell ref="T37:V37"/>
    <mergeCell ref="T38:V38"/>
    <mergeCell ref="T39:V39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7" ma:contentTypeDescription="Crée un document." ma:contentTypeScope="" ma:versionID="092ccfc0c500e6702652f5635bb5fe55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010577e839b03aaaee1ba94f253bf7ed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A9836E-7790-4981-8B42-EA643BBC555A}"/>
</file>

<file path=customXml/itemProps2.xml><?xml version="1.0" encoding="utf-8"?>
<ds:datastoreItem xmlns:ds="http://schemas.openxmlformats.org/officeDocument/2006/customXml" ds:itemID="{361A2390-D02A-48F0-9DF9-6A6C4629D9D4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3.xml><?xml version="1.0" encoding="utf-8"?>
<ds:datastoreItem xmlns:ds="http://schemas.openxmlformats.org/officeDocument/2006/customXml" ds:itemID="{2D757824-2D2F-4DC6-AD07-4E53921C8B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Lucie CAUCHOIS</cp:lastModifiedBy>
  <dcterms:created xsi:type="dcterms:W3CDTF">2021-02-01T08:22:39Z</dcterms:created>
  <dcterms:modified xsi:type="dcterms:W3CDTF">2025-09-25T13:58:34Z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